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ชั้นปีที่ 4" sheetId="2" r:id="rId6"/>
    <sheet state="visible" name="ชั้นปีที่ 3" sheetId="3" r:id="rId7"/>
    <sheet state="visible" name="ชั้นปีที่ 2" sheetId="4" r:id="rId8"/>
    <sheet state="visible" name="ชั้นปีที่ 1" sheetId="5" r:id="rId9"/>
    <sheet state="visible" name="Admin" sheetId="6" r:id="rId10"/>
  </sheets>
  <definedNames>
    <definedName hidden="1" localSheetId="0" name="_xlnm._FilterDatabase">Data!$A$1:$O$3049</definedName>
  </definedNames>
  <calcPr/>
</workbook>
</file>

<file path=xl/sharedStrings.xml><?xml version="1.0" encoding="utf-8"?>
<sst xmlns="http://schemas.openxmlformats.org/spreadsheetml/2006/main" count="33413" uniqueCount="8934">
  <si>
    <t>ไอดี</t>
  </si>
  <si>
    <t>ประทับเวลา</t>
  </si>
  <si>
    <t>ชั้นปีการศึกษา</t>
  </si>
  <si>
    <t>รหัส นพอ.</t>
  </si>
  <si>
    <t>เลขที่</t>
  </si>
  <si>
    <t>ชื่อ-สกุล</t>
  </si>
  <si>
    <t>ประเภทความดี</t>
  </si>
  <si>
    <t>ชื่อกิจกรรม</t>
  </si>
  <si>
    <t>สถานที่</t>
  </si>
  <si>
    <t>วันทีทำกิจกรรม</t>
  </si>
  <si>
    <t>ช่วงเวลาที่ทำ</t>
  </si>
  <si>
    <t>จำนวนชั่วโมงที่ได้</t>
  </si>
  <si>
    <t>ผู้ลงชื่อรับทราบ</t>
  </si>
  <si>
    <t>รูปภาพ</t>
  </si>
  <si>
    <t>PDF</t>
  </si>
  <si>
    <t>ชั้นปีที่ 3</t>
  </si>
  <si>
    <t>6603777</t>
  </si>
  <si>
    <t>23</t>
  </si>
  <si>
    <t>นพอ.นัชธิดา ไกรทองสุข</t>
  </si>
  <si>
    <t>โครงการภายนอกที่ออกคำสั่งจาก วพอ.</t>
  </si>
  <si>
    <t>รับเสด็จงานรับปริญญา</t>
  </si>
  <si>
    <t>มหาวิทยาลัยมหิดล</t>
  </si>
  <si>
    <t>0800-1200</t>
  </si>
  <si>
    <t>น.ท.หญิง สุพัตรา ปิ่นแก้ว</t>
  </si>
  <si>
    <t>https://lh5.googleusercontent.com/d/18-lbP1-Wos582ONhKWf1fNdWsOwMspox</t>
  </si>
  <si>
    <t>https://drive.google.com/file/d/18HXnOcN2owWyM5ZRojVVLwYRRhWurUhr/view?usp=drivesdk</t>
  </si>
  <si>
    <t>ชั้นปีที่ 2</t>
  </si>
  <si>
    <t>6703844</t>
  </si>
  <si>
    <t>26</t>
  </si>
  <si>
    <t>นพอ.นพชกร ทิวแพ</t>
  </si>
  <si>
    <t>ซ้อมร้องประสานเสียงงานคอนเสิร์ตทัพฟ้า</t>
  </si>
  <si>
    <t>ดุริยางค์ทหารอากาศ</t>
  </si>
  <si>
    <t>0800 - 1600</t>
  </si>
  <si>
    <t>ร.อ.อนุชิต ทำจะดี</t>
  </si>
  <si>
    <t>https://lh5.googleusercontent.com/d/1OCZ183nrqKPKTQv9QdOX_5Mo3ALegEjh</t>
  </si>
  <si>
    <t>https://drive.google.com/file/d/1lTxcaP2F56eglcC9Yl7kvaTeIEg-H66S/view?usp=drivesdk</t>
  </si>
  <si>
    <t xml:space="preserve"> ซ้อมร้องประสานเสียงงานคอนเสิร์ตทัพฟ้า</t>
  </si>
  <si>
    <t>ศูนย์วัฒนธรรมแห่งประเทศไทย</t>
  </si>
  <si>
    <t>1400 - 2200</t>
  </si>
  <si>
    <t>https://lh5.googleusercontent.com/d/1TAO9uWwrnR9jceqAGDWc29HtHOt02J_I</t>
  </si>
  <si>
    <t>https://drive.google.com/file/d/1eyakFcLPIBb0g05fLGOHVO8XCxEBB1Fr/view?usp=drivesdk</t>
  </si>
  <si>
    <t xml:space="preserve">คอนเสิร์ตทัพฟ้าคู่ไทยเพื่อ "ชัยพัฒนา" ครั้งที่ 16 </t>
  </si>
  <si>
    <t>https://lh5.googleusercontent.com/d/1wmJuP8tCj9_MZNcoLMQYIFliF3D74Bqy</t>
  </si>
  <si>
    <t>https://drive.google.com/file/d/1Me8-YdFm_i4pl6MCVcHRVmzDMcn0joU1/view?usp=drivesdk</t>
  </si>
  <si>
    <t>คอนเสิร์ตทัพฟ้าคู่ไทยเพื่อ "ชัยพัฒนา" ครั้งที่ 16</t>
  </si>
  <si>
    <t>https://lh5.googleusercontent.com/d/1x7_Dy5B30CyK0eTf4Jm1AoFkLHpiSP_T</t>
  </si>
  <si>
    <t>https://drive.google.com/file/d/1dukl6TLXp_kqgaM842_o-r4dgM1gbR0K/view?usp=drivesdk</t>
  </si>
  <si>
    <t>การแข่งขันทักษะทางไซเบอร์ระดับโรงเรียนทหาร-ตำรวจ และอุดมศึกษา</t>
  </si>
  <si>
    <t>ห้องประชุมอาคารอเนกประสงค์ สปท. เขตดินแดง</t>
  </si>
  <si>
    <t>0800-1600</t>
  </si>
  <si>
    <t>https://lh5.googleusercontent.com/d/1NqRlDze86VN9KqRyAgkmLnC6zvz02YL4</t>
  </si>
  <si>
    <t>https://drive.google.com/file/d/1UKCins2hZuVKr6Mv2ywXyOYu2ChER4dF/view?usp=drivesdk</t>
  </si>
  <si>
    <t>Meet The Youth Hacker Thailand 2025</t>
  </si>
  <si>
    <t>อาคาร 15 กองบัญชาการกองทัพไทย (บก.ทท.)</t>
  </si>
  <si>
    <t>https://lh5.googleusercontent.com/d/1AM7JmSNYij-0LAJt5QJIQcTUsCY5d-KB</t>
  </si>
  <si>
    <t>https://drive.google.com/file/d/1E5Zya31Z4D4idaHx1hxUxpdPZ0SduOLF/view?usp=drivesdk</t>
  </si>
  <si>
    <t xml:space="preserve">ฟังการสัมมนาสื่อสร้างสรรค์ เสริมพลังการสื่อสาร พัฒนาสังคม </t>
  </si>
  <si>
    <t xml:space="preserve"> อาคารเอนกประสงค์ เอสซีจี สำนักงานใหญ่ บางซื่อ</t>
  </si>
  <si>
    <t>0730-1230</t>
  </si>
  <si>
    <t>น.ท.หญิง ฤทัยวรรณ นวมพันธ์</t>
  </si>
  <si>
    <t>https://lh5.googleusercontent.com/d/1Xx8HdDXR09h3HP0N47g0lacLwSkWxyj-</t>
  </si>
  <si>
    <t>https://drive.google.com/file/d/1odqzTaQ1v-BjgSuO9EFODDzkFATXy6LZ/view?usp=drivesdk</t>
  </si>
  <si>
    <t>6603817</t>
  </si>
  <si>
    <t>63</t>
  </si>
  <si>
    <t>นพอ.อารียา สงวน</t>
  </si>
  <si>
    <t>https://lh5.googleusercontent.com/d/1tPvfdyeyVqKynkTJgJr1IA4tsqvm8cv-</t>
  </si>
  <si>
    <t>https://drive.google.com/file/d/141_LMBDHo0t6WR1G4TroPWA-5IC3JHUX/view?usp=drivesdk</t>
  </si>
  <si>
    <t>1400-2200</t>
  </si>
  <si>
    <t>https://lh5.googleusercontent.com/d/1qcGwrhSyTzQDHBP3r5oXecsAjTqC2rJE</t>
  </si>
  <si>
    <t>https://drive.google.com/file/d/1w9taLYg_TYlDoUDcZNagKvD7FcXN7MmI/view?usp=drivesdk</t>
  </si>
  <si>
    <t>คอนเสิร์ตทัพฟ้าคู่ไทย เพื่อชัยพัฒนา ครั้งที่ 16</t>
  </si>
  <si>
    <t>ศุนย์วัฒนธรรมแห่งประเทศไทย</t>
  </si>
  <si>
    <t>https://lh5.googleusercontent.com/d/1QZOpuzmDoQCXdD5WV6uqJWPAw5cNOad7</t>
  </si>
  <si>
    <t>https://drive.google.com/file/d/15KnV7vuM1GYqHInx7NkBGPFNVyznySj0/view?usp=drivesdk</t>
  </si>
  <si>
    <t>https://lh5.googleusercontent.com/d/182iHAiC8r8Kw1LT9QnFuCfb1WxwcvJNC</t>
  </si>
  <si>
    <t>https://drive.google.com/file/d/1p2shziwfh5oAHXEnSPLSc6bvhMVisaLS/view?usp=drivesdk</t>
  </si>
  <si>
    <t>6603780</t>
  </si>
  <si>
    <t>นพอ.นิศาชล ชุมจันทร์</t>
  </si>
  <si>
    <t>คอนเสิร์ตทัพฟ้าคู่ไทยเพื่อ”ชัยพัฒนา“</t>
  </si>
  <si>
    <t>https://lh5.googleusercontent.com/d/1DjQLU8G4uenDlKzfKAFce8BFNiGoG6yy</t>
  </si>
  <si>
    <t>https://drive.google.com/file/d/1A1NXoTQzTkozbayKjJscZWyRk8fBjOto/view?usp=drivesdk</t>
  </si>
  <si>
    <t>พิธีรับเสด็จรับปริญญา นพอ.รุ่น 64</t>
  </si>
  <si>
    <t>https://lh5.googleusercontent.com/d/1Zej3t2rYV44TQqynwZYua3XQRUH8weX0</t>
  </si>
  <si>
    <t>https://drive.google.com/file/d/1nF8PJ4mmoVrxvfo6pgjKSd6HFsBny0Yv/view?usp=drivesdk</t>
  </si>
  <si>
    <t>บริจาคโลหิต/เกล็ดเลือด/พลาสมา</t>
  </si>
  <si>
    <t>บริจาคโลหิต</t>
  </si>
  <si>
    <t>ศูนย์บริการโลหิตแห่งชาติ สภากาชาดไทย</t>
  </si>
  <si>
    <t>น.ต.หญิง ขวัญชนก พ่วงนาคพันธุ์</t>
  </si>
  <si>
    <t>https://lh5.googleusercontent.com/d/1xPwMJhEac1tp5Z7fMv8gr62zvoBpsydT</t>
  </si>
  <si>
    <t>https://drive.google.com/file/d/1bhvNNvUzfbUAzceHbIIWvVoZQmKQ7sOm/view?usp=drivesdk</t>
  </si>
  <si>
    <t>6603767</t>
  </si>
  <si>
    <t>14</t>
  </si>
  <si>
    <t>นพอ.ณัฐนรินทร์ เต่าไธสง</t>
  </si>
  <si>
    <t>โครงการบริการวิชาการแก่</t>
  </si>
  <si>
    <t>ชุมชนวัดเกาะ</t>
  </si>
  <si>
    <t>น.ต.หญิงตวงทิพย์ ลดาวัลย์</t>
  </si>
  <si>
    <t>https://lh5.googleusercontent.com/d/1K8qZGRPkTnKvQcUwWfKaPD3sRAyD7UT3</t>
  </si>
  <si>
    <t>https://drive.google.com/file/d/1-BH1aY1K8hGh7J0Lcpr2VF74-fNd8Hnj/view?usp=drivesdk</t>
  </si>
  <si>
    <t>นพอ.ณัฐนรินทร์ เต่าไธสว</t>
  </si>
  <si>
    <t>คอนเสิร์ตทัพฟ้าคู่ไทยเพื่อ “ชัยพัฒนา” ครั้งที่ 16</t>
  </si>
  <si>
    <t>https://lh5.googleusercontent.com/d/1KvFi20dySBei93tpc2ZrXE3IuEIxsJ8x</t>
  </si>
  <si>
    <t>https://drive.google.com/file/d/1aon51y_WSQGflgD4Yp1pA1Pmmu2m_b0g/view?usp=drivesdk</t>
  </si>
  <si>
    <t>https://lh5.googleusercontent.com/d/1N9kCer_DCRhYI0_9npwcBGaUJ1vO1Tth</t>
  </si>
  <si>
    <t>https://drive.google.com/file/d/1lszQpMoakXos9GAnoe0N1b9fvL9nVOCC/view?usp=drivesdk</t>
  </si>
  <si>
    <t>วัดเกาะร่วมใจ ใส่ใจสุขภาพ</t>
  </si>
  <si>
    <t>ณ ลานกีฬาอเนกประสงค์หมู่บ้านอรุณนิเวศน์ วัดเกาะ เขตสายไหม กรุงเทพฯ</t>
  </si>
  <si>
    <t>น.ต.หญิง ตวงทิพย์ ลดาวัลย์</t>
  </si>
  <si>
    <t>https://lh5.googleusercontent.com/d/16GYp9vmK5s3DI9wkj93yb51LNvHpqyQR</t>
  </si>
  <si>
    <t>https://drive.google.com/file/d/1bUnAYIWh6bKek0ufXaXRwjjCRpqhZ4Ig/view?usp=drivesdk</t>
  </si>
  <si>
    <t>6703859</t>
  </si>
  <si>
    <t>41</t>
  </si>
  <si>
    <t>นพอ.พิชญาภา ไชยพงษ์</t>
  </si>
  <si>
    <t xml:space="preserve">(ศูนย์วัฒนธรรมแห่งประเทศไทย) </t>
  </si>
  <si>
    <t>https://lh5.googleusercontent.com/d/1fZxYSy7cv40dhOBNfxv8MUu173KAwRh9</t>
  </si>
  <si>
    <t>https://drive.google.com/file/d/1Ek_scsrbLHSoJRyGfxvsWjPu3ATcmqzL/view?usp=drivesdk</t>
  </si>
  <si>
    <t>https://lh5.googleusercontent.com/d/1D-_UmuXYU3ArwMZjsJk6xBr3rFd3n_gr</t>
  </si>
  <si>
    <t>https://drive.google.com/file/d/1V4WHhZ_bR7OvghOVypwbRvSIhT_j-Cz8/view?usp=drivesdk</t>
  </si>
  <si>
    <t>6703833</t>
  </si>
  <si>
    <t>16</t>
  </si>
  <si>
    <t>นพอ.ฐานิดา อ่อนล้อม</t>
  </si>
  <si>
    <t>คอนเสิร์ตทัพฟ้าคู่ไทยเพื่อ “ชัยพัฒนา” ครั้งที่ 16</t>
  </si>
  <si>
    <t>https://lh5.googleusercontent.com/d/1TBeaEz7zRhaA__iuDUPPptkT3mQz0mZQ</t>
  </si>
  <si>
    <t>https://drive.google.com/file/d/1jsmnDBVKfSRBuwszpcMUwuC1oct-cInm/view?usp=drivesdk</t>
  </si>
  <si>
    <t>https://lh5.googleusercontent.com/d/11bMPh9R-FjBv9Xr8SwsjqCZzs_vbGz3t</t>
  </si>
  <si>
    <t>https://drive.google.com/file/d/115LevKkAP3WvlDcPcrLD2iIjn3nKOoGZ/view?usp=drivesdk</t>
  </si>
  <si>
    <t>ชั้นปีที่ 4</t>
  </si>
  <si>
    <t>6503753</t>
  </si>
  <si>
    <t>นพอ.อรกัญญา ทอนสูงเนิน</t>
  </si>
  <si>
    <t>สภากาชาดไทย จ.นครราชสีมา</t>
  </si>
  <si>
    <t>1400</t>
  </si>
  <si>
    <t>นายปรุงศักดิ์ ทอนสูงเนิน</t>
  </si>
  <si>
    <t>https://lh5.googleusercontent.com/d/1I-cWams3n0rT_h2kxUyGE6R0iSQCoNHO</t>
  </si>
  <si>
    <t>https://drive.google.com/file/d/1_hZQNmFZuRjAy0O6K59fguQ2wt1yXozK/view?usp=drivesdk</t>
  </si>
  <si>
    <t>3717</t>
  </si>
  <si>
    <t>28</t>
  </si>
  <si>
    <t>นพอ.ธีรภัทร อุดรพันธ์</t>
  </si>
  <si>
    <t>ตรวจสุขภาพที่ ชุมชนประทวน</t>
  </si>
  <si>
    <t>ทอ.</t>
  </si>
  <si>
    <t>08.00-12.00</t>
  </si>
  <si>
    <t>https://lh5.googleusercontent.com/d/10Bo0Y4CPPq8BEETbpfmGGjdszB6cot5_</t>
  </si>
  <si>
    <t>https://drive.google.com/file/d/15wzMfQum2_sbJ-PfEFkPUR4Q0JeH_B-m/view?usp=drivesdk</t>
  </si>
  <si>
    <t>6503746</t>
  </si>
  <si>
    <t>56</t>
  </si>
  <si>
    <t>นพอ.ศิริวรรณ ประกอบสัตย์</t>
  </si>
  <si>
    <t>ทำนุบำรุงศาสนสถาน</t>
  </si>
  <si>
    <t>กวาดวัด</t>
  </si>
  <si>
    <t>วัดวิเวกอาคม</t>
  </si>
  <si>
    <t>นายเวคิน เจียโหงว</t>
  </si>
  <si>
    <t>https://lh5.googleusercontent.com/d/1UnT2lOHCOxGI6gQkFn1PnDzYhSt2MBxU</t>
  </si>
  <si>
    <t>https://drive.google.com/file/d/1mZ7cbAqsD8kuxBYAuFr-YP44LJPyF3HO/view?usp=drivesdk</t>
  </si>
  <si>
    <t>ทำความสะอาดวัด</t>
  </si>
  <si>
    <t>08.00-12-00</t>
  </si>
  <si>
    <t>นายเวคิน เจียงโหงว</t>
  </si>
  <si>
    <t>https://lh5.googleusercontent.com/d/1mY3j3JaPUBXT06jZLaJhTsW76urMdbrC</t>
  </si>
  <si>
    <t>https://drive.google.com/file/d/1YR-AEDymZgogNn7n3eJsc7Etpx0c_mIm/view?usp=drivesdk</t>
  </si>
  <si>
    <t>กวาดวัดและตอกเสาธง</t>
  </si>
  <si>
    <t>วัดใหม่(บางขวัญ)</t>
  </si>
  <si>
    <t>https://lh5.googleusercontent.com/d/1G-w9xzwpgPTsrn0cgaUc5zyUqDcLuIPN</t>
  </si>
  <si>
    <t>https://drive.google.com/file/d/1jJH5CQYTFwaj15rWjtlfvoVQUCIVrS5a/view?usp=drivesdk</t>
  </si>
  <si>
    <t>ช่วยงานหน่วยงานชุมชน หรือมูลนิธิ</t>
  </si>
  <si>
    <t>แจกเฉาก๊วย</t>
  </si>
  <si>
    <t>https://lh5.googleusercontent.com/d/1rfXo28rDWjWU31fBUhFCu1h2cWe82nDO</t>
  </si>
  <si>
    <t>https://drive.google.com/file/d/1pFqeojTTDC95GOsFARqOWwM2tmr9gd6w/view?usp=drivesdk</t>
  </si>
  <si>
    <t>6503691</t>
  </si>
  <si>
    <t>2</t>
  </si>
  <si>
    <t>นพอ.กอปรทรัพย์ ธุรารัตน์</t>
  </si>
  <si>
    <t>ทำกระทงช่วยหน่วยงานวัด</t>
  </si>
  <si>
    <t>วัดหนามแดง</t>
  </si>
  <si>
    <t>น.ท.หญิง ดร. ภัทรมน ทับสูงเนิน</t>
  </si>
  <si>
    <t>https://lh5.googleusercontent.com/d/16YqLEDDuaUmQCnS89dpMEUzYZ5e98hLL</t>
  </si>
  <si>
    <t>6503716</t>
  </si>
  <si>
    <t>27</t>
  </si>
  <si>
    <t>นพอ.ธันยาภัทร์ จิโรชนิธิกาญจน์</t>
  </si>
  <si>
    <t>ร่วมโครงการคัดกรองสุขภาพเชิงรุกกำลังพลทอ.</t>
  </si>
  <si>
    <t>สโมสรทหารอากาศชั้นประทวน</t>
  </si>
  <si>
    <t>0700-1300</t>
  </si>
  <si>
    <t>https://lh5.googleusercontent.com/d/1t_3FYEPxVrVbKlJVF6jQHfs1y9Tf7Lpa</t>
  </si>
  <si>
    <t>https://drive.google.com/file/d/1Vw9FzXBwM9xSUbnoXG2IQFGCjWV8fvdh/view?usp=drivesdk</t>
  </si>
  <si>
    <t>6503734</t>
  </si>
  <si>
    <t>44</t>
  </si>
  <si>
    <t>นพอ.มรกต จันทฤทธิ์</t>
  </si>
  <si>
    <t>ช่วยเหลืองานภายใน วพอ.</t>
  </si>
  <si>
    <t>ต้อนรับคณะการตรวจประเมินคุณภาพการศึกษาภายใน ประจำปีการศึกษา 2567</t>
  </si>
  <si>
    <t>ห้องฝึกปฏิบัติการจิตเวช</t>
  </si>
  <si>
    <t>ร.อ.หญิง วิชยา พรหมสาขา ณ สกลนคร</t>
  </si>
  <si>
    <t>https://lh5.googleusercontent.com/d/1j_3jUbQyGksdp2jgwoD71_1OhBa5esGk</t>
  </si>
  <si>
    <t>https://drive.google.com/file/d/1bLXGuleRRu6H0DLLWhbdAgKNMgq15aXe/view?usp=drivesdk</t>
  </si>
  <si>
    <t>https://lh5.googleusercontent.com/d/1Ju055Fz_g7F6NpxEYMaTWhm-BmFeBHmX</t>
  </si>
  <si>
    <t>https://drive.google.com/file/d/1zSY7XOV5bWq5HeZ-Pma16P-W2h6X4DOC/view?usp=drivesdk</t>
  </si>
  <si>
    <t>งานเดิน วิ่ง ปั่น ป้องกันอัมพาต</t>
  </si>
  <si>
    <t>ศาลากลางจังหวัดฉะเชิงเทรา</t>
  </si>
  <si>
    <t>0500-0600</t>
  </si>
  <si>
    <t>https://lh5.googleusercontent.com/d/1x6_m7Z_WKlieNBo9tOVCtLw-KO_QfNqD</t>
  </si>
  <si>
    <t>https://drive.google.com/file/d/17UbzJwhCgry-bOOM2mkCcuVjgR0974zK/view?usp=drivesdk</t>
  </si>
  <si>
    <t>ร่วมโครงการคัดกรองสุขภาพเชิงรุกกำลังพล ทอ.</t>
  </si>
  <si>
    <t>0700 - 1300</t>
  </si>
  <si>
    <t>https://lh5.googleusercontent.com/d/1sn_UxkYi8apZeVoC1WIAS_rIQakXN7YV</t>
  </si>
  <si>
    <t>https://drive.google.com/file/d/1Pu_IH0KxTcjrE4SOPf0rq_ps4mZO9Cco/view?usp=drivesdk</t>
  </si>
  <si>
    <t>6503694</t>
  </si>
  <si>
    <t>5</t>
  </si>
  <si>
    <t>กุลธิดา ชัยนิสงค์</t>
  </si>
  <si>
    <t xml:space="preserve">สโมสรทหารอากาศชั้นประทวน </t>
  </si>
  <si>
    <t>https://lh5.googleusercontent.com/d/1WQIkwdGgpVPGF6lp-tNa5ufBFm8WC731</t>
  </si>
  <si>
    <t>https://drive.google.com/file/d/1YcbMvd3wb-R2iQz2Q6EZiZSokio9TDOj/view?usp=drivesdk</t>
  </si>
  <si>
    <t>ทำกระทง</t>
  </si>
  <si>
    <t>รพ.สต.บางขวัญ</t>
  </si>
  <si>
    <t>1300-1700</t>
  </si>
  <si>
    <t>https://lh5.googleusercontent.com/d/1tDjYrt3pyGlzYKfJJhZptCYkAxiFHqQj</t>
  </si>
  <si>
    <t>https://drive.google.com/file/d/1ukTfnuVjIgDa0mkpi26EeAMckOddNbsz/view?usp=drivesdk</t>
  </si>
  <si>
    <t>งานฟรีทั่วไป</t>
  </si>
  <si>
    <t>วันรักต้นไม้ประจำปีของชาติ</t>
  </si>
  <si>
    <t>https://lh5.googleusercontent.com/d/1sIgCx9eRsZzzl1LUTG-8XHQVcttJBBNa</t>
  </si>
  <si>
    <t>https://drive.google.com/file/d/1v0ZvopSlBIBwiKNiBBKHuMIDEUODeVZO/view?usp=drivesdk</t>
  </si>
  <si>
    <t>6703836</t>
  </si>
  <si>
    <t>19</t>
  </si>
  <si>
    <t>นพอ.ณัฐธิดา จันทร์อนันต์</t>
  </si>
  <si>
    <t>จัดห้องภาคมารดาทารกและการผดุงครรภ์</t>
  </si>
  <si>
    <t>อาคารสำนักงานชั้น2</t>
  </si>
  <si>
    <t>14.00-16.00น.</t>
  </si>
  <si>
    <t>น.ต.หญิง จิรปรียา โรจนเกียรติปรีดา</t>
  </si>
  <si>
    <t>https://lh5.googleusercontent.com/d/1rsSIiJ7WtuHpwpuMbfq5hv-6IWRUvM2F</t>
  </si>
  <si>
    <t>https://drive.google.com/file/d/18sy8TqoKyQR2PqmD7j4ePWuhnymsdwa2/view?usp=drivesdk</t>
  </si>
  <si>
    <t>6503718</t>
  </si>
  <si>
    <t>29</t>
  </si>
  <si>
    <t>นพอ.นนทิชา แสงตาล</t>
  </si>
  <si>
    <t>https://lh5.googleusercontent.com/d/1iKElwFFIY1VY_GyGfCkHyXwShR2ZDlc-</t>
  </si>
  <si>
    <t>https://drive.google.com/file/d/16NH7D49_SFlCjKTfJ6fBGFzeQhrdAG0g/view?usp=drivesdk</t>
  </si>
  <si>
    <t>6503698</t>
  </si>
  <si>
    <t>9</t>
  </si>
  <si>
    <t>นพอ.จุฑานภัสร์ ฟ้าบรรเจิด</t>
  </si>
  <si>
    <t>แต่งหน้านภาภิบาล</t>
  </si>
  <si>
    <t>วพอ.พอ.</t>
  </si>
  <si>
    <t>1200-1300</t>
  </si>
  <si>
    <t>https://lh5.googleusercontent.com/d/1bL6oYgHSTAWt4y5D0HNR0PGI37vgyBs8</t>
  </si>
  <si>
    <t>https://drive.google.com/file/d/177eTB4RQfShIF3W92jRv-X26Jgt0Qnl1/view?usp=drivesdk</t>
  </si>
  <si>
    <t>6503713</t>
  </si>
  <si>
    <t>24</t>
  </si>
  <si>
    <t>นพอ.ดิษยา คงเจริญ</t>
  </si>
  <si>
    <t>https://lh5.googleusercontent.com/d/16RalPVaVpVFFHZ_hm-7DaM4yFkDO74SX</t>
  </si>
  <si>
    <t>https://drive.google.com/file/d/12ahQqUwIKOHs4wLwOSE6rQNFPHBNLeq8/view?usp=drivesdk</t>
  </si>
  <si>
    <t>0400-0700</t>
  </si>
  <si>
    <t>https://lh5.googleusercontent.com/d/1ENS3ZPthqRL5SKTQSRxlTkL-ErHoOlI2</t>
  </si>
  <si>
    <t>https://drive.google.com/file/d/1j1hiINdZXSiaZ1e4yTMH0ZNNUYkScm8B/view?usp=drivesdk</t>
  </si>
  <si>
    <t>จัดสถานที่สัมภาษณ์นพอ.68</t>
  </si>
  <si>
    <t>น.ท.หญิง ลักษ์ขณา พานิชสรรค์</t>
  </si>
  <si>
    <t>https://lh5.googleusercontent.com/d/1jX6Bidzeq3mxXXzpSs3PX4kRWVmsXyIZ</t>
  </si>
  <si>
    <t>https://drive.google.com/file/d/1m-0c2RTVlOnmrGmkK3H-0XGl1xn3apB6/view?usp=drivesdk</t>
  </si>
  <si>
    <t>6703838</t>
  </si>
  <si>
    <t>21</t>
  </si>
  <si>
    <t>นพอ.ณัฐพงษ์ วงษ์บัวงาม</t>
  </si>
  <si>
    <t>https://lh5.googleusercontent.com/d/1S8UChCpOqs_095wKGLCBC-0xSYuz0FqR</t>
  </si>
  <si>
    <t>https://drive.google.com/file/d/1cONPpBIVRznJmuornOxu2iOML1H5bkez/view?usp=drivesdk</t>
  </si>
  <si>
    <t>https://lh5.googleusercontent.com/d/1NsmYisw67wLcZfB4zh2z59bQ7vkIi3ck</t>
  </si>
  <si>
    <t>https://drive.google.com/file/d/1Snqb11XZJ9ow7p2UliNzn_rD1UgGa0dk/view?usp=drivesdk</t>
  </si>
  <si>
    <t>https://lh5.googleusercontent.com/d/1yJzubrPLPTykQ3sZL8b_MNQFOf1YplIL</t>
  </si>
  <si>
    <t>https://drive.google.com/file/d/1w-dv1u-amf2y4X82GJWx4Alla4msQE3z/view?usp=drivesdk</t>
  </si>
  <si>
    <t>ทดสอบวิภาววิสัย</t>
  </si>
  <si>
    <t>https://lh5.googleusercontent.com/d/15MOF85VXVPQ_2p52Igw76vpfa4_H8_fd</t>
  </si>
  <si>
    <t>https://drive.google.com/file/d/1kuh1Y-uG3RPU_F0szTaxE6oT19tykEBB/view?usp=drivesdk</t>
  </si>
  <si>
    <t>คอนเสิร์ตทัพฟ้าคู่ไทยเพื่อ“ชัยพัฒนา” ครั้งที่16</t>
  </si>
  <si>
    <t>https://lh5.googleusercontent.com/d/1LE_xcbwuN-0NovlzYDoEwu3tdkb-IgzC</t>
  </si>
  <si>
    <t>https://drive.google.com/file/d/12OFwhv5OeC3cB_hxEYz5haFll8kHdkoa/view?usp=drivesdk</t>
  </si>
  <si>
    <t>ร่วมทำโรงทาน จากอาหาร</t>
  </si>
  <si>
    <t>วัดทดราษฎร์เจริญมณีฤทธิ์</t>
  </si>
  <si>
    <t>0700-1000</t>
  </si>
  <si>
    <t>นางสาววันวิสา ดำริมุ่งกิจ</t>
  </si>
  <si>
    <t>https://lh5.googleusercontent.com/d/1I62JFQY8SyN-09xX-XVJa2Hx-H76kLpw</t>
  </si>
  <si>
    <t>https://drive.google.com/file/d/1ycDbuVZWKGxDDfvl8BvRQ6XCN37cSDD-/view?usp=drivesdk</t>
  </si>
  <si>
    <t>ทดสอบวิภาววิสัยและความถนัด</t>
  </si>
  <si>
    <t>https://lh5.googleusercontent.com/d/1xlHBqzkS86YEuNNjzLU08JbG6ls29tbo</t>
  </si>
  <si>
    <t>https://drive.google.com/file/d/1cbzl87hJ5aUQHN0n9bm_b0CfVN-AcwPS/view?usp=drivesdk</t>
  </si>
  <si>
    <t>คอนเสิร์ตทัพฟ้าคู่ไทยเพื่อ“ชัยพัฒนา”ครั้งที่16</t>
  </si>
  <si>
    <t>https://lh5.googleusercontent.com/d/1NP417WIkLdTIcWVUSc5yQm4Ms6-JgFQU</t>
  </si>
  <si>
    <t>https://drive.google.com/file/d/1Yjedm8xSkwC83n-0ytJawuVoCvJ6tZ0R/view?usp=drivesdk</t>
  </si>
  <si>
    <t>6703826</t>
  </si>
  <si>
    <t>นพอ.ชณัฐธิดา ชูชีพ</t>
  </si>
  <si>
    <t>https://lh5.googleusercontent.com/d/1YH77T5XkChq7u-rcugxI3MgAC6Sy3z8Q</t>
  </si>
  <si>
    <t>https://drive.google.com/file/d/1d74bVAfW1GFmbP31-T27zoMJBorIqKRf/view?usp=drivesdk</t>
  </si>
  <si>
    <t>จิตอาสารับนักเรียนใหม่</t>
  </si>
  <si>
    <t>วพอ.</t>
  </si>
  <si>
    <t>0700-1230</t>
  </si>
  <si>
    <t>https://lh5.googleusercontent.com/d/104PZM-l1VPywgyHlSIvh5Roe3JrsvqXt</t>
  </si>
  <si>
    <t>https://drive.google.com/file/d/19yE-Ns8YuI85OmpAsj4HOSU3_CAVFEqg/view?usp=drivesdk</t>
  </si>
  <si>
    <t>0600-0800</t>
  </si>
  <si>
    <t>https://lh5.googleusercontent.com/d/1dncskeXjWDm0RsP5Az2RupanUSDDYUJS</t>
  </si>
  <si>
    <t>https://drive.google.com/file/d/1dWCc8SuhQK0usZ_PsWH3qQxRow0EXfB1/view?usp=drivesdk</t>
  </si>
  <si>
    <t>6503745</t>
  </si>
  <si>
    <t>55</t>
  </si>
  <si>
    <t>นพอ.ศิริขวัญ วามะลุน</t>
  </si>
  <si>
    <t>https://lh5.googleusercontent.com/d/1mE0gP3PGUDjjOZowUPNDnizdoSvYGUGx</t>
  </si>
  <si>
    <t>https://drive.google.com/file/d/1ullIao1mypdJ18ug02JNJLLe5zQD1QwT/view?usp=drivesdk</t>
  </si>
  <si>
    <t>ฟังการสัมมนาสื่อสร้างสรรค์ เสริมพลังการสื่อสาร พัฒนาสังคม</t>
  </si>
  <si>
    <t>หอประชุม SCG</t>
  </si>
  <si>
    <t>https://lh5.googleusercontent.com/d/1K0Jx29bAzmAfT_0Y1dxEdfPOTxxojlLs</t>
  </si>
  <si>
    <t>https://drive.google.com/file/d/1ikHvKUrBJBIjHKSSq4vXsjfO8VxfKBBt/view?usp=drivesdk</t>
  </si>
  <si>
    <t>ช่วยพับแผ่นพับประชาสัมพันธ์</t>
  </si>
  <si>
    <t>1630-1730</t>
  </si>
  <si>
    <t>https://lh5.googleusercontent.com/d/1vfAhDcQg3q_qOaG6nrXfJkfBNhIyRVBf</t>
  </si>
  <si>
    <t>https://drive.google.com/file/d/1sqYfComDoh6TdIFWhvIcahaX0uWb1HxP/view?usp=drivesdk</t>
  </si>
  <si>
    <t>ช่วยรวบรวมเงินบริจาคและมอบให้แก่วัด</t>
  </si>
  <si>
    <t>1100</t>
  </si>
  <si>
    <t>https://lh5.googleusercontent.com/d/1AjVK_KwuUMK4c6HueBAtCTg5o1BgUTpD</t>
  </si>
  <si>
    <t>https://drive.google.com/file/d/1PHZrdVRz3L1JGoiG7ZMrmGsSbu0vqG34/view?usp=drivesdk</t>
  </si>
  <si>
    <t>กีฬาประเพณีทหาร-ตำรวจ ครั้งที่59</t>
  </si>
  <si>
    <t>โรงเรียนนายเรืออากาศนวมินทกษัตริยาธิราช</t>
  </si>
  <si>
    <t>ร.ต.หญิง สุริยกาล มงคลมะไฟ</t>
  </si>
  <si>
    <t>https://lh5.googleusercontent.com/d/16fOCVwm_XeYilGR1cFxmQYEGh8yYQ7JI</t>
  </si>
  <si>
    <t>https://drive.google.com/file/d/16WkorhM6UvJOyL4x-NOa6kZ_O_aFwO7u/view?usp=drivesdk</t>
  </si>
  <si>
    <t>แต่งแผล</t>
  </si>
  <si>
    <t>ห้องสโมสร วพอ.พอ.</t>
  </si>
  <si>
    <t>0700-0800</t>
  </si>
  <si>
    <t>https://lh5.googleusercontent.com/d/1ZBKY3VtYNHsabN_EcyhoD4L0X-RCbf0T</t>
  </si>
  <si>
    <t>https://drive.google.com/file/d/1XZcoXmdB5PQo5bYhZL2Zj3SN_uqDDKkf/view?usp=drivesdk</t>
  </si>
  <si>
    <t>รับนักเรียนใหม่ ปี68</t>
  </si>
  <si>
    <t>วิทยาลัยพยาบาลทหารอากาศ</t>
  </si>
  <si>
    <t>0700-1500</t>
  </si>
  <si>
    <t>https://lh5.googleusercontent.com/d/1pririY-60-m_GGiRtSXngKCuGpo8tQe-</t>
  </si>
  <si>
    <t>https://drive.google.com/file/d/16K3mK3K4d4y70lJLkLA4g8CY7uKbZoZo/view?usp=drivesdk</t>
  </si>
  <si>
    <t>6703861</t>
  </si>
  <si>
    <t>43</t>
  </si>
  <si>
    <t>นพอ.เพ็ญพิชชา จันทระพงษ์</t>
  </si>
  <si>
    <t>ซ้อมร้องประสานเสียงงานคอนเสิร์ตทัพฟ้า (กองบัญชาการกองทัพอากาศ)</t>
  </si>
  <si>
    <t>https://lh5.googleusercontent.com/d/1tPOM9eGMAUipFuyVVyDCD-C_RSo8dLr5</t>
  </si>
  <si>
    <t>https://drive.google.com/file/d/1GrNjqXiKhtNAWC-E0rINrPonjsYxIb7N/view?usp=drivesdk</t>
  </si>
  <si>
    <t>https://lh5.googleusercontent.com/d/1Dlj57REotQ9D4cDKG6q-ngYGf8lGAVB6</t>
  </si>
  <si>
    <t>https://drive.google.com/file/d/1mL9V4_7bW-lpyRHKqcPod0FeTpsAtf3i/view?usp=drivesdk</t>
  </si>
  <si>
    <t>6503690</t>
  </si>
  <si>
    <t>01</t>
  </si>
  <si>
    <t>นพอ.กนกวรรณ ข่าขันมะลี</t>
  </si>
  <si>
    <t>งานกฐิน วัดป่าคลองนา</t>
  </si>
  <si>
    <t>วัดป่าคลองนา จ.ฉะเชิงเทรา</t>
  </si>
  <si>
    <t>น.ส.ธนิดา หลักทอง</t>
  </si>
  <si>
    <t>https://lh5.googleusercontent.com/d/1h4_OEB2AUFckRtE7i9UgJudq4mHEV8kL</t>
  </si>
  <si>
    <t>https://drive.google.com/file/d/1RNFo7mcIqrXYrmgW2tcAzxIegwmVQHz8/view?usp=drivesdk</t>
  </si>
  <si>
    <t>งานกฐิน วัดพรหมสุวรรณ</t>
  </si>
  <si>
    <t>วัดพรหมสุวรรณ</t>
  </si>
  <si>
    <t>https://lh5.googleusercontent.com/d/1u9v6UKDuIJMderzOLV0IAKMnXtWm6Sfy</t>
  </si>
  <si>
    <t>https://drive.google.com/file/d/1VC6Di4yDTZBWsfVsWob5IfxlRm9KOLsS/view?usp=drivesdk</t>
  </si>
  <si>
    <t>ช่วยเหลืองานลอยกระทง</t>
  </si>
  <si>
    <t>รพ.สต.คลองนา</t>
  </si>
  <si>
    <t>https://lh5.googleusercontent.com/d/1vxfLTpn7lweKCgtKQY_qFnZzUr2_B-6U</t>
  </si>
  <si>
    <t>https://drive.google.com/file/d/1-iYVsfTXRDJCQ6pCtpom6bB7v0ghSZKu/view?usp=drivesdk</t>
  </si>
  <si>
    <t>07.00-13.00</t>
  </si>
  <si>
    <t>https://lh5.googleusercontent.com/d/16UNE3UqoEvS71wZ9VDkA1Mp-9ljKIMOH</t>
  </si>
  <si>
    <t>https://drive.google.com/file/d/1sIH76FK3yCs-rFOWHCvWL8uThw7nmOys/view?usp=drivesdk</t>
  </si>
  <si>
    <t>เดิน วิ่ง ปั่น ป้องกันอัมพาต</t>
  </si>
  <si>
    <t>ศาลากลาง</t>
  </si>
  <si>
    <t>05.00-08.00</t>
  </si>
  <si>
    <t>https://lh5.googleusercontent.com/d/1jHB6uk6ayIEIRK_TiRzoKCmyt57Zj4DW</t>
  </si>
  <si>
    <t>https://drive.google.com/file/d/1ShKUCdIbpcV1uIqGVgjvTxTG089Zri0L/view?usp=drivesdk</t>
  </si>
  <si>
    <t>https://lh5.googleusercontent.com/d/1b4pLdghDGc4F-Wqr2RD2isisVlowmcxn</t>
  </si>
  <si>
    <t>https://drive.google.com/file/d/1fA_o4QTmz8c2EGmE0kfZxXTvh9jKhhsX/view?usp=drivesdk</t>
  </si>
  <si>
    <t>นางสาวธนิดา หลักทอง</t>
  </si>
  <si>
    <t>https://lh5.googleusercontent.com/d/12GnRPPz5ivE8C6tR1wu4gVY8SBd9cW9g</t>
  </si>
  <si>
    <t>https://drive.google.com/file/d/1qrI0PTftdjqjOxN0IfOGexeWfdqELL0y/view?usp=drivesdk</t>
  </si>
  <si>
    <t>งานกฐินวัดป่าคลองนา</t>
  </si>
  <si>
    <t>วัดป่าคลองนา จังหวัดฉะเชิงเทรา</t>
  </si>
  <si>
    <t>https://lh5.googleusercontent.com/d/1dr0B24uPxBKhU2TwKKgk0Q_5dmjPN9Sx</t>
  </si>
  <si>
    <t>https://drive.google.com/file/d/12Z1klwSgzNlwEvmiORVsw-1BPpf8yEop/view?usp=drivesdk</t>
  </si>
  <si>
    <t>วัดพรหมสุวรรณ จังหวัดฉะเชิงเทรา</t>
  </si>
  <si>
    <t>https://lh5.googleusercontent.com/d/11L1rB2qPNiFQixDXsVZbI1JB2X_QK91u</t>
  </si>
  <si>
    <t>https://drive.google.com/file/d/1K0ZjAuoIRgtCWQPt_xZg8xMWNe699bIH/view?usp=drivesdk</t>
  </si>
  <si>
    <t>0500-0900</t>
  </si>
  <si>
    <t>https://lh5.googleusercontent.com/d/1hP2cYfcvhIUwXDiRXC6liWa29M_08HvK</t>
  </si>
  <si>
    <t>https://drive.google.com/file/d/1XIxj1N6YFILkkCXzc1jfAuzKoQQpVYMb/view?usp=drivesdk</t>
  </si>
  <si>
    <t>ช่วยเก็บของงานกฐิน</t>
  </si>
  <si>
    <t>วัดบางแก้ว</t>
  </si>
  <si>
    <t>นางสาวสาวารส ยิ้มเจริญ</t>
  </si>
  <si>
    <t>https://lh5.googleusercontent.com/d/1RpvRTh2XEb2dK55dwePCHCJz7RJrOKDd</t>
  </si>
  <si>
    <t>https://drive.google.com/file/d/1SRxhGBIsyXFOvut1wJYaj51__hD2jfZK/view?usp=drivesdk</t>
  </si>
  <si>
    <t>6603774</t>
  </si>
  <si>
    <t>นพอ.ธัญลักษณ์ ระลึกเย็น</t>
  </si>
  <si>
    <t>https://lh5.googleusercontent.com/d/1Ri-iHvjCYl98vtbkAC4PhfdP2E4fOwsJ</t>
  </si>
  <si>
    <t>https://drive.google.com/file/d/10IwIRaZyG36oS4NRjhMvISPRc8vuTeEm/view?usp=drivesdk</t>
  </si>
  <si>
    <t>https://lh5.googleusercontent.com/d/1k4RssSYps1NQyBD1aVRLNkK8IOMn3Zvi</t>
  </si>
  <si>
    <t>https://drive.google.com/file/d/1u1raebqXa9CmkrRVhew39PuH2qNUyU2a/view?usp=drivesdk</t>
  </si>
  <si>
    <t xml:space="preserve"> คอนเสิร์ตทัพฟ้าคู่ไทยเพื่อ "ชัยพัฒนา" ครั้งที่ 16</t>
  </si>
  <si>
    <t>https://lh5.googleusercontent.com/d/1yClHjQY9pEvMQ86qzWb2uog7JCyxZVjW</t>
  </si>
  <si>
    <t>https://drive.google.com/file/d/1JashdJmZbOdFuc2ZbWdqxRgZk9LyBliR/view?usp=drivesdk</t>
  </si>
  <si>
    <t>6703878</t>
  </si>
  <si>
    <t>59</t>
  </si>
  <si>
    <t>นพอ.สุชาสินี ป้อมพยัคฆ์</t>
  </si>
  <si>
    <t>รับนักเรียนใหม่</t>
  </si>
  <si>
    <t>https://lh5.googleusercontent.com/d/1ewMCwp-rlMI6sOZv8-AUq9oLO39snH99</t>
  </si>
  <si>
    <t>https://drive.google.com/file/d/1juZZ79czR7y9c3V9NqBMLX3KbYT7JYHi/view?usp=drivesdk</t>
  </si>
  <si>
    <t>6703862</t>
  </si>
  <si>
    <t>นพอ.ภัทรภรณ์ ลิมป์กิตติเจริญ</t>
  </si>
  <si>
    <t>ซ้อมร้องประสานเสียงงานคอนเสิร์ตทัพฟ้า (ดุริยางค์ทหารอากาศ)</t>
  </si>
  <si>
    <t>กองดุริยางค์ทหารอากาศ</t>
  </si>
  <si>
    <t>https://lh5.googleusercontent.com/d/10IZKc7_GD1h5u7WUuQHO1hq6TB_9D8YE</t>
  </si>
  <si>
    <t>https://drive.google.com/file/d/11C3PuujPrceK0qaiDWuphNrPcrKRhbop/view?usp=drivesdk</t>
  </si>
  <si>
    <t>https://lh5.googleusercontent.com/d/1nmUOY9I9VgCseEwO3AbdYBnJ__z9fvhT</t>
  </si>
  <si>
    <t>https://drive.google.com/file/d/18mmIqD_PfkLcqt085K-RkdmVzenax19G/view?usp=drivesdk</t>
  </si>
  <si>
    <t>https://lh5.googleusercontent.com/d/1ObrArqz13tf3TQk3pCQpVTI2BLG5Fs44</t>
  </si>
  <si>
    <t>https://drive.google.com/file/d/1wYk0oVHgMMuUzYfWgFHJNngRTm6LMG3S/view?usp=drivesdk</t>
  </si>
  <si>
    <t>6603803</t>
  </si>
  <si>
    <t>49</t>
  </si>
  <si>
    <t>นพอ.ศิริพร คล้ายแก้ว</t>
  </si>
  <si>
    <t>อาสาทาสีโรงเรียน แจกขนมเด็กๆ</t>
  </si>
  <si>
    <t>โรงเรียนวัดโสดาประดิษฐาราม</t>
  </si>
  <si>
    <t>นายอนุพงศ์ เลี้ยงมณีกุล</t>
  </si>
  <si>
    <t>https://lh5.googleusercontent.com/d/1DKHHxrBQo8FNoZIAs7VsT_0Sk8HbLW-p</t>
  </si>
  <si>
    <t>https://drive.google.com/file/d/150jVdL-SHjfTYHLJyf_kZkJcrFMFB1F1/view?usp=drivesdk</t>
  </si>
  <si>
    <t>6603799</t>
  </si>
  <si>
    <t>45</t>
  </si>
  <si>
    <t>นพอ.วรัญญา สุวรรณ</t>
  </si>
  <si>
    <t>โครงการบริการวิชาการแก่สังคม</t>
  </si>
  <si>
    <t>ชุมชมวัดเกาะ</t>
  </si>
  <si>
    <t>https://lh5.googleusercontent.com/d/1ddq8J0_sdKoIJBR6ZoU9PbESIcBILigB</t>
  </si>
  <si>
    <t>https://drive.google.com/file/d/1qECn-RVjUAzWDQtBn9WnIJAF72If2FoL/view?usp=drivesdk</t>
  </si>
  <si>
    <t>6603796</t>
  </si>
  <si>
    <t>42</t>
  </si>
  <si>
    <t>นพอ.พิมพ์พิศา ไพศาลมรกต</t>
  </si>
  <si>
    <t>https://lh5.googleusercontent.com/d/14QtkMfuyTVggS2EIhZCZt7OAo-50ujz0</t>
  </si>
  <si>
    <t>https://drive.google.com/file/d/1IDVHbYMv2KErtfPzLAqnRfG9CV55sb4F/view?usp=drivesdk</t>
  </si>
  <si>
    <t>กิจกรรมแสดงความจงรักภักดีต่อสถาบันพระมหากษัตริย์</t>
  </si>
  <si>
    <t>ลงนามถวายพระพรสมเด็จพระบรมราชินีพันปีหลวง</t>
  </si>
  <si>
    <t>-</t>
  </si>
  <si>
    <t>1000-1100</t>
  </si>
  <si>
    <t>https://lh5.googleusercontent.com/d/1BSnjn8Vt-GmyMnfIu8Oq6LsTmxRyupC8</t>
  </si>
  <si>
    <t>https://drive.google.com/file/d/1TNgLrm6sUcUep4gtzNTeaMEmqP-I_nZo/view?usp=drivesdk</t>
  </si>
  <si>
    <t>พิธีไหว้ครูดนตรีไทย 10 สถาบัน</t>
  </si>
  <si>
    <t>โรงเรียนนายร้อยตำรวจ</t>
  </si>
  <si>
    <t>น.ท.หญิง อนุกูล บำรุงวงศ์</t>
  </si>
  <si>
    <t>https://lh5.googleusercontent.com/d/1M7u69DwSkgjrnIt3TndnbHrB8_K8KnxA</t>
  </si>
  <si>
    <t>https://drive.google.com/file/d/16LOnIQKj_9YzvOonv_zNi5s4g9cbJLHI/view?usp=drivesdk</t>
  </si>
  <si>
    <t>https://lh5.googleusercontent.com/d/1Q3f3aAhe6K0uG1NQ00DdxBqDddImTYNZ</t>
  </si>
  <si>
    <t>https://drive.google.com/file/d/1LxVDJIG7Us07hTqa4GW8NC-2g-Adz44c/view?usp=drivesdk</t>
  </si>
  <si>
    <t>ลงนามถวายอาลัย สมเด็จพระนางเจ้าสิริกิติ์ พระบรมราชินีนาถ พระบรมราชชนนีพันปีหลวง</t>
  </si>
  <si>
    <t>โรงพยาบาลภูมิพลอดุลเดช</t>
  </si>
  <si>
    <t>https://lh5.googleusercontent.com/d/1Y3sF8ukzHgtEnN33EPcdnIpp43WKGoHK</t>
  </si>
  <si>
    <t>https://drive.google.com/file/d/1Zx0QXHk_b7nqt2NwHTeRE27RIf4nF3DX/view?usp=drivesdk</t>
  </si>
  <si>
    <t>6703875</t>
  </si>
  <si>
    <t>นพอ.สิริณัฏฐ์ บรรจงพินิจ</t>
  </si>
  <si>
    <t>https://lh5.googleusercontent.com/d/1_6Bjxgc4hL7jt53-UUGGFbdYDsk6Q21d</t>
  </si>
  <si>
    <t>https://drive.google.com/file/d/10UlmbKAU7D19shN0UaKPRHmV-8FdL3H0/view?usp=drivesdk</t>
  </si>
  <si>
    <t>คอนเสิร์ตทัพฟ้าคู่ไทยเพื่อ“ชัยพัฒนา”ครั้งที่ 16</t>
  </si>
  <si>
    <t>https://lh5.googleusercontent.com/d/1jxKO4M_8Ms80cwimnyLYCXSM7Cd5yv_2</t>
  </si>
  <si>
    <t>https://drive.google.com/file/d/1P5owHvtg1OzClq1lYRpja1py4xfYbmE5/view?usp=drivesdk</t>
  </si>
  <si>
    <t>6603804</t>
  </si>
  <si>
    <t>50</t>
  </si>
  <si>
    <t>นพอ.ศิริวรรณ บริบูรณ์</t>
  </si>
  <si>
    <t>https://lh5.googleusercontent.com/d/1zUKi9FtERLpuSNwIJmGP5qdwLI8tFADn</t>
  </si>
  <si>
    <t>https://drive.google.com/file/d/1Xizpk_W4wPPelKoC4Uf9Jzdo_VYktjNj/view?usp=drivesdk</t>
  </si>
  <si>
    <t>วันคล้ายวันสถาปนาวิทลัยพยาบาลทหารอากาศ</t>
  </si>
  <si>
    <t>น.ต.หญิง สมพงษ์ แก้วพรรณา</t>
  </si>
  <si>
    <t>https://lh5.googleusercontent.com/d/11UHDqAbCDtpwP_3KgPczjR-6tmDAEw6d</t>
  </si>
  <si>
    <t>https://drive.google.com/file/d/1Pt-LUb2-vDZZUqduPJ263eZdlu1adyQ9/view?usp=drivesdk</t>
  </si>
  <si>
    <t>คอนเสิร์ตทัพฟ้าคู่ไทยเพื่อชัยพัฒนา ครั้งที่ 16</t>
  </si>
  <si>
    <t>ศูนย์วัฒนาธรรมแห่งประเทศไทย</t>
  </si>
  <si>
    <t>https://lh5.googleusercontent.com/d/1pWI9k-tGBaAHoY56QeAr99Dd9ma1nIZT</t>
  </si>
  <si>
    <t>https://drive.google.com/file/d/124MIxNex8YB_gBeDxdhIOHA6dMKI-QM1/view?usp=drivesdk</t>
  </si>
  <si>
    <t>https://lh5.googleusercontent.com/d/1vFhUvSj7Aj3k7OdjRZu2Sh5sc6uIiUqc</t>
  </si>
  <si>
    <t>https://drive.google.com/file/d/1DWPC_JE4fmj_3B77TC_tfpxiNIyNm_Il/view?usp=drivesdk</t>
  </si>
  <si>
    <t>6603084</t>
  </si>
  <si>
    <t>บริจาคเลือด</t>
  </si>
  <si>
    <t>รพ.ภูมิพลอดุลยเดช</t>
  </si>
  <si>
    <t>1100-1200</t>
  </si>
  <si>
    <t>ร.ต.เรวัช วัชรสิทธิ์</t>
  </si>
  <si>
    <t>https://lh5.googleusercontent.com/d/1_z9S5kepj8ioXZpvU-4d544Murtl3FZa</t>
  </si>
  <si>
    <t>https://drive.google.com/file/d/1f-L8ACPVOqRG64LYgnjD1ntDDzPWT0kO/view?usp=drivesdk</t>
  </si>
  <si>
    <t>น.ตหญิง ตวงทิพย์  ลดาวัลย์</t>
  </si>
  <si>
    <t>https://lh5.googleusercontent.com/d/1RvbJpn6e3wdSf---WTqJLPRFNG4Co_wO</t>
  </si>
  <si>
    <t>https://drive.google.com/file/d/1XEURbV189ZEnLbjheR1dfgofOtlOw6xH/view?usp=drivesdk</t>
  </si>
  <si>
    <t>พิธีรับเสด็จรับปริญญา ม.มหิดล นพอ.รุ่น 64</t>
  </si>
  <si>
    <t>มหาลัยมหิดล</t>
  </si>
  <si>
    <t>น.ทำ.หญิง สุพัตรา ปิ่นแก้ว</t>
  </si>
  <si>
    <t>https://lh5.googleusercontent.com/d/1336tW5bmzwYzxNNvMP4lwVheU8n91fEJ</t>
  </si>
  <si>
    <t>https://drive.google.com/file/d/1ayfB6OsipmVdJm0bnbqY0uGj6AKVceV3/view?usp=drivesdk</t>
  </si>
  <si>
    <t>กองบัญชาการกองทัพอากาศ</t>
  </si>
  <si>
    <t>https://lh5.googleusercontent.com/d/12p33K5ine2GuxqWLMuC-MNVWtueug_a7</t>
  </si>
  <si>
    <t>https://drive.google.com/file/d/1Y1mo4XglJl5NusUAQRkrybWVaIAY2PjI/view?usp=drivesdk</t>
  </si>
  <si>
    <t>https://lh5.googleusercontent.com/d/1VHYosnsqewod1845-ypEo1Yv7DlWHFgG</t>
  </si>
  <si>
    <t>https://drive.google.com/file/d/1bnysBCGV4e1xSDXT0JXQcGQ_JUhXKnVn/view?usp=drivesdk</t>
  </si>
  <si>
    <t>https://lh5.googleusercontent.com/d/1JcObjO7cCvaXXhe7cEvrHj6wEECNQSX2</t>
  </si>
  <si>
    <t>https://drive.google.com/file/d/1Hi7HrmmbkW9swminfonNE2nmlB8k16OO/view?usp=drivesdk</t>
  </si>
  <si>
    <t>https://lh5.googleusercontent.com/d/1YV16oS-jvU3k-8eSPD_6WsXae0xlxmap</t>
  </si>
  <si>
    <t>https://drive.google.com/file/d/1CaSd0Qal2dDxXB8xtf4D3CKEvOFa9LBN/view?usp=drivesdk</t>
  </si>
  <si>
    <t>6803829</t>
  </si>
  <si>
    <t>12</t>
  </si>
  <si>
    <t>นพอ.ชัญญาพัฒน์ ทัศนวิภาส</t>
  </si>
  <si>
    <t>https://lh5.googleusercontent.com/d/1_3aqcPVeinqjAVCsNfB3zIqHXP8qZ4Hl</t>
  </si>
  <si>
    <t>https://drive.google.com/file/d/1l-0HXBZxwxCQ4s65WojWTkLoFWwKqdKm/view?usp=drivesdk</t>
  </si>
  <si>
    <t>6603815</t>
  </si>
  <si>
    <t>61</t>
  </si>
  <si>
    <t>นพอ.อภิรชา คำเจริญ</t>
  </si>
  <si>
    <t>รับเสด็จ</t>
  </si>
  <si>
    <t>มหาวิทยาลัยมหิดลศาลายา</t>
  </si>
  <si>
    <t>https://lh5.googleusercontent.com/d/1CUiD0X6GEsTIo7gJvzdm1KcZOU5pofe9</t>
  </si>
  <si>
    <t>https://drive.google.com/file/d/1kMRpD1IhfKuXqkye_LoC4zZ0ZA9Y8s84/view?usp=drivesdk</t>
  </si>
  <si>
    <t>อาสาทาสีรร. แจกขนมน้องๆ</t>
  </si>
  <si>
    <t>โรงเรียนวัดโสดาประดิษฐาราม จ.ราชบุรี</t>
  </si>
  <si>
    <t>https://lh5.googleusercontent.com/d/1FjBdBW79qIKDG1JtIfTDkY6QmaEQqVK_</t>
  </si>
  <si>
    <t>https://drive.google.com/file/d/1Rml9Wa-DXmwLnJFnTEs6mROQYYpwCeN4/view?usp=drivesdk</t>
  </si>
  <si>
    <t>ชุมชุนวัดเกาะ</t>
  </si>
  <si>
    <t>https://lh5.googleusercontent.com/d/1nvLufvUdlt2EOdrR5vKZbpcIXyzq9lME</t>
  </si>
  <si>
    <t>https://drive.google.com/file/d/1v-x1UgnQSvkRpYTHe22ve_6be0CQUqW5/view?usp=drivesdk</t>
  </si>
  <si>
    <t>เสาร์ประทีบ</t>
  </si>
  <si>
    <t>โรงเรียนนายร้อยพระจุลจอมเกล้า จ.นครนายก</t>
  </si>
  <si>
    <t>0700-1200</t>
  </si>
  <si>
    <t>https://lh5.googleusercontent.com/d/1F0F7migIHa3IgbPoTCw8AOJk2-k2B6L6</t>
  </si>
  <si>
    <t>https://drive.google.com/file/d/1jADGy8uuIJyqiOJYLEg44I0qDGLTewYM/view?usp=drivesdk</t>
  </si>
  <si>
    <t>หอประชุมใหญ่ ศูนย์วัฒนธรรมแห่งประเทศไทย</t>
  </si>
  <si>
    <t>https://lh5.googleusercontent.com/d/1cJssCxZDnpZQxnVk1YGiSCoS9wzXdO_k</t>
  </si>
  <si>
    <t>https://drive.google.com/file/d/1YYOeJxIG3vQohduX8OYJiE4hjReKJKOw/view?usp=drivesdk</t>
  </si>
  <si>
    <t>หอประชุมใหญ่ ศูนย์วัฒนธรรมแห่งชาติ</t>
  </si>
  <si>
    <t>https://lh5.googleusercontent.com/d/18X_mufC9nDlWS1MYw9pjjwQ1tiAtmtiP</t>
  </si>
  <si>
    <t>https://drive.google.com/file/d/1cC98N0qr9KZguE79FuFDDjax-iurz12-/view?usp=drivesdk</t>
  </si>
  <si>
    <t>พิธีเปิดการแข่งขันกีใาประเพณีโรงเรียนทหาร-ตำรวจ ครั้งที่ 59</t>
  </si>
  <si>
    <t>โรงเรียนนายเรืออากาศนวมินทรกษัตริยาธิราช</t>
  </si>
  <si>
    <t>1200-1800</t>
  </si>
  <si>
    <t>https://lh5.googleusercontent.com/d/1Ojba8bshx1gNPXW1-C9-HUh8_md7_RCP</t>
  </si>
  <si>
    <t>https://drive.google.com/file/d/1FtdYhnrUVWkIa0ITDozITLQf3GVwtZGi/view?usp=drivesdk</t>
  </si>
  <si>
    <t>พิธีปิดการแข่งขันกีฬาประเพณีโรงเรียนทหาร-ตำรวจ ครั้งที่ 59</t>
  </si>
  <si>
    <t>โรงเรียนนายเรืออากาศนวมิทกษัตริยาธิราช</t>
  </si>
  <si>
    <t>https://lh5.googleusercontent.com/d/19PComQvop0HWazjI0YG08PFQVzAptlBR</t>
  </si>
  <si>
    <t>https://drive.google.com/file/d/1AYIq8KZGlRLfz4khxurDaatjBVFicLiz/view?usp=drivesdk</t>
  </si>
  <si>
    <t>ซ้อมดนตรไทย งานไหว้ครูดนตรีไทย 10 สถาบัน</t>
  </si>
  <si>
    <t>1800-2000</t>
  </si>
  <si>
    <t>https://lh5.googleusercontent.com/d/1eGxCzu-kkA4Gv5ZC4S4YA6y8epF55ok4</t>
  </si>
  <si>
    <t>https://drive.google.com/file/d/1xhS2--XSAtH-7BzoaWXFK0yeIXBVmQ-m/view?usp=drivesdk</t>
  </si>
  <si>
    <t>https://lh5.googleusercontent.com/d/1QWyRrLbhV7MmlOIGM0FLlWDPeHpKVAEB</t>
  </si>
  <si>
    <t>https://drive.google.com/file/d/15YPef-9-9TiOe5g8fRzOXJJSaiJi_oT7/view?usp=drivesdk</t>
  </si>
  <si>
    <t>https://lh5.googleusercontent.com/d/1VYrQggmWAwNjiBhnTdienE8WJFx9XXPQ</t>
  </si>
  <si>
    <t>https://drive.google.com/file/d/136FQVpyfA-DTBXUKJ3f63JEbjVPkPU1T/view?usp=drivesdk</t>
  </si>
  <si>
    <t>ค่ายเยาวชนพัฒนา ครั้งที่ 212</t>
  </si>
  <si>
    <t>โรงเรียนเทศบาล 1 สถาวร จ.ชลบุรี</t>
  </si>
  <si>
    <t>1700-2300</t>
  </si>
  <si>
    <t>https://lh5.googleusercontent.com/d/1uV4tWQn7yn7LmmkoFNA36zkpvL6OeSFL</t>
  </si>
  <si>
    <t>https://drive.google.com/file/d/1AbfWv-yW2shyRksksaP5l4nh7efJsYBE/view?usp=drivesdk</t>
  </si>
  <si>
    <t>ค่ายเยาวชนพัมนา ครั้งที่ 212</t>
  </si>
  <si>
    <t>https://lh5.googleusercontent.com/d/1TN6K1_XYHUd98jRjP_JhEa_A8iaZsURE</t>
  </si>
  <si>
    <t>https://drive.google.com/file/d/1zj9bjURn8JhLMzOp1CQ_nrtnW4fCGlm6/view?usp=drivesdk</t>
  </si>
  <si>
    <t>โรงเรียนเทศบาล 1 สถาวร</t>
  </si>
  <si>
    <t>https://lh5.googleusercontent.com/d/1zkFsSiySfXhJHAXLTFMLP4CQalXNmK6p</t>
  </si>
  <si>
    <t>https://drive.google.com/file/d/1N9ylHNIUON31jBOs_D65Jcc6-T0N1AR8/view?usp=drivesdk</t>
  </si>
  <si>
    <t>ลงนามถวายอาลัย</t>
  </si>
  <si>
    <t>รพ.ภูมิพลฯ</t>
  </si>
  <si>
    <t>https://lh5.googleusercontent.com/d/11zT66xuvQ9a7_GsEGW-ENiaGTkqPk2Gt</t>
  </si>
  <si>
    <t>https://drive.google.com/file/d/1DhN7pEhH-YVw6cnnt5INjdUHLmyVNbpj/view?usp=drivesdk</t>
  </si>
  <si>
    <t>น.ต.ขวัญชนกพ่วงนาคพันธุ์</t>
  </si>
  <si>
    <t>https://lh5.googleusercontent.com/d/1jl9sgoYDDnJSjSTZvSBWXXr3RL2st578</t>
  </si>
  <si>
    <t>https://drive.google.com/file/d/109SL04-w6uYuzaguYV1oTsW7Q0jWJgQL/view?usp=drivesdk</t>
  </si>
  <si>
    <t>เล่นดุริยางค์ตอนเช้า</t>
  </si>
  <si>
    <t>https://lh5.googleusercontent.com/d/1qaUmt0VVBSLlFe29SUjiNBoKtlIc1Zzd</t>
  </si>
  <si>
    <t>https://drive.google.com/file/d/1plkBc6vQgD6Zmeax1rQ4DcmBJ09OS3bP/view?usp=drivesdk</t>
  </si>
  <si>
    <t>6603789</t>
  </si>
  <si>
    <t>35</t>
  </si>
  <si>
    <t>นพอ.ปานรัศมี  ทองไทย</t>
  </si>
  <si>
    <t>ร.อ.หญิง อนุชิต ทำจะดี</t>
  </si>
  <si>
    <t>https://lh5.googleusercontent.com/d/1UML06C6Vcdx8gBGlXMV3UBi57XTdPFQL</t>
  </si>
  <si>
    <t>https://drive.google.com/file/d/1EUqq_1xpYpk_0XJMfM4OjM1dwou_kYDS/view?usp=drivesdk</t>
  </si>
  <si>
    <t>นพอ.ปานรัศมี ทองไทย</t>
  </si>
  <si>
    <t>ร.อ. อนุชิต ทำจะดี</t>
  </si>
  <si>
    <t>https://lh5.googleusercontent.com/d/1jAT29FhnY14PJyHRlLwxWTRwA5evp2qf</t>
  </si>
  <si>
    <t>https://drive.google.com/file/d/1Gvqk7d8LYbUi286vw7pDv_Itl8He06xO/view?usp=drivesdk</t>
  </si>
  <si>
    <t>https://lh5.googleusercontent.com/d/1_uGq34VKPxqt0M8jNkJG1MRr9bKO7i1e</t>
  </si>
  <si>
    <t>https://drive.google.com/file/d/1nLzg9Q1bI2RupfFXvmwfZjOo4Djo-69u/view?usp=drivesdk</t>
  </si>
  <si>
    <t>https://lh5.googleusercontent.com/d/1AaeBpypvU24m3gltm4pbmnPqPZ1dQJzl</t>
  </si>
  <si>
    <t>https://drive.google.com/file/d/1ExSs1QIsSlICeMzBFUh0PzNYTXHPIuaz/view?usp=drivesdk</t>
  </si>
  <si>
    <t>ค่ายเยาวชนพัฒนาเทศบาล1(จปร.)</t>
  </si>
  <si>
    <t>ร.ร.เทศบาล1(สถาวร) ชลบุรี</t>
  </si>
  <si>
    <t>https://lh5.googleusercontent.com/d/1wWNX7Oel1bdXyjgck56WtuIn_5qjJn7J</t>
  </si>
  <si>
    <t>https://drive.google.com/file/d/17gO40ap1HAENUDouM2XS4UiTHqvizxuY/view?usp=drivesdk</t>
  </si>
  <si>
    <t>https://lh5.googleusercontent.com/d/1okrU9O2ubnMnQVGUvOJLVO14F5DVnl3b</t>
  </si>
  <si>
    <t>https://drive.google.com/file/d/1BflgMVIfuiNXV5xEe064StvUJYE3l3FO/view?usp=drivesdk</t>
  </si>
  <si>
    <t>https://lh5.googleusercontent.com/d/1vhVsHdoyysVnbkeJT2I6r9OTp0aDH_an</t>
  </si>
  <si>
    <t>https://drive.google.com/file/d/1CUywAc1Vzwmj_JfdEHDcT7ymTfcLE3vQ/view?usp=drivesdk</t>
  </si>
  <si>
    <t>6503702</t>
  </si>
  <si>
    <t>13</t>
  </si>
  <si>
    <t>นพอ.ชนิสรา น้อยสอาด</t>
  </si>
  <si>
    <t>https://lh5.googleusercontent.com/d/1fx4zsSNCAzm8VfjGTLewtr4hDhyJ-WcQ</t>
  </si>
  <si>
    <t>https://drive.google.com/file/d/1CQP0XWapS7xgYspilB9WeHE9mAuekPGg/view?usp=drivesdk</t>
  </si>
  <si>
    <t>6503750</t>
  </si>
  <si>
    <t>60</t>
  </si>
  <si>
    <t>นพอ.สุภัชสรา เชิดพุดซา</t>
  </si>
  <si>
    <t>https://lh5.googleusercontent.com/d/177Ba2GL5Xi5Fem0e3M_w5UO0CCP78-md</t>
  </si>
  <si>
    <t>https://drive.google.com/file/d/1WelBYih3HqZnFkxS72Reg1E4snXo2VSe/view?usp=drivesdk</t>
  </si>
  <si>
    <t>ทำกระทงกับชาวบ้าน</t>
  </si>
  <si>
    <t>https://lh5.googleusercontent.com/d/1RiBH11HFViEVTBh6b5lSGaLS4D3BpnYP</t>
  </si>
  <si>
    <t>https://drive.google.com/file/d/1m9HZ3dpmpoET8021HZ6rFjF6KJCDdC_Y/view?usp=drivesdk</t>
  </si>
  <si>
    <t xml:space="preserve">เต้นแอโรบิคร่วมกับชมรมผู้สูงอายุสานสัมพันธ์ชาวหนามแดง </t>
  </si>
  <si>
    <t>1700-1900</t>
  </si>
  <si>
    <t>https://lh5.googleusercontent.com/d/1bojFpA2uM6kyGbS7x0I9ERPfmL933h8m</t>
  </si>
  <si>
    <t>https://drive.google.com/file/d/18wpz2VYyha_ze9lM8KgisK4sHqhWMvig/view?usp=drivesdk</t>
  </si>
  <si>
    <t>https://lh5.googleusercontent.com/d/16c6FAbF2WOWwRJbispsad6BzbrN26sJD</t>
  </si>
  <si>
    <t>https://drive.google.com/file/d/1b0jay_hlIsgGyXXFX0Gf2BGol4MT3byT/view?usp=drivesdk</t>
  </si>
  <si>
    <t>เฝ้าระวังและคัดกรองโรคเบาหวาน ความดันโลหิตสูง</t>
  </si>
  <si>
    <t>วัดสุวรรณาราม</t>
  </si>
  <si>
    <t>0800 - 1300</t>
  </si>
  <si>
    <t>คุณเกสร เจริญสิทธิสงค์</t>
  </si>
  <si>
    <t>https://lh5.googleusercontent.com/d/1y85emSdEdm37m6s7mEWB-wMszWbOqtV9</t>
  </si>
  <si>
    <t>https://drive.google.com/file/d/1CC5AI6CjTmHhZ7EmQVmn2cZB-pBmPwPM/view?usp=drivesdk</t>
  </si>
  <si>
    <t>เฝ้าระวังและคัดกรองโรคเบาหวานความดันโลหิตสูง</t>
  </si>
  <si>
    <t>https://lh5.googleusercontent.com/d/1LQxtQxrL9YqKf83UP6mtA-PoY4RgbGq9</t>
  </si>
  <si>
    <t>https://drive.google.com/file/d/1IEj7-LXZS8f04Q9EtQBAVWvK8NVx1NUb/view?usp=drivesdk</t>
  </si>
  <si>
    <t>https://lh5.googleusercontent.com/d/1m22vKpeJUN1DWJlEClKg1Ghg0P4A_5co</t>
  </si>
  <si>
    <t>https://drive.google.com/file/d/1pkncT8jj-5B3fv2Vl2l4uebWM5EIkpVe/view?usp=drivesdk</t>
  </si>
  <si>
    <t>ทอดกฐินวัดขวัญสะอาด</t>
  </si>
  <si>
    <t>วัดขวัญสะอาด</t>
  </si>
  <si>
    <t>https://lh5.googleusercontent.com/d/114aW79Z5QeW9OaUcZqqnrd6F2jY-iBoX</t>
  </si>
  <si>
    <t>https://drive.google.com/file/d/1wNq7fYH-c_yI8txioxErtGBVnfJsvJ25/view?usp=drivesdk</t>
  </si>
  <si>
    <t>0800 - 1200</t>
  </si>
  <si>
    <t>https://lh5.googleusercontent.com/d/1EoyCgCDaVfW5OfqPf7YD8iD7R8a6VklJ</t>
  </si>
  <si>
    <t>https://drive.google.com/file/d/1WsleQKB-_VYoslHqTd-uP3FfP9vnvKth/view?usp=drivesdk</t>
  </si>
  <si>
    <t>ทอดกฐินวัดหนามแดง</t>
  </si>
  <si>
    <t>https://lh5.googleusercontent.com/d/1UNCWmLiFOxUEI5nkrEy20CXe6FCKd9MA</t>
  </si>
  <si>
    <t>https://drive.google.com/file/d/14R2DhA0_SZMLsNkWdx_bxXQ-qzpFo8_V/view?usp=drivesdk</t>
  </si>
  <si>
    <t>ทอดกฐิน</t>
  </si>
  <si>
    <t>วัดคลองนา (วัดป่าชินรังสี)</t>
  </si>
  <si>
    <t>น.ส. ธนิดา หลักทอง</t>
  </si>
  <si>
    <t>https://lh5.googleusercontent.com/d/1ncbY_whOpcjuVhnixvx7fbISsGPTs3UY</t>
  </si>
  <si>
    <t>https://drive.google.com/file/d/1Svdl8e6hxlg16t-Wj-PsB02KijHNc2GL/view?usp=drivesdk</t>
  </si>
  <si>
    <t>https://lh5.googleusercontent.com/d/11n-63pMtHnBRzHCSwwZz4UtaICxjcu3O</t>
  </si>
  <si>
    <t>https://drive.google.com/file/d/1vwQwMRUsEP8HCga4pYf7y4FNRbniHC38/view?usp=drivesdk</t>
  </si>
  <si>
    <t xml:space="preserve">วันรักตันไม้ประจำปีของชาติ </t>
  </si>
  <si>
    <t>โรงพยาบาลส่งเสริมสุขภาพตำบลบางตีนเป็ด</t>
  </si>
  <si>
    <t>1300 - 1700</t>
  </si>
  <si>
    <t>https://lh5.googleusercontent.com/d/1qblfB5RlHHgpVaDUomRivPqcjM0j8CwT</t>
  </si>
  <si>
    <t>https://drive.google.com/file/d/14mJvR1EiOynG7I2yrGoTx1Gr5ynMnE_z/view?usp=drivesdk</t>
  </si>
  <si>
    <t>0600-1200</t>
  </si>
  <si>
    <t>https://lh5.googleusercontent.com/d/1_eDRifSgFc09P5vqPxm4OFuL_TSRliDl</t>
  </si>
  <si>
    <t>https://drive.google.com/file/d/1umPfpLoJ2VmOE-Kto3ToQvgyp97Fp_1z/view?usp=drivesdk</t>
  </si>
  <si>
    <t>แผนการซ้อมดับเพลิงและอพยพหนีไฟ ประจำปี 2568</t>
  </si>
  <si>
    <t>โรงเรียนสันติภาพ</t>
  </si>
  <si>
    <t>https://lh5.googleusercontent.com/d/11vcaFvIQJockRUGj4K6I4y9kROilGaA3</t>
  </si>
  <si>
    <t>https://drive.google.com/file/d/1n0a-2cXSyEMPaYPJqJVkta_HhDewHRbr/view?usp=drivesdk</t>
  </si>
  <si>
    <t>วันรักตันไม้ประจำปีของชาติ</t>
  </si>
  <si>
    <t>https://lh5.googleusercontent.com/d/1B6bQ7VvVlISvmb-nyvDmQ9i7hrYbvhwD</t>
  </si>
  <si>
    <t>https://drive.google.com/file/d/1zuO5B2MsJ0fnOziZ07O3KXI46vIsDOPU/view?usp=drivesdk</t>
  </si>
  <si>
    <t>https://lh5.googleusercontent.com/d/1i8GjX1wIV5OTMQCXNyP_Y3yn1pBEjhgF</t>
  </si>
  <si>
    <t>https://drive.google.com/file/d/1t1OGqYtGTMH3r7Ti77xn5O-9njdjGXwr/view?usp=drivesdk</t>
  </si>
  <si>
    <t>https://lh5.googleusercontent.com/d/16ei8ytaLqxaarAAHd0R1ENkb3Je2IRgf</t>
  </si>
  <si>
    <t>https://drive.google.com/file/d/1dls27RcfAO7y7v7h-PSXuZmnBu4s4jCv/view?usp=drivesdk</t>
  </si>
  <si>
    <t>Buddy นักเรียนพยาบาลเกาหลี</t>
  </si>
  <si>
    <t>2000-2400</t>
  </si>
  <si>
    <t>น.ต.หญิง ประไพศรี ศุภางค์ภร</t>
  </si>
  <si>
    <t>https://lh5.googleusercontent.com/d/1LwHG9PUpuT-fLGPfQ2h9T5cYu4777DCd</t>
  </si>
  <si>
    <t>https://drive.google.com/file/d/1QFPA4eXXqaeLGcZVSGIK7WbyribYazFG/view?usp=drivesdk</t>
  </si>
  <si>
    <t>1800-2200</t>
  </si>
  <si>
    <t>https://lh5.googleusercontent.com/d/1P3tSvwkWBPzhzHEXv54ehAc57bz-_AjC</t>
  </si>
  <si>
    <t>https://drive.google.com/file/d/1x5wKSkz--Wl6B4Q-lqp1uJ7QSmM19mLg/view?usp=drivesdk</t>
  </si>
  <si>
    <t>https://lh5.googleusercontent.com/d/1BFYKywVe2d-Pw78Gzi_7_YzuRbx3yMzy</t>
  </si>
  <si>
    <t>https://drive.google.com/file/d/1MS06RpbCH0emJKOVetoaqmcSL3l29tWj/view?usp=drivesdk</t>
  </si>
  <si>
    <t>https://lh5.googleusercontent.com/d/1tQ9OrDzA0nUXhkXw2FIYXSARvoBQ7RgR</t>
  </si>
  <si>
    <t>https://drive.google.com/file/d/1mY2PYgXMTmxBQDxzvTq6sxI_-FUz9A4x/view?usp=drivesdk</t>
  </si>
  <si>
    <t>นพอ.ศิริพรคล้ายแก้ว</t>
  </si>
  <si>
    <t>https://lh5.googleusercontent.com/d/1cL2StfC-kHXJyTw-5m4qN0loVH6fiGup</t>
  </si>
  <si>
    <t>https://drive.google.com/file/d/1758GxlKglsz81KnavSqck1dYKJeAPGm1/view?usp=drivesdk</t>
  </si>
  <si>
    <t>ซ้อนร้องประสานเสียงงานคอนเสิร์ตทัพฟ้ส</t>
  </si>
  <si>
    <t>https://lh5.googleusercontent.com/d/1qyyUtDZhtjq7WU11x0aXsZEbF96H61en</t>
  </si>
  <si>
    <t>https://drive.google.com/file/d/1t8IyX1nZlkYnjPDADxFvFzhhWObIJQED/view?usp=drivesdk</t>
  </si>
  <si>
    <t>https://lh5.googleusercontent.com/d/1CrPX3_R3Hgg-jUmvs2s6UEu-wRiawoPG</t>
  </si>
  <si>
    <t>https://drive.google.com/file/d/16VhCZjRWgPFzp85RixGLxVcVzcB68BbT/view?usp=drivesdk</t>
  </si>
  <si>
    <t>https://lh5.googleusercontent.com/d/1FVPEVdeGqDgxK7sokpVn6sIMZl4xhzCJ</t>
  </si>
  <si>
    <t>https://drive.google.com/file/d/1CMldJhc_f5z4-lt5QNe3OMrOGKekOeWh/view?usp=drivesdk</t>
  </si>
  <si>
    <t>ภาคบริการโลหิตแห่งชาติที่2 จังหวัดลพบุรี</t>
  </si>
  <si>
    <t>0900</t>
  </si>
  <si>
    <t>ร.อ.เกษม บรรจงพินิจ</t>
  </si>
  <si>
    <t>https://lh5.googleusercontent.com/d/1-xOZwXKQ31QN965YXgoKTM8YimxaoHRM</t>
  </si>
  <si>
    <t>https://drive.google.com/file/d/1wNTZNS04GI7ijk7S3Js8Xcse_WHH0t9h/view?usp=drivesdk</t>
  </si>
  <si>
    <t>https://lh5.googleusercontent.com/d/1U323yLfvOmA0_n30B56v92h6J00KGECD</t>
  </si>
  <si>
    <t>https://drive.google.com/file/d/1l2rttujZ9L0BFP8RTQdrIqoCATrsWq88/view?usp=drivesdk</t>
  </si>
  <si>
    <t>6603811</t>
  </si>
  <si>
    <t>57</t>
  </si>
  <si>
    <t>นพอ.สุภานัน ธรรมรักษา</t>
  </si>
  <si>
    <t>https://lh5.googleusercontent.com/d/1lrV2n1qCZNF1ZRIBsTZukfOdcdYmRBL9</t>
  </si>
  <si>
    <t>https://drive.google.com/file/d/1V4DA2JL9vn7G8lYh9fz-4GfDHJSBkw4b/view?usp=drivesdk</t>
  </si>
  <si>
    <t>https://lh5.googleusercontent.com/d/1cb6g3guQf4Kbh9z2ev72jYLZlJ32K-A5</t>
  </si>
  <si>
    <t>https://drive.google.com/file/d/1_FTKixmjo4lCSf1x-T6c7ipPiFwT4my7/view?usp=drivesdk</t>
  </si>
  <si>
    <t>นพอ.สุภานัน ธรรมรักษ</t>
  </si>
  <si>
    <t>https://lh5.googleusercontent.com/d/12dK96YxXZTGZ3Rzf8RnswqqUKeBgah1i</t>
  </si>
  <si>
    <t>https://drive.google.com/file/d/16IT_W4y53PYq4Jv8McQGOUeqvBeXoMd3/view?usp=drivesdk</t>
  </si>
  <si>
    <t>6503744</t>
  </si>
  <si>
    <t>54</t>
  </si>
  <si>
    <t>นพอ.ศศิประภา จันทร์กระจ่าง</t>
  </si>
  <si>
    <t>https://lh5.googleusercontent.com/d/1HaFzSV4qCwaAiS5y7-_k0cm80GJyeDyE</t>
  </si>
  <si>
    <t>https://drive.google.com/file/d/1rai2eU9J6LCbSUXFdk8nH4j7lbYKVpCJ/view?usp=drivesdk</t>
  </si>
  <si>
    <t>6603788</t>
  </si>
  <si>
    <t>34</t>
  </si>
  <si>
    <t>นพอ.ปาจีรนันท์ ปิงขุนทด</t>
  </si>
  <si>
    <t>รับน้อง SWD68</t>
  </si>
  <si>
    <t>0600-1100</t>
  </si>
  <si>
    <t>https://lh5.googleusercontent.com/d/1__CzxsoZkJcR-kZ2n2Qo5EQBmi-WvbcM</t>
  </si>
  <si>
    <t>https://drive.google.com/file/d/1qJTn6EqOGNOmt6Mg0Gcz8I8aA8RjIy8K/view?usp=drivesdk</t>
  </si>
  <si>
    <t>1200-1700</t>
  </si>
  <si>
    <t>https://lh5.googleusercontent.com/d/12KoTnUF9zZSRTw4WWriSRCD89gJ50O-V</t>
  </si>
  <si>
    <t>https://drive.google.com/file/d/1CdyiuzWzX8GnlvHO8Npzra2LGPIVTAp0/view?usp=drivesdk</t>
  </si>
  <si>
    <t>ถ่ายคลิปวิจัยสื่อการสอนเด็กตัวเหลือง</t>
  </si>
  <si>
    <t>1600-2000</t>
  </si>
  <si>
    <t>ร.ต.เรวัติ วัชรสิทธิ์</t>
  </si>
  <si>
    <t>https://lh5.googleusercontent.com/d/1IL1gREtQjWlAjNv1sA2EJtir3S-lT2jC</t>
  </si>
  <si>
    <t>https://drive.google.com/file/d/12I7mrFWgItHY0XAWxaIhiOlgxT45uhvq/view?usp=drivesdk</t>
  </si>
  <si>
    <t>ฟังสอนแม่ พี่นทน.</t>
  </si>
  <si>
    <t>0900-1200</t>
  </si>
  <si>
    <t>น.อ.หญิง ผศ. นิตยา สุขแสน</t>
  </si>
  <si>
    <t>https://lh5.googleusercontent.com/d/1xTBLxxWlRhGF2Z3Lonm0m7ay5H05o27E</t>
  </si>
  <si>
    <t>https://drive.google.com/file/d/1TgWqZwZh4Wn2Fjcu0lrEU3IZFN6ieun8/view?usp=drivesdk</t>
  </si>
  <si>
    <t>จัดงานเกษียณ</t>
  </si>
  <si>
    <t>1100-1400</t>
  </si>
  <si>
    <t>https://lh5.googleusercontent.com/d/1-2bqpXgi36iLyhj9icjM6F2YIkIIu-CP</t>
  </si>
  <si>
    <t>https://drive.google.com/file/d/1W2veplCbgnZ71YjgUXZAS2YV8_HSERl2/view?usp=drivesdk</t>
  </si>
  <si>
    <t>https://lh5.googleusercontent.com/d/1NZYkTLXhh3vlRyIVT3ViTHETeLKLpgnW</t>
  </si>
  <si>
    <t>https://drive.google.com/file/d/1kFuAEXzlJ0Zn7Gj-9w9amhwNbg7AdL5j/view?usp=drivesdk</t>
  </si>
  <si>
    <t xml:space="preserve">โครงการบริการวิชาการแก่สังคม </t>
  </si>
  <si>
    <t>https://lh5.googleusercontent.com/d/1uK83acQpmj_ei1X-z8qV44KVeLwN0pOT</t>
  </si>
  <si>
    <t>https://drive.google.com/file/d/1YxB6ANLVzrTVqXgBZ3Q8hOZTvL73Z6vR/view?usp=drivesdk</t>
  </si>
  <si>
    <t xml:space="preserve">Buddy KAFNA </t>
  </si>
  <si>
    <t>https://lh5.googleusercontent.com/d/1Pw96L52X_rsE8C4oaW7_PGFfsrTX5mhK</t>
  </si>
  <si>
    <t>https://drive.google.com/file/d/1hXrc_5JPOdllBT0WfbbWSy3rgIUtq9FM/view?usp=drivesdk</t>
  </si>
  <si>
    <t>https://lh5.googleusercontent.com/d/1CzJ7AqhU1V9uH13XkOsuyX1nFAumNiYQ</t>
  </si>
  <si>
    <t>https://drive.google.com/file/d/1bIzoQL5FzRCJxHeXY5abG6FBUchMxfeA/view?usp=drivesdk</t>
  </si>
  <si>
    <t xml:space="preserve">Buff KAFNA </t>
  </si>
  <si>
    <t>https://lh5.googleusercontent.com/d/1Xvzy1vzetGcso43FkA1obvfCqt9R_LrS</t>
  </si>
  <si>
    <t>https://drive.google.com/file/d/1Yps7taksV0mtRGx9AIjDnUoAqHthF87K/view?usp=drivesdk</t>
  </si>
  <si>
    <t>https://lh5.googleusercontent.com/d/1y9-eVMml1IthSqMWQAhwQYOHqZjT6m5H</t>
  </si>
  <si>
    <t>https://drive.google.com/file/d/1FpEn821yI7YdvkTf-6lWmcP3RNkQ25s1/view?usp=drivesdk</t>
  </si>
  <si>
    <t>https://lh5.googleusercontent.com/d/1WgmfLLnSvT7KnKaLQqMNMrm3566QhZUU</t>
  </si>
  <si>
    <t>https://drive.google.com/file/d/1WFN5hIw3JgqQ4ammFga4EaW5uflAVKoc/view?usp=drivesdk</t>
  </si>
  <si>
    <t>https://lh5.googleusercontent.com/d/17FLJCYVVFh8m1bQKgNKltlkJrlFu-11A</t>
  </si>
  <si>
    <t>https://drive.google.com/file/d/1enVTCdyfqTOtolpalTdTDeDZmXTeqMjs/view?usp=drivesdk</t>
  </si>
  <si>
    <t>https://lh5.googleusercontent.com/d/1sIFYxmf-LGBJN8-k5aT3swLTnmatPG_J</t>
  </si>
  <si>
    <t>https://drive.google.com/file/d/18NpDj9Iu0ivKQ0s01Hpv4J8o0n2dVR5U/view?usp=drivesdk</t>
  </si>
  <si>
    <t xml:space="preserve">ค่ายแพทย์อาสา หมอเดินดอย-อมก๋อย เดินเท้าเข้าหมู่บ้าน </t>
  </si>
  <si>
    <t>นาเกวียน อ.อมก๋อย จ.เชียงใหม่</t>
  </si>
  <si>
    <t>น.ส.สุนันทา คีรีรักษ์</t>
  </si>
  <si>
    <t>https://lh5.googleusercontent.com/d/1zM4fK3GT2SqS8YgRlJh1GMhz09iRx0E4</t>
  </si>
  <si>
    <t>https://drive.google.com/file/d/1fltoHuCyi8xWRgckVWAeT0MnyUb-Dhxt/view?usp=drivesdk</t>
  </si>
  <si>
    <t>https://lh5.googleusercontent.com/d/1XgpsxvnNkoHMicdqr_GWeMwRunGSnXQ_</t>
  </si>
  <si>
    <t>https://drive.google.com/file/d/1_TxGMZhNRmXAB9vjgao8SPuwTQphy7QI/view?usp=drivesdk</t>
  </si>
  <si>
    <t>กวาดลานวัด</t>
  </si>
  <si>
    <t>วัดพระศรีมหาธาตุวรมหาวิหาร</t>
  </si>
  <si>
    <t>1300-1500</t>
  </si>
  <si>
    <t>พระประจำวัดพระศรีมหาธาตุวรมหาวิหาร</t>
  </si>
  <si>
    <t>https://lh5.googleusercontent.com/d/1SpVdE8Uml6QlwA3j6cj5ZFMcNlr40Ghr</t>
  </si>
  <si>
    <t>https://drive.google.com/file/d/1fJyMWGXMBGuQfUwrUx0Zw_H0VGd6PK9_/view?usp=drivesdk</t>
  </si>
  <si>
    <t>6603787</t>
  </si>
  <si>
    <t>33</t>
  </si>
  <si>
    <t>นพอ.ปรียาภรณ์ ทองอำพันธ์</t>
  </si>
  <si>
    <t>โครงการบริการวิชาการแก่สังคมชุมชนวัดเกาะ</t>
  </si>
  <si>
    <t>https://lh5.googleusercontent.com/d/1HIUR9MnNKLZJi3FkKCfoo1HRxXWoMlWu</t>
  </si>
  <si>
    <t>https://drive.google.com/file/d/1h7sCz-DyvKeRwqUfbGF8LxYv736dkTvY/view?usp=drivesdk</t>
  </si>
  <si>
    <t>https://lh5.googleusercontent.com/d/1CmTOHms1shMOdRRpaHJUmaXkjtKhGBx4</t>
  </si>
  <si>
    <t>https://drive.google.com/file/d/1l8xW7Zh3lOaHg4grhx3jUFDGaqZF7h40/view?usp=drivesdk</t>
  </si>
  <si>
    <t>คอนเสิร์ตทัพฟ้าคู่ไทยเพื่อ“ชัยพัมนา”ครั้งที่ 16</t>
  </si>
  <si>
    <t>https://lh5.googleusercontent.com/d/1Hp3dJ4p3onz7RnPcAWxCMrVFQxgFovA5</t>
  </si>
  <si>
    <t>https://drive.google.com/file/d/14hNLjR03iuSk3unuSLEETzunbb3DPZq6/view?usp=drivesdk</t>
  </si>
  <si>
    <t>https://lh5.googleusercontent.com/d/1_GkTFWmESvn_c1NqOTHJPog4MavHnUcw</t>
  </si>
  <si>
    <t>https://drive.google.com/file/d/1IxxyEk0YZSzWLqw-8nZaAqax_EImpNyr/view?usp=drivesdk</t>
  </si>
  <si>
    <t>รับเสด็จฯเนื่องในงานรับปริญญา นพอ.64</t>
  </si>
  <si>
    <t>https://lh5.googleusercontent.com/d/1ogEMKhMQ_n8fRShn1a8AIl0puPeRGfyJ</t>
  </si>
  <si>
    <t>https://drive.google.com/file/d/1ekvmfvWcgYrqN8FyUWqkCkW1-lpiBcAI/view?usp=drivesdk</t>
  </si>
  <si>
    <t>รับน้อง นพอ. 68</t>
  </si>
  <si>
    <t>1500-1700</t>
  </si>
  <si>
    <t>น.ต.หญิง ขวัญชนก พ่วงนาคพันธ์</t>
  </si>
  <si>
    <t>https://lh5.googleusercontent.com/d/13BQrqoFCez8XXivE0ubLxxGFXAizkHV7</t>
  </si>
  <si>
    <t>https://drive.google.com/file/d/10KmywXfmZM_QOnLiIZ02bu496wZfL9aU/view?usp=drivesdk</t>
  </si>
  <si>
    <t>รับน้อง นพอ.68</t>
  </si>
  <si>
    <t>https://lh5.googleusercontent.com/d/1ego6DHU1CskZ52FnIJCiVuoitjQ-bmny</t>
  </si>
  <si>
    <t>https://drive.google.com/file/d/1MqJzn2S704WrIJX-uF8Kgj60-uDZSitI/view?usp=drivesdk</t>
  </si>
  <si>
    <t>ชั้นปีที่ 1</t>
  </si>
  <si>
    <t>6803933</t>
  </si>
  <si>
    <t>52</t>
  </si>
  <si>
    <t>นพอ.รศิตา ปลื้มจิตร์</t>
  </si>
  <si>
    <t>พยาบาลไทยบริจาคโลหิต ช่วยชีวิตเพื่อนมนุษย์ ปี 4</t>
  </si>
  <si>
    <t>สภากาชาด</t>
  </si>
  <si>
    <t>0800</t>
  </si>
  <si>
    <t>น.ท.หญิง อนุกูล</t>
  </si>
  <si>
    <t>https://lh5.googleusercontent.com/d/1s5WxtqPQg-n0PN25slNUjo4mKha3_1N-</t>
  </si>
  <si>
    <t>https://drive.google.com/file/d/1114MCL4Ukk6P7wQUm-AmaMlPqlMkOPdU/view?usp=drivesdk</t>
  </si>
  <si>
    <t>6803937</t>
  </si>
  <si>
    <t>นพอ.ศิริกานดา  แหลมไธสง</t>
  </si>
  <si>
    <t>"พยาบาลไทยบริจาคโลหิต ช่วยชิวิตเพื่อนมนุษย์ ปี4"</t>
  </si>
  <si>
    <t>ศูนย์บริจาคโลหิตสภากาชาดไทย</t>
  </si>
  <si>
    <t>น.ท.หญิง อนุกูล บำรุงวงค์</t>
  </si>
  <si>
    <t>https://lh5.googleusercontent.com/d/1wCujP2swHeSvMsDi7LtsLfDVax24DOK5</t>
  </si>
  <si>
    <t>https://drive.google.com/file/d/1SQ-NNmBq0-Sl8kKXyUX0HtTA3d5JIJmR/view?usp=drivesdk</t>
  </si>
  <si>
    <t>ทำการแทน นพอ.บังคับบัญชา ปี68</t>
  </si>
  <si>
    <t>https://lh5.googleusercontent.com/d/1xOtR0of6if6bYKYypy9e--DvjDPkmioq</t>
  </si>
  <si>
    <t>https://drive.google.com/file/d/1_I2oSzULgi8tWOhy3HF-ozCQ1VaiZt2G/view?usp=drivesdk</t>
  </si>
  <si>
    <t>6803927</t>
  </si>
  <si>
    <t>46</t>
  </si>
  <si>
    <t>นพอ.มณฑกาญจน์ กองจะริตร์</t>
  </si>
  <si>
    <t>https://lh5.googleusercontent.com/d/1ghxn_dY5GWvTQbtMwEV_NK9K2aVe1m1W</t>
  </si>
  <si>
    <t>https://drive.google.com/file/d/1uoHQRJnz2_WsMX8vF3R2MpsuKRfX3Pzt/view?usp=drivesdk</t>
  </si>
  <si>
    <t>6803940</t>
  </si>
  <si>
    <t>หฤทชนัน อุทกัง</t>
  </si>
  <si>
    <t>“พยาบาลไทยบริจาคบริจาคโลหิต ช่วยชีวิตเพื่อนมนุษย์ ปี4</t>
  </si>
  <si>
    <t>09.00</t>
  </si>
  <si>
    <t>https://lh5.googleusercontent.com/d/1LKHQqWlo7xUIS0pL-DSNYIUf-GXdCvRR</t>
  </si>
  <si>
    <t>https://drive.google.com/file/d/1sjN3f7_n5zKAGAPQf3-CzIjCdeK8SOWy/view?usp=drivesdk</t>
  </si>
  <si>
    <t>6803883</t>
  </si>
  <si>
    <t>นพอ.กรชนก หน่อทิม</t>
  </si>
  <si>
    <t>วัดคลองวาฬ พระอารามหลวง</t>
  </si>
  <si>
    <t>08.00 น.</t>
  </si>
  <si>
    <t>ร.อ.ปรีดา หน่อทิม</t>
  </si>
  <si>
    <t>https://lh5.googleusercontent.com/d/1xL_mDKPzIoMoD6qpfGKDgCA9oUZzt2KY</t>
  </si>
  <si>
    <t>https://drive.google.com/file/d/15krmNBAiIc7DCJt5vDqXjHA1D0PKyNMh/view?usp=drivesdk</t>
  </si>
  <si>
    <t>6803884</t>
  </si>
  <si>
    <t>3</t>
  </si>
  <si>
    <t>นพอ.กรองทอง กันฟัก</t>
  </si>
  <si>
    <t>แจกผ้าห่มแก่ผู้ยากไร้ในชุมชน</t>
  </si>
  <si>
    <t>ชุมชนศาลเจ้าพ่อหลวง จังหวัดพิจิตร</t>
  </si>
  <si>
    <t>12.00 น.</t>
  </si>
  <si>
    <t>น.ส.ชุติมา กันฟัก</t>
  </si>
  <si>
    <t>https://lh5.googleusercontent.com/d/1JwpHu2JsvgFXffmjF_JcKRmPEc2blcP2</t>
  </si>
  <si>
    <t>https://drive.google.com/file/d/1N5niKwpAzjDaHjwZHqoYn4DXj552msab/view?usp=drivesdk</t>
  </si>
  <si>
    <t>วัดเกาะหลัก</t>
  </si>
  <si>
    <t>07.30 น.</t>
  </si>
  <si>
    <t>https://lh5.googleusercontent.com/d/1KaWi3Rfkq9jXOICCoVUcvWGdUwMW1-pc</t>
  </si>
  <si>
    <t>https://drive.google.com/file/d/1QY6ilacERaUGqCl-f0pmjSsxbhU3iDvk/view?usp=drivesdk</t>
  </si>
  <si>
    <t>วัดท่าหลวง จังหวัดพิจิตร</t>
  </si>
  <si>
    <t>13.00 น.</t>
  </si>
  <si>
    <t>นางดาวรุ่ง กันฟัก</t>
  </si>
  <si>
    <t>https://lh5.googleusercontent.com/d/1pAkP3ui_gDFnFCMDAQaq6H15p51vewca</t>
  </si>
  <si>
    <t>https://drive.google.com/file/d/1COUxKLKMsyR23Jr98WqjjG-vX7H7rbAO/view?usp=drivesdk</t>
  </si>
  <si>
    <t>6803887</t>
  </si>
  <si>
    <t>6</t>
  </si>
  <si>
    <t>นพอ.กัญญวรา โกษาเสวียง</t>
  </si>
  <si>
    <t>รณรงค์“วันโลกรำลึกถึงผู้สูญเสียจากอุบัติเหตุทางถนน”</t>
  </si>
  <si>
    <t>ตึกสหประชาชาติ</t>
  </si>
  <si>
    <t>0600-0930</t>
  </si>
  <si>
    <t>https://lh5.googleusercontent.com/d/1ojuIDmz6bWA-59w4ZzBsEfwY2-GiBKiC</t>
  </si>
  <si>
    <t>https://drive.google.com/file/d/1XlLo1iZjIVsbPUPW4My5iFtAawi9s7qa/view?usp=drivesdk</t>
  </si>
  <si>
    <t>ล้างจาน</t>
  </si>
  <si>
    <t>บ้าน</t>
  </si>
  <si>
    <t>10.00 น.</t>
  </si>
  <si>
    <t>https://lh5.googleusercontent.com/d/1U00QC2X3gt-I-XaK_w_jevNrsOIsmTod</t>
  </si>
  <si>
    <t>https://drive.google.com/file/d/1tI96j9K7ShBAcmSeglGxT_h8sFIJrjF3/view?usp=drivesdk</t>
  </si>
  <si>
    <t>6803882</t>
  </si>
  <si>
    <t>1</t>
  </si>
  <si>
    <t>นพอ.กมลฉัตร ชาสุรีย์</t>
  </si>
  <si>
    <t>รณรงค์วันโลกรำลึกถึงผู้เสียชีวิตจากอุบัติเหตุทางถนน</t>
  </si>
  <si>
    <t>https://lh5.googleusercontent.com/d/1HRdh7G1R_TNZliakKMD6M4Q2xEXmQbUZ</t>
  </si>
  <si>
    <t>https://drive.google.com/file/d/19Sit6O7OwntoORvY_TxOnFoqvPlmft4y/view?usp=drivesdk</t>
  </si>
  <si>
    <t>ช่วยพ่อเตรียมเรือ</t>
  </si>
  <si>
    <t>16.00 น.</t>
  </si>
  <si>
    <t>https://lh5.googleusercontent.com/d/1R7sfRxlnbb6yDECEjvC1Sx-rVLJJB17g</t>
  </si>
  <si>
    <t>https://drive.google.com/file/d/1-RADgll9Z5-mEckj-qtGfhOd99Hr4B9p/view?usp=drivesdk</t>
  </si>
  <si>
    <t>15.00 น.</t>
  </si>
  <si>
    <t>https://lh5.googleusercontent.com/d/1lAcv86SmZbYbwHDEKhPo3Q9aTLGaDiwt</t>
  </si>
  <si>
    <t>https://drive.google.com/file/d/1nDT_tcxuWhyJlORmXIefQMJk0M2wDtX2/view?usp=drivesdk</t>
  </si>
  <si>
    <t>กวาดใบไม้</t>
  </si>
  <si>
    <t>17.00 น.</t>
  </si>
  <si>
    <t>นางวราพร หน่อทิม</t>
  </si>
  <si>
    <t>https://lh5.googleusercontent.com/d/1eM1H789h8228wTnywZ2MQn9JIyyRsOzJ</t>
  </si>
  <si>
    <t>https://drive.google.com/file/d/1Hb2zlSa2VfW3fwXRSt4wjCzXCOFIFDWC/view?usp=drivesdk</t>
  </si>
  <si>
    <t>6703870</t>
  </si>
  <si>
    <t>นพอ.วิมลสิริ สิงห์ธนะ</t>
  </si>
  <si>
    <t>https://lh5.googleusercontent.com/d/15i8DR6yKc8itZ9UMdE_LSJ0R8SI0wZbl</t>
  </si>
  <si>
    <t>https://drive.google.com/file/d/17NTMAELo9FQrKoINX4AO_yfz83HpfEft/view?usp=drivesdk</t>
  </si>
  <si>
    <t>กวาดบ้าน</t>
  </si>
  <si>
    <t>18.00 น.</t>
  </si>
  <si>
    <t>https://lh5.googleusercontent.com/d/1mU5EiMrG0BF7K9dpsyh8HnwtVSKvXWGW</t>
  </si>
  <si>
    <t>https://drive.google.com/file/d/13ZTzMLg6gT77C3T9-F5q6A7tapiVK7Lp/view?usp=drivesdk</t>
  </si>
  <si>
    <t>https://lh5.googleusercontent.com/d/1bAUsELwTXJzGgeA-3XNnNzCuQPJptps3</t>
  </si>
  <si>
    <t>https://drive.google.com/file/d/1VK_rLZgjaELde-gxAZU39vunAtfctSC6/view?usp=drivesdk</t>
  </si>
  <si>
    <t>เข้าร่วมการฝึกการรักษาทารกแรกเกิดที่มีภาวะตัวเหลืองด้วยการส่องไฟ</t>
  </si>
  <si>
    <t xml:space="preserve">ห้องเรียน นพอ.ชั้นปีที่1 </t>
  </si>
  <si>
    <t>1000-1800</t>
  </si>
  <si>
    <t>ร.ท.เรวัติ วัชรสิทธิ์</t>
  </si>
  <si>
    <t>https://lh5.googleusercontent.com/d/1eiTXyBY_tShmrKKZuhcWZiV1who-ohhn</t>
  </si>
  <si>
    <t>https://drive.google.com/file/d/1LSZymh4fJTnriYZ9TwHVPSk9gHhVcg0M/view?usp=drivesdk</t>
  </si>
  <si>
    <t>6803944</t>
  </si>
  <si>
    <t>นพอ.อริสา หฤทัยบริรักษ์</t>
  </si>
  <si>
    <t>โครงการส่งเสริมสุขภาพกาย จิตและสังคมผู้สูงอายุ</t>
  </si>
  <si>
    <t>องค์การบริหารส่วนตำบลศาลายา</t>
  </si>
  <si>
    <t>นายประเสริฐ อิ่มเอิบรัตน์</t>
  </si>
  <si>
    <t>https://lh5.googleusercontent.com/d/1Od-TEfkwnVRM1qhO9Cot-JNvmUvM8Y_d</t>
  </si>
  <si>
    <t>https://drive.google.com/file/d/1wRl_6xgZCzmr61eq_B_gDtAJ5mIj4KoQ/view?usp=drivesdk</t>
  </si>
  <si>
    <t>โครงการส่งเสริมสุขภาพ จิตและสังคมผู้สูงอายุ</t>
  </si>
  <si>
    <t>นางเพ็ญศรี สีสดใส</t>
  </si>
  <si>
    <t>https://lh5.googleusercontent.com/d/1WhoLv0TM3ANhqyFjL6O0XbX9rrj110Br</t>
  </si>
  <si>
    <t>https://drive.google.com/file/d/1GwDec_2-4Rp3lBOaHdXBwQ7matrf6gIL/view?usp=drivesdk</t>
  </si>
  <si>
    <t>6703845</t>
  </si>
  <si>
    <t>นพอ.นภันต์กร อินทรแก้ว</t>
  </si>
  <si>
    <t>https://lh5.googleusercontent.com/d/1l0b_6PTobj5qUfeZpTBWoPiCMcGrk7K7</t>
  </si>
  <si>
    <t>https://drive.google.com/file/d/1Gv_FKgQNt6DXF-EDTp13v8jYQnq4z6Qr/view?usp=drivesdk</t>
  </si>
  <si>
    <t>https://lh5.googleusercontent.com/d/1w5jQg4Nyatq3YP8IGaUC6SeVPbchbHqA</t>
  </si>
  <si>
    <t>https://drive.google.com/file/d/14E1pvAxCl3iopbID66BSfK3lh7kQmha-/view?usp=drivesdk</t>
  </si>
  <si>
    <t>6603794</t>
  </si>
  <si>
    <t>40</t>
  </si>
  <si>
    <t>นพอ.พิชามญชุ์ แก้วเมือง</t>
  </si>
  <si>
    <t>น.ต.หญิง ตวงทิพย์ ลดาวัล</t>
  </si>
  <si>
    <t>https://lh5.googleusercontent.com/d/1M6FN_lD7nXm86vPI2LDGkmMIVzBcgSS3</t>
  </si>
  <si>
    <t>https://drive.google.com/file/d/1ZU8yaAzWdYKDFlWBXc3vOldfdIGY712H/view?usp=drivesdk</t>
  </si>
  <si>
    <t>https://lh5.googleusercontent.com/d/1_JS8W0xqb0Q2x8iMkMRjnpfgdMv96cCp</t>
  </si>
  <si>
    <t>https://drive.google.com/file/d/14VCFI5iVr2fRcL1zPgtUtL5MMdirtBBK/view?usp=drivesdk</t>
  </si>
  <si>
    <t>https://lh5.googleusercontent.com/d/1vwoeNewFegKldQBP-jXZCjAXUzlf5-oz</t>
  </si>
  <si>
    <t>https://drive.google.com/file/d/1dKo1GCnsxAJjY3Yq2E3-YO6F_9w97R95/view?usp=drivesdk</t>
  </si>
  <si>
    <t>https://lh5.googleusercontent.com/d/1iPaGZQKJ0rC7BEDx-c1UN0Xm7ynzVVRk</t>
  </si>
  <si>
    <t>https://drive.google.com/file/d/11oCbIcQv4JcZ7OyRLM0t6ZRd72m5WZKc/view?usp=drivesdk</t>
  </si>
  <si>
    <t>6803896</t>
  </si>
  <si>
    <t>15</t>
  </si>
  <si>
    <t>ณัชปวีย์  เยาวภา</t>
  </si>
  <si>
    <t>เล่นดุริยางค์</t>
  </si>
  <si>
    <t>0700-0740</t>
  </si>
  <si>
    <t>https://lh5.googleusercontent.com/d/1ZY9HupRCUed7mPNoG_H20O26fEMRjaBM</t>
  </si>
  <si>
    <t>https://drive.google.com/file/d/1b_rOAkLyT1yPzIm4JHI5sZjJ6YdwiqFD/view?usp=drivesdk</t>
  </si>
  <si>
    <t>นพอ.ณัชปวีย์ เยาวภา</t>
  </si>
  <si>
    <t>https://lh5.googleusercontent.com/d/1yEr1pjzRbiLTEuj36oXMNg5QaTxA1hFi</t>
  </si>
  <si>
    <t>https://drive.google.com/file/d/10d2n-SjYqsjI-WeG9jbVuXwXH1Kdth3P/view?usp=drivesdk</t>
  </si>
  <si>
    <t>6803907</t>
  </si>
  <si>
    <t>ธีราพร ประสิทธิภาพ</t>
  </si>
  <si>
    <t>Meet the youth hacker Thailand 2025</t>
  </si>
  <si>
    <t>อาคาร 15 กองบัญชาการกองทัพไทย</t>
  </si>
  <si>
    <t>07:00-16:30</t>
  </si>
  <si>
    <t>ร.อ. อนุชิต  ทำจะดี</t>
  </si>
  <si>
    <t>https://lh5.googleusercontent.com/d/1qlnzS8GE4XV9R_9leWQLQQAM-lR1drGp</t>
  </si>
  <si>
    <t>https://drive.google.com/file/d/1gQt3wdHcYOU3RjGMrj1-NmxYxEcUDmUr/view?usp=drivesdk</t>
  </si>
  <si>
    <t>ห้องเรียน นพอ.ชั้นปีที่1</t>
  </si>
  <si>
    <t>https://lh5.googleusercontent.com/d/17kvzUJpMklJsRB4Yut4Sk-ylXHRaTpi6</t>
  </si>
  <si>
    <t>https://drive.google.com/file/d/11-xuRsKv9dBB2GTNG5YkgBgBefBqWXvg/view?usp=drivesdk</t>
  </si>
  <si>
    <t>6703853</t>
  </si>
  <si>
    <t>นพอ.เปรมยุดา ศรีสุข</t>
  </si>
  <si>
    <t xml:space="preserve"> ซ้อมร้องประสานเสียงงานคอนเสิร์ตทัพฟ้า (ดุริยางค์ทหารอากาศ)</t>
  </si>
  <si>
    <t>https://lh5.googleusercontent.com/d/11UAV36c6haTZi96p_qVcFummNfvwPHJq</t>
  </si>
  <si>
    <t>https://drive.google.com/file/d/1Nco-qP6Kj2K0jkbaArg3rhzJgu6Y9vRy/view?usp=drivesdk</t>
  </si>
  <si>
    <t>6703835</t>
  </si>
  <si>
    <t>18</t>
  </si>
  <si>
    <t>นพอ.ณัฐณิชา พิทักษ์สันติ</t>
  </si>
  <si>
    <t>https://lh5.googleusercontent.com/d/1uNqc58zoutPauwHrzVVTIhhrAa0SxpKM</t>
  </si>
  <si>
    <t>https://drive.google.com/file/d/1a1PrnX2xasaL24lQ2i5-_15_4hjxv2qj/view?usp=drivesdk</t>
  </si>
  <si>
    <t>https://lh5.googleusercontent.com/d/1eFQ-7RhICLbRMoahXBkrZRQYCzw5yUBe</t>
  </si>
  <si>
    <t>https://drive.google.com/file/d/14Co082o2_xTVxJ7TtAjI7T5JhTz1TRju/view?usp=drivesdk</t>
  </si>
  <si>
    <t xml:space="preserve"> ช่วยเหลืองานภายใน วพอ.</t>
  </si>
  <si>
    <t>https://lh5.googleusercontent.com/d/1YFvb4HAqi0se-G3NZsMW8oos83wOJ02A</t>
  </si>
  <si>
    <t>https://drive.google.com/file/d/1Nz4g2eVenTCfZuE2MVQ79086bdK3AlYz/view?usp=drivesdk</t>
  </si>
  <si>
    <t>เข้าร่วมพิธีถวายพานพุ่มสักการะเนื่องในวันพยาบาลแห่งชาติ</t>
  </si>
  <si>
    <t>กระทรวงสาธารณสุข จังหวัดนนทบุรี</t>
  </si>
  <si>
    <t>0500-0700</t>
  </si>
  <si>
    <t>น.ต. ศักชัย บุญประสิทธิ์</t>
  </si>
  <si>
    <t>https://lh5.googleusercontent.com/d/1ZstqOJfX9PkZYJJoGQMM0fK46oPJISwF</t>
  </si>
  <si>
    <t>https://drive.google.com/file/d/1UKNEZvg-jNVCP4T7VjfwaeJuFSysFBYo/view?usp=drivesdk</t>
  </si>
  <si>
    <t>6703874</t>
  </si>
  <si>
    <t>นพอ.สรารัตน์ หาญจันทร์</t>
  </si>
  <si>
    <t xml:space="preserve">ซ้อมร้องประสานเสียงงานคอนเสิร์ตทัพฟ้า </t>
  </si>
  <si>
    <t>https://lh5.googleusercontent.com/d/1ehZH4b-AA8sF9Vsq4SdIV6GRKkSmgP6U</t>
  </si>
  <si>
    <t>https://drive.google.com/file/d/1T1DvGkRwCuxphxmjMMtDDTPeB4QO1Cbr/view?usp=drivesdk</t>
  </si>
  <si>
    <t>ห้องเรียน นพอ.ชั้นปีที่ 1</t>
  </si>
  <si>
    <t>https://lh5.googleusercontent.com/d/1Tc8ENbmb2ObkWAlEuwNzhwOYP3lwDSZC</t>
  </si>
  <si>
    <t>https://drive.google.com/file/d/1-kYbScVJ2ECKbwvwh2bFPv4c6u99y1rl/view?usp=drivesdk</t>
  </si>
  <si>
    <t>จัดห้องพักผ่อนนพอ.</t>
  </si>
  <si>
    <t>อาคารเรียน</t>
  </si>
  <si>
    <t>จ.อ.หญิง ปทิตตา สุขจิตเวชธาดา</t>
  </si>
  <si>
    <t>https://lh5.googleusercontent.com/d/1Tzl9W2v0R7r1512Z3RL7Ul_YurlAFkVr</t>
  </si>
  <si>
    <t>https://drive.google.com/file/d/1QyLbM3Xzdx3iX75TD5amJThpPIZ-E9HK/view?usp=drivesdk</t>
  </si>
  <si>
    <t>ห้องเรียนชั้นปีที่1</t>
  </si>
  <si>
    <t>https://lh5.googleusercontent.com/d/1ybh2wDJbNgFskXIqIuqzk1tkoGg8T7SY</t>
  </si>
  <si>
    <t>https://drive.google.com/file/d/1Z3Naoc44ufA86pEZcM2Xcf_ADv-JjbAn/view?usp=drivesdk</t>
  </si>
  <si>
    <t>6703849</t>
  </si>
  <si>
    <t>31</t>
  </si>
  <si>
    <t>นพอ.ปภาดา สุจิณณานนท์</t>
  </si>
  <si>
    <t>https://lh5.googleusercontent.com/d/1W1KjKgERilyOhmjCvTW5WXWzAriV9FV7</t>
  </si>
  <si>
    <t>https://drive.google.com/file/d/1WpoiCX0kE286Y72TyJHw3nAPE77lPYXA/view?usp=drivesdk</t>
  </si>
  <si>
    <t>เดินรณรงค์“วันโลกรำลึกถึงผู้สูญเสียจากอุบัติเหตุทางถนน”กับพลังโรทาแรค์</t>
  </si>
  <si>
    <t>เริ่มเดินขบวนจากศาลาว่าการกรุงเทพมหานครไปยังตึกสหประชาชาติ</t>
  </si>
  <si>
    <t>0600-1000</t>
  </si>
  <si>
    <t>https://lh5.googleusercontent.com/d/1eMZ9m29qWHq43t2dJb_syatkiVqq70Ad</t>
  </si>
  <si>
    <t>https://drive.google.com/file/d/1xE6rhesLCkQDb1gjBX9OmsDLXhbQ0DKR/view?usp=drivesdk</t>
  </si>
  <si>
    <t>ค่ายอบรมเยาวชนพัฒนา รร.โยธินบูรณะ</t>
  </si>
  <si>
    <t>รร.นายร้อยพระจุลจอมเกล้า จ.นครนายก</t>
  </si>
  <si>
    <t>1700-2100</t>
  </si>
  <si>
    <t>https://lh5.googleusercontent.com/d/1SRJxw67XZMfMCedAObvNgzdfN6hfi0kH</t>
  </si>
  <si>
    <t>https://drive.google.com/file/d/1m1nVBV1JnD08hHiHscjEUilyks-XEr_t/view?usp=drivesdk</t>
  </si>
  <si>
    <t>6703830</t>
  </si>
  <si>
    <t>นพอ.โชติกา กัลศักดิ์ปภา</t>
  </si>
  <si>
    <t>https://lh5.googleusercontent.com/d/1VXIxtvEs9X06yL7uoxWjBczxlEvpwPUx</t>
  </si>
  <si>
    <t>https://drive.google.com/file/d/1wOZCOaEKLumyXoUts7uyb5wM-J2e1F7R/view?usp=drivesdk</t>
  </si>
  <si>
    <t>https://lh5.googleusercontent.com/d/1sNDqUYfzzaF4Nt2DS0yRi17qzRbZa0Ma</t>
  </si>
  <si>
    <t>https://drive.google.com/file/d/1uCyuuBHHYfamg6yQ2NagRMZj_U4HoTkI/view?usp=drivesdk</t>
  </si>
  <si>
    <t>https://lh5.googleusercontent.com/d/1UoRPq1cidPbh9zWHjUrB9gvJBfek82WW</t>
  </si>
  <si>
    <t>https://drive.google.com/file/d/1nFC8DeSWQ2y8klhYgCcYGReXQIBAPilS/view?usp=drivesdk</t>
  </si>
  <si>
    <t>https://lh5.googleusercontent.com/d/1jw9duj5RsezNsaJV8cTvyojJuMsD-JCD</t>
  </si>
  <si>
    <t>https://drive.google.com/file/d/1R0gnrIePDwfsfBdWp7n1Y8CipWuyY3JI/view?usp=drivesdk</t>
  </si>
  <si>
    <t xml:space="preserve"> ซ้อมร้องประสานเสียงงานคอนเสิร์ตทัพฟ้า </t>
  </si>
  <si>
    <t>https://lh5.googleusercontent.com/d/1S8tYAavtLb0O1HkJxowho_oIZN_zo1g7</t>
  </si>
  <si>
    <t>https://drive.google.com/file/d/1KkIGK7XBKQqslYUtRNnADSC0weUTL4k0/view?usp=drivesdk</t>
  </si>
  <si>
    <t>https://lh5.googleusercontent.com/d/1LpjjGtLjmIPeMZRiof0kGsZ06w40RynL</t>
  </si>
  <si>
    <t>https://drive.google.com/file/d/1QpTgAmrNKqe8e7gE-_QNaenRFzXqHBU2/view?usp=drivesdk</t>
  </si>
  <si>
    <t>6703842</t>
  </si>
  <si>
    <t>นพอ.ธัญชนก ธนะกองแก้ว</t>
  </si>
  <si>
    <t>คอนเสิร์ตทัพฟ้าคู่ ไทยเพื่อ "ชัยพัฒนา" ครั้งที่ 16</t>
  </si>
  <si>
    <t xml:space="preserve"> ศูนย์วัฒนธรรมแห่ง ประเทศไทย</t>
  </si>
  <si>
    <t>https://lh5.googleusercontent.com/d/1eR0KcWMf-5_7POszNn61dSZF7tN_2Dwp</t>
  </si>
  <si>
    <t>https://drive.google.com/file/d/1gj2T1qSfHnxT4l58I5q9eS5sChkwBRjV/view?usp=drivesdk</t>
  </si>
  <si>
    <t>https://lh5.googleusercontent.com/d/1gSliQxxhFOJ73fzYMzp3FIgZlKSRCjle</t>
  </si>
  <si>
    <t>https://drive.google.com/file/d/15VgShAi78Aw2fDKP3U9mZYDAeZTrJNHt/view?usp=drivesdk</t>
  </si>
  <si>
    <t>https://lh5.googleusercontent.com/d/1VY-kJ3XU1xSO9A9NTFJDLnL-trEHkXF7</t>
  </si>
  <si>
    <t>https://drive.google.com/file/d/1DqRG6D3VbMRjtyQR59ncRQa9KTt_yfw-/view?usp=drivesdk</t>
  </si>
  <si>
    <t>https://lh5.googleusercontent.com/d/1FsmBGfWWBxCg_mhfYNFCRIwa_3G-RDOs</t>
  </si>
  <si>
    <t>https://drive.google.com/file/d/1QbvWryDe7XiIOvNf2t_ckIdQ77inrNTa/view?usp=drivesdk</t>
  </si>
  <si>
    <t>https://lh5.googleusercontent.com/d/11TU6lv94hZovJRiyHxK7moyp1J7SFJxM</t>
  </si>
  <si>
    <t>https://drive.google.com/file/d/1N0Uuup2cVnVsSiuYKfmWkafeNoYttgKU/view?usp=drivesdk</t>
  </si>
  <si>
    <t>https://lh5.googleusercontent.com/d/1OpBc9MTwTMg58thwbi2-saGbDtf9Qmbp</t>
  </si>
  <si>
    <t>https://drive.google.com/file/d/1_ZGGy13Wuhk7kTkhCx4v0Mwq9lcdic4t/view?usp=drivesdk</t>
  </si>
  <si>
    <t>https://lh5.googleusercontent.com/d/12gf30F7vxCC9iY6Xled3SRDv8_W7RyEp</t>
  </si>
  <si>
    <t>https://drive.google.com/file/d/10pnXjAnfREeVw0-be_AgwSd1hPyMs8ID/view?usp=drivesdk</t>
  </si>
  <si>
    <t>https://lh5.googleusercontent.com/d/15tpIlc1dAnh948a9gmZzm0WYGHK3BZpm</t>
  </si>
  <si>
    <t>https://drive.google.com/file/d/1bw7VKg9uFn-nnnlin9EPmCMok159MPsZ/view?usp=drivesdk</t>
  </si>
  <si>
    <t>ค่ายอบรมเยาวชนพัฒนา</t>
  </si>
  <si>
    <t>https://lh5.googleusercontent.com/d/1-gaSA-j7sAw7U9nBjQNXBPH4JzHAZ8a_</t>
  </si>
  <si>
    <t>https://drive.google.com/file/d/1j0EKnFtUMEg_vbc3vOtK1QsjKdl5mbTB/view?usp=drivesdk</t>
  </si>
  <si>
    <t>https://lh5.googleusercontent.com/d/1Dq4Cawgqh2NtUVAuUODS4epyO787FyNG</t>
  </si>
  <si>
    <t>https://drive.google.com/file/d/11SJ5Kf4G29SEzuPjd9k5OUI7LKoMkSoS/view?usp=drivesdk</t>
  </si>
  <si>
    <t>https://lh5.googleusercontent.com/d/164Cr5gQ-a_8gZRyiXZw5w7SZeOqCyaam</t>
  </si>
  <si>
    <t>https://drive.google.com/file/d/1QvnbneaEnzymqp8wGTlSjpxPwakKm5lm/view?usp=drivesdk</t>
  </si>
  <si>
    <t>6703829</t>
  </si>
  <si>
    <t>https://lh5.googleusercontent.com/d/1tq1-lf0paYVzuGbp00MlZ2Th1YsQoGjO</t>
  </si>
  <si>
    <t>https://drive.google.com/file/d/13GKuWDhHLfQXPECLJD7T5PafPqD3LxfW/view?usp=drivesdk</t>
  </si>
  <si>
    <t>6703858</t>
  </si>
  <si>
    <t>นพอ.พิชชาภา  เรืองจุ้ย</t>
  </si>
  <si>
    <t xml:space="preserve">คอนเสิร์ตทัพฟ้าคู่ไทยเพื่อ "ชัยพัฒนา" ครั้งที่ 16 (ศูนย์วัฒนธรรมแห่งประเทศไทย) </t>
  </si>
  <si>
    <t xml:space="preserve"> (ศูนย์วัฒนธรรมแห่งประเทศไทย) </t>
  </si>
  <si>
    <t>https://lh5.googleusercontent.com/d/1PKvsM3vZ9wEhSrK440dXALACFHSQc3Ui</t>
  </si>
  <si>
    <t>https://drive.google.com/file/d/15Ndc6Zp3Uu2gymbYN1dfbYIwfJp2cYO0/view?usp=drivesdk</t>
  </si>
  <si>
    <t>ร.อ.อนุชิต  ทำจะดี</t>
  </si>
  <si>
    <t>https://lh5.googleusercontent.com/d/1dI6uPn3xEoLCLhUcZLjeuFMom0kn_fTi</t>
  </si>
  <si>
    <t>https://drive.google.com/file/d/1BR7dzp2bJK2MlI5rSsesKPdCDGlOt3PP/view?usp=drivesdk</t>
  </si>
  <si>
    <t>น.ต.ศัดชัย บุญประสิทธิ์</t>
  </si>
  <si>
    <t>https://lh5.googleusercontent.com/d/1oHzSQOuhL85x4WRIWp1NNMHM6QCsrbMs</t>
  </si>
  <si>
    <t>https://drive.google.com/file/d/1nHIkLOYG1sa0iJpT3kMlae5Y_y6pikph/view?usp=drivesdk</t>
  </si>
  <si>
    <t>6703837</t>
  </si>
  <si>
    <t>20</t>
  </si>
  <si>
    <t>นพอ.ณัฐธิดา เอียดดำ</t>
  </si>
  <si>
    <t>https://lh5.googleusercontent.com/d/1X_kJtJ7FKYo1kPtWxaPtLQ3ZuHZLH5r8</t>
  </si>
  <si>
    <t>https://drive.google.com/file/d/1zn6IL3HZ3_71ACNzy1IcQBqpZqkpvdwK/view?usp=drivesdk</t>
  </si>
  <si>
    <t>จิตอาสารับนรม.</t>
  </si>
  <si>
    <t>https://lh5.googleusercontent.com/d/1ZTPOnqsXPlYv0o7SoX1Ip2Wg4ltHa8fc</t>
  </si>
  <si>
    <t>https://drive.google.com/file/d/1HHB3sVQKEhYs0YZeK-VxdpVRRhnmdfA0/view?usp=drivesdk</t>
  </si>
  <si>
    <t>จัดห้องภาคมารดา ทารก และการผดุงครรภ์</t>
  </si>
  <si>
    <t>ห้องภาคมารดา ทารก และการผดุงครรภ์</t>
  </si>
  <si>
    <t>1400-1600</t>
  </si>
  <si>
    <t>https://lh5.googleusercontent.com/d/1PWqrYmjcTehFLcvYhd69apNGIriavupq</t>
  </si>
  <si>
    <t>https://drive.google.com/file/d/1LqLN1FVz418-zHedMMbBJ4Wn575V8Z-y/view?usp=drivesdk</t>
  </si>
  <si>
    <t>https://lh5.googleusercontent.com/d/1_mxj32Jm4xmG1c5ayOmPHoYrhr7AnQLm</t>
  </si>
  <si>
    <t>https://drive.google.com/file/d/1nv9XNu_ck6R9O_GGSL8tjwc3caCaNqSi/view?usp=drivesdk</t>
  </si>
  <si>
    <t xml:space="preserve">ช่วยเหลืองาน อนศ. </t>
  </si>
  <si>
    <t>จ.ต.หญิง ปทิตตา สุขจิตเวชธาดา</t>
  </si>
  <si>
    <t>https://lh5.googleusercontent.com/d/17OysKuSguYbZJNdJCw0iGHyw0lqWAMX3</t>
  </si>
  <si>
    <t>https://drive.google.com/file/d/1TU3y9zFE_RBujSqSXjZetbjPlkp-Zoj2/view?usp=drivesdk</t>
  </si>
  <si>
    <t>6703824</t>
  </si>
  <si>
    <t>7</t>
  </si>
  <si>
    <t>นพอ.จินต์จุฑา จงประเสริฐ</t>
  </si>
  <si>
    <t>https://lh5.googleusercontent.com/d/1jFGsSIDqI_1oWoONxyM66rY_ZdNXxcDD</t>
  </si>
  <si>
    <t>https://drive.google.com/file/d/1W-orsE1FqXpW09CyKvZqyuQTr8gXlZEU/view?usp=drivesdk</t>
  </si>
  <si>
    <t>https://lh5.googleusercontent.com/d/1MipQSOQKkFzqokUIRwtB25dmOOrx0Ln5</t>
  </si>
  <si>
    <t>https://drive.google.com/file/d/1s0SRQBQ_fD68RAKbfUT-zwcWNYu5MwUe/view?usp=drivesdk</t>
  </si>
  <si>
    <t>6503714</t>
  </si>
  <si>
    <t>25</t>
  </si>
  <si>
    <t>นพอ.ธนภา อมตวณิชกุล</t>
  </si>
  <si>
    <t>https://lh5.googleusercontent.com/d/1v-1zpEA7Dq2K42kctXFiZFtKXPb6jQGr</t>
  </si>
  <si>
    <t>https://drive.google.com/file/d/1XBF5ZYZFEeo3GFhbDWt8r2zvdBNC7kSs/view?usp=drivesdk</t>
  </si>
  <si>
    <t>https://lh5.googleusercontent.com/d/1oVSneZjaRC1KOZcv545sccUSJ7H2n8Vw</t>
  </si>
  <si>
    <t>https://drive.google.com/file/d/1vBYbjiL77isNonqVD_XKdjnDR2HvZiLr/view?usp=drivesdk</t>
  </si>
  <si>
    <t>กองบัญชาการทหารอากาศ</t>
  </si>
  <si>
    <t>https://lh5.googleusercontent.com/d/1l7ouAJCTytsOvXSBMGZgonFjvLEwp9zn</t>
  </si>
  <si>
    <t>https://drive.google.com/file/d/1etMm_yWJjoDfXu6sfx5COmstgOVhd35s/view?usp=drivesdk</t>
  </si>
  <si>
    <t>https://lh5.googleusercontent.com/d/134R51EsJkPP7SEtpLfOkfJuYl1aebC8P</t>
  </si>
  <si>
    <t>https://drive.google.com/file/d/12dMskcCTzmuFl2pP5-KY88FYm3ki4HuE/view?usp=drivesdk</t>
  </si>
  <si>
    <t>https://lh5.googleusercontent.com/d/1xJzMEsOc8jVebEEsIgkLNEbFEHN1PXwE</t>
  </si>
  <si>
    <t>https://drive.google.com/file/d/10iP926qvHZlg7hhkxjaKnrf0mMQ3ILMO/view?usp=drivesdk</t>
  </si>
  <si>
    <t>ซ้อมดนตรีไทยงานรับขวัญสวีเเด</t>
  </si>
  <si>
    <t>ห้องชมรมดนตรีไทย</t>
  </si>
  <si>
    <t>ร.อ.หญิง ขนัฏฐา นาดี</t>
  </si>
  <si>
    <t>https://lh5.googleusercontent.com/d/1Jev_8ezmKEuAynw-kMjLtc_CcD3c3702</t>
  </si>
  <si>
    <t>https://drive.google.com/file/d/1Z4WB_CkSSI0OoAUbRIkFJxkzd9N998Cl/view?usp=drivesdk</t>
  </si>
  <si>
    <t>https://lh5.googleusercontent.com/d/1ywd9Zpv6Z_LHEth2KBGIvII7m1Xx3oOP</t>
  </si>
  <si>
    <t>https://drive.google.com/file/d/1EphmQpDq5_AFtyIV8qq5cowPRcrrD3mh/view?usp=drivesdk</t>
  </si>
  <si>
    <t>https://lh5.googleusercontent.com/d/1IJYecPzSdLija5m7F7EJhR7jVmnqEqTD</t>
  </si>
  <si>
    <t>https://drive.google.com/file/d/11NxfGIof_fguEzJIzMuYDewOBfkxTMaV/view?usp=drivesdk</t>
  </si>
  <si>
    <t>https://lh5.googleusercontent.com/d/1OFBmMMuXVyme0pFkC1LpZQTe_G6j_R1I</t>
  </si>
  <si>
    <t>https://drive.google.com/file/d/1kpUJiCLvXkd9cdb0esIhkjgMtFu0Fsv8/view?usp=drivesdk</t>
  </si>
  <si>
    <t>ค่ายแนะแนวรัฐบุรุษ 2</t>
  </si>
  <si>
    <t>โรงเรียนชลกันยานุกุล จ.ชลบุรี</t>
  </si>
  <si>
    <t>https://lh5.googleusercontent.com/d/1tMoW8VVky7qmMxGx13ycy-4z4BJoOkyK</t>
  </si>
  <si>
    <t>https://drive.google.com/file/d/1Qnh1KJsms0vfC1I2DdlzIBZ1E3RxFEBn/view?usp=drivesdk</t>
  </si>
  <si>
    <t>https://lh5.googleusercontent.com/d/1B7e2lKEQg_rkZtBmJ5dpodhy0Jy8UFuZ</t>
  </si>
  <si>
    <t>https://drive.google.com/file/d/15meJyRmipg8mYEXfJMczdR6uYmvX1p5h/view?usp=drivesdk</t>
  </si>
  <si>
    <t>https://lh5.googleusercontent.com/d/1O_h8g2DeNtkZRu904d09NS4AIYKZNFcL</t>
  </si>
  <si>
    <t>https://drive.google.com/file/d/16cxqNHmK5rdfFYTYLMJuR9STqe9cRwj7/view?usp=drivesdk</t>
  </si>
  <si>
    <t>https://lh5.googleusercontent.com/d/1-weo10BHEFD4BmAl6nyaDODtegAWeIKF</t>
  </si>
  <si>
    <t>https://drive.google.com/file/d/1fPRhmMH4d83x4fEex26wn9xitkq9PfPk/view?usp=drivesdk</t>
  </si>
  <si>
    <t>https://lh5.googleusercontent.com/d/1geQH2WOXBe5a8lzcdbOEP6_jVb7XQCby</t>
  </si>
  <si>
    <t>https://drive.google.com/file/d/1VuRpSgyJi9jrdRzPwB37sP4swu6ngayu/view?usp=drivesdk</t>
  </si>
  <si>
    <t>https://lh5.googleusercontent.com/d/1rMo5JN80P-StmTVLXMFG2YxJrA1XqRrk</t>
  </si>
  <si>
    <t>https://drive.google.com/file/d/1tTLRWfoBxhRCqqlJ10trnzT855Vrrlj0/view?usp=drivesdk</t>
  </si>
  <si>
    <t>https://lh5.googleusercontent.com/d/1jD2FxmTYV5b-jYnkQQ7RfxgBjqjSxB5B</t>
  </si>
  <si>
    <t>https://drive.google.com/file/d/1JV1cucEeHeXgnjYPT1fkWNb0-g5LHel-/view?usp=drivesdk</t>
  </si>
  <si>
    <t>https://lh5.googleusercontent.com/d/1M7k8Yr8VmwyQinWvzUpmkvwsSfAmhSpN</t>
  </si>
  <si>
    <t>https://drive.google.com/file/d/1599I7cXyMwl_h9Zsw5P8s_kkBd1szpsN/view?usp=drivesdk</t>
  </si>
  <si>
    <t>https://lh5.googleusercontent.com/d/1yzOoEn39Taw0rhxyTRNG9n-zrnD1MtWm</t>
  </si>
  <si>
    <t>https://drive.google.com/file/d/1W_Ratw_SvQjryyYxOtWIH2m_LypDhXLi/view?usp=drivesdk</t>
  </si>
  <si>
    <t>รับน้อง นรม.</t>
  </si>
  <si>
    <t>https://lh5.googleusercontent.com/d/1D9s5L785LiAEswtRLVWnVKOgqY064I9S</t>
  </si>
  <si>
    <t>https://drive.google.com/file/d/1AYZWJdZlDuFi3wKvohKuUENhV5-oRJg3/view?usp=drivesdk</t>
  </si>
  <si>
    <t>6703827</t>
  </si>
  <si>
    <t>10</t>
  </si>
  <si>
    <t>นพอ.ชนัญญา เสาร์แดน</t>
  </si>
  <si>
    <t>https://lh5.googleusercontent.com/d/1N1ipAs0nrKh1x-PeIc3s9LmsSpPxN9BQ</t>
  </si>
  <si>
    <t>https://drive.google.com/file/d/1pJ1JOs4_SLrJulyUYYJEtgMIYTt1nWk0/view?usp=drivesdk</t>
  </si>
  <si>
    <t>https://lh5.googleusercontent.com/d/1aAQe9q0myFBSi8fob49Suntfy0GRZq9N</t>
  </si>
  <si>
    <t>https://drive.google.com/file/d/1EfAbV91aXq-pugbAt9U2HHq6WVmQKEEf/view?usp=drivesdk</t>
  </si>
  <si>
    <t>https://lh5.googleusercontent.com/d/1WKS0-fY_Wi3Po2qWeWz42_AE8gAjpS__</t>
  </si>
  <si>
    <t>https://drive.google.com/file/d/1yC5YFqDR91k9r3lIoGXDJnF0z2kkg-KW/view?usp=drivesdk</t>
  </si>
  <si>
    <t>ค่ายอบรมเยาวชนพัฒนา โรงเรียนโยธินบูรณะ</t>
  </si>
  <si>
    <t>https://lh5.googleusercontent.com/d/1AfCPfx3AhPkyGF6V0-s8pC86USCvMWX9</t>
  </si>
  <si>
    <t>https://drive.google.com/file/d/1Vdxci1qWNYxiBZkh72OouI20l3JRfzic/view?usp=drivesdk</t>
  </si>
  <si>
    <t>6703828</t>
  </si>
  <si>
    <t>https://lh5.googleusercontent.com/d/1peJWBf50O3Sktf6qjrgy3Dq2TjLCdWOB</t>
  </si>
  <si>
    <t>https://drive.google.com/file/d/15R76Sr8tzug918z48yMTWAXR-WWi_kao/view?usp=drivesdk</t>
  </si>
  <si>
    <t>https://lh5.googleusercontent.com/d/1_7SNE6Tp3uUQE77hbRaKa2kgWBZh7UMo</t>
  </si>
  <si>
    <t>https://drive.google.com/file/d/19pV4GFzysKyR3aX22BxN1KEAwE9K4lwe/view?usp=drivesdk</t>
  </si>
  <si>
    <t>https://lh5.googleusercontent.com/d/1jxitZpMygwhK18TU1fJ8NaGaV-gHZanf</t>
  </si>
  <si>
    <t>https://drive.google.com/file/d/1rvVpxpWQ39IA2tFCLN44fQ2-_LK4HMHM/view?usp=drivesdk</t>
  </si>
  <si>
    <t>6503738</t>
  </si>
  <si>
    <t>48</t>
  </si>
  <si>
    <t>ลักษมน มาลัย</t>
  </si>
  <si>
    <t>ร่วมทำบุญงานกฐินชุมชน</t>
  </si>
  <si>
    <t>วัดแพรกกวังตะเคียน</t>
  </si>
  <si>
    <t>19 ต.ค.68</t>
  </si>
  <si>
    <t>นายธนู เล็กชะอุ่ม</t>
  </si>
  <si>
    <t>https://lh5.googleusercontent.com/d/1ZUImgKU99YyrOM06GR1zgpPNAO-fTSCQ</t>
  </si>
  <si>
    <t>https://drive.google.com/file/d/1RH3jlI0VxOoUsry5lmTXkVwD2alxlyFr/view?usp=drivesdk</t>
  </si>
  <si>
    <t>นพอ.ลักษมน มาลัย</t>
  </si>
  <si>
    <t>เก็บกวาดวัด</t>
  </si>
  <si>
    <t>วัดแพรกวังตะเคียน</t>
  </si>
  <si>
    <t>19ต.ค.68</t>
  </si>
  <si>
    <t>https://lh5.googleusercontent.com/d/1wkzjQyi9Vm5SPS91aU2nY2KPadC0PeMZ</t>
  </si>
  <si>
    <t>https://drive.google.com/file/d/142VQnlW4ZMm2FwnKpMJNrzkk8v0SPJJA/view?usp=drivesdk</t>
  </si>
  <si>
    <t>ขูดมะละกอช่วยชาวบ้าน</t>
  </si>
  <si>
    <t>รพ.สต.วังตะเคียน</t>
  </si>
  <si>
    <t>1200</t>
  </si>
  <si>
    <t>นางสาวจารุภรณ</t>
  </si>
  <si>
    <t>จัดสวน</t>
  </si>
  <si>
    <t>น.ส.จารุภรณ์ พินิจนอก</t>
  </si>
  <si>
    <t>https://lh5.googleusercontent.com/d/1qND4YlDS2SfJXDt6z5vjVi7FmWta0b-2</t>
  </si>
  <si>
    <t>https://drive.google.com/file/d/1WClkqkszsatKqd4qPV4wSQYnfw9divM-/view?usp=drivesdk</t>
  </si>
  <si>
    <t>ล้อมผ้าถวายความอาลัย</t>
  </si>
  <si>
    <t>1600</t>
  </si>
  <si>
    <t>นายธรรม พิศสวาท</t>
  </si>
  <si>
    <t>https://lh5.googleusercontent.com/d/1jGH5JwuG5C6O7h5gFWgWTRtkVQreR9af</t>
  </si>
  <si>
    <t>https://drive.google.com/file/d/1oy9jR5UlTkf17kQtnyUO9QSpHuLV48Ru/view?usp=drivesdk</t>
  </si>
  <si>
    <t>นพอ.ลักษมน</t>
  </si>
  <si>
    <t>ดุริยางค์เข้าแถววตอนเช้า</t>
  </si>
  <si>
    <t>0700</t>
  </si>
  <si>
    <t>https://lh5.googleusercontent.com/d/1CdT_KPYsEtTtS455VZ3VHvNuIVdUlYAb</t>
  </si>
  <si>
    <t>https://drive.google.com/file/d/184OzNZjKcAbNX-D57INH2xXFFrDbB3hI/view?usp=drivesdk</t>
  </si>
  <si>
    <t xml:space="preserve"> ร่วมโครงการคัดกรองสุขภาพเชิงรุกกำลังพลทอ.</t>
  </si>
  <si>
    <t>https://lh5.googleusercontent.com/d/1zqRFmmufDDpQ86PqQ6IYRP8WigrqTGnz</t>
  </si>
  <si>
    <t>https://drive.google.com/file/d/1t-OZrfJXNug7s-mZDzFawjmzcr1fuYxR/view?usp=drivesdk</t>
  </si>
  <si>
    <t>6503720</t>
  </si>
  <si>
    <t>30</t>
  </si>
  <si>
    <t>นพอ.นิศารัตน์  ปลุกใจ</t>
  </si>
  <si>
    <t>น.ต.หญิง ตวงทิพย์  ลดาวัลย์</t>
  </si>
  <si>
    <t>https://lh5.googleusercontent.com/d/1QaEQFXGhkGPUjjc-YX2DCc-kU4pUzAbi</t>
  </si>
  <si>
    <t>https://drive.google.com/file/d/1R5k__b4d3WCs026Lo1R3uHrI3kN6xPy_/view?usp=drivesdk</t>
  </si>
  <si>
    <t>ตรวจสอบอุปกรณ์ฝ่ายคอมพิวเตอร์ ประจำเดือนสิงหาคม ปี 2568</t>
  </si>
  <si>
    <t>ห้องศึกษาด้วยตนเอง หอพักนพอ.ชั้น 2</t>
  </si>
  <si>
    <t>1900-2100</t>
  </si>
  <si>
    <t>น.อ.หญิง ดร.สกาวเนตร  ไทรแจ่มจันทร์</t>
  </si>
  <si>
    <t>ช่วยทำความสะอาด และกวาดลานวัด</t>
  </si>
  <si>
    <t>พระพรหมมุนี เจ้าอาวาสวัด</t>
  </si>
  <si>
    <t>https://lh5.googleusercontent.com/d/1ukECXl3pSBa2AV1nemISXT8sDCS6tgAz</t>
  </si>
  <si>
    <t>https://drive.google.com/file/d/1000eHcsL3OQXMqA78patmKJRXeOlmUho/view?usp=drivesdk</t>
  </si>
  <si>
    <t>ตรวจสอบอุปกรณ์ฝ่ายคอมพิวเตอร์ประจำเดือนกันยายนและติดตั้งปริ้นเตอร์เครื่องใหม่ 4 ชั้นปี</t>
  </si>
  <si>
    <t>ห้องศึกษาด้วยตนเอง หอพัก นพอ.ชั้น 2</t>
  </si>
  <si>
    <t>1900-2200</t>
  </si>
  <si>
    <t>น.อ.หญิง ดร. สกาวเนตร  ไทรแจ่มจันทร์</t>
  </si>
  <si>
    <t>https://lh5.googleusercontent.com/d/15ajr7kJEswHOAO1e2ULmhMUb62Ppy5gU</t>
  </si>
  <si>
    <t>https://drive.google.com/file/d/1HpeKf2XLu7kY8zocc2yRzGQhwNtjTvt7/view?usp=drivesdk</t>
  </si>
  <si>
    <t>ตรวจสอบอุปกรณ์ฝ่ายคอมพิวเตอร์ประจำเดือนตุลาคม สำหรับออกอนามัยชุมชน และติดตั้งปริ้นเตอร์ใหม่ 4 ชั้นปี</t>
  </si>
  <si>
    <t>1900-2300</t>
  </si>
  <si>
    <t>https://lh5.googleusercontent.com/d/17EgZKQoDDI7s-OaGugNr79z5iSyFiCbL</t>
  </si>
  <si>
    <t>https://drive.google.com/file/d/1CeHqjV7aDWOTK6ztncWtZ6NTs2qxnL-d/view?usp=drivesdk</t>
  </si>
  <si>
    <t>ตรวจสอบอุปกรณ์ฝ่ายคอมพิวเตอร์ประจำเดือนพฤศจิกายน</t>
  </si>
  <si>
    <t>ห้องศึกษาด้วยตนเอง หอพักนพอ. ชั้น 2</t>
  </si>
  <si>
    <t>https://lh5.googleusercontent.com/d/1BXU9DIoMC7e1RXbfOwi2RapJLo2uC-0E</t>
  </si>
  <si>
    <t>https://drive.google.com/file/d/1d8b5mMsgxpJBeh37b4mMKQcs941q0GN4/view?usp=drivesdk</t>
  </si>
  <si>
    <t>6803930</t>
  </si>
  <si>
    <t>นพอ.ยุพารัตน์ ดาวลาย</t>
  </si>
  <si>
    <t>อาคารเอนกประสงค์ เอสซีจี สำนักงานใหญ่ บางซื่อ</t>
  </si>
  <si>
    <t>https://lh5.googleusercontent.com/d/16vRoi4HgXgJ1UnKNloqc-cHuszsjlHsg</t>
  </si>
  <si>
    <t>https://drive.google.com/file/d/1ML3f_y24uOGylVrkO_wcFrKKfFs1IFG-/view?usp=drivesdk</t>
  </si>
  <si>
    <t>6803932</t>
  </si>
  <si>
    <t>51</t>
  </si>
  <si>
    <t>นพอ.รตนพร สินทรัพย์</t>
  </si>
  <si>
    <t>ฟังการสัมมนาสื่อสร้างสรรค์ เสริมพลังการสื่อสาร พัฒนาสังคมไทย</t>
  </si>
  <si>
    <t>https://lh5.googleusercontent.com/d/1ySwxfodx8DX0BC1BJZtO0heSYopZWV4r</t>
  </si>
  <si>
    <t>https://drive.google.com/file/d/1MFVWG3_u18G55wmbCysXAlTZg2Qswx6p/view?usp=drivesdk</t>
  </si>
  <si>
    <t>6803888</t>
  </si>
  <si>
    <t>กันต์ธิดา นาคทอง</t>
  </si>
  <si>
    <t>สภากาชาดไทย</t>
  </si>
  <si>
    <t>06.00-14.00</t>
  </si>
  <si>
    <t>https://lh5.googleusercontent.com/d/1P3GHimpu4ok9jQP9Xd_gv52bhGFCBFGs</t>
  </si>
  <si>
    <t>https://drive.google.com/file/d/14ma_6XYiBLjim9sZCSb8qssES5_NKYzN/view?usp=drivesdk</t>
  </si>
  <si>
    <t>6803934</t>
  </si>
  <si>
    <t>53</t>
  </si>
  <si>
    <t>นพอ.วริศรา ออละมาลี</t>
  </si>
  <si>
    <t>พยาบาลไทยบริจาคโลหิต ช่วยชิวิตเพื่อนมนุษย์ ปี4</t>
  </si>
  <si>
    <t>https://lh5.googleusercontent.com/d/1f0ArCIHHcPvN-Gb2PA_iUTn5pvfq0OYe</t>
  </si>
  <si>
    <t>https://drive.google.com/file/d/1ZE9Gti52tTqOYV0vZWJxf9pB8ms1tIBv/view?usp=drivesdk</t>
  </si>
  <si>
    <t>การเดินรณรงค์เพื่อรำลึกถึงผู้สูญเสียจากอุบัติเหตุจราจร</t>
  </si>
  <si>
    <t>6.30-9.30</t>
  </si>
  <si>
    <t>https://lh5.googleusercontent.com/d/155Ej3nvULoZSIogQx6zc0PX0jlFtoCHy</t>
  </si>
  <si>
    <t>https://drive.google.com/file/d/1OyRcyGF5tPYSwoGLpo9EGKjN1Jp_XDWR/view?usp=drivesdk</t>
  </si>
  <si>
    <t>ณัชปวีย์ เยาวภา</t>
  </si>
  <si>
    <t>https://lh5.googleusercontent.com/d/1d1Bjp2Q4TABNMK6b86Ky2bJ7aR85l5kM</t>
  </si>
  <si>
    <t>https://drive.google.com/file/d/1vRwNK69JSG8qmBXwf60jSQu6-ylnF8u0/view?usp=drivesdk</t>
  </si>
  <si>
    <t>6803910</t>
  </si>
  <si>
    <t>นวพร โอรัตนสถาพร</t>
  </si>
  <si>
    <t>วพอ.พอ</t>
  </si>
  <si>
    <t>https://lh5.googleusercontent.com/d/10AvAsF3oINfe9THRihPTowaWs6rC4A3a</t>
  </si>
  <si>
    <t>https://drive.google.com/file/d/1ppigfG_uvsAui-38e3utF5CdZWBowi4_/view?usp=drivesdk</t>
  </si>
  <si>
    <t>6803925</t>
  </si>
  <si>
    <t>ภัทรพร ม่วงแคล้ว</t>
  </si>
  <si>
    <t>เล่นดุริยางค์นำเข้าแถว</t>
  </si>
  <si>
    <t>วพอ. พอ.</t>
  </si>
  <si>
    <t>https://lh5.googleusercontent.com/d/18nM3bQoGh7YqZ7MmhIX3hdhdVy1bGnQX</t>
  </si>
  <si>
    <t>https://drive.google.com/file/d/1F1ZnyA6Yv94kcXF---uxALwR8h1mNBqr/view?usp=drivesdk</t>
  </si>
  <si>
    <t>6803912</t>
  </si>
  <si>
    <t>เบญจวรรณ มณีแนว</t>
  </si>
  <si>
    <t>ดุริยางค์</t>
  </si>
  <si>
    <t>หน้าคุณพ่อ</t>
  </si>
  <si>
    <t>https://lh5.googleusercontent.com/d/1dLtLDdA6U2FLXJkkXAJTSds97YXTZmXz</t>
  </si>
  <si>
    <t>https://drive.google.com/file/d/1JGyi_YHwsHTZ2Gv-jO9VHSM7UCVZ0ab_/view?usp=drivesdk</t>
  </si>
  <si>
    <t>https://lh5.googleusercontent.com/d/1fY0xt2vV17WlLrzOYdOpEyywtl7L_aSY</t>
  </si>
  <si>
    <t>https://drive.google.com/file/d/1eX8OU-JHzU4n6FkM3orMAkv677vk25ST/view?usp=drivesdk</t>
  </si>
  <si>
    <t>https://lh5.googleusercontent.com/d/1j6CuJppwDVfR2PLtoADTU7lA3gd1V61q</t>
  </si>
  <si>
    <t>https://drive.google.com/file/d/1b2h7Cxhu3yg8pVFwHLiVnOKOeJQmcVzR/view?usp=drivesdk</t>
  </si>
  <si>
    <t>6703831</t>
  </si>
  <si>
    <t>นพอ.ญาณิศา ตุ้งซี่</t>
  </si>
  <si>
    <t>คอนเสิร์ตทัพฟ้าคู่ไทยเพื่อ ”ชัยพัฒนา“ ครั้งที่16</t>
  </si>
  <si>
    <t>https://lh5.googleusercontent.com/d/1UlskjHfz0lSZXs-A22s2U9sgEEgpZ11g</t>
  </si>
  <si>
    <t>https://drive.google.com/file/d/1z8Ft7jme8Iuc7zcXSriXekyNG9sPbIQ1/view?usp=drivesdk</t>
  </si>
  <si>
    <t>6703851</t>
  </si>
  <si>
    <t>นพอ.ปุญญิศา ฤทธิ์หมุน</t>
  </si>
  <si>
    <t>https://lh5.googleusercontent.com/d/1Fj2Yg7uMv_PZDmbpLZos6ryZPIvRj5cK</t>
  </si>
  <si>
    <t>https://drive.google.com/file/d/1Yb09izuhywrzKGTsbPg31GfQgyNdkdbU/view?usp=drivesdk</t>
  </si>
  <si>
    <t>พิธีถวายเครื่องราชสักการะวางพานพุ่มเนื่องในโอกาสวันเฉลิมพระชนมพรรษา พระบาทสมเด็จพระปรเมนทรรามาธิบดีศรีสินทรมหาวชิราลงกรณ พระวชิรเกล้าเจ้าอยู่หัว</t>
  </si>
  <si>
    <t>สนามหลวง</t>
  </si>
  <si>
    <t>1600-1700</t>
  </si>
  <si>
    <t>https://lh5.googleusercontent.com/d/1N5DRWIYtj8CwTUlCQwY6EMDL3IsNf86x</t>
  </si>
  <si>
    <t>https://drive.google.com/file/d/1F4sbrn6hnhQ2jKH5m6K2W3xtntE3S2m7/view?usp=drivesdk</t>
  </si>
  <si>
    <t>ตึกสำนักงานใหญ่ SCG</t>
  </si>
  <si>
    <t>https://lh5.googleusercontent.com/d/1vFhQDfi_B4EgdPFlybM_tw4ahZsfsAdM</t>
  </si>
  <si>
    <t>https://drive.google.com/file/d/1yqwMzOYx9aGYINcBM1t_FQppUWRT_VCL/view?usp=drivesdk</t>
  </si>
  <si>
    <t>6703834</t>
  </si>
  <si>
    <t>17</t>
  </si>
  <si>
    <t>นพอ.ฑิตถากร แน่นอุดร</t>
  </si>
  <si>
    <t>https://lh5.googleusercontent.com/d/1SAD0r67GkE8B7UZ1V7ZtGyjY1En6gsXS</t>
  </si>
  <si>
    <t>https://drive.google.com/file/d/1hOXjIiRihoslvQUzfSa8lREAPSJWbUXY/view?usp=drivesdk</t>
  </si>
  <si>
    <t>6703839</t>
  </si>
  <si>
    <t>22</t>
  </si>
  <si>
    <t>นพอ.ณัฐวรรณ เคนสุวรรณ</t>
  </si>
  <si>
    <t>ช่วยงาน อนศ.</t>
  </si>
  <si>
    <t>https://lh5.googleusercontent.com/d/160HfOAb27GLAMma2gRPnZXa15zjVP7tS</t>
  </si>
  <si>
    <t>https://drive.google.com/file/d/1vN4LqSZdIX6H1rLyrUalY_V4-lXlU9z0/view?usp=drivesdk</t>
  </si>
  <si>
    <t>6703850</t>
  </si>
  <si>
    <t>32</t>
  </si>
  <si>
    <t>นพอ.ประริชญา ประสิทธิ์พรม</t>
  </si>
  <si>
    <t>ห้องเรียนนพอ.ชั้นปีที่ 1</t>
  </si>
  <si>
    <t>https://lh5.googleusercontent.com/d/1mQTMVGfLKZhgIjYN6ApDEBoztffhPKWQ</t>
  </si>
  <si>
    <t>https://drive.google.com/file/d/1tJxdkdAcGDP_YG-hBdWVSO0CLryV4TIf/view?usp=drivesdk</t>
  </si>
  <si>
    <t>6703843</t>
  </si>
  <si>
    <t>นพอ.ธัญชนิต ธนะกองแก้ว</t>
  </si>
  <si>
    <t>เข้าร่วมการฝึกการรักษาทารกแรกเกิดทีีมีภาวะตัวเหลืองด้วยการส่องไฟ</t>
  </si>
  <si>
    <t>https://lh5.googleusercontent.com/d/1PW-v8KpI_piNdM152ukNebBVQGNntUeh</t>
  </si>
  <si>
    <t>https://drive.google.com/file/d/1NpCNB3p0rlyR_M8IMscZDfcrXm-jzX5j/view?usp=drivesdk</t>
  </si>
  <si>
    <t>https://lh5.googleusercontent.com/d/12pAWQdzRczQERChqM2mq_DJ0kq5ywTir</t>
  </si>
  <si>
    <t>https://drive.google.com/file/d/1EgsXm005bndSMgpqYKcbn9FFGq7m5M3U/view?usp=drivesdk</t>
  </si>
  <si>
    <t>นพอ.ฑิตถากร แน่นอุร</t>
  </si>
  <si>
    <t>https://lh5.googleusercontent.com/d/1reZ6DEAWtAPIph9VqoAnYwsxUI_jBaVo</t>
  </si>
  <si>
    <t>https://drive.google.com/file/d/1PGeNR15qemSXCVOZY5i6v98jP_mS7oP3/view?usp=drivesdk</t>
  </si>
  <si>
    <t>กา องประชุมอาคารอเนกประสงค์ สปท. เขตดินแดง</t>
  </si>
  <si>
    <t xml:space="preserve">ร.อ.อนุชิต ทำจะดี </t>
  </si>
  <si>
    <t>https://lh5.googleusercontent.com/d/1T-HE71HEwznZiI4F0orqzXwPK6p_eBmn</t>
  </si>
  <si>
    <t>https://drive.google.com/file/d/13hmnpVW2_WcOujlTLdFGVSYlcra9XiaK/view?usp=drivesdk</t>
  </si>
  <si>
    <t>https://lh5.googleusercontent.com/d/1QbJWMhIr9V_XIbNNhvVFHrSPPA70bwuA</t>
  </si>
  <si>
    <t>https://drive.google.com/file/d/1v3dGfegfrZ0fVnmJuNBVj6UM5FcbNMjF/view?usp=drivesdk</t>
  </si>
  <si>
    <t>https://lh5.googleusercontent.com/d/15JseGFk84fyyNH5m2WK6OmyQNSkwwpho</t>
  </si>
  <si>
    <t>https://drive.google.com/file/d/12B1uPqApQBL6PQ0GezY0bXbi_EvSrS6X/view?usp=drivesdk</t>
  </si>
  <si>
    <t>https://lh5.googleusercontent.com/d/17kx2ENjcU8A36mNlHYa-XpfiNOruTk4F</t>
  </si>
  <si>
    <t>https://drive.google.com/file/d/1OkL8sGPVcPYO6K9tEpRmB3IbRX-eZqER/view?usp=drivesdk</t>
  </si>
  <si>
    <t>https://lh5.googleusercontent.com/d/1RIat9blajqPeo_6EBqoC8FtiU6GvW1dl</t>
  </si>
  <si>
    <t>https://drive.google.com/file/d/1Ehc8iJWPjXl3MJO2iCnZNHxWQLTi_5Du/view?usp=drivesdk</t>
  </si>
  <si>
    <t>https://lh5.googleusercontent.com/d/1imM3BcnUT36OakkRP7pcXUp4LrRQQlFP</t>
  </si>
  <si>
    <t>https://drive.google.com/file/d/1au7FVwheilQFrFjJPzKjgF2QG2lHUedl/view?usp=drivesdk</t>
  </si>
  <si>
    <t>6703872</t>
  </si>
  <si>
    <t>นพอ.ศลิษา สุริยผัส</t>
  </si>
  <si>
    <t>https://lh5.googleusercontent.com/d/1VbPDlsFfwWKV6e5tW87FXik-31AKSRDs</t>
  </si>
  <si>
    <t>https://drive.google.com/file/d/1WBPjBX2TbtJHxCpWhhv44Cz0xEo5dYEu/view?usp=drivesdk</t>
  </si>
  <si>
    <t>https://lh5.googleusercontent.com/d/1QXPQCXgADy-nDE6y-kB9TQOcquzSgQeH</t>
  </si>
  <si>
    <t>https://drive.google.com/file/d/1GzEOUL1XWyRRF1O-3Ji5j1RNvSWa2Wde/view?usp=drivesdk</t>
  </si>
  <si>
    <t>https://lh5.googleusercontent.com/d/1nH7WXsTboHpiCYMoFbJDAkVnbt5aW9ro</t>
  </si>
  <si>
    <t>https://drive.google.com/file/d/18dg6YpTZdBYt2kcudhKCbWjEUwPoUiRF/view?usp=drivesdk</t>
  </si>
  <si>
    <t>https://lh5.googleusercontent.com/d/1sfKzz0me-cKCKyW9JBqhSjZluNjMXu7B</t>
  </si>
  <si>
    <t>https://drive.google.com/file/d/1DVkavC91H0nAUbeXxAPXm0b0CupY1gQu/view?usp=drivesdk</t>
  </si>
  <si>
    <t>คอตเสิร์ตทัพฟ้าคู่ไทยเพื่อชัยพัฒนา ครั้งที่ 16</t>
  </si>
  <si>
    <t>https://lh5.googleusercontent.com/d/1Rrxech3HVaFGn7CaxbjGT-SsoiTaq_wK</t>
  </si>
  <si>
    <t>https://drive.google.com/file/d/1JI37JOlfm_WqCJ4UmEMjy9NtBb8UMILS/view?usp=drivesdk</t>
  </si>
  <si>
    <t>ซ้อมงานรับขวัญสวีแด</t>
  </si>
  <si>
    <t>https://lh5.googleusercontent.com/d/1aSGhX9KtXGJosCDjwVar-VLWZuO9DRGe</t>
  </si>
  <si>
    <t>https://drive.google.com/file/d/1sIo0-3CJiwQ0m2YyjBboDB1HFDE7YKXn/view?usp=drivesdk</t>
  </si>
  <si>
    <t>6703846</t>
  </si>
  <si>
    <t>นพอ.นัฐพร บูรพันธ์</t>
  </si>
  <si>
    <t>คอนเสิร์ตทัฟฟ้าคู่ไทยเพื่อชัยพัฒนาครั้งที่ 16</t>
  </si>
  <si>
    <t>https://lh5.googleusercontent.com/d/1xNiipbcM52RIhc5VzhO4tbHgIhC5O3Zn</t>
  </si>
  <si>
    <t>https://drive.google.com/file/d/1iKkcmHHeldIbU5Sv_JB3QGXxnBSvLjxo/view?usp=drivesdk</t>
  </si>
  <si>
    <t>https://lh5.googleusercontent.com/d/1ISVhnz9b-qVw4Bw-KiK6C7KOlNeIDy21</t>
  </si>
  <si>
    <t>https://drive.google.com/file/d/1Ad1vrpHd2z91YekxedO0XDtbfiJT6hQk/view?usp=drivesdk</t>
  </si>
  <si>
    <t>https://lh5.googleusercontent.com/d/1Z-DHSiMlj2p9R3UDt277NmpyO_rGtaQH</t>
  </si>
  <si>
    <t>https://drive.google.com/file/d/1jLPY_sL7D6yLnzsWRLmziE7RO9UkPS06/view?usp=drivesdk</t>
  </si>
  <si>
    <t>https://lh5.googleusercontent.com/d/1mv2-Dpao_fzSXfNwzqPWs2a3KaoDyGxI</t>
  </si>
  <si>
    <t>https://drive.google.com/file/d/1NJKwM7hkvdm_moTdD8BYwSx80r5yTZtV/view?usp=drivesdk</t>
  </si>
  <si>
    <t>โรงเรียนชลกันยานุกูล</t>
  </si>
  <si>
    <t>https://lh5.googleusercontent.com/d/1SxgqyUu_XmFFZYgpN4QrgQKjtmJUskqs</t>
  </si>
  <si>
    <t>https://drive.google.com/file/d/1ldDu1LxFWbyVLff3E_WJXC_Umhe0856j/view?usp=drivesdk</t>
  </si>
  <si>
    <t>โรงเรียนชลกันยานุกูล จ.ชลบุรี</t>
  </si>
  <si>
    <t>https://lh5.googleusercontent.com/d/12sVq_uU0ThbrDizaWzULHG3ZskfoGSWT</t>
  </si>
  <si>
    <t>https://drive.google.com/file/d/1B0HFbLL8gPB4nlyoOhN3CsSKMkW1E3dS/view?usp=drivesdk</t>
  </si>
  <si>
    <t>https://lh5.googleusercontent.com/d/1WnMhCHTnCACz9P02DlsFd_wfeeRBlVh1</t>
  </si>
  <si>
    <t>https://drive.google.com/file/d/18TeaPDUzrLKO9E8-5Fen7ULACEzscqOf/view?usp=drivesdk</t>
  </si>
  <si>
    <t>พิธีถวายพานพุ่มสักการะ เนื่องในวันพยาบาลแห่งชาติ</t>
  </si>
  <si>
    <t>กระทรวงสาธารณสุข</t>
  </si>
  <si>
    <t>น.ต.ศักชัย บุญประสิทธิ์</t>
  </si>
  <si>
    <t>https://lh5.googleusercontent.com/d/1ZFoxIwtqrKYdY4WolPukYwiygm5AE8DN</t>
  </si>
  <si>
    <t>https://drive.google.com/file/d/1V20EZm-5tdCtoqKvbHCdW-b5ZWLR6DtM/view?usp=drivesdk</t>
  </si>
  <si>
    <t>https://lh5.googleusercontent.com/d/1roKTWIXFAw__4Mt4zpF0BepBnxbl-Vgj</t>
  </si>
  <si>
    <t>https://drive.google.com/file/d/1QAmjWTZ-6cEbqXPfV5UowvSZsW6RT3sM/view?usp=drivesdk</t>
  </si>
  <si>
    <t>6503703</t>
  </si>
  <si>
    <t>นพอ.ชัญญากานต์ พุฒิพงศ์กวิน</t>
  </si>
  <si>
    <t>https://lh5.googleusercontent.com/d/1E-3OwrPFFhjPhjAPUVzfR1ARcGNFlHn9</t>
  </si>
  <si>
    <t>https://drive.google.com/file/d/10YtsA_h_sDf216MfbWRIxhm8MH3MgxED/view?usp=drivesdk</t>
  </si>
  <si>
    <t>6803926</t>
  </si>
  <si>
    <t>ภัทราพร ถึงกัน</t>
  </si>
  <si>
    <t>Meet The Youth Cyber Guardians Thailand 2025</t>
  </si>
  <si>
    <t>กองบัญชาการกองทัพไทย</t>
  </si>
  <si>
    <t>0700-1630</t>
  </si>
  <si>
    <t>https://lh5.googleusercontent.com/d/1dEzdrFA4LNJJpZpLUCy7tMqZXcDBxJ8u</t>
  </si>
  <si>
    <t>https://drive.google.com/file/d/1idQDkvrVZUlvwS4Hq3pt2eri38PQAz1U/view?usp=drivesdk</t>
  </si>
  <si>
    <t>6703848</t>
  </si>
  <si>
    <t>นพอ.บุญสิตา สุสี</t>
  </si>
  <si>
    <t>สัมนาสื่อสร้างสรรค์เสริมพลังการสื่อสารพัฒนาสังคม</t>
  </si>
  <si>
    <t>บริษัท SCG</t>
  </si>
  <si>
    <t>https://lh5.googleusercontent.com/d/1adXtDlMchO1knw96_E1Co-dZD5TWTdlC</t>
  </si>
  <si>
    <t>https://drive.google.com/file/d/1QrjiYmELmYlLJvlQoQPKvh-yiK6S8GSS/view?usp=drivesdk</t>
  </si>
  <si>
    <t>ช่วยงาน อนศ. จัดระเบียบชั้นเก็บของในห้องพักผ่อนนพอ.</t>
  </si>
  <si>
    <t>https://lh5.googleusercontent.com/d/15ozbSqtAVMftHTcR0qJhTVKiFhPNdo_P</t>
  </si>
  <si>
    <t>https://drive.google.com/file/d/1cahhGNB5lZ-wNU9y-ihpqWDgRKbH2kBm/view?usp=drivesdk</t>
  </si>
  <si>
    <t>6803886</t>
  </si>
  <si>
    <t>นพอ.กัญญพัชร ทองสุข</t>
  </si>
  <si>
    <t>08.00</t>
  </si>
  <si>
    <t>https://lh5.googleusercontent.com/d/16Y7MKOx59eKq40gCSrmRzRunEJL_-rS8</t>
  </si>
  <si>
    <t>https://drive.google.com/file/d/1KZr6FmTiE3Y-uAEF_Wure87jza6yUOBP/view?usp=drivesdk</t>
  </si>
  <si>
    <t xml:space="preserve">ช่วยงาน อนศ. </t>
  </si>
  <si>
    <t>อนศ. วพอ.พอ.</t>
  </si>
  <si>
    <t>https://lh5.googleusercontent.com/d/1vYVcf3Jsi8UHxYbdlo5qrw4CJzN-5jjk</t>
  </si>
  <si>
    <t>https://drive.google.com/file/d/12TEWEwk-gwVVmssLZMI4TEMag0AtWv74/view?usp=drivesdk</t>
  </si>
  <si>
    <t>เข้าร่วมการฝึกการรักาาทารกแรกเกิดที่มีภาวะตัวเหลืองด้วยการส่องไฟ</t>
  </si>
  <si>
    <t>ห้องเรียนนพอ.ชั้นปีที่ 1 วพอ.พอ.</t>
  </si>
  <si>
    <t>100-1800</t>
  </si>
  <si>
    <t>https://lh5.googleusercontent.com/d/1E9X1P0aU-4Z_egKlLMQxHecgS4ZrF1HA</t>
  </si>
  <si>
    <t>https://drive.google.com/file/d/1Jne6UCSp5il6enuK0JW7gejzeOfMIrUL/view?usp=drivesdk</t>
  </si>
  <si>
    <t>เดินรณรงค์“วันโลกรำลึกถึงผู้สูญเสียจากอุบัติเหตุทางถนน”กับพลังโรทาแรคท์</t>
  </si>
  <si>
    <t>0700-1100</t>
  </si>
  <si>
    <t>https://lh5.googleusercontent.com/d/1EWnfSRUOLKR4y6hTO_fNbhDKMZM1VHXc</t>
  </si>
  <si>
    <t>https://drive.google.com/file/d/1R0Kww1D2rifJMNnQIb8qhkX3Ecf1sUOA/view?usp=drivesdk</t>
  </si>
  <si>
    <t>0730-0745</t>
  </si>
  <si>
    <t>https://lh5.googleusercontent.com/d/1lX0xz5H0XsoYHr-M5kaOeq6Uokd-B6E7</t>
  </si>
  <si>
    <t>https://drive.google.com/file/d/1bQ-28KzIy3BRdCghgbUfr9Kz4Oel2PhY/view?usp=drivesdk</t>
  </si>
  <si>
    <t>https://lh5.googleusercontent.com/d/19wrZaf4jTH7cohF8My29od2kyljV5Vx5</t>
  </si>
  <si>
    <t>https://drive.google.com/file/d/1oBSIU4mTg3ADgqHM8315lg4p6yWDTiC_/view?usp=drivesdk</t>
  </si>
  <si>
    <t>อาคารอเนกประสงค์ เอสซีเจ สำนักงานใหญ่ บางซื่อ</t>
  </si>
  <si>
    <t>https://lh5.googleusercontent.com/d/18L-i0s0N4Vmg--9OBn4JhQlblw7c-Fid</t>
  </si>
  <si>
    <t>https://drive.google.com/file/d/1H3wqi4jJ6g-Pe0S14wE2hCedX7UdevEp/view?usp=drivesdk</t>
  </si>
  <si>
    <t>ร.อ.อนุชิต ทำจะชิต</t>
  </si>
  <si>
    <t>https://lh5.googleusercontent.com/d/1vCJ2VzLSXJpIBrTYnASUK-eX_Nnr-EMD</t>
  </si>
  <si>
    <t>https://drive.google.com/file/d/1Z9kpvIL8aKpY3JpRAR1r-WmBUNtNXXgn/view?usp=drivesdk</t>
  </si>
  <si>
    <t>https://lh5.googleusercontent.com/d/1tf00qIMB-87OEVRO_ZJ-m4lRg7iaxUOr</t>
  </si>
  <si>
    <t>https://drive.google.com/file/d/14OY-tCjHkPY_qIQe9BSDL7PJT54oUsuw/view?usp=drivesdk</t>
  </si>
  <si>
    <t>Meet The youth Hacker Thailand 2025</t>
  </si>
  <si>
    <t>https://lh5.googleusercontent.com/d/1bStCedML83ypehPlnERac1aPzSAAIipi</t>
  </si>
  <si>
    <t>https://drive.google.com/file/d/1KdvivLwHQn0mx9sSUa_f8h2RXqZpSOsS/view?usp=drivesdk</t>
  </si>
  <si>
    <t>6803917</t>
  </si>
  <si>
    <t>36</t>
  </si>
  <si>
    <t>นพอ.ไปรยา อิ่มเหว่า</t>
  </si>
  <si>
    <t>https://lh5.googleusercontent.com/d/1JurYuvIT0Sgk5auq-jTiegNNICW3u4ss</t>
  </si>
  <si>
    <t>https://drive.google.com/file/d/1M6lL8wN7d1huGboOsKW0w4jmt9Q3oOf6/view?usp=drivesdk</t>
  </si>
  <si>
    <t>https://lh5.googleusercontent.com/d/1mkw2KuS-pFXttbd3nbtlCw8rmun0ExZI</t>
  </si>
  <si>
    <t>https://drive.google.com/file/d/1fLYlkyzvh4zZd-hk_Fxrf5HKo1kRmTns/view?usp=drivesdk</t>
  </si>
  <si>
    <t>https://lh5.googleusercontent.com/d/1Iuk80g83sgnXkAYgce_YuM_R4uPHcJRt</t>
  </si>
  <si>
    <t>https://drive.google.com/file/d/1mQuAlomZm6bmiHH9gOWxMQLZdV2n1I7Q/view?usp=drivesdk</t>
  </si>
  <si>
    <t>ธีราพร  ประสิทธิภาพ</t>
  </si>
  <si>
    <t>ดุริยางค์เข้าแถวตอนเช้า</t>
  </si>
  <si>
    <t>08:00</t>
  </si>
  <si>
    <t>https://lh5.googleusercontent.com/d/19lPbe-F2VOjEdw1fsSUr6O4KY2hSwD8c</t>
  </si>
  <si>
    <t>https://drive.google.com/file/d/1IAh7g6jYVi4HE4I2FG5twkmhWU9T66Iu/view?usp=drivesdk</t>
  </si>
  <si>
    <t>https://lh5.googleusercontent.com/d/1tXiFHgeCgo4UJN4aQvMNEa5b-cx-hBGf</t>
  </si>
  <si>
    <t>https://drive.google.com/file/d/132jZD7rRVECietsmxfTjqKFwzxBQeVkd/view?usp=drivesdk</t>
  </si>
  <si>
    <t>https://lh5.googleusercontent.com/d/1-qZec--2CAiJzhjW9KZ6_P0dtcMM-FzF</t>
  </si>
  <si>
    <t>https://drive.google.com/file/d/1-Zl1wK2JsDABoFsnhmsKNOFqrXWt5w1M/view?usp=drivesdk</t>
  </si>
  <si>
    <t>ร.อ. อนุชิต   ทำจะดี</t>
  </si>
  <si>
    <t>https://lh5.googleusercontent.com/d/1WodCVKk6Hgy8R-0s35nxwUy9l9fDxMAm</t>
  </si>
  <si>
    <t>https://drive.google.com/file/d/1xoQy5xOwJLga2SMkBJyeMrfD65D_-YRg/view?usp=drivesdk</t>
  </si>
  <si>
    <t>https://lh5.googleusercontent.com/d/1VV4f538XLqbCmeqzKUT3Zi3Vn2Ac0WOM</t>
  </si>
  <si>
    <t>https://drive.google.com/file/d/1fMZIRmnFGq1uE9fuKcgnSygD_gxXZbl_/view?usp=drivesdk</t>
  </si>
  <si>
    <t>6803931</t>
  </si>
  <si>
    <t>นพอ.โยษิตา ลากุล</t>
  </si>
  <si>
    <t>ฟังการสัมมนาสื่อสร้างสรรค์ เสริมสร้างพลังการสื่อสาร พัฒนาสังคม</t>
  </si>
  <si>
    <t>ณ อาคาร เอนกประสงค์ เอสซีจี สำนักงานใหญ่ บางซื่อ</t>
  </si>
  <si>
    <t>https://lh5.googleusercontent.com/d/1a_ovAI_T6yWRrRWJDgtZITCnNxfhWGUT</t>
  </si>
  <si>
    <t>https://drive.google.com/file/d/1O3s1XPYr80D-IJSkiMblJWyNpn2LRKVu/view?usp=drivesdk</t>
  </si>
  <si>
    <t>ช่วยงานห้องปฏิบัติการพยาบาล</t>
  </si>
  <si>
    <t>ห้องปฏิบัติการพยาบาล</t>
  </si>
  <si>
    <t>https://lh5.googleusercontent.com/d/1lF7PLi7sGn3J2CE11wwvhWk2QhYJpQQR</t>
  </si>
  <si>
    <t>https://drive.google.com/file/d/1zhWCLouThwdLs4M5_IjqeC0bBAU3S7h9/view?usp=drivesdk</t>
  </si>
  <si>
    <t xml:space="preserve"> ซ้อมร้องประสานเสียงงานคอนเสิร์ตทัพฟ้า (กองบัญชาการกองทัพอากาศ)</t>
  </si>
  <si>
    <t>ดย.ทอ.</t>
  </si>
  <si>
    <t>https://lh5.googleusercontent.com/d/1-fdEDyZqOWFxRw2LSPuVm2N0L3iF95DC</t>
  </si>
  <si>
    <t>https://drive.google.com/file/d/1O_6N3NAravtPgdBMezXA8eeqSu3zaukj/view?usp=drivesdk</t>
  </si>
  <si>
    <t>1000-1200</t>
  </si>
  <si>
    <t>https://lh5.googleusercontent.com/d/1sO42SmCbVHwZX1bUP-31yuyg4rqk7LsD</t>
  </si>
  <si>
    <t>https://drive.google.com/file/d/1yhd1fZeWtUxM5vM8da2nCpYYK6_sEPWs/view?usp=drivesdk</t>
  </si>
  <si>
    <t>6803922</t>
  </si>
  <si>
    <t>นพอ.พินิษา อินทร์ศวร</t>
  </si>
  <si>
    <t>เข้าอบรมต่างๆที่ทางวพอ.จัดให้</t>
  </si>
  <si>
    <t>Meet the youth cyber guardians Thailand 2025</t>
  </si>
  <si>
    <t>หน่วยบัญชาการกองทัพไทย</t>
  </si>
  <si>
    <t>07.00-16.30</t>
  </si>
  <si>
    <t>https://lh5.googleusercontent.com/d/11IAEItZFqkMdu1FmVrWzulTqha3pmg_M</t>
  </si>
  <si>
    <t>https://drive.google.com/file/d/17i---RagTryhIOC7ndsQ75NLaUnkR2Hw/view?usp=drivesdk</t>
  </si>
  <si>
    <t>6803911</t>
  </si>
  <si>
    <t>นายิกา นกแก้ว</t>
  </si>
  <si>
    <t>https://lh5.googleusercontent.com/d/1EoXBE6esY4L-5E-p-AF2_7mt-4Tx0mNt</t>
  </si>
  <si>
    <t>https://drive.google.com/file/d/16ORzHzuZfM6Zy4w6OOxhpAIvh49saOIp/view?usp=drivesdk</t>
  </si>
  <si>
    <t>เดินรณรงค์ “วันโลกรำลึกถึงผู้สูญเสียจากอุบัติเหตุทางถนน” กับพลังโรทาแรคท์</t>
  </si>
  <si>
    <t>https://lh5.googleusercontent.com/d/1lA1uqZ3cTFXg4bEjBhEgvTeS4NWzP4l-</t>
  </si>
  <si>
    <t>https://drive.google.com/file/d/1JPrDwcTQTCvL8kI8gI57K1XN9DCQQryt/view?usp=drivesdk</t>
  </si>
  <si>
    <t>วัดธรรมิการาม (เขาช่องกระจก)</t>
  </si>
  <si>
    <t>07.00น.</t>
  </si>
  <si>
    <t>https://lh5.googleusercontent.com/d/1endnzpXzUzZiMex5PQXm8oBW1rM83f2f</t>
  </si>
  <si>
    <t>https://drive.google.com/file/d/13o-w9THqJnb3fhYpwk62VgzMuGzwKf3e/view?usp=drivesdk</t>
  </si>
  <si>
    <t>6803929</t>
  </si>
  <si>
    <t>นพอ.ยลภาม ลำดับวงพุฒิปาณ</t>
  </si>
  <si>
    <t>จัดยา จัดอุปกรณ์</t>
  </si>
  <si>
    <t>สถานีกาชาดที่8</t>
  </si>
  <si>
    <t>นางอรวรรณ ขำเพชร</t>
  </si>
  <si>
    <t>https://lh5.googleusercontent.com/d/1mJQOPgOliGSDfcc1klMFArPalfclUj-_</t>
  </si>
  <si>
    <t>https://drive.google.com/file/d/1IhE4Fgc7-rWmPZtLxoQh5D84tTd8nRN4/view?usp=drivesdk</t>
  </si>
  <si>
    <t>ลงนามถวายความอาลัยพระพันปีหลวง</t>
  </si>
  <si>
    <t>13.30</t>
  </si>
  <si>
    <t>https://lh5.googleusercontent.com/d/18Bf02u2wJrvOL2e2abBDiwKsKw-Y1B02</t>
  </si>
  <si>
    <t>https://drive.google.com/file/d/1igyhVQt0vb4k62h2XF8pWJgiXnpvb7Ab/view?usp=drivesdk</t>
  </si>
  <si>
    <t>6603814</t>
  </si>
  <si>
    <t>นพอ.อนัญญา สิงทิศ</t>
  </si>
  <si>
    <t>https://lh5.googleusercontent.com/d/1fsIkmnMPkQ-f1tjpgjSdHSLAxPDvCgaH</t>
  </si>
  <si>
    <t>https://drive.google.com/file/d/1uD0E9J84H4eOIyJXCuhvN1uXigNl1g5r/view?usp=drivesdk</t>
  </si>
  <si>
    <t>1800-1900</t>
  </si>
  <si>
    <t>https://lh5.googleusercontent.com/d/1340uADwZN53fBb5vZU9yU6W1EUuOAFNL</t>
  </si>
  <si>
    <t>https://drive.google.com/file/d/1md5Y3Jf3g_kyYATqEr-qyLV2kUZsIJ9z/view?usp=drivesdk</t>
  </si>
  <si>
    <t>ช่วยแม่ล้างจาน</t>
  </si>
  <si>
    <t>2000</t>
  </si>
  <si>
    <t>นางธัญจิรา มินศิริ</t>
  </si>
  <si>
    <t>https://lh5.googleusercontent.com/d/1JyW1T1ELwpYMpZkxYsH9DQrENeyw9XA2</t>
  </si>
  <si>
    <t>https://drive.google.com/file/d/1AXc_r8bnsiEw12CHPrfCM35QHMzGRvbG/view?usp=drivesdk</t>
  </si>
  <si>
    <t>ซ้อมพิธีรับ-ส่งหน้าที่ผู้บัญชาการทหารอากาศ</t>
  </si>
  <si>
    <t>อุทยานการบินกองมัพอากาศ</t>
  </si>
  <si>
    <t>1200-1600</t>
  </si>
  <si>
    <t>น.ท.หญิง สิรินันท์ ชูเชิด</t>
  </si>
  <si>
    <t>https://lh5.googleusercontent.com/d/1kpVjfQU1p_46AzinGaokuMJLdSnCc3MR</t>
  </si>
  <si>
    <t>https://drive.google.com/file/d/1Unk371TPaz0HhA7yYIp7FYeXgZ-FkuJ1/view?usp=drivesdk</t>
  </si>
  <si>
    <t>เข้าร่วมพิธีรับ-ส่งหน้าที่ผู้บัญชาการทหารอากาศ</t>
  </si>
  <si>
    <t>อุทยานการบินกองทัพอากาศ</t>
  </si>
  <si>
    <t>https://lh5.googleusercontent.com/d/10ZEOpdOi53_NaqmIGVhHDzT6tOT60ZQI</t>
  </si>
  <si>
    <t>https://drive.google.com/file/d/1KUmaurSC8OudglWRoyyxj3NrXFknzczh/view?usp=drivesdk</t>
  </si>
  <si>
    <t>6703854</t>
  </si>
  <si>
    <t>นพอ.พชรพร เพ็งภัตรา</t>
  </si>
  <si>
    <t>อุทยานการบิน</t>
  </si>
  <si>
    <t>น.ท.หญิง  สิรินันท์ ชูเชิด</t>
  </si>
  <si>
    <t>https://lh5.googleusercontent.com/d/1YgGEyy2XXktxlRC0tvJ9wJhnAvKRfQNX</t>
  </si>
  <si>
    <t>https://drive.google.com/file/d/1Q3VF6NLjOliftnzfWUZ7TFeQIixXSi9_/view?usp=drivesdk</t>
  </si>
  <si>
    <t>ศูนย์วัฒนธรรมแห่งชาติ</t>
  </si>
  <si>
    <t>https://lh5.googleusercontent.com/d/1n0uIQFPkHwxhy-tKxT4hCxDv8eKAqmST</t>
  </si>
  <si>
    <t>https://drive.google.com/file/d/1rrGtxo-kCxFo3WoqiJHHGB7pKCYO1Zjc/view?usp=drivesdk</t>
  </si>
  <si>
    <t>https://lh5.googleusercontent.com/d/1qi_9Eoto5k9xoZ5k4xrzOwny8RKvrgc0</t>
  </si>
  <si>
    <t>https://drive.google.com/file/d/1xrZRVHM0Y41gT6i6FlfqEHC9aBzolUgT/view?usp=drivesdk</t>
  </si>
  <si>
    <t>ห้องเรียน ปี1</t>
  </si>
  <si>
    <t xml:space="preserve"> ร.ท.เรวัติ วัชรสิทธิ์</t>
  </si>
  <si>
    <t>https://lh5.googleusercontent.com/d/1QY0K6mCi0-E17q2JFLC4gb7sRsLwhL8T</t>
  </si>
  <si>
    <t>https://drive.google.com/file/d/1vzddASGG2fjzLwgbxSY8ydSILUllZwhb/view?usp=drivesdk</t>
  </si>
  <si>
    <t>กวาดพื้น</t>
  </si>
  <si>
    <t>นายชโยภณ ลำดับวงพุฒิปาณ</t>
  </si>
  <si>
    <t>https://lh5.googleusercontent.com/d/1Xf6kzEBWBsnJH3KYW3HTQP5mxgIkND6p</t>
  </si>
  <si>
    <t>https://drive.google.com/file/d/1FKBJIKKtu5ut1q629YTY3BmEp3ld0MQ1/view?usp=drivesdk</t>
  </si>
  <si>
    <t>https://lh5.googleusercontent.com/d/1pucB0q2JWzCNhBuhaFskw7HjcDtKG202</t>
  </si>
  <si>
    <t>https://drive.google.com/file/d/12yOpT3Ko0pte2TIKO3ygMX7SZGN4vTQm/view?usp=drivesdk</t>
  </si>
  <si>
    <t>https://lh5.googleusercontent.com/d/18KyBwdY2nFBkBNMUEhkKRxu7zVl42Icr</t>
  </si>
  <si>
    <t>https://drive.google.com/file/d/17DSjvdkbecLNTRJKAMhjdM03TOq8wy2b/view?usp=drivesdk</t>
  </si>
  <si>
    <t>https://lh5.googleusercontent.com/d/1SpynwLwliYm9CjwmSalcmhF03dAWeVI5</t>
  </si>
  <si>
    <t>https://drive.google.com/file/d/1pS095XsnEAeV1neoFtO3PRnjscuh88rm/view?usp=drivesdk</t>
  </si>
  <si>
    <t>1200-1500</t>
  </si>
  <si>
    <t>https://lh5.googleusercontent.com/d/1vmLO-amYNnSwN0X9z-VbcDS46w2G3Uuv</t>
  </si>
  <si>
    <t>https://drive.google.com/file/d/1mA-AMzsqUR9DP7G3GuCUS0EV_J1xknPs/view?usp=drivesdk</t>
  </si>
  <si>
    <t>https://lh5.googleusercontent.com/d/1TbAoMz5_tPEB7oSv6-rUUFaX_Pl-qV6v</t>
  </si>
  <si>
    <t>https://drive.google.com/file/d/1rXnjFbVi121LLfQMyWsJLEkGR-WLz1NF/view?usp=drivesdk</t>
  </si>
  <si>
    <t xml:space="preserve">งานแจกของพระราชทานพระบรมศพพระพันปีหลวง </t>
  </si>
  <si>
    <t>https://lh5.googleusercontent.com/d/1LVp1pReFjndnfgkVYCWJ04_8Kdwv185R</t>
  </si>
  <si>
    <t>https://drive.google.com/file/d/1WU-lYm-NUgIFuAiGzhvRqXY0uWh9qIMh/view?usp=drivesdk</t>
  </si>
  <si>
    <t>6703822</t>
  </si>
  <si>
    <t>นพอ.กัณยวัลย์ เทียนบัญญัติ</t>
  </si>
  <si>
    <t>https://lh5.googleusercontent.com/d/1lCeFnO1VJTga-qisUh7HX7RpUJP52_pn</t>
  </si>
  <si>
    <t>https://drive.google.com/file/d/1uat3Q0OveUqIU4cB-muMZ1oDFGHnNCKj/view?usp=drivesdk</t>
  </si>
  <si>
    <t>https://lh5.googleusercontent.com/d/1DWWwS7e0nIF3lvvTGXx-f0kZkQUdJvRa</t>
  </si>
  <si>
    <t>https://drive.google.com/file/d/1YIaYzNiqo6lDrX2qwTkyQKbCpQ8PeyF8/view?usp=drivesdk</t>
  </si>
  <si>
    <t>https://lh5.googleusercontent.com/d/1q-HYJqj0OXIOyLO3d0DukO6AiyjUK99g</t>
  </si>
  <si>
    <t>https://drive.google.com/file/d/11gKdIYk8Jdya-aR9CEAYWFqWVfkPLAmi/view?usp=drivesdk</t>
  </si>
  <si>
    <t>https://lh5.googleusercontent.com/d/1t5EjYOEoDbFdvJQSKlv_onTOeYMqF-xH</t>
  </si>
  <si>
    <t>https://drive.google.com/file/d/15rH3UoJC2-orXzB1WKzJM8lEEkSkVT3b/view?usp=drivesdk</t>
  </si>
  <si>
    <t>Say Hi น้องเต่า เขาทิ้งเราเก็บช่วย save สัตว์ทะเล</t>
  </si>
  <si>
    <t>ชายหาดสัตหีบ</t>
  </si>
  <si>
    <t>0900-1300</t>
  </si>
  <si>
    <t>นายทิพย์ชยพล ปารีณาพัฒน์นรี</t>
  </si>
  <si>
    <t>https://lh5.googleusercontent.com/d/10hwX5qEkQ0HSURlf0aqqEUaVjmLm79Dq</t>
  </si>
  <si>
    <t>https://drive.google.com/file/d/16I4gJ-NJdVxFz8cVW6hJufImHANGuC1K/view?usp=drivesdk</t>
  </si>
  <si>
    <t>กิจกรรมปฐมนิเทศ นักเรียนพยาบาลทหารอากาศ ชั้นปีที่ ๑ และผู้ปกครอง ประจำปีการศึกษา ๒๕๖๘</t>
  </si>
  <si>
    <t>https://lh5.googleusercontent.com/d/1oUT6oTn5Cpp3HY2pdh6ZptvAjzeuVUbc</t>
  </si>
  <si>
    <t>https://drive.google.com/file/d/1o8rJnGuaJ9sDSGDsFjODqScvr-dQVcVT/view?usp=drivesdk</t>
  </si>
  <si>
    <t>ซ้อมดนตรีไทย กิจกรรมวันรับขวัญสวีแด</t>
  </si>
  <si>
    <t>https://lh5.googleusercontent.com/d/19Lh-HGoZo8gZalfOBT7EySeLPImExjqZ</t>
  </si>
  <si>
    <t>https://drive.google.com/file/d/1FeSIRYXs-rUaYvJcspFZlVAVnKVio874/view?usp=drivesdk</t>
  </si>
  <si>
    <t>https://lh5.googleusercontent.com/d/1caoHGrE6OQiEBFJzDDdJHNhSw9DrXToT</t>
  </si>
  <si>
    <t>https://drive.google.com/file/d/1FvcnE7uo4EB9POaybr6QgenAob35CQPf/view?usp=drivesdk</t>
  </si>
  <si>
    <t>ร.อ.ขนัฏฐา นาดี</t>
  </si>
  <si>
    <t>https://lh5.googleusercontent.com/d/17d0Ic-iNqb8xxpREr9D3ka3js28blfxh</t>
  </si>
  <si>
    <t>https://drive.google.com/file/d/1LsBMy2jjTXwx6ctm2XC9dcRkV8jnfI5B/view?usp=drivesdk</t>
  </si>
  <si>
    <t>ขัดบ่อเต่า</t>
  </si>
  <si>
    <t>ศูนย์อนุรักษ์พันธุ์เต่าทะเลกองทัพเรือสัตหีบ</t>
  </si>
  <si>
    <t>1000-1400</t>
  </si>
  <si>
    <t>พ.จ.อ.ภาสกร ถึงกัน</t>
  </si>
  <si>
    <t>https://lh5.googleusercontent.com/d/1YQqXwOUpU7qO-ekweWmR9DX-rakQXK_f</t>
  </si>
  <si>
    <t>https://drive.google.com/file/d/1cd4-tZOB8KsggVu0arwqahmF2bKD6qNO/view?usp=drivesdk</t>
  </si>
  <si>
    <t>6703852</t>
  </si>
  <si>
    <t>นพอ.ปุณยาพร เสือสมิง</t>
  </si>
  <si>
    <t>กีฬารักบี้</t>
  </si>
  <si>
    <t>สนามกีฬาธูปะเตย์มี</t>
  </si>
  <si>
    <t>1130-2000</t>
  </si>
  <si>
    <t>https://lh5.googleusercontent.com/d/1i_H4THS1r0cClISPtwFd1vG62YEHRhyx</t>
  </si>
  <si>
    <t>https://drive.google.com/file/d/1hEb8cA_083_iWX6okqStHGrR8QB5YLPE/view?usp=drivesdk</t>
  </si>
  <si>
    <t>6503749</t>
  </si>
  <si>
    <t>นพอ.สิริกร พรมศรี</t>
  </si>
  <si>
    <t>https://lh5.googleusercontent.com/d/1Yn2w7X1WXzJtkWHgQn0mhDgNdkmRBF4g</t>
  </si>
  <si>
    <t>https://drive.google.com/file/d/10Lo7SX9c0k3bw2KNmJzAsU0x9WFCnl_g/view?usp=drivesdk</t>
  </si>
  <si>
    <t>https://lh5.googleusercontent.com/d/1KxrrnhOIE0tc_dpMZ2dmsZ_DbNeayLC2</t>
  </si>
  <si>
    <t>https://drive.google.com/file/d/15AcohbynR8iKAa68CztLAemu24ytHVRo/view?usp=drivesdk</t>
  </si>
  <si>
    <t>6503722</t>
  </si>
  <si>
    <t>นพอ.ปภาดา เกยูรวรรณ</t>
  </si>
  <si>
    <t>ช่วยงานกฐิน</t>
  </si>
  <si>
    <t>วัดป่าคลองนาชินรังสี</t>
  </si>
  <si>
    <t>ร.อ.หญิง เบญญาดา บุรีรัตน์</t>
  </si>
  <si>
    <t>https://lh5.googleusercontent.com/d/1RufDqyBpSEVkOO16ZlRfEqfKm1wDK8V_</t>
  </si>
  <si>
    <t>https://drive.google.com/file/d/179mvYcq_UnzXhqg_9GBvM70ikkTyvSsF/view?usp=drivesdk</t>
  </si>
  <si>
    <t>ช่วยงานตรวจคัดกรองมะเร็งเต้านม</t>
  </si>
  <si>
    <t>สโมสรประทวน</t>
  </si>
  <si>
    <t>ร.อ.ฤทธิพล อ้วนสิงห์</t>
  </si>
  <si>
    <t>https://lh5.googleusercontent.com/d/1bYCKbxV02940OJ6cL9L1VU12Vq_UbHZE</t>
  </si>
  <si>
    <t>https://drive.google.com/file/d/19WHTP8Q_LoIT4ZQVfDSWZxE_x8yIREbb/view?usp=drivesdk</t>
  </si>
  <si>
    <t>นพอ.ปภาดา เดยูรวรรณ</t>
  </si>
  <si>
    <t>ช่วยงานตรวจสุขภาพชุมชนคลองเตย</t>
  </si>
  <si>
    <t>รพ.สตคลองเตย</t>
  </si>
  <si>
    <t>ร.อ.เบญญาดา บุรีรัตน์</t>
  </si>
  <si>
    <t>https://lh5.googleusercontent.com/d/137R_g6eIgMiG88x29PgxZ9Ur2OI2okLd</t>
  </si>
  <si>
    <t>https://drive.google.com/file/d/1SDh68uaCoYznMaFPOGmDsWfYEGpm1Tlc/view?usp=drivesdk</t>
  </si>
  <si>
    <t>งานวิ่งอสม</t>
  </si>
  <si>
    <t>0500-1000</t>
  </si>
  <si>
    <t>ร.อ.เบญญา บุรีรัตน์</t>
  </si>
  <si>
    <t>https://lh5.googleusercontent.com/d/1R-SvbdFm78v36Cs1jxYRi-Zz6Xp73V05</t>
  </si>
  <si>
    <t>https://drive.google.com/file/d/1QlhzbJ91hQ2tihOO1ahVYAOm24_sECiz/view?usp=drivesdk</t>
  </si>
  <si>
    <t>งานกฐิน</t>
  </si>
  <si>
    <t>https://lh5.googleusercontent.com/d/1cNvOx0GOp-W66WXNnebffOx333rd-a3I</t>
  </si>
  <si>
    <t>https://drive.google.com/file/d/1R824vb1W98iDwDZS4L23g56KHChaCINO/view?usp=drivesdk</t>
  </si>
  <si>
    <t>ทำบุญ</t>
  </si>
  <si>
    <t>วัดอรุณ</t>
  </si>
  <si>
    <t>ร.อ.ธนเดช เกยูรวรรณ</t>
  </si>
  <si>
    <t>https://lh5.googleusercontent.com/d/1x5x53FXAwenVz3BEd4-w6pApvHjakKmr</t>
  </si>
  <si>
    <t>https://drive.google.com/file/d/173yKGBUcGokettRRIvZ2pNUTXuC5tBLK/view?usp=drivesdk</t>
  </si>
  <si>
    <t>6703841</t>
  </si>
  <si>
    <t>นพอ.ธนภูมิ กระจ่างจาย</t>
  </si>
  <si>
    <t xml:space="preserve"> ห้องเรียน นพอ.ชั้นปีที่ 1</t>
  </si>
  <si>
    <t>https://lh5.googleusercontent.com/d/1BfUm6YK7uBQeC0nfY-RlERY8vFOLnLtF</t>
  </si>
  <si>
    <t>https://drive.google.com/file/d/13x04rw6IhaiS9T1jCW3-533kVamUJVcb/view?usp=drivesdk</t>
  </si>
  <si>
    <t>6703847</t>
  </si>
  <si>
    <t>นพอ.นันทัชพร สิงห์โต</t>
  </si>
  <si>
    <t>https://lh5.googleusercontent.com/d/1Gl82B-4GturVj2_41NSl0_XTrjmdUP6i</t>
  </si>
  <si>
    <t>https://drive.google.com/file/d/1QVoqc4VAwf6aL_fChRdyehn_k8u27H__/view?usp=drivesdk</t>
  </si>
  <si>
    <t>6703855</t>
  </si>
  <si>
    <t>37</t>
  </si>
  <si>
    <t>นพอ.พนารัตน์ สร้างลิ้ม</t>
  </si>
  <si>
    <t>https://lh5.googleusercontent.com/d/1JCp4SwUEFrKBi0ymyxwNLU1LvaThVYSP</t>
  </si>
  <si>
    <t>https://drive.google.com/file/d/1YOs0siK3HvZkadlFek3AUIajBY3ZRV7v/view?usp=drivesdk</t>
  </si>
  <si>
    <t>https://lh5.googleusercontent.com/d/1WNOWa-3Ck494Mfgb7Owp-tit4GyAq5Wk</t>
  </si>
  <si>
    <t>https://drive.google.com/file/d/1-PzByfjHFQ_xJ3zTGBITHEenrs22HJpW/view?usp=drivesdk</t>
  </si>
  <si>
    <t>https://lh5.googleusercontent.com/d/1BTFDJGXQ93oY09tn4F6CQgoUHXJnVd4M</t>
  </si>
  <si>
    <t>https://drive.google.com/file/d/19Ah8QThWs5dH_G3r0BjLGoW9XbuiZi-i/view?usp=drivesdk</t>
  </si>
  <si>
    <t>ห้องเรียนนพอ.ชั้นปีที่1</t>
  </si>
  <si>
    <t>https://lh5.googleusercontent.com/d/1jQrSA0FHBHPDKopDdBr7yC3wV2xcZJnV</t>
  </si>
  <si>
    <t>https://drive.google.com/file/d/1RUtIK4j61Cr5yncGL-xTr8RyWQo3_vrR/view?usp=drivesdk</t>
  </si>
  <si>
    <t>https://lh5.googleusercontent.com/d/1xNKDCcB6ibdAJWQq4o3-owjr28J_sNRb</t>
  </si>
  <si>
    <t>https://drive.google.com/file/d/10iq56HJVgzbRl6qphN3inRzCqotCOiwQ/view?usp=drivesdk</t>
  </si>
  <si>
    <t>https://lh5.googleusercontent.com/d/1_fYB-T4uWs3xkVxF6Ma6_Tfh_tZMqRwL</t>
  </si>
  <si>
    <t>https://drive.google.com/file/d/1YiUccDJw2AS6iPMD7YYd-hUTyn_gVANp/view?usp=drivesdk</t>
  </si>
  <si>
    <t>https://lh5.googleusercontent.com/d/1R6piRsZKL31g52NCGJ5GbvvJwVkDnAWG</t>
  </si>
  <si>
    <t>https://drive.google.com/file/d/18mZ3tBW54pyWu5EvY4SwzIJXo8gSvagQ/view?usp=drivesdk</t>
  </si>
  <si>
    <t>https://lh5.googleusercontent.com/d/1_l4NNQxikAnZJ9k49_dMd_bwDRG-rHGg</t>
  </si>
  <si>
    <t>https://drive.google.com/file/d/14FyqEBnlS6WEWOKAUvPJLmvP3UEfW8v4/view?usp=drivesdk</t>
  </si>
  <si>
    <t>https://lh5.googleusercontent.com/d/1U7Sm12Xfuc6c6YeKOnUELhZPSRgie5TC</t>
  </si>
  <si>
    <t>https://drive.google.com/file/d/1jaqyXi_1G320fxngdPXAHvUn_AS3XeQO/view?usp=drivesdk</t>
  </si>
  <si>
    <t>https://lh5.googleusercontent.com/d/1xNHCS575TN374TuzOpHRzUmt6He6iO2w</t>
  </si>
  <si>
    <t>https://drive.google.com/file/d/1oWNAlCXwSPK3eoFLjRQD7G8GI9XL_Swf/view?usp=drivesdk</t>
  </si>
  <si>
    <t>https://lh5.googleusercontent.com/d/1ivMCdoc9BYhNuRacs_VzFipEPkCiwDme</t>
  </si>
  <si>
    <t>https://drive.google.com/file/d/1PqQKv10V-w6f8l-FJIGATCsIgsg6yOWD/view?usp=drivesdk</t>
  </si>
  <si>
    <t>https://lh5.googleusercontent.com/d/1g4skPizjIrfPYW-FRY7TSg9lXxQJPxcP</t>
  </si>
  <si>
    <t>https://drive.google.com/file/d/1GXk6N1zZKzlk0VUElK-UQtG1NV18VJmf/view?usp=drivesdk</t>
  </si>
  <si>
    <t>เก็บขยะที่สถานปฏิบัติธรรม</t>
  </si>
  <si>
    <t>สถานปฏิบัติธรรมพุทธพรหมปัญโญ เพชรบุรี</t>
  </si>
  <si>
    <t>วัชรดุล ลีชูวงศ์</t>
  </si>
  <si>
    <t>https://lh5.googleusercontent.com/d/1TWh0UbzVIb0TFtoebDdFEHJjshbL1QVU</t>
  </si>
  <si>
    <t>https://drive.google.com/file/d/1GJ2rm1l95TQyaoTOOwNX_e5-5R0wdCGK/view?usp=drivesdk</t>
  </si>
  <si>
    <t>วัดท่ากระเทียม</t>
  </si>
  <si>
    <t>ลำใย มินศิริ</t>
  </si>
  <si>
    <t>https://lh5.googleusercontent.com/d/1vuaX0lmRBxeOIy7_EKKUg0ByAHA6raIm</t>
  </si>
  <si>
    <t>https://drive.google.com/file/d/1Cnt5D-F0OYnbImxxf4QcfBY2C4HlD74x/view?usp=drivesdk</t>
  </si>
  <si>
    <t>วัดไสค้าน เพชรบุรี</t>
  </si>
  <si>
    <t>1000</t>
  </si>
  <si>
    <t>ธัญจิรา มินศิริ</t>
  </si>
  <si>
    <t>https://lh5.googleusercontent.com/d/1JSsCy4os-nf_Um4C0lIOLXyqkgBQJORt</t>
  </si>
  <si>
    <t>https://drive.google.com/file/d/1bm3aYcwlWyU5MemK4ZsrLFoG_0FV55ni/view?usp=drivesdk</t>
  </si>
  <si>
    <t>1200 - 1600</t>
  </si>
  <si>
    <t>https://lh5.googleusercontent.com/d/18sd7q3b_MA7TuJRG9Oo1aoKXQMaDxB1T</t>
  </si>
  <si>
    <t>https://drive.google.com/file/d/1ALL7kko30xYMdq4ASfORTsCFrwCUwY4k/view?usp=drivesdk</t>
  </si>
  <si>
    <t>https://lh5.googleusercontent.com/d/1pQGaPj-aKK8dxfviLM8TKyYZBgexbHOJ</t>
  </si>
  <si>
    <t>https://drive.google.com/file/d/1RgVhCgBQ9zFBS8W1MLtx227ktcH8T77a/view?usp=drivesdk</t>
  </si>
  <si>
    <t>วิทยาลัยพยาบาลทหารอากาศ กรมแพทย์ทหารอากาศ</t>
  </si>
  <si>
    <t>https://lh5.googleusercontent.com/d/15xSvkOMhCviwx43594NKkHDLS--QIvKN</t>
  </si>
  <si>
    <t>https://drive.google.com/file/d/1yIOSt4_o4YoN16afzI5ak7Tba5F__y-z/view?usp=drivesdk</t>
  </si>
  <si>
    <t>ฝึกซ้อมดนตรีไทย งานไหว้ครู10สถาบัน</t>
  </si>
  <si>
    <t>วพ.ตร.</t>
  </si>
  <si>
    <t>0800-1500</t>
  </si>
  <si>
    <t>ร.อ.หญิง ขนัฎฐา นาดี</t>
  </si>
  <si>
    <t>https://lh5.googleusercontent.com/d/1t8EiZfTpWa3RmjLO80pr8iEiZdbhoEOu</t>
  </si>
  <si>
    <t>https://drive.google.com/file/d/1eaJAq5-gX6TTC91i6h-aJDv3ZqnA7E8h/view?usp=drivesdk</t>
  </si>
  <si>
    <t>ร.อ.หญิงขนัฎฐา นาดี</t>
  </si>
  <si>
    <t>https://lh5.googleusercontent.com/d/1j6_cvlKRaBpX7fduL81D3W8WCqV98ezG</t>
  </si>
  <si>
    <t>https://drive.google.com/file/d/1FZBi3T8zhsHao1uoQRyvwXCfKCQevP69/view?usp=drivesdk</t>
  </si>
  <si>
    <t>https://lh5.googleusercontent.com/d/17tnx-iJiHPzHFkVaJwacUhZMyVQPWY86</t>
  </si>
  <si>
    <t>https://drive.google.com/file/d/1jSaeVOOl7wEJtSid6POGdM5-XK227len/view?usp=drivesdk</t>
  </si>
  <si>
    <t>โรงเรียนนวมิทรกษัตริยาธิราช</t>
  </si>
  <si>
    <t>ร.ต.หญิง สุริยกาล มงคนมะไฟ</t>
  </si>
  <si>
    <t>https://lh5.googleusercontent.com/d/11S5-3x7A5or1GFesSUn3BgS4uUf4zAVg</t>
  </si>
  <si>
    <t>https://drive.google.com/file/d/1i4iMqTiBoLr0Urb9KejcAarhDvWLCfXU/view?usp=drivesdk</t>
  </si>
  <si>
    <t>จ.ส.อ.ดาวรุ่ง คงเจริญ</t>
  </si>
  <si>
    <t>https://lh5.googleusercontent.com/d/1Mf5hSnsr7E6OOR2IT8Vm3mJ1RleKlMS1</t>
  </si>
  <si>
    <t>https://drive.google.com/file/d/1TujxeeqlX-J6whOIwW6A1OEA3R3FS86L/view?usp=drivesdk</t>
  </si>
  <si>
    <t xml:space="preserve"> ช่วยท่านอาจารย์แพ็คเสื้อ</t>
  </si>
  <si>
    <t>ห้องปกครอง วพอ.</t>
  </si>
  <si>
    <t>1600-1800</t>
  </si>
  <si>
    <t>ิ  ร.อ.หญิง ขนัฎฐา นาดี</t>
  </si>
  <si>
    <t>https://lh5.googleusercontent.com/d/1WpsmAgKx6hj5nIyTntCJQbMJ8GnoH1ZY</t>
  </si>
  <si>
    <t>https://drive.google.com/file/d/1JjwJyb__Gxo9FY_2ePN8FaAKTq5Si-Vp/view?usp=drivesdk</t>
  </si>
  <si>
    <t>ช่วยท่านอาจารย์แพ็คเสื้อ</t>
  </si>
  <si>
    <t>https://lh5.googleusercontent.com/d/1AF9VlXqsv_d1FMsUyr5krzT87gZJrbL2</t>
  </si>
  <si>
    <t>https://drive.google.com/file/d/1Cwdy3aKd8fczm3b42_nyAB0703i4XOra/view?usp=drivesdk</t>
  </si>
  <si>
    <t>6803921</t>
  </si>
  <si>
    <t>นพอ.พิชญาภรณ์ บุตรวัง</t>
  </si>
  <si>
    <t>https://lh5.googleusercontent.com/d/1uL8rrtlWX3NKVVc_ymLIbfO2Eu51dvkN</t>
  </si>
  <si>
    <t>https://drive.google.com/file/d/1VagjHp0QIxx5Lofd-MWwlL_Z9B1ZdEjW/view?usp=drivesdk</t>
  </si>
  <si>
    <t>6503740</t>
  </si>
  <si>
    <t>นพอ.วรวลัญช์ เกตุแก้ว</t>
  </si>
  <si>
    <t>ทำสวน</t>
  </si>
  <si>
    <t>15.35</t>
  </si>
  <si>
    <t>น.ส.นุสรา เนียมสูงเนิน</t>
  </si>
  <si>
    <t>https://lh5.googleusercontent.com/d/14ea6Hn5-GlijFo2lfYnxN18ODw--hafJ</t>
  </si>
  <si>
    <t>https://drive.google.com/file/d/1HD6Eqzt7CWwkcSiOsd_JRGkcSJyL5zx2/view?usp=drivesdk</t>
  </si>
  <si>
    <t>https://lh5.googleusercontent.com/d/1E6SET-6jybw4Jne7_KpwpzQQeauLyRnD</t>
  </si>
  <si>
    <t>https://drive.google.com/file/d/1EMiDGxepdXFlJ3VjzE_MFas2pBMFEL1O/view?usp=drivesdk</t>
  </si>
  <si>
    <t>ขูดมะละกอเตรียมงานกฐิน</t>
  </si>
  <si>
    <t>1030</t>
  </si>
  <si>
    <t>น.ส.จิราภรณ์ พินิจนอก</t>
  </si>
  <si>
    <t>https://lh5.googleusercontent.com/d/1sBMmlVmoBo6jZ_snK3dVjdyEVZddSNTi</t>
  </si>
  <si>
    <t>https://drive.google.com/file/d/1hNMO5h1KjSLa0Cr8-AAxd6L3QcUEORNI/view?usp=drivesdk</t>
  </si>
  <si>
    <t>ทำบุญงานกฐิน</t>
  </si>
  <si>
    <t>0930</t>
  </si>
  <si>
    <t>https://lh5.googleusercontent.com/d/1xKKhVIercZ-8w_RPltUAvU6551wv8juT</t>
  </si>
  <si>
    <t>https://drive.google.com/file/d/1hVa_jW_v-1smmsL7NqVcfVgQAAIjbcTc/view?usp=drivesdk</t>
  </si>
  <si>
    <t>ช่วยท่านอาจารย์เเพ็คเสื้อ</t>
  </si>
  <si>
    <t>https://lh5.googleusercontent.com/d/1S9R6BVSlhOzPwJo2SFty0pOQS4NrBbRV</t>
  </si>
  <si>
    <t>https://drive.google.com/file/d/15z-mxqOmKA3IW1jxI427yQtVWD-RZQ84/view?usp=drivesdk</t>
  </si>
  <si>
    <t>ช่วยวัดเก็บของ</t>
  </si>
  <si>
    <t>1130</t>
  </si>
  <si>
    <t>https://lh5.googleusercontent.com/d/1PGeWuV5VqQrQQDmeM6z2QHcGSU2EgnhE</t>
  </si>
  <si>
    <t>https://drive.google.com/file/d/1mgO3YZ1az-0iNnLP5ireyamSYO9JNr3w/view?usp=drivesdk</t>
  </si>
  <si>
    <t>14.00 น.</t>
  </si>
  <si>
    <t>https://lh5.googleusercontent.com/d/1-xJOzhIXxGO7flve3Zz7qKwnIFpGGRLq</t>
  </si>
  <si>
    <t>https://drive.google.com/file/d/1DgIoEj7JAzm-_saSplxM42aWud4847Ne/view?usp=drivesdk</t>
  </si>
  <si>
    <t>ห้องปกครอง วพอ.พอ.</t>
  </si>
  <si>
    <t>https://lh5.googleusercontent.com/d/15YGwy8Wn_ZVGQx6o5SSr2uzloeyb7BKt</t>
  </si>
  <si>
    <t>https://drive.google.com/file/d/1j8SKXlL7pLDj5yRY-cHcNZQz2bAcRSEn/view?usp=drivesdk</t>
  </si>
  <si>
    <t>ห้องปกครองวพอ.พอ.</t>
  </si>
  <si>
    <t>https://lh5.googleusercontent.com/d/1KRCzHaiyV0-Bm1IMpH098c6RTBX8F6Ka</t>
  </si>
  <si>
    <t>https://drive.google.com/file/d/1ZKgYOl2lRjPfVWaxhmntuLW7NbxjObYb/view?usp=drivesdk</t>
  </si>
  <si>
    <t>https://lh5.googleusercontent.com/d/1KZ9cvxh05TvnTRXicnN-_DUQ2o5BpcK0</t>
  </si>
  <si>
    <t>https://drive.google.com/file/d/1mcBIYSJYYKXj1IJJBeu2332AFGh_WzMI/view?usp=drivesdk</t>
  </si>
  <si>
    <t>https://lh5.googleusercontent.com/d/1mi9O3mjV-nJTB_YB0K2hdl7ddXgX_CKH</t>
  </si>
  <si>
    <t>https://drive.google.com/file/d/1HqPfYKgmUY3jO2qeUAYCuXjP0tzG8mWm/view?usp=drivesdk</t>
  </si>
  <si>
    <t>https://lh5.googleusercontent.com/d/1vdBP2q0vGsADvlgUVzK_6ufAGFNPhEuw</t>
  </si>
  <si>
    <t>https://drive.google.com/file/d/1DX05amxWIxI8cS3QXsvaYc9BKMZbZ1m2/view?usp=drivesdk</t>
  </si>
  <si>
    <t>https://lh5.googleusercontent.com/d/1XQaKmtEnF0s0lJWtATZN3gw5Q8n3_64L</t>
  </si>
  <si>
    <t>https://drive.google.com/file/d/1EKAHjq4YCMCmL9dajo9wsXd4OSX69l3h/view?usp=drivesdk</t>
  </si>
  <si>
    <t>https://lh5.googleusercontent.com/d/1wgFDQbyEYdCQKMQWy_uwYzAJbMdYdMsJ</t>
  </si>
  <si>
    <t>https://drive.google.com/file/d/1mUDr8Bl5enFh0Cg_kZADYiR-r0xLmxXf/view?usp=drivesdk</t>
  </si>
  <si>
    <t>6703863</t>
  </si>
  <si>
    <t>นพอ.ยศสินี มีมงคล</t>
  </si>
  <si>
    <t>https://lh5.googleusercontent.com/d/1ydTptFZM_CQixNyfliOx1ZKhFTYjNiJq</t>
  </si>
  <si>
    <t>https://drive.google.com/file/d/1xhc6rD7MI_oTHmKihRw29Z0wiQ5qED7F/view?usp=drivesdk</t>
  </si>
  <si>
    <t>6703825</t>
  </si>
  <si>
    <t>8</t>
  </si>
  <si>
    <t>นพอ.จิราภา กลิ่นมณฑา</t>
  </si>
  <si>
    <t>คอนเสิร์ตทัพฟ้าคู่ไทยเพื่อ“ชัยพัฒนา” ครั้งที่ 16</t>
  </si>
  <si>
    <t>https://lh5.googleusercontent.com/d/1TKNhns88UPb4VRDzZRQt2tZCKIsE4l5e</t>
  </si>
  <si>
    <t>https://drive.google.com/file/d/1u-zU3xllxbhHPF0cp9hkM9z3hbS_UifN/view?usp=drivesdk</t>
  </si>
  <si>
    <t>https://lh5.googleusercontent.com/d/1AAUQ5LQfZuEppXQ82TkaLWl8HJFEzNvP</t>
  </si>
  <si>
    <t>https://drive.google.com/file/d/13fGXf9fMZCBzd-x8SndVmNEh-rUre1PN/view?usp=drivesdk</t>
  </si>
  <si>
    <t>https://lh5.googleusercontent.com/d/11QKbzTmhPLJ6Q91M9yfOUSF_zJmbUyeS</t>
  </si>
  <si>
    <t>https://drive.google.com/file/d/1E9qJzaGXGsiaW74fa1YU7JtR63ln82oO/view?usp=drivesdk</t>
  </si>
  <si>
    <t>https://lh5.googleusercontent.com/d/1KvzAeDpx3LD-1ObgSFxFntPMtEuc1fqg</t>
  </si>
  <si>
    <t>https://drive.google.com/file/d/1NJ27VdZlLw0BrcMTpc-18jDVGhFJhu7a/view?usp=drivesdk</t>
  </si>
  <si>
    <t>https://lh5.googleusercontent.com/d/1e8rCAfz8ZoaDoOOVC25q4Dmo0dSZEHla</t>
  </si>
  <si>
    <t>https://drive.google.com/file/d/1hA-UMpJdI2-1UhIiPUlXGpN4IFDtc-pS/view?usp=drivesdk</t>
  </si>
  <si>
    <t>https://lh5.googleusercontent.com/d/1Lob7qULTcZ7rgny3NFBMur7KAUjhww7v</t>
  </si>
  <si>
    <t>https://drive.google.com/file/d/1wFvlGKTUW-X6AcJjnuVbUZMm-aiqpkum/view?usp=drivesdk</t>
  </si>
  <si>
    <t>https://lh5.googleusercontent.com/d/1uojeJkOnVtug_KN3I0NGEMityQDctP8B</t>
  </si>
  <si>
    <t>https://drive.google.com/file/d/16Sld9LqI2ThJronB-2COGWsUiBTtqQ7C/view?usp=drivesdk</t>
  </si>
  <si>
    <t>https://lh5.googleusercontent.com/d/1ud0W1AHDFXGVg2-maC4S6QB244Y6bNO4</t>
  </si>
  <si>
    <t>https://drive.google.com/file/d/1m4gLQU2tej_KpCpz_p64DzwkBQFiV6p9/view?usp=drivesdk</t>
  </si>
  <si>
    <t>โีรงเรียนเทศบาล 1 สถาวร จ.ชลบุรี</t>
  </si>
  <si>
    <t>https://lh5.googleusercontent.com/d/1TaULK0C3pB_GeJ2ecttVobjRr-d6iq-i</t>
  </si>
  <si>
    <t>https://drive.google.com/file/d/1vwO4yZTdAZb1L9AOkW4RSqHIbJBuP25a/view?usp=drivesdk</t>
  </si>
  <si>
    <t>https://lh5.googleusercontent.com/d/1CfWelTKyYHHm7yC4TreSNVY24hygFrga</t>
  </si>
  <si>
    <t>https://drive.google.com/file/d/1IxY1MZTVgr2e6QHU9mAfNjB7kI9YkHLB/view?usp=drivesdk</t>
  </si>
  <si>
    <t>ซ้อมดนตรีไทยวงรวม10สถาบัน งานไหว้ครูดนตรีไทย10สถาบัน</t>
  </si>
  <si>
    <t>0700-1400</t>
  </si>
  <si>
    <t>https://lh5.googleusercontent.com/d/1kFNb7T3-_qY6F9g4RPQ-1wN1X23eaLRe</t>
  </si>
  <si>
    <t>https://drive.google.com/file/d/1p-o5xsgvCzsLZE38g7dsMh5Fb-Dq9u5g/view?usp=drivesdk</t>
  </si>
  <si>
    <t>https://lh5.googleusercontent.com/d/1wiolRPpA_wVYIeJPGrcSACNZrfEFex6B</t>
  </si>
  <si>
    <t>https://drive.google.com/file/d/1dxM_85T63Hw1zppu9QiKps3-KeP9XnKA/view?usp=drivesdk</t>
  </si>
  <si>
    <t>https://lh5.googleusercontent.com/d/1fMcimZhXl8GXHgz8vMmLn9F7OawIx5zv</t>
  </si>
  <si>
    <t>https://drive.google.com/file/d/1a_3Dmwg0YRIR3Z83fqyCIZWcWYFequ0-/view?usp=drivesdk</t>
  </si>
  <si>
    <t>https://lh5.googleusercontent.com/d/1ZNOeb8EgDGl1p8dqsjca-qtyoRjAUckj</t>
  </si>
  <si>
    <t>https://drive.google.com/file/d/1yBepSS57SumDUZF8X7ZNk19rCvX9VqXc/view?usp=drivesdk</t>
  </si>
  <si>
    <t>https://lh5.googleusercontent.com/d/1MfpXEmR-ZJ5_dpcGoyZhHXOOEVCoFrcu</t>
  </si>
  <si>
    <t>https://drive.google.com/file/d/1xLdlAE6hoG5sI6SMixEJBPUZ2VkVCiDR/view?usp=drivesdk</t>
  </si>
  <si>
    <t>https://lh5.googleusercontent.com/d/14yiD9lDcZmANB-D4S2op5C5rhyf1liUe</t>
  </si>
  <si>
    <t>https://drive.google.com/file/d/1HVN2AorvDFh48Ob1-x2nN7m-PfY5nsVo/view?usp=drivesdk</t>
  </si>
  <si>
    <t>6803928</t>
  </si>
  <si>
    <t>47</t>
  </si>
  <si>
    <t>นพอ.มนัญชยา สุขพี้</t>
  </si>
  <si>
    <t>https://lh5.googleusercontent.com/d/16ppzH9muKkevp87BjWuPGmOTDIQ6_o0R</t>
  </si>
  <si>
    <t>https://drive.google.com/file/d/1FXAUZo_iF-vL5szVTjCQpcRPfAfmPlBR/view?usp=drivesdk</t>
  </si>
  <si>
    <t>ขนย้ายของ หอนพอ.ชาย</t>
  </si>
  <si>
    <t>วพอ.พอ ตึกศูนย์การเรียนรู้</t>
  </si>
  <si>
    <t>https://lh5.googleusercontent.com/d/1L9HbhTpoag8dWzuqXRpAQniycF93R9fq</t>
  </si>
  <si>
    <t>https://drive.google.com/file/d/1EAxujLxG7VSaiQn5mOoA4EbxoBko5RT1/view?usp=drivesdk</t>
  </si>
  <si>
    <t>https://lh5.googleusercontent.com/d/1_qsJdQJaDpzYOA8tLlQnk0kLeKFILUiI</t>
  </si>
  <si>
    <t>https://drive.google.com/file/d/1tzg_eHNIAr2HkW2sERP_qfi5pg8L7bLu/view?usp=drivesdk</t>
  </si>
  <si>
    <t>https://lh5.googleusercontent.com/d/1oP9MdC14uId4EOWIv9LqF9fwRUuLIQGl</t>
  </si>
  <si>
    <t>https://drive.google.com/file/d/12XmLTCTW3s6XqY9yUbfb_XeJzLA9flXj/view?usp=drivesdk</t>
  </si>
  <si>
    <t>https://lh5.googleusercontent.com/d/17Fp5d68375OCRweXSJ8wOcIiICOR3JS5</t>
  </si>
  <si>
    <t>https://drive.google.com/file/d/17aGPqM3fR-S5DA8WTQVbZRXSDQrtdYc4/view?usp=drivesdk</t>
  </si>
  <si>
    <t>https://lh5.googleusercontent.com/d/1Ir9Bf9pj_zOZl8GqJwx0Hn3xJuUPyBhl</t>
  </si>
  <si>
    <t>https://drive.google.com/file/d/1wVUBRi4_-fKR8a9cz4PyK3WBKxYYlrda/view?usp=drivesdk</t>
  </si>
  <si>
    <t>6703823</t>
  </si>
  <si>
    <t>นพอ.ข้าวขวัญ ดุจธรรมสาร</t>
  </si>
  <si>
    <t>https://lh5.googleusercontent.com/d/1FSfjHU925l6KzzVuVwy_XA04O5jRK87j</t>
  </si>
  <si>
    <t>https://drive.google.com/file/d/1cYA57JrfKluFY3mYchZtv08KuuosqRzY/view?usp=drivesdk</t>
  </si>
  <si>
    <t>https://lh5.googleusercontent.com/d/1fwxYwn7LjywH6f18gU7as-LX2DK0u043</t>
  </si>
  <si>
    <t>https://drive.google.com/file/d/1SFDq30k2FbGdVOi8j5bk1u5s0jzC93XP/view?usp=drivesdk</t>
  </si>
  <si>
    <t>ร.ท. เรวัติ วัชรสิทธิ์</t>
  </si>
  <si>
    <t>https://lh5.googleusercontent.com/d/1YbMM_2cDX4NlU0IPftPjyHWrOa_eXs5U</t>
  </si>
  <si>
    <t>https://drive.google.com/file/d/1vzamLopVC52sYkwGdh-nKRGVe3fz0T4P/view?usp=drivesdk</t>
  </si>
  <si>
    <t>คอนเสิร์ตทัพฟ้าคู่ไทยเพื่อ”ชัยพัฒนา“ ครั้งที่ 16</t>
  </si>
  <si>
    <t>https://lh5.googleusercontent.com/d/19M_23rsdIg3KzN-kc1SA4RXLg8Tb-8ef</t>
  </si>
  <si>
    <t>https://drive.google.com/file/d/15otmYEpChrFS-en9V7nZE75dYwYaS4kB/view?usp=drivesdk</t>
  </si>
  <si>
    <t xml:space="preserve">คอนเสิร์ตทัพฟ้าคู่ไทยเพื่อ“ชัยพัฒนา” ครั้งที่ 16 </t>
  </si>
  <si>
    <t>https://lh5.googleusercontent.com/d/1NxpfyO4uEluxqseUw1TZOQusxbIkb5ej</t>
  </si>
  <si>
    <t>https://drive.google.com/file/d/1vxTNitjQyzMsg9RheRFTtBqk9A_6eYsA/view?usp=drivesdk</t>
  </si>
  <si>
    <t>https://lh5.googleusercontent.com/d/1TLebtnRtBhBRVUCMNgZ0LaAcoeuRveKs</t>
  </si>
  <si>
    <t>https://drive.google.com/file/d/1kVQNoNAINe-iF8sKBzPKuYgEmM75iNCa/view?usp=drivesdk</t>
  </si>
  <si>
    <t>พิธีรับ-ส่งหน้าที่ผู้บัญชาการทหารอากาศ</t>
  </si>
  <si>
    <t>https://lh5.googleusercontent.com/d/18GCLXDLuy5aYHeDyJI_eBuntUQsJcI-M</t>
  </si>
  <si>
    <t>https://drive.google.com/file/d/1snG3RsV_T5QmHpygW3zCG4Htp4TQEQDC/view?usp=drivesdk</t>
  </si>
  <si>
    <t>สิณีนาฏ อุทา</t>
  </si>
  <si>
    <t>https://lh5.googleusercontent.com/d/1CFDfchqPcKuhOl90osS2sBRYpA8hF7vt</t>
  </si>
  <si>
    <t>https://drive.google.com/file/d/1x7Ci0vBxlV8ijFeV9uEffSI8O32pgHCC/view?usp=drivesdk</t>
  </si>
  <si>
    <t>https://lh5.googleusercontent.com/d/1E3GvDpCBMRzWStb487WMYspIQzJ_kcEK</t>
  </si>
  <si>
    <t>https://drive.google.com/file/d/1tnPXsDB5qTy2MzlTr7dOUNuW2mJXL_RE/view?usp=drivesdk</t>
  </si>
  <si>
    <t>ซ้อมรับขวัญสวีแด</t>
  </si>
  <si>
    <t>https://lh5.googleusercontent.com/d/1FRASG3NTy992D3abfzW3MP7IKxSk37ls</t>
  </si>
  <si>
    <t>https://drive.google.com/file/d/1wI6jPwTe2Yng95ZbnlN-a4Y4G-5L_pko/view?usp=drivesdk</t>
  </si>
  <si>
    <t>6603754</t>
  </si>
  <si>
    <t>นพอ.กรกนก วิไลลักษณ์</t>
  </si>
  <si>
    <t>คอนเสิร์ตทัพฟ้าคู่ไทยเพื่อชัยพัฒนาครั้งที่ 16</t>
  </si>
  <si>
    <t>https://lh5.googleusercontent.com/d/1GYXm0UK1HJrbnD83afaz0ZYTE_VVJtI5</t>
  </si>
  <si>
    <t>https://drive.google.com/file/d/1vxX315NMZHKItXoaZg6HIZXPOCSg991C/view?usp=drivesdk</t>
  </si>
  <si>
    <t>https://lh5.googleusercontent.com/d/1vSmteFngTlwWZ8JZYzB-b4VNNXW1vltk</t>
  </si>
  <si>
    <t>https://drive.google.com/file/d/1t4yWYNWcD9xpDBr7yw-douSvVxCNKbkC/view?usp=drivesdk</t>
  </si>
  <si>
    <t>https://lh5.googleusercontent.com/d/1hkE-RSHgirWsNTEKtfx36sdOgqffEvP2</t>
  </si>
  <si>
    <t>https://drive.google.com/file/d/1X9RsdnFXzFWQIS6KMvF2vq3eIq_jl7Sx/view?usp=drivesdk</t>
  </si>
  <si>
    <t>รับขวัญสวีแด</t>
  </si>
  <si>
    <t>https://lh5.googleusercontent.com/d/1zwAqyT2UJdu1b0BGrBtieEXn5cGttw5w</t>
  </si>
  <si>
    <t>https://drive.google.com/file/d/1kAN-z27SJ8kVXiuPGn2CSv8BIq9vxSZH/view?usp=drivesdk</t>
  </si>
  <si>
    <t>6503737</t>
  </si>
  <si>
    <t>นพอ.รุจิรดา  ศรีไชยกิจ</t>
  </si>
  <si>
    <t>วันบ้านนา</t>
  </si>
  <si>
    <t>นางรัตติกาล หงษ์ศิริ</t>
  </si>
  <si>
    <t>https://lh5.googleusercontent.com/d/1yeCF95hGQzsJ-UjUeMBRdZq9PaGAX-w6</t>
  </si>
  <si>
    <t>https://drive.google.com/file/d/1T3I9gCby_u73DgCRO_Af7VCZT446g3v6/view?usp=drivesdk</t>
  </si>
  <si>
    <t>6503748</t>
  </si>
  <si>
    <t>58</t>
  </si>
  <si>
    <t>นพอ.สรัญญา ขุนสังวาลย์</t>
  </si>
  <si>
    <t>https://lh5.googleusercontent.com/d/1UI0m9OZ0p2vRLlbOVVDY93CQVPLzYC4L</t>
  </si>
  <si>
    <t>https://drive.google.com/file/d/1xd3rpLYczBnxN043W2ftHgdoSMw2EVx3/view?usp=drivesdk</t>
  </si>
  <si>
    <t>https://lh5.googleusercontent.com/d/1gpro0HloAQ3bXSq2EjQtysFjM54sOUHn</t>
  </si>
  <si>
    <t>https://drive.google.com/file/d/1VPXkTGs8ejwM8EF7dMiVHCdWOBYFUU6g/view?usp=drivesdk</t>
  </si>
  <si>
    <t>https://lh5.googleusercontent.com/d/1EkwQJgmWgqfcXo6pnJy4bp4fQx6dzyWw</t>
  </si>
  <si>
    <t>https://drive.google.com/file/d/1q1hmMfXmZM2y03MRuuKzVUkwMFRLmiaD/view?usp=drivesdk</t>
  </si>
  <si>
    <t>การแข่งขันลักบี้</t>
  </si>
  <si>
    <t>สนามกีฬาธุปะเตมีย์</t>
  </si>
  <si>
    <t>น.ต.หญิง อนุกูล  บำรุงวงศ์</t>
  </si>
  <si>
    <t>https://lh5.googleusercontent.com/d/1SjQxSSjRRshN46fT0_LCOJXFP3Ns-OOS</t>
  </si>
  <si>
    <t>https://drive.google.com/file/d/1eHX1gaujb7nLkSp7fcIIQmKoQ-imu1vy/view?usp=drivesdk</t>
  </si>
  <si>
    <t>น.ต.หญิงตวงทิพย์  ลดาวัลย์</t>
  </si>
  <si>
    <t>https://lh5.googleusercontent.com/d/173R7x1XTizcoXxqV4HC2DQIC6DOkeFzc</t>
  </si>
  <si>
    <t>https://drive.google.com/file/d/1C7V9QU6Vyx9DEHmf4-U2sfHGvvTQn4iY/view?usp=drivesdk</t>
  </si>
  <si>
    <t>ช่วยยกของหอชาย</t>
  </si>
  <si>
    <t>ศูนย์การเรียนรู้</t>
  </si>
  <si>
    <t>https://lh5.googleusercontent.com/d/1mXiVc23Hd8feYrkCeEYXDutJulXgsJ9w</t>
  </si>
  <si>
    <t>https://drive.google.com/file/d/1mvPpAzeVR7SpdUJ8GI3cR-DKYlTLnJtm/view?usp=drivesdk</t>
  </si>
  <si>
    <t>นงท.หญิง สิรินันท์ ชูเชิด</t>
  </si>
  <si>
    <t>https://lh5.googleusercontent.com/d/1G-onwqtvZwy1Wx26f1tKt_GBE3W89JMR</t>
  </si>
  <si>
    <t>https://drive.google.com/file/d/1RMc3zMylf20mYBaee0-V0adglht0dBPH/view?usp=drivesdk</t>
  </si>
  <si>
    <t>ขนของหอชาย</t>
  </si>
  <si>
    <t>https://lh5.googleusercontent.com/d/1k6foeVaFkcD-DMwprsfBkMfgGJBj1x12</t>
  </si>
  <si>
    <t>https://drive.google.com/file/d/17FXR938mYwjUnMIuF3g364U43b6lDsZk/view?usp=drivesdk</t>
  </si>
  <si>
    <t>https://lh5.googleusercontent.com/d/1fqKyZUv06QHmk3kySYQrwBawTFQh41MQ</t>
  </si>
  <si>
    <t>https://drive.google.com/file/d/1N3GugfQwWizT10G18mbzMUOPd5Jgbq-0/view?usp=drivesdk</t>
  </si>
  <si>
    <t>ทำความสะอาดบริเวณรอบรพ.สต.</t>
  </si>
  <si>
    <t>รพ.สต.บางกะไห</t>
  </si>
  <si>
    <t>นางรัตติกาล  หงษ์ศิริ</t>
  </si>
  <si>
    <t>https://lh5.googleusercontent.com/d/1NpAlgEnoMn9USA8ajwJiPmo3i_3HsQg2</t>
  </si>
  <si>
    <t>https://drive.google.com/file/d/1oMbHJyCiZQ11k6ijmY_74aO0slAzWvUe/view?usp=drivesdk</t>
  </si>
  <si>
    <t>รับเสด็จงานรับปริญญา 2568</t>
  </si>
  <si>
    <t>https://lh5.googleusercontent.com/d/12irtP0B2aC0Eqhy6r1KPGiE6yBHd6hkD</t>
  </si>
  <si>
    <t>https://drive.google.com/file/d/1XDsf1a1UcGdUIYp4mi6xiFn3Iveb9HCE/view?usp=drivesdk</t>
  </si>
  <si>
    <t>ทำความสะอาดบริเวณโรงเรียนวัดบ้านนา</t>
  </si>
  <si>
    <t>โรงเรียนวัดบ้านนา</t>
  </si>
  <si>
    <t>https://lh5.googleusercontent.com/d/1D_dpA0P1QEAN27dS0grDkwJZ-gCjlFos</t>
  </si>
  <si>
    <t>https://drive.google.com/file/d/1uG4WEmx_y_OsvxSMebohF-qVhnMQ48BR/view?usp=drivesdk</t>
  </si>
  <si>
    <t>6603773</t>
  </si>
  <si>
    <t>นพอ.ธัญชนก ไชยปรุง</t>
  </si>
  <si>
    <t>https://lh5.googleusercontent.com/d/1DgAIpcorG8LcNtAmL8hN9xK919Zz1Udx</t>
  </si>
  <si>
    <t>https://drive.google.com/file/d/1Tmbag725UVn523Wi7SXtBHVhTULeWv2G/view?usp=drivesdk</t>
  </si>
  <si>
    <t>งานแจกของพระราชทานพระบรมศพพระพันปีหลวง</t>
  </si>
  <si>
    <t>https://lh5.googleusercontent.com/d/1HyNVWzCbN-AAAvNa4IBGL2kRxEPfbg7a</t>
  </si>
  <si>
    <t>https://drive.google.com/file/d/1xK1PFIGgoaCAWlA0zNsFaD5_NbMu6Jcz/view?usp=drivesdk</t>
  </si>
  <si>
    <t>https://lh5.googleusercontent.com/d/1zablIFdexFThVdi-YJMCndh6XvJC4MqO</t>
  </si>
  <si>
    <t>https://drive.google.com/file/d/1xF_2HQ005Su2kijdrYGNNVQCoZu7j5kq/view?usp=drivesdk</t>
  </si>
  <si>
    <t>6603760</t>
  </si>
  <si>
    <t>นพอ.ฉัตรชนก กันสาตร</t>
  </si>
  <si>
    <t>https://lh5.googleusercontent.com/d/19KGqcvpJPRWw7SrXV8dOSzXC-0g98aeH</t>
  </si>
  <si>
    <t>https://drive.google.com/file/d/1zSvU6Elb2Yx3pvNYRYgjAW25lzPond4O/view?usp=drivesdk</t>
  </si>
  <si>
    <t>https://lh5.googleusercontent.com/d/1-06zEHnwqg0xRCW4UgOnFd8zA_pAB744</t>
  </si>
  <si>
    <t>https://drive.google.com/file/d/1F5ckWNoqQgzOlrJe_BvFvjMuSVN390Vm/view?usp=drivesdk</t>
  </si>
  <si>
    <t>https://lh5.googleusercontent.com/d/1HNk-tJ_cPGBtcMUP5LhEG8Te_iRnVOX-</t>
  </si>
  <si>
    <t>https://drive.google.com/file/d/1ppuGL4hB8GCpf9lW92pR9KRPPB5xB6Ok/view?usp=drivesdk</t>
  </si>
  <si>
    <t>https://lh5.googleusercontent.com/d/1pcDb7TbcDFKDB-7iLpohI1NZggljyHYx</t>
  </si>
  <si>
    <t>https://drive.google.com/file/d/14OrvdJ7BEeaTxLT9PUNu9SNvi1XoSBMM/view?usp=drivesdk</t>
  </si>
  <si>
    <t>นพแ.ฉัตรชนก กันสาตร</t>
  </si>
  <si>
    <t>คอนเสิร์ตทัพฟ้าคู่ไทยเพื่อ ”ชัยพัฒนา“ ครั้งที่ 16</t>
  </si>
  <si>
    <t>https://lh5.googleusercontent.com/d/1Fb3AnquxieFF41B3M9DHX9RX5o2gXSKb</t>
  </si>
  <si>
    <t>https://drive.google.com/file/d/16NDr5SPt6Oqv7mlOPiu0wopbN7kjf8Pt/view?usp=drivesdk</t>
  </si>
  <si>
    <t>https://lh5.googleusercontent.com/d/1RmspRPAd7WGRZnajAryYfChSChOhBWam</t>
  </si>
  <si>
    <t>https://drive.google.com/file/d/1Uwjh048yEr1XHVUY2fQyMV49_Nnvu5qg/view?usp=drivesdk</t>
  </si>
  <si>
    <t>6503733</t>
  </si>
  <si>
    <t>นพอ.ภุมวดี พิมศรี</t>
  </si>
  <si>
    <t>https://lh5.googleusercontent.com/d/1ZzVYzs789r_UtsdVOCGLS4b6KkIwL76J</t>
  </si>
  <si>
    <t>https://drive.google.com/file/d/1UkGaws8dOCWVzK8fOkYQSUo2pDMJnrwf/view?usp=drivesdk</t>
  </si>
  <si>
    <t>https://lh5.googleusercontent.com/d/12Bl_KI155m3rX38hBBCvwmxnQlOQeJ1u</t>
  </si>
  <si>
    <t>6503727</t>
  </si>
  <si>
    <t>นพอ.ผกาวรรณ เรืองเนตร</t>
  </si>
  <si>
    <t>สโมสรทหาอากาศชั้นประทวน</t>
  </si>
  <si>
    <t>https://lh5.googleusercontent.com/d/1J249vehdxxmwxGtUoQMg91MhZxA0IaKb</t>
  </si>
  <si>
    <t>https://drive.google.com/file/d/16TQ4wztodjZbOehNIdquXY5vRu5IcaKp/view?usp=drivesdk</t>
  </si>
  <si>
    <t>โรงพยาบาลสิริกิติ์</t>
  </si>
  <si>
    <t>https://lh5.googleusercontent.com/d/1vKAla8P2_1y590xueVzdtK9h7qyODldS</t>
  </si>
  <si>
    <t>https://drive.google.com/file/d/1TSDTYmC9HTlGZCr-BX_54SuEoAcWxa_M/view?usp=drivesdk</t>
  </si>
  <si>
    <t>https://lh5.googleusercontent.com/d/1dfLj-I-RrrYTEVDAFBRGfJZxLbD_iRSl</t>
  </si>
  <si>
    <t>https://drive.google.com/file/d/1VNMp-I_lK-c7USEu0kSpg1pWDKddAhh5/view?usp=drivesdk</t>
  </si>
  <si>
    <t>ทำงานบ้าน</t>
  </si>
  <si>
    <t>Plus condo</t>
  </si>
  <si>
    <t xml:space="preserve">ร.ต.อ.วิชยุตม์ เชิดพุดซา </t>
  </si>
  <si>
    <t>https://lh5.googleusercontent.com/d/1eZquCjJ-hy_RvSzHRsQf7FWarksIuRrW</t>
  </si>
  <si>
    <t>https://drive.google.com/file/d/1eKgf40TLe0BPJOWasu968urBU2lRAx3e/view?usp=drivesdk</t>
  </si>
  <si>
    <t xml:space="preserve">6503737 </t>
  </si>
  <si>
    <t>จัดทำบอร์ดประชาสัมพันธ์ให้ความรู้สุขภาพ</t>
  </si>
  <si>
    <t>นางเปรมฤดี ศิริตาหนึง</t>
  </si>
  <si>
    <t>https://lh5.googleusercontent.com/d/1JljuT7vrDxgqlyABh_Ea1cw8UVBtP8qu</t>
  </si>
  <si>
    <t>https://drive.google.com/file/d/1D_jgPiGWAAvJgTl_HPK3UdEPCUTYv8oo/view?usp=drivesdk</t>
  </si>
  <si>
    <t>นางสาว สาวารส ยิ้มเจริญ</t>
  </si>
  <si>
    <t>https://lh5.googleusercontent.com/d/1Amssjz0ol6Z93hk08-xfldY-IgHDXf6Q</t>
  </si>
  <si>
    <t>https://drive.google.com/file/d/16fzXVtDdk3TLG93X9g02WH4YMDY_anTb/view?usp=drivesdk</t>
  </si>
  <si>
    <t>ช่วยแม่ทำงานบ้าน</t>
  </si>
  <si>
    <t>้บ้าน</t>
  </si>
  <si>
    <t>0800-1000</t>
  </si>
  <si>
    <t>นางอมรรัตน์ พิมศรี</t>
  </si>
  <si>
    <t>https://lh5.googleusercontent.com/d/1I4f7iFbfAEEfZGP8wy-EjTGvhgeHc97i</t>
  </si>
  <si>
    <t>https://drive.google.com/file/d/1Bz4LJ1YEGRrOcPSL8nAvBDJXrDgojTTV/view?usp=drivesdk</t>
  </si>
  <si>
    <t>จัดและตรวจสอบวันหมดอายุของเวชภัณฑ์</t>
  </si>
  <si>
    <t>https://lh5.googleusercontent.com/d/1uFdwwzMGJbCJKphGjrjUWLngFR1Gt-Vw</t>
  </si>
  <si>
    <t>https://drive.google.com/file/d/1zV0FVX_nFggMOnQc13NSMt-_XU-lkuty/view?usp=drivesdk</t>
  </si>
  <si>
    <t>https://lh5.googleusercontent.com/d/1WjRJnF66bAGME67L0Kzchb2EPN05DhsN</t>
  </si>
  <si>
    <t>https://drive.google.com/file/d/14mDFHbeBXy94_g7mKHjNgH2mkhck1EiX/view?usp=drivesdk</t>
  </si>
  <si>
    <t>ทำการแทนน.ป.ค.</t>
  </si>
  <si>
    <t>https://lh5.googleusercontent.com/d/1tEfe0fNbu3NI7INKkwqOpJS5VsoF_hD7</t>
  </si>
  <si>
    <t>https://drive.google.com/file/d/1ybGZkLIb-nF3TxZ19biociasamVBgU9x/view?usp=drivesdk</t>
  </si>
  <si>
    <t>https://lh5.googleusercontent.com/d/1VWKWHPfpIIDeIxxHtCkOlALHjlcF1-tg</t>
  </si>
  <si>
    <t>https://drive.google.com/file/d/1B-soZzESpcpPbKhU-_0xJu1ofAfxDcf-/view?usp=drivesdk</t>
  </si>
  <si>
    <t>https://lh5.googleusercontent.com/d/1jPYCRWOC5_glZe1iYbd6paP3CEjvXim1</t>
  </si>
  <si>
    <t>https://drive.google.com/file/d/1nlxjNBLxm82E1C3dF2gtLrzYR52bmuPH/view?usp=drivesdk</t>
  </si>
  <si>
    <t>แยกข้าวสารอาหารแห้ง</t>
  </si>
  <si>
    <t>นางสาววันวิสา ดำรงมุ่งกิจ</t>
  </si>
  <si>
    <t>https://lh5.googleusercontent.com/d/1wJAKzf96KzgHfD2eJWWnuAXo0SvGB0wC</t>
  </si>
  <si>
    <t>https://drive.google.com/file/d/1s-m2yuxVTtdoNwtWyTB6gYwcLmUN5vp8/view?usp=drivesdk</t>
  </si>
  <si>
    <t>ทำบุญตักบาตรข้าวสารอาหารแห้ง</t>
  </si>
  <si>
    <t>https://lh5.googleusercontent.com/d/1gkNmst57XiHEbEwgQMwxUZRfzKIKx4hg</t>
  </si>
  <si>
    <t>https://drive.google.com/file/d/1zWBlcA7XW3ZSiiLzj7LwU2K8ScLWVC3c/view?usp=drivesdk</t>
  </si>
  <si>
    <t>https://lh5.googleusercontent.com/d/15ZikLWqewi0XCQi-oidT_DnR8Z6lpFY1</t>
  </si>
  <si>
    <t>https://drive.google.com/file/d/1tjW0OhKJvwJsD4gsPSqzMn7rkUeqgZIa/view?usp=drivesdk</t>
  </si>
  <si>
    <t>6703881</t>
  </si>
  <si>
    <t>62</t>
  </si>
  <si>
    <t>นพอ.อัจจิมา สุวรรณประเสริฐ</t>
  </si>
  <si>
    <t>https://lh5.googleusercontent.com/d/1OODxrl7SaOgrOoe0RfR50xvuK1MYVVyw</t>
  </si>
  <si>
    <t>https://drive.google.com/file/d/1Udkeh1u2IQ7fRG43GIUFe7mwG6t23uGY/view?usp=drivesdk</t>
  </si>
  <si>
    <t>https://lh5.googleusercontent.com/d/1KKMyQNgs1cAmKRfIImMSu1cNv_0W9xLt</t>
  </si>
  <si>
    <t>https://drive.google.com/file/d/1gq3HKZbh-pqpcvS9QSPN_E1Kns27lYmO/view?usp=drivesdk</t>
  </si>
  <si>
    <t>https://lh5.googleusercontent.com/d/1sDqc2SKhiJQsMJ1NAaBHzPH_hkfWgz2n</t>
  </si>
  <si>
    <t>https://drive.google.com/file/d/1ouWClIPTeiOG2EDJpZ-ExuVRzGuJwlVS/view?usp=drivesdk</t>
  </si>
  <si>
    <t>https://lh5.googleusercontent.com/d/1NwF-xyla2xsIVbU3F-9nYBx0mCS0ATqa</t>
  </si>
  <si>
    <t>https://drive.google.com/file/d/1D4TRh4oHA_rfKAYiF-HbohrNdnsrroDM/view?usp=drivesdk</t>
  </si>
  <si>
    <t>6703879</t>
  </si>
  <si>
    <t>นพอ.สุรภา ธีสุระ</t>
  </si>
  <si>
    <t>https://lh5.googleusercontent.com/d/1fssktThMkk2aJ_GDHlA7nH1k4BoqpehB</t>
  </si>
  <si>
    <t>https://drive.google.com/file/d/1N33T24H456RK7C-E9ke9VDd5sWVmw7Fk/view?usp=drivesdk</t>
  </si>
  <si>
    <t>โรงพยาบาลพัทลุง จังหวัดพัทลุง</t>
  </si>
  <si>
    <t>นางมาลา สุวรรณประเสริฐ</t>
  </si>
  <si>
    <t>https://lh5.googleusercontent.com/d/1zfM3CYTWYt5YEvvUYGFl1ucmAvhTE35i</t>
  </si>
  <si>
    <t>https://drive.google.com/file/d/1tl3qhmaGXwhbiffnc9vBr9kXotlgejc2/view?usp=drivesdk</t>
  </si>
  <si>
    <t>ช่วยผู้ปกครองรดน้ำต้นปาล์มที่สวน</t>
  </si>
  <si>
    <t>สวนปาล์มจังหวัดพัทลุง</t>
  </si>
  <si>
    <t>พ.ท.ประจิม สุวรรณประเสริฐ</t>
  </si>
  <si>
    <t>https://lh5.googleusercontent.com/d/1lel4FKYQQOJJBsXk662me0BiBbMYJm1s</t>
  </si>
  <si>
    <t>https://drive.google.com/file/d/1g8nTyDHFZ54oM1Iq8bLjMJtOrfzAgONU/view?usp=drivesdk</t>
  </si>
  <si>
    <t>ชุมชนวันเกาะ</t>
  </si>
  <si>
    <t>https://lh5.googleusercontent.com/d/1U0kfm4NqANeNoEjKn2mobZQTn9cL6EUc</t>
  </si>
  <si>
    <t>https://drive.google.com/file/d/1YxZZyMQmcApHPL9e05qwM0ged1qXy1Bc/view?usp=drivesdk</t>
  </si>
  <si>
    <t>https://lh5.googleusercontent.com/d/1Ll-IJLRpcxUWLwzPXuK2rhOGWFp3J2U1</t>
  </si>
  <si>
    <t>https://drive.google.com/file/d/1q2ptVKdcyp0MzR5UJek12TTHDIktjVED/view?usp=drivesdk</t>
  </si>
  <si>
    <t>ไหว้พระประจำบ้านเนื่องในโอกาสวันพระ</t>
  </si>
  <si>
    <t>บ้านจังหวัดพัทลุง (316 ถ.อภัยบริรักษ์ ต.คูหาสวรรค์ อ.เมือง จ.พัทลุง 93000)</t>
  </si>
  <si>
    <t>https://lh5.googleusercontent.com/d/1mumJBI4-eVYtyijGTjXEj4KLJIuibAj8</t>
  </si>
  <si>
    <t>https://drive.google.com/file/d/1fisCSZxl1GkHu8HcWQ7VRYybFrfDfcmb/view?usp=drivesdk</t>
  </si>
  <si>
    <t>ล้างห้องน้ำ</t>
  </si>
  <si>
    <t>บ้านดาวลาย 286/6 จ.ปทุมธานี</t>
  </si>
  <si>
    <t>นายประวีป ดาวลาย</t>
  </si>
  <si>
    <t>https://lh5.googleusercontent.com/d/1f5RHJV2dduW3voXC1o9awXLx1bDiPoBI</t>
  </si>
  <si>
    <t>https://drive.google.com/file/d/10crcLggNn0FXL4KJEv7MdWFCOBu3wKtm/view?usp=drivesdk</t>
  </si>
  <si>
    <t>https://lh5.googleusercontent.com/d/1FyWZ7-srPBvFoIy--VXiSMyqVbLNoe1d</t>
  </si>
  <si>
    <t>https://drive.google.com/file/d/1mUACHonNeLiX5aPpON7sGkW346G0p0QG/view?usp=drivesdk</t>
  </si>
  <si>
    <t>6503742</t>
  </si>
  <si>
    <t>นพอ.วลัญช์ มานิตย์</t>
  </si>
  <si>
    <t>ทำกระทฃ</t>
  </si>
  <si>
    <t>วัดหนามแดง ฉะเชิงเทรา</t>
  </si>
  <si>
    <t>น.ท.หญิง ดร.ภัทรมน ทับสูงเนิน</t>
  </si>
  <si>
    <t>https://lh5.googleusercontent.com/d/1dM7caV8pQz0sipWGUPu9WCvlgY5ZeWvX</t>
  </si>
  <si>
    <t>https://drive.google.com/file/d/1V9tH12n2dkGUPNwNI1n08sXmW5o2XBQa/view?usp=drivesdk</t>
  </si>
  <si>
    <t>https://lh5.googleusercontent.com/d/1vPPwWaeEwKhAcM2iYms7okSOiD3NMMhA</t>
  </si>
  <si>
    <t>https://drive.google.com/file/d/1Vna4sMQd4xn5mNCD2pMt2ykEVPp5ZMbc/view?usp=drivesdk</t>
  </si>
  <si>
    <t>ทำการเเทนนักเรียนบังคับบัญชา</t>
  </si>
  <si>
    <t>https://lh5.googleusercontent.com/d/1Plxo_NlOxjoZcJMkyQMOYjoLr7RhCrS5</t>
  </si>
  <si>
    <t>https://drive.google.com/file/d/10qifHhROCtjkqzKu4HsaPPIP0n44luLU/view?usp=drivesdk</t>
  </si>
  <si>
    <t xml:space="preserve">ช่วยงาน ทอดกฐินวัดขวัญสะอาด </t>
  </si>
  <si>
    <t xml:space="preserve">วัดขวัญสะอาด </t>
  </si>
  <si>
    <t>https://lh5.googleusercontent.com/d/1E7RYRbzYcWHeSXI4l8uezGKuHxiGAB8T</t>
  </si>
  <si>
    <t>https://drive.google.com/file/d/10iDnYbR8Y01hEZ8DZCjgz2QovAgIZof1/view?usp=drivesdk</t>
  </si>
  <si>
    <t>ทำการเเทนนพอ.บังคับบัญชา</t>
  </si>
  <si>
    <t>https://lh5.googleusercontent.com/d/1U1jqRChI42p80e9DUalNCQh1wRLjAm8q</t>
  </si>
  <si>
    <t>https://drive.google.com/file/d/16cyo7mEREc0F7XFmVb3rkdixcTRKoZLC/view?usp=drivesdk</t>
  </si>
  <si>
    <t>https://lh5.googleusercontent.com/d/1MUmImOimu_MsQwfQ2MC3mEYHrYxth9UZ</t>
  </si>
  <si>
    <t>https://drive.google.com/file/d/1EkogE-IBHLNJ2rn9X_RBNUOWabdRsH0U/view?usp=drivesdk</t>
  </si>
  <si>
    <t>https://lh5.googleusercontent.com/d/1O5zP2EkdFk6cjTGuk7BeFzkffYLcX40S</t>
  </si>
  <si>
    <t>https://drive.google.com/file/d/1CHlQKOGVeyZQmq8odvDIPEDqT-600JFX/view?usp=drivesdk</t>
  </si>
  <si>
    <t>0600- 1200</t>
  </si>
  <si>
    <t>https://lh5.googleusercontent.com/d/15RpLs9_0nr9_AGQi2kawP3dKVUlQn1Mw</t>
  </si>
  <si>
    <t>https://lh5.googleusercontent.com/d/1df7IloN3yMJJ10N5ZGBCngC_Q68yF2_V</t>
  </si>
  <si>
    <t>https://drive.google.com/file/d/1GN754vox1LmtIWADRIAC7yO_hiblgaim/view?usp=drivesdk</t>
  </si>
  <si>
    <t>ทกท.นปค.มว.นพอ.ปี 2</t>
  </si>
  <si>
    <t>https://lh5.googleusercontent.com/d/1LJX120gtRCMR1K4AFOM1tI7QB6xgxfI0</t>
  </si>
  <si>
    <t>https://drive.google.com/file/d/1YNW2XlvknbvNwNQmaXO8BwtERSqNuMvT/view?usp=drivesdk</t>
  </si>
  <si>
    <t>ทกท.นปค.มว.นพอ.ปี 3</t>
  </si>
  <si>
    <t>https://lh5.googleusercontent.com/d/1bXC1oXN8lveLLH5_PTtSNsSqFzwVulGL</t>
  </si>
  <si>
    <t>https://drive.google.com/file/d/16WgCOKg_WNKuRsNG9a8LrQu6eTuih5jx/view?usp=drivesdk</t>
  </si>
  <si>
    <t>https://lh5.googleusercontent.com/d/1xtGzteATjE-_xTl5YghOdhN1StgVtffT</t>
  </si>
  <si>
    <t>https://drive.google.com/file/d/1yAErEn1vt-OG9CzirmaUG6E3PdkKjb0z/view?usp=drivesdk</t>
  </si>
  <si>
    <t>https://lh5.googleusercontent.com/d/1CT69p5bnVDXV78xjmX-C8Wef8yJlLAjv</t>
  </si>
  <si>
    <t>https://drive.google.com/file/d/1LAA5y1L0Osyii5u8q4gJWK32285dlniL/view?usp=drivesdk</t>
  </si>
  <si>
    <t>https://lh5.googleusercontent.com/d/1MROnDXGBwEBH7NmbliOkVedWnEoAvHpt</t>
  </si>
  <si>
    <t>https://drive.google.com/file/d/1ZZ0Q7hrCt22OG2MEeNjLich_R8NkN6B-/view?usp=drivesdk</t>
  </si>
  <si>
    <t>https://lh5.googleusercontent.com/d/1OZTU1Ww9ssDqhYy8tbADYpg0u-m8R20M</t>
  </si>
  <si>
    <t>https://drive.google.com/file/d/160t0XhyNnQb1CZ713xblfy5Fbf9aooSW/view?usp=drivesdk</t>
  </si>
  <si>
    <t>งานกีฬารักบี้ ทอ.</t>
  </si>
  <si>
    <t>สนามกีฬาธูปะเตมีย์</t>
  </si>
  <si>
    <t>https://lh5.googleusercontent.com/d/16indojgoSyW4PYIpO8V50d8PPS4yrokD</t>
  </si>
  <si>
    <t>https://drive.google.com/file/d/1ibeET9GxSJefEIcx_8ZuY9FhCGCkpQUg/view?usp=drivesdk</t>
  </si>
  <si>
    <t>ค่ายแนะแนวรัฐบุรุษ 1</t>
  </si>
  <si>
    <t>โรงเรียนเบญจมราชูทิศ จ.ราชบุรี</t>
  </si>
  <si>
    <t>https://lh5.googleusercontent.com/d/1h6VT4A5NLZAjGNnmFIAB_i38Argy9N6X</t>
  </si>
  <si>
    <t>https://drive.google.com/file/d/1qbjU0-vuoar7WWrsxFmuIxqNaT0lYxvV/view?usp=drivesdk</t>
  </si>
  <si>
    <t>https://lh5.googleusercontent.com/d/1SeSs0To9omyx8w2uCXWD1ObvMYkYGHt6</t>
  </si>
  <si>
    <t>https://drive.google.com/file/d/1ooGq2srmucWe6O0G_kdG7LcoJD4sdw6v/view?usp=drivesdk</t>
  </si>
  <si>
    <t>https://lh5.googleusercontent.com/d/1WuOo1sxbu0h1vXD-WBc8sw1i2BhLOJOO</t>
  </si>
  <si>
    <t>https://drive.google.com/file/d/11Y7lXPuKgjMeFz9g5haFjVs4-sLqqsAf/view?usp=drivesdk</t>
  </si>
  <si>
    <t>https://lh5.googleusercontent.com/d/1d0XUQ9ovK2pvDGvMFloGS89VCiHmbAFy</t>
  </si>
  <si>
    <t>https://drive.google.com/file/d/1xRCuP4u7iMlcxBxnScC-bQneWtSN7yPB/view?usp=drivesdk</t>
  </si>
  <si>
    <t>https://lh5.googleusercontent.com/d/1fcdiwyWz2toknXDilD6wdLENHg7SR1SV</t>
  </si>
  <si>
    <t>https://drive.google.com/file/d/1KG-JUPGHRZsTF2JpFzri00oWlor0V7uk/view?usp=drivesdk</t>
  </si>
  <si>
    <t>6603782</t>
  </si>
  <si>
    <t>นพอ.เนตรชนก ชูหนู</t>
  </si>
  <si>
    <t>https://lh5.googleusercontent.com/d/1TqkOAic7aSnCNCDKCliIiPlKvFW_c2rz</t>
  </si>
  <si>
    <t>https://drive.google.com/file/d/1Xshz2Pjucim-dhO5v7ApwHMQke5RQQMP/view?usp=drivesdk</t>
  </si>
  <si>
    <t>https://lh5.googleusercontent.com/d/1-q91GLMugmzpzJpFLZBG6ItLEyi1k7yy</t>
  </si>
  <si>
    <t>https://drive.google.com/file/d/1I9TpQcP60hshX_iUSwoE0oK_OOYf0jeM/view?usp=drivesdk</t>
  </si>
  <si>
    <t>6603798</t>
  </si>
  <si>
    <t>นพอ.วรรณพร ศรีด่านจาก</t>
  </si>
  <si>
    <t>เดอะมอลล์โคราช</t>
  </si>
  <si>
    <t>1300-1400</t>
  </si>
  <si>
    <t>ศูนย์บริจาคโลหิตเดอะมอลล์โคราช</t>
  </si>
  <si>
    <t>https://lh5.googleusercontent.com/d/1nOs6_exOsYO4eJDkM1B3UOH-yrSb8u7-</t>
  </si>
  <si>
    <t>https://drive.google.com/file/d/1pckvYX9VmbWhYx5DMgBNHIBLNx7Y1f_c/view?usp=drivesdk</t>
  </si>
  <si>
    <t>นางนิภา วามะลุน</t>
  </si>
  <si>
    <t>https://lh5.googleusercontent.com/d/16nbQFAaNl0VoZW9KkDLDSvVagu0JYvjO</t>
  </si>
  <si>
    <t>https://drive.google.com/file/d/1AKBWpy9FmsY6DmTRJBv9UaSWWlpx4RzQ/view?usp=drivesdk</t>
  </si>
  <si>
    <t>6803919</t>
  </si>
  <si>
    <t>38</t>
  </si>
  <si>
    <t>นพอ.พลอยปภัส มากใหม่</t>
  </si>
  <si>
    <t>7:37</t>
  </si>
  <si>
    <t>https://lh5.googleusercontent.com/d/1tKgexD_7hljzDHWmwcs5eHVCQKRqK34D</t>
  </si>
  <si>
    <t>หน่วยรับบริจาคโลหิตเคลื่อนที่</t>
  </si>
  <si>
    <t>0900-1700</t>
  </si>
  <si>
    <t>https://lh5.googleusercontent.com/d/1cJBQU5Yg5iTc0IquAaWQ9JDkVM7ZjoiR</t>
  </si>
  <si>
    <t>https://drive.google.com/file/d/1akWNdnDfJx4MmqFPnMHt7qFHsnUQNsJJ/view?usp=drivesdk</t>
  </si>
  <si>
    <t>https://lh5.googleusercontent.com/d/1cCBsTe7tA9RCzvIhsczxq0XyijmwYwmu</t>
  </si>
  <si>
    <t>https://drive.google.com/file/d/1b6agFwx7jfWX8nbZKs7OLG0G6sPypPsC/view?usp=drivesdk</t>
  </si>
  <si>
    <t>6803924</t>
  </si>
  <si>
    <t>นพอ.พีรชา แสงไทย</t>
  </si>
  <si>
    <t>กวาดศาลาวัด</t>
  </si>
  <si>
    <t>วัดหนองผักชี</t>
  </si>
  <si>
    <t>นางสาวสกาวรัตน์ ย้อยฝอย</t>
  </si>
  <si>
    <t>https://lh5.googleusercontent.com/d/1MYgWFHQ5Qo3MWwDwW4US8pYTsPD58CfT</t>
  </si>
  <si>
    <t>https://drive.google.com/file/d/1d96hf2M23SRXDYy9V9mmPOz9gkIIa1--/view?usp=drivesdk</t>
  </si>
  <si>
    <t>ช่วยงานทอดกฐินวัดหนามแด</t>
  </si>
  <si>
    <t>น.ท.หญิง ดร ภัทรมน ทับสูงเนิน</t>
  </si>
  <si>
    <t>https://lh5.googleusercontent.com/d/1TYRCkvJ6gKoxOLCnz3tpyZLhvP1Lzvqt</t>
  </si>
  <si>
    <t>6503747</t>
  </si>
  <si>
    <t>นพอ.ศุภิสรา สุพรรณนอก</t>
  </si>
  <si>
    <t>https://lh5.googleusercontent.com/d/1Z8D9Jywgootc7pDAgEVuHGgaCJnnFMYL</t>
  </si>
  <si>
    <t>โครงการบริหารวิชาการแก่สังคม</t>
  </si>
  <si>
    <t>https://lh5.googleusercontent.com/d/1cM26XX4U29VUPoA8pLdYzYYosak1qSRU</t>
  </si>
  <si>
    <t>https://drive.google.com/file/d/1aRdMd0AZOdvvgDfFZ8hXBHu0b3N3jrPs/view?usp=drivesdk</t>
  </si>
  <si>
    <t>ถูศาลาวัด</t>
  </si>
  <si>
    <t>https://lh5.googleusercontent.com/d/1hu1sCbSeVWUMD1SJobirmVIELNeFlu2P</t>
  </si>
  <si>
    <t>https://drive.google.com/file/d/1r_l5GGhG7zmQCpTfqmlrGWTmjNK07IB-/view?usp=drivesdk</t>
  </si>
  <si>
    <t>https://lh5.googleusercontent.com/d/142pLKNZxFDJ3WKLqd0dgA2GqM8a-Ksl_</t>
  </si>
  <si>
    <t>https://drive.google.com/file/d/1PrYt-KdXsihzAKv3vJznYHHIqKb-cC4d/view?usp=drivesdk</t>
  </si>
  <si>
    <t>อาคารศูนย์การเรียนรู้</t>
  </si>
  <si>
    <t>https://lh5.googleusercontent.com/d/1ntaS2whOCNZ86MlLtqJ6bX8RBPB9H2BP</t>
  </si>
  <si>
    <t>https://drive.google.com/file/d/1_lf-_B4hRi5Kz9H7IGbI-QieFAWHp_WN/view?usp=drivesdk</t>
  </si>
  <si>
    <t xml:space="preserve"> คอนเสิร์ตทัพฟ้าคู่ไทยเพื่อ "ชัยพัฒนา" ครั้งที่ 16 </t>
  </si>
  <si>
    <t>https://lh5.googleusercontent.com/d/19e17jDjvZbxkB3uoQewT6CWz9sITkx7R</t>
  </si>
  <si>
    <t>https://drive.google.com/file/d/1rp5A71Aj7FmD-8tv0CRVhWFWetgnIFN5/view?usp=drivesdk</t>
  </si>
  <si>
    <t>https://lh5.googleusercontent.com/d/10r6Dku1HzDwaI6COqqAF7NJSHXlaHQAA</t>
  </si>
  <si>
    <t>https://drive.google.com/file/d/1FkwUFB646T5Gzn4Nx7gxZCKDtiYN6Ud-/view?usp=drivesdk</t>
  </si>
  <si>
    <t>ร่วมกิจกรรมรับหลวงพ่อทางน้ำ</t>
  </si>
  <si>
    <t>วัดสัมปทวน</t>
  </si>
  <si>
    <t>0800-0900</t>
  </si>
  <si>
    <t>นายโสฬส จูเจริญ</t>
  </si>
  <si>
    <t>https://lh5.googleusercontent.com/d/1mL6b03wKwDGYZ0RDC-i2Z3yz9ybbFi7r</t>
  </si>
  <si>
    <t>https://drive.google.com/file/d/1svOfDYoCG4sU5OchXM77BeJt5No6rUd0/view?usp=drivesdk</t>
  </si>
  <si>
    <t>https://lh5.googleusercontent.com/d/1JXwD0vyXQ6ZVCF3vpjkNU_LBGc-Lg8pJ</t>
  </si>
  <si>
    <t>https://drive.google.com/file/d/1Qk-UQbyTghIS8qQiixESFplWXQLWrfIR/view?usp=drivesdk</t>
  </si>
  <si>
    <t>6703867</t>
  </si>
  <si>
    <t>นพอ.วรางคณา ปางชาติ</t>
  </si>
  <si>
    <t>https://lh5.googleusercontent.com/d/1B62GNPMty4Xt0hG4KW36CljatBIGvssT</t>
  </si>
  <si>
    <t>https://drive.google.com/file/d/1UciqDnRKkHTIm9U2K2d6c4DygZ0XMoCA/view?usp=drivesdk</t>
  </si>
  <si>
    <t>https://lh5.googleusercontent.com/d/1h1DafnDmc9PcDKbN3AbZ1Tyvx6gAOdE0</t>
  </si>
  <si>
    <t>https://drive.google.com/file/d/1XsCg6c6h3bURxF1uDwaP570miL4n91l6/view?usp=drivesdk</t>
  </si>
  <si>
    <t>6603797</t>
  </si>
  <si>
    <t>นพอ.พิมพ์ลภัส ทองดีเลิศ</t>
  </si>
  <si>
    <t>กวาดลาน</t>
  </si>
  <si>
    <t>ลานสำนักพ่อปู่</t>
  </si>
  <si>
    <t>นางเพ็ญศรี ทองดีเลิศ</t>
  </si>
  <si>
    <t>https://lh5.googleusercontent.com/d/19Sip8O1q0P5bPffMyEbrUJc96Tnl2_y5</t>
  </si>
  <si>
    <t>https://drive.google.com/file/d/1T__x_n3lfY26rvYGsnab6tRbodCvaq1g/view?usp=drivesdk</t>
  </si>
  <si>
    <t>https://lh5.googleusercontent.com/d/1dzo7nG5ciryz2AAioAc7OGP2OtLFEapd</t>
  </si>
  <si>
    <t>https://drive.google.com/file/d/1fDK-Dbd6kEay9RUivUP7QFxX6xXFENBR/view?usp=drivesdk</t>
  </si>
  <si>
    <t>6603758</t>
  </si>
  <si>
    <t>นพอ.กาญจน์สุดา เหล่าบุตรดี</t>
  </si>
  <si>
    <t>https://lh5.googleusercontent.com/d/1Yk6EAGcs3Usnc5Gsz62OPE09YiX80jqB</t>
  </si>
  <si>
    <t>https://drive.google.com/file/d/1sdgdF1GVZAblMBG8xRPqy0CKp8Ka7H2w/view?usp=drivesdk</t>
  </si>
  <si>
    <t>6603769</t>
  </si>
  <si>
    <t>นพอ.ณิชนันท์ ศิรประภารัตน์</t>
  </si>
  <si>
    <t>ทัพฟ้าคู่ไทย เพื่อชัยพัฒนา</t>
  </si>
  <si>
    <t>โรงเรียนดุริยางค์ทหารอากาศ</t>
  </si>
  <si>
    <t xml:space="preserve">ร.อ.อนุชิต </t>
  </si>
  <si>
    <t>https://lh5.googleusercontent.com/d/1Ao_W2sRczPGUEMEhFNWuIFwu36a1VaCC</t>
  </si>
  <si>
    <t>https://drive.google.com/file/d/10FY48x-MoIEf6Pmu0YJLYGhsBPS7MpBX/view?usp=drivesdk</t>
  </si>
  <si>
    <t>ช่วยพ่อล้างรถ</t>
  </si>
  <si>
    <t>พ.จ.อ.มงคล พิมศรี</t>
  </si>
  <si>
    <t>https://lh5.googleusercontent.com/d/12tN49i_jpLyEXg50IgkojdtLH_KdGjjM</t>
  </si>
  <si>
    <t>https://drive.google.com/file/d/1dRngk6dG4bZjs-IU4x_bBYJh82Lpc64G/view?usp=drivesdk</t>
  </si>
  <si>
    <t>https://lh5.googleusercontent.com/d/1OvizXkf-CTCTEdjmGOjTx_sjmX11ZGVU</t>
  </si>
  <si>
    <t>https://drive.google.com/file/d/1kufY5mq6DToGVfvzRlXIqUflOezVx3ak/view?usp=drivesdk</t>
  </si>
  <si>
    <t>6703869</t>
  </si>
  <si>
    <t>นพอ.วิภาวี กลั่นเมฆ</t>
  </si>
  <si>
    <t>คอนเสิร์ตทัพฟ้าคู่ไทยเพื่อ "ชัยพัฒนา</t>
  </si>
  <si>
    <t>1400-2000</t>
  </si>
  <si>
    <t>https://lh5.googleusercontent.com/d/1VTdRfTCw12JhJETLNL-ZUl1snG-NMYw7</t>
  </si>
  <si>
    <t>https://drive.google.com/file/d/1SRHcfO19c_O2335R1FrqpyhFHJ_ExyBN/view?usp=drivesdk</t>
  </si>
  <si>
    <t>https://lh5.googleusercontent.com/d/1Y9QP3XPorZvSHVDGqA40w0lTWDwejRGq</t>
  </si>
  <si>
    <t>https://drive.google.com/file/d/1QrMIL2ytHrvaHo_JTOXJJ9SMukLBoiMt/view?usp=drivesdk</t>
  </si>
  <si>
    <t>https://lh5.googleusercontent.com/d/115ODnIL2MSYY9bMEeTbdDvm8ckbkO8TC</t>
  </si>
  <si>
    <t>https://drive.google.com/file/d/1pkgfGY1aAw2IxC8pGqg52I-bkSEng_i3/view?usp=drivesdk</t>
  </si>
  <si>
    <t>https://lh5.googleusercontent.com/d/1C476f0sJSF5_LgpnEn8HlStQ6NLQnrpX</t>
  </si>
  <si>
    <t>https://drive.google.com/file/d/1tdZ3epM-gXEPi8r4-N2UUWAWD2xxyoPv/view?usp=drivesdk</t>
  </si>
  <si>
    <t>งานคอนเสิร์ตทัพฟ้า</t>
  </si>
  <si>
    <t>https://lh5.googleusercontent.com/d/1sjPdD5yDEkMeoTZ1DNYhmyik8-lwtmDz</t>
  </si>
  <si>
    <t>https://drive.google.com/file/d/1_AR_cQPj9R_4joYk-KggVwzosfRb6mcJ/view?usp=drivesdk</t>
  </si>
  <si>
    <t xml:space="preserve">นพอ.ณิชนันท์ ศิรประภารัตน์ </t>
  </si>
  <si>
    <t>ซ้อมร้องประสานเสียงคอนเสิร์ตทัพฟ้า</t>
  </si>
  <si>
    <t>https://lh5.googleusercontent.com/d/19lMgWN_kl_O5t6n2p2yPHU2Bghi1gv6j</t>
  </si>
  <si>
    <t>https://drive.google.com/file/d/1_5WzeAJyK_YQMwABn3hN4VgkRGG59i4E/view?usp=drivesdk</t>
  </si>
  <si>
    <t>https://lh5.googleusercontent.com/d/1eF12A8QNe5cljzPKcSXTKdxiT0fJgK8d</t>
  </si>
  <si>
    <t>https://drive.google.com/file/d/11cyr_qkh7-Q6dLp5Bz6pW1iccGKA1c8f/view?usp=drivesdk</t>
  </si>
  <si>
    <t>https://lh5.googleusercontent.com/d/1oy39dl8s_wQyICOZSNQXx-uWYIAFVYZr</t>
  </si>
  <si>
    <t>https://drive.google.com/file/d/1qm3maHnDcNqDrTVcTaCIXjk3ae7290pO/view?usp=drivesdk</t>
  </si>
  <si>
    <t>https://lh5.googleusercontent.com/d/1fSuNME3Za0HueiRrDII_QqaGbH8LCdic</t>
  </si>
  <si>
    <t>https://drive.google.com/file/d/16GWhE0K3X0bN4f9BlhDtK9Q4a4ZOj2Hm/view?usp=drivesdk</t>
  </si>
  <si>
    <t>6603756</t>
  </si>
  <si>
    <t>นพอ.กันต์ฤทัย อินทรเทศ</t>
  </si>
  <si>
    <t>12.00-20.00</t>
  </si>
  <si>
    <t>https://lh5.googleusercontent.com/d/1GR-CtrqVFVletXmeHssIYA_bJvFOk-SV</t>
  </si>
  <si>
    <t>https://drive.google.com/file/d/1OquBF3hKV9teI0yRZ9RZ-QP7u_C1sfDU/view?usp=drivesdk</t>
  </si>
  <si>
    <t>https://lh5.googleusercontent.com/d/1gtVhuJhsa9Ll-ybZqFiAzm68m6vS2aTS</t>
  </si>
  <si>
    <t>https://drive.google.com/file/d/1BDl_GFTp-1epUh_mcACR7Z5DCAnCXtKS/view?usp=drivesdk</t>
  </si>
  <si>
    <t>6703860</t>
  </si>
  <si>
    <t>นพอ.พิมพ์มาดา วงศาโรจน์</t>
  </si>
  <si>
    <t>https://lh5.googleusercontent.com/d/1yHUJLvvzycsEIKUudV2d_AY-qqwGd709</t>
  </si>
  <si>
    <t>https://drive.google.com/file/d/1T9fyMZ2aVqCwymxRBfoG2FUUA7IYNP5M/view?usp=drivesdk</t>
  </si>
  <si>
    <t>https://lh5.googleusercontent.com/d/1UmvjLPIZvQwt6Mv0qvWNWl36Jx5QKw7i</t>
  </si>
  <si>
    <t>https://drive.google.com/file/d/1ScUz9uQSj8QGt6_aFylX6jDLVNFHqc7e/view?usp=drivesdk</t>
  </si>
  <si>
    <t>การแข่งขันกีฬานักเรียนชิงถ้วย ผบ.ทอ. ครั้งที่ 51</t>
  </si>
  <si>
    <t>1200-2000</t>
  </si>
  <si>
    <t>https://lh5.googleusercontent.com/d/1OZ16xRv6uu_TEObt9UzmjEddHnS5aonI</t>
  </si>
  <si>
    <t>https://drive.google.com/file/d/14hSBG8NpuOLBhRDudsADGX4njawWy-dl/view?usp=drivesdk</t>
  </si>
  <si>
    <t>6603761</t>
  </si>
  <si>
    <t>นพอ.ชญานิศ ทองแสงแก้ว</t>
  </si>
  <si>
    <t>มิตรประชากองทัพอากาศ</t>
  </si>
  <si>
    <t>โรงเรียนวัดท่าแพ</t>
  </si>
  <si>
    <t>น.ต.หญิง ขวัญชนก พ่วงนาคพันธ์ุ</t>
  </si>
  <si>
    <t>https://lh5.googleusercontent.com/d/1pSX2Tg9iaFArkPiYPFNmPK9hkeBDpGEF</t>
  </si>
  <si>
    <t>https://drive.google.com/file/d/15Njt8mUGcL4lO9Kgebaoxv6EnwU6lSRn/view?usp=drivesdk</t>
  </si>
  <si>
    <t>https://lh5.googleusercontent.com/d/1oLm_l711UexsNikDawferS4GrVUMfO8F</t>
  </si>
  <si>
    <t>https://drive.google.com/file/d/1ZDHIexpxNRGjLHUUGZZCHKGSSymESCcH/view?usp=drivesdk</t>
  </si>
  <si>
    <t>6603801</t>
  </si>
  <si>
    <t>นพอ.วาสิตา ไทรทอง</t>
  </si>
  <si>
    <t xml:space="preserve">เสาร์ประทีป </t>
  </si>
  <si>
    <t>โรงเรียนนายร้อย จปร.</t>
  </si>
  <si>
    <t>https://lh5.googleusercontent.com/d/15a6VJt6DFmW3fx194CUqyNorXuY98rmT</t>
  </si>
  <si>
    <t>https://drive.google.com/file/d/1-KReA1MLL5drrRtpLEY3kZBNDya2nEwq/view?usp=drivesdk</t>
  </si>
  <si>
    <t>6503730</t>
  </si>
  <si>
    <t>นพอ.พันธ์ทิพย์ แก้วดอนโมง</t>
  </si>
  <si>
    <t>เข้าร่วมโครงการคัดกรองสุขภาพเชิงรุกกำลังพลทอ.</t>
  </si>
  <si>
    <t>https://lh5.googleusercontent.com/d/1AqW07G33OoSFuWjZ4Gf1xAl7TsBy3eQt</t>
  </si>
  <si>
    <t>https://drive.google.com/file/d/1-83unL6VRF-EerXOdTKn8hOKuEXv6fN9/view?usp=drivesdk</t>
  </si>
  <si>
    <t>6703880</t>
  </si>
  <si>
    <t>นพอ.อริสรา ศรีโพธิ์</t>
  </si>
  <si>
    <t>https://lh5.googleusercontent.com/d/1n0GmVGowzzhZWKC605vAR84EYfX9PdkL</t>
  </si>
  <si>
    <t>https://drive.google.com/file/d/1ToKopPa3I277pwUKWWzezWpYInU0ecic/view?usp=drivesdk</t>
  </si>
  <si>
    <t>https://lh5.googleusercontent.com/d/1Mw84FPRFN29juk__6QeAXcOd31hgytVN</t>
  </si>
  <si>
    <t>https://lh5.googleusercontent.com/d/1gBCvLXPhjH3TwRKV9ErLn0cz-0Zt83gd</t>
  </si>
  <si>
    <t>https://drive.google.com/file/d/1P6N_pC728K3qhLfEdmRo6QeVQPUeOLTt/view?usp=drivesdk</t>
  </si>
  <si>
    <t>https://lh5.googleusercontent.com/d/16v0_3jaw3Kk5oK1gFessCR5Np_VZYfZO</t>
  </si>
  <si>
    <t>https://drive.google.com/file/d/1ZfMt1SK0OPUt_DwZiH4O6lz5dL55jBtW/view?usp=drivesdk</t>
  </si>
  <si>
    <t>คอนเสิร์ตทัพฟ้าคู่ไทยเพื่อ“ชัยพัฒนา“ครั้งที่ 16</t>
  </si>
  <si>
    <t>08.00-20.00</t>
  </si>
  <si>
    <t>https://lh5.googleusercontent.com/d/1Whk7LuYr38eSB_SalevS-EnagDZnvDvu</t>
  </si>
  <si>
    <t>https://drive.google.com/file/d/1QHfKbbUzFJ0ajsWpbvPLLvQ6tp8_iWxJ/view?usp=drivesdk</t>
  </si>
  <si>
    <t>https://lh5.googleusercontent.com/d/1H0vyhgGqCFT_Ov0bmfOE6xLwG2JECZda</t>
  </si>
  <si>
    <t>https://drive.google.com/file/d/1T3yc4xzyNhkYt6ISElWikpWiw1kXOAkQ/view?usp=drivesdk</t>
  </si>
  <si>
    <t>โรงเรียนทุ่งสง</t>
  </si>
  <si>
    <t>https://lh5.googleusercontent.com/d/1k11l9UfQGzsjgEpx6jujDRslm_DJF1Y5</t>
  </si>
  <si>
    <t>https://drive.google.com/file/d/1zZhU4W1YDm8LRigF-DfePkZFJ5DxMmLZ/view?usp=drivesdk</t>
  </si>
  <si>
    <t xml:space="preserve">คอนเสิร์ตทัพฟ้าคู่ไทยเพื่อ”ชัยพัฒนา“ ครั้งที่ 16 </t>
  </si>
  <si>
    <t>https://lh5.googleusercontent.com/d/1_YSB7T1bkZqoqL1s8ADQU2-CDeKaor6P</t>
  </si>
  <si>
    <t>https://drive.google.com/file/d/19UenIB7x7jk9ciQKStVYjMbje3D74jWT/view?usp=drivesdk</t>
  </si>
  <si>
    <t>https://lh5.googleusercontent.com/d/1AfwVfGkb412DySdZJUcYd3sg17tNE-Lx</t>
  </si>
  <si>
    <t>https://drive.google.com/file/d/1gBTWhsVO3VLyV97oK0PaEQo3D_khN4yx/view?usp=drivesdk</t>
  </si>
  <si>
    <t>ค่ายพัฒนาเยาวชน โรงเรียนฌยธินบูรณะ</t>
  </si>
  <si>
    <t>https://lh5.googleusercontent.com/d/1bNhZ-rBmRjQHlO0eT1QuN-2kqngbrMqg</t>
  </si>
  <si>
    <t>https://drive.google.com/file/d/19OsgI8qKhBocBPognHXe6ve655dUdPA2/view?usp=drivesdk</t>
  </si>
  <si>
    <t>https://lh5.googleusercontent.com/d/1xOXmTa_alj9tCfyHP9kPX6W6Uul1FXwa</t>
  </si>
  <si>
    <t>https://drive.google.com/file/d/1sOSj0O9sLNsXedlP8nQyIMve6W3RU2vS/view?usp=drivesdk</t>
  </si>
  <si>
    <t>ซ้อมร้องประสานเสียง</t>
  </si>
  <si>
    <t>https://lh5.googleusercontent.com/d/1NYCq0B4UDTJL919pRamoT5oJBKU7bqDN</t>
  </si>
  <si>
    <t>https://drive.google.com/file/d/1u88FiXtHFtKLubtj_p-8XqhJYXu7qB1A/view?usp=drivesdk</t>
  </si>
  <si>
    <t>ค่ายพัฒนาเยาวชน โรงเรียนโยธินบูรณะ</t>
  </si>
  <si>
    <t>https://lh5.googleusercontent.com/d/1qGUJ0NexKGIvOsvjvMdbT2DilqwfjiqQ</t>
  </si>
  <si>
    <t>https://drive.google.com/file/d/172uMt0Ev_fmXxsp5g_pYvKM_S_QYe_vw/view?usp=drivesdk</t>
  </si>
  <si>
    <t>ลานชุมชนวัดเกาะ เขตสายไหม</t>
  </si>
  <si>
    <t>https://lh5.googleusercontent.com/d/1UaAugIkn42julk9RmMDRJzqWYX16mbLl</t>
  </si>
  <si>
    <t>https://drive.google.com/file/d/11dTOfWRfPKz6VzIBp8bNNsRFVMau_KWo/view?usp=drivesdk</t>
  </si>
  <si>
    <t>https://lh5.googleusercontent.com/d/1scr_19zRbwZyZ3vXBHntw3hGpNe-LTdv</t>
  </si>
  <si>
    <t>https://drive.google.com/file/d/1JZHZXNxW9IckaqMlXIm3v2hiNDP58VmK/view?usp=drivesdk</t>
  </si>
  <si>
    <t>https://lh5.googleusercontent.com/d/1Fxrn6Y6somEyTIlTlwY7IscRu4lar6-o</t>
  </si>
  <si>
    <t>https://drive.google.com/file/d/1YdMQCro4TiFyIESAF3oxTOJsOvMVqF_2/view?usp=drivesdk</t>
  </si>
  <si>
    <t>660380“</t>
  </si>
  <si>
    <t>https://lh5.googleusercontent.com/d/1N1_Fq3pPhJTD1t7aDDebrxzonPe_hwO1</t>
  </si>
  <si>
    <t>https://lh5.googleusercontent.com/d/1t9ArfUCNRb0682U8uu789b4HrnIgyYAw</t>
  </si>
  <si>
    <t>https://drive.google.com/file/d/1hUO1dto7zL0UiLQAW12FSVX9EsXarLZx/view?usp=drivesdk</t>
  </si>
  <si>
    <t>6703832</t>
  </si>
  <si>
    <t>นพอ. ญาตาวี บุญภิละ</t>
  </si>
  <si>
    <t>คอนเสิร์ตทัพฟ้าคู่ไทยเพื่อ ชัยพัฒนา ครั้งที่ 16</t>
  </si>
  <si>
    <t>https://lh5.googleusercontent.com/d/143RV2Th3bwM1OgSVmSWnq5JhrkksQcZj</t>
  </si>
  <si>
    <t>https://drive.google.com/file/d/1RPZUScr_9IzFMyWOoa6dIvpfJb2WiNUV/view?usp=drivesdk</t>
  </si>
  <si>
    <t>https://lh5.googleusercontent.com/d/1f8uidhLJ9RFdCKjqDHkNH48iGqjnS9FN</t>
  </si>
  <si>
    <t>https://drive.google.com/file/d/1r_ETGbFvqIrPbmXtmpAA_8v3VRivdd5N/view?usp=drivesdk</t>
  </si>
  <si>
    <t>https://lh5.googleusercontent.com/d/1UpPZPg8K3SJVWNXrGg-jkIexHwTVtqBM</t>
  </si>
  <si>
    <t>https://drive.google.com/file/d/13T-C2LplNrWFsSOF4hYe4CoiFtqvYCL3/view?usp=drivesdk</t>
  </si>
  <si>
    <t>รับคณะศึกษาดูงานรร.พยาบาลกห.กล.ต.(สาธารณรัฐเกาหลี)</t>
  </si>
  <si>
    <t>สนามบินสุวรรณภูมิ จว.สมุทรปราการ</t>
  </si>
  <si>
    <t>https://lh5.googleusercontent.com/d/1JUgvBt0Lee-y4FS5Hhetiji4_MVjuduQ</t>
  </si>
  <si>
    <t>https://drive.google.com/file/d/17Db5JLnSlBgnLcQ5l24Vq_ISAuPbKqbr/view?usp=drivesdk</t>
  </si>
  <si>
    <t>https://lh5.googleusercontent.com/d/1ppEKADooHlADNeXS-Jod9QHam793ElHC</t>
  </si>
  <si>
    <t>https://drive.google.com/file/d/1ms4vfMKvobkDelyeHFwWODXs3eLLtZXY/view?usp=drivesdk</t>
  </si>
  <si>
    <t>https://lh5.googleusercontent.com/d/19OEE2OZiO6xqkR0kXi3TE9Qiwo4zr38j</t>
  </si>
  <si>
    <t>https://drive.google.com/file/d/1FxBuEM0fyp0Ri3Ht1bY4dXi2i9IJLIQt/view?usp=drivesdk</t>
  </si>
  <si>
    <t>6603813</t>
  </si>
  <si>
    <t>นพอ.อโณชา จันทรา</t>
  </si>
  <si>
    <t>1300</t>
  </si>
  <si>
    <t>https://lh5.googleusercontent.com/d/10OEt-FknEfPtIVgN4bmlTfzWbCrDWhPF</t>
  </si>
  <si>
    <t>https://drive.google.com/file/d/1HIFfpAJlp-F__xjleXe9pacuBttn6oaH/view?usp=drivesdk</t>
  </si>
  <si>
    <t>Buddy Korean</t>
  </si>
  <si>
    <t>https://lh5.googleusercontent.com/d/1XZgJa0BWACnXPlxLki3edMpRuO09sVhw</t>
  </si>
  <si>
    <t>https://lh5.googleusercontent.com/d/1rcxoreCDgP0Y41NOGK-Jpvlpxnfr2KxD</t>
  </si>
  <si>
    <t>https://drive.google.com/file/d/1OwN7IhXM0uev7oFqi7HljwwY_EbSpfuV/view?usp=drivesdk</t>
  </si>
  <si>
    <t>ที่รวมใจ ณ วัดท่าเจริญ</t>
  </si>
  <si>
    <t>วัดท่าเจริญ จ.สุราษฎร์ธานี</t>
  </si>
  <si>
    <t>0900-1100</t>
  </si>
  <si>
    <t>พระครูวิสุทธิธรรมวิธาน</t>
  </si>
  <si>
    <t>https://lh5.googleusercontent.com/d/1MxlechmLRL11aNUfgm4OtK15ek3PZXId</t>
  </si>
  <si>
    <t>https://drive.google.com/file/d/15NL7TFfehX_DmFlfQaYmesZfYqNEWAYT/view?usp=drivesdk</t>
  </si>
  <si>
    <t>https://lh5.googleusercontent.com/d/1NpOGa8WuJEXc4RX7m5_tSOaBMYcdpPsZ</t>
  </si>
  <si>
    <t>https://drive.google.com/file/d/18VC3K-YDmmE1SNaJ581ehREhTHLbrBCu/view?usp=drivesdk</t>
  </si>
  <si>
    <t>https://lh5.googleusercontent.com/d/1j4LpR3Xu8BFTPix-MGjFoHl8-J6O0TEK</t>
  </si>
  <si>
    <t>https://drive.google.com/file/d/1uy9E5Hlom1wWutBObTpf82HCl0pLvYPi/view?usp=drivesdk</t>
  </si>
  <si>
    <t>https://lh5.googleusercontent.com/d/1TnBx7gIs-m1rLMoG9co3c3tjVi9Xzc1O</t>
  </si>
  <si>
    <t>https://drive.google.com/file/d/1pb5k-9HPwiHz7Dx7c-lOC9VnNkZijzPF/view?usp=drivesdk</t>
  </si>
  <si>
    <t>กีฬาประเพณีโรงเรียนทหาร-ตำรวจครั้งที่ 59</t>
  </si>
  <si>
    <t>https://lh5.googleusercontent.com/d/10mlBgByESESDzr4PHoj7yOP2JE2zowdv</t>
  </si>
  <si>
    <t>https://drive.google.com/file/d/1dCAcXLNlk2XMBXCKgwvrk0n6XtvL7dNb/view?usp=drivesdk</t>
  </si>
  <si>
    <t>https://lh5.googleusercontent.com/d/1HacrSWot8CEbjidcfLzUJZcYFV7MUDW4</t>
  </si>
  <si>
    <t>https://drive.google.com/file/d/1MIPlYQoODosELH0NxDu4Qog5zoVnXu5n/view?usp=drivesdk</t>
  </si>
  <si>
    <t>ลงนามถวาวพระพรศวรรคตพระพันปีหลวง</t>
  </si>
  <si>
    <t>1500-1600</t>
  </si>
  <si>
    <t>https://lh5.googleusercontent.com/d/1jZmXsZnfqiPRUasQw9priRMw4NjUwB_L</t>
  </si>
  <si>
    <t>https://drive.google.com/file/d/1IgiT1Z8j-MARrkBXS6fgYLfEp-XDOFbb/view?usp=drivesdk</t>
  </si>
  <si>
    <t xml:space="preserve">Buddy Korean </t>
  </si>
  <si>
    <t>https://lh5.googleusercontent.com/d/1DJIJlGndpIix3vMsNpcRkCaj7imSXd15</t>
  </si>
  <si>
    <t>https://drive.google.com/file/d/1sUei27xAbNQhne3R1N1qgpAUdRReh7TF/view?usp=drivesdk</t>
  </si>
  <si>
    <t>วัดเนรัญชราราม</t>
  </si>
  <si>
    <t>น.ส.ผันนภา หอมเหมือน</t>
  </si>
  <si>
    <t>https://lh5.googleusercontent.com/d/1GI_pcD5sv1G72D61ikU9x6srkEmnDD-x</t>
  </si>
  <si>
    <t>https://drive.google.com/file/d/1zHBzPwZOAGD6Z5jhlGOg95eVTiPcJVuG/view?usp=drivesdk</t>
  </si>
  <si>
    <t>https://lh5.googleusercontent.com/d/15bIXnwC0bvQw89fWckS3UWkvGxucKvso</t>
  </si>
  <si>
    <t>https://drive.google.com/file/d/1sb6fx80QuM63ZzrRv5z9chhZk9iUuqgN/view?usp=drivesdk</t>
  </si>
  <si>
    <t>6503715</t>
  </si>
  <si>
    <t>นพอ.ธัญพิชชา ฤกษ์นาวี</t>
  </si>
  <si>
    <t>https://lh5.googleusercontent.com/d/1vihV5G1cwOZvCiqH1uqO9_71lsroDB8v</t>
  </si>
  <si>
    <t>https://drive.google.com/file/d/1Mnqqx7AS_XqLJ7XnsHbRNRFlMlP7Dd5n/view?usp=drivesdk</t>
  </si>
  <si>
    <t>ซ้อมดนตรีไทยรับขวัญสวีแด</t>
  </si>
  <si>
    <t>ร.อ.หญิงขนัฏฐา นาดี</t>
  </si>
  <si>
    <t>https://lh5.googleusercontent.com/d/1mM2tuKyf8nkjEsyVgzR-pZDhPf8CD5y5</t>
  </si>
  <si>
    <t>https://drive.google.com/file/d/15JpJrnoZeJvYPS_0PvX1eWXFOQfqJWgu/view?usp=drivesdk</t>
  </si>
  <si>
    <t>https://lh5.googleusercontent.com/d/1WF3bkDFCidrWLs_BuAvxUP0qoLy_tzyw</t>
  </si>
  <si>
    <t>https://drive.google.com/file/d/1qJI33S2wOfIfpO78Xez_xY6Vlxtpxuk9/view?usp=drivesdk</t>
  </si>
  <si>
    <t>https://lh5.googleusercontent.com/d/1rY5MU_nyBERbTsYN1AAb93aGq-vJN1F2</t>
  </si>
  <si>
    <t>https://drive.google.com/file/d/1_w1Y1VvdpkilXK-iUtHxCy6jx9YqLeZO/view?usp=drivesdk</t>
  </si>
  <si>
    <t>6703864</t>
  </si>
  <si>
    <t>นพอ.รมิตา ธัยยาวัฒน์</t>
  </si>
  <si>
    <t>ซ้อมวงรวมงานดนตรีไทยไหว้ครู10สถาบัน</t>
  </si>
  <si>
    <t>วิทยาลัยพยาบาลตำรวจ</t>
  </si>
  <si>
    <t>https://lh5.googleusercontent.com/d/1PQSAuX2naHhZZieupker8qDbF58cehq1</t>
  </si>
  <si>
    <t>https://drive.google.com/file/d/1BXkeYvUQHUNFBq8tx4PLZNXWdaPPFWni/view?usp=drivesdk</t>
  </si>
  <si>
    <t>6603790</t>
  </si>
  <si>
    <t>นพอ.ปิยะนันท์ ตุนก</t>
  </si>
  <si>
    <t>ซ้อมร้องประสานเสียงงานคอนเสิร์ต</t>
  </si>
  <si>
    <t>https://lh5.googleusercontent.com/d/1_Mjim1n2dmRQli6kwTg3SwNHGfNTq0_l</t>
  </si>
  <si>
    <t>https://drive.google.com/file/d/1sVu0ciGG1BRVTJcE7WqJqW-TCq9-8Jc9/view?usp=drivesdk</t>
  </si>
  <si>
    <t>https://lh5.googleusercontent.com/d/13JU3akCSz9SG7OUUoi4E-reRrIq7NoxS</t>
  </si>
  <si>
    <t>https://drive.google.com/file/d/1doZi7R1RJv-i9hN3k0XvHPsqTwHBX9Re/view?usp=drivesdk</t>
  </si>
  <si>
    <t>0600-1400</t>
  </si>
  <si>
    <t>https://lh5.googleusercontent.com/d/1NP9tpXjBVjjoouOoSHgcr5oTcdDSLP5a</t>
  </si>
  <si>
    <t>https://drive.google.com/file/d/13Xd02WRUOJORhV_-dDntWbve3JSpqxcK/view?usp=drivesdk</t>
  </si>
  <si>
    <t>https://lh5.googleusercontent.com/d/1qCEihLDuHpPQkJoHYIna9QrqjSG7lDCC</t>
  </si>
  <si>
    <t>https://drive.google.com/file/d/1LYuFzgUPp2xy-EZbUzRu0NTyENdf-JZo/view?usp=drivesdk</t>
  </si>
  <si>
    <t>https://lh5.googleusercontent.com/d/1MiqEloKy8vusVFBQke8ubn0GPxeO4wt5</t>
  </si>
  <si>
    <t>https://drive.google.com/file/d/1MviE6huDJ8UrYRZonqHKF9cnF0gSUv9A/view?usp=drivesdk</t>
  </si>
  <si>
    <t>https://lh5.googleusercontent.com/d/1sDxbIzQr0_TmKga9YMy3PX0d9lhX1-P1</t>
  </si>
  <si>
    <t>https://drive.google.com/file/d/1lwdcGxCFpMxwQaG5tTifIwKVHvxJbEdH/view?usp=drivesdk</t>
  </si>
  <si>
    <t>6703821</t>
  </si>
  <si>
    <t>4</t>
  </si>
  <si>
    <t>นพอ.กัญญณัช เดชธนาธันยกร</t>
  </si>
  <si>
    <t>ธารน้ำใจสู่ชายแดน</t>
  </si>
  <si>
    <t>โรงพยาบาลศรีสะเกษ</t>
  </si>
  <si>
    <t>นางสาวกัญญาภัทร เดชธนาธันยกร</t>
  </si>
  <si>
    <t>https://lh5.googleusercontent.com/d/157PL87ebi_XQG5DiqOoTjxrieGOT5CAI</t>
  </si>
  <si>
    <t>ลงนามถวายความอาลัย</t>
  </si>
  <si>
    <t>https://lh5.googleusercontent.com/d/1RqRsu0_zbcM9HgoWftIFUQ-NTcpIFs_q</t>
  </si>
  <si>
    <t>https://drive.google.com/file/d/1QIR5Kt9gQFj6AS2TDiWlY4UzSy4e9RnJ/view?usp=drivesdk</t>
  </si>
  <si>
    <t>พิธีรับเสด็จรับปริญญา นพอ.รุ่นที่64</t>
  </si>
  <si>
    <t>https://lh5.googleusercontent.com/d/1rZM5c_IOY2ahrKl152vQfBgcCegV4TPr</t>
  </si>
  <si>
    <t>https://drive.google.com/file/d/1yX2zboT8wXdvKCIaHqhRgnWgo3MhQPcP/view?usp=drivesdk</t>
  </si>
  <si>
    <t>ลงนามถวายพระพรแสดงความอาลัยพระพันปีหลวง</t>
  </si>
  <si>
    <t>กระทวงดิจิทัล ออนไลน์</t>
  </si>
  <si>
    <t xml:space="preserve">กระทรวงดิจิทัล </t>
  </si>
  <si>
    <t>https://lh5.googleusercontent.com/d/1RzyfQSbBNiu0wmaJEzeSHCFPkRHNuQXp</t>
  </si>
  <si>
    <t>https://drive.google.com/file/d/1wmgK0vEXOC756aHr5KVHcJFDhqaWjOTk/view?usp=drivesdk</t>
  </si>
  <si>
    <t>ซ้อมวงรวมงานไหว้ครูดนตรีไทย10สถาบัน</t>
  </si>
  <si>
    <t>https://lh5.googleusercontent.com/d/1oTyc5IKO7RZYjaFg-4ia0CcGwz2Ntrk8</t>
  </si>
  <si>
    <t>https://drive.google.com/file/d/1d933l3LJpqD6aGXZlpdqAn0REbyfQHUf/view?usp=drivesdk</t>
  </si>
  <si>
    <t>https://lh5.googleusercontent.com/d/1xQNTE9ITNXeBjQJcFr1ekMCoR7dHQEbO</t>
  </si>
  <si>
    <t>https://drive.google.com/file/d/1K8Hk5Ox25-bi2bYlYVFXLQ_ViA6qyLtX/view?usp=drivesdk</t>
  </si>
  <si>
    <t>ช่วยขนของรับน้องนักเรียนใหม่</t>
  </si>
  <si>
    <t>https://lh5.googleusercontent.com/d/12YDZStQ7tlCL-eOyd6B-liixj-O_lreQ</t>
  </si>
  <si>
    <t>https://drive.google.com/file/d/1A6F-uNCMKilqaFrum6CUuE1RGqzX7mWD/view?usp=drivesdk</t>
  </si>
  <si>
    <t>https://lh5.googleusercontent.com/d/1aXWoTCycAGX1whA-v0raF8gySbr4urIH</t>
  </si>
  <si>
    <t>6803918</t>
  </si>
  <si>
    <t>นพอ.พลอยธิดา รัตนกิจ</t>
  </si>
  <si>
    <t>https://lh5.googleusercontent.com/d/1oQeZbL8ZQsWBdZlPla2-WsWKYtJytfL7</t>
  </si>
  <si>
    <t>https://drive.google.com/file/d/1h0I-epW3VMwyhrRpazJj_8Qx-19gjEkP/view?usp=drivesdk</t>
  </si>
  <si>
    <t>https://lh5.googleusercontent.com/d/1-Pp_azjNYsGP6rjkew3ORke4kCJxbATt</t>
  </si>
  <si>
    <t>https://drive.google.com/file/d/1JqiA6wJrpCLOcGCFR0i3ScJlPZuMU3IS/view?usp=drivesdk</t>
  </si>
  <si>
    <t>https://lh5.googleusercontent.com/d/1ykjOsDyTbS9p4VsJiT-xZJoxzipGO_zY</t>
  </si>
  <si>
    <t>https://drive.google.com/file/d/1i2_58ysV1fLsiBVeFX5ttke0A9zIuhpu/view?usp=drivesdk</t>
  </si>
  <si>
    <t>https://lh5.googleusercontent.com/d/1LbzNSYowOthVppFhP2r3xdi6PXPTl5XO</t>
  </si>
  <si>
    <t>https://drive.google.com/file/d/1fqNcBKiIgC_UNB0CWMwMG1-hoFSymGqC/view?usp=drivesdk</t>
  </si>
  <si>
    <t>https://lh5.googleusercontent.com/d/1mquZkmX_6Hst0fxtb-IGJZ0AzvhAIDaF</t>
  </si>
  <si>
    <t>https://drive.google.com/file/d/1_HiB9j6a-xgsR3ANHTFFwIWxPqk1_MbY/view?usp=drivesdk</t>
  </si>
  <si>
    <t>https://lh5.googleusercontent.com/d/14a-dJPt6JYhdXeTHZQR4MdchaNE09fER</t>
  </si>
  <si>
    <t>https://drive.google.com/file/d/1vB_8E836XvckC-ZvUC9lUwA6Gik5EnEP/view?usp=drivesdk</t>
  </si>
  <si>
    <t>https://lh5.googleusercontent.com/d/1TSt4jsxveiZgOejdd3jFdcHKPeJjCjlh</t>
  </si>
  <si>
    <t>https://drive.google.com/file/d/1FnFWFi_zBcsRJkfL5YK3aNOeSwcPA8YS/view?usp=drivesdk</t>
  </si>
  <si>
    <t>ลงนามสถวายพระพรวันวันเฉลิมพระชนพรรษา ร.10</t>
  </si>
  <si>
    <t>กระทรวงมหาดไทย ออนไลน์</t>
  </si>
  <si>
    <t>0800-1900</t>
  </si>
  <si>
    <t>กระทวงมหาดไทย</t>
  </si>
  <si>
    <t>https://lh5.googleusercontent.com/d/1In1yHmLgnVL9B--ta-IZQ_8mcgGlUmxK</t>
  </si>
  <si>
    <t>https://drive.google.com/file/d/12H9tWPK25CAn9L3gBZXZs1QOzH-oDfrh/view?usp=drivesdk</t>
  </si>
  <si>
    <t>บัดดี้นักเรียนพยาบาลเหล่าทัพเกาหลี</t>
  </si>
  <si>
    <t>https://lh5.googleusercontent.com/d/1tIGk5HNcT6LflcpzMcSkXt2dlQqzJoVK</t>
  </si>
  <si>
    <t>https://drive.google.com/file/d/1nnA5so0qV1PeQinWhfLmGV9-j4ayEQu7/view?usp=drivesdk</t>
  </si>
  <si>
    <t>6703866</t>
  </si>
  <si>
    <t>นพอ.วนัชพร กันทะตา</t>
  </si>
  <si>
    <t>น.ต.หญิงขวัญชนก พ่วงนาคพันธุ์</t>
  </si>
  <si>
    <t>https://lh5.googleusercontent.com/d/1FDBB2YZ-BC-5B6jgwiPn6YVEjiR9f7bI</t>
  </si>
  <si>
    <t>https://drive.google.com/file/d/1M00OgZlcPlQdn8uUysFudI4GX_DY3QQK/view?usp=drivesdk</t>
  </si>
  <si>
    <t>https://lh5.googleusercontent.com/d/1hkR3XSMOjAywvLJtwIjlysS7eRBAfvt1</t>
  </si>
  <si>
    <t>https://drive.google.com/file/d/1z7kAnhruZn_qSZG8pRTz1_lD33MMsGEj/view?usp=drivesdk</t>
  </si>
  <si>
    <t>ช่วยพับดอกบัว</t>
  </si>
  <si>
    <t>0800-1100</t>
  </si>
  <si>
    <t>พระสมบัติ โชติโก</t>
  </si>
  <si>
    <t>https://lh5.googleusercontent.com/d/199g-8wcaHuq31FIJWyto49SVA3hmD59U</t>
  </si>
  <si>
    <t>https://drive.google.com/file/d/10MXYncf-xTI-4Rkkzt0JGLnkU__YlmQ0/view?usp=drivesdk</t>
  </si>
  <si>
    <t>6703820</t>
  </si>
  <si>
    <t>นพอ.กฤตพร พิทักษ์</t>
  </si>
  <si>
    <t>https://lh5.googleusercontent.com/d/1c8uc8a6a7rR9Ys-ygdBOLBEAtJUd0a5W</t>
  </si>
  <si>
    <t>https://drive.google.com/file/d/16hFpc52CELLxk9caA5oxiOI9cOGWW94i/view?usp=drivesdk</t>
  </si>
  <si>
    <t>0800-1400</t>
  </si>
  <si>
    <t>https://lh5.googleusercontent.com/d/1Q5yIEv4YPpzw8tE3RSsL975mN7iJcxwp</t>
  </si>
  <si>
    <t>https://lh5.googleusercontent.com/d/1UPgtPe9hKHu4sanGh_QLt6FRj4lczhIN</t>
  </si>
  <si>
    <t>https://lh5.googleusercontent.com/d/17QUViZ__MKTWN28iQkfEW5Nmlq8oPo0f</t>
  </si>
  <si>
    <t>https://drive.google.com/file/d/1IWrowdP_qwXEKECT3FDv7BM66oo_2bBZ/view?usp=drivesdk</t>
  </si>
  <si>
    <t>https://lh5.googleusercontent.com/d/1EWZhmCkAUbFj01IdwShvTfqU2Nd6rbw7</t>
  </si>
  <si>
    <t>https://lh5.googleusercontent.com/d/1ChVLI7SAwbmqzIF37vuOy9ay4tqTJY7S</t>
  </si>
  <si>
    <t>https://drive.google.com/file/d/1sdCAE9n4DxgQ5hiP5WPMXeST2KMztU2N/view?usp=drivesdk</t>
  </si>
  <si>
    <t>ค่ายอบรมเยาวชนโรงเรียนโยธินบูรณะ</t>
  </si>
  <si>
    <t>https://lh5.googleusercontent.com/d/1aqtGz95pZX_SNPrBJ8UamjtVujfB2BPY</t>
  </si>
  <si>
    <t>https://drive.google.com/file/d/111SrqqRJRP6T0OIqrsDtKq_NPgPG5Nvk/view?usp=drivesdk</t>
  </si>
  <si>
    <t>ห้อง นพอ. ชั้นปีที่ 1</t>
  </si>
  <si>
    <t>https://lh5.googleusercontent.com/d/1OjwA-kAT4veZc491Z5C7e6s8O81vD1O4</t>
  </si>
  <si>
    <t>https://drive.google.com/file/d/1_H3U6Ix684MLMaMLMr1bHQfIoPa75GyU/view?usp=drivesdk</t>
  </si>
  <si>
    <t xml:space="preserve">ห้องเรียน นพอ.ปี 1 </t>
  </si>
  <si>
    <t>https://lh5.googleusercontent.com/d/1M0petjnMtySxUsYKPg7U-CZ9GnZZxoGe</t>
  </si>
  <si>
    <t>https://drive.google.com/file/d/10FYAnYXvdKMzTucJXkQG9sznClUGf64h/view?usp=drivesdk</t>
  </si>
  <si>
    <t>https://lh5.googleusercontent.com/d/1FKC6Z21zSEg1q9s6lBu_SdBqxWI9kIv8</t>
  </si>
  <si>
    <t>https://drive.google.com/file/d/18TfAeATuXK0dy6L_u5Y4MM2VOhwikLPr/view?usp=drivesdk</t>
  </si>
  <si>
    <t>https://lh5.googleusercontent.com/d/1srjwiTW6Q6iQYA5AO3ospLGZYTOD0Vn_</t>
  </si>
  <si>
    <t>https://drive.google.com/file/d/1Q-8Tr5CZEtCaaoxDteGBmGtHWTOA5U2Y/view?usp=drivesdk</t>
  </si>
  <si>
    <t>ค่ายอบรมเยาวชน</t>
  </si>
  <si>
    <t>โรงเรียนเทศบาล1 สถาวร จ.ชลบุรี</t>
  </si>
  <si>
    <t>https://lh5.googleusercontent.com/d/1IuVDCTIv_OeHrtdLl2tVRtXayaaciJXV</t>
  </si>
  <si>
    <t>https://drive.google.com/file/d/1-ggGh7rXCUvgYWnL49FKmp8RJhBq-i6f/view?usp=drivesdk</t>
  </si>
  <si>
    <t>ซ้อมงานรับขวัญสวีแด68</t>
  </si>
  <si>
    <t>https://lh5.googleusercontent.com/d/1AtxGOvFDoXWajG5ivtkwg5ZM5oWGaHAM</t>
  </si>
  <si>
    <t>https://drive.google.com/file/d/17JeIF5264c831fgU6O1C-m8gf_XevHJj/view?usp=drivesdk</t>
  </si>
  <si>
    <t>น.ท.หญิง สุพัตรา ปิ่นเเก้ว</t>
  </si>
  <si>
    <t>https://lh5.googleusercontent.com/d/1OPMhcYFGgNWzC-ZpcfhU1fwmruk82gH0</t>
  </si>
  <si>
    <t>https://drive.google.com/file/d/1ceT9IxxlRXDV-0ePoB5G0Gyw2UZg6Nh7/view?usp=drivesdk</t>
  </si>
  <si>
    <t>https://lh5.googleusercontent.com/d/1Q64hvSnM2Rk6dBwpPX3XWA8JJqDhTvde</t>
  </si>
  <si>
    <t>https://drive.google.com/file/d/1ePRLDvzvnVy9ywr0Qts9rVwh6IYa718H/view?usp=drivesdk</t>
  </si>
  <si>
    <t>https://lh5.googleusercontent.com/d/1P3NNSemaXQgsCGZp4XngLHtQYB6YB8vy</t>
  </si>
  <si>
    <t>https://drive.google.com/file/d/18AjUxmt9P9KRtTz9W3bih8LFBY7DikGl/view?usp=drivesdk</t>
  </si>
  <si>
    <t>https://lh5.googleusercontent.com/d/1cabRnqiG0p6T2RuR3bvVUSN4WPXtfJb8</t>
  </si>
  <si>
    <t>https://drive.google.com/file/d/1B2_rtxj9fW6aiFIb28zY6iARtvUcD_cG/view?usp=drivesdk</t>
  </si>
  <si>
    <t>https://lh5.googleusercontent.com/d/16OQjHZ-fNeqrUXeRsZ_weIcVlrkUw0NT</t>
  </si>
  <si>
    <t>https://drive.google.com/file/d/1vJ960eI-f5FmSi4IqeJZUldM29MyDEPJ/view?usp=drivesdk</t>
  </si>
  <si>
    <t>https://lh5.googleusercontent.com/d/19A4pYXk8fN4yQ8uwzmvn-XbVW9XW_-dc</t>
  </si>
  <si>
    <t>โครงการบริการวิชาการเเก่สังคม</t>
  </si>
  <si>
    <t>น.ต. ตวงทิพย์ ลดาวัลย์</t>
  </si>
  <si>
    <t>https://lh5.googleusercontent.com/d/1FRcCa3k4J1RtN6DWUFfNshIXgsgwZ220</t>
  </si>
  <si>
    <t>นพอ.กฤตพร  พิทักษ์</t>
  </si>
  <si>
    <t>https://lh5.googleusercontent.com/d/1eBoFTEDJGKoJA3zu3snb2YRaM3CN5XV1</t>
  </si>
  <si>
    <t>https://drive.google.com/file/d/1imc40xEVT8nbLM5HuusXMENX2Y0DLyWP/view?usp=drivesdk</t>
  </si>
  <si>
    <t>6703818</t>
  </si>
  <si>
    <t>นพอ.กนกวรรณ จิณเสน</t>
  </si>
  <si>
    <t>https://lh5.googleusercontent.com/d/1lCvVNtvoQlxtpFoytLqBsXCkn2pSHGle</t>
  </si>
  <si>
    <t>https://drive.google.com/file/d/1Z6DifrnPkyckl2CqnMlVvsXjpOBxGPRM/view?usp=drivesdk</t>
  </si>
  <si>
    <t>https://lh5.googleusercontent.com/d/17zl-gG1UwiqWcbKOT9hj7mdSf3QUy_gl</t>
  </si>
  <si>
    <t>https://drive.google.com/file/d/1D7HObYAU6_oicz4FhrHVusHhUDypaCfi/view?usp=drivesdk</t>
  </si>
  <si>
    <t>https://lh5.googleusercontent.com/d/1CSp5CjvTwU6lAzn8RB4jb0nyKm7_nPSp</t>
  </si>
  <si>
    <t>https://drive.google.com/file/d/1DJ6pb-QzyalMVU1kt0PxzylSvhtXcd-X/view?usp=drivesdk</t>
  </si>
  <si>
    <t>การแข่งขันกีฬานักเรียนแผนกรักบี้ฟุตบอล</t>
  </si>
  <si>
    <t>1100-2000</t>
  </si>
  <si>
    <t>https://lh5.googleusercontent.com/d/1gsXcY6dYGh9esVPECtp_KeUwZGduGsKJ</t>
  </si>
  <si>
    <t>https://drive.google.com/file/d/11cGZn-hC467Dr7wB5JvmhYdB4tAEe6b_/view?usp=drivesdk</t>
  </si>
  <si>
    <t>คอนเสิร์ตทับฟ้าคู่ไทยเพื่อ “ชัยพัฒนา” ครั้งที่ 16</t>
  </si>
  <si>
    <t>https://lh5.googleusercontent.com/d/1_x0Ffc3Jo0_j67x2T3XZejAgkPdkfSmK</t>
  </si>
  <si>
    <t>https://drive.google.com/file/d/1dcpTf6jxEq5fZpeu1DOne37LwfbeCIZ0/view?usp=drivesdk</t>
  </si>
  <si>
    <t>6803923</t>
  </si>
  <si>
    <t>นพอ.พิมพ์ณัฐชยา มนนามอญ</t>
  </si>
  <si>
    <t>ค่ายแนะแนวรัฐบุรุษ2</t>
  </si>
  <si>
    <t>โรงเรียนชลกัลยานุกูล จ.ชลบุรี</t>
  </si>
  <si>
    <t>https://lh5.googleusercontent.com/d/1puyrtH8lOhCyQCAfCmH8YT2SuwsBvt2j</t>
  </si>
  <si>
    <t>https://drive.google.com/file/d/19v4Xin6PDj9rYRqv8TYqePJVWAMUin6j/view?usp=drivesdk</t>
  </si>
  <si>
    <t>https://lh5.googleusercontent.com/d/1lRasfwUMkE3l_pjcMCbz7Vkt59T3xs55</t>
  </si>
  <si>
    <t>https://drive.google.com/file/d/1yB6OADO3bhvBh4jtYfv9pLEZHtYu1OHn/view?usp=drivesdk</t>
  </si>
  <si>
    <t>https://lh5.googleusercontent.com/d/1eT2gWNDTmqx1NkCsLgSyVhcWlHd4vr3w</t>
  </si>
  <si>
    <t>https://drive.google.com/file/d/1_elY1jzXtDS2aWGWrtnHOGMz6_JmDvJD/view?usp=drivesdk</t>
  </si>
  <si>
    <t>https://lh5.googleusercontent.com/d/1ygajz8b5eU5gVcGEPr8gXIsmBU0oIgMf</t>
  </si>
  <si>
    <t>https://drive.google.com/file/d/15IcUrN6JAepZYb7oHhfw4IpOVuR656ue/view?usp=drivesdk</t>
  </si>
  <si>
    <t>https://lh5.googleusercontent.com/d/1Bv7xHWlWN4xKx_Zf1o_EZOPamIgg6gNJ</t>
  </si>
  <si>
    <t>https://drive.google.com/file/d/16itpzjM9UssELcWIWWQ2KaY_9evm3OLh/view?usp=drivesdk</t>
  </si>
  <si>
    <t>https://lh5.googleusercontent.com/d/1BF5qfpmzExDKNVeAfNmIGrdIxL71zYWc</t>
  </si>
  <si>
    <t>อาภรณ์ภัณฑ์</t>
  </si>
  <si>
    <t>ร.ท.จักรวาล เนื่องสุข</t>
  </si>
  <si>
    <t>https://lh5.googleusercontent.com/d/1F1VfWflL5kC6_gc7lDg3rCBAyewHCK_o</t>
  </si>
  <si>
    <t>https://drive.google.com/file/d/1R2uNwbU8zJglRoXpQeG1Orgb7n4e3KdB/view?usp=drivesdk</t>
  </si>
  <si>
    <t>https://lh5.googleusercontent.com/d/1WrN8xNdVcqrdZATIK3V3xYRJIWPU1rLL</t>
  </si>
  <si>
    <t>https://drive.google.com/file/d/1diWJLr2ZgmqBCLB8gJQIAe5Vv7sUl_2D/view?usp=drivesdk</t>
  </si>
  <si>
    <t>6703819</t>
  </si>
  <si>
    <t>นพอ.กรณิศ เกษแก้ว</t>
  </si>
  <si>
    <t>https://lh5.googleusercontent.com/d/1YmAUDyu_kiY3SHl1iZ8cmoiC6eBzv9Jm</t>
  </si>
  <si>
    <t>https://drive.google.com/file/d/1YdK-UGdT3byRx0Dx3YDnV9tuB83WLH-m/view?usp=drivesdk</t>
  </si>
  <si>
    <t>https://lh5.googleusercontent.com/d/1gD96U3yUZTzvBl2nk-wZrNiSeFweIr_x</t>
  </si>
  <si>
    <t>https://drive.google.com/file/d/1WDAzDFaqZwqXR96OcZ38AM9QcYzV-NZq/view?usp=drivesdk</t>
  </si>
  <si>
    <t>https://lh5.googleusercontent.com/d/1Soley60cPi-TjrNyRzfSMsHPAVGFQvZ5</t>
  </si>
  <si>
    <t>https://drive.google.com/file/d/1ZP53E6a5KVuW8H5FogaeTkxHUgSWPzmI/view?usp=drivesdk</t>
  </si>
  <si>
    <t>https://lh5.googleusercontent.com/d/11H4_CjBqeol9lXGeyDmfhdBreB5Ok6wd</t>
  </si>
  <si>
    <t>https://drive.google.com/file/d/1y0JrXh3YZdfMvBsh4fGTDs4Ip618kGGA/view?usp=drivesdk</t>
  </si>
  <si>
    <t>https://lh5.googleusercontent.com/d/1kGBgj1scfyj1yIz0f6jHGA0YtFobuc3X</t>
  </si>
  <si>
    <t>https://drive.google.com/file/d/11phOy7NhGZjo-GN0OAKgH6j8c-zHVR4W/view?usp=drivesdk</t>
  </si>
  <si>
    <t>https://lh5.googleusercontent.com/d/1jMKN5zNDsp_uMzcagb4dhjraE4uI1H-P</t>
  </si>
  <si>
    <t>https://drive.google.com/file/d/1TwtXaab7J_aqot6JDXepXbHAt9rFl4A4/view?usp=drivesdk</t>
  </si>
  <si>
    <t>ซ้องงานรับขวัญสวีแด</t>
  </si>
  <si>
    <t>https://lh5.googleusercontent.com/d/10vpIOAIOm45nCy15NjsnK-PkSdoDns07</t>
  </si>
  <si>
    <t>https://drive.google.com/file/d/1E7gery72OUCFC_iTtll6vFTbpE2qN7no/view?usp=drivesdk</t>
  </si>
  <si>
    <t>670819</t>
  </si>
  <si>
    <t>1400-200</t>
  </si>
  <si>
    <t>https://lh5.googleusercontent.com/d/1O_TXeRv0upxrhcNHcy5EtlqI8Y3Dmax9</t>
  </si>
  <si>
    <t>https://drive.google.com/file/d/1FBoEbUfi91seGLCCj8QHJfpIS-FVHjX3/view?usp=drivesdk</t>
  </si>
  <si>
    <t>https://lh5.googleusercontent.com/d/1jHmsA-38dKxOv6NwWNh2fum1cQ8Rj_gG</t>
  </si>
  <si>
    <t>https://drive.google.com/file/d/1vZwRUzCUMZnwnFXrEA3m5845cgm_vTcR/view?usp=drivesdk</t>
  </si>
  <si>
    <t>https://lh5.googleusercontent.com/d/1K-IqZNSjhofYwa78g7noiYr0MTvqajyl</t>
  </si>
  <si>
    <t>https://drive.google.com/file/d/1vyplKbyS9S30zcdE8fbUWdQTZWPesK8w/view?usp=drivesdk</t>
  </si>
  <si>
    <t>https://lh5.googleusercontent.com/d/1--y_0WikxCLbQwPPp0kNg8gSYsUveoLj</t>
  </si>
  <si>
    <t>https://drive.google.com/file/d/1Jh3S8OD7b2bwT7JujeJrTuI1z41yu7pG/view?usp=drivesdk</t>
  </si>
  <si>
    <t>https://lh5.googleusercontent.com/d/13NaJCYcay3hptDpOTJ_-1fmZBb40SNuW</t>
  </si>
  <si>
    <t>https://drive.google.com/file/d/10MqZYdGoU6Umuc0lWtqmdW2G_OEjkyqF/view?usp=drivesdk</t>
  </si>
  <si>
    <t>https://lh5.googleusercontent.com/d/1y110JZCvKYkBbhYpf_474ZUjHAb0IWPR</t>
  </si>
  <si>
    <t>https://drive.google.com/file/d/1NApDr6yBIwZWoZgpy_1wAe9bLGcm_wGZ/view?usp=drivesdk</t>
  </si>
  <si>
    <t>6503723</t>
  </si>
  <si>
    <t>ประภัสสร ธีรศรัณยานนท์</t>
  </si>
  <si>
    <t>https://lh5.googleusercontent.com/d/1I8HJVON05aAoaXe1a_SbF5LcvyJdpAdX</t>
  </si>
  <si>
    <t>https://drive.google.com/file/d/10-DJlUXMbSolAJ-bKMvqf6o694zZS_A5/view?usp=drivesdk</t>
  </si>
  <si>
    <t>https://lh5.googleusercontent.com/d/1zOVekVVPIO8YTHXM7hI4j08jFrLFLL_K</t>
  </si>
  <si>
    <t>คอนเสิร์ตทัพฟ้าคู่ไทยเพื่อ”ชัยพัฒนา”ครั้งที่ 16</t>
  </si>
  <si>
    <t>https://lh5.googleusercontent.com/d/1p7lGu7tQJ6pMYyFxn9_d56ON26j1KuJm</t>
  </si>
  <si>
    <t>https://drive.google.com/file/d/1RTmwBh9r2mawhBKlJ1TPvXgQDRTPAwv4/view?usp=drivesdk</t>
  </si>
  <si>
    <t>https://lh5.googleusercontent.com/d/1Ac9OXi2a2amY81UouYKPFy7SEwVfzbvU</t>
  </si>
  <si>
    <t>https://drive.google.com/file/d/1De7L46ND1L8R5tevaYWN2ANtIEVEtZ7I/view?usp=drivesdk</t>
  </si>
  <si>
    <t>https://lh5.googleusercontent.com/d/1U2ecABmy0Ctewnjgn08-4iBxuscoctc1</t>
  </si>
  <si>
    <t>https://drive.google.com/file/d/1g87cHJ_LjBuYm7qwylhbXCG5jbb7uXlE/view?usp=drivesdk</t>
  </si>
  <si>
    <t>https://lh5.googleusercontent.com/d/1lk2Vd2GN67ODAgoXpO_jtWLz_nvrpTfS</t>
  </si>
  <si>
    <t>https://drive.google.com/file/d/1iDSidqP3l7uJsPXFIBm5K22lsRXjEa44/view?usp=drivesdk</t>
  </si>
  <si>
    <t>https://lh5.googleusercontent.com/d/1psQeTDbiUx0tD5Y8zXvoMTfC6S_dmJbq</t>
  </si>
  <si>
    <t>https://drive.google.com/file/d/1w1NPhuTWByJZkJc0zlAq6yCG6BPoDIo0/view?usp=drivesdk</t>
  </si>
  <si>
    <t>https://lh5.googleusercontent.com/d/1OwjPYS18Vw3KGlPNRZMaHsr9hlrL0wIt</t>
  </si>
  <si>
    <t>https://drive.google.com/file/d/1vJlsjMW2vBI0HGqB_W5I1ruCNj17Wej3/view?usp=drivesdk</t>
  </si>
  <si>
    <t>https://lh5.googleusercontent.com/d/1Llt5lEpKDJRCwtRF_93AIw-0WZ0Kd5bt</t>
  </si>
  <si>
    <t>https://drive.google.com/file/d/1gg_ue0pVdyirSRXU9pqMYUF9dD8J1JcZ/view?usp=drivesdk</t>
  </si>
  <si>
    <t>https://lh5.googleusercontent.com/d/1F5I-trgkKB8NByKa17LMCpnjXk7BvuBF</t>
  </si>
  <si>
    <t>https://drive.google.com/file/d/1cbWyo4HuBj0ZhCHsf-fYLntmCklZx2GC/view?usp=drivesdk</t>
  </si>
  <si>
    <t>https://lh5.googleusercontent.com/d/1HpbWaAHMbqUNXQf4CzWwBsgliDuUxvsr</t>
  </si>
  <si>
    <t>https://drive.google.com/file/d/1WbO6fDL2U1Z4IT3Zy1MJUvO0pwrOOc5M/view?usp=drivesdk</t>
  </si>
  <si>
    <t>Big cleaning day วัดประชารัฐสร้างสุข</t>
  </si>
  <si>
    <t xml:space="preserve"> ตำบลบางไผ่ อำเภอเมืองฉะเชิงเทรา </t>
  </si>
  <si>
    <t>วันวิสา ดำริมุ่งกิจ</t>
  </si>
  <si>
    <t>https://lh5.googleusercontent.com/d/1gjmkCmy8Km_Fzmnu3ENDw_PpwWaIz7LA</t>
  </si>
  <si>
    <t>https://drive.google.com/file/d/1b2lzt_nFjibb77cyNzyeuIpCwoSk2VLw/view?usp=drivesdk</t>
  </si>
  <si>
    <t>6603795</t>
  </si>
  <si>
    <t>นพอ.พิทยาภรณ์ คำลือ</t>
  </si>
  <si>
    <t>https://lh5.googleusercontent.com/d/1V8lUHqZ0fhAsDjBaPTZCvw_6IRvgc5Ns</t>
  </si>
  <si>
    <t>https://drive.google.com/file/d/1lMGwauSfmA7vcakay0f6-m2Zt3L_rDix/view?usp=drivesdk</t>
  </si>
  <si>
    <t>คอนเสิร์ตทัพฟ้าคู่ไทยเพื่อชัยพัฒนา</t>
  </si>
  <si>
    <t>https://lh5.googleusercontent.com/d/1hGiMsPiZ_YacFI0us6F8LdlQ1CIOvUPq</t>
  </si>
  <si>
    <t>https://drive.google.com/file/d/1LUO-UGbtcwyPdZPibfDggKwJNYjH13a3/view?usp=drivesdk</t>
  </si>
  <si>
    <t>ซ้อมดนตรีไทย งานไหว้ครูดนตรีไทย 10 สถาบัน</t>
  </si>
  <si>
    <t>https://lh5.googleusercontent.com/d/1j1Qc76wviLOF6xAuxOp4Ox8vrVxe8DU-</t>
  </si>
  <si>
    <t>https://drive.google.com/file/d/1GBjXCybHwYxREoe0pyUbpmaD43V98yWS/view?usp=drivesdk</t>
  </si>
  <si>
    <t>ทำบุญทอดกฐิน</t>
  </si>
  <si>
    <t>https://lh5.googleusercontent.com/d/1DF_ZyBFq2v2OBCjp5Dvd_Gq-R40k8CMk</t>
  </si>
  <si>
    <t>https://drive.google.com/file/d/1OkslaZJvAi8NfIHcxE0SVOqSr8ty96mU/view?usp=drivesdk</t>
  </si>
  <si>
    <t>6803901</t>
  </si>
  <si>
    <t>นพอ.ณัฐริกา วัฒนสมบัติ</t>
  </si>
  <si>
    <t>https://lh5.googleusercontent.com/d/1VS0VwOyBXB_HkC5OK9Ind3mcQlXbQJZN</t>
  </si>
  <si>
    <t>https://drive.google.com/file/d/1aTsWoOIEe5Y557JdBgftcHFtIlfi_y61/view?usp=drivesdk</t>
  </si>
  <si>
    <t>7:30</t>
  </si>
  <si>
    <t>https://lh5.googleusercontent.com/d/12emaXuBaAIvj7B_Okq8W_Xqv4wblhZb_</t>
  </si>
  <si>
    <t>https://drive.google.com/file/d/1H26RygabrJuzYBcZ9zWtJBEyC1RMW1Er/view?usp=drivesdk</t>
  </si>
  <si>
    <t>https://lh5.googleusercontent.com/d/13YnaMO_Brf4NLOAFSs3phAmxETXGgkKe</t>
  </si>
  <si>
    <t>https://drive.google.com/file/d/1m_gXPFpgyqasSxm4tAuBsnzWb5TL1tXx/view?usp=drivesdk</t>
  </si>
  <si>
    <t>6503743</t>
  </si>
  <si>
    <t>นพอ.ศศิกานต์ ไคลมี</t>
  </si>
  <si>
    <t>ช่วยงานกฐิน ณ วัดบ้านนา</t>
  </si>
  <si>
    <t>วัดบ้านนา ฉะเชิงเทรา</t>
  </si>
  <si>
    <t>https://lh5.googleusercontent.com/d/1TQB-Eqaau0y76BQFdBrLlRMWhMGz5t5x</t>
  </si>
  <si>
    <t>https://drive.google.com/file/d/1hVlD1nLkTelJ3ZCoOGOm_SaWk1WfjEZF/view?usp=drivesdk</t>
  </si>
  <si>
    <t>คุณแม่ตากผ้า</t>
  </si>
  <si>
    <t>นางภัคอมร สุขพี้</t>
  </si>
  <si>
    <t>https://lh5.googleusercontent.com/d/1ihp9Qm_G05NPQMNrCcgtKCcBGL1WSpiO</t>
  </si>
  <si>
    <t>https://drive.google.com/file/d/1u0V62UkLYH9rOjbz3KbTIzX5OqxZZShc/view?usp=drivesdk</t>
  </si>
  <si>
    <t>12.00-17.00</t>
  </si>
  <si>
    <t>https://lh5.googleusercontent.com/d/15ctXmL4KiAzxIy7ttcA27Ay4qtOu23AJ</t>
  </si>
  <si>
    <t>https://drive.google.com/file/d/1xhwUjGWZBaXhFOH6rwF33OvOWLls8Xes/view?usp=drivesdk</t>
  </si>
  <si>
    <t>6503735</t>
  </si>
  <si>
    <t>นพอ.มัญชุสา อภิรมย์ชวาล</t>
  </si>
  <si>
    <t>https://lh5.googleusercontent.com/d/1OwDILFeLzKjBNbNNx730pa7T-lJlmRIQ</t>
  </si>
  <si>
    <t>https://drive.google.com/file/d/11o1fh6l6kxYYkXJnqzwOL6MVdLQmKV0z/view?usp=drivesdk</t>
  </si>
  <si>
    <t>ช่วยคุณพ่อรีดผ้า</t>
  </si>
  <si>
    <t>พ.ต.ท ประกิจ สุขพี้</t>
  </si>
  <si>
    <t>https://lh5.googleusercontent.com/d/1b_z_7ofbMys2N9YIDQidurUal5ReeigP</t>
  </si>
  <si>
    <t>https://drive.google.com/file/d/179T6tbXzJBJ3wwIbT3VZTEf7mwL2UHds/view?usp=drivesdk</t>
  </si>
  <si>
    <t>6503741</t>
  </si>
  <si>
    <t>นพอ.วรินันท์ ประสิทธิ์ลาภสกุล</t>
  </si>
  <si>
    <t>นาวาอากาศโทหญิง ดร.ภัทรมน ทับสูงเนิน</t>
  </si>
  <si>
    <t>https://lh5.googleusercontent.com/d/1eXDq9JXr143lCnEnzCgsBd130qIwBrbz</t>
  </si>
  <si>
    <t>https://drive.google.com/file/d/1Ryi_PbtmZSHiQvJx0w4gCSOs-5Sca9lM/view?usp=drivesdk</t>
  </si>
  <si>
    <t>https://lh5.googleusercontent.com/d/1vegYCBKD1ifU6GhcdWYSLZb2vc5q9kAE</t>
  </si>
  <si>
    <t>https://drive.google.com/file/d/12_bzziSrHUf0EVDmYobPx9PauHvo-qkL/view?usp=drivesdk</t>
  </si>
  <si>
    <t>พินิษา อินทร์ศวร</t>
  </si>
  <si>
    <t>https://lh5.googleusercontent.com/d/1sFT7YdMZloBnQJ0tXl1j2DOXdbdZaS7G</t>
  </si>
  <si>
    <t>https://drive.google.com/file/d/1Gv7BzafzhcaQbAOD4hFwvt5ck6tUiGAD/view?usp=drivesdk</t>
  </si>
  <si>
    <t>https://lh5.googleusercontent.com/d/1-LhlGyeUS2cpUWVsA2NewPHp_WjBa6DY</t>
  </si>
  <si>
    <t>https://drive.google.com/file/d/1jUs_KG-CphlDfmwnUQMol8mzsjdoxoz2/view?usp=drivesdk</t>
  </si>
  <si>
    <t>บก.ทท.</t>
  </si>
  <si>
    <t>https://lh5.googleusercontent.com/d/1ma6LUXATp8JbF77L48u8H7HR29j0tZ-Y</t>
  </si>
  <si>
    <t>https://drive.google.com/file/d/1vzTis4_vgZhkKxWnN5_2f43drnH4eLrB/view?usp=drivesdk</t>
  </si>
  <si>
    <t>https://lh5.googleusercontent.com/d/1aXRrx-u6OQ9DzVeTnulBRotqz_N5dK8w</t>
  </si>
  <si>
    <t>https://drive.google.com/file/d/1GIzmN-CTdQa2pniICpVAM4hp1bG5Eq4O/view?usp=drivesdk</t>
  </si>
  <si>
    <t>7:45</t>
  </si>
  <si>
    <t>https://lh5.googleusercontent.com/d/1paIGFAYv0XfQE1s0mEMeHrVdLNe2m0xF</t>
  </si>
  <si>
    <t>https://drive.google.com/file/d/1JD21mfgSIGuDub35Bui0ai-00Niqwcsa/view?usp=drivesdk</t>
  </si>
  <si>
    <t>https://lh5.googleusercontent.com/d/1Fgd7__bv-L7IesXMSrhyvSKkEw-5wCJH</t>
  </si>
  <si>
    <t>https://drive.google.com/file/d/1jPifP-KlAMccm1VArDCSe9Lr0LBWuiIN/view?usp=drivesdk</t>
  </si>
  <si>
    <t>6503709</t>
  </si>
  <si>
    <t>นพอ.ณัฐณิชา ริดใย</t>
  </si>
  <si>
    <t>โครงการ วัด ประชา รัฐ สร้างสุข</t>
  </si>
  <si>
    <t xml:space="preserve">บ้ายหัวสวน ต.บางไผ่ </t>
  </si>
  <si>
    <t>น.ส.วันวิสา ดำริมุ่งกิจ</t>
  </si>
  <si>
    <t>https://lh5.googleusercontent.com/d/1h9mR-MIlVJXdGplEGVnXMlR1EKxApBSD</t>
  </si>
  <si>
    <t>https://drive.google.com/file/d/1I_nS1biHeJQjE8rns_FuQhPkclNepxiN/view?usp=drivesdk</t>
  </si>
  <si>
    <t>7:39</t>
  </si>
  <si>
    <t>https://lh5.googleusercontent.com/d/194tqlEu__fkNPNVuoeTQPOKWw0OCJiRL</t>
  </si>
  <si>
    <t>https://drive.google.com/file/d/1MDyzS1tyAwvd2odhYUw5t42dqfqygWwU/view?usp=drivesdk</t>
  </si>
  <si>
    <t>แอโรบิคชมรมผู้สูงอายุสานสัมพันธ์ชาวหนามแดง</t>
  </si>
  <si>
    <t>https://lh5.googleusercontent.com/d/17H22QbLDD786h83N8XaTzLIzNLYkwJMl</t>
  </si>
  <si>
    <t>https://drive.google.com/file/d/15Y4Wz_aKURjghaoUif80HEUAJ7wdN9K5/view?usp=drivesdk</t>
  </si>
  <si>
    <t>https://lh5.googleusercontent.com/d/1mnPsxY_yhG9EoX_A-_aZIhS-SNQM7qLO</t>
  </si>
  <si>
    <t>https://drive.google.com/file/d/1B4XEAZ6HhooIXi2uvyn8D8BFw0vW9hwN/view?usp=drivesdk</t>
  </si>
  <si>
    <t>https://lh5.googleusercontent.com/d/1UMqS3e1fCpq-71825BTsxvpRN1JaXHy7</t>
  </si>
  <si>
    <t>https://drive.google.com/file/d/1xNu5FJ1wirRC-tDpIoHkjQDf7eWYnHNj/view?usp=drivesdk</t>
  </si>
  <si>
    <t>วัดราษฎร์นิยมธรรม</t>
  </si>
  <si>
    <t>7.00</t>
  </si>
  <si>
    <t>พระครูอาทรวุฒิคุณ</t>
  </si>
  <si>
    <t>https://lh5.googleusercontent.com/d/1-d1yOlAZaYZRSbn1sOWQgcRYqwEIzbSW</t>
  </si>
  <si>
    <t>https://drive.google.com/file/d/1Wkpel19QOnabNbaVwLnaIzncpvIFpbN4/view?usp=drivesdk</t>
  </si>
  <si>
    <t>พระประจำวัดพระศรีมหาธาตุ</t>
  </si>
  <si>
    <t>https://lh5.googleusercontent.com/d/1DGvIV7JI6aFkVSthhtGJkUUqIRsIZcDq</t>
  </si>
  <si>
    <t>https://drive.google.com/file/d/1gICk6-JzgcDUEqbq-V-AE8yUOJUXlOnt/view?usp=drivesdk</t>
  </si>
  <si>
    <t>https://lh5.googleusercontent.com/d/1-n6wqLKFMQSq9eL02tYqrKP4k80Ey5vr</t>
  </si>
  <si>
    <t>https://drive.google.com/file/d/1VD_UFXN3qTmlm23KNVLo9qUsF5xnLSDp/view?usp=drivesdk</t>
  </si>
  <si>
    <t>https://lh5.googleusercontent.com/d/1S61VYILwIpCgLwdXiD3_7yVB9pFb2K-F</t>
  </si>
  <si>
    <t>https://drive.google.com/file/d/1eulX_IDeQtAerSqS7CXdTo0aklNp5e6j/view?usp=drivesdk</t>
  </si>
  <si>
    <t>6603784</t>
  </si>
  <si>
    <t>นพอ.เบญจมาภรณ์ เกตุมณี</t>
  </si>
  <si>
    <t>วัดเกาะ</t>
  </si>
  <si>
    <t>https://lh5.googleusercontent.com/d/1pz0AvfocOcjntSMXaQASSPgdI0Fkvm6D</t>
  </si>
  <si>
    <t>https://drive.google.com/file/d/1JIEQt2HyJgApXbymX5h-wPrSkhdCeZe4/view?usp=drivesdk</t>
  </si>
  <si>
    <t>6803899</t>
  </si>
  <si>
    <t>นพอ.ณัฐณิชา มีปา</t>
  </si>
  <si>
    <t>พยาบาลไทยบริจาคโลหิต ช่วยชีวิตเพื่อนมนุษย์ปี4</t>
  </si>
  <si>
    <t>น.ท.หญิงอนุกูล บำรุงวงค์</t>
  </si>
  <si>
    <t>https://lh5.googleusercontent.com/d/1cYOuzAOu0O97G4RXY5EqV3V1znParSMh</t>
  </si>
  <si>
    <t>https://drive.google.com/file/d/1OgIiS5KHmnlqCOriZv4Zrosb9YvlBr65/view?usp=drivesdk</t>
  </si>
  <si>
    <t>โครงการคัดกรองสุขภาพเชิงรุกกำลังพลทอ.</t>
  </si>
  <si>
    <t>https://lh5.googleusercontent.com/d/1rl5r_TdNxhMAZm4spPLzzvHDp97q_vFL</t>
  </si>
  <si>
    <t>https://drive.google.com/file/d/1_yH6FBoCOo56Tdbf8mB_lxfAj7x4Nb1c/view?usp=drivesdk</t>
  </si>
  <si>
    <t>โครงการมิตรประชา</t>
  </si>
  <si>
    <t>โรงเรียนมัธยมเทศบาลวัดท่าแพ จ.นครศรีธรรมราช</t>
  </si>
  <si>
    <t>https://lh5.googleusercontent.com/d/1suBuk7ISoLszH7UKTU86W-TPpxrCOKTu</t>
  </si>
  <si>
    <t>https://drive.google.com/file/d/1brgUtXSD4hq979ZWBVg2N8GNWx4xuqKB/view?usp=drivesdk</t>
  </si>
  <si>
    <t>0900-1000</t>
  </si>
  <si>
    <t>นางวิภารัตน์ คำลือ</t>
  </si>
  <si>
    <t>https://lh5.googleusercontent.com/d/188OZLEQ1eiRs2dIDK1Em7HsjihHgfrwB</t>
  </si>
  <si>
    <t>https://drive.google.com/file/d/1-CeRMAO2t8gtg7J0a7Coo951aCRHX1cL/view?usp=drivesdk</t>
  </si>
  <si>
    <t>โรงเรียนมัธยมทุ่งสง จ.นครศรีธรรมราช</t>
  </si>
  <si>
    <t>https://lh5.googleusercontent.com/d/1U1XRitG4lz38GnjEUApN_hz0pW6wlu9R</t>
  </si>
  <si>
    <t>https://drive.google.com/file/d/1mxY0Il8YSnIxhNZla7FeMZ982PyjcS7S/view?usp=drivesdk</t>
  </si>
  <si>
    <t>https://lh5.googleusercontent.com/d/1Jhywrsc71vvJnqhaUvXRIF5cibkv_yel</t>
  </si>
  <si>
    <t>https://drive.google.com/file/d/1_LhY3TBd05TkQnwL5vWdevMUZrWp9joJ/view?usp=drivesdk</t>
  </si>
  <si>
    <t>https://lh5.googleusercontent.com/d/1oeQ3Z8IxTqt7hT6t_pMqttz1ksy8iVkT</t>
  </si>
  <si>
    <t>https://drive.google.com/file/d/1Ze0CUoOG9PmjRqeWOR1TnmTTn-bY6HTs/view?usp=drivesdk</t>
  </si>
  <si>
    <t>6803889</t>
  </si>
  <si>
    <t>กุลิสรา ตุ่นคำ</t>
  </si>
  <si>
    <t>7.20</t>
  </si>
  <si>
    <t>https://lh5.googleusercontent.com/d/1pG6xfR22PwKgw9-vzn9reu5OfUvCkziq</t>
  </si>
  <si>
    <t>https://drive.google.com/file/d/1nbUW8LRScLY1jH4_Aik9CucVclWCnuyo/view?usp=drivesdk</t>
  </si>
  <si>
    <t>6603809</t>
  </si>
  <si>
    <t>นพอ.สุณัญญา แก้วเจริญ</t>
  </si>
  <si>
    <t>Buddy Korea</t>
  </si>
  <si>
    <t>https://lh5.googleusercontent.com/d/1N48IoLsTb1yuljhQ3XAlWk4IMp6VmUVY</t>
  </si>
  <si>
    <t>https://drive.google.com/file/d/1j0uDFogVyJteKaYNAjX7jpvRjrx3Svkv/view?usp=drivesdk</t>
  </si>
  <si>
    <t>0600</t>
  </si>
  <si>
    <t>https://lh5.googleusercontent.com/d/1s5MmO6_5LBPYCwaWas-LbPm6UmAoeIsO</t>
  </si>
  <si>
    <t>https://drive.google.com/file/d/1MgZsqOthpt5NveLwGsswttOQSLpRixbK/view?usp=drivesdk</t>
  </si>
  <si>
    <t>6603771</t>
  </si>
  <si>
    <t>นพอ.ทวิกา สอิ้งแก้ว</t>
  </si>
  <si>
    <t>รับน้อง swd68</t>
  </si>
  <si>
    <t>https://lh5.googleusercontent.com/d/1xrJ_gND1uDQ7VTeRkUva2iJlhBQ6M9RT</t>
  </si>
  <si>
    <t>https://drive.google.com/file/d/1P0YmaL6J2CqQ1qpo-3IBmU4HQO4Uwp57/view?usp=drivesdk</t>
  </si>
  <si>
    <t>https://lh5.googleusercontent.com/d/1nrmr4LSib4AwLjxijLwTyMkA5_Tvn0IC</t>
  </si>
  <si>
    <t>https://drive.google.com/file/d/1YFZBr5gujRwRegL30QLTcFlgHcqygCT7/view?usp=drivesdk</t>
  </si>
  <si>
    <t>https://lh5.googleusercontent.com/d/1LaNIqzBDaSSApW-lpHlREK96BXimQ95m</t>
  </si>
  <si>
    <t>https://drive.google.com/file/d/19So1sojuaBEFwe57T9eKcFlEGUImCA4d/view?usp=drivesdk</t>
  </si>
  <si>
    <t>6803898</t>
  </si>
  <si>
    <t>นพอ.ณัฐณิชา ทิพย์โอสถ</t>
  </si>
  <si>
    <t>อบรมไซเบอร์</t>
  </si>
  <si>
    <t>https://lh5.googleusercontent.com/d/16QYJtUUH-TWEja_EjxxVD8lSbdATJrCj</t>
  </si>
  <si>
    <t>https://drive.google.com/file/d/1TU3sdEa8-hzwmKUdJ6ya_bbFhQmMFgMx/view?usp=drivesdk</t>
  </si>
  <si>
    <t>วันบ้านนา ฉะเชิงเทรา</t>
  </si>
  <si>
    <t>นางรัตติกาล หงษ์สิริ</t>
  </si>
  <si>
    <t>https://lh5.googleusercontent.com/d/1rOmsXI9QkLYFXLxVntSyhcZGrnGQuS2-</t>
  </si>
  <si>
    <t>https://drive.google.com/file/d/1165hYSNUa9WiaZa59WRZyV0opci4YzGb/view?usp=drivesdk</t>
  </si>
  <si>
    <t>3741</t>
  </si>
  <si>
    <t>ตักบาตร</t>
  </si>
  <si>
    <t>0630-0730</t>
  </si>
  <si>
    <t>ร.ท. ฤทธิพล อ้วนสิงห์</t>
  </si>
  <si>
    <t>https://lh5.googleusercontent.com/d/1R5Jc7A2ZEa1KNH6LJwcxuiytUfCSP6-9</t>
  </si>
  <si>
    <t>https://drive.google.com/file/d/1TOl2o-b0MyqtvHpFuiot3EwHreNlvyUp/view?usp=drivesdk</t>
  </si>
  <si>
    <t>ประชุมวิชาการเทิดพระเกียรติสมเด็จพระศรีนครินทราบรม</t>
  </si>
  <si>
    <t>สภาการพยาบาล</t>
  </si>
  <si>
    <t>https://lh5.googleusercontent.com/d/15Kf-ec7OUR3ITDlZCPTyfn53HWmteKab</t>
  </si>
  <si>
    <t>https://drive.google.com/file/d/1YK5wgYaJpoP6z9fslztq0CDakExpKdHq/view?usp=drivesdk</t>
  </si>
  <si>
    <t>รับน้อง swd 68</t>
  </si>
  <si>
    <t>https://lh5.googleusercontent.com/d/1Ucbxw2Mx1V59T5-2lMdSL4hsEEa1Yjtt</t>
  </si>
  <si>
    <t>https://drive.google.com/file/d/100p746DDcKQHyRmW02VIH14oPVS_d8WM/view?usp=drivesdk</t>
  </si>
  <si>
    <t>ณัฐณิชา ทิพย์โอสถ</t>
  </si>
  <si>
    <t>Big Cleaning Day</t>
  </si>
  <si>
    <t>https://lh5.googleusercontent.com/d/1rRDSyBsvA-9H6RIQFTOYppoUE2AeKLRC</t>
  </si>
  <si>
    <t>https://drive.google.com/file/d/17q88yrv0OAhAIZFRR9ao0_6AL_6VWOyI/view?usp=drivesdk</t>
  </si>
  <si>
    <t>6803895</t>
  </si>
  <si>
    <t>นพอ.ณัชชา ยอดรัตน์</t>
  </si>
  <si>
    <t>กวาดศาลาวัดหนองผักชี</t>
  </si>
  <si>
    <t>8.00-12.00 น.</t>
  </si>
  <si>
    <t>https://lh5.googleusercontent.com/d/1v-7Dd6wtBWB8kh6r8mhjKy3sgrzksT9K</t>
  </si>
  <si>
    <t>https://drive.google.com/file/d/1jVhmgG2Hjb8zaShJ4vLnpC5U9hulzjZD/view?usp=drivesdk</t>
  </si>
  <si>
    <t>สวนสาธารณะเฉลิมพระเกียรติ ฉะเชิงเทรา</t>
  </si>
  <si>
    <t>0530-1030</t>
  </si>
  <si>
    <t>นางสาวพนิดา เกิดผักแว่น</t>
  </si>
  <si>
    <t>https://lh5.googleusercontent.com/d/1ha8GLdr6eWbMnUUQ2L-kA5hEcjXk8noV</t>
  </si>
  <si>
    <t>https://drive.google.com/file/d/1VFzh3keiwZy37oaUxC2Rp_ifcK36A1AL/view?usp=drivesdk</t>
  </si>
  <si>
    <t>5ส.อนามัย</t>
  </si>
  <si>
    <t>อนามัยวัดบ้านนา</t>
  </si>
  <si>
    <t>1000-1300</t>
  </si>
  <si>
    <t>https://lh5.googleusercontent.com/d/19yvo5rcNCCGRkmlZxrmdCGbO2_WztH8s</t>
  </si>
  <si>
    <t>https://drive.google.com/file/d/1JZTs9mna2ltBQ-8jPLQKPdggCTtOdBlt/view?usp=drivesdk</t>
  </si>
  <si>
    <t>พยาบาลไทยบริจาคโลหิต ช่วจชีวิตเพื่อนมนุษย์ ปี4</t>
  </si>
  <si>
    <t>น.ท.อนุกูล บำรุงวงค์</t>
  </si>
  <si>
    <t>https://lh5.googleusercontent.com/d/1C3UMyCfAtos5ohteD88hf23zbeyly46J</t>
  </si>
  <si>
    <t>https://drive.google.com/file/d/1THCVZAinkt2BIRnNOQOBIlXRRYqDyGBJ/view?usp=drivesdk</t>
  </si>
  <si>
    <t>วิ่งห่างไกลจากโรคNCDsและบุหรี่ไฟฟ้า</t>
  </si>
  <si>
    <t>จังหวัดเชียงใหม่</t>
  </si>
  <si>
    <t>นาง ธัญชนก ไพศาลมรกต</t>
  </si>
  <si>
    <t>https://lh5.googleusercontent.com/d/13Wt-oiiu7t36XU1b725KVpnKIyTjHuKL</t>
  </si>
  <si>
    <t>https://drive.google.com/file/d/1outDmNq68d_r90iTiP1ScA9BPmGi9tge/view?usp=drivesdk</t>
  </si>
  <si>
    <t>https://lh5.googleusercontent.com/d/14PjxKC0_qMirv4HoN0nZKkfM3GxpOk2H</t>
  </si>
  <si>
    <t>https://drive.google.com/file/d/1IY7FV9u8jOFjWOGcStv4opEfcbQkZlgk/view?usp=drivesdk</t>
  </si>
  <si>
    <t>6803900</t>
  </si>
  <si>
    <t>นพอ.ณัฐพัชร์ กาฬพรรณลึก</t>
  </si>
  <si>
    <t>Meet the Youth Cyber Guardians Thailand 2025</t>
  </si>
  <si>
    <t>เรืออากาศเอก อนุชิต ทำจะดี</t>
  </si>
  <si>
    <t>https://lh5.googleusercontent.com/d/1YWw_M0yulcOT2KweZnNeAJZKSLEPxWjk</t>
  </si>
  <si>
    <t>https://drive.google.com/file/d/1GsLVgKG71oZbvkwqL96Rd8o30AUjMnhC/view?usp=drivesdk</t>
  </si>
  <si>
    <t>09:00</t>
  </si>
  <si>
    <t>น.ต. หญิง อนุกูล บำรุงวงศ์</t>
  </si>
  <si>
    <t>https://lh5.googleusercontent.com/d/1CNvMybl4mV78bK1wlTGPGhyVeZzmS0ns</t>
  </si>
  <si>
    <t>https://drive.google.com/file/d/1IG8qQcD96CL2PhWVJ8ZCDUEd5KcwcHzn/view?usp=drivesdk</t>
  </si>
  <si>
    <t>https://lh5.googleusercontent.com/d/1KhJ976ftEg9v3y9ztK9u28XbOaugJpr-</t>
  </si>
  <si>
    <t>https://drive.google.com/file/d/1PkfwYpL-gZp-5TJhBWYgWlYaffiRh8a3/view?usp=drivesdk</t>
  </si>
  <si>
    <t>6803906</t>
  </si>
  <si>
    <t>นพอ.ธัญวรัตน์ ยงคะวิสัย</t>
  </si>
  <si>
    <t>0737</t>
  </si>
  <si>
    <t>https://lh5.googleusercontent.com/d/1xphOnxo5d-IU94vElqKoTLpsW_y89SA3</t>
  </si>
  <si>
    <t>https://drive.google.com/file/d/1B6_7nZDCmFhvNbSytEBQndFOUq5ClhjY/view?usp=drivesdk</t>
  </si>
  <si>
    <t>https://drive.google.com/file/d/1S0fIqUlOl2ekBMK9uzj_orgmCxYWNcvi/view?usp=drivesdk</t>
  </si>
  <si>
    <t>ช่วยเก็บของภายในศาลาวัด</t>
  </si>
  <si>
    <t>วัดสายอัมพันธ์เอมสาร</t>
  </si>
  <si>
    <t>พระครูสัมพันธ์ปริยัติโฆสิต</t>
  </si>
  <si>
    <t>https://lh5.googleusercontent.com/d/1R54lh7cIa52XvZbi7kf9xyvqIa0LUxhS</t>
  </si>
  <si>
    <t>https://drive.google.com/file/d/1tpuCCvJmS-wkBnyJswr-eCmYPf3YUJKt/view?usp=drivesdk</t>
  </si>
  <si>
    <t>รร.นายร้อยจปร</t>
  </si>
  <si>
    <t>0800-1300</t>
  </si>
  <si>
    <t>https://lh5.googleusercontent.com/d/1w2On9Vcfzgb53NBMPGW71KOM2T8q0B4e</t>
  </si>
  <si>
    <t>https://drive.google.com/file/d/1VWtkLGhjdVpHYq9-gmD8xx6PFygmoXci/view?usp=drivesdk</t>
  </si>
  <si>
    <t>ตากผ้า ซักผ้า ทำงานบ้าน</t>
  </si>
  <si>
    <t>นางพรรษสรณ์ สินทรัพย์</t>
  </si>
  <si>
    <t>https://lh5.googleusercontent.com/d/1O-Fmb8WzuP46MZrfRY6B0F2kNO5qltob</t>
  </si>
  <si>
    <t>https://drive.google.com/file/d/1f6LzRIjpVTxUFhwSJ6h1nGWoHsrqSIUk/view?usp=drivesdk</t>
  </si>
  <si>
    <t>https://lh5.googleusercontent.com/d/1DWbIaIhIodDGE6AUZvrMtk4URNueY4al</t>
  </si>
  <si>
    <t>https://drive.google.com/file/d/1nyQHcQqcJZty4X4ugFZFBaIAYk2fkF1X/view?usp=drivesdk</t>
  </si>
  <si>
    <t>https://lh5.googleusercontent.com/d/1wWxMNY19RIsSvW1EJ05UMVRaM1FyXVr-</t>
  </si>
  <si>
    <t>https://drive.google.com/file/d/13loXTQeROPcK8RSbA6e8GD4Ct-uVFFgB/view?usp=drivesdk</t>
  </si>
  <si>
    <t>https://lh5.googleusercontent.com/d/14VfkYA43lLYzvWXGbBi0ato9lB7NE0w1</t>
  </si>
  <si>
    <t>https://drive.google.com/file/d/1jQF-y_m3TjDDj5syJw9_SVzIeuDywWOA/view?usp=drivesdk</t>
  </si>
  <si>
    <t>https://lh5.googleusercontent.com/d/1btL_lBJ4y-2n5EZhwZA9zFJCTTcDCCWt</t>
  </si>
  <si>
    <t>https://drive.google.com/file/d/1PAVfvmYFpB06kDQWRr4h7tL6hleeDHMC/view?usp=drivesdk</t>
  </si>
  <si>
    <t xml:space="preserve">Big Cleaning </t>
  </si>
  <si>
    <t>นาวาอากาศตรี ศักชัย บุญประสิทธิ์</t>
  </si>
  <si>
    <t>https://lh5.googleusercontent.com/d/1fqTOYA9P3VSee85lmlFgs1lv3055YU9N</t>
  </si>
  <si>
    <t>https://drive.google.com/file/d/13mUOW99v49a0fZQXaQtvBsDWo8uS8b_h/view?usp=drivesdk</t>
  </si>
  <si>
    <t>https://lh5.googleusercontent.com/d/1JE5MFc4KxPbnEtLfFhoprl7AoCmWq0-Z</t>
  </si>
  <si>
    <t>https://drive.google.com/file/d/1Nnm0ev-a0wPy32QCBLjcqaIFUEIeQYi7/view?usp=drivesdk</t>
  </si>
  <si>
    <t>https://lh5.googleusercontent.com/d/11LyxXOL5eiVlGVYSpJbAsEnntdU6jHKA</t>
  </si>
  <si>
    <t>https://drive.google.com/file/d/13Z57h-e_KfYekm7bJb2l3io1ysOWKjg-/view?usp=drivesdk</t>
  </si>
  <si>
    <t>13.20 น.</t>
  </si>
  <si>
    <t>https://lh5.googleusercontent.com/d/1TYtBgG9rkTicvcDqAdFbBQUB34RC8ujr</t>
  </si>
  <si>
    <t>https://drive.google.com/file/d/1otYqSYJ9KF-C36WDTJbDNcQJzd5MWKdb/view?usp=drivesdk</t>
  </si>
  <si>
    <t>https://lh5.googleusercontent.com/d/1W_RZM1IMTsOEqjv-73ZDVQURDjYjDv4e</t>
  </si>
  <si>
    <t>https://drive.google.com/file/d/1q1yDY_ab_ZD5txbErsoFCGCneaeq9mjW/view?usp=drivesdk</t>
  </si>
  <si>
    <t>https://lh5.googleusercontent.com/d/1kpx0vW27rv9VhaKF6dsqA8Fd7mCnLS0j</t>
  </si>
  <si>
    <t>https://drive.google.com/file/d/1UhHTFzbEYHEvf3tV1H5BfSf_la1u9xpg/view?usp=drivesdk</t>
  </si>
  <si>
    <t>6803908</t>
  </si>
  <si>
    <t>นพอ.นภัสสร บุญรัตน์</t>
  </si>
  <si>
    <t>1006</t>
  </si>
  <si>
    <t>น.ต.หญิง อนุกูล บำรุงวงค์</t>
  </si>
  <si>
    <t>https://lh5.googleusercontent.com/d/1l8elnmUCFk0QuV6B2Ik0UthrA2nO7I8G</t>
  </si>
  <si>
    <t>https://drive.google.com/file/d/1d6vdjaRGAFJFIVfRdP_pC7DPh4Z9TpEV/view?usp=drivesdk</t>
  </si>
  <si>
    <t>6603768</t>
  </si>
  <si>
    <t>นพอ.ณัฐวุฒิ แสงคร้าม</t>
  </si>
  <si>
    <t>https://lh5.googleusercontent.com/d/1maGcMw4Ry8DLi0EOdNOT6MNwr2xWpJmr</t>
  </si>
  <si>
    <t>https://drive.google.com/file/d/1XR0WwgLtjIqgqpsaiPPkKxUQVZpWIExw/view?usp=drivesdk</t>
  </si>
  <si>
    <t>นพอ.นวพร โอรัตนสถาพร</t>
  </si>
  <si>
    <t>https://lh5.googleusercontent.com/d/1EMSQO_uYsBJ1HGv7xV24q8AemXwmZhum</t>
  </si>
  <si>
    <t>https://drive.google.com/file/d/1vhibxCdIiiuXe5po8j56n8RhHx-CWXn8/view?usp=drivesdk</t>
  </si>
  <si>
    <t>ทกท.</t>
  </si>
  <si>
    <t>https://lh5.googleusercontent.com/d/1OZWA_54Yl3xWAJGN6B7LkEK9_qE95yYR</t>
  </si>
  <si>
    <t>https://drive.google.com/file/d/1v_BGGchhn5DXqgp8s87H8Tw_Kf-Srxki/view?usp=drivesdk</t>
  </si>
  <si>
    <t>https://lh5.googleusercontent.com/d/1TVwPbYeFxnkRnRxulQZCHV1TuGSNZkwm</t>
  </si>
  <si>
    <t>https://drive.google.com/file/d/1SRFRuC_DgOYUlGpqnug4MzYRJbKxBoRk/view?usp=drivesdk</t>
  </si>
  <si>
    <t>6803936</t>
  </si>
  <si>
    <t>นพอ.ศศิชา แจ้งปกรณ์กิจ</t>
  </si>
  <si>
    <t>พยาบาลไทยบริจาคโลหิตช่วยชีวิตเพื่อนมนุษย์ปี 4</t>
  </si>
  <si>
    <t>09.23</t>
  </si>
  <si>
    <t>https://lh5.googleusercontent.com/d/15bRGMqnh-VNg7dlCb_iicpD1W6L0Ue95</t>
  </si>
  <si>
    <t>https://drive.google.com/file/d/1jB4K5joN4StibPmwKuFQUOaGzPA-UDQV/view?usp=drivesdk</t>
  </si>
  <si>
    <t>https://lh5.googleusercontent.com/d/1GAwCHnWVePnI3c5sLPEvQO0PufUyznmQ</t>
  </si>
  <si>
    <t>https://drive.google.com/file/d/1WZmgSuhoShKzHk7BPxsR0oJLFllEbUvV/view?usp=drivesdk</t>
  </si>
  <si>
    <t>https://lh5.googleusercontent.com/d/1_lor1oxUewuSz9qMHrk1gIgNET18LCDk</t>
  </si>
  <si>
    <t>https://drive.google.com/file/d/1JSSs9vmQnInYdNuiIDus4BJ64_TWpeBC/view?usp=drivesdk</t>
  </si>
  <si>
    <t>นพอ.หฤทชนัน อุทกัง</t>
  </si>
  <si>
    <t>https://lh5.googleusercontent.com/d/1DzNnfIKw_Od6_QthHmCzVkNnNp9wdPJi</t>
  </si>
  <si>
    <t>https://drive.google.com/file/d/1J438jLe3AY7rov9Sodbde0ChF_q7SzZu/view?usp=drivesdk</t>
  </si>
  <si>
    <t>https://lh5.googleusercontent.com/d/1KhliTb2DcdDoXaI_YgIWRCUCiY92Xv85</t>
  </si>
  <si>
    <t>https://drive.google.com/file/d/1GB-5JWDUAHOULyURJQMVi9KTFc15fSrM/view?usp=drivesdk</t>
  </si>
  <si>
    <t>โรงเรียนชลกันยานุกุล</t>
  </si>
  <si>
    <t>https://lh5.googleusercontent.com/d/1gVgkv28lRNkUIINc_lF3ko4y-fAonqG9</t>
  </si>
  <si>
    <t>https://drive.google.com/file/d/1RFSFRKDaRFz0Up331R6OZIliqyJM1tdE/view?usp=drivesdk</t>
  </si>
  <si>
    <t>นพอ.พิมพ์ณัฐชยา นนามอญ</t>
  </si>
  <si>
    <t>https://lh5.googleusercontent.com/d/112B1-JeoMeRJdRY6ziYobLNIs-bVLjG3</t>
  </si>
  <si>
    <t>https://drive.google.com/file/d/1ZmSMXNTOj-kui4bLlAGMmB4mrJTy5PGp/view?usp=drivesdk</t>
  </si>
  <si>
    <t>เดินรณรงค์ “วันโลกรำลึกถึงผู้สูญเสียจากอุบัติเหตุทางถนน”กับพลังโรทาแรค</t>
  </si>
  <si>
    <t>น.ต. หญิง ขวัญชนก พ่วงนาคพันธุ์</t>
  </si>
  <si>
    <t>https://lh5.googleusercontent.com/d/1HbpK0_iSokySmepbqAFtwtEWIqCdeKvM</t>
  </si>
  <si>
    <t>https://drive.google.com/file/d/1hSCfpn2RVe7-KfoE0EPlVBaaGCm9YqQt/view?usp=drivesdk</t>
  </si>
  <si>
    <t>6503711</t>
  </si>
  <si>
    <t>ณิชกานต์ เคนออง</t>
  </si>
  <si>
    <t>เดิน วิ่ง ปั่น ป้องกัน อัมพาต ครั้งที่ 11 เฉลิมพระเกียรติ</t>
  </si>
  <si>
    <t>ศาลากลาง จะ.ฉะเชิงเทรา</t>
  </si>
  <si>
    <t xml:space="preserve">0500-0900 </t>
  </si>
  <si>
    <t>https://lh5.googleusercontent.com/d/1uHb1iXcLe_Q23KjhuPxszI9Fj-FVNigX</t>
  </si>
  <si>
    <t>https://drive.google.com/file/d/1SaeCxg1OKxQI6YAsZKfhFGvqbbeaqos5/view?usp=drivesdk</t>
  </si>
  <si>
    <t>6603757</t>
  </si>
  <si>
    <t>นพอ.กัลยาณี นารีพล</t>
  </si>
  <si>
    <t>https://lh5.googleusercontent.com/d/1t8rz73Lf99VEd3c5Bvs7D7gb3amjpPrd</t>
  </si>
  <si>
    <t>https://drive.google.com/file/d/1nSTfLGeB1c0Jpbfguc_Yg4LncdJEEvZq/view?usp=drivesdk</t>
  </si>
  <si>
    <t>แจกของพระราชทานพระบรมศพพระพันปีหลวง</t>
  </si>
  <si>
    <t>https://lh5.googleusercontent.com/d/1cqPFu7mY9uLqvo4D7DBC9nappqY1eEN8</t>
  </si>
  <si>
    <t>https://drive.google.com/file/d/1FrJjeiQoP2_7Bw51UHnGTYFeVRPKzIpm/view?usp=drivesdk</t>
  </si>
  <si>
    <t>https://lh5.googleusercontent.com/d/1xz10Fmbe5CQM14WDTxwr-serQI59VM62</t>
  </si>
  <si>
    <t>https://drive.google.com/file/d/101hbrr4a3QP2-IvcIbjNSgiCS8R5M-MK/view?usp=drivesdk</t>
  </si>
  <si>
    <t>https://lh5.googleusercontent.com/d/1_XL-WmUVIGL7cpMg_qPTeljgy8BjEY-A</t>
  </si>
  <si>
    <t>https://drive.google.com/file/d/1HLAXVBWKwhyvSxOaHieA4pQrK6Dd46HK/view?usp=drivesdk</t>
  </si>
  <si>
    <t>ทำการแทนนพอ.บังคับบัญชา</t>
  </si>
  <si>
    <t>https://lh5.googleusercontent.com/d/1G09xQsMG3xfnxJXlTn3ZUSRyft3juIe_</t>
  </si>
  <si>
    <t>https://drive.google.com/file/d/1ldLZY6OcabjAx_S6X9lzTJiW3-9y295g/view?usp=drivesdk</t>
  </si>
  <si>
    <t>งานกฐินวัดทดราษฎร์เจริญมณีฤทธิ์</t>
  </si>
  <si>
    <t xml:space="preserve">ต.บางไผ่ อ.เมือง จ.ฉะเชิงเทรา </t>
  </si>
  <si>
    <t>0830-1230</t>
  </si>
  <si>
    <t>https://lh5.googleusercontent.com/d/1NiLrxII8aO-VbLTJT0fD3rPf1ymuq0ZW</t>
  </si>
  <si>
    <t>https://drive.google.com/file/d/1x0-rIuoC2YVIsp-PHu6lHC9gt_eXRZJb/view?usp=drivesdk</t>
  </si>
  <si>
    <t>https://lh5.googleusercontent.com/d/115xBkw0w0JCwyx8vNcQVx_aQyjjCrHT7</t>
  </si>
  <si>
    <t>https://drive.google.com/file/d/1aGgYKs6vm4SiZIqvcRPijBJi17WnnNfp/view?usp=drivesdk</t>
  </si>
  <si>
    <t>https://lh5.googleusercontent.com/d/1zNqwv3MXVjofhdRjxr9PIgijeOz73wRS</t>
  </si>
  <si>
    <t>https://drive.google.com/file/d/1fL1qB2GbvDPp7xTTlL_C6uyN17DGm_wv/view?usp=drivesdk</t>
  </si>
  <si>
    <t>https://lh5.googleusercontent.com/d/1qAYS9y75-CI7gG1HdePdjNRV4Wy3_bko</t>
  </si>
  <si>
    <t>https://drive.google.com/file/d/12QSyzEjt0OOWCc29n3focKFnPJxLKJYb/view?usp=drivesdk</t>
  </si>
  <si>
    <t>งานทำบุญตักบาตรเนื่องในวันสวรรคต</t>
  </si>
  <si>
    <t>ต.บางไผ่ อ.เมือง จ.ฉะเชิงเทรา</t>
  </si>
  <si>
    <t>0730-0930</t>
  </si>
  <si>
    <t>https://lh5.googleusercontent.com/d/1WYvOAavMoniOU0KkGEx17mFelZQ-XK7c</t>
  </si>
  <si>
    <t>https://drive.google.com/file/d/1EmFrvljhYS3m786Owz7LCcKGNYu9iE22/view?usp=drivesdk</t>
  </si>
  <si>
    <t>ฟังการสัมนาสื่อสร้างสรรค์ เสริมพลังการสื่่อสาร พัฒนาสังคม</t>
  </si>
  <si>
    <t>อาคารSCG</t>
  </si>
  <si>
    <t>https://lh5.googleusercontent.com/d/1oAWh3ZSYRnTuo8NYWIyGthgB59Bi6us5</t>
  </si>
  <si>
    <t>https://drive.google.com/file/d/1m5EnD6d_-z2By0tE0nM7wKVZzWIh3dY1/view?usp=drivesdk</t>
  </si>
  <si>
    <t>พระมหาวชิรมุนีวงศ์</t>
  </si>
  <si>
    <t>https://lh5.googleusercontent.com/d/16HXkyL7BkIIhuYI0qiil18YRtH5sfwEb</t>
  </si>
  <si>
    <t>https://drive.google.com/file/d/155RRGMRAcU55H7rE9h1Zr10geLN0PPuL/view?usp=drivesdk</t>
  </si>
  <si>
    <t>ทำการแทนนักเรียนบังคับบัญชา มว.2</t>
  </si>
  <si>
    <t>https://lh5.googleusercontent.com/d/1vQZKUxqEXO4HGCqm3dql_T6AkPV3Wm4u</t>
  </si>
  <si>
    <t>https://drive.google.com/file/d/1y3ybQ_QhZ4bwND_17ZkRnckF-n9JeiYt/view?usp=drivesdk</t>
  </si>
  <si>
    <t>https://lh5.googleusercontent.com/d/1zrjM3X6rvntPxxOrn6Z7Uy-udPaeYXMg</t>
  </si>
  <si>
    <t>https://drive.google.com/file/d/1RPBmc-Zi_DTLH_Z1hVxBbk3mGATqxllc/view?usp=drivesdk</t>
  </si>
  <si>
    <t>https://lh5.googleusercontent.com/d/1_lYUJ55YKSx7jfcCtuaWkTwC_VsJZJP3</t>
  </si>
  <si>
    <t>https://drive.google.com/file/d/1igbarmgyZmq-hYQ-ObfhpujVZoCYD4Gy/view?usp=drivesdk</t>
  </si>
  <si>
    <t>https://lh5.googleusercontent.com/d/1pXactzX3sVn45HIRSZBQmT1HAu3FqMgw</t>
  </si>
  <si>
    <t>https://drive.google.com/file/d/1IgdPLyL6UTYfaXeirtdNyNp2Smy1qDkb/view?usp=drivesdk</t>
  </si>
  <si>
    <t xml:space="preserve">การสัมมนาสื่อสร้างสรรค์ เสริมพลังการสื่อสาร พัฒนาสังคม </t>
  </si>
  <si>
    <t>https://lh5.googleusercontent.com/d/1yQsOZ0-Qy1eknZl-YHR0KS7-2Q4BsZdF</t>
  </si>
  <si>
    <t>https://drive.google.com/file/d/1CdR4GVBssWM4k1wCdqPYqsEiTJfIfEku/view?usp=drivesdk</t>
  </si>
  <si>
    <t>https://lh5.googleusercontent.com/d/1KsOjLA1zDA69YyYhkCpdsBM04kGwe-YJ</t>
  </si>
  <si>
    <t>https://drive.google.com/file/d/1rF1ByfnjMImn_6ly7s-95cHmJi9s1amQ/view?usp=drivesdk</t>
  </si>
  <si>
    <t>ทำความสะอาดบ้าน</t>
  </si>
  <si>
    <t>เชียงใหม่</t>
  </si>
  <si>
    <t>นางธัญชนก ไพศาลมรกต</t>
  </si>
  <si>
    <t>https://lh5.googleusercontent.com/d/1MrWGGB9WpLPGuLW5sc_yUFoXgHQeaiPl</t>
  </si>
  <si>
    <t>https://drive.google.com/file/d/11oUmnDHr9ZGBFJp3lQu8CqstfedLnTGL/view?usp=drivesdk</t>
  </si>
  <si>
    <t>ร่วมงานนมัสการหลวงพ่อโสธร ปี68</t>
  </si>
  <si>
    <t>วัดหลวงพ่อโสธร</t>
  </si>
  <si>
    <t>นางสาว วันวิสา ดำรงมุ่งกิจ</t>
  </si>
  <si>
    <t>https://lh5.googleusercontent.com/d/1yyLL3OzxDWUeBo8yDEMhkU2vBMDwIulj</t>
  </si>
  <si>
    <t>https://drive.google.com/file/d/1a4q1VcnyUMp1vENAWso_NmMoo450tGBa/view?usp=drivesdk</t>
  </si>
  <si>
    <t>https://lh5.googleusercontent.com/d/1FezFWAZ7Balequ4hm34GANiy_-rxpPcO</t>
  </si>
  <si>
    <t>https://drive.google.com/file/d/1e5v9vCT63QemLx6THxRHi8Xourw2LVKX/view?usp=drivesdk</t>
  </si>
  <si>
    <t>วัดพระศรีวรมหาวิหาร</t>
  </si>
  <si>
    <t>https://lh5.googleusercontent.com/d/1xRRNY-2P816XBanGNcROOrNVUYc45ud0</t>
  </si>
  <si>
    <t>https://drive.google.com/file/d/15YSktzZzSpZ6WYDdn-LQDVdYpy_av7if/view?usp=drivesdk</t>
  </si>
  <si>
    <t>ซ้อมประสานเสียงงานคอนเสิร์ตทัพฟ้า</t>
  </si>
  <si>
    <t>https://lh5.googleusercontent.com/d/1rRQYfi0ZEwE6s0R3DMYAazGMep27mBLq</t>
  </si>
  <si>
    <t>https://drive.google.com/file/d/15Jh9TxkqL7GhP9n-24XliItgMjYyQC8C/view?usp=drivesdk</t>
  </si>
  <si>
    <t>6603764</t>
  </si>
  <si>
    <t>11</t>
  </si>
  <si>
    <t>นพอ.ชวัลลักษณ์ อินทะชุบ</t>
  </si>
  <si>
    <t>ซ้อทร้องประสานเสียงงานคอนเสิร์ตทัพฟ้า</t>
  </si>
  <si>
    <t>1500-2200</t>
  </si>
  <si>
    <t>https://lh5.googleusercontent.com/d/1s9fUVNhKDafygNNAKHbNIAJ5Rpzghjiy</t>
  </si>
  <si>
    <t>https://drive.google.com/file/d/17P69zmX6NF1Fv2XGEHbI3bwM1nGetTiQ/view?usp=drivesdk</t>
  </si>
  <si>
    <t>1100-1900</t>
  </si>
  <si>
    <t>https://lh5.googleusercontent.com/d/10UBBkuBwiRnefJh99y_6yENIF1SQHvQd</t>
  </si>
  <si>
    <t>https://drive.google.com/file/d/1Wt9cKtv0gnEs5rIIT5RCYCW5lP2RTArA/view?usp=drivesdk</t>
  </si>
  <si>
    <t>https://lh5.googleusercontent.com/d/1Dv_-EPa-GXsOgofMDihA96lL3Fd5QEOa</t>
  </si>
  <si>
    <t>https://drive.google.com/file/d/11-FSYa7ms6uYe3KTSsHkzIobtwD55qqk/view?usp=drivesdk</t>
  </si>
  <si>
    <t>https://lh5.googleusercontent.com/d/1p9Vay9zhx1kCNFH3rsSGUjF1YDE8A6Fn</t>
  </si>
  <si>
    <t>https://drive.google.com/file/d/1xONm3Ab0Q0fsroj3IGOUewu29miVfBnQ/view?usp=drivesdk</t>
  </si>
  <si>
    <t>ชุมชนวัดเกาะ เขตสายไหม</t>
  </si>
  <si>
    <t>https://lh5.googleusercontent.com/d/1ZUUEzh2XLyQUYu4Ae6qXbwbHNy7aXJOj</t>
  </si>
  <si>
    <t>https://drive.google.com/file/d/1fbp0MVecpGOFaQBy-w9ed7QkYEPFwC25/view?usp=drivesdk</t>
  </si>
  <si>
    <t>https://lh5.googleusercontent.com/d/1vkEBa-fvxHGqXWr_nNUzeQQdmYeGERN_</t>
  </si>
  <si>
    <t>https://drive.google.com/file/d/1YVxFBC4Fwm48l0bf5Qsx4Y9hfFLVS7qP/view?usp=drivesdk</t>
  </si>
  <si>
    <t>สนามบินสุววรรณภูมิ</t>
  </si>
  <si>
    <t>https://lh5.googleusercontent.com/d/164F-KPBEH1yYE6bfudxM6EmdV_LjlQHX</t>
  </si>
  <si>
    <t>https://drive.google.com/file/d/1R13YijVvwmLdZ0HAKXS3N9Ktz6t5rk0N/view?usp=drivesdk</t>
  </si>
  <si>
    <t xml:space="preserve"> Buddy Korean</t>
  </si>
  <si>
    <t>วิทยาลับพยาบาลทหารอากาศ</t>
  </si>
  <si>
    <t>https://lh5.googleusercontent.com/d/16KIGA6hkYcgy29_GuRUao4pFgWu9yncW</t>
  </si>
  <si>
    <t>https://drive.google.com/file/d/1xT9RWUm8MOtkRF14TenOKRjkTwrCh49H/view?usp=drivesdk</t>
  </si>
  <si>
    <t>https://lh5.googleusercontent.com/d/1wsTjCwq-pAK3zrLumN7nQcUR00bvhaZm</t>
  </si>
  <si>
    <t>https://drive.google.com/file/d/1MiACVqi0T1Y0gXNK1DLTpSOSt5-XbRtj/view?usp=drivesdk</t>
  </si>
  <si>
    <t>https://lh5.googleusercontent.com/d/1qogKoM4JWAT5M6vtIaOcx0vhArBWO4nQ</t>
  </si>
  <si>
    <t>https://drive.google.com/file/d/157rSOAplzQxNgmPjUzawBoZttuJdfTqu/view?usp=drivesdk</t>
  </si>
  <si>
    <t>https://lh5.googleusercontent.com/d/1r0buZEXcq20cC27ZIPAWDXMxFhWKCOLt</t>
  </si>
  <si>
    <t>https://drive.google.com/file/d/12ixDm8gWgZe8mrKsVhC6ra7LuW_S4_H-/view?usp=drivesdk</t>
  </si>
  <si>
    <t>https://lh5.googleusercontent.com/d/12-Apj_ZGNL0xD6U-uwuvYHir50FSxcd2</t>
  </si>
  <si>
    <t>https://drive.google.com/file/d/1HignqHGWk6CNykX7Dy4QcysU2lqVKPmJ/view?usp=drivesdk</t>
  </si>
  <si>
    <t>ค่ายแนะแนวรัฐบุรุษ1</t>
  </si>
  <si>
    <t>น.ต.ขวัญชนก พ่วงนาคพันธุ์</t>
  </si>
  <si>
    <t>https://lh5.googleusercontent.com/d/1irO6Rsr8tvaEJDTgt54DxthORRyEGAnr</t>
  </si>
  <si>
    <t>https://drive.google.com/file/d/1UQQelc6r8s283dXmxulfDqCH8XLCrBxf/view?usp=drivesdk</t>
  </si>
  <si>
    <t>https://lh5.googleusercontent.com/d/1RCtmtycRtozuF8U2LCjrpvHNpCS3MjiO</t>
  </si>
  <si>
    <t>https://drive.google.com/file/d/1O4DzA_XSMVw3L4nEMpF4ZRQcUSS-TqW-/view?usp=drivesdk</t>
  </si>
  <si>
    <t>https://lh5.googleusercontent.com/d/1KR71CCWQqhdm8IhnkmuwbkXSz2jRaKDv</t>
  </si>
  <si>
    <t>https://drive.google.com/file/d/1muQNWMgPGAkdLUBjN9H8Ps0ZJOcRTuCa/view?usp=drivesdk</t>
  </si>
  <si>
    <t>ลงนามถวายพระพรวันเฉลิมพระชนมพรรษา ร.10</t>
  </si>
  <si>
    <t>1500</t>
  </si>
  <si>
    <t>กระทรวงมหาดไทย</t>
  </si>
  <si>
    <t>https://lh5.googleusercontent.com/d/1YOE1y8-FaEmVLwihcE69Wg3n6hR3EmlK</t>
  </si>
  <si>
    <t>https://drive.google.com/file/d/13-YIDwnFJTdRix5rl_PUn6spqAChKy-s/view?usp=drivesdk</t>
  </si>
  <si>
    <t>วันเฉลิมพระชนมพรรษา พระบรมราชชนนีพันปีหลวง</t>
  </si>
  <si>
    <t>https://lh5.googleusercontent.com/d/1TAzEBJJy3w_FG6gVL8Co858mKlxRRUmF</t>
  </si>
  <si>
    <t>https://drive.google.com/file/d/1JiF9wwcI_eGNBjIMz9CZiMBkCrTTRuI9/view?usp=drivesdk</t>
  </si>
  <si>
    <t>6603786</t>
  </si>
  <si>
    <t>ประภัสสร คีตวัฒนานนท์</t>
  </si>
  <si>
    <t>https://lh5.googleusercontent.com/d/1kiGPfZhmKB3VUyIy9NzKw-2gbbyItxcF</t>
  </si>
  <si>
    <t>https://drive.google.com/file/d/17EVNPLMCxczhtOszrBX4tSGtIRCIFCdE/view?usp=drivesdk</t>
  </si>
  <si>
    <t>https://lh5.googleusercontent.com/d/10pQQq8gahEcs5xNfCt6P80cBsSSzdC31</t>
  </si>
  <si>
    <t>https://drive.google.com/file/d/1OMg7NPN9nQbxgwMoRjJQ0i8081SyrWJ2/view?usp=drivesdk</t>
  </si>
  <si>
    <t>https://lh5.googleusercontent.com/d/18mWG6MHTcTLoW4lGkntCKNLfYSh4lb7K</t>
  </si>
  <si>
    <t>https://drive.google.com/file/d/1wiO3bCCPjokEJGqtKYN6GWTEmAiEr9bY/view?usp=drivesdk</t>
  </si>
  <si>
    <t>https://lh5.googleusercontent.com/d/182_Hhm9HUYgXHRHsBQiYwxw2XXZhhQeD</t>
  </si>
  <si>
    <t>https://drive.google.com/file/d/1z6B-uJW3waXqGFRuefcktrGPZf-69kze/view?usp=drivesdk</t>
  </si>
  <si>
    <t>https://lh5.googleusercontent.com/d/1JgwBgsYSkyMjDurzl4V79z5w3SIZHenx</t>
  </si>
  <si>
    <t>https://drive.google.com/file/d/1D9fGNYQfFD2xfg7yipGgTPtg9TW272Dq/view?usp=drivesdk</t>
  </si>
  <si>
    <t xml:space="preserve"> น.ต.ตวงทิพย์ ลดาวัลย์</t>
  </si>
  <si>
    <t>https://lh5.googleusercontent.com/d/1Pg7w-PaHWHMq21Jy7seY-qfb2j0QLNNn</t>
  </si>
  <si>
    <t>https://drive.google.com/file/d/1e6CsglbzN0iXdrugYKXZyGnIFbenveSP/view?usp=drivesdk</t>
  </si>
  <si>
    <t>ลงนามถวายพระพร</t>
  </si>
  <si>
    <t>ออนไลน์</t>
  </si>
  <si>
    <t>https://lh5.googleusercontent.com/d/1k2JmnGW2Ptw55wFBVfkb_nXNohNQGWzb</t>
  </si>
  <si>
    <t>https://drive.google.com/file/d/1q09-5We3sEvna4GEQAPj8UMCXQ486dhk/view?usp=drivesdk</t>
  </si>
  <si>
    <t>ซ้อมรำรับขวัญสวีแด</t>
  </si>
  <si>
    <t>โถงสำนักงาน</t>
  </si>
  <si>
    <t>ร.อ.ขนัฎฐา นาดี</t>
  </si>
  <si>
    <t>https://lh5.googleusercontent.com/d/1FpQlqbMIEeWX_Sm-IzXJD5ML9he-7TC5</t>
  </si>
  <si>
    <t>https://drive.google.com/file/d/18xfAmE2JeEwHK3d1Ijh60bVRVUf5cuwD/view?usp=drivesdk</t>
  </si>
  <si>
    <t>https://lh5.googleusercontent.com/d/1srhDpr7h3s5q-nGW1V1C0Qk5d77IU-So</t>
  </si>
  <si>
    <t>https://drive.google.com/file/d/1BXBvXh3ecPJ-5dDJr2FH2I7g3mJoIhFW/view?usp=drivesdk</t>
  </si>
  <si>
    <t>6503728</t>
  </si>
  <si>
    <t>นพอ.พรปราณี อุทัยวรรณ</t>
  </si>
  <si>
    <t>งานทอดกฐิน</t>
  </si>
  <si>
    <t>วัดบ้านนา</t>
  </si>
  <si>
    <t>https://lh5.googleusercontent.com/d/1TF8dqam6I1oS-9LPuimruJLPnuGhoe_a</t>
  </si>
  <si>
    <t>https://drive.google.com/file/d/1eqDwq37K4WRI1bQsVR53SBSE8Sy4sk-n/view?usp=drivesdk</t>
  </si>
  <si>
    <t>https://lh5.googleusercontent.com/d/1z_d6gXEQs72KtZIaaD3bu1E-MQxerhrC</t>
  </si>
  <si>
    <t>https://drive.google.com/file/d/1efkPdnGfFWutbWGHpgmf8lyAbhcjkB_n/view?usp=drivesdk</t>
  </si>
  <si>
    <t>6603763</t>
  </si>
  <si>
    <t>นพอ.ชนาภา บุญแสน</t>
  </si>
  <si>
    <t>https://lh5.googleusercontent.com/d/1NWFl7nr8hPekDp7RQF95g811L5OEzoRO</t>
  </si>
  <si>
    <t>https://drive.google.com/file/d/1lAc4os7HAsq7JE9TM6Aj4MEk4AdrmkfA/view?usp=drivesdk</t>
  </si>
  <si>
    <t>6603762</t>
  </si>
  <si>
    <t>นพอ.ชฎาภา บุตรวงษ์</t>
  </si>
  <si>
    <t>รับน้องรพอ.รุ่นที่ 68</t>
  </si>
  <si>
    <t>น.ต.หญิง ขวัญชนก  พ่วงนาคพันธุ์</t>
  </si>
  <si>
    <t>https://lh5.googleusercontent.com/d/14Lzb9ngwEfDCxwXssSWi_AU6pNng3kbs</t>
  </si>
  <si>
    <t>https://drive.google.com/file/d/1-U7rOBwWMsGT5LXSyLjERnWSgO5yIlBl/view?usp=drivesdk</t>
  </si>
  <si>
    <t>รับน้องสวีแด68</t>
  </si>
  <si>
    <t>https://lh5.googleusercontent.com/d/1S3iBdEl7nm0CsqkswgijRdl_SOyWFkQ-</t>
  </si>
  <si>
    <t>https://drive.google.com/file/d/1Fst8iGaRrNtIHYoltc_EMYK9J-PRXq6w/view?usp=drivesdk</t>
  </si>
  <si>
    <t>รับน้องสวีแด68 เข้าหอ</t>
  </si>
  <si>
    <t>https://lh5.googleusercontent.com/d/1Q__2KaQZoZxypQ-ecmc5n2FG_kD9Tn8J</t>
  </si>
  <si>
    <t>https://drive.google.com/file/d/1ybcBDJnInnwpck-A9lXT0Rx5WzCFUJmI/view?usp=drivesdk</t>
  </si>
  <si>
    <t>รับน้องสวีแด68เข้าหอ</t>
  </si>
  <si>
    <t>https://lh5.googleusercontent.com/d/1T9pL40ijgNyLXz6pSlKZNCUOsWgfBNNF</t>
  </si>
  <si>
    <t>https://drive.google.com/file/d/1QmJ00MMptwz0Bh3YGgIcIWD26IkWSqUt/view?usp=drivesdk</t>
  </si>
  <si>
    <t>https://lh5.googleusercontent.com/d/1_gmBtSik7_iN9jkcRztI6hA_EGMW3Mkc</t>
  </si>
  <si>
    <t>https://drive.google.com/file/d/1h6nvNpWnzVOm9vBytBM_gds7VVAslUMD/view?usp=drivesdk</t>
  </si>
  <si>
    <t>6703857</t>
  </si>
  <si>
    <t>39</t>
  </si>
  <si>
    <t>นพอ.พัณณิตา ศรีเพชร</t>
  </si>
  <si>
    <t>https://lh5.googleusercontent.com/d/1AtBEES4suCWg5ay2E-d-hJzmxXhGCb3-</t>
  </si>
  <si>
    <t>https://drive.google.com/file/d/1QvuM3uF5NnnXXgNdOiRUJXjQ-OrabTtL/view?usp=drivesdk</t>
  </si>
  <si>
    <t>https://lh5.googleusercontent.com/d/1SfLzdb6PRLhVbjoRii9JY9jvpuQNAbdf</t>
  </si>
  <si>
    <t>https://drive.google.com/file/d/1ASj9shzMNLvnToAN6pev_hNF90DxiK1p/view?usp=drivesdk</t>
  </si>
  <si>
    <t>6703877</t>
  </si>
  <si>
    <t>นพอ.สุชารัตน์ นิวงษา</t>
  </si>
  <si>
    <t>ค่ายแนะแนวรัฐบุรุษ</t>
  </si>
  <si>
    <t>รร.เบญจมราชูทิศ จ.ราชบุรี</t>
  </si>
  <si>
    <t>https://lh5.googleusercontent.com/d/1O1522BACAjNgkFikDBpCdVgMalWi1MyP</t>
  </si>
  <si>
    <t>https://drive.google.com/file/d/1gYifugxRm1JMHFk8MNrFpJclNGC75YZu/view?usp=drivesdk</t>
  </si>
  <si>
    <t>6603766</t>
  </si>
  <si>
    <t>นพอ.ชุติกาญจน์ ชูตินันท์</t>
  </si>
  <si>
    <t>https://lh5.googleusercontent.com/d/1jRcgB7X1sb6aCvpfmiGbYGPsh22SUKGf</t>
  </si>
  <si>
    <t>https://drive.google.com/file/d/14BAGdO6XeZIi4kfKKk5agof1Fh9wHVKk/view?usp=drivesdk</t>
  </si>
  <si>
    <t>รร.เบญจมราชูทิศ</t>
  </si>
  <si>
    <t>https://lh5.googleusercontent.com/d/1dO5P_0kIewPDW9-li3-IT7PKSSaQMOET</t>
  </si>
  <si>
    <t>https://drive.google.com/file/d/1kfNe2puNzvh2e1bO3_5s0RGwSvvyKRAk/view?usp=drivesdk</t>
  </si>
  <si>
    <t>0800-160</t>
  </si>
  <si>
    <t>https://lh5.googleusercontent.com/d/1Pvr_AHrt2aSeeW3RA7GAxhnlCWM1c8Qx</t>
  </si>
  <si>
    <t>https://drive.google.com/file/d/1gngIPRoBV7evk0EKJluYg2kP8xEQm4UG/view?usp=drivesdk</t>
  </si>
  <si>
    <t>https://lh5.googleusercontent.com/d/1AvWohzKTQjnuEdC6yp4DajSSgqTMz5IR</t>
  </si>
  <si>
    <t>https://drive.google.com/file/d/1Guowe3CdpFrwrNRH49yD54t5Mq3COuh3/view?usp=drivesdk</t>
  </si>
  <si>
    <t>ค่ายพัฒนาเยาวชน รร.โยธินบูรณะ</t>
  </si>
  <si>
    <t>https://lh5.googleusercontent.com/d/1NhR06VWxpEuxQj_r7Y-wsVOM-2EKXYZg</t>
  </si>
  <si>
    <t>https://drive.google.com/file/d/1u7_HNdofd4ZvMGUL4tPMcsTl63ABXE0O/view?usp=drivesdk</t>
  </si>
  <si>
    <t>https://lh5.googleusercontent.com/d/19-rvCIjoNPx2Pr9wBHJRVow3fI-4qHeK</t>
  </si>
  <si>
    <t>https://drive.google.com/file/d/1j83TvN-XFcMnhVKMMPRHFxI7WdrwRKRb/view?usp=drivesdk</t>
  </si>
  <si>
    <t>1400 -2200</t>
  </si>
  <si>
    <t>https://lh5.googleusercontent.com/d/1dCll_pfyYQzF35Hs_WY9pobowIhQxjYR</t>
  </si>
  <si>
    <t>https://drive.google.com/file/d/12NQ9EzKooI9XrUtQLAopzjILN-dvm9qh/view?usp=drivesdk</t>
  </si>
  <si>
    <t>https://lh5.googleusercontent.com/d/1tCPDaA-C6KnmdYv70KtOuM-FDSodth2Y</t>
  </si>
  <si>
    <t>https://drive.google.com/file/d/13gUkxJfdd0NaOq1OhoKaTOjcqoK8eZ-3/view?usp=drivesdk</t>
  </si>
  <si>
    <t>https://lh5.googleusercontent.com/d/1X_zvSn84Me4lPZwMxLsh-8bGY502LyAU</t>
  </si>
  <si>
    <t>https://drive.google.com/file/d/15rgvY36f87No6sk8bk0uv8Jw8fhFEjst/view?usp=drivesdk</t>
  </si>
  <si>
    <t>นางอุษณีย์ ศรีเพชร</t>
  </si>
  <si>
    <t>https://lh5.googleusercontent.com/d/1WGj0u37rtWUj3PAk200eUg0HN_pZB8IL</t>
  </si>
  <si>
    <t>https://drive.google.com/file/d/1GmbDgj7umWjPB-PxNPj4MC5IvzvJWnfx/view?usp=drivesdk</t>
  </si>
  <si>
    <t>https://lh5.googleusercontent.com/d/1bMPUpIZQ07DFmph7dtzY7KNKpctsn0uz</t>
  </si>
  <si>
    <t>https://drive.google.com/file/d/1cwpRUHUfxrUN5YuMPSeJ23sPs1IfaPY9/view?usp=drivesdk</t>
  </si>
  <si>
    <t>https://lh5.googleusercontent.com/d/1W_r_wwH6MNZHDeIwgr0X8UnzWLyh2lFm</t>
  </si>
  <si>
    <t>https://drive.google.com/file/d/1FE6VLR4kAsrf2ta2Z0jKevTWQ1Uwnc3z/view?usp=drivesdk</t>
  </si>
  <si>
    <t>ถวายสังฆทาน</t>
  </si>
  <si>
    <t>วัดเวฬุวนาราม</t>
  </si>
  <si>
    <t>1100 - 1500</t>
  </si>
  <si>
    <t>นายอภิวัฒน์ ก่ำจำปา</t>
  </si>
  <si>
    <t>https://lh5.googleusercontent.com/d/12xlwykMiVfYT67yUgnQXWYuyf5MfHnHN</t>
  </si>
  <si>
    <t>https://drive.google.com/file/d/1TyBn6oKujUrmEZLxvuATER1Co3Fz5J-I/view?usp=drivesdk</t>
  </si>
  <si>
    <t>https://lh5.googleusercontent.com/d/1Wnlbtb3scVv4HFDXnun35wbWw00a9XQt</t>
  </si>
  <si>
    <t>https://drive.google.com/file/d/14stS3XzqPlhWaUKIOCc3f_NuA_QDuBLV/view?usp=drivesdk</t>
  </si>
  <si>
    <t>https://lh5.googleusercontent.com/d/1SoefMKR_qTrTJ-H01fINxxzyJ-tQ6SKU</t>
  </si>
  <si>
    <t>https://drive.google.com/file/d/1hJqnP1EKhLe6K5dBsOEiqtZCHCFl8wF-/view?usp=drivesdk</t>
  </si>
  <si>
    <t>6703868</t>
  </si>
  <si>
    <t>นพอ.วราภรณ์ กาสี</t>
  </si>
  <si>
    <t>โรงพยาบาลเพชรบูรณ์</t>
  </si>
  <si>
    <t>นางอังศนา กาสี</t>
  </si>
  <si>
    <t>https://lh5.googleusercontent.com/d/1nxRdi20AjeA49fiPrvOC8OHcXQ3ZN2yz</t>
  </si>
  <si>
    <t>https://drive.google.com/file/d/1KZ0xlHc_MnfYySa3oTnu37BIB4UuiJ2P/view?usp=drivesdk</t>
  </si>
  <si>
    <t>6603779</t>
  </si>
  <si>
    <t>นพอ.นันทิยา  แก้วก่อง</t>
  </si>
  <si>
    <t>พิธีรับเสด็จรับปริญญา ม.มหิดล นพอ.รุ่น64</t>
  </si>
  <si>
    <t>https://lh5.googleusercontent.com/d/1R9BvvHncnTwSMBF9zlgh0Skl-oqoflff</t>
  </si>
  <si>
    <t>https://drive.google.com/file/d/1a1HTyul1mdLm2h2_Kxxw30Fv8ItxTci_/view?usp=drivesdk</t>
  </si>
  <si>
    <t>กองบัญชากากองทัพอากาศ</t>
  </si>
  <si>
    <t>https://lh5.googleusercontent.com/d/1oxORO01P1Y7L024tw7U--e7Dt7gUYc-E</t>
  </si>
  <si>
    <t>https://drive.google.com/file/d/1Grd2Xc6g_AC1t3hmXO8YD-cbeF8yefHp/view?usp=drivesdk</t>
  </si>
  <si>
    <t>https://lh5.googleusercontent.com/d/13ypWfuC0_1TaPjFLyhIXXJTZ-fl-gIr0</t>
  </si>
  <si>
    <t>https://drive.google.com/file/d/1V-TVztsm9WDNAhhofFKbCClRqoqaTpFd/view?usp=drivesdk</t>
  </si>
  <si>
    <t>1000 - 1800</t>
  </si>
  <si>
    <t>https://lh5.googleusercontent.com/d/1VSU3AAAngV_LFkjP26k_x_3ESpBFh3-T</t>
  </si>
  <si>
    <t>https://drive.google.com/file/d/1j-klncCgGm3tezDKmk9S2T3N0TelHv08/view?usp=drivesdk</t>
  </si>
  <si>
    <t>0600 - 0800</t>
  </si>
  <si>
    <t>https://lh5.googleusercontent.com/d/1pShWwp0udgHR0AXRGtvp7zAXnCdwmTxp</t>
  </si>
  <si>
    <t>https://drive.google.com/file/d/1bk-RqK6-hdT1ms59_5T5YpDl9iTy_F0P/view?usp=drivesdk</t>
  </si>
  <si>
    <t>https://lh5.googleusercontent.com/d/1e7OCM0lYYdG_L-93El9tUmG8Tyt92Wv6</t>
  </si>
  <si>
    <t>https://drive.google.com/file/d/1vYpToyuG7VibTdfZAVX-4r0ZqCFIwrCW/view?usp=drivesdk</t>
  </si>
  <si>
    <t>https://lh5.googleusercontent.com/d/1G_oAKs75J-goqaPKhcRBHUYBs7Mi0tBK</t>
  </si>
  <si>
    <t>https://drive.google.com/file/d/11PELhsKb4yklCWFyJ8uw2YmuIwslaCPt/view?usp=drivesdk</t>
  </si>
  <si>
    <t>https://lh5.googleusercontent.com/d/1lHcF53oQEkD0YkONb7FdrxsBuk4aH8AL</t>
  </si>
  <si>
    <t>https://drive.google.com/file/d/17dEoak-0IvfUWXsRUlwzwrXxkY5Nxw67/view?usp=drivesdk</t>
  </si>
  <si>
    <t>บริจาคเงินช่วยเหลือร.พ./ผู้ประสบภัยน้ำท่วมภาคใต้</t>
  </si>
  <si>
    <t>1300 - 1400</t>
  </si>
  <si>
    <t>https://lh5.googleusercontent.com/d/1_6VU0lj-BJeyw_F-jUDzd9Hxv57uWfDN</t>
  </si>
  <si>
    <t>https://drive.google.com/file/d/1V-4QKpk_E4Fh2ypTzsgMZ5sEpeJOGhNt/view?usp=drivesdk</t>
  </si>
  <si>
    <t>นพอ.นันทิยา แก้วก่อง</t>
  </si>
  <si>
    <t>https://lh5.googleusercontent.com/d/1U_0b5OrtfqneSYgr7W6vXz23vBmmBZwI</t>
  </si>
  <si>
    <t>https://drive.google.com/file/d/1q4m9NgY9IZsD7yZNgMne01xvAhVxFIyY/view?usp=drivesdk</t>
  </si>
  <si>
    <t>https://lh5.googleusercontent.com/d/1kn1ss5X6oeXOkzpOUUOsFaKw8L7fv0z7</t>
  </si>
  <si>
    <t>https://drive.google.com/file/d/11MY-Yg6Gi6fb1A112via5hwdyhbDfFdh/view?usp=drivesdk</t>
  </si>
  <si>
    <t>6603810</t>
  </si>
  <si>
    <t>นพอ.สุพิชชา โคตวงค์</t>
  </si>
  <si>
    <t>ตลาดยิ่งเจริญ</t>
  </si>
  <si>
    <t>1700-1800</t>
  </si>
  <si>
    <t>https://lh5.googleusercontent.com/d/1IPu-b_F2npyg25oML1_GKpobKPWOvEIk</t>
  </si>
  <si>
    <t>https://drive.google.com/file/d/1fH0cknGfsVWcsvEEa4j_OTXHMIu6LtDK/view?usp=drivesdk</t>
  </si>
  <si>
    <t>https://lh5.googleusercontent.com/d/1Z-0bGyYAkEv4WnMYZ5etxggXVPMpXuR7</t>
  </si>
  <si>
    <t>https://drive.google.com/file/d/1lw1Wx8UpTB2_VTSB9VAu4dXC1_e31Qoq/view?usp=drivesdk</t>
  </si>
  <si>
    <t>กิจกรรมรับเสด็จ</t>
  </si>
  <si>
    <t>https://lh5.googleusercontent.com/d/1kyQjFZ0lhEPdLSA5CBfQDXXPLPwlOdKy</t>
  </si>
  <si>
    <t>https://drive.google.com/file/d/15fSBG-1IRJUin3MU18-LI4tDh0GzWakJ/view?usp=drivesdk</t>
  </si>
  <si>
    <t>https://lh5.googleusercontent.com/d/148kaRhdjGB650AfQcuCLaflXGGmUALYo</t>
  </si>
  <si>
    <t>https://drive.google.com/file/d/1WitDx5pJr4qXUbdlVuClnKOtkavRtf9r/view?usp=drivesdk</t>
  </si>
  <si>
    <t>รับน้องนพอ.รุ่นที่ 68</t>
  </si>
  <si>
    <t>https://lh5.googleusercontent.com/d/1lH4mm4FnXLtpdHomjf4o3M676xPVt8lx</t>
  </si>
  <si>
    <t>https://drive.google.com/file/d/1-9XoIVdJOn25-WPf7xbju8Cw9uREbwf1/view?usp=drivesdk</t>
  </si>
  <si>
    <t>โรงพยาบาลภูมิพล</t>
  </si>
  <si>
    <t>https://lh5.googleusercontent.com/d/1jLDVPS6PMJ1O9nE6bek3cEPHefq9NGU0</t>
  </si>
  <si>
    <t>https://drive.google.com/file/d/1Deif5dpeaIT5EQ5lz80OZ5cxvZmr9qw9/view?usp=drivesdk</t>
  </si>
  <si>
    <t>6503751</t>
  </si>
  <si>
    <t>นพอ.เสฏฐวุฒิ เฮียงโฮม</t>
  </si>
  <si>
    <t>ร่วมกิจกรรมคัดกรองกำลังพลเชิงรุกกำลังพลทอ.</t>
  </si>
  <si>
    <t>https://lh5.googleusercontent.com/d/1dMrU-V1dx73EncoJ3z73j6qyduAPprKs</t>
  </si>
  <si>
    <t>https://drive.google.com/file/d/1_FthUXvFm9vYvOvTf7oPHF7kEeO93-Cc/view?usp=drivesdk</t>
  </si>
  <si>
    <t>เก็บกวาดวันและตำส้มตำวันงานกฐิน</t>
  </si>
  <si>
    <t>นางสาวแพรวตา หมอกเจริญ ผอ.รพ.สต.วังตะเคียน</t>
  </si>
  <si>
    <t>https://lh5.googleusercontent.com/d/1QlUUS5u-CLp6xXAodJh002xqMFGYh3Om</t>
  </si>
  <si>
    <t>https://drive.google.com/file/d/1fXWbHEbkUJF0NKzoccqDtvxb1lntedu1/view?usp=drivesdk</t>
  </si>
  <si>
    <t>https://lh5.googleusercontent.com/d/1rHH0Utinysl6uERQvMt6e6gFsRPcJD-U</t>
  </si>
  <si>
    <t>https://drive.google.com/file/d/1za7_Y2m-0tqIJkJ_NfiipkJrhpHee4_u/view?usp=drivesdk</t>
  </si>
  <si>
    <t>https://lh5.googleusercontent.com/d/1YnbLkL4ONbvUJebRb9Qoadzncx-wfGIA</t>
  </si>
  <si>
    <t>https://drive.google.com/file/d/1LYC-xbyrgHraKZw270cMPypBwhrkfUVE/view?usp=drivesdk</t>
  </si>
  <si>
    <t>เข้าร่วมโครงการ แสงนำใจไทยทั้งชาติ เดิน วิ่ง ปั่น ป้องกันอัมพาต ครั้งที่ 11 เฉลิมพระเกียรติ</t>
  </si>
  <si>
    <t xml:space="preserve">สวนสาธารณะเฉลิมพระเกียรติหน้าวัดโสธรวราราม วรวิหาร </t>
  </si>
  <si>
    <t>0500-0800</t>
  </si>
  <si>
    <t xml:space="preserve">นางสาวแพรวตา หมอกเจริญ </t>
  </si>
  <si>
    <t>https://lh5.googleusercontent.com/d/1DVzqCnyLqvnxE6s2IL3jbAknMu-dA3eT</t>
  </si>
  <si>
    <t>https://drive.google.com/file/d/1fNOnHG3fZSPPpMbxOf3eZ_fG2wbeeJjW/view?usp=drivesdk</t>
  </si>
  <si>
    <t>ช่วยประดับผ้าแสดงความอาลัย</t>
  </si>
  <si>
    <t>https://lh5.googleusercontent.com/d/1vcnGCOn1glS1K_whu0qSjNhPFBsUvGle</t>
  </si>
  <si>
    <t>https://drive.google.com/file/d/1RAPkQnPmyoy6-Dm3uGDRd25o4W9u2nHM/view?usp=drivesdk</t>
  </si>
  <si>
    <t>งานกอล์ปิยมหาราช</t>
  </si>
  <si>
    <t>สนามกอล์ฟธูปเตมีย์</t>
  </si>
  <si>
    <t>https://lh5.googleusercontent.com/d/1sQm3CyaEBYnM9qeKLTCZW86kJxz-a8sZ</t>
  </si>
  <si>
    <t>https://drive.google.com/file/d/16hgL-2KanMHm4NrIcAvuP6iZhYCKJbEW/view?usp=drivesdk</t>
  </si>
  <si>
    <t>6803938</t>
  </si>
  <si>
    <t>สุพิชชา เชื้อชาติ</t>
  </si>
  <si>
    <t>การแข่งขันกอล์ฟการกุศล กองทัพอากาศ</t>
  </si>
  <si>
    <t>สนามกอล์ฟธูปะเตมีย์</t>
  </si>
  <si>
    <t>https://lh5.googleusercontent.com/d/1pA-IInVanpU9LrcojOMjV79mhcnPXq3G</t>
  </si>
  <si>
    <t>https://drive.google.com/file/d/1pZH5BGAkeJXtc5xgvc6xhKIdrFBlzLit/view?usp=drivesdk</t>
  </si>
  <si>
    <t>นพอ.เสฏฐวุฒิ</t>
  </si>
  <si>
    <t>ช่วยเตรียมงานทอดกฐิน</t>
  </si>
  <si>
    <t>https://lh5.googleusercontent.com/d/10Tdabe48rE_vmPjq2YLGt52KXDI_xG33</t>
  </si>
  <si>
    <t>https://drive.google.com/file/d/15X9GsAxRLP1kZ6BeZgZ-1TXiMS_l6jjN/view?usp=drivesdk</t>
  </si>
  <si>
    <t>8683030614</t>
  </si>
  <si>
    <t>ธนพล เสือน้อย</t>
  </si>
  <si>
    <t>ชั่วโมงความดีที่สมควรได้รับ</t>
  </si>
  <si>
    <t>วพอ.พอดี.</t>
  </si>
  <si>
    <t>0720</t>
  </si>
  <si>
    <t>https://lh5.googleusercontent.com/d/17zvB4ttwQH-i5r3P5YLzeKANmQxOQyAp</t>
  </si>
  <si>
    <t>https://drive.google.com/file/d/16lcW6quVQdGvPdMqlZlcRsG_btFAphT_/view?usp=drivesdk</t>
  </si>
  <si>
    <t>นายธรรม พิศวาท</t>
  </si>
  <si>
    <t>https://lh5.googleusercontent.com/d/1U-85b6JIIGwOWbyIrXXCWO0VeXZuUCVy</t>
  </si>
  <si>
    <t>https://drive.google.com/file/d/1CeCkJ5O-f3qklmJaBDi_mGyQXz0ZAfJN/view?usp=drivesdk</t>
  </si>
  <si>
    <t>ช่วยทำนุบำรุงรพ.สต.</t>
  </si>
  <si>
    <t>1400-1800</t>
  </si>
  <si>
    <t>นางสาว นุศรา เนียบสูงเนิน</t>
  </si>
  <si>
    <t>https://lh5.googleusercontent.com/d/1PdkB0mm3fcorlyiB79DdFvHj_WXW-0zr</t>
  </si>
  <si>
    <t>https://drive.google.com/file/d/1_FiX3PPND-LBMtV1UJQZzuM8R5BHDwgC/view?usp=drivesdk</t>
  </si>
  <si>
    <t>ช่วยเก็บของที่วัด</t>
  </si>
  <si>
    <t>https://lh5.googleusercontent.com/d/1rIpXSH1MRojFixSaeOr1lt0MQaCG-A3H</t>
  </si>
  <si>
    <t>https://drive.google.com/file/d/1ZhNF26ZUkEH0rSKnH0o0JHUBSf54duul/view?usp=drivesdk</t>
  </si>
  <si>
    <t>ช่วยประดับผ้า ไว้อาลัย</t>
  </si>
  <si>
    <t>นางสาวแพรวตา หมอกเจริญ</t>
  </si>
  <si>
    <t>https://lh5.googleusercontent.com/d/16BVDTwjLyUQ8KZf54U4EDmUrh6Bl_6ww</t>
  </si>
  <si>
    <t>https://drive.google.com/file/d/1qx_bE26vjd9E6WH9scRUuQoRmSrSYOxo/view?usp=drivesdk</t>
  </si>
  <si>
    <t>ช่วยงานกอล์ฟ</t>
  </si>
  <si>
    <t>1500-2100</t>
  </si>
  <si>
    <t>https://lh5.googleusercontent.com/d/11DKKk5r4K6GhRq2aE-4L7Lv3wU591KQv</t>
  </si>
  <si>
    <t>https://drive.google.com/file/d/1aXpCy7Dej5aEP0hf4hqUjCrXlLkd47RX/view?usp=drivesdk</t>
  </si>
  <si>
    <t>เข้าร่วมฟังบรรยาย การให้สุขศึกษาสำหรับหญิงตั้งครรภ์</t>
  </si>
  <si>
    <t>08:45</t>
  </si>
  <si>
    <t>นอ.หญิง ผศ.นิตยา สุขแสน</t>
  </si>
  <si>
    <t>https://lh5.googleusercontent.com/d/1x7YgjlZ2r7e8sfjpOHIAjGuIqHt4o_XB</t>
  </si>
  <si>
    <t>https://drive.google.com/file/d/1UYx9rrWH9aCnbBxYunLZA_8MAVk8UWFO/view?usp=drivesdk</t>
  </si>
  <si>
    <t>เก็บกวาดวัดและตำส้มตำงานกฐิน</t>
  </si>
  <si>
    <t>น.ส.แพรวตา หมอกเจริญ ผอ.รพ.สต.วังตะเคียน</t>
  </si>
  <si>
    <t>https://lh5.googleusercontent.com/d/1GoPD4JZ9pnMDXmh782x5VXTCCEpwi49I</t>
  </si>
  <si>
    <t>https://drive.google.com/file/d/1RDt84_hRHVS1V93qTsz4z94_yM6mz0Fj/view?usp=drivesdk</t>
  </si>
  <si>
    <t>จับผ้าถวายความอาลัย</t>
  </si>
  <si>
    <t>https://lh5.googleusercontent.com/d/1iNGf0p04eUN2xZeiksftTTg9pbSUix6t</t>
  </si>
  <si>
    <t>https://drive.google.com/file/d/1XUkKmxBBsXqlvLHHcHZ2F5U3gTbHnWF-/view?usp=drivesdk</t>
  </si>
  <si>
    <t>https://lh5.googleusercontent.com/d/1s2eVDucDV7ydCW4aOVt_2fuEXzKfhLfb</t>
  </si>
  <si>
    <t>https://drive.google.com/file/d/1-SE5DgaXUuKZPgupif0BwvGoTMjZLajn/view?usp=drivesdk</t>
  </si>
  <si>
    <t>จัดสวนรพ.สต.</t>
  </si>
  <si>
    <t>https://lh5.googleusercontent.com/d/1Ggo9hF8tX6A3rf7Zv2FmEVMAy3ULp_rH</t>
  </si>
  <si>
    <t>https://drive.google.com/file/d/1VfHJGSSp3R6F41wl_W503azuqfU9cUL6/view?usp=drivesdk</t>
  </si>
  <si>
    <t>6503693</t>
  </si>
  <si>
    <t>นพอ.กัลยกร บุญลา</t>
  </si>
  <si>
    <t>https://lh5.googleusercontent.com/d/1gfnI-Cr40sOj6qtkK0-UgK2epc4cGlDc</t>
  </si>
  <si>
    <t>https://drive.google.com/file/d/1m6zjI22bSvNqadsN4jmem-9Etcij864b/view?usp=drivesdk</t>
  </si>
  <si>
    <t>ร่วมโครงการคัดกรองสุขภาพเชิงรุกกำลพลทอ.</t>
  </si>
  <si>
    <t>https://lh5.googleusercontent.com/d/1BohN4vVXrQ4A8TEwGY2FidJVaQqWysPS</t>
  </si>
  <si>
    <t>username</t>
  </si>
  <si>
    <t>pwd</t>
  </si>
  <si>
    <t>fullname</t>
  </si>
  <si>
    <t>admin</t>
  </si>
  <si>
    <t>https://drive.google.com/file/d/1ME7KoWQ3NvKdXWPCgSNfU7avGxXVqXfY/view?usp=drivesdk</t>
  </si>
  <si>
    <t>Admin</t>
  </si>
  <si>
    <t>user1</t>
  </si>
  <si>
    <t>ป.1</t>
  </si>
  <si>
    <t>user2</t>
  </si>
  <si>
    <t>ป.2</t>
  </si>
  <si>
    <t>user3</t>
  </si>
  <si>
    <t>ป.3</t>
  </si>
  <si>
    <t>user4</t>
  </si>
  <si>
    <t>ป.4</t>
  </si>
  <si>
    <t>user5</t>
  </si>
  <si>
    <t>ป.5</t>
  </si>
  <si>
    <t>จับผ้าเนื่องในโอกาสถวายความอาลัยสมเด็จพระพันปีหลวง</t>
  </si>
  <si>
    <t>น.ส.จิรวรรณ พิมพ์แก้ว</t>
  </si>
  <si>
    <t>https://lh5.googleusercontent.com/d/1BCfUGLTCoVYird1A_MBocJOBdsQHGabX</t>
  </si>
  <si>
    <t>https://drive.google.com/file/d/1v1TBIXrjBNuNlFtGrAq98XWe0S1Jev7D/view?usp=drivesdk</t>
  </si>
  <si>
    <t>https://lh5.googleusercontent.com/d/1JdcLgjiReee8qmlfjD1b0RA0glpbmLXU</t>
  </si>
  <si>
    <t>https://drive.google.com/file/d/1a5hP7QU7tNrYKgnGZ1mT5FksTXlnWmBy/view?usp=drivesdk</t>
  </si>
  <si>
    <t>https://lh5.googleusercontent.com/d/1sl4priVeVNPxjepHfEAg6_tCI26JPSbn</t>
  </si>
  <si>
    <t>https://drive.google.com/file/d/1tYTUEeoMWQRgiLv0eUL3vQ-ZrrTOPetu/view?usp=drivesdk</t>
  </si>
  <si>
    <t>6503710</t>
  </si>
  <si>
    <t>นพอ.ณัทณิชา สุวะเสน</t>
  </si>
  <si>
    <t>โครงการคัดกรองสุขภาพเขิงรุกกำลังพลทอ.</t>
  </si>
  <si>
    <t>https://lh5.googleusercontent.com/d/1Y1XrPhx7yCVS7SO9ggaOk-M1OKtvY7nO</t>
  </si>
  <si>
    <t>https://drive.google.com/file/d/1nDRALfraMLMVRCqV-5-XlNmpxJ_h34YP/view?usp=drivesdk</t>
  </si>
  <si>
    <t>กิจกรรมวันรักต้นไม้ประจำปีของชาติ</t>
  </si>
  <si>
    <t>โรงพยาบาลส่งเสริมสุขภาพตำบลบางขวัญ</t>
  </si>
  <si>
    <t>https://lh5.googleusercontent.com/d/1PRDzmtAyga_Lad-ynYX1hs1IdfkflcBc</t>
  </si>
  <si>
    <t>จัดสถานที่และเก็บงานช่วยวัด</t>
  </si>
  <si>
    <t xml:space="preserve">นายธนู เล็กชะอุ่ม </t>
  </si>
  <si>
    <t>https://lh5.googleusercontent.com/d/1Cazm6NdI9U0CliAZTdwQwGsX8fc3oL-v</t>
  </si>
  <si>
    <t>https://drive.google.com/file/d/1Gmg5dBhG2laVPXeYMNjshvpQ6EOpIDKC/view?usp=drivesdk</t>
  </si>
  <si>
    <t>https://lh5.googleusercontent.com/d/1TkOro2c_Ixib1OcUMchcJ7zWjCwFdBfz</t>
  </si>
  <si>
    <t>https://drive.google.com/file/d/11EHsYvhqQ35vpPma4ApA955fbDUVlHKd/view?usp=drivesdk</t>
  </si>
  <si>
    <t>https://lh5.googleusercontent.com/d/12gg_LAhL2y_uoCv6XUw2R9eNUubsRHKf</t>
  </si>
  <si>
    <t>https://drive.google.com/file/d/1pgaqtoD2J-XtDlpebF3JbRe3aFi7Q_nS/view?usp=drivesdk</t>
  </si>
  <si>
    <t>ช่วยขูดมะละกอทำโรงทาน</t>
  </si>
  <si>
    <t>บ้านแพรกวังตะเคียน</t>
  </si>
  <si>
    <t>https://lh5.googleusercontent.com/d/183iAefvNS8JiMijZeJ97XqQBfpw971Q5</t>
  </si>
  <si>
    <t>https://drive.google.com/file/d/1KUoIsInO2ehwrd9C3xcvYOIkJY3xqiE0/view?usp=drivesdk</t>
  </si>
  <si>
    <t>วันรักต้นไม้แห่งชาติ</t>
  </si>
  <si>
    <t>1300-1600</t>
  </si>
  <si>
    <t>นายเวคิน เจียโหงว (ผอ.รพ.สต.)</t>
  </si>
  <si>
    <t>https://lh5.googleusercontent.com/d/1As6oG37RG2no0Rr9sPmspu9sN73aG52a</t>
  </si>
  <si>
    <t>https://drive.google.com/file/d/1WoeJS8nsVJxLMb0kT0kj5hMFmVPhK6jw/view?usp=drivesdk</t>
  </si>
  <si>
    <t>ช่วยจัดสวน</t>
  </si>
  <si>
    <t>น.ส.นุศรา เนียมสูงเนิน</t>
  </si>
  <si>
    <t>https://lh5.googleusercontent.com/d/1n880R0MV7KTHeOgISKuQD33rk3U7-Cce</t>
  </si>
  <si>
    <t>https://drive.google.com/file/d/1-EQIhCbzP70BZuR5KWdEOCRHSvrtjLHf/view?usp=drivesdk</t>
  </si>
  <si>
    <t>6503701</t>
  </si>
  <si>
    <t>นพอ.ชนิกานต์ จันไชยยศ</t>
  </si>
  <si>
    <t>https://lh5.googleusercontent.com/d/1MAfkOtGYdZDsaAw6OU-y9vVuGHarGrcc</t>
  </si>
  <si>
    <t>https://drive.google.com/file/d/1sfXlmfnZoEH6OxFNE1PxrE0jIIKChfjS/view?usp=drivesdk</t>
  </si>
  <si>
    <t>วัดวิเวกอาคม อ.เมือง จ.ฉะเชิงเทรา</t>
  </si>
  <si>
    <t>นางธัญญพัทธ์ นพพรธนพัฒน์</t>
  </si>
  <si>
    <t>https://lh5.googleusercontent.com/d/16SLy53TqBp3k8G9HbOUVwWLtf-H4wNch</t>
  </si>
  <si>
    <t>https://drive.google.com/file/d/1tE0Yg_p9l51q3y4vlf4hGOw3lYwYoXq4/view?usp=drivesdk</t>
  </si>
  <si>
    <t xml:space="preserve">วัดบ้านนาเทพธาราม </t>
  </si>
  <si>
    <t>https://lh5.googleusercontent.com/d/1dKHPYeaoVkE45jkq6lDufvVZlb_VTEh6</t>
  </si>
  <si>
    <t>https://drive.google.com/file/d/1_zB8ixXD87EbQFw8BpdaRw2dBB8gyjXU/view?usp=drivesdk</t>
  </si>
  <si>
    <t>วัดใหม่บางขวัญ</t>
  </si>
  <si>
    <t>https://lh5.googleusercontent.com/d/1a4pSjoyiquqEavmrTqxrAE2j-2iexz6m</t>
  </si>
  <si>
    <t>https://drive.google.com/file/d/1OAeh8R0beJnib3FEE5RVmD5jelJfgzqz/view?usp=drivesdk</t>
  </si>
  <si>
    <t>ช่วยทำความสะอาดบริเวณหน้าโรงเรียน</t>
  </si>
  <si>
    <t xml:space="preserve">โรงเรียนวัดบ้านนา (ประชาชนรังสฤษฎิ์) </t>
  </si>
  <si>
    <t>1500-1800</t>
  </si>
  <si>
    <t>https://lh5.googleusercontent.com/d/1ARhjQA4JEA2D5MGOewi4HYvWykQZpYJe</t>
  </si>
  <si>
    <t>https://drive.google.com/file/d/1RrzaWb-4zlhK3NPnG8zNmVTqVvxJUNoQ/view?usp=drivesdk</t>
  </si>
  <si>
    <t>นพอ.ชวพร โมลานิล</t>
  </si>
  <si>
    <t>ซ้อมร้องประสานเสียงงานคอนเสิร์ตทัพ</t>
  </si>
  <si>
    <t>https://lh5.googleusercontent.com/d/169zMweX_WoVlMO3grmpfDuokEBuhI9ME</t>
  </si>
  <si>
    <t>https://drive.google.com/file/d/1NV_z8RkWpVYm29-tKGVP6zwcRldid7Iq/view?usp=drivesdk</t>
  </si>
  <si>
    <t>ซ้อมร้องเพลงประสานเสียงงานคอนเสิร์ตทัพฟ้า</t>
  </si>
  <si>
    <t>https://lh5.googleusercontent.com/d/1x-rSVLfTv0zr_C4LpsfhaH9ekm7BFT3R</t>
  </si>
  <si>
    <t>https://drive.google.com/file/d/1TgOOhTUsRi22vdDQcFmHoYBJBVXLKtSa/view?usp=drivesdk</t>
  </si>
  <si>
    <t>https://lh5.googleusercontent.com/d/1Xw1E_LQX54pfdVUDVNxjOTX-CP7UQF5_</t>
  </si>
  <si>
    <t>https://drive.google.com/file/d/1R7bfpFTnWkdFUnMlFqCqP_k0pGt9ZubH/view?usp=drivesdk</t>
  </si>
  <si>
    <t>ช่วยจัดเก็บของในรพ.สต.</t>
  </si>
  <si>
    <t>https://lh5.googleusercontent.com/d/15HIePK1-LEshlLXSLeleZqOdF8FfGAI7</t>
  </si>
  <si>
    <t>https://drive.google.com/file/d/1c53v9oeLPpFM0mVNU3n1uHW7TIoip55u/view?usp=drivesdk</t>
  </si>
  <si>
    <t>https://lh5.googleusercontent.com/d/1B4XRl-ozPbY9m3l1Vl1YQk9RooXTHl-h</t>
  </si>
  <si>
    <t>https://drive.google.com/file/d/1I6jzIp6260mtxTdLK4H2Gh3ej9DKLzQ_/view?usp=drivesdk</t>
  </si>
  <si>
    <t>https://lh5.googleusercontent.com/d/1qKwfeeAnVZ_gCdfNmNPSlqmKy9A_51bM</t>
  </si>
  <si>
    <t>https://drive.google.com/file/d/1oTlb5ypv1LLl1sFLdwFEjJG-75NOwU1H/view?usp=drivesdk</t>
  </si>
  <si>
    <t>ออกหน่วยงานหลวงพ่อโสธร</t>
  </si>
  <si>
    <t>วัดชลประทาน อ.เมือง จ.ฉะเชิงเทรา</t>
  </si>
  <si>
    <t>0700-0900</t>
  </si>
  <si>
    <t>https://lh5.googleusercontent.com/d/1q2N8fR0lqtcc9L79q-EfcNzxt7yp9XMy</t>
  </si>
  <si>
    <t>https://drive.google.com/file/d/1U8rwArfnRfWnBDMiTvUQRLBButxdMqOg/view?usp=drivesdk</t>
  </si>
  <si>
    <t>ช่วยขนของหอชาย</t>
  </si>
  <si>
    <t>https://lh5.googleusercontent.com/d/1xVOhMJgH0aKvOgVjuodUBtZ4QIDe1iPV</t>
  </si>
  <si>
    <t>https://drive.google.com/file/d/16Hdt7NWBYq7T3IE_SXE0bGTmXrgoUsW-/view?usp=drivesdk</t>
  </si>
  <si>
    <t>https://lh5.googleusercontent.com/d/1AmOv5eSOiUnMqXm6ilO8eYxxfEwkr85e</t>
  </si>
  <si>
    <t>https://drive.google.com/file/d/14_gqRnRZg6aiKofsEj8WUWuJcqEiI7Xp/view?usp=drivesdk</t>
  </si>
  <si>
    <t>https://lh5.googleusercontent.com/d/12khODlDjV9fHhvnINe8gSSb2BX_q-qrX</t>
  </si>
  <si>
    <t>https://drive.google.com/file/d/14s56sBA1Ik5qIEYPwXND8m6rsfSYYS6i/view?usp=drivesdk</t>
  </si>
  <si>
    <t>1300-1800</t>
  </si>
  <si>
    <t>https://lh5.googleusercontent.com/d/19UjdcrpJ2z60CfxJ7CQe28SwUcLkqIgr</t>
  </si>
  <si>
    <t>https://drive.google.com/file/d/1EVJYLEC1Q1NtJA5qTLDsVElBepE-qCaQ/view?usp=drivesdk</t>
  </si>
  <si>
    <t>https://lh5.googleusercontent.com/d/1TIYcJ2N2MYePSc9QnGRlE6Czn2Ie05gO</t>
  </si>
  <si>
    <t>https://drive.google.com/file/d/1whrYWCF5e9wojqV2IlLavO4u67iBNSlB/view?usp=drivesdk</t>
  </si>
  <si>
    <t>https://lh5.googleusercontent.com/d/1J3G5XVMFQR4CZYmXe7oIYwVokdINhubU</t>
  </si>
  <si>
    <t>https://drive.google.com/file/d/1Ihp0UptBPmb0XfXlVZtNSd8oxkHe2L8D/view?usp=drivesdk</t>
  </si>
  <si>
    <t>ทดสอบวิภาววิสัย 68</t>
  </si>
  <si>
    <t>0800-1700</t>
  </si>
  <si>
    <t>https://lh5.googleusercontent.com/d/15hX3FiZ6e54vPjw_Jh88pXc0i9t2Owf7</t>
  </si>
  <si>
    <t>https://drive.google.com/file/d/1MP1BJ3DpO0kVl4hFX6V1tYHK1Lu1U-BC/view?usp=drivesdk</t>
  </si>
  <si>
    <t>สอบวิภาววิสัย 68</t>
  </si>
  <si>
    <t>https://lh5.googleusercontent.com/d/1u_i-6sBK4_1D8n-UkxIDg_JPdV0STGom</t>
  </si>
  <si>
    <t>https://drive.google.com/file/d/17QtH_Osahx9JDJwctHKVuVxBf6eUfjJa/view?usp=drivesdk</t>
  </si>
  <si>
    <t>ศาลากลาง จังหวัดฉะเชิงเทรา</t>
  </si>
  <si>
    <t>https://lh5.googleusercontent.com/d/14YVoSX-9GJlPQnvUdG0JctnkkFl5pi1X</t>
  </si>
  <si>
    <t>https://drive.google.com/file/d/1YPbyhBVElz7wfSUO8IEwQH33Tdc6gQfv/view?usp=drivesdk</t>
  </si>
  <si>
    <t>https://lh5.googleusercontent.com/d/1NvbJp6cqJ-GFMyoVTqbyC7XQ4Tb25y1Y</t>
  </si>
  <si>
    <t>https://drive.google.com/file/d/1zCGx7nfNluiV3-WXxl0NTslbJY4PoFmK/view?usp=drivesdk</t>
  </si>
  <si>
    <t>ช่วยทดสอบวิภาววิสัย</t>
  </si>
  <si>
    <t>https://lh5.googleusercontent.com/d/1znKpecB-9e3s5jyNCdz5y6lsFmDgm93f</t>
  </si>
  <si>
    <t>https://drive.google.com/file/d/1Tz6ppS1VPwepg47OGPkPnPhXCDXiS7uJ/view?usp=drivesdk</t>
  </si>
  <si>
    <t>https://lh5.googleusercontent.com/d/1pEXsNgbKlUDktQXTpa1Swj_4uemtqzzt</t>
  </si>
  <si>
    <t>https://drive.google.com/file/d/1c_eWHF9BsFoY4HKOZnl_zv9TQWBLiPU8/view?usp=drivesdk</t>
  </si>
  <si>
    <t>เดินวิ่งปั่น ป้องกันอัมพาต</t>
  </si>
  <si>
    <t>ศาลากลางจ.ฉะเชิงเทรา</t>
  </si>
  <si>
    <t>0400-0800</t>
  </si>
  <si>
    <t>https://lh5.googleusercontent.com/d/1Q7ZaIwMLJdhsoA8BK55yZKJd0uZfKsnC</t>
  </si>
  <si>
    <t>https://lh5.googleusercontent.com/d/1zIo1nr17fB0vz0UR6fXb1Vca-yYKUqpn</t>
  </si>
  <si>
    <t>https://drive.google.com/file/d/1tNFrMx88XfYbj2cpUEHzDqwIrz2WROLj/view?usp=drivesdk</t>
  </si>
  <si>
    <t>https://lh5.googleusercontent.com/d/1JS1eQ5c5lrxucngCACYGm-50potG-WYc</t>
  </si>
  <si>
    <t>https://drive.google.com/file/d/1CSRBe2n8GR9hRU2rb6eY0B1VO8HBAFuE/view?usp=drivesdk</t>
  </si>
  <si>
    <t>https://lh5.googleusercontent.com/d/1AODN05hXD1dIkmMCbLWCoifFsCXSsO2l</t>
  </si>
  <si>
    <t>https://drive.google.com/file/d/1ec1iJTbU9HOyCsUdwCdlF3jKFLBaqQJa/view?usp=drivesdk</t>
  </si>
  <si>
    <t>https://lh5.googleusercontent.com/d/1XI1_TrdMIzIGGmbc1A0bmAcE-MOYTRju</t>
  </si>
  <si>
    <t>https://drive.google.com/file/d/1OC93x11Yu65iHu1Sp0sGhNSlabOQx8qO/view?usp=drivesdk</t>
  </si>
  <si>
    <t>รดน้ำต้นไม้</t>
  </si>
  <si>
    <t>ห้องภาควิชาการพยาบาลมารดา ทารกและการผดุงครรภ์</t>
  </si>
  <si>
    <t>https://lh5.googleusercontent.com/d/1ZJe7-ei9_pwCHyjmAf7nG8LPknRLE5Y0</t>
  </si>
  <si>
    <t>https://drive.google.com/file/d/1ABGQBRlCxvUQEWiDONipdAuJqM4RQXdI/view?usp=drivesdk</t>
  </si>
  <si>
    <t>https://lh5.googleusercontent.com/d/1A-x2tKJBFoAtGX3s3oKsk_64iebbm3eO</t>
  </si>
  <si>
    <t>https://drive.google.com/file/d/1up71TJMTEPmFljyUOVkHjibSiasUTkwW/view?usp=drivesdk</t>
  </si>
  <si>
    <t>เปิด-ปิดทีวี</t>
  </si>
  <si>
    <t>อาคารเรียน วพอ.</t>
  </si>
  <si>
    <t>0730-0740</t>
  </si>
  <si>
    <t>https://lh5.googleusercontent.com/d/1BlPzwFyn4qyUfi7644YmQkLLMSpJxdHX</t>
  </si>
  <si>
    <t>https://drive.google.com/file/d/1liS4RN8yD9vzM3TTyzAtgDt-Fw9dkHep/view?usp=drivesdk</t>
  </si>
  <si>
    <t>6503731</t>
  </si>
  <si>
    <t>นพอ.พีรพัฒน์ แสงใยมณี</t>
  </si>
  <si>
    <t>https://lh5.googleusercontent.com/d/1UB-VM6h1knv7bMfPBHY7TszRx0nKVlSD</t>
  </si>
  <si>
    <t>https://drive.google.com/file/d/1Il5rlMKp_A3u8SbzasC8VzYbb2wWIP_3/view?usp=drivesdk</t>
  </si>
  <si>
    <t>6803943</t>
  </si>
  <si>
    <t>นพอ.อภิสรา บุญเกื้อ</t>
  </si>
  <si>
    <t>สนามกอล์ฟทอ.</t>
  </si>
  <si>
    <t>1600-2100</t>
  </si>
  <si>
    <t>https://lh5.googleusercontent.com/d/1rao4q1Ptut86cWf8kXN9YmfD7tIKYi8m</t>
  </si>
  <si>
    <t>https://drive.google.com/file/d/1IfNTgNP-ttE3TL52YA4i0ZWWzZUZkUwu/view?usp=drivesdk</t>
  </si>
  <si>
    <t>รพ.ภูมิพล</t>
  </si>
  <si>
    <t>น.ท.หญิง ดวงพร ชาศรี</t>
  </si>
  <si>
    <t>https://lh5.googleusercontent.com/d/1NEYmg9UEUsyDlWU39yYbuoVZarmkZ0Vh</t>
  </si>
  <si>
    <t>https://drive.google.com/file/d/1OiIaxjekkQHARQoxXzH8BFCf_a8WrkB3/view?usp=drivesdk</t>
  </si>
  <si>
    <t>https://lh5.googleusercontent.com/d/15Wu-8UlOPdOjK5rTdadUpg6k3VXcLxXM</t>
  </si>
  <si>
    <t>https://drive.google.com/file/d/1wa98BO2BUehuWs0iQWN9L8jIDl3373Pw/view?usp=drivesdk</t>
  </si>
  <si>
    <t>6603812</t>
  </si>
  <si>
    <t>หัสฐากร หงษ์สุวรรณ</t>
  </si>
  <si>
    <t>ทัพฟ้า</t>
  </si>
  <si>
    <t>ศูนย์วัฒนธรรม</t>
  </si>
  <si>
    <t>0800-2200</t>
  </si>
  <si>
    <t>https://lh5.googleusercontent.com/d/1MDsWq-_QNME0f6hVfyz26ghTPJLuWgs5</t>
  </si>
  <si>
    <t>https://drive.google.com/file/d/1QJWjHyDVdgAHLoN0tovGBY47waVQmX3p/view?usp=drivesdk</t>
  </si>
  <si>
    <t>https://lh5.googleusercontent.com/d/1Dx7TVZUzKVFoZBpD0KH-cdlVn1Qi8bMV</t>
  </si>
  <si>
    <t>https://lh5.googleusercontent.com/d/1N7zEHogITp1hBnR6MI-uQA5tSSAeOeOq</t>
  </si>
  <si>
    <t>https://drive.google.com/file/d/1ZKSTa1v7PUlzKP1JNTS9UpqQ5Qk9bTl2/view?usp=drivesdk</t>
  </si>
  <si>
    <t>https://lh5.googleusercontent.com/d/1OUzmuXxU2G2bkx9ItItXtRINzzlLbMhX</t>
  </si>
  <si>
    <t>https://drive.google.com/file/d/1BseONDlyE3hRCYWG5dlt5Fa7DlqnY04X/view?usp=drivesdk</t>
  </si>
  <si>
    <t>https://lh5.googleusercontent.com/d/10n6WH0toNF4mdckLAOiIcg5A8nWTAjvP</t>
  </si>
  <si>
    <t>https://drive.google.com/file/d/1TgBVy7X73A7KPj9AQdsRG9totkTRjyBi/view?usp=drivesdk</t>
  </si>
  <si>
    <t>6803891</t>
  </si>
  <si>
    <t>นพอ.จิรัชยา ธีรประภานนท์</t>
  </si>
  <si>
    <t>การแข่งขันกอล์ฟเพื่อการกุศล กองทัพอากาศ</t>
  </si>
  <si>
    <t>สนามกอล์ฟ ทอ.</t>
  </si>
  <si>
    <t>https://lh5.googleusercontent.com/d/1znxR8Hjq18Mp8oi54wtdbmtLv2wW5fWH</t>
  </si>
  <si>
    <t>https://drive.google.com/file/d/1yD0Ohrg80TecfBIHD6eJYJbypNLh_PHu/view?usp=drivesdk</t>
  </si>
  <si>
    <t>วงดุริยางค์</t>
  </si>
  <si>
    <t>https://lh5.googleusercontent.com/d/1eGQ5CAtjziGQim3s2Ue8xlfLz7SRQD7q</t>
  </si>
  <si>
    <t>https://drive.google.com/file/d/1fuO_l9nsDpZuhIv59Cbq1wrpr8KR3Lhz/view?usp=drivesdk</t>
  </si>
  <si>
    <t>https://lh5.googleusercontent.com/d/1AURERdOwFeP6h_XwISkHQz67rRpafgsj</t>
  </si>
  <si>
    <t>https://drive.google.com/file/d/1ANGgjWJjvMwLcTSLZkIfMZW_yfIAHANh/view?usp=drivesdk</t>
  </si>
  <si>
    <t>6803909</t>
  </si>
  <si>
    <t>นวพร แซ่ห้าว</t>
  </si>
  <si>
    <t>งานแจกของพระราชทานพระบรมศพระพันปีหลวง</t>
  </si>
  <si>
    <t>https://lh5.googleusercontent.com/d/1XgyOKBTxYbUr707xCFM9wnzS-OZV9A7W</t>
  </si>
  <si>
    <t>https://drive.google.com/file/d/1VluueX1eVMJSAs3ZZ7orsuZ5sblWnd_a/view?usp=drivesdk</t>
  </si>
  <si>
    <t>https://lh5.googleusercontent.com/d/1ox9aUISmKn-4VmXE5Uzc9edK4BfaT1bI</t>
  </si>
  <si>
    <t>https://drive.google.com/file/d/1RlcMYFnPSGHdr0mhRjIkE54vOM7nI8Zy/view?usp=drivesdk</t>
  </si>
  <si>
    <t>https://lh5.googleusercontent.com/d/1VhVZLZP-AKiOfAaRppA2kmefKV-V_W9Q</t>
  </si>
  <si>
    <t>https://drive.google.com/file/d/1H6IcODm2oL5X6DFmaTrhCsH0RPxtDoQR/view?usp=drivesdk</t>
  </si>
  <si>
    <t>https://lh5.googleusercontent.com/d/1xbRUF2rGbB3FV0gGM_-P6GPicrZLFDoc</t>
  </si>
  <si>
    <t>https://drive.google.com/file/d/1cX_dKJ3U6p7MUuDW0vN7L1YParxuy92z/view?usp=drivesdk</t>
  </si>
  <si>
    <t>https://lh5.googleusercontent.com/d/1oimbKveejCVYq53zwJP7UTVbWKW-IUak</t>
  </si>
  <si>
    <t>https://drive.google.com/file/d/1uSEqEeBUoXMQ1TInVkkxaIaqvBxNo428/view?usp=drivesdk</t>
  </si>
  <si>
    <t>6503739</t>
  </si>
  <si>
    <t>นพอ.วนิดา  ชารีงาท</t>
  </si>
  <si>
    <t>นางสาวรัติกาล หงษ์ศิริ</t>
  </si>
  <si>
    <t>https://lh5.googleusercontent.com/d/1v5G0cYBGm4bxO8EomeKZoHm74g57zRqY</t>
  </si>
  <si>
    <t>https://drive.google.com/file/d/1Xxw-Pz_dyE60flDYj56LfaNLIiadah6y/view?usp=drivesdk</t>
  </si>
  <si>
    <t>นพอ.วนิดา ชารีงาม</t>
  </si>
  <si>
    <t>https://lh5.googleusercontent.com/d/1yxYAiKWONgd2IKc7w0HX7dXxfu5IJYlE</t>
  </si>
  <si>
    <t>https://drive.google.com/file/d/1NLZwU4x0oZKN6UEQwY5I1gXQeSWBPvpu/view?usp=drivesdk</t>
  </si>
  <si>
    <t>https://lh5.googleusercontent.com/d/1Y5PO4O6z__zrjmM-fcT5gDksmZNpAkfs</t>
  </si>
  <si>
    <t>https://drive.google.com/file/d/1YAXHRDz3XSHd2FO8wPfqeVwnS39_v8OY/view?usp=drivesdk</t>
  </si>
  <si>
    <t>นพอ.วนิดา  ชารีงาม</t>
  </si>
  <si>
    <t>https://lh5.googleusercontent.com/d/14V1Acam2iryBmpAkE4_L2TTgMyiJquBz</t>
  </si>
  <si>
    <t>https://drive.google.com/file/d/1fyYYGh6SlEgYJWcikxALIN-DcMd_tcYw/view?usp=drivesdk</t>
  </si>
  <si>
    <t>https://lh5.googleusercontent.com/d/1y0ltyHAO_jWoswSqFIt_hoD_VXKvgpgj</t>
  </si>
  <si>
    <t>https://drive.google.com/file/d/1kVEvxHPJh9pRIbr_6zR5KlLZ88QJ9Qht/view?usp=drivesdk</t>
  </si>
  <si>
    <t>https://lh5.googleusercontent.com/d/12-9iibOUnzbaV4rLE5haOvUmPT4Uphad</t>
  </si>
  <si>
    <t>https://drive.google.com/file/d/1cgJlh8ruk1Bju20m3xhqbnSBtkh6KqhT/view?usp=drivesdk</t>
  </si>
  <si>
    <t>นางสาวรัติกาล  หงษ์ศิริ</t>
  </si>
  <si>
    <t>https://lh5.googleusercontent.com/d/1792W67X1MU-MYtMB1a6iFbzf169B8Epc</t>
  </si>
  <si>
    <t>https://drive.google.com/file/d/1M-PLQH0DHSOasxhGZevuZIYhijYuXz3y/view?usp=drivesdk</t>
  </si>
  <si>
    <t>ช่วยพ่อแม่ขายของ</t>
  </si>
  <si>
    <t>ตลาดเจริญทรัพย์ อ.สองพี่น้อง จ.สุพรรณบุรี</t>
  </si>
  <si>
    <t>นายณภัทร กองจะริตร์</t>
  </si>
  <si>
    <t>https://lh5.googleusercontent.com/d/1Mm0S-QHboaa6ioV5gnBL5trXCLVb5Nbk</t>
  </si>
  <si>
    <t>https://drive.google.com/file/d/1M5wNxMf8I4e5uKT4aZ_PMGuDR8C9Of3S/view?usp=drivesdk</t>
  </si>
  <si>
    <t>ตลาดตอนเช้า วัดไผ่โรงวัว จ.สุพรรณบุรี</t>
  </si>
  <si>
    <t>นางกาญจนาภรณ์ กองจะริตร์</t>
  </si>
  <si>
    <t>https://lh5.googleusercontent.com/d/11lnxowgVDIa2-H1IvPes-JCrEKfNb94k</t>
  </si>
  <si>
    <t>https://drive.google.com/file/d/15DfXqOawocw2N0v3q3uY7d4HyD7hAllL/view?usp=drivesdk</t>
  </si>
  <si>
    <t>6503697</t>
  </si>
  <si>
    <t>นพอ.จารวี จี๋จันทร์</t>
  </si>
  <si>
    <t>https://lh5.googleusercontent.com/d/1BVSD5YICOyLrWNibutun_j2rubwsW8nK</t>
  </si>
  <si>
    <t>https://drive.google.com/file/d/1oHL06dBa772e2iwEWgpd_F-fsNtwzeEf/view?usp=drivesdk</t>
  </si>
  <si>
    <t>รพ.สต.บางตีนเป็ด</t>
  </si>
  <si>
    <t>https://lh5.googleusercontent.com/d/1VyWdC50RZAuQeYO4EeYG6K58UZtCm--a</t>
  </si>
  <si>
    <t>https://drive.google.com/file/d/1uCW6RScPSYqKti0xldSiG-BON93FbsEa/view?usp=drivesdk</t>
  </si>
  <si>
    <t>https://lh5.googleusercontent.com/d/1jGxNPSqdAMr1DOHbUONexnjrup6c85s9</t>
  </si>
  <si>
    <t>https://drive.google.com/file/d/1HbxuyBKZ0h6ZdDGN7-EWvUnVElfjEBvE/view?usp=drivesdk</t>
  </si>
  <si>
    <t>6503700</t>
  </si>
  <si>
    <t>นพอ.ฉายแสง สมหวัง</t>
  </si>
  <si>
    <t>น.ส.จิราวรรณ พิมพ์แก้ว</t>
  </si>
  <si>
    <t>https://lh5.googleusercontent.com/d/1y8TMuVn6_Fh4V4Jl2Tz9WVoD9TqUXXCz</t>
  </si>
  <si>
    <t>https://drive.google.com/file/d/1fVNOcchTvrnmIl6x6ihqG1ocC1r11KeC/view?usp=drivesdk</t>
  </si>
  <si>
    <t>จับผ้าถวายความอาลัยสมเด็จพระพันปีหลวง</t>
  </si>
  <si>
    <t>https://lh5.googleusercontent.com/d/1EV_WPzyReNI6CIv5nVEinutHiXTqOOHP</t>
  </si>
  <si>
    <t>https://drive.google.com/file/d/1q-trBdjPlvTdWPhkhUz9SmGbWrHeCg-w/view?usp=drivesdk</t>
  </si>
  <si>
    <t>จัดสถานที่และเก็บของช่วยวัด</t>
  </si>
  <si>
    <t>https://lh5.googleusercontent.com/d/1rzKUPHfe1F46Q6EAzt8M3o1oLSfaC55x</t>
  </si>
  <si>
    <t>https://drive.google.com/file/d/12uXXOmjV3LgSrtssk01b5mhSynUsaSVX/view?usp=drivesdk</t>
  </si>
  <si>
    <t>https://lh5.googleusercontent.com/d/1GbdSD_wF2vyVzleLm9xjjjoP7De37Aah</t>
  </si>
  <si>
    <t>https://drive.google.com/file/d/1D-DGgZ5ALTrNJod49bWmmZXzxsF3T6nv/view?usp=drivesdk</t>
  </si>
  <si>
    <t>https://lh5.googleusercontent.com/d/1eocvNaxhTB9oQbrvzqbeWPVUE0fVRjdc</t>
  </si>
  <si>
    <t>https://drive.google.com/file/d/1d8jQUMsDuM2qLMm7uRjrP2s1AMBkTBxO/view?usp=drivesdk</t>
  </si>
  <si>
    <t>https://lh5.googleusercontent.com/d/1_4m-JBk_r4ErZ1xE_pYQoMhWtKjzeDs1</t>
  </si>
  <si>
    <t>https://drive.google.com/file/d/1P25g1ugrx5AI0XAGS1kefOYkEpFxyhn9/view?usp=drivesdk</t>
  </si>
  <si>
    <t>จับผ้าเนื่องในโอกาศถวายความอาลัยสมเด็จพระพันปีหลวง</t>
  </si>
  <si>
    <t>https://lh5.googleusercontent.com/d/1Gj6MgHoZorXpaaZZf_XAtDAOKWeB5Df1</t>
  </si>
  <si>
    <t>https://drive.google.com/file/d/1Qd8weISwgwf2vXty5xq1RGEuwZ4VHMde/view?usp=drivesdk</t>
  </si>
  <si>
    <t xml:space="preserve">น.ส.จิรวรรณ พิมพ์แก้ว </t>
  </si>
  <si>
    <t>https://lh5.googleusercontent.com/d/1_o-3q3YP3X3TLMVv-r_uXyWB6hw0iBKW</t>
  </si>
  <si>
    <t>https://drive.google.com/file/d/1KCzz5WiddY9KKXVA3eIuRhY9sTvfb-l_/view?usp=drivesdk</t>
  </si>
  <si>
    <t>จัดและเก็บสถานที่ช่วยที่วัด</t>
  </si>
  <si>
    <t>https://lh5.googleusercontent.com/d/1xVxQ8lk3phtqjSrj7CuCQ4uU5dj8iCey</t>
  </si>
  <si>
    <t>https://drive.google.com/file/d/1rb4MWMj-Gzm2bAqYnAVfHWzFrfMTfAny/view?usp=drivesdk</t>
  </si>
  <si>
    <t>เตรียมช่วยงานที่จะทำโรงทานในหมู่บ้าน</t>
  </si>
  <si>
    <t>https://lh5.googleusercontent.com/d/1DhciN0wK1U4SI2CNAvsEIx6Cnl2OOX0R</t>
  </si>
  <si>
    <t>https://drive.google.com/file/d/1P4GVn0mLgYehZM0m-Xrl2yTP-2B3GXSp/view?usp=drivesdk</t>
  </si>
  <si>
    <t>https://lh5.googleusercontent.com/d/1CjfYm-4aO8i0PIjTRBoNy7v6SL7vbBo9</t>
  </si>
  <si>
    <t>https://drive.google.com/file/d/1NR98Q7FkpXK68z-Q5mYrNFFwxxpzVZdC/view?usp=drivesdk</t>
  </si>
  <si>
    <t>ร่วมงานกฐิน</t>
  </si>
  <si>
    <t>0600-0900</t>
  </si>
  <si>
    <t xml:space="preserve">น.ส.จารุภรณ์ พินิจนอก </t>
  </si>
  <si>
    <t>https://lh5.googleusercontent.com/d/1c2Xk_NkQfBVQno_a4trTeEqBBj_4Ad6Y</t>
  </si>
  <si>
    <t>https://drive.google.com/file/d/1uSSJIRSM8EfE1KoB8M2cmz7ZdHjcWd3w/view?usp=drivesdk</t>
  </si>
  <si>
    <t>งานกอล์ฟ</t>
  </si>
  <si>
    <t>https://lh5.googleusercontent.com/d/1JhN_r95P2YoMRdPvJoFrxu2GCamGHTnM</t>
  </si>
  <si>
    <t>https://drive.google.com/file/d/1ByHT40YJQofSNDVTIvWuC9eLfpbCifkb/view?usp=drivesdk</t>
  </si>
  <si>
    <t>https://lh5.googleusercontent.com/d/1UeE1_1r_w_3g5uwAfAsXKxNL4rTkfQMw</t>
  </si>
  <si>
    <t>https://drive.google.com/file/d/1_uXqUNGTmnmnabEBiU1cCcCZAbF08IxO/view?usp=drivesdk</t>
  </si>
  <si>
    <t>6803915</t>
  </si>
  <si>
    <t>นพอ.ปัญชลีย์ ชื่นสวัสดิ์</t>
  </si>
  <si>
    <t>Big cleaning day</t>
  </si>
  <si>
    <t>https://lh5.googleusercontent.com/d/1cclUr2wxhmjxqWvNCCNq27DaulDgALoB</t>
  </si>
  <si>
    <t>https://drive.google.com/file/d/1_G7EbPRFQq-CWBwJV7UZgKdRoWM8NTPO/view?usp=drivesdk</t>
  </si>
  <si>
    <t>https://lh5.googleusercontent.com/d/1AUuJs6P9WiRZTux_wlFRag8UrpQKrk4L</t>
  </si>
  <si>
    <t>https://drive.google.com/file/d/1dxJtaQOK3FHINLcQlBf7ZI6oyTPPnaGM/view?usp=drivesdk</t>
  </si>
  <si>
    <t>https://lh5.googleusercontent.com/d/1eAKLiJW0-U68kmVTY76sA043p5qbTdZg</t>
  </si>
  <si>
    <t>https://drive.google.com/file/d/1DnWFkVsj9pliuMRXFE1uLiLB671kVfVQ/view?usp=drivesdk</t>
  </si>
  <si>
    <t>คอนเสิร์ตทัพฟ้าคู่ไทยเพื่อ “ชัยพัฒนา”ครั้งที่ 16</t>
  </si>
  <si>
    <t>https://lh5.googleusercontent.com/d/1YXZQg4WV7-dlOkeUky6FwKk01ouVekQq</t>
  </si>
  <si>
    <t>https://drive.google.com/file/d/1t2fwb1tLWC7ONs4jRaiM4Bo_rR3RKfih/view?usp=drivesdk</t>
  </si>
  <si>
    <t>https://lh5.googleusercontent.com/d/1kDM1yRU6nwwwEre1N3MKvcs_1WKLu5Sj</t>
  </si>
  <si>
    <t>https://drive.google.com/file/d/1YoRLrrpYyWetopheQ1mhV5tsgDxS_1vh/view?usp=drivesdk</t>
  </si>
  <si>
    <t>สัมมนาการเรียนรู้นายกสโมสรโรทาแรคท์รับเลือก ภาค 3350 โรตารีสากล ปี 2568-69</t>
  </si>
  <si>
    <t>ณ โรงแรมภูเขางามรีสอร์ท จังหวัดนครนายก</t>
  </si>
  <si>
    <t>https://lh5.googleusercontent.com/d/1KrapvcgmThCp8UEbD00uKXcOUVtLevUl</t>
  </si>
  <si>
    <t>https://drive.google.com/file/d/1FEUXp_pr9idWXRNCw3NoLZE8rThfsGZk/view?usp=drivesdk</t>
  </si>
  <si>
    <t>โรงแรมภูเขางามรีสอร์ท จังหวัดนครนายก</t>
  </si>
  <si>
    <t>https://lh5.googleusercontent.com/d/1IYkAqyOwER98xK5xOhQi7EK6Hqg3XBTC</t>
  </si>
  <si>
    <t>https://drive.google.com/file/d/133HRvDNcDcTAljb-yQfgZjR__yn2028l/view?usp=drivesdk</t>
  </si>
  <si>
    <t>ค่ายเยาวชนพัฒนา</t>
  </si>
  <si>
    <t>โรงเรียนเทศบาล 1 (สถาวร) จ.ชลบุรี</t>
  </si>
  <si>
    <t>https://lh5.googleusercontent.com/d/13wbWam-tPOVUF7zxmoI1oIa6HVeMSWrg</t>
  </si>
  <si>
    <t>https://drive.google.com/file/d/15xq45KTDoIeGkN-VGWIdhMcqntPld9-w/view?usp=drivesdk</t>
  </si>
  <si>
    <t>https://lh5.googleusercontent.com/d/105fxaWzjSA8lnIuwBZhvDpVFMY9aBmFs</t>
  </si>
  <si>
    <t>https://drive.google.com/file/d/1F4JFqXJOxuR5juwCGGEQuiBcYbg9W97d/view?usp=drivesdk</t>
  </si>
  <si>
    <t>https://lh5.googleusercontent.com/d/1G30J6n0PYfdUk3lLxyzIRfiiUPUkSaQx</t>
  </si>
  <si>
    <t>https://drive.google.com/file/d/1nKm-reiVL-5P-PhGBXPCTgaCrbgYxFZs/view?usp=drivesdk</t>
  </si>
  <si>
    <t>ค่ายรัฐบุรุษ</t>
  </si>
  <si>
    <t>https://lh5.googleusercontent.com/d/1z6nmxlxKiUWoChJ3MILt1cCkpftpgncR</t>
  </si>
  <si>
    <t>https://drive.google.com/file/d/1t0lSWd0VfNfM_q0MKL1dDnerAmvI2LxP/view?usp=drivesdk</t>
  </si>
  <si>
    <t>https://lh5.googleusercontent.com/d/1B_c41Zf_idGzbZ6yY1-gzkH4jhsTCLRy</t>
  </si>
  <si>
    <t>https://drive.google.com/file/d/1jOTucBIQs6775MWv2n2Qn_I2Bdx9rV95/view?usp=drivesdk</t>
  </si>
  <si>
    <t>https://lh5.googleusercontent.com/d/13cwDmpJG7tyrHUevlBW-G5osT-cObTpV</t>
  </si>
  <si>
    <t>https://drive.google.com/file/d/1js7R-q4GEdyYa9b-h8UU0jydR2cDJb8x/view?usp=drivesdk</t>
  </si>
  <si>
    <t>ช่วยโรงทานงานกฐิน</t>
  </si>
  <si>
    <t>วัดป่าชินรังสี</t>
  </si>
  <si>
    <t>ร.อ.หญิง เบญญดา บุรีรัตน์</t>
  </si>
  <si>
    <t>https://lh5.googleusercontent.com/d/1nuoffVLe_tnXtGOM2Hbq_8L7ld1vOWQb</t>
  </si>
  <si>
    <t>https://drive.google.com/file/d/1rwfkGIpmBQTp2ltCJiNjbfTeUALlCnlc/view?usp=drivesdk</t>
  </si>
  <si>
    <t>https://lh5.googleusercontent.com/d/1F8v-6eCY_MmASSVjuGfLx3wfur3i3sdD</t>
  </si>
  <si>
    <t>https://drive.google.com/file/d/11q0REtS6WgCmbEMEmYbZzmNEX5s2tNy9/view?usp=drivesdk</t>
  </si>
  <si>
    <t>6703873</t>
  </si>
  <si>
    <t>นพอ.ศุภางค์พักตร์  อักษรนิติ</t>
  </si>
  <si>
    <t>https://lh5.googleusercontent.com/d/1iyM5dVfXDP-VlvG_A_h_a9vqYqQTE5HP</t>
  </si>
  <si>
    <t>https://drive.google.com/file/d/1iodbGwIy9AK07tQ-9NVyND9fqDVDlCAO/view?usp=drivesdk</t>
  </si>
  <si>
    <t>https://lh5.googleusercontent.com/d/1rk1oCuMb900clzvgOCMH_jnryt2uJfsB</t>
  </si>
  <si>
    <t>https://drive.google.com/file/d/1BL4zG-Jr52ab5K1bZTRZg05KhJMK5LjP/view?usp=drivesdk</t>
  </si>
  <si>
    <t>6703865</t>
  </si>
  <si>
    <t>นพอ.โรจน์ศักดิ์ ทินนา</t>
  </si>
  <si>
    <t xml:space="preserve">ซ้อมร้องประสานเสียงงานคอนเสิร์ตทัพฟ้า) </t>
  </si>
  <si>
    <t>(ศูนย์วัฒนธรรมแห่งประเทศไทย</t>
  </si>
  <si>
    <t>https://lh5.googleusercontent.com/d/1_qPRMGXS42vMaT1XNCvolXQx-ab-SuQ6</t>
  </si>
  <si>
    <t>https://drive.google.com/file/d/10WM4_ZHYg0IEfG1dZlMaPs1I9em_s3Yt/view?usp=drivesdk</t>
  </si>
  <si>
    <t>https://lh5.googleusercontent.com/d/1sTJyq8jlFoa3WVchf0-i23nrbmtfkebD</t>
  </si>
  <si>
    <t>https://drive.google.com/file/d/1cHxggPMJvpcOQsuooFukb_bDRJ_12QF2/view?usp=drivesdk</t>
  </si>
  <si>
    <t>https://lh5.googleusercontent.com/d/11yFMfVxq3xzqaMrpm7H6meXVhs0IEf8M</t>
  </si>
  <si>
    <t>https://drive.google.com/file/d/1kehHfbRZ9drFhGUozjGsBgTwEC3jCjdB/view?usp=drivesdk</t>
  </si>
  <si>
    <t xml:space="preserve">เดินรณรงค์“วันโลกรำลึกถึงผู้สูญเสียจากอุบัติเหตุทางถนน”กับพลังโรทาแรค์ </t>
  </si>
  <si>
    <t>เ ริ่มเดินขบวนจากศาลาว่าการกรุงเทพมหานครไปยังตึกสหประชาชาติ</t>
  </si>
  <si>
    <t xml:space="preserve"> น.ต.หญิง ขวัญชนก พ่วงนาคพันธุ์</t>
  </si>
  <si>
    <t>https://lh5.googleusercontent.com/d/1BLW5SppzC1OHLK_micsS5K_ly25Fxwn9</t>
  </si>
  <si>
    <t>https://drive.google.com/file/d/1V2VmwTbgXV1LC2GWnAiwFwf13Ab3xItN/view?usp=drivesdk</t>
  </si>
  <si>
    <t>https://lh5.googleusercontent.com/d/1tAdg8JKpT9hvhw8mQwFeW4CXIqXaK6U9</t>
  </si>
  <si>
    <t>https://drive.google.com/file/d/17H10FlUHZW2Eo_wgU7CPIfnV83F9iZZr/view?usp=drivesdk</t>
  </si>
  <si>
    <t>ห้องเรียน นพอ. ชั้นปีที่ 1</t>
  </si>
  <si>
    <t>https://lh5.googleusercontent.com/d/1c54NsqRCxl1rD7HF42lIkEKcw3JsrJS5</t>
  </si>
  <si>
    <t>https://drive.google.com/file/d/1Zhg9OtdFXVWHgYYshDRFX4JqB1BxpPq_/view?usp=drivesdk</t>
  </si>
  <si>
    <t>https://lh5.googleusercontent.com/d/1dcUsvqJM5Xd937PUpyQVl9eQPhD3YzpL</t>
  </si>
  <si>
    <t>https://drive.google.com/file/d/14uVjX44m-58mNT_P-Qw3tdfFYc28c8kU/view?usp=drivesdk</t>
  </si>
  <si>
    <t>สำนักงาน SCG</t>
  </si>
  <si>
    <t xml:space="preserve"> น.ท.หญิง ฤทัยวรรณ นวมพันธ์</t>
  </si>
  <si>
    <t>https://lh5.googleusercontent.com/d/1cwQrWZZblfZVKdV_65y02-rijOScGxTZ</t>
  </si>
  <si>
    <t>https://drive.google.com/file/d/1EA2YeV5lG3E4TKrNtzw6eQcjESVfd8U-/view?usp=drivesdk</t>
  </si>
  <si>
    <t>https://lh5.googleusercontent.com/d/1dkIfatv-6c4poNvpHvYuW8DgUUEg7g9t</t>
  </si>
  <si>
    <t>https://drive.google.com/file/d/1JZzbmZlqktdcqzf08Rydlsi22AinLgIk/view?usp=drivesdk</t>
  </si>
  <si>
    <t>https://lh5.googleusercontent.com/d/13CUXqtCaXsoYpj49qBAzcSRRp4USzkpv</t>
  </si>
  <si>
    <t>https://drive.google.com/file/d/1-sQ3jU2wsoYZMLnBtMkFaKGPSltieDww/view?usp=drivesdk</t>
  </si>
  <si>
    <t>https://lh5.googleusercontent.com/d/1VjxVYVTCKktUokA0ZUUNMTOuNjcGLRSj</t>
  </si>
  <si>
    <t>https://drive.google.com/file/d/14Y9PsRFIwABZjMoPLZT1T9D5U1zLr8ZA/view?usp=drivesdk</t>
  </si>
  <si>
    <t>https://lh5.googleusercontent.com/d/1h1Pb259TGflU3K_rP_SaKitiVfjDDkpv</t>
  </si>
  <si>
    <t>https://drive.google.com/file/d/1SdTSB4tT63Ej3q9_xX7DDRqGvXCV69qN/view?usp=drivesdk</t>
  </si>
  <si>
    <t>https://lh5.googleusercontent.com/d/1n4dy3m2tx3awvyMrUqs8OLo4IdS0J1Hx</t>
  </si>
  <si>
    <t>https://drive.google.com/file/d/1cPyUrlD1AgH2BvO81zj_sCbsGSl4rjA1/view?usp=drivesdk</t>
  </si>
  <si>
    <t>https://lh5.googleusercontent.com/d/1XbaKV4m7J-QEihfB_McTAG1EY84WXXuk</t>
  </si>
  <si>
    <t>https://drive.google.com/file/d/1aptNze9Peb5l2qpi8TPYkXxkOo_o9YuZ/view?usp=drivesdk</t>
  </si>
  <si>
    <t>https://lh5.googleusercontent.com/d/1B5WikWhqgDjcQijkrKzIcNDhuKBrTPHG</t>
  </si>
  <si>
    <t>https://drive.google.com/file/d/1OkxWg8z_vOIkSU_0Vb6o9vDE5A_VzHwQ/view?usp=drivesdk</t>
  </si>
  <si>
    <t>กมลฉัตร ชาสุรีย์</t>
  </si>
  <si>
    <t>จัดห้องพักผ่อน นพอ.</t>
  </si>
  <si>
    <t>อาคารเรียน วพอ.พอ.</t>
  </si>
  <si>
    <t>น.ท.หญิง ผศ.ชญาพัฒน์ ทองปากน้ำ</t>
  </si>
  <si>
    <t>https://lh5.googleusercontent.com/d/1-aQPspsuroCdeBuvK3iuOa88P4-OSXw5</t>
  </si>
  <si>
    <t>https://drive.google.com/file/d/17jQc_RmB4JozWkccN7v2hsbWYoi1qT_f/view?usp=drivesdk</t>
  </si>
  <si>
    <t>https://lh5.googleusercontent.com/d/1-knlJLajNZIoWbjgvHCoorPRF0eMvHpX</t>
  </si>
  <si>
    <t>https://drive.google.com/file/d/19Z57S7Vqc_EhcrQ5N3NeZM4QhlMwmhVm/view?usp=drivesdk</t>
  </si>
  <si>
    <t>งานกอล์ฟปิยมหาราช</t>
  </si>
  <si>
    <t>สน่มกอล์ฟธูปะเตมีย์</t>
  </si>
  <si>
    <t>2100</t>
  </si>
  <si>
    <t>https://lh5.googleusercontent.com/d/1PKmz7d84aP1CYyNkLtqIszkiasrVLqsq</t>
  </si>
  <si>
    <t>https://drive.google.com/file/d/11WiFkXxpuqa0-t4hj5zJdCBUEXOsV35s/view?usp=drivesdk</t>
  </si>
  <si>
    <t>6903882</t>
  </si>
  <si>
    <t>https://lh5.googleusercontent.com/d/1XXYfmPGBn8pS6H_CH7HmJXzYPbenP5gQ</t>
  </si>
  <si>
    <t>https://drive.google.com/file/d/15TxyC_priZTXipla3mJDTH-Mc3H_FzCn/view?usp=drivesdk</t>
  </si>
  <si>
    <t>6803892</t>
  </si>
  <si>
    <t>นพอ.ชนัญธิดา สินปรุ</t>
  </si>
  <si>
    <t>เข้าร่วมฟังบรรยาย การให้สุขศึกษาสำหรับหญิงตั้งครรภ์ โดยพี่นทน.</t>
  </si>
  <si>
    <t>0800 - 1100</t>
  </si>
  <si>
    <t>น.อ.หญิง นิตยา สุขแสน</t>
  </si>
  <si>
    <t>https://lh5.googleusercontent.com/d/1gElkf6VaIc7upvBCiqIZaMhwkid6U87A</t>
  </si>
  <si>
    <t>https://drive.google.com/file/d/1o5-sI5WumIGtNAl39IlDxwjC_X9grP8o/view?usp=drivesdk</t>
  </si>
  <si>
    <t>3896</t>
  </si>
  <si>
    <t>https://lh5.googleusercontent.com/d/1WvSwH4p-56DI9d8dBqgmK6CUuYqWGhLg</t>
  </si>
  <si>
    <t>https://drive.google.com/file/d/1vW8zbkFBu26XN2dT0pFro-p9CYAcjmAz/view?usp=drivesdk</t>
  </si>
  <si>
    <t>https://lh5.googleusercontent.com/d/1meXnBMVu-UXbo-wvcMAG_PgtGaXEgxe2</t>
  </si>
  <si>
    <t>https://drive.google.com/file/d/1fr0_-2Z7YWo_K9dUuB8Fq9Bl4y433gup/view?usp=drivesdk</t>
  </si>
  <si>
    <t>https://lh5.googleusercontent.com/d/1NmrOBEgP7Gyw2QVUdsj3AsKNqDa5_0V5</t>
  </si>
  <si>
    <t>https://drive.google.com/file/d/1Zorqs7BeF2c_7IYSVBs32zdy2J9jfuEy/view?usp=drivesdk</t>
  </si>
  <si>
    <t>เข้าร่วมฟังบรรยายการให้สุขศึกษาสำหรับหญิงตั้งครรภ์โดยพี่นทน.</t>
  </si>
  <si>
    <t>https://lh5.googleusercontent.com/d/18rS8MUzINucKbSZva6jK9B30cxMrcDAB</t>
  </si>
  <si>
    <t>https://drive.google.com/file/d/1zQFXvIVNZcBIlpQFUmHUVXbEOeaWjdu4/view?usp=drivesdk</t>
  </si>
  <si>
    <t>https://lh5.googleusercontent.com/d/166GBne7DlNDDDiFRZ1mJTnHdnlHi2mDY</t>
  </si>
  <si>
    <t>https://drive.google.com/file/d/1zjm5d2OV_es2xnnB0AKMKJweKo6rqZyf/view?usp=drivesdk</t>
  </si>
  <si>
    <t>https://lh5.googleusercontent.com/d/1UuIdmmEwOTyIhn47_WaLAYB3wyDdPMvX</t>
  </si>
  <si>
    <t>https://drive.google.com/file/d/1LqcFmig_neL42ZXUv-RT6i8tshp54ffj/view?usp=drivesdk</t>
  </si>
  <si>
    <t>https://lh5.googleusercontent.com/d/1KL6mH7P2Ctbpx98m3SbguptiV8yfI4cI</t>
  </si>
  <si>
    <t>https://drive.google.com/file/d/1eq4Q1xVaQRX8D7YY-U3NDqUxNVQwkS04/view?usp=drivesdk</t>
  </si>
  <si>
    <t>ท้องสนามหลวง</t>
  </si>
  <si>
    <t>นาวาอากาศตรีหญิง ขวัญชนก พ่วงนาคพันธุ์</t>
  </si>
  <si>
    <t>https://lh5.googleusercontent.com/d/1xbDsj7l5efhovuyf_ydddyxztF7k5SoW</t>
  </si>
  <si>
    <t>https://drive.google.com/file/d/1PuaarfanOrscNvUMWlCui4GHWyhz3A5g/view?usp=drivesdk</t>
  </si>
  <si>
    <t>https://lh5.googleusercontent.com/d/1q985nzQ95dQNw1qikEofsf0fexpVdkmB</t>
  </si>
  <si>
    <t>https://drive.google.com/file/d/10iS5r6RJ4cIl-brMj-Z-fvLiRSwF6g_b/view?usp=drivesdk</t>
  </si>
  <si>
    <t>คอนเสิร์ตทัพฟ้าคู่ไทยเพื่อชัยพัฒนา ครั้งที่16</t>
  </si>
  <si>
    <t>https://lh5.googleusercontent.com/d/12OF16gQsleZr6qGrxjMeCllyH7TtjBE3</t>
  </si>
  <si>
    <t>https://drive.google.com/file/d/1ksYNKQX-6fMadX6jsIlbKu_g2-FJpACP/view?usp=drivesdk</t>
  </si>
  <si>
    <t>6803904</t>
  </si>
  <si>
    <t>นพอ.ธนธัส แซ่ว่อง</t>
  </si>
  <si>
    <t>น.ท. หญิง ขวัญชนก พ่วงนาคพันธุ์</t>
  </si>
  <si>
    <t>https://lh5.googleusercontent.com/d/1H9kzMPW6GKmr3r81qILL4rjFlyFjuX_S</t>
  </si>
  <si>
    <t>https://drive.google.com/file/d/1OzcvIPEp2tFo_YDMCDq1-WY--v79xytW/view?usp=drivesdk</t>
  </si>
  <si>
    <t>วัดท่อใหญ่(ใหญ่พรหมประทาน)</t>
  </si>
  <si>
    <t>พระครูวิมลธรรมาภิรักษ์</t>
  </si>
  <si>
    <t>https://lh5.googleusercontent.com/d/1d9nt51RTjNzIyoA8xsmzUTE2ZxfKuPX8</t>
  </si>
  <si>
    <t>https://drive.google.com/file/d/1xLYTGW9TSBK3sAwOUBt0VCc0_MSl8qjo/view?usp=drivesdk</t>
  </si>
  <si>
    <t>สรัญญา ขุนสังวาลย์</t>
  </si>
  <si>
    <t>โครงการ วัดประชารัฐสร้างสุข</t>
  </si>
  <si>
    <t>บ้านหัวสวน ตำบลบางไผ่</t>
  </si>
  <si>
    <t>https://lh5.googleusercontent.com/d/1KMt9RBbbYmqrDKG1k20wjEjUn0Ogf8qi</t>
  </si>
  <si>
    <t>https://drive.google.com/file/d/161pDZkEOIS7H48J4Vwjq9mx0xAilEfGP/view?usp=drivesdk</t>
  </si>
  <si>
    <t>วัดราษฎร์มณีฤทธิ์</t>
  </si>
  <si>
    <t>https://lh5.googleusercontent.com/d/1ulmKMKa3AqEmPkyfwHbGIOkrYUpWOD0u</t>
  </si>
  <si>
    <t>https://drive.google.com/file/d/1SAtnCioVPJ7PSzqKScVrHbog3QghYODM/view?usp=drivesdk</t>
  </si>
  <si>
    <t>ทำบุญตักบาตร</t>
  </si>
  <si>
    <t>วัดทด</t>
  </si>
  <si>
    <t>https://lh5.googleusercontent.com/d/1qE1P_hL2WSak-UCLqC_gYMW55WTDsD4E</t>
  </si>
  <si>
    <t>https://drive.google.com/file/d/1q_ZhR4C_u9jscDrAPDkPg6PRxUlGVYws/view?usp=drivesdk</t>
  </si>
  <si>
    <t>6703856</t>
  </si>
  <si>
    <t>นพอ.พรรณรายณ์ เย็นประเสริฐ</t>
  </si>
  <si>
    <t>https://lh5.googleusercontent.com/d/180cjJiGiEgZciZxPkLm7VmunEwa9s4FJ</t>
  </si>
  <si>
    <t>https://drive.google.com/file/d/1ZqMdyxu3QnklSetkUtObJNl5LaEIRqCG/view?usp=drivesdk</t>
  </si>
  <si>
    <t>https://lh5.googleusercontent.com/d/1HnCSvYrhoT1aN5Ld1wPNQpaWPhM1cK8K</t>
  </si>
  <si>
    <t>https://drive.google.com/file/d/1Hk40fqvL5WXw6zZqbSXxxvjUJEhsfpoy/view?usp=drivesdk</t>
  </si>
  <si>
    <t>https://lh5.googleusercontent.com/d/126oF0FPneDGVxAcKhhyBbBLK6F4-Je_H</t>
  </si>
  <si>
    <t>https://drive.google.com/file/d/1RM3uiqKXrjTFQdsshBGqSsl5mZ8xYUqk/view?usp=drivesdk</t>
  </si>
  <si>
    <t>https://lh5.googleusercontent.com/d/1otYwflUuIKEijXIjpOB4Ssd7s4a5iEKG</t>
  </si>
  <si>
    <t>https://drive.google.com/file/d/1jUDH_CiRs7FNj-XponcPYVvEHauca0Sz/view?usp=drivesdk</t>
  </si>
  <si>
    <t>https://lh5.googleusercontent.com/d/1NVwfWfgemDHF5X03amoI00vGGY2A7vhU</t>
  </si>
  <si>
    <t>https://drive.google.com/file/d/1yrGLhj8aY54xukpxDZCseiZQOOLVK3Kh/view?usp=drivesdk</t>
  </si>
  <si>
    <t>https://lh5.googleusercontent.com/d/1KeC5qK1HtyZmBV5qgF3TEPNdgKpCsHXV</t>
  </si>
  <si>
    <t>https://drive.google.com/file/d/1TmiBLFG9nCl8I4R_rB-TDqfVi_gDh2D8/view?usp=drivesdk</t>
  </si>
  <si>
    <t>กำจัดวัชพืช</t>
  </si>
  <si>
    <t>ต.ศรีมงคล อ.ไทรโยค จ.กาญจนบุรี</t>
  </si>
  <si>
    <t>นางสำเภา คงเจริญ</t>
  </si>
  <si>
    <t>https://lh5.googleusercontent.com/d/1T26m2KG7s6lIHtzBtHzC-fdqxN1nrh_9</t>
  </si>
  <si>
    <t>https://drive.google.com/file/d/12vmRCL-ejpvJrj6DZUj8CJE7Hf57tYEB/view?usp=drivesdk</t>
  </si>
  <si>
    <t xml:space="preserve">24 </t>
  </si>
  <si>
    <t>โรงทานอาหาร</t>
  </si>
  <si>
    <t>วัดศรีมงคล</t>
  </si>
  <si>
    <t>0630-0830</t>
  </si>
  <si>
    <t>https://lh5.googleusercontent.com/d/1_d0i9zEvlBJhyRRK-OIZAssxaEmXzgZZ</t>
  </si>
  <si>
    <t>https://drive.google.com/file/d/1IwM17HMRXY9ANt5-jrhlxpaiNwTATm62/view?usp=drivesdk</t>
  </si>
  <si>
    <t>ขนดินเข้าอุโบสถ</t>
  </si>
  <si>
    <t>https://lh5.googleusercontent.com/d/1yWDdfjXaGBwAt-zQywN5UR1vUUm4VuUS</t>
  </si>
  <si>
    <t>https://drive.google.com/file/d/1F6SpL4MAtcaVkJBuZFrx0Xxi8s9g_dtl/view?usp=drivesdk</t>
  </si>
  <si>
    <t>ร.ต. หญิง สุริยะกาล มงคลมะไฟ</t>
  </si>
  <si>
    <t>https://lh5.googleusercontent.com/d/16Kh6gNWZ6Pr5wYPl8WYdryXnI9ONOsxg</t>
  </si>
  <si>
    <t>https://drive.google.com/file/d/1uLqCNqk2URQYfYtDx6sYjBaSCXiKFTpN/view?usp=drivesdk</t>
  </si>
  <si>
    <t>6803914</t>
  </si>
  <si>
    <t>นพอ.ปราณปริยา ธูปทอง</t>
  </si>
  <si>
    <t>https://lh5.googleusercontent.com/d/1r87A29Xx2gyfcZsoH7vNU-0eFlxVIQoy</t>
  </si>
  <si>
    <t>https://drive.google.com/file/d/1CO6p47ZvAdEcTv4oPpUshJzPrGEX5JyK/view?usp=drivesdk</t>
  </si>
  <si>
    <t>https://lh5.googleusercontent.com/d/1ubshY2jo-qcFR9LkLJrq4JnbdSbh0McA</t>
  </si>
  <si>
    <t>https://drive.google.com/file/d/1VYHI6H39hbqYJVkozLKEeZMdmzl9j8Rh/view?usp=drivesdk</t>
  </si>
  <si>
    <t>https://lh5.googleusercontent.com/d/1UKKUIAsQ312Ix9BzPNccTuIGeL5vm30j</t>
  </si>
  <si>
    <t>https://drive.google.com/file/d/15RkrbtT-9yMBIP0BJHY_XJ_6Gjv-UsaI/view?usp=drivesdk</t>
  </si>
  <si>
    <t>https://lh5.googleusercontent.com/d/11PuaLb-WaCjAXvw3FI0SBu798JrXs273</t>
  </si>
  <si>
    <t>https://drive.google.com/file/d/1dJs1eCnqJAqYjj0oz0u-CnbVAfyC_gS-/view?usp=drivesdk</t>
  </si>
  <si>
    <t>https://lh5.googleusercontent.com/d/1t6PqPiVIi-jcg7yWzsDkj8z_5DoG-osd</t>
  </si>
  <si>
    <t>https://drive.google.com/file/d/1z14Oh54hTRvw14GsGRbl63wJbT64rIkn/view?usp=drivesdk</t>
  </si>
  <si>
    <t>ห้องเรียน นพอ.ปี 1</t>
  </si>
  <si>
    <t>https://lh5.googleusercontent.com/d/18Eoj4Cnh6J9J88nuU0GXap0lDXPqQj_J</t>
  </si>
  <si>
    <t>https://drive.google.com/file/d/1s3_T5uiRRdJMt_nfGkhOCkYZyR3W6_Pi/view?usp=drivesdk</t>
  </si>
  <si>
    <t>https://lh5.googleusercontent.com/d/1L4pro0GVPZEHaAJxqwvRQCt0miFBxLF-</t>
  </si>
  <si>
    <t>https://drive.google.com/file/d/1GBsqcZpX6omxK8A0BLYpkq6RcicoSPM9/view?usp=drivesdk</t>
  </si>
  <si>
    <t>https://lh5.googleusercontent.com/d/1MDfJs7FtdLQq_9S0eW1wCDyV6EcZvwrB</t>
  </si>
  <si>
    <t>https://drive.google.com/file/d/1FxgCatXHtFgggK5m84MAUyqt8cHTCsnR/view?usp=drivesdk</t>
  </si>
  <si>
    <t>https://lh5.googleusercontent.com/d/1Nr09ceHsxha7TTjiEEow0dUOnc9w5qgV</t>
  </si>
  <si>
    <t>https://drive.google.com/file/d/1wu3rgE-hDYVqvPCttXcrOWJ0SYY8ugcj/view?usp=drivesdk</t>
  </si>
  <si>
    <t>https://lh5.googleusercontent.com/d/1fjLBKRM1aV9WuWubkIhg-hxVEh6VfQBO</t>
  </si>
  <si>
    <t>https://drive.google.com/file/d/1XCbSkbAGzxD1TMR90bldct7GGw5d71yv/view?usp=drivesdk</t>
  </si>
  <si>
    <t>จิตอาสาในกิจกรรมปฐมนิเทศ นพอ.ชั้นปีที่ 1</t>
  </si>
  <si>
    <t>https://lh5.googleusercontent.com/d/1AuiaID24-eJMQH2RwwMyzvtJGU3XCkfh</t>
  </si>
  <si>
    <t>https://drive.google.com/file/d/1a0eq--whaz-4lHmCNYk8wOfQkOo8mmHG/view?usp=drivesdk</t>
  </si>
  <si>
    <t>กวาดลานวัด ล้างห้องน้ำ</t>
  </si>
  <si>
    <t>วัดไตรรัตนาราม</t>
  </si>
  <si>
    <t>1100-1300</t>
  </si>
  <si>
    <t>พระครู ใบฏีกา บุญสม ปุญญะสโม (ผู้ช่วยเจ้าอาวาส)</t>
  </si>
  <si>
    <t>https://lh5.googleusercontent.com/d/1lzbzLAb6ICuze2p1u-534gvOPEh5VMs_</t>
  </si>
  <si>
    <t>https://drive.google.com/file/d/102FBxcm397Kvapa1_RDTcBzzh0zGJg4K/view?usp=drivesdk</t>
  </si>
  <si>
    <t>6503706</t>
  </si>
  <si>
    <t>นพอ.ณัฐชยา วิถี</t>
  </si>
  <si>
    <t xml:space="preserve">น.ต.หญิงตวงทิพย์ ลดาวัลย์ </t>
  </si>
  <si>
    <t>https://lh5.googleusercontent.com/d/1vqptNwPGRuWjStn14GD_9cxOk4pvZ1E9</t>
  </si>
  <si>
    <t>https://drive.google.com/file/d/16tedm1L0XpCvWW4PUt6HXaBEfHdRdtM7/view?usp=drivesdk</t>
  </si>
  <si>
    <t>กิจกรรมวันรักต้นไม้แห่งชาติ</t>
  </si>
  <si>
    <t xml:space="preserve">นายเวคิน เจียโหงว (ผอ.รพ.สต.) </t>
  </si>
  <si>
    <t>https://lh5.googleusercontent.com/d/1tdNCplRrOVcYZZktRvFoCYtIT7YAMQSa</t>
  </si>
  <si>
    <t>https://drive.google.com/file/d/1DApFsWb1KurrPXSOIvRPAM0tbnIxzKRm/view?usp=drivesdk</t>
  </si>
  <si>
    <t>รอ</t>
  </si>
  <si>
    <t>3706</t>
  </si>
  <si>
    <t>https://lh5.googleusercontent.com/d/1Pq1NSCjr4i9mrXaN41WGjIY4zU1fids8</t>
  </si>
  <si>
    <t>https://drive.google.com/file/d/1y1hsMvL9CtiyAe448fyof-rj7uSNRo5u/view?usp=drivesdk</t>
  </si>
  <si>
    <t xml:space="preserve">นางธัญญพัทธ์ นพพรธนพัฒน์ </t>
  </si>
  <si>
    <t>https://lh5.googleusercontent.com/d/1ihHphSguyW08Ay8V-mWlMzNoy2s31_ZI</t>
  </si>
  <si>
    <t>https://drive.google.com/file/d/1G4SZmNhj-G0Ec6uBJBLdE1NTahOlmUiX/view?usp=drivesdk</t>
  </si>
  <si>
    <t>งานกาชาด</t>
  </si>
  <si>
    <t>สวนลุมพินี</t>
  </si>
  <si>
    <t>1300-2100</t>
  </si>
  <si>
    <t>https://lh5.googleusercontent.com/d/1uYhNAwjNOiiqCacexd02T7U0A2SvvHrc</t>
  </si>
  <si>
    <t>https://drive.google.com/file/d/1j-w5sx7ZL2e-w2sdlWK_lZ5Qd6YK3k0H/view?usp=drivesdk</t>
  </si>
  <si>
    <t>เข้าร่วมงานกาชาด</t>
  </si>
  <si>
    <t>https://lh5.googleusercontent.com/d/1VuS5wxGUvlp1bACdiJTOZFS5n3eLxroR</t>
  </si>
  <si>
    <t>https://drive.google.com/file/d/1kPi6WQoxXHa2u5Qk2WOfkumrAoale-5Y/view?usp=drivesdk</t>
  </si>
  <si>
    <t>เข้าร่วมการฝึกการรักษาทารกเเรกเกิดที่มีภาวะตัวเหลืองด้วยเครื่องส่องไฟ</t>
  </si>
  <si>
    <t>https://lh5.googleusercontent.com/d/1aNd6nOGPqq6gzqJEMNDe8CQ147wtWSW3</t>
  </si>
  <si>
    <t>https://drive.google.com/file/d/1yTvgb5yqu8CTZXd332OQj71_kq7JjV3b/view?usp=drivesdk</t>
  </si>
  <si>
    <t>งานกาชาด ประจำปี2568</t>
  </si>
  <si>
    <t>https://lh5.googleusercontent.com/d/1bxQeFWS69ad7t_eaq2Hm_XKG0LcF6I_P</t>
  </si>
  <si>
    <t>https://drive.google.com/file/d/1zbXe_wg8X66s6MZEHEMuPfVBUpRKJ1Jh/view?usp=drivesdk</t>
  </si>
  <si>
    <t>6503712</t>
  </si>
  <si>
    <t>นพอ.ดาราพรรณ บุญแลบ</t>
  </si>
  <si>
    <t>https://lh5.googleusercontent.com/d/1u8cDK73oir7e3c8qwfr5DluDE1_4bceU</t>
  </si>
  <si>
    <t>https://drive.google.com/file/d/1D9HN2bOIxTC8vrgZRC6hBIfRuN-3xZqW/view?usp=drivesdk</t>
  </si>
  <si>
    <t>6603759</t>
  </si>
  <si>
    <t>นพอ.เกรียงเดช รักถิ่นเดิม</t>
  </si>
  <si>
    <t>ทกท.หมู่ 1 มว.2</t>
  </si>
  <si>
    <t>https://lh5.googleusercontent.com/d/1BQzznD_v8NEGGeCovSgm3G-1KLLOgW79</t>
  </si>
  <si>
    <t>https://drive.google.com/file/d/1_jNFhkomYcX9Uxm_fxnSsFlxkPvHDLyQ/view?usp=drivesdk</t>
  </si>
  <si>
    <t>6603808</t>
  </si>
  <si>
    <t>นพอ.สุชานันท์ ดิสระมุณี</t>
  </si>
  <si>
    <t>ทำการแทน นปค.</t>
  </si>
  <si>
    <t>https://lh5.googleusercontent.com/d/1JlT4SEXcKT1m8vNDtGNw-peVlBrCIdi8</t>
  </si>
  <si>
    <t>https://drive.google.com/file/d/1lTbQomm9RfEWA-Dh45RDtf-QpNh982Z9/view?usp=drivesdk</t>
  </si>
  <si>
    <t>6603778</t>
  </si>
  <si>
    <t>นพอ.นันท์นภัส เคนสุวรรณ</t>
  </si>
  <si>
    <t>https://lh5.googleusercontent.com/d/1M7rFszqHoPl4YjUWQFe9X5WcL6x_PM85</t>
  </si>
  <si>
    <t>https://drive.google.com/file/d/1aYQLlzP4LtTWt1HkteiqbJbNfmTqIpAO/view?usp=drivesdk</t>
  </si>
  <si>
    <t>ทกท. หมู่ 1 มว.2</t>
  </si>
  <si>
    <t>https://lh5.googleusercontent.com/d/1lXxquYT0ePEykgZbaUFf7E5X0OZWYOWj</t>
  </si>
  <si>
    <t>https://drive.google.com/file/d/1rsJNz92734-Bevl_dbb3q0OjFSJduYwB/view?usp=drivesdk</t>
  </si>
  <si>
    <t>ร.อ.อนุชิต ทำจะ</t>
  </si>
  <si>
    <t>https://lh5.googleusercontent.com/d/1BuLrNxg7KnhuBKWRVafGgNSuGsoMmyfH</t>
  </si>
  <si>
    <t>https://drive.google.com/file/d/1Hy9CsnjiJrUbQktX63BEZHSwqUHSDF88/view?usp=drivesdk</t>
  </si>
  <si>
    <t>https://lh5.googleusercontent.com/d/1O700DKnRynn771ok6ngdWiBSMcNmvuaY</t>
  </si>
  <si>
    <t>https://drive.google.com/file/d/1sKQllCXhgj8USV_EbJx1hxHnThJmm9sy/view?usp=drivesdk</t>
  </si>
  <si>
    <t>https://lh5.googleusercontent.com/d/154jIshrPqLJwmxqMdDYUJSazKrWa38Eq</t>
  </si>
  <si>
    <t>https://drive.google.com/file/d/1rVfUWgJA1UT-d5nPkR3nEPVRkD2kMWvA/view?usp=drivesdk</t>
  </si>
  <si>
    <t>https://lh5.googleusercontent.com/d/1L_Ru1YKUV9rFEbwRDi4gL7hdiwDiCpFZ</t>
  </si>
  <si>
    <t>https://drive.google.com/file/d/1RCNSgETFDuXtRv1R8w_Dm2TXGtFxkoSC/view?usp=drivesdk</t>
  </si>
  <si>
    <t>https://lh5.googleusercontent.com/d/1RGIuSWJ-UyyFZDLdPIPmowJMhrg9cF42</t>
  </si>
  <si>
    <t>https://drive.google.com/file/d/1Ysrvt1OXv9i9g5Ta9R2Mzy7GmiGJbivx/view?usp=drivesdk</t>
  </si>
  <si>
    <t>6603793</t>
  </si>
  <si>
    <t>นพอ.พิชญาภัค สุวรรณสาม</t>
  </si>
  <si>
    <t>รับน้อง 68</t>
  </si>
  <si>
    <t>1100-1600</t>
  </si>
  <si>
    <t>https://lh5.googleusercontent.com/d/1-plDusthcljjYK3kNCpx4UBOQ52ePQ_D</t>
  </si>
  <si>
    <t>https://drive.google.com/file/d/1t9Y6g2GXsGdyeoSqcJwTKadsWJ1jO6A7/view?usp=drivesdk</t>
  </si>
  <si>
    <t>https://lh5.googleusercontent.com/d/1n2xc3vDf-BArtpH5W8oX6RDS_ebqRtbT</t>
  </si>
  <si>
    <t>https://drive.google.com/file/d/1tjCLsWSw57JK53ukUlx0zjHZQe3Ta4NN/view?usp=drivesdk</t>
  </si>
  <si>
    <t>ทำการแทนนักเรียนปกครอง</t>
  </si>
  <si>
    <t>https://lh5.googleusercontent.com/d/17qXDR4JTd72mKP93PgK-c1eSMmnNRU9d</t>
  </si>
  <si>
    <t>https://drive.google.com/file/d/1tF27o8HXvXxTkpqf3JdT5a_hfkBu6QTC/view?usp=drivesdk</t>
  </si>
  <si>
    <t>https://lh5.googleusercontent.com/d/1lVxEnId39eSymjpLQ89S-EjGsXOZy6uh</t>
  </si>
  <si>
    <t>https://drive.google.com/file/d/1WBK4eSksBQ_gGRyTjhzEi10rNLBc_PvA/view?usp=drivesdk</t>
  </si>
  <si>
    <t>https://lh5.googleusercontent.com/d/1DTYB6RHYnliNaNcTdGMI7IMf6vsD-1s5</t>
  </si>
  <si>
    <t>https://drive.google.com/file/d/1pkgp2tyjHTtgZZtrlKnLAF71AU_3Ciq_/view?usp=drivesdk</t>
  </si>
  <si>
    <t>https://lh5.googleusercontent.com/d/1sW32eyTQjvyoQY_oN5D_PABkwFJ6lgmJ</t>
  </si>
  <si>
    <t>https://drive.google.com/file/d/1PjKU3UQ7ilm4EOrxAYwJ6LDRfd-0-dSO/view?usp=drivesdk</t>
  </si>
  <si>
    <t>ร.ท.เรวัต วัชรสิทธิ์</t>
  </si>
  <si>
    <t>https://lh5.googleusercontent.com/d/11OprIm5Eh-oalT44QtwZMO4tgxjJS0Ic</t>
  </si>
  <si>
    <t>https://drive.google.com/file/d/1mMxnLxMDMCE9qeOJhM-6tw1ZPNZlMuP6/view?usp=drivesdk</t>
  </si>
  <si>
    <t>พัฒนาหมู่บ้าน เนื่องในวันพ่อแห่งชาติ</t>
  </si>
  <si>
    <t>บ้านกระโพธิ์ ม.17 ต.แตล อ.ศีขรภูมิ จ.สุรินทร์</t>
  </si>
  <si>
    <t>นางอัจฉราภรณ์ สมหวัง</t>
  </si>
  <si>
    <t>https://lh5.googleusercontent.com/d/1iZu23_5qbLYlEiZM79__ExRcRqXClSX_</t>
  </si>
  <si>
    <t>https://drive.google.com/file/d/14tkp1JZeaO9WZIv3EJBGAaI7NtXX4kds/view?usp=drivesdk</t>
  </si>
  <si>
    <t>https://lh5.googleusercontent.com/d/1HPKe7cTu-Sj_KsVgYHvlb3dhVprqgkaR</t>
  </si>
  <si>
    <t>https://drive.google.com/file/d/1hSkhvMFJ-VePoyX6sskHzOlWUK0Jwgda/view?usp=drivesdk</t>
  </si>
  <si>
    <t>6503707</t>
  </si>
  <si>
    <t>นพอ.ณัฐชิตา ชูเกียรติ</t>
  </si>
  <si>
    <t>โครงการตรวจสุขภาพเคลื่อนที่</t>
  </si>
  <si>
    <t>หมู่1 บางตีนเป็ด ฉะเชิงเทรา</t>
  </si>
  <si>
    <t>https://lh5.googleusercontent.com/d/1sJaSzwjG_xeGGzvpqokt61XLVYUqFxN6</t>
  </si>
  <si>
    <t>https://drive.google.com/file/d/1ZV9PVzyq2WCKTgF5AOIvQvmeRe8-AFEb/view?usp=drivesdk</t>
  </si>
  <si>
    <t xml:space="preserve">วัดเที่ยงพิมลมุข (ใหม่บางขวัญ) </t>
  </si>
  <si>
    <t>https://lh5.googleusercontent.com/d/1wx30VKQ2t_cI94ZA9Hqe5fIZIAaB_gig</t>
  </si>
  <si>
    <t>https://drive.google.com/file/d/1eXudE_4sgqtYIw40plxxRDuWIxM4v2KT/view?usp=drivesdk</t>
  </si>
  <si>
    <t>https://lh5.googleusercontent.com/d/1grg5VqSJ0LEEhMIvELeZx2NJAcc8bUB7</t>
  </si>
  <si>
    <t>https://drive.google.com/file/d/1tgePegVFE4a76W2GHfPjV-w1cF0dxWx1/view?usp=drivesdk</t>
  </si>
  <si>
    <t>คลีนิกคัดดรองโรคเรื้อรัง</t>
  </si>
  <si>
    <t>อนามัยบางตีนเป็ด ฉะเชิงเทรา</t>
  </si>
  <si>
    <t>https://lh5.googleusercontent.com/d/1rzAlia-WESIx-LdlplxRcm8bY-hcEXY7</t>
  </si>
  <si>
    <t>https://drive.google.com/file/d/1Djvo2twyTYmVYlxbk-na7S1BmMmJoKxO/view?usp=drivesdk</t>
  </si>
  <si>
    <t>เฝ้าระวังและคัดกรองโรคเลาหวานและความดันโลหิตสูง</t>
  </si>
  <si>
    <t>วัดสุวรรณดาราม</t>
  </si>
  <si>
    <t>https://lh5.googleusercontent.com/d/1o7GZaOESE5WtNvLmjNlxkmVYNUc-mH0K</t>
  </si>
  <si>
    <t>https://drive.google.com/file/d/19_G4SlPVKy8Du1ETw0Y1rjCeLzQTqSgZ/view?usp=drivesdk</t>
  </si>
  <si>
    <t xml:space="preserve">แผนการซ้อมดับเพลิงและอพยพ </t>
  </si>
  <si>
    <t>https://lh5.googleusercontent.com/d/16CYE7GN-qION7RGdJ093YlUSordRPXgj</t>
  </si>
  <si>
    <t>https://drive.google.com/file/d/1NB7ZBxCKfoEduTJD5bcGjP_FZePHfnSh/view?usp=drivesdk</t>
  </si>
  <si>
    <t>6503696</t>
  </si>
  <si>
    <t>คันธรส ฉายะวงษ์</t>
  </si>
  <si>
    <t>https://lh5.googleusercontent.com/d/1GoipzMtun9_2AYThQuPBDCIu0-azItdX</t>
  </si>
  <si>
    <t>https://drive.google.com/file/d/1_l1PFu97rLYZWSxzfO9spWcjhzjSIRd0/view?usp=drivesdk</t>
  </si>
  <si>
    <t>ปลูกต้นไม้ วันรักต้นไม้แห่งชาติ</t>
  </si>
  <si>
    <t>https://lh5.googleusercontent.com/d/1qgcMEGTbEVBxuj7UIDj1mL6gedeSA-B9</t>
  </si>
  <si>
    <t>https://drive.google.com/file/d/1JY8yyButCds-7zMhdf59m7_1xYHJOuU4/view?usp=drivesdk</t>
  </si>
  <si>
    <t>https://lh5.googleusercontent.com/d/1TDweql4endpO_L6ORpsywwxOk-D8ZTnA</t>
  </si>
  <si>
    <t>https://drive.google.com/file/d/197ekSPJSdEbiUyc3D3eisuMXkNIq7llp/view?usp=drivesdk</t>
  </si>
  <si>
    <t>https://lh5.googleusercontent.com/d/1AIlZcdZHUHNhb0uiVOE1JObQrEJnce6i</t>
  </si>
  <si>
    <t>https://drive.google.com/file/d/163FWr-BBx_2pE1TJPBVxrYigu6KWkKyj/view?usp=drivesdk</t>
  </si>
  <si>
    <t>น.ต.ศักดิ์ชัย บุญประสิทธิ์</t>
  </si>
  <si>
    <t>https://lh5.googleusercontent.com/d/10Yh4CT6RwVsoHQCMGqIxb4xZ5Mw0Nyvc</t>
  </si>
  <si>
    <t>https://drive.google.com/file/d/1Rg2yNNSTWlMrVpsBfmkNbu2879EnDnho/view?usp=drivesdk</t>
  </si>
  <si>
    <t>https://lh5.googleusercontent.com/d/1lSaAYo5fo38ayV9G2QVX2dgqjNX7K596</t>
  </si>
  <si>
    <t>https://drive.google.com/file/d/1wEkJQ8cy_D7tkqlnk9UsH8gmSIXOupzg/view?usp=drivesdk</t>
  </si>
  <si>
    <t>https://lh5.googleusercontent.com/d/12DnN8gdrtEHoPbZTnYQbjTBh3iRzVAF-</t>
  </si>
  <si>
    <t>https://drive.google.com/file/d/1OqGurlFlXS8D5FRTdhXrT1FWTt3o5U89/view?usp=drivesdk</t>
  </si>
  <si>
    <t>6803941</t>
  </si>
  <si>
    <t>นพอ.(ช)อครา คำท้วม</t>
  </si>
  <si>
    <t>https://lh5.googleusercontent.com/d/18hfFmnLWgneRxQXe9yLfO59r_8_xSq00</t>
  </si>
  <si>
    <t>1300 - 2100</t>
  </si>
  <si>
    <t>https://lh5.googleusercontent.com/d/12GPxWN9tHN8coTdCnJsf5kGjNlagF_mf</t>
  </si>
  <si>
    <t>https://drive.google.com/file/d/1sz2O_qVsMYe1ZJOkRdEUSCrgGM4emcY8/view?usp=drivesdk</t>
  </si>
  <si>
    <t>https://lh5.googleusercontent.com/d/1G75IQTX6vNGtalBc98IurNYC27cEeOfk</t>
  </si>
  <si>
    <t>https://drive.google.com/file/d/13wYKMsD6QBmvV_CGcsNiZnv0Fm4WvRiN/view?usp=drivesdk</t>
  </si>
  <si>
    <t>ห้องสโมสร วพอ.</t>
  </si>
  <si>
    <t>https://lh5.googleusercontent.com/d/1v51ISlcnMDqEekKaRprH-EzR3DUyLSUG</t>
  </si>
  <si>
    <t>https://drive.google.com/file/d/1Q_J8CqtZvDWS5MCFz8CvkWt180NViit1/view?usp=drivesdk</t>
  </si>
  <si>
    <t>6603776</t>
  </si>
  <si>
    <t>นพอ.นภชนก อัครวุฒิญาณ</t>
  </si>
  <si>
    <t>https://lh5.googleusercontent.com/d/1DrnTyJrKJeCL2igd5gcbp09vgzwE-qVh</t>
  </si>
  <si>
    <t>https://drive.google.com/file/d/1oxHWDlJdf1hyYoMN-lQePrjV3sbY5kya/view?usp=drivesdk</t>
  </si>
  <si>
    <t>https://lh5.googleusercontent.com/d/1uvyIH39gSRJ4hXhgI9B1Z9WQD_VJEAmi</t>
  </si>
  <si>
    <t>https://drive.google.com/file/d/1L7IAuYuySHVH0ZcrK1CBBbnUfmT3M9Q0/view?usp=drivesdk</t>
  </si>
  <si>
    <t>น.ต.หญิง ตวงทิพย์ ลัดดาวัลย์</t>
  </si>
  <si>
    <t>https://lh5.googleusercontent.com/d/1G6-xT7u1bVJ53WnT1czcMrU8tN2dnejK</t>
  </si>
  <si>
    <t>https://drive.google.com/file/d/1V_xvMTwC7vVYTCkh2zoMh5MZu2Gcya5U/view?usp=drivesdk</t>
  </si>
  <si>
    <t>0</t>
  </si>
  <si>
    <t>หมู่ 1 บางตีนเป็ด ฉะเชิงเทรา</t>
  </si>
  <si>
    <t>https://lh5.googleusercontent.com/d/1PGNI7N94hK7e-yDkMkRHttHGc5U2jOsp</t>
  </si>
  <si>
    <t>https://drive.google.com/file/d/14DIeUyWsDo09yDpUOHCbNb4Lm7BEqJD-/view?usp=drivesdk</t>
  </si>
  <si>
    <t>https://lh5.googleusercontent.com/d/1yuxCGJIWwTnkgMRooHMAfSHj2FN4rino</t>
  </si>
  <si>
    <t>https://drive.google.com/file/d/1Y6_GmnW7dNgSH5zEnvJSYt3SYCrHMleN/view?usp=drivesdk</t>
  </si>
  <si>
    <t>https://lh5.googleusercontent.com/d/1V3HmkyniVNjlhOjVin4dG5vnxcsjif_w</t>
  </si>
  <si>
    <t>https://drive.google.com/file/d/1W6AB7zXpF4gcxKl0c2YUeapgqt5LMevs/view?usp=drivesdk</t>
  </si>
  <si>
    <t>https://lh5.googleusercontent.com/d/1nuemi20ys9Nw0NWy7wK6iji3cV9Wrog6</t>
  </si>
  <si>
    <t>https://drive.google.com/file/d/17aA-_6j8OzdOZbV1eHUL_g9IjIm_tdQO/view?usp=drivesdk</t>
  </si>
  <si>
    <t>คลินิกคัดกรองโรคเรื้อรัง</t>
  </si>
  <si>
    <t>https://lh5.googleusercontent.com/d/1a6FE_-wRNqS84otCnOq1t0B2qqaqgtvX</t>
  </si>
  <si>
    <t>https://lh5.googleusercontent.com/d/1owC_WNn2tTxrHa2otz4Y0xsZb7jpbG9d</t>
  </si>
  <si>
    <t>https://drive.google.com/file/d/1S7U0N2XQWuhiX9YkpiIgDc5W1IKGSNfh/view?usp=drivesdk</t>
  </si>
  <si>
    <t>https://lh5.googleusercontent.com/d/13EvnGY4oZ46aYhThSZPTNpFVwJq7Qp7M</t>
  </si>
  <si>
    <t>https://drive.google.com/file/d/1eHl535q7TQXb9vewxYlZocNXgGqrfC7h/view?usp=drivesdk</t>
  </si>
  <si>
    <t>พยาบาลศูนย์บริจาคโลหิตสภากาชาดไทย</t>
  </si>
  <si>
    <t>https://lh5.googleusercontent.com/d/17NNCMTDB798vaP0_zSpxyh1RGz0QEvz_</t>
  </si>
  <si>
    <t>https://drive.google.com/file/d/1msUb9BeOq5XXlrWA0gkC60Di1CE8T2Lh/view?usp=drivesdk</t>
  </si>
  <si>
    <t>วิทยาลัยพยาบาลทหาร</t>
  </si>
  <si>
    <t>https://lh5.googleusercontent.com/d/1zqBg31l5ECIKi1Uikos2CE39Dkg-CCEA</t>
  </si>
  <si>
    <t>https://drive.google.com/file/d/1wuSZ-VKr5kVhLyAIpxFO3Cx-p61pDboG/view?usp=drivesdk</t>
  </si>
  <si>
    <t>6603770</t>
  </si>
  <si>
    <t>นพอ.ตรีสุคนธ์ ยศแก้ว</t>
  </si>
  <si>
    <t>https://lh5.googleusercontent.com/d/1h-Yr-CZLfol-porKfXS26RY8-3x7ARDd</t>
  </si>
  <si>
    <t>https://drive.google.com/file/d/1Vkz2dKazDHWaIwn3Q7Ayz2VoqK9WIzTm/view?usp=drivesdk</t>
  </si>
  <si>
    <t>https://lh5.googleusercontent.com/d/1qjRnOm729hIC5CadvlhfMs9JAQhxPmj6</t>
  </si>
  <si>
    <t>https://drive.google.com/file/d/1LxKBoPdTI3zDIlabszl8t_PvSgD3EgAm/view?usp=drivesdk</t>
  </si>
  <si>
    <t>ลอยกระทง</t>
  </si>
  <si>
    <t>โรงเรียนวัดทด</t>
  </si>
  <si>
    <t>https://lh5.googleusercontent.com/d/19DWykdxJvhRX6yNMVdlaulD6ijzKXr2R</t>
  </si>
  <si>
    <t>https://drive.google.com/file/d/1-eosj0NaYmKdGGRAX1NKps6lMIHfFfQx/view?usp=drivesdk</t>
  </si>
  <si>
    <t>https://lh5.googleusercontent.com/d/1xOd8bik_YACQYJcy55CGKmS1seKGfQqR</t>
  </si>
  <si>
    <t>https://drive.google.com/file/d/1fHT1r8gQWCfBDmyZTNLOh5oxRlIX5IbF/view?usp=drivesdk</t>
  </si>
  <si>
    <t>6603800</t>
  </si>
  <si>
    <t>นพอ.วารีริน ปิมปา</t>
  </si>
  <si>
    <t>https://lh5.googleusercontent.com/d/16hSqlrti2Qad5QN8xgPvBwvstLXOTK8E</t>
  </si>
  <si>
    <t>https://drive.google.com/file/d/1gG1bVOnJ8wklb3n3DEWWasvoWyZJue_O/view?usp=drivesdk</t>
  </si>
  <si>
    <t>6603765</t>
  </si>
  <si>
    <t>นพอ.ชายชาญ ไทยรินทร์</t>
  </si>
  <si>
    <t>ทำการแทนนักเรียนบังคับบัญชา</t>
  </si>
  <si>
    <t>9 ต.ค. - 14 พ.ย.</t>
  </si>
  <si>
    <t>https://lh5.googleusercontent.com/d/1QlytoyxIcvSrZtDVXfpPwz5Phl5W5HDT</t>
  </si>
  <si>
    <t>https://drive.google.com/file/d/17Q-HhlhvR3Yw16PIFHyRlgdTmoj7uT7b/view?usp=drivesdk</t>
  </si>
  <si>
    <t>https://lh5.googleusercontent.com/d/1tnqPQ2CZLBmlr6sogRhTEkesYftj1eKK</t>
  </si>
  <si>
    <t>https://drive.google.com/file/d/16J3jQ2Kj-Ti81MsKazbvG5zJn48piL0E/view?usp=drivesdk</t>
  </si>
  <si>
    <t>https://lh5.googleusercontent.com/d/1_SH2YUt47qDckatFMJaSEgQmBUPmWdVO</t>
  </si>
  <si>
    <t>https://drive.google.com/file/d/14qJC4UcVlGZIB1I6KbmqJB031W2aMJUM/view?usp=drivesdk</t>
  </si>
  <si>
    <t>สภากาชาดลพบุรี</t>
  </si>
  <si>
    <t>นายณรงค์ ริดใย</t>
  </si>
  <si>
    <t>https://lh5.googleusercontent.com/d/1afhfUXaCl1psZTmBbYL37pKYFuOwpafT</t>
  </si>
  <si>
    <t>https://drive.google.com/file/d/1duexgGYIPCs8JMIFvNBuFDE5lPlJV-Oy/view?usp=drivesdk</t>
  </si>
  <si>
    <t>https://lh5.googleusercontent.com/d/1nP5lQHXW9gNCOJGCjrb8YnGzD-ff3mtD</t>
  </si>
  <si>
    <t>https://drive.google.com/file/d/1442HJ2m-csqfHgqmGkFz0CZr1SgJayRo/view?usp=drivesdk</t>
  </si>
  <si>
    <t>ดูแลและจัดห้องพักผ่อน นพอ.</t>
  </si>
  <si>
    <t>ห้องพักผ่อนนพอ. วพอ.พอ.</t>
  </si>
  <si>
    <t>1700</t>
  </si>
  <si>
    <t>https://lh5.googleusercontent.com/d/1UAYAJEvVUpxe7QX6rnsDFYWyY0au_Eic</t>
  </si>
  <si>
    <t>https://drive.google.com/file/d/1mOHfWbYccuCrQPq3dkG4EK9moBo3hKkS/view?usp=drivesdk</t>
  </si>
  <si>
    <t>ดูแลและจัดห้องพักผ่อนนพอ.</t>
  </si>
  <si>
    <t>ห้องพักผ่อนนพอ.</t>
  </si>
  <si>
    <t>https://lh5.googleusercontent.com/d/1DMHLUjVyb9LZLNK3lFBI9urPtCcrBJ_f</t>
  </si>
  <si>
    <t>https://drive.google.com/file/d/1krTEvfy0wYWL62okfal20FmsJpoZfQAC/view?usp=drivesdk</t>
  </si>
  <si>
    <t>3906</t>
  </si>
  <si>
    <t>วพอ</t>
  </si>
  <si>
    <t>0741</t>
  </si>
  <si>
    <t>https://lh5.googleusercontent.com/d/1Z6doTm2aEBPjZz0UWAZjjVB5TjBBveum</t>
  </si>
  <si>
    <t>https://lh5.googleusercontent.com/d/1oOc9hEk7BG0j0BdO78GqXAzh-QxFqHeS</t>
  </si>
  <si>
    <t>https://drive.google.com/file/d/1m9mPEaNIwikhgu932bVvyzXKByfB9kER/view?usp=drivesdk</t>
  </si>
  <si>
    <t>6803942</t>
  </si>
  <si>
    <t>นพอ.อชิรญา อ่อนเปรี้ยว</t>
  </si>
  <si>
    <t>พยาบาลไทยบริจาคโลหิต ช่วยชีวิตย์เพื่อนมนุษย์ปี4</t>
  </si>
  <si>
    <t>ศูนย์บริจาคโลหิตแห่งชาติสภากาชาดไทย</t>
  </si>
  <si>
    <t>https://lh5.googleusercontent.com/d/1yS_zdMdcbbyNhnEsU8opjgbqNi6mCEcd</t>
  </si>
  <si>
    <t>https://drive.google.com/file/d/1izV_PX5rllT6Djp9Zr_C_zC9rexXRw5V/view?usp=drivesdk</t>
  </si>
  <si>
    <t>โรงพยาบาลกาฬสินธุ์</t>
  </si>
  <si>
    <t>0925</t>
  </si>
  <si>
    <t>นางสาวขนิษฐา  จำปาอ่อน</t>
  </si>
  <si>
    <t>https://lh5.googleusercontent.com/d/14nkCdsH2qpb-emq32JbnYu-awkax7Kz0</t>
  </si>
  <si>
    <t>https://drive.google.com/file/d/1wlEnOqJ3OPvS3_0923Kio4kkOfNGk2Go/view?usp=drivesdk</t>
  </si>
  <si>
    <t xml:space="preserve">Big cleaning </t>
  </si>
  <si>
    <t>8:00</t>
  </si>
  <si>
    <t>https://lh5.googleusercontent.com/d/1XtzvB7plQ6cfaQJ3aVBVNq_wU_gnJHaw</t>
  </si>
  <si>
    <t>https://drive.google.com/file/d/1VI5ykfgSVFSTKeWrRXw09vqsvuRdQP1D/view?usp=drivesdk</t>
  </si>
  <si>
    <t>18.00</t>
  </si>
  <si>
    <t>นางสาวอุไรวรรณ วารีบ่อ</t>
  </si>
  <si>
    <t>https://lh5.googleusercontent.com/d/1qTjFNGkqcXhySkNalxP7PC3Up2IFj3EC</t>
  </si>
  <si>
    <t>https://drive.google.com/file/d/1PVVe_yNl-oZRAtsY1zbk8R7t20K_-e9h/view?usp=drivesdk</t>
  </si>
  <si>
    <t>นพอ.กุลิสรา ตุ่นคำ</t>
  </si>
  <si>
    <t>https://lh5.googleusercontent.com/d/1LBqlRGCn53bxPOItCJ7rTlwHA4oVnEz6</t>
  </si>
  <si>
    <t>https://drive.google.com/file/d/1qupg5RjGhIitvJx-QKeRd-Wv3ErNryvL/view?usp=drivesdk</t>
  </si>
  <si>
    <t>0745</t>
  </si>
  <si>
    <t>https://lh5.googleusercontent.com/d/1jaFYUVm-QxnYoHBlgM-bfkSLhQPOsuWq</t>
  </si>
  <si>
    <t>https://drive.google.com/file/d/1-OFQpZHVtzsDvaoC2s-DJ0gbzs9HzHhI/view?usp=drivesdk</t>
  </si>
  <si>
    <t>https://lh5.googleusercontent.com/d/1A6EFJZyPOO8claXV93FMqpGYNzaD1exw</t>
  </si>
  <si>
    <t>https://drive.google.com/file/d/192PMXaZAn7iwlObXiGEFRYVbeOqrp8Qz/view?usp=drivesdk</t>
  </si>
  <si>
    <t>ช่วยจัดงานวันสวนสนาม (ไม่มีรูปขณะปฏิบัติงาน)</t>
  </si>
  <si>
    <t>10:00</t>
  </si>
  <si>
    <t>https://lh5.googleusercontent.com/d/10oZnq3Zn2nQYQq7cxWOBrllrvwWC5V7R</t>
  </si>
  <si>
    <t>https://drive.google.com/file/d/1rlOYGKba5J3c8psz91FcH9doc3SBy39g/view?usp=drivesdk</t>
  </si>
  <si>
    <t>6803903</t>
  </si>
  <si>
    <t>นพอ.ดลณภา คล้ายสุวรรณ์</t>
  </si>
  <si>
    <t>1400-1900</t>
  </si>
  <si>
    <t>https://lh5.googleusercontent.com/d/1S8Js9DojUNslVGiOtAy3ncKqXrn3zMzP</t>
  </si>
  <si>
    <t>https://drive.google.com/file/d/1Ce1rGSV9qR7sqF_tylKamDm4b4CFq60y/view?usp=drivesdk</t>
  </si>
  <si>
    <t>0740</t>
  </si>
  <si>
    <t>https://lh5.googleusercontent.com/d/12EMtauwNTwrT_vtgOua7ZngRVPXL3Kji</t>
  </si>
  <si>
    <t>https://drive.google.com/file/d/1AcUK3qngnvKrj919NhVTtCFSmVxtICB9/view?usp=drivesdk</t>
  </si>
  <si>
    <t>17.00</t>
  </si>
  <si>
    <t>https://lh5.googleusercontent.com/d/1UX0W0gc4Bmi97n6VB2exyhQXYFeBqMyk</t>
  </si>
  <si>
    <t>https://drive.google.com/file/d/1JUZGRS-SxgUmJm-STnqFOKg47wJgczPj/view?usp=drivesdk</t>
  </si>
  <si>
    <t>6803905</t>
  </si>
  <si>
    <t>นพอ.ธนพล เสือน้อย</t>
  </si>
  <si>
    <t>https://lh5.googleusercontent.com/d/1xKgyMz-Nb2Zrpfq_HQ_G-fOU8yGov8nv</t>
  </si>
  <si>
    <t>https://drive.google.com/file/d/1_66hxIbB-SaPbaUvzfXrfQ4OMn0-Pk-j/view?usp=drivesdk</t>
  </si>
  <si>
    <t>ทำบุญประจำปีของวัด (ช่วยล้างจาน)</t>
  </si>
  <si>
    <t>วัดชลคราม จ.สุราษฎร์ธานี</t>
  </si>
  <si>
    <t>06:00</t>
  </si>
  <si>
    <t>พระครูสิริวัชรากร</t>
  </si>
  <si>
    <t>https://lh5.googleusercontent.com/d/1K7Og1f-pd5AxovFaHp364FYEN8kOQ2zU</t>
  </si>
  <si>
    <t>https://drive.google.com/file/d/1xbkYWbFKA_oMhvCfRDaAOgSZ7PkWInow/view?usp=drivesdk</t>
  </si>
  <si>
    <t>วัดโคกทมบรมจินดา</t>
  </si>
  <si>
    <t xml:space="preserve">พระครูพิพัฒน์จินดาภรณ์ </t>
  </si>
  <si>
    <t>https://lh5.googleusercontent.com/d/1JAyAMaD6mKrVObQsUutcbWnoVkiMTtjj</t>
  </si>
  <si>
    <t>https://drive.google.com/file/d/1CbdZb0nJ8zxnLhXPaQDZrIZpHED3tRNJ/view?usp=drivesdk</t>
  </si>
  <si>
    <t>0735</t>
  </si>
  <si>
    <t>https://lh5.googleusercontent.com/d/19-aOiN7cvnBNQJQGGOKMEp3kKLoDRv_X</t>
  </si>
  <si>
    <t>https://drive.google.com/file/d/1bvQZRjiprr1wU_mXdLRpmbko2QUuT4H-/view?usp=drivesdk</t>
  </si>
  <si>
    <t>https://lh5.googleusercontent.com/d/1U1QCOixXz_B2CJPxBBQsnQBDlJUM_tj_</t>
  </si>
  <si>
    <t>https://drive.google.com/file/d/1uabSo9Rx8NMEpiqR2FPUItgDqsaYOSNM/view?usp=drivesdk</t>
  </si>
  <si>
    <t>https://lh5.googleusercontent.com/d/16gds-wfSxwF3bPJc3XW0ym57how3azzW</t>
  </si>
  <si>
    <t>https://drive.google.com/file/d/15tC6193AgMPOwjg9heL8EUB-2kzhRD1_/view?usp=drivesdk</t>
  </si>
  <si>
    <t>0748</t>
  </si>
  <si>
    <t>https://lh5.googleusercontent.com/d/1vXs0QUp-xz5e2MBeBbITc7W6bdJ4bxya</t>
  </si>
  <si>
    <t>https://drive.google.com/file/d/1zrzSO2N8k7IcjqgMOSrBKRuNwW9AVV1H/view?usp=drivesdk</t>
  </si>
  <si>
    <t>6603783</t>
  </si>
  <si>
    <t>นพอ.บูรพา สิริอุดมสิน</t>
  </si>
  <si>
    <t>https://lh5.googleusercontent.com/d/1KFxN-w6CkJ0shJ5C7CKj_oegxMSUmsob</t>
  </si>
  <si>
    <t>https://drive.google.com/file/d/1luJ8pU4mwVrXCwMj-Q3IwWVKkf7pAXGx/view?usp=drivesdk</t>
  </si>
  <si>
    <t>https://lh5.googleusercontent.com/d/1ZIz8MnCHBt4-xc2BodupSjbKvFmIy6BZ</t>
  </si>
  <si>
    <t>https://drive.google.com/file/d/1f7CLIo-pL6B3WpOh1knmG68MpErNSvxV/view?usp=drivesdk</t>
  </si>
  <si>
    <t>https://lh5.googleusercontent.com/d/1RcHdQf1_h3_0Li6vKSkBQQcBM9OKEpz4</t>
  </si>
  <si>
    <t>https://drive.google.com/file/d/1dOzEpvMvcyIY7GMugImIt1Mf7sCtSgWB/view?usp=drivesdk</t>
  </si>
  <si>
    <t>ร.อ.อนุชิต ทำะดี</t>
  </si>
  <si>
    <t>https://lh5.googleusercontent.com/d/1uW6kdxdziwqiQfIpwdmm8AZTTunYPoTn</t>
  </si>
  <si>
    <t>https://drive.google.com/file/d/1nh9zuh0ayolAiZiwzcgTLnEzGH4bS8q-/view?usp=drivesdk</t>
  </si>
  <si>
    <t>แยกขยะในวพอ.</t>
  </si>
  <si>
    <t>https://lh5.googleusercontent.com/d/1twL9zUrxzW5a3OkTHdcubnI9LVL6zb1_</t>
  </si>
  <si>
    <t>https://drive.google.com/file/d/11KZLu2lMm_g4-Rs2suSjL5UjRl-HyHSi/view?usp=drivesdk</t>
  </si>
  <si>
    <t>https://lh5.googleusercontent.com/d/1hOPSLVxe7Q0Sb3-S5aODwwcaDdPSr84d</t>
  </si>
  <si>
    <t>https://drive.google.com/file/d/1yND17BCSjf3ALMLL_ElmcBRRWSqs0kyw/view?usp=drivesdk</t>
  </si>
  <si>
    <t>https://lh5.googleusercontent.com/d/1Mf4ohmYuPgivD7n03FigAd-pny14Y4SM</t>
  </si>
  <si>
    <t>https://lh5.googleusercontent.com/d/1k9WhfBIsLZEkEQZQJQKC-cd98iGCYsSl</t>
  </si>
  <si>
    <t>https://drive.google.com/file/d/19xPqBrGlHX52SbuaiVe2HpR45OnX9HEs/view?usp=drivesdk</t>
  </si>
  <si>
    <t>วัด</t>
  </si>
  <si>
    <t>https://lh5.googleusercontent.com/d/1lkt_7YMtuVARmrR2tSJZN8zguqw9rD3c</t>
  </si>
  <si>
    <t>https://drive.google.com/file/d/1eSR-60_Q3AKN_s2k4QXJcTm_o7YewcwM/view?usp=drivesdk</t>
  </si>
  <si>
    <t>0739</t>
  </si>
  <si>
    <t>https://lh5.googleusercontent.com/d/1u8w439Ly98_49nS5NzXOebffA4pKp77i</t>
  </si>
  <si>
    <t>https://drive.google.com/file/d/1J9Y5jWTYvff97lb6QNKCoAHpp4U3AGO_/view?usp=drivesdk</t>
  </si>
  <si>
    <t>โครงการจิตอาสาทำความสะอาดศูนย์ดูแลสุนัขและแมวจรจัดของกองทัพเรือ</t>
  </si>
  <si>
    <t>ศูนย์ดูแลสุนัขจรจัดของกองทัพเรือ โดยกองเรือยุทธการ</t>
  </si>
  <si>
    <t>ร.ท.พิชิต เทียนทอง</t>
  </si>
  <si>
    <t>https://lh5.googleusercontent.com/d/1Tc1XEPqB-2pUvt2rY4Atm9vvWdwim4j7</t>
  </si>
  <si>
    <t>https://drive.google.com/file/d/1bQWTIb-2OUsGmWFtokIXqbdqm0Tzu5M1/view?usp=drivesdk</t>
  </si>
  <si>
    <t>https://lh5.googleusercontent.com/d/1AaXQhFlJb1JWVtoXU0yoeIPLSAldKGis</t>
  </si>
  <si>
    <t>https://drive.google.com/file/d/1L89fwlx_LG7EY8eOAJuIPbEQyuiVxX4N/view?usp=drivesdk</t>
  </si>
  <si>
    <t>0743</t>
  </si>
  <si>
    <t>https://lh5.googleusercontent.com/d/1zMV6P7NhDkYUOXHMi51nmVBKCQckny0O</t>
  </si>
  <si>
    <t>https://drive.google.com/file/d/1XXVtZelHttw-IiD5DFe5RwsG_eWy4K6d/view?usp=drivesdk</t>
  </si>
  <si>
    <t>https://lh5.googleusercontent.com/d/1lo1Dta7pUIHrXtyrwoeZECXPynazejX2</t>
  </si>
  <si>
    <t>https://drive.google.com/file/d/149JwWnurV9l78OVL0o5PPdy8w4TUclMC/view?usp=drivesdk</t>
  </si>
  <si>
    <t>https://lh5.googleusercontent.com/d/1uKQUUJ-c4k436kzZj72-eGjTZek51Tg2</t>
  </si>
  <si>
    <t>https://drive.google.com/file/d/1ykU8oR-NPEzUDTWAYohCc0oiYFiU9wvp/view?usp=drivesdk</t>
  </si>
  <si>
    <t>0738</t>
  </si>
  <si>
    <t>https://lh5.googleusercontent.com/d/18YGzImQdxq7qj5lIquHlYZ1XRT1YfOZd</t>
  </si>
  <si>
    <t>https://drive.google.com/file/d/1WkEQpbd7_l-As8gqyLBpaJlO90Hb3b3a/view?usp=drivesdk</t>
  </si>
  <si>
    <t>6503699</t>
  </si>
  <si>
    <t>นพอ.จุฑาลักษณ์ อรัณยภูติ</t>
  </si>
  <si>
    <t>บ้านหัวสวน ต.บางไผ่</t>
  </si>
  <si>
    <t>https://lh5.googleusercontent.com/d/1FK6SbTAsbBNDoqAbABWICf_WWBWvohwa</t>
  </si>
  <si>
    <t>0736</t>
  </si>
  <si>
    <t>https://lh5.googleusercontent.com/d/14K0jqTyU6n8kUePlIN1U6qUWCQDVZLho</t>
  </si>
  <si>
    <t>https://drive.google.com/file/d/1vHO3NwTea5dEylYhzatHr_AH0pPuQGvY/view?usp=drivesdk</t>
  </si>
  <si>
    <t>https://lh5.googleusercontent.com/d/1b5k366d3fnAQNEXlqa_lrenmmzhJ0CTI</t>
  </si>
  <si>
    <t>https://drive.google.com/file/d/1l1wHyVP8GuXzECU3v5Ey7mte6m0E8Nms/view?usp=drivesdk</t>
  </si>
  <si>
    <t>https://lh5.googleusercontent.com/d/1HZzQ_9WjKMmKWU-aJNazDUNsdn6K4nGz</t>
  </si>
  <si>
    <t>https://drive.google.com/file/d/1xNG3LYSrCjogAAl6B1_fHYmHf6dPjZbe/view?usp=drivesdk</t>
  </si>
  <si>
    <t>https://lh5.googleusercontent.com/d/1xrNT5LGUc6wECp9v27lyWEqAwcYyzki7</t>
  </si>
  <si>
    <t>https://drive.google.com/file/d/1MBdJoX1aDe3At6M77KZeLOWLFfKlNJrS/view?usp=drivesdk</t>
  </si>
  <si>
    <t>https://lh5.googleusercontent.com/d/1w7c9esaY07zySdVDomC4A3wtQymHMXpR</t>
  </si>
  <si>
    <t>https://drive.google.com/file/d/1zfut_iYxlh0mqakzmoBToc8gmr9qFENN/view?usp=drivesdk</t>
  </si>
  <si>
    <t>รดน้ำต้นไม้ ทำงานบ้าน</t>
  </si>
  <si>
    <t>1830</t>
  </si>
  <si>
    <t>นายสัญญา เสือน้อย</t>
  </si>
  <si>
    <t>https://lh5.googleusercontent.com/d/1QNG8YJeXWGlNlUJ3p221NOFbk8Z8l3Dq</t>
  </si>
  <si>
    <t>https://drive.google.com/file/d/1GGy3Hz4-TRNT9H132IWjmSfZbO8OWFv9/view?usp=drivesdk</t>
  </si>
  <si>
    <t>0730</t>
  </si>
  <si>
    <t>https://lh5.googleusercontent.com/d/1yuRNcZqinyFXBhUekBwe2qVKwGJDvPtT</t>
  </si>
  <si>
    <t>https://drive.google.com/file/d/1hM_1TjJN3jCu_V-dczXjF4ReJCzPGJnU/view?usp=drivesdk</t>
  </si>
  <si>
    <t>น.ต.ตวงทิพย์ ลดาวัลย์</t>
  </si>
  <si>
    <t>ศาลเจ้าพ่อเสือ โรงเรียนการบิน</t>
  </si>
  <si>
    <t>พลทหารเวรดูแล ทัดพง ชุ่มวารี</t>
  </si>
  <si>
    <t>https://lh5.googleusercontent.com/d/1pu9M0bMbPu7zHKhaUjqnBKSsLCrDI5w3</t>
  </si>
  <si>
    <t>https://drive.google.com/file/d/1FgguMOXTmhSYYh6B2-9XNO6i4GhFDhrj/view?usp=drivesdk</t>
  </si>
  <si>
    <t>https://lh5.googleusercontent.com/d/1OMmNxqGVocCP3j8N_rWfgYSK5XW2qZ7p</t>
  </si>
  <si>
    <t>https://drive.google.com/file/d/1Nx1IDFvC7e1MtbL85AvjGT-3fyuU9Ls8/view?usp=drivesdk</t>
  </si>
  <si>
    <t>https://lh5.googleusercontent.com/d/1DMXudmbyjx-xLnhCjx9FmnKEHz_3G7Ty</t>
  </si>
  <si>
    <t>https://drive.google.com/file/d/1oR05d6nqos1pfe2Ljw0OeGl9nLGqwTeg/view?usp=drivesdk</t>
  </si>
  <si>
    <t>ทำบุญตักบาตรเนื่องในวันคล้ายวันสวรรคต</t>
  </si>
  <si>
    <t>องค์การบริหานส่วนตำบลบางไผ่</t>
  </si>
  <si>
    <t>https://lh5.googleusercontent.com/d/1iMUJBlGSJURijE6uSfT3r2UG_VxWqpVV</t>
  </si>
  <si>
    <t>https://drive.google.com/file/d/1LmA6ANLmMf8dD-f_uYaAwDHH85Scladh/view?usp=drivesdk</t>
  </si>
  <si>
    <t>https://lh5.googleusercontent.com/d/143-LkhTS_DllgTiJI2a5BZT3gGAs9JRY</t>
  </si>
  <si>
    <t>https://drive.google.com/file/d/1V66PJYb7OtC0VjPreHLEQgEQ6RtN4JXO/view?usp=drivesdk</t>
  </si>
  <si>
    <t>0734</t>
  </si>
  <si>
    <t>https://lh5.googleusercontent.com/d/167vDN-i1azHlyrf662zeuCtKMi0uhxem</t>
  </si>
  <si>
    <t>https://drive.google.com/file/d/1eB_vWDwr1Zf7fEMXjR64-nh65eP4868W/view?usp=drivesdk</t>
  </si>
  <si>
    <t>เฝ้าระวังและคัดกรอง โรคเบาหวานและความดันโลหิตสูง</t>
  </si>
  <si>
    <t>0800 - 1400</t>
  </si>
  <si>
    <t>https://lh5.googleusercontent.com/d/1MKcr4h0dxX-QC9nBdvIrke8Z7AqjqCsA</t>
  </si>
  <si>
    <t>https://drive.google.com/file/d/1NcYj0AAq_3POqQekb5J8-fzE-Gjipd4H/view?usp=drivesdk</t>
  </si>
  <si>
    <t>เดอะพรอมานาด</t>
  </si>
  <si>
    <t>https://lh5.googleusercontent.com/d/1fJktdXdjqJWIN1Itmf-bG_6DAndPMcbO</t>
  </si>
  <si>
    <t>https://drive.google.com/file/d/1LjxkDlEbdKYqs40gLd_ENZJiy22n1Ol1/view?usp=drivesdk</t>
  </si>
  <si>
    <t>น.ส.วันวิสา ดำริ มุ่งกิจ</t>
  </si>
  <si>
    <t>https://lh5.googleusercontent.com/d/1XeiWClHgS_uYTQz4YScVQoR7WqPgMNqa</t>
  </si>
  <si>
    <t>https://drive.google.com/file/d/1te9ghk7Tqfu8vGtLGMhGgyIwmmBQwp3t/view?usp=drivesdk</t>
  </si>
  <si>
    <t>https://lh5.googleusercontent.com/d/1Pk4k4yHMlDpckMoZNNkQPCtkckmt6RYt</t>
  </si>
  <si>
    <t>https://drive.google.com/file/d/1XK8vMc41Y6rN4hSulXlKD5V1ybMBGqsP/view?usp=drivesdk</t>
  </si>
  <si>
    <t>เดิน วิ่ง ปั่น ป้องกันอัมพาต ครั้งที่ 11 เฉลิมพระเกียรติ</t>
  </si>
  <si>
    <t xml:space="preserve">สวนสาธารณะเฉลิมพระเกียรติ หน้าวัดโสธรวราราม วรวิหาร </t>
  </si>
  <si>
    <t>https://lh5.googleusercontent.com/d/1a9pFDNAyjtWQQzoRv-8_oatTkcSsdWia</t>
  </si>
  <si>
    <t>https://drive.google.com/file/d/14mu88IceMNovzRYw4ag6VzMMIxqUl36W/view?usp=drivesdk</t>
  </si>
  <si>
    <t>6603816</t>
  </si>
  <si>
    <t>นพอ.อมฤทธิ์ สุทธิวิลัย</t>
  </si>
  <si>
    <t>คอนเสิร์ตทัพฟ้า คู่ไทยเพื่อ ชัยพัฒนา</t>
  </si>
  <si>
    <t>https://lh5.googleusercontent.com/d/1cr4QYR9lfNF2-tRdEyoMaH0TgBoSDKiI</t>
  </si>
  <si>
    <t>https://lh5.googleusercontent.com/d/1NNLtKjchLWuihRp0sh5IhBs8cK9cx6G1</t>
  </si>
  <si>
    <t>https://drive.google.com/file/d/1KfIAZtxxFFmZlH5YNeNwVD0QT8HGRyyJ/view?usp=drivesdk</t>
  </si>
  <si>
    <t>คอนเสิร์ตทัพฟ้า คู่ไทยเพื่อชัยพัฒนา</t>
  </si>
  <si>
    <t>https://lh5.googleusercontent.com/d/1a6gd_Gm_Od08HmRurDZEUpzPZ-w2a5rH</t>
  </si>
  <si>
    <t>https://drive.google.com/file/d/1C5M7zIDBGFS3e374eKJW_HAabhVPdr1H/view?usp=drivesdk</t>
  </si>
  <si>
    <t xml:space="preserve">ฟังการสัมมนาสื่อสร้างสรรค์ เสริมพลังการสื่อสาร พัฒนาสังคม ฟังการสัมมนาสื่อสร้างสรรค์ เสริมพลังการสื่อสาร พัฒนาสังคม </t>
  </si>
  <si>
    <t>สำนักงานเอสซีจี</t>
  </si>
  <si>
    <t>https://lh5.googleusercontent.com/d/1zN9JE-nlVIfho3Psixj_zsnn3mqyiKQR</t>
  </si>
  <si>
    <t>https://drive.google.com/file/d/1RYqq3QfCh0D9Jaq2wHyWks1_tz0PBy02/view?usp=drivesdk</t>
  </si>
  <si>
    <t>แผนการซ้อมดับเพลิงและอพยพหนีภัย ประจำปี 2568</t>
  </si>
  <si>
    <t>https://lh5.googleusercontent.com/d/15lx11neY3heUsPCNoAVAcU9X85qOsbQK</t>
  </si>
  <si>
    <t>https://drive.google.com/file/d/1KDZ4OY-FBAYE3o0u63GhUhS-Y4ViZNgp/view?usp=drivesdk</t>
  </si>
  <si>
    <t>ดิน วิ่ง ปั่น ป้องกันอัมพาต</t>
  </si>
  <si>
    <t>https://lh5.googleusercontent.com/d/1S7HW8WIv1Feepttct6_3gI_RDYeHr4bg</t>
  </si>
  <si>
    <t>https://drive.google.com/file/d/1YA7gF0wEsxbGKXrOIoe2io5QVdHmzeBZ/view?usp=drivesdk</t>
  </si>
  <si>
    <t>https://lh5.googleusercontent.com/d/1shMt8uCJHV8e1GZkRtBCkgz09zPX9T_T</t>
  </si>
  <si>
    <t>https://drive.google.com/file/d/1_OOLVFBNC5yax6EQwpkxud1UXB8O6oLe/view?usp=drivesdk</t>
  </si>
  <si>
    <t>กวาดอุโบสถและบริเวณโดยรอบ</t>
  </si>
  <si>
    <t>วัดทุ่งคอก(สุวรรณสาธุกิจ)</t>
  </si>
  <si>
    <t>เจ้าอธิการอุดมทีฆายุโก</t>
  </si>
  <si>
    <t>https://lh5.googleusercontent.com/d/1ekgBZ34yy4KgPGTOJIaLfP-WaDEpuwJP</t>
  </si>
  <si>
    <t>https://drive.google.com/file/d/1xBqtnR04mbIZ8gKh53hf7-DILBmN0HIc/view?usp=drivesdk</t>
  </si>
  <si>
    <t>คอนเสิร์ตทัฟฟ้า คู่ไทยเพื่อชัยพัฒนา</t>
  </si>
  <si>
    <t>https://lh5.googleusercontent.com/d/1hZ2QWcVS6AsPXqx5K0ni0iddl-nHapw5</t>
  </si>
  <si>
    <t>https://drive.google.com/file/d/13HSzxwuRHAJOJVYbgWE230pr2NIKKHYG/view?usp=drivesdk</t>
  </si>
  <si>
    <t>https://lh5.googleusercontent.com/d/1OGk9q04VX-nkOXY68C-g7GWHFDQQ-uoT</t>
  </si>
  <si>
    <t>https://drive.google.com/file/d/186Qvhc6LWSHlboTo-jOsttdSjispDYCX/view?usp=drivesdk</t>
  </si>
  <si>
    <t>นพอ.มนัญชยา าุขพี้</t>
  </si>
  <si>
    <t>วัดเขาห้วยมะระ</t>
  </si>
  <si>
    <t>พระมหาธงชัย มหาวิริโย</t>
  </si>
  <si>
    <t>https://lh5.googleusercontent.com/d/1G6eb-WptWDUDLVXiZZp6UfmOEviwkyrS</t>
  </si>
  <si>
    <t>https://drive.google.com/file/d/1QPktD7IIT-JaV1FJiQgS5L2cOuGD8FXX/view?usp=drivesdk</t>
  </si>
  <si>
    <t>กอล์ฟปิยมหาราชครั้งที่ 42</t>
  </si>
  <si>
    <t>นต.ศักชัย บุญประสิทธิ์</t>
  </si>
  <si>
    <t>https://lh5.googleusercontent.com/d/10mHdUa_1Y_XAg02msq2nXBobPdgoC6bI</t>
  </si>
  <si>
    <t>https://drive.google.com/file/d/1eFsbZTH1XeS1keFniveoN7OnyiAJ_LIg/view?usp=drivesdk</t>
  </si>
  <si>
    <t>บ้านทรายมูล รวมคนฟิต ออกกำวันละนิด ชีวิตไร้โรค</t>
  </si>
  <si>
    <t>https://lh5.googleusercontent.com/d/1DtpOKNpK4tbIWVzKcx5av8cW_iaQESnv</t>
  </si>
  <si>
    <t>https://drive.google.com/file/d/1iU_BICwOJ7bQT2rP3AzE_i1tZIwvM-ez/view?usp=drivesdk</t>
  </si>
  <si>
    <t>สื่อสร้างสรรค์เสริมพลังการสื่อสาร พัฒนาสังคมไทย</t>
  </si>
  <si>
    <t>น.ท.หญิงฤทัยวรรณ นวมพันธ์</t>
  </si>
  <si>
    <t>https://lh5.googleusercontent.com/d/1FtLXNhcZx6J0mUnGUcMjk3AoSF4Z2yOp</t>
  </si>
  <si>
    <t>https://drive.google.com/file/d/1UBT45eWA47Y1DbWlTEyeQ-FL8zSEDe_R/view?usp=drivesdk</t>
  </si>
  <si>
    <t>https://lh5.googleusercontent.com/d/1n6UF7HA55tP2_LjGoMMzc_x9Cwsk6YEd</t>
  </si>
  <si>
    <t>https://drive.google.com/file/d/1Ttz8CP0m9nJnqsVe68cw0mvB5SglSH8s/view?usp=drivesdk</t>
  </si>
  <si>
    <t>https://lh5.googleusercontent.com/d/1bl4PHdzu91fXwS_mH4vojH_ulZ56uljJ</t>
  </si>
  <si>
    <t>https://drive.google.com/file/d/1JY-49Hgsl0yNWLFdXUzHkpFCXcOY8Zqu/view?usp=drivesdk</t>
  </si>
  <si>
    <t>https://lh5.googleusercontent.com/d/1HLVTUkEl5Z33OD0ghwlUuuv8rgdA3C2n</t>
  </si>
  <si>
    <t>https://drive.google.com/file/d/1iv_0g_Uxatfxa7Ds4YJeBkX92w5XXQ35/view?usp=drivesdk</t>
  </si>
  <si>
    <t>งานสถาปนาวิทยาลัยพยาบาลทหารอากาศ</t>
  </si>
  <si>
    <t>https://lh5.googleusercontent.com/d/1M-U_h399N7IJ7GFH11eashTjCU-KldLG</t>
  </si>
  <si>
    <t>https://drive.google.com/file/d/1xcEFVnsD1D1c0UmG-VCdyHB1qFDQwvmj/view?usp=drivesdk</t>
  </si>
  <si>
    <t>กวาดลานหน้าบ้าน</t>
  </si>
  <si>
    <t>57/2 ซ.วัดเวฬุวนาราม36 แขวงดอนเมือง เขตดอนเมือง กรุงเทพฯ</t>
  </si>
  <si>
    <t>พ.อ.อ.วิชา อ่อนเปรี้ยว</t>
  </si>
  <si>
    <t>https://lh5.googleusercontent.com/d/128b6wnZwMakcRIuuKCuWsS1DwHBNO0K4</t>
  </si>
  <si>
    <t>https://drive.google.com/file/d/1R4Zg09bdZHl9LQBa9QdDDeSR68UnUv7M/view?usp=drivesdk</t>
  </si>
  <si>
    <t>ทำงานบ้าน รดน้ำต้นไม้</t>
  </si>
  <si>
    <t>ธนพล ยงคะวิสัย</t>
  </si>
  <si>
    <t>https://lh5.googleusercontent.com/d/1sjD8jpykkg_sdfcjbLp_PFOo9N34Ek1i</t>
  </si>
  <si>
    <t>https://drive.google.com/file/d/1jRAgUIchQtFP3Xzl7Lz2UCh4d66M6U6t/view?usp=drivesdk</t>
  </si>
  <si>
    <t>https://lh5.googleusercontent.com/d/1AnI0g6u-5fpM_zL2VF8_7U6SoF5E1bm4</t>
  </si>
  <si>
    <t>https://drive.google.com/file/d/1Pv0CAYDmkRFL6VJnpK3IlEdKKFXNUoZj/view?usp=drivesdk</t>
  </si>
  <si>
    <t>จัดสถานที่งานเกษียณอาจารย์บังอร</t>
  </si>
  <si>
    <t>1030-1330</t>
  </si>
  <si>
    <t>https://lh5.googleusercontent.com/d/16rTYCooOPZB72-Ocm4u4Wpx-psRWMH2A</t>
  </si>
  <si>
    <t>https://drive.google.com/file/d/1MrKgs5ilKp6Fbii7FF21gXdWaJ2v_8ao/view?usp=drivesdk</t>
  </si>
  <si>
    <t>พิธีขบวนแห่หลวงพ่อโสธรทางบก 2568</t>
  </si>
  <si>
    <t>https://lh5.googleusercontent.com/d/1BmW1OUKJ7a26T82sPhQns8Y9s93Aztgu</t>
  </si>
  <si>
    <t>https://drive.google.com/file/d/1g05Uitnpn2pVHGQbzyHvGxsN-IMuSeiO/view?usp=drivesdk</t>
  </si>
  <si>
    <t>อบรมคุณแม่ตั้งครรภ์</t>
  </si>
  <si>
    <t>ห้องเรียนนทน.</t>
  </si>
  <si>
    <t>https://lh5.googleusercontent.com/d/1bHDLXAVrpWXDZ3-ecFCasv2TjLmCo3l3</t>
  </si>
  <si>
    <t>https://drive.google.com/file/d/1v1eB7pkh0hekBKma9DT-h8tE2Rbp5_Zi/view?usp=drivesdk</t>
  </si>
  <si>
    <t>6803939</t>
  </si>
  <si>
    <t>นพอ.สุภาวดี สุวรรณโกศัย</t>
  </si>
  <si>
    <t>08.00-16.00</t>
  </si>
  <si>
    <t>https://lh5.googleusercontent.com/d/1EcAjV4ArKxSB5iuH3sV0RMPt-VTvX2vW</t>
  </si>
  <si>
    <t>https://drive.google.com/file/d/1AqbCI-P8i7qUpiFrwi9J3kKLy1IAMbkI/view?usp=drivesdk</t>
  </si>
  <si>
    <t>Big cleaning</t>
  </si>
  <si>
    <t>น.ท.หญิงสุพัตรา ปิ่นแก้ว</t>
  </si>
  <si>
    <t>https://lh5.googleusercontent.com/d/1nlbe9JkWwW8IB7LltMkE4jaEsqwFcQzP</t>
  </si>
  <si>
    <t>https://drive.google.com/file/d/1Xt88P5pOeuqtFITXa7H7lQND1tyEStCp/view?usp=drivesdk</t>
  </si>
  <si>
    <t>0700-0700</t>
  </si>
  <si>
    <t>https://lh5.googleusercontent.com/d/1WP-nRLHZLcMdfLLqFf_xrPFv8wn4O1Vw</t>
  </si>
  <si>
    <t>https://drive.google.com/file/d/1kF9Kl1pVvkigwgQ0GFYYmMnS2W99qQCm/view?usp=drivesdk</t>
  </si>
  <si>
    <t>ฟังบรรยายเตรียมพร้อมคุณแม่ตั้งครรภ์</t>
  </si>
  <si>
    <t>ห้องเรียนนทน.1</t>
  </si>
  <si>
    <t>https://lh5.googleusercontent.com/d/1j3WKrbLKZ5MZxTvmql8oxWXCDyDoXkVx</t>
  </si>
  <si>
    <t>https://drive.google.com/file/d/1uvPY0NMitAm9xa3RcRJtiJouDMMi57zI/view?usp=drivesdk</t>
  </si>
  <si>
    <t>บริจาคโลหิตเนื่องในวันพ่อ</t>
  </si>
  <si>
    <t>โรงพยาบาลพระนครศรีอยุธยา</t>
  </si>
  <si>
    <t>นายนักคะรินทร์ ฤกษ์นาวี</t>
  </si>
  <si>
    <t>https://lh5.googleusercontent.com/d/1-E1s9uJYeEZX3si6hnARKwXuJIToA4rG</t>
  </si>
  <si>
    <t>https://drive.google.com/file/d/1wa5qXDbfsGbEufM0liw35JRHN7Z_1Rws/view?usp=drivesdk</t>
  </si>
  <si>
    <t>ประจำปี 2568 AVIATION MEDICINE IN BANI WORLD เวชศาสตร์การบินกับโลกที่เปลี่ยนแปลง</t>
  </si>
  <si>
    <t>โรงแรมอัศวิน แกรนด์ คอนเวนชั่น</t>
  </si>
  <si>
    <t xml:space="preserve"> ร.อ.ณัฐวุฒิ อุดมศิลป์</t>
  </si>
  <si>
    <t>https://lh5.googleusercontent.com/d/1bAdqK1xDtK4UlfEzmINVjGY2F88wUpf8</t>
  </si>
  <si>
    <t>https://drive.google.com/file/d/11WUZhld8Am4sn_3_Daim7w7GZJXHPGKf/view?usp=drivesdk</t>
  </si>
  <si>
    <t>น.ส.ชลธิชา สุนเชียง</t>
  </si>
  <si>
    <t>https://lh5.googleusercontent.com/d/1nJbRbB6BCHKAw53bNM8EW4iBHGjiPGtt</t>
  </si>
  <si>
    <t>https://drive.google.com/file/d/1OXBMFusmTPdgGTvxF8YFAuqAOmk-h-RH/view?usp=drivesdk</t>
  </si>
  <si>
    <t>ช่วยงานเอกสาร</t>
  </si>
  <si>
    <t>ห้องภาควิชามารดา-ทารกและการผดุงครรภ์</t>
  </si>
  <si>
    <t>https://lh5.googleusercontent.com/d/1FqZLpFD61aQVI_Ys7XgHqw920VURsylG</t>
  </si>
  <si>
    <t>https://drive.google.com/file/d/1ixns3eiRy7Igp1t3i9w65mA1BvfGqzKr/view?usp=drivesdk</t>
  </si>
  <si>
    <t>https://lh5.googleusercontent.com/d/1w8Iz6ETKFQbjouP7ExKdXNYyGTUqs_fk</t>
  </si>
  <si>
    <t>https://drive.google.com/file/d/1sr8W7vWUi_dep8n2_j2kDUmbrR6XZ4pd/view?usp=drivesdk</t>
  </si>
  <si>
    <t>เปิดปิดทีวีอนศ.</t>
  </si>
  <si>
    <t>https://lh5.googleusercontent.com/d/10x0WKBZRm9o8OuHS3Q0li3dluUWIjkeu</t>
  </si>
  <si>
    <t>https://drive.google.com/file/d/1m5co3CqI9PsaqrSw3uxYz1LbcOhM03yD/view?usp=drivesdk</t>
  </si>
  <si>
    <t>https://lh5.googleusercontent.com/d/181Q-gFnMJDnBSaPquvCa7tsVyDuoUwen</t>
  </si>
  <si>
    <t>1139</t>
  </si>
  <si>
    <t>เปรมฤดี การบุรุษ</t>
  </si>
  <si>
    <t>https://lh5.googleusercontent.com/d/1THsUuFRRF-6GEXQOUwBzJy1Ill1Gmq9h</t>
  </si>
  <si>
    <t>https://drive.google.com/file/d/1N5FzNQrpSW8OCYMX3zMRC-MFC_8t5CGi/view?usp=drivesdk</t>
  </si>
  <si>
    <t>6503704</t>
  </si>
  <si>
    <t>นพอ.ณภัทร ทองเจือ</t>
  </si>
  <si>
    <t>0800~1400</t>
  </si>
  <si>
    <t>https://lh5.googleusercontent.com/d/1eeypyGnENZ1RO97mVPHpNAEF6viH1yBi</t>
  </si>
  <si>
    <t>https://drive.google.com/file/d/1QO6V9mINY73NUHV7It37kMb9EA0LBt-C/view?usp=drivesdk</t>
  </si>
  <si>
    <t>ซ้อมงานรับขวัญสวีเเด</t>
  </si>
  <si>
    <t>1800</t>
  </si>
  <si>
    <t>https://lh5.googleusercontent.com/d/1pPVwKCoTDRBPzQHtin2X4skSrnCHBCak</t>
  </si>
  <si>
    <t>https://drive.google.com/file/d/1mfXnj2P-0r2nlfubmhStVAl2PAERYydv/view?usp=drivesdk</t>
  </si>
  <si>
    <t>น.ส.จิรวรรณ พิมพ์เเก้ว</t>
  </si>
  <si>
    <t>https://lh5.googleusercontent.com/d/1MUus3dbbQqewHSvU-XlNsWsu3g6RYkoM</t>
  </si>
  <si>
    <t>https://drive.google.com/file/d/1VrCVTOXph25_yrApKBTUN6Pet_ZNnpWk/view?usp=drivesdk</t>
  </si>
  <si>
    <t>https://lh5.googleusercontent.com/d/1bgsuL6cJGqhExPGXm3PDkp-JHnNu70Jm</t>
  </si>
  <si>
    <t>https://drive.google.com/file/d/1tA6fCgZa4L0PDpGe7qf3YTLgm4l7dni7/view?usp=drivesdk</t>
  </si>
  <si>
    <t>https://lh5.googleusercontent.com/d/1XSClSjDm8gL9NJOwunB2u4vR1krB-I1d</t>
  </si>
  <si>
    <t>https://drive.google.com/file/d/1UipOfl3vS3moxy9yUo6rDTgolEpVGyKJ/view?usp=drivesdk</t>
  </si>
  <si>
    <t>บ้านแพรกกวังตะเคียน</t>
  </si>
  <si>
    <t>https://lh5.googleusercontent.com/d/1WWT2zznuB6rFO66wTI5yOsPT-H_JmVeq</t>
  </si>
  <si>
    <t>https://drive.google.com/file/d/1-9gJ6Rf-h64SUj8uxK4wWnKZrv_vhJ9N/view?usp=drivesdk</t>
  </si>
  <si>
    <t>https://lh5.googleusercontent.com/d/1WQGDP1rfO1Yrg2sfNTe1yaRKfhnm_QtD</t>
  </si>
  <si>
    <t>https://drive.google.com/file/d/1V-DUxuJ6cBYqYYxGs3naSdxt2pDaCjsW/view?usp=drivesdk</t>
  </si>
  <si>
    <t xml:space="preserve">นพอ.ณภัทร ทองเจือ </t>
  </si>
  <si>
    <t>https://lh5.googleusercontent.com/d/1-p7LZOE-RuK7LVpcQYZa5kWjt01oklaz</t>
  </si>
  <si>
    <t>https://drive.google.com/file/d/1_nhRhyKf2eeUYqTtB6pGQoyFQW0U2Q75/view?usp=drivesdk</t>
  </si>
  <si>
    <t>https://lh5.googleusercontent.com/d/1WCWgQtTZsLiZZmUu0veKWBHi5zT3QIs8</t>
  </si>
  <si>
    <t>https://drive.google.com/file/d/1-X4H_aqIabXBL_whqgJaOKpEi5Zzeg9a/view?usp=drivesdk</t>
  </si>
  <si>
    <t>https://lh5.googleusercontent.com/d/19WSr8Z5FpDYMwWI5i6BqtkeDRdB9Ov-X</t>
  </si>
  <si>
    <t>https://drive.google.com/file/d/1EfIw_Cr3P5ZqbPy_-137P17jRClwGDK2/view?usp=drivesdk</t>
  </si>
  <si>
    <t>ทำนุบำรุงศาสนา</t>
  </si>
  <si>
    <t>วัดปากน้ำโจ้โล้</t>
  </si>
  <si>
    <t>https://lh5.googleusercontent.com/d/157Wnd6P4Ppnbkv_LJD6aAdbx-ro3kLRI</t>
  </si>
  <si>
    <t>https://drive.google.com/file/d/1cWM7kEpkSxavTdMA6q4390kArUv_unnQ/view?usp=drivesdk</t>
  </si>
  <si>
    <t>เดินวิ่ง ปั่น ป้องกันอัมพาต</t>
  </si>
  <si>
    <t>ศาลาการจังหวัดฉะเชิงเทรา</t>
  </si>
  <si>
    <t>https://lh5.googleusercontent.com/d/1eW4GuWZabukFApEDSFSTzf9axhrtA4V0</t>
  </si>
  <si>
    <t>https://drive.google.com/file/d/1VCPZhDRh_dCStpu7C3-03FYVCNs5aq4M/view?usp=drivesdk</t>
  </si>
  <si>
    <t>ช่วยขนโต๊ะขึ้นชั้น 4</t>
  </si>
  <si>
    <t>ร.ต.จักรวาล เนื่องสุข</t>
  </si>
  <si>
    <t>https://lh5.googleusercontent.com/d/1ok8Pe1dSm7vBlfuXUfiOR0H6ofCik5Bv</t>
  </si>
  <si>
    <t>https://drive.google.com/file/d/1luzVCq_79IjwcSfwwu_ldSTetFt_7jw3/view?usp=drivesdk</t>
  </si>
  <si>
    <t>https://lh5.googleusercontent.com/d/1LDs6P4jdPLO4eCRTgd2Rcx3I0NcyAN7e</t>
  </si>
  <si>
    <t>https://drive.google.com/file/d/14VbweoCBuv7HeOfI51n_J5PdVtPbFZ_c/view?usp=drivesdk</t>
  </si>
  <si>
    <t>https://lh5.googleusercontent.com/d/13ORRcORJuQGJTP_4iVX3TU3RE6UhFK3j</t>
  </si>
  <si>
    <t>https://drive.google.com/file/d/1VtwDxmUCNR59J53TANDClV4p7tPhwDfZ/view?usp=drivesdk</t>
  </si>
  <si>
    <t>14.00-22.00</t>
  </si>
  <si>
    <t>https://lh5.googleusercontent.com/d/14Lc5huX-ltbMxqnzEgRuqvsUcAf8JbP2</t>
  </si>
  <si>
    <t>https://drive.google.com/file/d/1fj38zQ4JFiFmCk3jens_nxCW_ozyaZhC/view?usp=drivesdk</t>
  </si>
  <si>
    <t>https://lh5.googleusercontent.com/d/1Ys39rQH_sal5HG-qLBFyHupaS_xDyegz</t>
  </si>
  <si>
    <t>https://drive.google.com/file/d/18gqpd2KlAw7P-BWwtn_opS3NYn4ZRnBy/view?usp=drivesdk</t>
  </si>
  <si>
    <t>ประชุมวิชาการวันพยาบาลแห่งชาติ</t>
  </si>
  <si>
    <t>https://lh5.googleusercontent.com/d/1T01N-kr3CUG4G8442iE3PEMRyl6oVKXH</t>
  </si>
  <si>
    <t>https://drive.google.com/file/d/1EgxyS0P6YZRQIvOwEwVNvzUlBkwkpdnm/view?usp=drivesdk</t>
  </si>
  <si>
    <t>งานกาชาด ประจำปี 2568</t>
  </si>
  <si>
    <t>https://lh5.googleusercontent.com/d/1KtPewRyRBTXKnOix90ASW6LMoD7qzVPb</t>
  </si>
  <si>
    <t>https://drive.google.com/file/d/1SOn7VfIadThHwv0z-QyfDnOBZpsN7SLW/view?usp=drivesdk</t>
  </si>
  <si>
    <t>https://lh5.googleusercontent.com/d/1P7tBUd9-Z0xseZmXMs8wQETgIMzg5dcU</t>
  </si>
  <si>
    <t>https://drive.google.com/file/d/1wMshq5SsBM18TU0SWNSf5EflIIpUN8bX/view?usp=drivesdk</t>
  </si>
  <si>
    <t>1700-1730</t>
  </si>
  <si>
    <t>นางอภิญญาพร พลนามอินทร์</t>
  </si>
  <si>
    <t>https://lh5.googleusercontent.com/d/1akCO02fnft8S0SC0YJ-PPof-mFqtYsgd</t>
  </si>
  <si>
    <t>https://drive.google.com/file/d/17ogM1w_MCBJVvEe8fRMBWsjTYbiP9G9z/view?usp=drivesdk</t>
  </si>
  <si>
    <t>https://lh5.googleusercontent.com/d/19Q7l8wNnF-7nmxOkcUydODdofoxKChBo</t>
  </si>
  <si>
    <t>https://drive.google.com/file/d/17VdavaEX1kGC5Bjysdlfn_fgVepHUg9h/view?usp=drivesdk</t>
  </si>
  <si>
    <t>https://lh5.googleusercontent.com/d/1s1osZyt6_vukgzY4gvKgoqir2YVgmxsu</t>
  </si>
  <si>
    <t>https://drive.google.com/file/d/1rWY_jy-MxY4YxQiT7ZLXIRCc9xy56eQf/view?usp=drivesdk</t>
  </si>
  <si>
    <t>https://lh5.googleusercontent.com/d/1RWtPoHmy35cRsi_q2t3S23zEFCjS1WdB</t>
  </si>
  <si>
    <t>https://drive.google.com/file/d/1aQF0KMpEnlELePKe9RudawRn5p5ucZBK/view?usp=drivesdk</t>
  </si>
  <si>
    <t>โรงพยาบาลภูมิพลฯ</t>
  </si>
  <si>
    <t>น.ท.หญิง ละอองดาว วรรณฤทธิ์</t>
  </si>
  <si>
    <t>https://lh5.googleusercontent.com/d/17t2c38KULfy5VAsRd9zFUfr4ujRtstDa</t>
  </si>
  <si>
    <t>https://drive.google.com/file/d/1lYD5ShlTm1AY3rdOv3zBsCDI_fGc_bic/view?usp=drivesdk</t>
  </si>
  <si>
    <t>6503752</t>
  </si>
  <si>
    <t>นพอ.อนัญญา  ขอประเสริฐสุข</t>
  </si>
  <si>
    <t>วันรักต้นไม้ประจำปีของชาติ พ.ศ.2568</t>
  </si>
  <si>
    <t>นายเวคิน  เจียโหงว</t>
  </si>
  <si>
    <t>https://lh5.googleusercontent.com/d/1DO_2siQQXdyKKjsT3SepfTYsX8wlecbW</t>
  </si>
  <si>
    <t>https://drive.google.com/file/d/1iaYg-bS80ejiY_x0JH9KU3uvIHeY9N_z/view?usp=drivesdk</t>
  </si>
  <si>
    <t>นพอ.อนัญญา ขอประเสริฐสุข</t>
  </si>
  <si>
    <t>https://lh5.googleusercontent.com/d/1drQMyhHZeKrRm9JC9ihxkSzN2x-PBhsH</t>
  </si>
  <si>
    <t>https://drive.google.com/file/d/1XwvNg3AdNzP2vr6LmoGJA14JN2ZbIXB7/view?usp=drivesdk</t>
  </si>
  <si>
    <t>6603791</t>
  </si>
  <si>
    <t>นพอ.พรทิพย์ หงษ์มณี</t>
  </si>
  <si>
    <t>คอนเสิร์ตทัพฟ้าคู่ไทย ครั้งที่16</t>
  </si>
  <si>
    <t>1600-2300</t>
  </si>
  <si>
    <t>https://lh5.googleusercontent.com/d/1KQbOaQtklkZ_CAn6L4HSTC19MdGvul4D</t>
  </si>
  <si>
    <t>https://drive.google.com/file/d/1KjtzkvPUDifSCB2cxMQBZFKzJxin_isV/view?usp=drivesdk</t>
  </si>
  <si>
    <t>ร.ต.หญิง สุริยกาล  มงคลมะไฟ</t>
  </si>
  <si>
    <t>https://lh5.googleusercontent.com/d/1ynNFJXG1umWj_U_IkCxsroNv7uz9XRhd</t>
  </si>
  <si>
    <t>https://drive.google.com/file/d/1auskKs8Ljb1mZJkvGv7KXgnV-HZYjNFi/view?usp=drivesdk</t>
  </si>
  <si>
    <t xml:space="preserve">คอนเสิร์ตทัพฟ้าคู่ไทย ครั้งที่ 16 </t>
  </si>
  <si>
    <t>https://lh5.googleusercontent.com/d/1xzLmr0i4iLDazPFoAulyepGDq2CyHQ5e</t>
  </si>
  <si>
    <t>https://drive.google.com/file/d/1zJD5gReJ2WxKfZlkQt08vRNbTUejHZ68/view?usp=drivesdk</t>
  </si>
  <si>
    <t>6603755</t>
  </si>
  <si>
    <t>นพอ.กฤตินันท์ ฉิมพาลี</t>
  </si>
  <si>
    <t>https://lh5.googleusercontent.com/d/1yDOXJTG04_CBk56sqDBi-T4fwdVokie2</t>
  </si>
  <si>
    <t>https://drive.google.com/file/d/16ktnIIeeydvCbChw2Xmtib9tyFLl1ja4/view?usp=drivesdk</t>
  </si>
  <si>
    <t>นพอ.พรทิพย์  หงษ์มณี</t>
  </si>
  <si>
    <t>รับเสด็จงานปริญญา</t>
  </si>
  <si>
    <t>https://lh5.googleusercontent.com/d/18eRZHnDcFPbfcpglFmdjFc0dfsXyPMva</t>
  </si>
  <si>
    <t>https://drive.google.com/file/d/16Y90WUnAoNM-yYL_ZS0mR8KOi0cHLtuh/view?usp=drivesdk</t>
  </si>
  <si>
    <t xml:space="preserve">นพอ.กฤตินันท์ ฉิมพาลี </t>
  </si>
  <si>
    <t>https://lh5.googleusercontent.com/d/1gZNjpY9oy905s2Ggz0yMK1-U3exVfbU1</t>
  </si>
  <si>
    <t>https://drive.google.com/file/d/1mZr3xlq35_s9qgWJW-Ge0FhT6eCC3zsj/view?usp=drivesdk</t>
  </si>
  <si>
    <t>รับเสด็จ วันรับปริญญา มหิดล</t>
  </si>
  <si>
    <t>https://lh5.googleusercontent.com/d/14Nz4kfPk4mTElLIVNCeYKgdymHO_mLje</t>
  </si>
  <si>
    <t>https://drive.google.com/file/d/1Lpl7BlwadlOrAg2w4rqN3zwGenLsnnnq/view?usp=drivesdk</t>
  </si>
  <si>
    <t>บริการวิชาการ</t>
  </si>
  <si>
    <t>https://lh5.googleusercontent.com/d/1unuqbBwXC19f4pErgVUOpoxF2ETRljDm</t>
  </si>
  <si>
    <t>https://drive.google.com/file/d/1CSQQ-Ah9zHQDhsauByADjuhPE8JRYJff/view?usp=drivesdk</t>
  </si>
  <si>
    <t>ศูนย์วัฒนธรรมประเทศไทย</t>
  </si>
  <si>
    <t>https://lh5.googleusercontent.com/d/1XAf_5lKXg7mCs4ebXgnIUpYMXDbrTsq2</t>
  </si>
  <si>
    <t>https://drive.google.com/file/d/1f9o1AV32KgnojGvVFAAe6Fx4h9F1v4Y_/view?usp=drivesdk</t>
  </si>
  <si>
    <t>ประชุมวิชาการพยาบาลยุคใหม่</t>
  </si>
  <si>
    <t>ห้องประชุมธูปเตย์มี</t>
  </si>
  <si>
    <t>https://lh5.googleusercontent.com/d/1zl59eaAKw3YlDduYhwWVnDQc7GMRDsUW</t>
  </si>
  <si>
    <t>https://drive.google.com/file/d/1BY_5Z64W285SZ6CWmj5rUY_qXpIVofRb/view?usp=drivesdk</t>
  </si>
  <si>
    <t>https://lh5.googleusercontent.com/d/1zRlypSOK-mIZekahNo_OSkS7QGe1hiex</t>
  </si>
  <si>
    <t>https://drive.google.com/file/d/1ugCaYHS6Z2jrkd7pTlFgz-RFuIKkBbvv/view?usp=drivesdk</t>
  </si>
  <si>
    <t>https://lh5.googleusercontent.com/d/1UROj0wAcCquf6t2HDvWroNyw7GJ0T5kq</t>
  </si>
  <si>
    <t>https://drive.google.com/file/d/1ZvgTJ9b_yfNW-cJEBJOT_D2ox6f1mKeC/view?usp=drivesdk</t>
  </si>
  <si>
    <t>กิจกรรมรับน้องนพอ.รุ่นที่ 68</t>
  </si>
  <si>
    <t>https://lh5.googleusercontent.com/d/1jT04_LxCyEd-D8gG8hwTgPMdSnroxlVj</t>
  </si>
  <si>
    <t>https://drive.google.com/file/d/1l8G_uOIbizDKjvVxZdWFLi8fblAvYw6a/view?usp=drivesdk</t>
  </si>
  <si>
    <t xml:space="preserve">รับน้องนพอ.รุ่นที่ 68 </t>
  </si>
  <si>
    <t>https://lh5.googleusercontent.com/d/1BWcGHppYhTJ-lS6y1hYjOnASc_6_VVyh</t>
  </si>
  <si>
    <t>https://drive.google.com/file/d/1GcyHEzhCQc-VinIKD3zHnjr2DyS7xe70/view?usp=drivesdk</t>
  </si>
  <si>
    <t>ช่วยจัดงานกฐิน</t>
  </si>
  <si>
    <t>https://lh5.googleusercontent.com/d/1SrKOe_L2BclaXgXfVaCLwhcFv-z_sN-L</t>
  </si>
  <si>
    <t>https://drive.google.com/file/d/1xyerAmuaEMelu0aZCGaLPya4WXv4dLSC/view?usp=drivesdk</t>
  </si>
  <si>
    <t>https://lh5.googleusercontent.com/d/1ugHbb2R_DDyiAb4xTV-3gWQmIPXh_tFt</t>
  </si>
  <si>
    <t>https://drive.google.com/file/d/1hmEPyRNyaur5ariTLszQJdL7Ychiovhu/view?usp=drivesdk</t>
  </si>
  <si>
    <t>นายเวคิน เจีโหงว</t>
  </si>
  <si>
    <t>https://lh5.googleusercontent.com/d/1R2j63sWQIv--GSqneWD1eoEVfeo8yQpd</t>
  </si>
  <si>
    <t>https://drive.google.com/file/d/1DehDfmU8cdNBUbSCn-_lRRSB1QwrpE2C/view?usp=drivesdk</t>
  </si>
  <si>
    <t>https://lh5.googleusercontent.com/d/1Rl-aezzxwbv7wO1c8LcEPII4uugnnHdg</t>
  </si>
  <si>
    <t>https://drive.google.com/file/d/1mwAV6zI4nbxZyWn65po6BkwQoDjPut89/view?usp=drivesdk</t>
  </si>
  <si>
    <t>https://lh5.googleusercontent.com/d/1aQtPtbAY61Xa21QwO3ly-dn6pixm8FN1</t>
  </si>
  <si>
    <t>https://drive.google.com/file/d/1xPRyxPfpz3ss5KMMqO2fVSPaTiaBdDWJ/view?usp=drivesdk</t>
  </si>
  <si>
    <t>6803935</t>
  </si>
  <si>
    <t>นพอ.วีรวัฒน์ ทัศน์จันดา</t>
  </si>
  <si>
    <t>https://lh5.googleusercontent.com/d/1hzyM5ZI3VyYtselARUbr1h9DfCB7Vkd4</t>
  </si>
  <si>
    <t>https://drive.google.com/file/d/1E2k9VLhKncGN8nPWwlrto2ajksRUZmOO/view?usp=drivesdk</t>
  </si>
  <si>
    <t>โครงการคัดกรองสุขภาพเชิงรุกกำลังพลทอ</t>
  </si>
  <si>
    <t>https://lh5.googleusercontent.com/d/1ZmtS5-l9zUcANO9YZ0R7G5tUteE-MuFO</t>
  </si>
  <si>
    <t>https://drive.google.com/file/d/1Eap10EPgI6yBoSJjVUJeMLJBUn_vKjFz/view?usp=drivesdk</t>
  </si>
  <si>
    <t>0700-0745</t>
  </si>
  <si>
    <t>https://lh5.googleusercontent.com/d/1bQxv0Kic-r0rxVb8Wgo81Hywc3ctd307</t>
  </si>
  <si>
    <t>https://drive.google.com/file/d/11-aEeKMmB7HE5b5JATy5nY7qXrcs_M7d/view?usp=drivesdk</t>
  </si>
  <si>
    <t>https://lh5.googleusercontent.com/d/1XISlZQgfpFxfPxTBDhbMtfHS9JI1GU5b</t>
  </si>
  <si>
    <t>https://drive.google.com/file/d/1k7TgVLv3gdGSm0sBZRWlZrXoxOzjrcQr/view?usp=drivesdk</t>
  </si>
  <si>
    <t>https://lh5.googleusercontent.com/d/1VqIRyKfusVB8E7Oh4qx3OpVuuBT-rJ_8</t>
  </si>
  <si>
    <t>https://drive.google.com/file/d/1Qm_qC5eAr3SxqnhvUJvjK4vNn6E7_jOR/view?usp=drivesdk</t>
  </si>
  <si>
    <t>https://lh5.googleusercontent.com/d/1iLpR9D3kligbjgdfLP5vrGYScUsEnkUq</t>
  </si>
  <si>
    <t>https://drive.google.com/file/d/1YVUxdLlc4fFnB1Ubq6Kt8VbECT6VkBZi/view?usp=drivesdk</t>
  </si>
  <si>
    <t>https://lh5.googleusercontent.com/d/1I5WNu6w_H_srlZgXwxy4sTrqpXFDsiDo</t>
  </si>
  <si>
    <t>https://drive.google.com/file/d/1wPspcLBFUotCgmfMZESuLJKtv50ghqZ9/view?usp=drivesdk</t>
  </si>
  <si>
    <t>6803897</t>
  </si>
  <si>
    <t>นพอ.ณัฐญา ชลอปัญจศิลป์</t>
  </si>
  <si>
    <t>อบรมงานไซเบอร์</t>
  </si>
  <si>
    <t>https://lh5.googleusercontent.com/d/1U_iqrBcohHSL9tzAOhn5XlTN5HgxvfSN</t>
  </si>
  <si>
    <t>https://drive.google.com/file/d/1jWLZtf029Y7XUZPC1HFG5GiY2HAeXput/view?usp=drivesdk</t>
  </si>
  <si>
    <t>https://lh5.googleusercontent.com/d/1Fli1w-SQsVfL_23ouDrEdVpdJmS3il9r</t>
  </si>
  <si>
    <t>https://drive.google.com/file/d/1Ju3Wir8KgBut4UHbX3Aly6rbpR4o_5Pm/view?usp=drivesdk</t>
  </si>
  <si>
    <t>https://lh5.googleusercontent.com/d/11OpGpCnYS3_6NxErZnLShg-BPF_A-Tou</t>
  </si>
  <si>
    <t>https://drive.google.com/file/d/1En0me2x6arXMk7ThvSgjIFr8aUIrgqI4/view?usp=drivesdk</t>
  </si>
  <si>
    <t>https://lh5.googleusercontent.com/d/1F2jfmgT3vd7qP5vznfUmdgqm8862fCKC</t>
  </si>
  <si>
    <t>https://drive.google.com/file/d/1R5KqYhLPJg3CUkvhubJrYOFPjWfneR0Q/view?usp=drivesdk</t>
  </si>
  <si>
    <t>ไซเบอร์</t>
  </si>
  <si>
    <t>0700-1700</t>
  </si>
  <si>
    <t>https://lh5.googleusercontent.com/d/1BBaBUu3ChjHgysKlzCcfj1bFUewcecfl</t>
  </si>
  <si>
    <t>https://drive.google.com/file/d/1m8KW8XM5Zl887U5l3vKa3ceJ9YwBAJV0/view?usp=drivesdk</t>
  </si>
  <si>
    <t>เต่าตัวน้อยกับรอยตระไคร่ที่หายไป</t>
  </si>
  <si>
    <t>ศูนย์อนุรักษ์พันธุ์เต่าทะเล อ.สัตหีบ จ.ชลบุรี</t>
  </si>
  <si>
    <t>08.00-13.00</t>
  </si>
  <si>
    <t>ทิพย์ชยพล ปาริณาพัฒน์นรี</t>
  </si>
  <si>
    <t>https://lh5.googleusercontent.com/d/1lSfJlv3pCr14oFa8TaD0r0mM2_nA2c9u</t>
  </si>
  <si>
    <t>https://drive.google.com/file/d/1pYVZEUxr6rRv38Rz9lDaVrWlNcJoqdU3/view?usp=drivesdk</t>
  </si>
  <si>
    <t>https://lh5.googleusercontent.com/d/1OVwJxOMc48wl9Y9K8YO3p5IYL2fc0aLY</t>
  </si>
  <si>
    <t>https://drive.google.com/file/d/12gF70yEGn2Unkc5E0sHb1Jg0NgmwKSsT/view?usp=drivesdk</t>
  </si>
  <si>
    <t>ลงนามถวายพระพรเนื่องในโอกาสศวรรคตพระพันปรหลวง</t>
  </si>
  <si>
    <t>https://lh5.googleusercontent.com/d/1-_Xcz6aZuOIQUxIXZgeTU2Q9E7COTlE3</t>
  </si>
  <si>
    <t>https://drive.google.com/file/d/1qiTbsCfHSQ3lE-sa9BjQQoJbwCNfLadO/view?usp=drivesdk</t>
  </si>
  <si>
    <t>https://lh5.googleusercontent.com/d/1DNf6PUVr0oEpMddmV2eX93vA5V99QKP0</t>
  </si>
  <si>
    <t>https://drive.google.com/file/d/1SVQVP9KxSxzf5HahgnbzXeU2pXSeftPQ/view?usp=drivesdk</t>
  </si>
  <si>
    <t>https://lh5.googleusercontent.com/d/1c6lrGGvHqOFjVArRF-FvsPhfLTgAZqEU</t>
  </si>
  <si>
    <t>https://drive.google.com/file/d/1uCZUWHBi4nusETdEIPLhF8Ve2Ncv_7VS/view?usp=drivesdk</t>
  </si>
  <si>
    <t>กวาดบ้านถูบ้าน</t>
  </si>
  <si>
    <t>นางวันเพ็ญ แจ้งปกรณ์กิจ</t>
  </si>
  <si>
    <t>https://lh5.googleusercontent.com/d/1OTvKqvqncb351-LkB-r2HM2ffo7I7_ew</t>
  </si>
  <si>
    <t>https://drive.google.com/file/d/1jHRKCyR0mgwUnl2WMvEbpNxs5f7t1iLv/view?usp=drivesdk</t>
  </si>
  <si>
    <t>https://lh5.googleusercontent.com/d/1DM7tbOya2r1hMyR2hqX7TbihGGCQB62O</t>
  </si>
  <si>
    <t>https://drive.google.com/file/d/1r8jYDJHXInwvOb4bG6jBi0mDWw970sp7/view?usp=drivesdk</t>
  </si>
  <si>
    <t>https://lh5.googleusercontent.com/d/1R29uFzY6wMns68evv9MAqqWL_66eBdnN</t>
  </si>
  <si>
    <t>https://drive.google.com/file/d/1PEctnh5p76Mhi1R_GLyeCzVNXYf88z4t/view?usp=drivesdk</t>
  </si>
  <si>
    <t>รดน้ำต้นไม้ ล้างจาน</t>
  </si>
  <si>
    <t>https://lh5.googleusercontent.com/d/1XkNewolfLJJTDXKvbbvv62hRbJnjEbyM</t>
  </si>
  <si>
    <t>https://drive.google.com/file/d/1jhIrF0qFLC0EpxrBYwX4Ppt7V4NsACPe/view?usp=drivesdk</t>
  </si>
  <si>
    <t>https://lh5.googleusercontent.com/d/1Bwy42yQCzVnp-WOSjs3_fcjvmY-cGGE0</t>
  </si>
  <si>
    <t>https://drive.google.com/file/d/1bg6lH5rrJMzpikfuGoUOgG3qHoKxusz7/view?usp=drivesdk</t>
  </si>
  <si>
    <t>https://lh5.googleusercontent.com/d/18Me8qvgP63L-30ucWYheq3dYk7RXV4g5</t>
  </si>
  <si>
    <t>https://drive.google.com/file/d/1tsH4GWKDAbwhvkkcxJSgv6SxRv3bGxDa/view?usp=drivesdk</t>
  </si>
  <si>
    <t>https://lh5.googleusercontent.com/d/11PUoegeY1fFvy3hE0fft3ZcFH0pIxnYL</t>
  </si>
  <si>
    <t>https://drive.google.com/file/d/17B-FkRpb-lTV_a4Hve9-8rYIjTV7tONz/view?usp=drivesdk</t>
  </si>
  <si>
    <t>07301230</t>
  </si>
  <si>
    <t>https://lh5.googleusercontent.com/d/1fIsFwZGRW0O09d-x5OaEw1FnhYLmurWd</t>
  </si>
  <si>
    <t>https://drive.google.com/file/d/1nFVfzBmk7e9yJ1Gq8_DNzuYEdInFUZT2/view?usp=drivesdk</t>
  </si>
  <si>
    <t>https://lh5.googleusercontent.com/d/1YaPrS4BfvcAECYu5W3DHuEmcGA9-OoTl</t>
  </si>
  <si>
    <t>https://drive.google.com/file/d/1O-LTYwFtqYqFbignQLxm6lcrpnD3F05P/view?usp=drivesdk</t>
  </si>
  <si>
    <t>https://lh5.googleusercontent.com/d/1GiLfkUIPWmp_A0QAjbSBnK-ZFbz650Hx</t>
  </si>
  <si>
    <t>https://drive.google.com/file/d/16yFvjOJexPoo11t6OHp8wWy_eagdSzeR/view?usp=drivesdk</t>
  </si>
  <si>
    <t>https://lh5.googleusercontent.com/d/1SIBVxurUcXgAM1qUTXcmJ5ni7BCopw25</t>
  </si>
  <si>
    <t>https://drive.google.com/file/d/1xGmIJXDqv1DSD-aasfUjeNlW1KZ096KX/view?usp=drivesdk</t>
  </si>
  <si>
    <t>ช่วยแพ็คเสื้อ</t>
  </si>
  <si>
    <t>https://lh5.googleusercontent.com/d/1FWqRx5DTuBHBI5FA0Xo1K9S65wHv2Dl7</t>
  </si>
  <si>
    <t>https://drive.google.com/file/d/1ckddMiKRv3rJHIUk8gnG2TVNa1tChVAz/view?usp=drivesdk</t>
  </si>
  <si>
    <t>https://lh5.googleusercontent.com/d/1DbIPfQEZVVn_tXudE6-buZfyCwsfaxTJ</t>
  </si>
  <si>
    <t>https://drive.google.com/file/d/1J9zdUzv2KGUm87gR4h9h8Aq-Qg2LkgRX/view?usp=drivesdk</t>
  </si>
  <si>
    <t>วิ่งเพื่อการศึกษา</t>
  </si>
  <si>
    <t>ประจวบคีรีขันธ์</t>
  </si>
  <si>
    <t>05.30น.</t>
  </si>
  <si>
    <t>น.ท.ณัฐชาติ เอี๊ยะมณี</t>
  </si>
  <si>
    <t>https://lh5.googleusercontent.com/d/1HNVMkliQ8cf2EInjmKR3at7M_7GMEmBr</t>
  </si>
  <si>
    <t>https://drive.google.com/file/d/1vzRLX4xdLqrq9kcq8-a-PePBM6D1z3gP/view?usp=drivesdk</t>
  </si>
  <si>
    <t>https://lh5.googleusercontent.com/d/1GlMqzlYRYo0gDa6jLg4T_eFgaG7ejMY1</t>
  </si>
  <si>
    <t>https://drive.google.com/file/d/1kuVNf4D8Kd4N6_PyQtE4kf3h8QEDc4ye/view?usp=drivesdk</t>
  </si>
  <si>
    <t>https://lh5.googleusercontent.com/d/1DDefk_LNoyj2gxhYGHkrtXJq1LcoQYrg</t>
  </si>
  <si>
    <t>https://drive.google.com/file/d/1mdqy_QknDSbL_05hvJo7TR9P-JmE6yGK/view?usp=drivesdk</t>
  </si>
  <si>
    <t>https://lh5.googleusercontent.com/d/1Vg2y3qs8AUMzThZBCfXLgbeV2CtfuVqr</t>
  </si>
  <si>
    <t>https://drive.google.com/file/d/1_NPLyWRgSF5_mrCXVN3S9yv8gGdqwujl/view?usp=drivesdk</t>
  </si>
  <si>
    <t>https://lh5.googleusercontent.com/d/15IeXvNy__ERzf92XfbQzRPqz7cxQmSRg</t>
  </si>
  <si>
    <t>https://drive.google.com/file/d/1i-2TR0Ak_ZNns691GLpveIwyQFTn4Q38/view?usp=drivesdk</t>
  </si>
  <si>
    <t>https://lh5.googleusercontent.com/d/14Bch7I-v9_zG48l4_9Drhlf8GOV8Wgmf</t>
  </si>
  <si>
    <t>https://drive.google.com/file/d/1kPki8msZWndMk1-Hh0-7bietdSCg9jKW/view?usp=drivesdk</t>
  </si>
  <si>
    <t>https://lh5.googleusercontent.com/d/1s3xCAcN_1pNA6E39EOntGP_YvPPx06bp</t>
  </si>
  <si>
    <t>https://drive.google.com/file/d/1oomn7V4joykSRU_7X6IRsqW3L27QEEtT/view?usp=drivesdk</t>
  </si>
  <si>
    <t>15.00</t>
  </si>
  <si>
    <t>https://lh5.googleusercontent.com/d/1spph5Z4lpnPzepsZnUpGmhZWt7Xz624O</t>
  </si>
  <si>
    <t>https://drive.google.com/file/d/1I0nqnzpE4zzm8wOthGcIOp4CNbQaUrQO/view?usp=drivesdk</t>
  </si>
  <si>
    <t>https://lh5.googleusercontent.com/d/1t11YuaOB3S3p2FrMOp-4xKkVLHEWiP1t</t>
  </si>
  <si>
    <t>https://drive.google.com/file/d/1S8ZshzNO8zzjdUoDQHYoo6XNkmTlOZbZ/view?usp=drivesdk</t>
  </si>
  <si>
    <t>https://lh5.googleusercontent.com/d/1nz2yTLE7SalRMFotn87IJFrhSD-TcAnw</t>
  </si>
  <si>
    <t>https://drive.google.com/file/d/1_g2Qdo1ocXMDk6PYD4SwDInIJQeLS6H4/view?usp=drivesdk</t>
  </si>
  <si>
    <t>https://lh5.googleusercontent.com/d/1voURybcNVW-vcFtVfZBI88cmw93XuLyM</t>
  </si>
  <si>
    <t>https://drive.google.com/file/d/1vPk4YsQmsRZUZ6xIBwF5LnBbSN0VBATE/view?usp=drivesdk</t>
  </si>
  <si>
    <t>ช่วยงานวัดรับผิดชอบผ้าป่าลอยฟ้า</t>
  </si>
  <si>
    <t>วัดเทพกัญญาราม</t>
  </si>
  <si>
    <t>0730-1130</t>
  </si>
  <si>
    <t>อวยพร ออละมาลี</t>
  </si>
  <si>
    <t>https://lh5.googleusercontent.com/d/1Okcj0dOQADdi2xnESH_XEdq5yEz-3zFY</t>
  </si>
  <si>
    <t>https://drive.google.com/file/d/1cGJgqvKsNgFS5pA5xHecWrJUEdGWcX7h/view?usp=drivesdk</t>
  </si>
  <si>
    <t>นพอ.นิศารัตน์ ปลุกใจ</t>
  </si>
  <si>
    <t xml:space="preserve"> ตรวจสอบอุปกรณ์ฝ่ายคอมพิวเตอร์ ประจำเดือนสิงหาคม ปี 2568</t>
  </si>
  <si>
    <t>ห้องศึกษาด้วยตนเอง ชั้น 2 หอพัก นพอ.</t>
  </si>
  <si>
    <t>1900-2100 น.</t>
  </si>
  <si>
    <t>https://lh5.googleusercontent.com/d/1RHLO_nM6hlbIgxlf-vRIyLJiiEOKp5JI</t>
  </si>
  <si>
    <t>https://drive.google.com/file/d/1tCLUyKpj_2jDMq8l1yUAYW0FEnKNCrjr/view?usp=drivesdk</t>
  </si>
  <si>
    <t>พลอยปภัส มากใหม่</t>
  </si>
  <si>
    <t>กาชาด</t>
  </si>
  <si>
    <t>15:00</t>
  </si>
  <si>
    <t>https://lh5.googleusercontent.com/d/1Z2hHYcCWS2jP0WQrv8rO2XMCKYItk3q5</t>
  </si>
  <si>
    <t>https://drive.google.com/file/d/1YAwCDtkg1rXT6MtHJpl9lAdj5HS7ZQvC/view?usp=drivesdk</t>
  </si>
  <si>
    <t>โรงพยาบาลศูนย์ขอนแก่น</t>
  </si>
  <si>
    <t>1100-1140</t>
  </si>
  <si>
    <t>https://lh5.googleusercontent.com/d/1_6T7TFSd0zwsYloNr2LJzE_RtNLhwLTd</t>
  </si>
  <si>
    <t>https://lh5.googleusercontent.com/d/13j1y5smqKJnOru9fRXFLBm-RNvRsl8t0</t>
  </si>
  <si>
    <t>https://drive.google.com/file/d/1KWh2jo6fu3LwnIHcVhjb8RObS_NednSj/view?usp=drivesdk</t>
  </si>
  <si>
    <t>บริจาคฝากระป๋องเพื่อทำขาเทียม</t>
  </si>
  <si>
    <t>มูลนิธิขาเทียม</t>
  </si>
  <si>
    <t>มูลนิธิขาเทียม ในสมเด็จพระศรีนครินทราบรมราชชนนี</t>
  </si>
  <si>
    <t>https://lh5.googleusercontent.com/d/1wb1ZFD3Hs40SDBAS5UpdPnDrOPTSo4bX</t>
  </si>
  <si>
    <t>https://drive.google.com/file/d/1A46i7gnT3ux4cZD-LyK9St9zO0O357VA/view?usp=drivesdk</t>
  </si>
  <si>
    <t>https://lh5.googleusercontent.com/d/1D-c9W9Wt3vbBnlXuGfbFBetMOa5jvs3o</t>
  </si>
  <si>
    <t>https://drive.google.com/file/d/1AZJk8u7ixf-iKbSiaLDtLgHLHDJscZ6n/view?usp=drivesdk</t>
  </si>
  <si>
    <t>แจกเฉาก๊วยที่โรงทาน</t>
  </si>
  <si>
    <t>https://lh5.googleusercontent.com/d/1ryx-lIhP6UCJucuskSwOhoNJXrAZJ62V</t>
  </si>
  <si>
    <t>https://drive.google.com/file/d/1hzoZXBIJ-ahiMOiJ-rjKz0KyHdadJszf/view?usp=drivesdk</t>
  </si>
  <si>
    <t>ถวายความอาลัยต่อพระพันปีหลวง</t>
  </si>
  <si>
    <t>โรงพยาบาลภูมิพลอดุยเดช</t>
  </si>
  <si>
    <t>https://lh5.googleusercontent.com/d/1aAoSV3zRQRYsnr0gP09zwMl7YkyE45Dj</t>
  </si>
  <si>
    <t>https://drive.google.com/file/d/151qq083Cy9QkL3orPvAsP7awA_OCnh3h/view?usp=drivesdk</t>
  </si>
  <si>
    <t>https://lh5.googleusercontent.com/d/1_RSeizpLRxkgWhAVi-WkkHN2lS8TutAQ</t>
  </si>
  <si>
    <t>https://drive.google.com/file/d/1tjVDsVS_dVW1S6dMqiT9WtmrKFHhhwOR/view?usp=drivesdk</t>
  </si>
  <si>
    <t>วัดเขาวง</t>
  </si>
  <si>
    <t>คนึงนิจ ชลอปัญจศิลป์</t>
  </si>
  <si>
    <t>https://lh5.googleusercontent.com/d/187cYe9MGMVov4l35B34fU29DNkcJ9TsS</t>
  </si>
  <si>
    <t>https://drive.google.com/file/d/1Yv9GIegNquupLKnvC7zPCq4QYChy9wE9/view?usp=drivesdk</t>
  </si>
  <si>
    <t>6903903</t>
  </si>
  <si>
    <t>ช่วยเตรียมสถานที่จัดงานมุทิตาจิต</t>
  </si>
  <si>
    <t>https://lh5.googleusercontent.com/d/1YonS7XgykYTPObu2k-ubF9lBWFZMa85o</t>
  </si>
  <si>
    <t>https://drive.google.com/file/d/1EWp1lB1ZtBr3G2-Mx0ExijvJ97wXJXaQ/view?usp=drivesdk</t>
  </si>
  <si>
    <t>https://lh5.googleusercontent.com/d/1vj_wtijGwuN6JRGlPn4PKvN_t8fCAsaM</t>
  </si>
  <si>
    <t>https://drive.google.com/file/d/1aSJRIcintQwUF_txk3YfMa6QSHfUIs2X/view?usp=drivesdk</t>
  </si>
  <si>
    <t>ส่งคณะศึกษาดูงานรร.พยาบาลกห.กล.ต.(สาธารณรัฐเกาหลี)</t>
  </si>
  <si>
    <t>น.ต.หญิง ประไพศรี ศุภางค์กร</t>
  </si>
  <si>
    <t>https://lh5.googleusercontent.com/d/1QmZUlWS6ixX6abzkV8QZeFKu7HqmzOkc</t>
  </si>
  <si>
    <t>https://drive.google.com/file/d/1a_yjnChzfsuViLPgRpL6VMM1MeexiRVG/view?usp=drivesdk</t>
  </si>
  <si>
    <t>6503705</t>
  </si>
  <si>
    <t>นพอ.ณัฐกมล สัมพวงค์</t>
  </si>
  <si>
    <t>จ.ฉะเชิงเทรา</t>
  </si>
  <si>
    <t>0900-1500</t>
  </si>
  <si>
    <t>น.ต.ณภัทรชนม์ มีสุขมาก</t>
  </si>
  <si>
    <t>https://lh5.googleusercontent.com/d/1mY7ywOMiYaEacD2OVTXKIr_8-kzhcqML</t>
  </si>
  <si>
    <t>https://drive.google.com/file/d/1EpZTx3505RsozRkpGriyUhxBwKpQonBW/view?usp=drivesdk</t>
  </si>
  <si>
    <t>ตรวจคัดกรองสุขภาพสุขภาพเชิงรุก ทอ.</t>
  </si>
  <si>
    <t>สโมสรชั้นประทวน</t>
  </si>
  <si>
    <t>https://lh5.googleusercontent.com/d/1-4qogj0UuXKb2NAERw-oxA551L5TsKnd</t>
  </si>
  <si>
    <t>https://drive.google.com/file/d/1k_epxbic7rxQXPLHHt-rZDLKmQL5UL8z/view?usp=drivesdk</t>
  </si>
  <si>
    <t>https://lh5.googleusercontent.com/d/1idX39Jz1Nm8298a27Ggf7ggj1lki_6A1</t>
  </si>
  <si>
    <t>https://drive.google.com/file/d/1LW4osDAuWE9Hl6UZrCDpWjZ4NLmySe-i/view?usp=drivesdk</t>
  </si>
  <si>
    <t>https://lh5.googleusercontent.com/d/17Mp3aRCAnxMhau5eZSlpCLkWT4jSibSg</t>
  </si>
  <si>
    <t>https://drive.google.com/file/d/15fVAlyfQEjUu2EtrPt55Pb440URe1t41/view?usp=drivesdk</t>
  </si>
  <si>
    <t>นพอ.ณิชกานต์ เคนออง</t>
  </si>
  <si>
    <t>https://lh5.googleusercontent.com/d/1jrTVOcXiCefT0FOaFylgnrZ4g7dFyDor</t>
  </si>
  <si>
    <t>https://drive.google.com/file/d/1yK0XwP89eahjWwSNN7H2xoN7cayYJaeE/view?usp=drivesdk</t>
  </si>
  <si>
    <t>https://lh5.googleusercontent.com/d/1NIzTNhYLn9THWWTKctOfEIurcUMB3Eln</t>
  </si>
  <si>
    <t>https://drive.google.com/file/d/1uiuX-1L4ub1xag6JrG38qFK8MDOYApBp/view?usp=drivesdk</t>
  </si>
  <si>
    <t>เข้าแถวเคารพธงชาติ</t>
  </si>
  <si>
    <t>https://lh5.googleusercontent.com/d/1Md-eGo1rnY65vEswIu4dXNjTnoJ3-a9F</t>
  </si>
  <si>
    <t>https://drive.google.com/file/d/16lmQADj4ae6y2NUUidRT3PcMD79KkBIM/view?usp=drivesdk</t>
  </si>
  <si>
    <t>https://lh5.googleusercontent.com/d/1VaVXt8G8C-dx0oNNwtNEzv3W0HTGBDge</t>
  </si>
  <si>
    <t>https://drive.google.com/file/d/11HpUR8x-UM8sf8-AlFafd2T4sOFaM7M8/view?usp=drivesdk</t>
  </si>
  <si>
    <t>https://lh5.googleusercontent.com/d/1rfuDFmFc1oeKYs3msn9C6LN2I7TVHs2E</t>
  </si>
  <si>
    <t>https://drive.google.com/file/d/1WAdOl7_BnzirPxqpOmJqRzqhOj2w2tTE/view?usp=drivesdk</t>
  </si>
  <si>
    <t>6603785</t>
  </si>
  <si>
    <t>นพอ.ประชาธิปไตย ปู่คาน</t>
  </si>
  <si>
    <t>https://lh5.googleusercontent.com/d/1MEU_KrXgqIeByGVwKcrkidJkCOStsy0E</t>
  </si>
  <si>
    <t>https://drive.google.com/file/d/1BzKEbt6bNYXy6sUfR9xTZK7htZVTAvEc/view?usp=drivesdk</t>
  </si>
  <si>
    <t>https://lh5.googleusercontent.com/d/1hM-o0T6TaO-YLuOIbvqS8M0M0noZ-SgU</t>
  </si>
  <si>
    <t>https://drive.google.com/file/d/1jsrLuZgWxjXDC3TeUasLWyo9N-ri4VTn/view?usp=drivesdk</t>
  </si>
  <si>
    <t xml:space="preserve">ซ้อมร้องประสานเสียงงานคอนเสิร์ตทัพฟ้า (ศูนย์วัฒนธรรมแห่งประเทศไทย) </t>
  </si>
  <si>
    <t>https://lh5.googleusercontent.com/d/1FQDIZisbo8V7k2-Y4TJLwiGcG-XgeZ4h</t>
  </si>
  <si>
    <t>https://drive.google.com/file/d/1T1NFuojwvjmpm20YL-jAIUiWgII56vy1/view?usp=drivesdk</t>
  </si>
  <si>
    <t>https://lh5.googleusercontent.com/d/196-jYLhAY3wNWv_Mt3Jt4TNRUTTZ8w3x</t>
  </si>
  <si>
    <t>https://drive.google.com/file/d/1oD9CYzrLDWzLt3Et57FXRaQigpWSRnap/view?usp=drivesdk</t>
  </si>
  <si>
    <t>https://lh5.googleusercontent.com/d/10WAW_5urqk8s9Bn8EpUgw3dzfQqvVif5</t>
  </si>
  <si>
    <t>https://drive.google.com/file/d/1eujj9WyG8Hudmai9_3NB_u4D9vGlhV04/view?usp=drivesdk</t>
  </si>
  <si>
    <t>จัดเตรียมสถานที่งานมุฑิตาจิต</t>
  </si>
  <si>
    <t>https://lh5.googleusercontent.com/d/1UOfDiJcurIAtqTeHZntWePpv2kUGVct3</t>
  </si>
  <si>
    <t>https://drive.google.com/file/d/1MuwuEUTxai91hoNfNUDATFq4LPzdRMd8/view?usp=drivesdk</t>
  </si>
  <si>
    <t>https://lh5.googleusercontent.com/d/1LmHTujFYz794NIBzkEt0_W5AtUuGARd9</t>
  </si>
  <si>
    <t>https://drive.google.com/file/d/1zgrH05B4OrsrcV3X_CTS8WWp0yy-svS_/view?usp=drivesdk</t>
  </si>
  <si>
    <t>https://lh5.googleusercontent.com/d/1RY1ggG81IPEVQGm9k5r-XPVvfSva6kCI</t>
  </si>
  <si>
    <t>https://drive.google.com/file/d/1cD9Voi29Aoi6Kz9aSDyZY56wEMsUlK6D/view?usp=drivesdk</t>
  </si>
  <si>
    <t>6503695</t>
  </si>
  <si>
    <t>นพอ.เขมิกา สุขสองห้อง</t>
  </si>
  <si>
    <t>https://lh5.googleusercontent.com/d/1YpeIFJYnxIG1DtIOqqbopra45c6CA1uz</t>
  </si>
  <si>
    <t>https://drive.google.com/file/d/1g2hijqa71lkIjpn-uUutHacuwdDXhLDK/view?usp=drivesdk</t>
  </si>
  <si>
    <t>https://lh5.googleusercontent.com/d/1FIMyjv_5NpVChrYpHi-gvURdFnByKYFw</t>
  </si>
  <si>
    <t>https://drive.google.com/file/d/1twkTRMTXANFgjbeppdYKxGsCq0KZwmGU/view?usp=drivesdk</t>
  </si>
  <si>
    <t>บ้านทรายมูล รวมคนฟิต ออกกำลังกายวันละนิด ชีวิตไร้โรค</t>
  </si>
  <si>
    <t>https://lh5.googleusercontent.com/d/12Y6M8iYvcBrNQEzgdn_MbvUoC-0d1I47</t>
  </si>
  <si>
    <t>https://drive.google.com/file/d/13XNj82WRcorU_M7slnCIqTUhkTv06cmL/view?usp=drivesdk</t>
  </si>
  <si>
    <t>https://lh5.googleusercontent.com/d/1UttzoQy8_yUVKQYp_mfU5R9CnV6o1HEZ</t>
  </si>
  <si>
    <t>https://drive.google.com/file/d/1xxWqHmlSj2bRbPe1MRyURioiIqp2apKo/view?usp=drivesdk</t>
  </si>
  <si>
    <t>แผนการซ้อมดับเพลิงและอพยพหนีไฟประจำปี 2568</t>
  </si>
  <si>
    <t>https://lh5.googleusercontent.com/d/1iYGzuJlO9KuOw9FHbrD1WXmYP1h7BK_N</t>
  </si>
  <si>
    <t>https://drive.google.com/file/d/1n5GdyEYgN89rPlYFxB2oDiETkOuAXPKF/view?usp=drivesdk</t>
  </si>
  <si>
    <t>https://lh5.googleusercontent.com/d/1i2lA1vwXXam8tM3t1byRjZFVWml9j1JV</t>
  </si>
  <si>
    <t>https://drive.google.com/file/d/1-WA-mFM8whcGDARxyS6uPkLhKLCJEp8E/view?usp=drivesdk</t>
  </si>
  <si>
    <t>โรงพยาบาลส่งเสริมสุขภาพส่วนตำบลบางตีนเป็ด</t>
  </si>
  <si>
    <t>https://lh5.googleusercontent.com/d/1rMluu_ByY1kFBOx6qcmw6o09VL8sPjDg</t>
  </si>
  <si>
    <t>https://drive.google.com/file/d/1Gz5rB9Ovckcxy0Is_MefThMA0kRpZmha/view?usp=drivesdk</t>
  </si>
  <si>
    <t xml:space="preserve"> บ้านทรายมูล รวมคนฟิต ออกกำวันละนิด ชีวิตไร้โรค</t>
  </si>
  <si>
    <t>https://lh5.googleusercontent.com/d/1mFmKdtBaD7ru4YNueL7Qd4U1iIohiG1v</t>
  </si>
  <si>
    <t>https://drive.google.com/file/d/1Wk0tBgGDoK_ulTHw2e1zr717MYhmB9b1/view?usp=drivesdk</t>
  </si>
  <si>
    <t>https://lh5.googleusercontent.com/d/1xMW2kM7q-78AiV6ecKZEHajmTi3hvtnb</t>
  </si>
  <si>
    <t>https://drive.google.com/file/d/1nl_B7Pz-xBSnJXSu1RvY4a9Q9sCvUdsS/view?usp=drivesdk</t>
  </si>
  <si>
    <t>https://lh5.googleusercontent.com/d/10nUCTFqTCfO94PCZjjlbwNsbxjWVzwTH</t>
  </si>
  <si>
    <t>https://drive.google.com/file/d/1eMs2Fb1PLNNJ0RkCDTXzPyJreuO7fM9N/view?usp=drivesdk</t>
  </si>
  <si>
    <t>https://lh5.googleusercontent.com/d/1OlvPPlufgV5W_3lhpEna2njkXDC7vb3_</t>
  </si>
  <si>
    <t>https://drive.google.com/file/d/1Mn59vNuAU2nNIlo7ojocDXV-08yPEhi1/view?usp=drivesdk</t>
  </si>
  <si>
    <t>https://lh5.googleusercontent.com/d/19h45UV6cAejvlJvoCX7AJALMRlOI32Ec</t>
  </si>
  <si>
    <t>https://drive.google.com/file/d/1GJnsvJZe6_wVzwQYa_H0bjqwwOAwche7/view?usp=drivesdk</t>
  </si>
  <si>
    <t>https://lh5.googleusercontent.com/d/15PB4o5r04w7zPF5ofyu1QdObkt4VwtNK</t>
  </si>
  <si>
    <t>รับน้อง</t>
  </si>
  <si>
    <t>0600-1600</t>
  </si>
  <si>
    <t>https://lh5.googleusercontent.com/d/1oEWJk8PzXHunRmhBR1mc8v1fD4vvvxJa</t>
  </si>
  <si>
    <t>6503726</t>
  </si>
  <si>
    <t>นพอ.ปารวัณ เนาวภาส</t>
  </si>
  <si>
    <t>นางสาวสาวารส ยิ้มเจริญ ผู้ใหญ่บ้าน</t>
  </si>
  <si>
    <t>https://lh5.googleusercontent.com/d/1Dr8jnGwwd7q6SoV_VJ19XJ_LnVQOaCjp</t>
  </si>
  <si>
    <t>https://drive.google.com/file/d/1HuKY0AvlI9MrqNuNq8NpPoDlWyryoAyC/view?usp=drivesdk</t>
  </si>
  <si>
    <t>https://lh5.googleusercontent.com/d/1qDhjesEaygFp5NiaLk5DXqw2SE1RtV9C</t>
  </si>
  <si>
    <t>https://drive.google.com/file/d/1v-d3_2YrV_gc759UL-odr3vywj1Cl0C2/view?usp=drivesdk</t>
  </si>
  <si>
    <t>รพ.ราชบุรี</t>
  </si>
  <si>
    <t>นายภรณรงค์  สมรรถชัย</t>
  </si>
  <si>
    <t>https://lh5.googleusercontent.com/d/1NxiTW-4CqOKa4tro9i-jShW9gyh_OBLb</t>
  </si>
  <si>
    <t>https://drive.google.com/file/d/1mRJ8xzFJH0RSVKPZXyB-NnB1JO1olz4H/view?usp=drivesdk</t>
  </si>
  <si>
    <t>6603805</t>
  </si>
  <si>
    <t>นพอ.ศิวัชญา อยู่ชาติประเสริฐ</t>
  </si>
  <si>
    <t>ซ้อมพิธีไหว้ครูดนตรีไทย 10 สถาบัน</t>
  </si>
  <si>
    <t>รร.นรต.</t>
  </si>
  <si>
    <t>https://lh5.googleusercontent.com/d/1Sni214xF92rQxmyQxw3BbXEBsFxlGPhJ</t>
  </si>
  <si>
    <t>https://drive.google.com/file/d/1ihOx-CztViN1PKHGFVpUMDzKatsgViG8/view?usp=drivesdk</t>
  </si>
  <si>
    <t>https://lh5.googleusercontent.com/d/1zklICyIrQxmbbxBlZEjK-cwNaWzj6Em3</t>
  </si>
  <si>
    <t>https://drive.google.com/file/d/1aw1M3pkeoYm_XVNj4RwY1nqgPkVLXb_J/view?usp=drivesdk</t>
  </si>
  <si>
    <t>อาคารสหประชาชาติ กรุงเทพฯ</t>
  </si>
  <si>
    <t>https://lh5.googleusercontent.com/d/1HSJ8cxLBI5ieIvB9LIRBt5Y-DXIwRffG</t>
  </si>
  <si>
    <t>https://drive.google.com/file/d/1zntpUs2QqmRYopEqLla6SiWKAtvK5qzl/view?usp=drivesdk</t>
  </si>
  <si>
    <t>https://lh5.googleusercontent.com/d/1Uch4sW_KVA4efcwausSpCO7uo0OGgRB_</t>
  </si>
  <si>
    <t>https://drive.google.com/file/d/1kDihp6HlKZhe3f_LoOtRnCbwRAfYlvyU/view?usp=drivesdk</t>
  </si>
  <si>
    <t>https://lh5.googleusercontent.com/d/1O0l3SstIc-cD-5UyhiRkGgx3XVoyhdxn</t>
  </si>
  <si>
    <t>https://drive.google.com/file/d/1b4tBP9LccCzagxPHiMNTqIoJqeH_Dh-w/view?usp=drivesdk</t>
  </si>
  <si>
    <t>https://lh5.googleusercontent.com/d/1LwKrELpXg3CBzCtTegKQb0PtYJgxako7</t>
  </si>
  <si>
    <t>https://drive.google.com/file/d/1JVWF2QeahazXs-0mV5KgS19AuwVcrO6d/view?usp=drivesdk</t>
  </si>
  <si>
    <t>รพ.พุทธโสธร</t>
  </si>
  <si>
    <t>https://lh5.googleusercontent.com/d/1r720xreH8o2loPY_IAg2jd5wES0bhY6i</t>
  </si>
  <si>
    <t>https://drive.google.com/file/d/1pBhvqWnE9SADkNP9utPMDytBn824Kl9Q/view?usp=drivesdk</t>
  </si>
  <si>
    <t>https://lh5.googleusercontent.com/d/1keB2Fn_pqUYObLutA8XJ1hywCzuzXRrT</t>
  </si>
  <si>
    <t>https://drive.google.com/file/d/1WOPmpvGioijxzzusR8HUqld3-w5qSsR_/view?usp=drivesdk</t>
  </si>
  <si>
    <t>https://lh5.googleusercontent.com/d/1mR2-nm6pIYKhc28j26aHWQ1PH8Borf24</t>
  </si>
  <si>
    <t>https://drive.google.com/file/d/1OhgJQiNS1vIXwycx2KiAS94PDRoSF6zJ/view?usp=drivesdk</t>
  </si>
  <si>
    <t>https://lh5.googleusercontent.com/d/1AZqnOcUDqCfyWgi8mC1JLjbr0sUKTl5-</t>
  </si>
  <si>
    <t>https://drive.google.com/file/d/1JA2x6eY0WDn9SRm6O-h1YFkCR6n_l6uf/view?usp=drivesdk</t>
  </si>
  <si>
    <t>https://lh5.googleusercontent.com/d/1l_isRSZ0tSKXpOy8pLAXSKrpA6xjRobE</t>
  </si>
  <si>
    <t>https://drive.google.com/file/d/1oMhujXtqc39huJyOK8U4Hyla2qir_hlG/view?usp=drivesdk</t>
  </si>
  <si>
    <t>ร่วมออกร้านงานกาช่ดสมาคมคู่สมรสทหารอากาศ</t>
  </si>
  <si>
    <t>https://lh5.googleusercontent.com/d/1jNiVblYARlxQqYb1VM6bb-j5N5vbv6LX</t>
  </si>
  <si>
    <t>https://drive.google.com/file/d/1m28OH715eKe3FKnVDWyeyACuccBKO535/view?usp=drivesdk</t>
  </si>
  <si>
    <t>0930-1030</t>
  </si>
  <si>
    <t>https://lh5.googleusercontent.com/d/1kJXdm2M1c2znXp5p_5kC2a5dEFtpIGPY</t>
  </si>
  <si>
    <t>https://drive.google.com/file/d/1Df1J_555mLFVNBElGs6f0x_zT6VEu8C0/view?usp=drivesdk</t>
  </si>
  <si>
    <t>6803913</t>
  </si>
  <si>
    <t>นพอ.ปกรณ์เกียรติ ชูปู</t>
  </si>
  <si>
    <t>ถวายความอาลัยสมเด็จพระพันปี</t>
  </si>
  <si>
    <t>https://lh5.googleusercontent.com/d/1BnHQXR6_YdDoDNxn7gZYNCOOCP-fIudw</t>
  </si>
  <si>
    <t>https://drive.google.com/file/d/1pNsgksietA2m4GIRDokxXhAlLh2dIgGB/view?usp=drivesdk</t>
  </si>
  <si>
    <t>เข้าร่วมสัมนา”สื่อสร้างสรรค์ เสริมพลังการสื่อสาร พัฒนาสังคมไทย“</t>
  </si>
  <si>
    <t>อาคารเอนกประสงค์เอสซีจี สำนักงานใหญ่ บางซื่อ</t>
  </si>
  <si>
    <t>https://lh5.googleusercontent.com/d/16Sn3-QimvT5sMrdY8nXw-MdfpSZgcG5g</t>
  </si>
  <si>
    <t>https://drive.google.com/file/d/1ioBAhjCRA3_n-QGnYUgD-jIOUzVx97Fj/view?usp=drivesdk</t>
  </si>
  <si>
    <t>6703876</t>
  </si>
  <si>
    <t>นพอ.สืบสกุล ธรรมขันธ์</t>
  </si>
  <si>
    <t>ห้องเรียนนพอ.ปี1</t>
  </si>
  <si>
    <t>https://lh5.googleusercontent.com/d/1RwLkjtFPB50VBF5HjzAg2p8SDlwXUCz3</t>
  </si>
  <si>
    <t>https://drive.google.com/file/d/1bMkeBCDBO9cH6DueQFqmVtBsfq7W0uIi/view?usp=drivesdk</t>
  </si>
  <si>
    <t>https://lh5.googleusercontent.com/d/1YvDENU2VDvrx6ATZuMPjhugElrggxw4S</t>
  </si>
  <si>
    <t>https://drive.google.com/file/d/1ciOBI549WIVVVl4Rz3WLvup8Kd-tJBJ6/view?usp=drivesdk</t>
  </si>
  <si>
    <t>6503729</t>
  </si>
  <si>
    <t>พรมนัส ค้าขาย</t>
  </si>
  <si>
    <t>https://lh5.googleusercontent.com/d/1GSuXVojtRc7MmsNoj78aylcto0W8_S00</t>
  </si>
  <si>
    <t>https://lh5.googleusercontent.com/d/1ckQ27KZ_utB_0Ulzbvc-LSpZsBwyfzbo</t>
  </si>
  <si>
    <t>โครงการคัดกรองสุขภาพเชิงรุกกำลังพล ทอ.</t>
  </si>
  <si>
    <t>https://lh5.googleusercontent.com/d/1PfUizG7Jvf6UsRkQY9Jnjja8dD8oK-9w</t>
  </si>
  <si>
    <t>หมู่1 ต.บางตีนเป็ด จ.ฉะเชิงเทรา</t>
  </si>
  <si>
    <t>https://lh5.googleusercontent.com/d/1yPvQM-aOI0cSXHukW0s_g3GYwlASXrbL</t>
  </si>
  <si>
    <t>https://drive.google.com/file/d/18MKrE60w_0lJ-J1mNNQ1EiEq8mPnhJsx/view?usp=drivesdk</t>
  </si>
  <si>
    <t>กิจกรรมปลูกป่าชุมชนบ้านห้วยม่วง</t>
  </si>
  <si>
    <t>บ้านห้วยม่วง ต.ตะนาวศรี อ.สวนผึ้ง จ.ราชบุรี</t>
  </si>
  <si>
    <t>อาสาสมัครพิทักษ์สิ่งแวดล้อม</t>
  </si>
  <si>
    <t>https://lh5.googleusercontent.com/d/1ZOAdVMn0dVY4gUfHi0rTDpgFYH53eEmS</t>
  </si>
  <si>
    <t>แจกของพระราชทานพระบรมศพ</t>
  </si>
  <si>
    <t>https://lh5.googleusercontent.com/d/1gXQP81LTZhgaG7UUEudQ9le6igwKKun1</t>
  </si>
  <si>
    <t>รดน้ำต้นไม้ที่บ้าน</t>
  </si>
  <si>
    <t>นางนิตยา มีปา</t>
  </si>
  <si>
    <t>https://lh5.googleusercontent.com/d/1sX00C6M5VKDLTjHjHff-zptreXfPsKU2</t>
  </si>
  <si>
    <t>https://drive.google.com/file/d/1A53yZ_x-Zv7B0HW6Nv9bAC7gy1G2TXNT/view?usp=drivesdk</t>
  </si>
  <si>
    <t>นพอ.พรมนัส ค้าขาย</t>
  </si>
  <si>
    <t>เฝ้าระวังและคัดกรองเบาหวานและความดันโลหิตสูง</t>
  </si>
  <si>
    <t>วัดสุวรรณาราม ฉะเชิงเทรา</t>
  </si>
  <si>
    <t>https://lh5.googleusercontent.com/d/1bw0PqyWWUE83MbT3vR_ayu8msXOfPUJO</t>
  </si>
  <si>
    <t>https://drive.google.com/file/d/1riLxHAm3L2zUUxlpRyvQdyrVHwYY4y7v/view?usp=drivesdk</t>
  </si>
  <si>
    <t>วัดอมราวราราม</t>
  </si>
  <si>
    <t>8.00</t>
  </si>
  <si>
    <t>พระครูอาทรอมรกิจ</t>
  </si>
  <si>
    <t>https://lh5.googleusercontent.com/d/1s-iF-9qa5T_TGte-oyhktStt_kxQeEr9</t>
  </si>
  <si>
    <t>https://drive.google.com/file/d/1Wt_4foVcR-EBzlTAKUCSKPvzn3XxRxph/view?usp=drivesdk</t>
  </si>
  <si>
    <t>6503725</t>
  </si>
  <si>
    <t>นพอ.ปัทมาภรณ์ ดวงดี</t>
  </si>
  <si>
    <t>https://lh5.googleusercontent.com/d/1-GCZDi57FDrtydHpHAomzy_6-5x7dePo</t>
  </si>
  <si>
    <t>https://lh5.googleusercontent.com/d/1obshGtycTIJ--cfx3oVQwzqZLZJ67fC7</t>
  </si>
  <si>
    <t>https://drive.google.com/file/d/1zrQqfydtcymtX-y4dmWDgKPDmldtwY46/view?usp=drivesdk</t>
  </si>
  <si>
    <t>https://lh5.googleusercontent.com/d/1z0IW9_Hopbf5_mTKJF4_-lkcdP9-PAjs</t>
  </si>
  <si>
    <t>https://drive.google.com/file/d/1U-hlZL_Dns91JfFhyjOcj1bDzYt6QEVX/view?usp=drivesdk</t>
  </si>
  <si>
    <t>6803916</t>
  </si>
  <si>
    <t>ปาลิดา ลือนาม</t>
  </si>
  <si>
    <t>ผู้ช่วยวิจัย</t>
  </si>
  <si>
    <t>1730</t>
  </si>
  <si>
    <t>น.ท.หญิง ผศ.ดร.ละอองดาว วรรณฤทธิ์</t>
  </si>
  <si>
    <t>https://lh5.googleusercontent.com/d/1j_zNok3YPQcPIhPSgz2mJtd8YsrIsbOw</t>
  </si>
  <si>
    <t>https://drive.google.com/file/d/1NY0MVyy-4L19etYuJ3NcwLBdtwSI7CXr/view?usp=drivesdk</t>
  </si>
  <si>
    <t>นางสาวอัญชลีพร หมื่นจง</t>
  </si>
  <si>
    <t>https://lh5.googleusercontent.com/d/1imMgmGjEiacTDg8tsPselThCulw3kVGc</t>
  </si>
  <si>
    <t>https://drive.google.com/file/d/1JnZJrvWqz-oEjVNpvdjBTo7oxa8c_JkC/view?usp=drivesdk</t>
  </si>
  <si>
    <t>https://lh5.googleusercontent.com/d/1fAMuazvu2zrdBAlLT1ON1QLtA5frDMXE</t>
  </si>
  <si>
    <t>https://lh5.googleusercontent.com/d/1LK1qJFt1PSF8nn6ZlLsZWfEd_HPct1Ug</t>
  </si>
  <si>
    <t>https://drive.google.com/file/d/1uQHv2LCDrq1KIZUGIursTB58HjtRlh-f/view?usp=drivesdk</t>
  </si>
  <si>
    <t>https://lh5.googleusercontent.com/d/1U6uAFVVuRSE0vVmn19GZa6uj8V59PIPe</t>
  </si>
  <si>
    <t>https://drive.google.com/file/d/1t4wbdxx-Nf7E6Lzk3ckbR1tGgy7T2JBQ/view?usp=drivesdk</t>
  </si>
  <si>
    <t>https://lh5.googleusercontent.com/d/14iS_Fqm-iF4S3VWofQD0eOruIw4uf5Lw</t>
  </si>
  <si>
    <t>https://drive.google.com/file/d/1xd7GK-IxF7SUmvgbUOxHIFd_vOac2lh_/view?usp=drivesdk</t>
  </si>
  <si>
    <t>ผู้ช่วยงานวิจัย</t>
  </si>
  <si>
    <t>https://lh5.googleusercontent.com/d/1kn00-mOa5MdxtmEUaRFbqXjGby1DaYmg</t>
  </si>
  <si>
    <t>https://drive.google.com/file/d/1akdhZ0Sx5YPpIgcJeb2CIKasVSI027sa/view?usp=drivesdk</t>
  </si>
  <si>
    <t>https://lh5.googleusercontent.com/d/1UUC9n59KvFiSvHmosGbInycvNeL41SKG</t>
  </si>
  <si>
    <t>https://drive.google.com/file/d/1zjTACY2V_trFlNkbd2bfjf373Sg4dzfj/view?usp=drivesdk</t>
  </si>
  <si>
    <t>6603781</t>
  </si>
  <si>
    <t>นพอ.เนตรชนก จงไกรจักร</t>
  </si>
  <si>
    <t>https://lh5.googleusercontent.com/d/1lyDl1sp-NrKXLx017LejgF9QduJLCFkz</t>
  </si>
  <si>
    <t>https://drive.google.com/file/d/1f1ovuNlDvjuJGJdpmymovw8kIx83qNhL/view?usp=drivesdk</t>
  </si>
  <si>
    <t>https://lh5.googleusercontent.com/d/1gDFMiVdyY8Wa3S8lxm9wMzpebvp5aOFf</t>
  </si>
  <si>
    <t>https://drive.google.com/file/d/1CWfjs9N0NF3DVhz06db3LKtxfRynP4R3/view?usp=drivesdk</t>
  </si>
  <si>
    <t>https://lh5.googleusercontent.com/d/1NVGKZjGbl5M-FtF-QWqSec9VrlrTNEmK</t>
  </si>
  <si>
    <t>https://drive.google.com/file/d/1eID4hReJPP9yPaWA-rc7H7V-PEWDBPPM/view?usp=drivesdk</t>
  </si>
  <si>
    <t>คอนเสิร์ตทัพฟ้าคู่ไทยเพื่อ “ชัยพัฒนา” ครั้งที่16</t>
  </si>
  <si>
    <t>https://lh5.googleusercontent.com/d/1WGbIQwbP2JQ7QXN_fkkFC_9lEZALqgUU</t>
  </si>
  <si>
    <t>https://drive.google.com/file/d/1vrDM4OBtiRJW8fl-uZ2mFe2Mkczr2R3d/view?usp=drivesdk</t>
  </si>
  <si>
    <t>กิจกรรม ๕ ส. Big cleaning day</t>
  </si>
  <si>
    <t>https://lh5.googleusercontent.com/d/1kLPw7lU3jLn-SbtS-xq2Sj7xSMbELiX4</t>
  </si>
  <si>
    <t>https://drive.google.com/file/d/1Y7a3ANwv9O4vhJo2jqHzmbbcEmRNQ2rN/view?usp=drivesdk</t>
  </si>
  <si>
    <t>https://lh5.googleusercontent.com/d/1gNFeGv52ocb5VqTJfswc73vB076nPMS9</t>
  </si>
  <si>
    <t>https://drive.google.com/file/d/1DIM0VfNAUBR12Qk4E8QwNqvuY6Ku9s-H/view?usp=drivesdk</t>
  </si>
  <si>
    <t>https://lh5.googleusercontent.com/d/1scDs49Cq6-ZGn2w3M3ZsfOOs8-prFzIb</t>
  </si>
  <si>
    <t>https://drive.google.com/file/d/1gPmNy_nSPim-ZZQs3SgCeh6PmH_LOJHH/view?usp=drivesdk</t>
  </si>
  <si>
    <t>แผนซ้อมดับเพลิงและอพยพหนีไฟ ประจำปี2568</t>
  </si>
  <si>
    <t>https://lh5.googleusercontent.com/d/1Y8gnt8IjdDGqgzeJEkaJMBcI4u4CzhQd</t>
  </si>
  <si>
    <t>https://drive.google.com/file/d/1mnSGkefzb2N2D-7WA8JvIUjJNwbFh0UB/view?usp=drivesdk</t>
  </si>
  <si>
    <t xml:space="preserve">โครงการ Meet the youth cyber guardians </t>
  </si>
  <si>
    <t>บก.ทอ.</t>
  </si>
  <si>
    <t>https://lh5.googleusercontent.com/d/15ljtnSLiGWElNdAedhiJubR7ZkJKZ7MD</t>
  </si>
  <si>
    <t>https://drive.google.com/file/d/1IkGyZZtj166K6hwBD_qupDcqQxej8d0B/view?usp=drivesdk</t>
  </si>
  <si>
    <t>วันรักต้นไม้ประจำปีของของชาติ</t>
  </si>
  <si>
    <t>https://lh5.googleusercontent.com/d/139wld_iumNLlxPd5m_wm4rRRcSghSNUh</t>
  </si>
  <si>
    <t>6803894</t>
  </si>
  <si>
    <t>ฐิติณัฐดา แสนสุขเกษม</t>
  </si>
  <si>
    <t>วัดไร่พริก</t>
  </si>
  <si>
    <t>พระอาจารย์ประเวศน์</t>
  </si>
  <si>
    <t>https://lh5.googleusercontent.com/d/1a1RBqRB0UZZUHVGA4PTxEKxhR5zmb8wR</t>
  </si>
  <si>
    <t>https://drive.google.com/file/d/1nsaZ3nlijdIBGMJPjapl_KljSHl1xwOO/view?usp=drivesdk</t>
  </si>
  <si>
    <t>ปูเตียงให้คุณย่า</t>
  </si>
  <si>
    <t>1930</t>
  </si>
  <si>
    <t>สำอาง แสนสุขเกษม</t>
  </si>
  <si>
    <t>https://lh5.googleusercontent.com/d/1NyNeYXP7kXrVeltRjPBPqGUcdIIE8gPT</t>
  </si>
  <si>
    <t>https://drive.google.com/file/d/18eeerXT5zd0Bu8lAzIP3MtjORCKMV7GK/view?usp=drivesdk</t>
  </si>
  <si>
    <t>พยาบาลไทยบริจาคโลหิต ช่วยชีวิตเพื่อนมนุษย์</t>
  </si>
  <si>
    <t>https://lh5.googleusercontent.com/d/1_mtWUGQWqXoqyzOx2f_sC4EYc3YFQWiI</t>
  </si>
  <si>
    <t>https://drive.google.com/file/d/1ZPqRtwp9fTxMy7co1CHep77oqt8ApXzL/view?usp=drivesdk</t>
  </si>
  <si>
    <t>https://lh5.googleusercontent.com/d/1m9HFHQ3m3Zg-TX3xLh7kGqk4az7hz0sk</t>
  </si>
  <si>
    <t>https://drive.google.com/file/d/1TI7u2RhrwUC8PCTug0Xj5JONS3VG_lk1/view?usp=drivesdk</t>
  </si>
  <si>
    <t>https://lh5.googleusercontent.com/d/1TrfMhXEQ5SaJ-uLLNqTw2_hNiUELwaXs</t>
  </si>
  <si>
    <t>https://drive.google.com/file/d/1c49boTZJpNY6mrfjw_x4PPp3fIoCzwH1/view?usp=drivesdk</t>
  </si>
  <si>
    <t>https://lh5.googleusercontent.com/d/1zTo5e__wXG1K2XF_GRwzIhqT-80F2c3z</t>
  </si>
  <si>
    <t>https://drive.google.com/file/d/1DpIAlTOtgX1qQ4SC3eE-6n6BeALF3W3a/view?usp=drivesdk</t>
  </si>
  <si>
    <t>https://lh5.googleusercontent.com/d/10Geuhy4JzuQcoRnqFodbT6IUDwkUZjbq</t>
  </si>
  <si>
    <t>https://drive.google.com/file/d/1P0z7V1kkwE3Y6sYePp8Cps2I1Pj7JFFW/view?usp=drivesdk</t>
  </si>
  <si>
    <t>https://lh5.googleusercontent.com/d/1vIgFfYYqpyAiBJUvzn1rFGTi2_q7-5Ie</t>
  </si>
  <si>
    <t>https://drive.google.com/file/d/1TzbBLPL3oZV0SBHMu-lDYN6DmGn9DDZo/view?usp=drivesdk</t>
  </si>
  <si>
    <t>เฝ้าระวังและคัดกรองโรคเบาหวานความดันโลหิต</t>
  </si>
  <si>
    <t>https://lh5.googleusercontent.com/d/1eh3NIv3wAKeytR2UoOOz2uqPlT9woTOE</t>
  </si>
  <si>
    <t>https://drive.google.com/file/d/1Fh_EIwMHnP8Rr9eHizpe0ugoFXcKc1l6/view?usp=drivesdk</t>
  </si>
  <si>
    <t>ช่วยงานกฐินประจำปี 2568</t>
  </si>
  <si>
    <t>วัดเที่ยงพิมลมุข</t>
  </si>
  <si>
    <t>https://lh5.googleusercontent.com/d/1XzuUUz-TWMpta9_xV8RxxGytbXytaJtw</t>
  </si>
  <si>
    <t>https://drive.google.com/file/d/1yKiYKa8eAltALjGsbls5oYQNTG_RyfUB/view?usp=drivesdk</t>
  </si>
  <si>
    <t>0700-080</t>
  </si>
  <si>
    <t>https://lh5.googleusercontent.com/d/1nxaubWQ-Gxzzpf_rHshezdY0WDw5Bk2_</t>
  </si>
  <si>
    <t>https://drive.google.com/file/d/1JJ35EoFwqyek2A9k68MAkR1_rcgKjupV/view?usp=drivesdk</t>
  </si>
  <si>
    <t xml:space="preserve">แผนการจัดซ้อมดับเพลิงและอพยพหนีไฟประจำปีแผนการจัดซ้อมดับเพลิงและอพยพหนีไฟประจำปี 2568 </t>
  </si>
  <si>
    <t>https://lh5.googleusercontent.com/d/1CvQb-uWa86xuJ-ATjpNU_YK8nUDCtx_x</t>
  </si>
  <si>
    <t>https://drive.google.com/file/d/1IwoJFHo_Yj0HdsY7amah1oDyMU_41pCK/view?usp=drivesdk</t>
  </si>
  <si>
    <t>https://lh5.googleusercontent.com/d/1Kt07dPaG6D55YqrjPYiH1J9m4dCrClHu</t>
  </si>
  <si>
    <t>https://drive.google.com/file/d/1_sWFS1wRjd3jm6htmgaUJTAzl5xctDPN/view?usp=drivesdk</t>
  </si>
  <si>
    <t>ขัดลาน</t>
  </si>
  <si>
    <t>https://lh5.googleusercontent.com/d/153wsiIB3DHhLg7xz-S2jXjB9osrcgO3s</t>
  </si>
  <si>
    <t>https://drive.google.com/file/d/1dPSHMyYqlcZwyLnTgNsE8puB9WBDs3yE/view?usp=drivesdk</t>
  </si>
  <si>
    <t>https://lh5.googleusercontent.com/d/1W8YipC62oXQ2gwYQfvL91sJq1dmRCsKe</t>
  </si>
  <si>
    <t>https://drive.google.com/file/d/15wjWKodQMoFRVSarpT9WVWX5cMjQ6dsq/view?usp=drivesdk</t>
  </si>
  <si>
    <t>โรงพยาบาลมหาราช นครศรีธรรมราช</t>
  </si>
  <si>
    <t>10.00</t>
  </si>
  <si>
    <t>นางสิตา อักษรพันธ์</t>
  </si>
  <si>
    <t>https://lh5.googleusercontent.com/d/1D7EpCRRLFvZg4voG4YL-s96C77XuTl-U</t>
  </si>
  <si>
    <t>https://drive.google.com/file/d/1oHoBWrlM_-_YLHGLNuPxApIcKQl7y8rT/view?usp=drivesdk</t>
  </si>
  <si>
    <t>https://lh5.googleusercontent.com/d/1DB1mCh8Ptx_EcXa85Zb9phSRyt0Bt0Rc</t>
  </si>
  <si>
    <t>https://drive.google.com/file/d/1g1sRKBonZ3Ag3Pxj0jWp-J2ah1q6-F4J/view?usp=drivesdk</t>
  </si>
  <si>
    <t>https://lh5.googleusercontent.com/d/1dkSxY-w4ne5TcTm0fvE2W9KiKpZ2OxKm</t>
  </si>
  <si>
    <t>https://drive.google.com/file/d/1C3fp7oSqivX50nRdki41AgRGatXMm93s/view?usp=drivesdk</t>
  </si>
  <si>
    <t>https://lh5.googleusercontent.com/d/1j_Px3FepeC3SW-rBHLw4Zzmgf0kOTjJZ</t>
  </si>
  <si>
    <t>https://drive.google.com/file/d/1e0zSn1eAIQ7mSUUXdeTIK59JRhw9zJLq/view?usp=drivesdk</t>
  </si>
  <si>
    <t>กิจกรรมปลูกป่าชุมชน บ้านห้วยม่วง</t>
  </si>
  <si>
    <t>11.00</t>
  </si>
  <si>
    <t>https://lh5.googleusercontent.com/d/1uYH4IboLqJlVqV685wdIvnIAg-IKBPsK</t>
  </si>
  <si>
    <t>https://drive.google.com/file/d/127fzM_zBBk_67mpiCq5EGnRJSJeM_NGS/view?usp=drivesdk</t>
  </si>
  <si>
    <t>ฟังบรรยายเรื่องการเตรียมความพร้อมคุณแม่ตั้งครรภ์(1)</t>
  </si>
  <si>
    <t>ห้อง นทน.</t>
  </si>
  <si>
    <t>https://lh5.googleusercontent.com/d/15I1eT5CuSJGPjEmI-TmkysIHTMTIFx8M</t>
  </si>
  <si>
    <t>https://drive.google.com/file/d/18dEkgndpsUTXI0CDi-f6ppDh19udW9RN/view?usp=drivesdk</t>
  </si>
  <si>
    <t>ฟังบรรยายเรื่องการเตรียมความพร้อมคุณแม่ตั้งครรภ์(2)</t>
  </si>
  <si>
    <t>https://lh5.googleusercontent.com/d/1YYkWFMUUU89l8i9V_WQztUFqnEpa3G28</t>
  </si>
  <si>
    <t>https://drive.google.com/file/d/150ZXrOM2Zz65MamIXt_2uep6d9ZcHP9H/view?usp=drivesdk</t>
  </si>
  <si>
    <t>6503732</t>
  </si>
  <si>
    <t>นพอ.เพ็ชรไพลิน ปงคำเพย</t>
  </si>
  <si>
    <t>ห้องฝึกปฏิบัติการจิตเวชหรอ</t>
  </si>
  <si>
    <t>ร.อ.หญิง วิชชา พรหมสาขา ณ สกลนคร</t>
  </si>
  <si>
    <t>https://lh5.googleusercontent.com/d/1X_bTPxGCB4LXuDMOSGMNdt-_GWmVw-r_</t>
  </si>
  <si>
    <t>พยาบาลไทยบริจาคโลหิต ช่วยชีวิตเพื่อนมนุษย์ ปี4</t>
  </si>
  <si>
    <t>https://lh5.googleusercontent.com/d/17Qz5n8nSVi-k3-7ZXgQ8I3El4IN1l1rB</t>
  </si>
  <si>
    <t>https://drive.google.com/file/d/1Wlq1_CKMHlv4lrA4KMTnptDtQHq2Z5Nv/view?usp=drivesdk</t>
  </si>
  <si>
    <t>แจกของพระราชทาน</t>
  </si>
  <si>
    <t>https://lh5.googleusercontent.com/d/1fq3dtU6WBmeT2C5IyCY6jf6LrZMH2Po2</t>
  </si>
  <si>
    <t>https://drive.google.com/file/d/1Ocn8Sd-JtstdzYEQH7R81H0HLdTmFXxi/view?usp=drivesdk</t>
  </si>
  <si>
    <t>ร่วมโครงการคัดกรองสุขภาพเชิงรุกกำลังร่วมโครงการคัดกรองสุขภาพเชิงรุกกำลังพลทอ.</t>
  </si>
  <si>
    <t>https://lh5.googleusercontent.com/d/1H97FJf0OobC0TQB5jda9QQDKp5JrbUoH</t>
  </si>
  <si>
    <t>https://drive.google.com/file/d/1UIUdQpFKwbkfIZ9gwLSbBwpRQHVuItr8/view?usp=drivesdk</t>
  </si>
  <si>
    <t>https://lh5.googleusercontent.com/d/1VInvNTz_H8gsgTO5ou5mgiM35wbtsNSD</t>
  </si>
  <si>
    <t>https://drive.google.com/file/d/1EnesW4nxHhcGbv3cUeLzkZ_bwDUF9x8T/view?usp=drivesdk</t>
  </si>
  <si>
    <t>น.ต.หญิง นิตยา สุขแสน</t>
  </si>
  <si>
    <t>https://lh5.googleusercontent.com/d/1AnuaHW6Fa8I5rkqeCDvtoNApZy7onZLP</t>
  </si>
  <si>
    <t>https://drive.google.com/file/d/1j3TA4IbsExDJjPfRt3nFfgV-KPbrNi-r/view?usp=drivesdk</t>
  </si>
  <si>
    <t>6803902</t>
  </si>
  <si>
    <t>นพอ.ณัฐวัฒน์ บ้งพรม</t>
  </si>
  <si>
    <t>ช่วยอาจารย์ทำวิจัย</t>
  </si>
  <si>
    <t>15:00-17:00</t>
  </si>
  <si>
    <t>https://lh5.googleusercontent.com/d/10eWnJkdAoCBrFBgG56uxvtjjwRDj8p45</t>
  </si>
  <si>
    <t>https://drive.google.com/file/d/12mvTlcwB5g05YSU5PTMXs0LzjdCPod1h/view?usp=drivesdk</t>
  </si>
  <si>
    <t>งานกอล์ฟ(2)</t>
  </si>
  <si>
    <t>1900-2400</t>
  </si>
  <si>
    <t>https://lh5.googleusercontent.com/d/1TcZP-8LZ867jKEt4rUqNYV4fxYh-DA63</t>
  </si>
  <si>
    <t>https://drive.google.com/file/d/1hMA5qWjzrblPLvGE9O2YOq-tfLNCHJWP/view?usp=drivesdk</t>
  </si>
  <si>
    <t>รพ.ชัยนาทนเรนทร</t>
  </si>
  <si>
    <t>น.ส.ทิพวรรณ บุญยะ</t>
  </si>
  <si>
    <t>https://lh5.googleusercontent.com/d/1pc-ypG0IkVY8Yh5dB7kRomI52ppJ5uvX</t>
  </si>
  <si>
    <t>https://drive.google.com/file/d/1UCuSRGFIsRAQJLyyqBOQQmQbof4k0ss-/view?usp=drivesdk</t>
  </si>
  <si>
    <t>15:00-1700</t>
  </si>
  <si>
    <t>https://lh5.googleusercontent.com/d/14j2ZHtO0Pjdafz8KE3uhtWmvnCO7WxD4</t>
  </si>
  <si>
    <t>https://drive.google.com/file/d/1sbVi72sT31yuL57TalgFmT_o0capvDv3/view?usp=drivesdk</t>
  </si>
  <si>
    <t>6803890</t>
  </si>
  <si>
    <t>นพอ.จักรพงศ์ ปรีชาคม</t>
  </si>
  <si>
    <t>ดูเเลเเละจัดห้องพักผ่อน</t>
  </si>
  <si>
    <t>น.ท.หญิง.ผศ.ชญาพัฒน์ ทองปากน้ำ</t>
  </si>
  <si>
    <t>https://lh5.googleusercontent.com/d/1mQ5fkrU5skXb_5ZH0x8JWcz7DSW_jq7q</t>
  </si>
  <si>
    <t>https://drive.google.com/file/d/1rI7BxhEBHcCzE24Li29CulronpR0XThU/view?usp=drivesdk</t>
  </si>
  <si>
    <t>07:00-07:40</t>
  </si>
  <si>
    <t>https://lh5.googleusercontent.com/d/1ze9qQM2ZCpmyf8jrASK4NMcGZbnrJgjT</t>
  </si>
  <si>
    <t>https://drive.google.com/file/d/1sljji2w5e23nc41739kmUQGdWXzoJznl/view?usp=drivesdk</t>
  </si>
  <si>
    <t>ดูเเลเเละจัดห้องพักผ่อน นพอ.</t>
  </si>
  <si>
    <t>อาคารเรียน วพอ.พอ</t>
  </si>
  <si>
    <t>https://lh5.googleusercontent.com/d/1PXxXDunftf7Oynb3lBfi3A5PwPTh5BA_</t>
  </si>
  <si>
    <t>https://drive.google.com/file/d/17cbwRsyO48WCmjZH6dyB6t5EX2MxtULP/view?usp=drivesdk</t>
  </si>
  <si>
    <t>https://lh5.googleusercontent.com/d/1LmMYpeMx1cZNkhpbuJhjLOz9SZvTTsZr</t>
  </si>
  <si>
    <t>https://drive.google.com/file/d/1OREvklKvzkNA6hzisO8dXIDjdo2K9F1s/view?usp=drivesdk</t>
  </si>
  <si>
    <t>07.30น.</t>
  </si>
  <si>
    <t>https://lh5.googleusercontent.com/d/1H1G4jd1iJv7wbH5ASH5f3hH0QjFGMfka</t>
  </si>
  <si>
    <t>https://drive.google.com/file/d/1kyO9hc9LjP60sPy9LSsJvAldShlY4NNY/view?usp=drivesdk</t>
  </si>
  <si>
    <t>https://lh5.googleusercontent.com/d/17o85aQ0CsQxZyRr4P-au5h19c8vvrvcb</t>
  </si>
  <si>
    <t>https://drive.google.com/file/d/1w8G1r2afnuVjZ632U6fnT_YOflJbCu9E/view?usp=drivesdk</t>
  </si>
  <si>
    <t>https://lh5.googleusercontent.com/d/1EdnEEzQtIq9hHzU5vQGVsqf2kZWO1gm1</t>
  </si>
  <si>
    <t>https://drive.google.com/file/d/1CSIBuHe7HluYGxgdU-FDN8TbXmbOsjBg/view?usp=drivesdk</t>
  </si>
  <si>
    <t>6503717</t>
  </si>
  <si>
    <t>ทำความสะอาดวัดใหม่</t>
  </si>
  <si>
    <t>https://lh5.googleusercontent.com/d/1IXJ2qAQ4XrHphP1C-esdYisN3Sk7o01w</t>
  </si>
  <si>
    <t>https://drive.google.com/file/d/1_G52xn7ncqn-c58WtpHvBrX0nC712Lot/view?usp=drivesdk</t>
  </si>
  <si>
    <t>https://lh5.googleusercontent.com/d/1HzqIgsKYu9qAGs7S1OJApab3M1hckLTO</t>
  </si>
  <si>
    <t>https://drive.google.com/file/d/1HIBNMhAldeW5aI955_LyV2-KusMuSyjV/view?usp=drivesdk</t>
  </si>
  <si>
    <t>ทำความสะอาดโรงพยาบาลส่งเสริมสุขภาพตำบลบางขวัญ</t>
  </si>
  <si>
    <t>https://lh5.googleusercontent.com/d/1TsrZVRhoAQJ16fbAD9O6SJFYkrr2ga6f</t>
  </si>
  <si>
    <t>https://drive.google.com/file/d/1GuXsqf9ZwR5nl4Fn7a-YUoajp_uRyba4/view?usp=drivesdk</t>
  </si>
  <si>
    <t>6803920</t>
  </si>
  <si>
    <t>นพอ.พัทธ์ธีรา สมานมาก</t>
  </si>
  <si>
    <t>https://lh5.googleusercontent.com/d/1btDiuSZXqVNgIhqYuRWv27o98zsLTuF9</t>
  </si>
  <si>
    <t>https://drive.google.com/file/d/1hoPwtmAPaU864NPpG4UTRVb7DPSEoAK8/view?usp=drivesdk</t>
  </si>
  <si>
    <t>6503724</t>
  </si>
  <si>
    <t>นพอ.ปวีณ์สุดา ทรงศรี</t>
  </si>
  <si>
    <t>นางสาวกนกลดา ทรงศรี</t>
  </si>
  <si>
    <t>https://lh5.googleusercontent.com/d/1FcdqooZOM4Qz9rzhoKyzt7eIBL6CECu2</t>
  </si>
  <si>
    <t>https://drive.google.com/file/d/1gghGj2JV17PK7wR4jnQljMjMQTyga3EA/view?usp=drivesdk</t>
  </si>
  <si>
    <t>6503708</t>
  </si>
  <si>
    <t>นพอ.ณัฐณิชา บุญยืนมั่น</t>
  </si>
  <si>
    <t>https://lh5.googleusercontent.com/d/1WQi0zCl8fK8xhEsHT21QwxMi_fmSRoTZ</t>
  </si>
  <si>
    <t>https://drive.google.com/file/d/14hejgTgmwrC3m5t2eChMJo938FoXKMXr/view?usp=drivesdk</t>
  </si>
  <si>
    <t>https://lh5.googleusercontent.com/d/1Zs3pJw1vvcKzvBnjVddXFBEwGsZMlXix</t>
  </si>
  <si>
    <t>https://drive.google.com/file/d/1NAjJCtLyQFdi8Qmf98ZB3RxEBaNaVGjZ/view?usp=drivesdk</t>
  </si>
  <si>
    <t>คัดกรองสุขภาพเชิงรุก ทอ.</t>
  </si>
  <si>
    <t>https://lh5.googleusercontent.com/d/1k_xnFzwxT4itPkljuSr5t_jgrfjWDzzT</t>
  </si>
  <si>
    <t>https://drive.google.com/file/d/1PuZkAHxnTLSKQJin_ao4NiUB3xp8TPVS/view?usp=drivesdk</t>
  </si>
  <si>
    <t>คัดกรองสุขภาพเชิงรุกทอ.</t>
  </si>
  <si>
    <t>https://lh5.googleusercontent.com/d/1xEyKr61oDKRh_NR8sxIkGOY4IRcznaMV</t>
  </si>
  <si>
    <t>https://drive.google.com/file/d/1RrTr9AeAA27BvhTv5ALanTTOSOctkzFI/view?usp=drivesdk</t>
  </si>
  <si>
    <t>นพอ.กุลธิดา ชัยนิสงค์</t>
  </si>
  <si>
    <t>https://lh5.googleusercontent.com/d/1EVdlT2ewbw9-sEXFuqlvobXr71qYdb-k</t>
  </si>
  <si>
    <t>https://lh5.googleusercontent.com/d/10jZ9Ja7VuameeEqfiFahet9ZDnikb0py</t>
  </si>
  <si>
    <t>https://drive.google.com/file/d/1fQknTKZrZdb0NusNSuQ6E2U7PqJVfeho/view?usp=drivesdk</t>
  </si>
  <si>
    <t>งานกฐินวัดนาคู</t>
  </si>
  <si>
    <t>วัดนาคู</t>
  </si>
  <si>
    <t>https://lh5.googleusercontent.com/d/1fjjWiP8mGKd7tt7w7SJBZ2P_0kPIz6Pt</t>
  </si>
  <si>
    <t>https://drive.google.com/file/d/1bH7suPlroy_8_dmMz3zGig5QTls3qvqL/view?usp=drivesdk</t>
  </si>
  <si>
    <t>ช่วยเหลืองานโครงการผู้ป่วยโรคเบาหวาน ใส่ใจ ตรวจคัดกรองประเมินภาวะแทรกซ้อนทางตา เท้า และหัวใ</t>
  </si>
  <si>
    <t>รพสต.บางขวัญ</t>
  </si>
  <si>
    <t>https://lh5.googleusercontent.com/d/1y3tF7_7InVrnRPMtFStCvo11ek3q1fac</t>
  </si>
  <si>
    <t>https://drive.google.com/file/d/1BEpbtLMxaMjz1rI0siwEsZkal3_AtsAc/view?usp=drivesdk</t>
  </si>
  <si>
    <t xml:space="preserve">บ้านเลขที่ 91/111 หมู่บ้านสิริทัศน์ </t>
  </si>
  <si>
    <t>นางยุวดี สมานมาก</t>
  </si>
  <si>
    <t>https://lh5.googleusercontent.com/d/1L5Iy8GHvFD3W82G5SzqGEZIQuVgl_tVm</t>
  </si>
  <si>
    <t>https://drive.google.com/file/d/1fmLR77aGfnoBbovtNdmpmVU7lX6HE7Ho/view?usp=drivesdk</t>
  </si>
  <si>
    <t>6503736</t>
  </si>
  <si>
    <t>นพอ.เมธัส ประภาศรี</t>
  </si>
  <si>
    <t>วัดวิเวก</t>
  </si>
  <si>
    <t>https://lh5.googleusercontent.com/d/1y-JH3MK_CnvJ2l8ZLb55zPHSoYNirQ08</t>
  </si>
  <si>
    <t>https://drive.google.com/file/d/1J7z7Jbfvin8D5WkgKnGIK7L2752N4nfy/view?usp=drivesdk</t>
  </si>
  <si>
    <t>ช่วยทำบัญชีรายรับรายจ่าย</t>
  </si>
  <si>
    <t>2000-2100</t>
  </si>
  <si>
    <t>น.ท. หญิง ภัทรมน ทับสูงเนิน</t>
  </si>
  <si>
    <t>https://lh5.googleusercontent.com/d/10f7Xj4yaTI984OmjwbbfbI7esR6Zuukb</t>
  </si>
  <si>
    <t>https://drive.google.com/file/d/1VlmrlNyXScGvom8tS-9TVSZddukOA-_N/view?usp=drivesdk</t>
  </si>
  <si>
    <t>นางสรัญญา บุญเกื้อ</t>
  </si>
  <si>
    <t>https://lh5.googleusercontent.com/d/1ZzGbXuF_SEzah2LX6OjeWMEasl-cYPyh</t>
  </si>
  <si>
    <t>https://drive.google.com/file/d/11FLvK33ES0t_ywHL6QrCcKPUSapkRdhW/view?usp=drivesdk</t>
  </si>
  <si>
    <t>จิตอาสาช่วยเหลืองานทอดกฐินประจำปี 2568</t>
  </si>
  <si>
    <t>https://lh5.googleusercontent.com/d/1AnBxhi1ZDvwyGxWtMy9HxRZbj7m7EBEK</t>
  </si>
  <si>
    <t>https://drive.google.com/file/d/1nKZKKr0bRKgGtrXLPNo3WAWZGwrS2eP_/view?usp=drivesdk</t>
  </si>
  <si>
    <t>บ้านเลขที่ 91/111 หมู่บ้านสิริทัศน์</t>
  </si>
  <si>
    <t>0700 - 1100</t>
  </si>
  <si>
    <t>https://lh5.googleusercontent.com/d/1n3lssVseHrd3Z8FMvz7Q63rWdPhqD3MM</t>
  </si>
  <si>
    <t>https://drive.google.com/file/d/1mSQIE4k8EqIQhBK_s4nKssutEjn_eXC1/view?usp=drivesdk</t>
  </si>
  <si>
    <t>https://lh5.googleusercontent.com/d/1PaP-WrQn27L91zeltPLA2rDImMaNjhMF</t>
  </si>
  <si>
    <t>https://drive.google.com/file/d/10770DhTtbZ7K81Q7jeO1OlWFPPNdbc_V/view?usp=drivesdk</t>
  </si>
  <si>
    <t>https://drive.google.com/file/d/1rw-E20EDlV8_joPr9dJ0c6w1BD9SxLQQ/view?usp=drivesdk</t>
  </si>
  <si>
    <t>ปลูกต้นไม้โลก</t>
  </si>
  <si>
    <t>https://lh5.googleusercontent.com/d/1Phxq2Rm64oVee6a1pSDHqsa6oowwMM-v</t>
  </si>
  <si>
    <t>เหรัญญิกชั้นปีที่ 1</t>
  </si>
  <si>
    <t>https://lh5.googleusercontent.com/d/1e_JeTnukoKno22oScHJVfXwrwhhpTjr4</t>
  </si>
  <si>
    <t>https://drive.google.com/file/d/1iBCDzNTxI-bwXnGBuveNjjBL2CZ8TI90/view?usp=drivesdk</t>
  </si>
  <si>
    <t>1000-1700</t>
  </si>
  <si>
    <t>https://lh5.googleusercontent.com/d/1V-alX0KjoIMSC_G63NVYDQp-PQsUlLqy</t>
  </si>
  <si>
    <t>https://drive.google.com/file/d/1P5jCor5RXZxuQKP8ToDBKYG1nC8ckGJu/view?usp=drivesdk</t>
  </si>
  <si>
    <t>PCU</t>
  </si>
  <si>
    <t>https://lh5.googleusercontent.com/d/1sANeNCVU2fad45d2ozKVpGmkNREB2nLq</t>
  </si>
  <si>
    <t>ทำกระทงหาเงินเข้าวัดหนามแดง</t>
  </si>
  <si>
    <t>https://lh5.googleusercontent.com/d/12qsAhpMPV4z2XsU3gyl5Qu-u30YPdubY</t>
  </si>
  <si>
    <t>https://drive.google.com/file/d/1TiKRduX5Cf3waxjWeDIWvWJhlvRnu3Sq/view?usp=drivesdk</t>
  </si>
  <si>
    <t>https://lh5.googleusercontent.com/d/1-4aNlufh46DUjK2uP9FHgIso4WXT4X_B</t>
  </si>
  <si>
    <t>https://drive.google.com/file/d/1qk1lLqp3iS1eLjh_FnFeWZoNijNKYCPp/view?usp=drivesdk</t>
  </si>
  <si>
    <t>https://lh5.googleusercontent.com/d/1hXZ2OKaKnFikviAoh4TWjvx_U7KqXDTa</t>
  </si>
  <si>
    <t>https://drive.google.com/file/d/1reXMHzLQ0L2TCXuirtuR0K9OIKcGp7ZK/view?usp=drivesdk</t>
  </si>
  <si>
    <t>https://lh5.googleusercontent.com/d/1cE5BWmozZCK0p8XEDbKiHbjSQQeR3heA</t>
  </si>
  <si>
    <t>https://drive.google.com/file/d/1TxVTEC2DmnrS35k5xZE-fPd12tZa-aLG/view?usp=drivesdk</t>
  </si>
  <si>
    <t>สวนลุมพินี กรุงเทพฯ</t>
  </si>
  <si>
    <t>https://lh5.googleusercontent.com/d/17LN6NzqPxcpvP52o9Kx5pXR0F4O92tIz</t>
  </si>
  <si>
    <t>https://drive.google.com/file/d/1Of6OaObs8q2kKPlkG6qG90b_cIwMX6fw/view?usp=drivesdk</t>
  </si>
  <si>
    <t>https://lh5.googleusercontent.com/d/15P3LNABHfZY1GSPlNFNZOX5quIwirepF</t>
  </si>
  <si>
    <t>https://drive.google.com/file/d/1tYktEHrhVZAA5ADYK_YTmjzoptzhgnJS/view?usp=drivesdk</t>
  </si>
  <si>
    <t>เต้นแอโรบิคร่วมกับชมรมผู้สูงอายุสานสัมพันธ์ชาวหนามแดง</t>
  </si>
  <si>
    <t>https://lh5.googleusercontent.com/d/1r4twlNFI-ZL9ciBm7q4YTI7QFlA2dfvz</t>
  </si>
  <si>
    <t>https://drive.google.com/file/d/1bED3XoEVC4kERl3DqyMSNJ7WARClOUCp/view?usp=drivesdk</t>
  </si>
  <si>
    <t>https://lh5.googleusercontent.com/d/1gCgl7xunx4mCqX6gV_hPomVkHSntWgce</t>
  </si>
  <si>
    <t>https://drive.google.com/file/d/1QS9s94eRlUGQ5J53SGq5COuGkERhRvUC/view?usp=drivesdk</t>
  </si>
  <si>
    <t>ช่วยเก็บของหอชาย</t>
  </si>
  <si>
    <t>หอพักนพอ.ชาย</t>
  </si>
  <si>
    <t>https://lh5.googleusercontent.com/d/1HW-xjOQbFRo9iZtPRztZXK5vld5CPdDG</t>
  </si>
  <si>
    <t>วัดห้วยมะระ</t>
  </si>
  <si>
    <t>พระอธิการสมโภชน์ จนฺทโชโต</t>
  </si>
  <si>
    <t>https://lh5.googleusercontent.com/d/1HZ8OKLEOYw5GKVc_KXbC1iImQ786WK-n</t>
  </si>
  <si>
    <t>https://drive.google.com/file/d/1LbTVD2S137RPZPaZftwW-IYTI39lRpS8/view?usp=drivesdk</t>
  </si>
  <si>
    <t>ร่วมโครงการคัดกรองสุขภาพเชิงรุกกำบังพลทอ.</t>
  </si>
  <si>
    <t>6803885</t>
  </si>
  <si>
    <t>นพอ.กษิดิ์เดช เอมอานนท์</t>
  </si>
  <si>
    <t>การจัดอบรมบรรยายพิเศษ ด้านการประชาสัมพันธ์</t>
  </si>
  <si>
    <t>ห้องบรรยาย บก.ทอ.</t>
  </si>
  <si>
    <t>https://lh5.googleusercontent.com/d/1MBbLwT6gsMlD6F7mGAM0Vc5mG6jfNop5</t>
  </si>
  <si>
    <t>https://drive.google.com/file/d/19TtSxKDwI6XC8OFlA4oltcf50tsukvAu/view?usp=drivesdk</t>
  </si>
  <si>
    <t>https://lh5.googleusercontent.com/d/1iHixNh8V6MD09VHMH3lfDVG-5UwVbbtM</t>
  </si>
  <si>
    <t>https://drive.google.com/file/d/1FmJv-md91tlJd0v4P9lWFslzerAcZaP-/view?usp=drivesdk</t>
  </si>
  <si>
    <t>กอปรทรัพย์ ธุรารัตน์</t>
  </si>
  <si>
    <t>https://lh5.googleusercontent.com/d/1SBxz4oEg8vl58VCGtqYe1D-7cHFObj59</t>
  </si>
  <si>
    <t>https://drive.google.com/file/d/1aziMIAZb_n22YNehsI7tTro6Jh6eUQn_/view?usp=drivesdk</t>
  </si>
  <si>
    <t>จัดสถานที่สวนสนาม(ไม่มีภาพขณะปฏิบัติหน้าที่)</t>
  </si>
  <si>
    <t>https://lh5.googleusercontent.com/d/1p6jKy5VXzKJk-Je9YLrJ0Xml7Wid25Rq</t>
  </si>
  <si>
    <t>https://drive.google.com/file/d/1SF6ddX24_kGC77qGrggl2-_i2uo4j_qE/view?usp=drivesdk</t>
  </si>
  <si>
    <t>https://lh5.googleusercontent.com/d/1jaGeTAV2U1tC_HsWfJ9Ayfu0ShO6hrB9</t>
  </si>
  <si>
    <t>https://drive.google.com/file/d/1zOqL0MXdnhv-RUZiSNJWA-TNpfXIKuhT/view?usp=drivesdk</t>
  </si>
  <si>
    <t>เก็บของวัดบ้านนา</t>
  </si>
  <si>
    <t>https://lh5.googleusercontent.com/d/1kZcQsK7CLNiY3NMEt-XEwkGCk2Deg8uk</t>
  </si>
  <si>
    <t>https://drive.google.com/file/d/1Sh78VHBxZt_MpL6vKr42CS_Y8_uwNvyc/view?usp=drivesdk</t>
  </si>
  <si>
    <t>https://lh5.googleusercontent.com/d/1B6Ctfb5nV52KsmLZq2ENca6BE5KhmKmf</t>
  </si>
  <si>
    <t>https://lh5.googleusercontent.com/d/163Egp7JVbWTwLdcWMKBAMowkFhDIKokn</t>
  </si>
  <si>
    <t>https://drive.google.com/file/d/18PJO_gUf1xyF8qk23o5DaunTdlVHd4PV/view?usp=drivesdk</t>
  </si>
  <si>
    <t>https://lh5.googleusercontent.com/d/1RTpuonJ7Z06MFW_5_zfj2f_5iNiJ3LF5</t>
  </si>
  <si>
    <t>https://drive.google.com/file/d/1e8zRFl1sb2Ga_CE7evolTMUZjpxkdBYa/view?usp=drivesdk</t>
  </si>
  <si>
    <t>https://lh5.googleusercontent.com/d/1_HppVHz40nzJ0HJJlWSlzJ7ioZqL6U5z</t>
  </si>
  <si>
    <t>https://drive.google.com/file/d/1YkClxHvhjSU3Hzg_Fk3KDS5bgkiRCB6X/view?usp=drivesdk</t>
  </si>
  <si>
    <t>https://lh5.googleusercontent.com/d/1fI9tYIN4X8wugrS-pJKOzaoU5zKWuZei</t>
  </si>
  <si>
    <t>https://drive.google.com/file/d/1YucK6J9ia6-z6MyebP2pMh9vUSWpAUtD/view?usp=drivesdk</t>
  </si>
  <si>
    <t>https://lh5.googleusercontent.com/d/1wCuxcPKrNu1clellXSn5788mkoXuwCpW</t>
  </si>
  <si>
    <t>https://drive.google.com/file/d/1l3RkN-LrwzRz2QjNIppS_XVf4aCSrquV/view?usp=drivesdk</t>
  </si>
  <si>
    <t>Meet the Youth cyber Guardian Thailand 2025</t>
  </si>
  <si>
    <t>https://lh5.googleusercontent.com/d/1p_30gMDOhHbLjeQBTEAZjqWJu9Y4xLdT</t>
  </si>
  <si>
    <t>https://drive.google.com/file/d/1Yv-1f-EOAm9ypln6a5DvrKgJq-N8C0Sk/view?usp=drivesdk</t>
  </si>
  <si>
    <t>https://lh5.googleusercontent.com/d/1CeiAqck4PEpb_nyj7XdzGC9RecfF5Uqa</t>
  </si>
  <si>
    <t>https://drive.google.com/file/d/1q1OvQ2Sdu_NtmbPbE9Jmg67bSKbl03hL/view?usp=drivesdk</t>
  </si>
  <si>
    <t>ดูและและจัดห้องพักผ่อน นพอ.</t>
  </si>
  <si>
    <t>ห้องพักผ่อน นพอ.</t>
  </si>
  <si>
    <t>https://lh5.googleusercontent.com/d/18Od0YJT65ryMFYGffOwfq_qVKxGnBwnJ</t>
  </si>
  <si>
    <t>https://drive.google.com/file/d/1_DTd5n1jBqZPcDL3euF7_nslJ5BE0AkG/view?usp=drivesdk</t>
  </si>
  <si>
    <t>https://lh5.googleusercontent.com/d/1zNmFzJMDJyutptNTk3Ch7rUq42XtscTM</t>
  </si>
  <si>
    <t>https://drive.google.com/file/d/1-EYzOjBR37g3Q9x5XrbqzN4_uYtb9WkC/view?usp=drivesdk</t>
  </si>
  <si>
    <t>https://lh5.googleusercontent.com/d/14FNZpmPDUTTzjXGD0bmzmtB1r1471MAx</t>
  </si>
  <si>
    <t>https://drive.google.com/file/d/1RIhGDC22ozXhWOLBa3zQfMwS2uoAUyD3/view?usp=drivesdk</t>
  </si>
  <si>
    <t>https://lh5.googleusercontent.com/d/1EJZ19jxVCZb3hkhLmaljVNN7QUF5ciXZ</t>
  </si>
  <si>
    <t>https://drive.google.com/file/d/1n-UWNOFfCtAsnrzI9ZX26TYjfRD7xHlN/view?usp=drivesdk</t>
  </si>
  <si>
    <t>https://lh5.googleusercontent.com/d/1afV5cu6aU8kXxBTyf9MTcSmWHxHSYSrh</t>
  </si>
  <si>
    <t>https://drive.google.com/file/d/1rgfslDyh-WGiFcoQDCd3aFblIn0jrk1v/view?usp=drivesdk</t>
  </si>
  <si>
    <t>https://lh5.googleusercontent.com/d/17qdLo7LB_37WyxPyzOjhtnP1gNMqlMAu</t>
  </si>
  <si>
    <t>https://drive.google.com/file/d/1hEJJde8ioXYuyRVYBt32MI97siKEfhK6/view?usp=drivesdk</t>
  </si>
  <si>
    <t>https://lh5.googleusercontent.com/d/19euD1PqWRz1Km9CyLdfBdNUbF8vhdGd2</t>
  </si>
  <si>
    <t>https://drive.google.com/file/d/1DOqQyD2-SZSkBc9WjhShV2wH5MCk_Akr/view?usp=drivesdk</t>
  </si>
  <si>
    <t>https://lh5.googleusercontent.com/d/1ZSRvtHun45269Jz6Te9I2ObCO0Ny47ah</t>
  </si>
  <si>
    <t>https://drive.google.com/file/d/1UwlosFdzm9sWjAIOt0GVOPBCtXKUgYxQ/view?usp=drivesdk</t>
  </si>
  <si>
    <t>https://lh5.googleusercontent.com/d/1eLEKqfPH_nsas8UAyk5-sHDvdoLNXuxu</t>
  </si>
  <si>
    <t>https://drive.google.com/file/d/1_CnLEwKu4svqIQVlC0f7zCTjiL_8nOSf/view?usp=drivesdk</t>
  </si>
  <si>
    <t>https://lh5.googleusercontent.com/d/1pj0JXXX4Jwmu_RZolymMx6egwE5-_41Q</t>
  </si>
  <si>
    <t>https://drive.google.com/file/d/1eVMiOJmqgvbBsY142qiX5CdUkv0pBJGA/view?usp=drivesdk</t>
  </si>
  <si>
    <t>รับน้อง SWD 68</t>
  </si>
  <si>
    <t>https://lh5.googleusercontent.com/d/1xTxuuQ5N4hI5QQ77Ya5IKPjkfHbGdmPQ</t>
  </si>
  <si>
    <t>https://drive.google.com/file/d/1DpxYe6NuzJU6Ei6hrI7n8RVeYkZ2NKpv/view?usp=drivesdk</t>
  </si>
  <si>
    <t>ถวายความอาลัยต่อสมเด็จพระพันปีหลวง</t>
  </si>
  <si>
    <t>https://lh5.googleusercontent.com/d/1g0qSboLerEKYQA9q8wwmwnDPSMQiiF6A</t>
  </si>
  <si>
    <t>https://drive.google.com/file/d/19KrpkAWZ1ROhzAf4Z8896DzTkMF3ac0-/view?usp=drivesdk</t>
  </si>
  <si>
    <t>จัดสถานที่สวนสนาม(ไม่มีภาพขณะปฏิบัติงาน)</t>
  </si>
  <si>
    <t>https://lh5.googleusercontent.com/d/1Uddnvp1G6BnIUz62DNMb7YohIErXY4-l</t>
  </si>
  <si>
    <t>https://drive.google.com/file/d/1dgqoyArVMKHPHn3BFqGj97WlcddQdIPc/view?usp=drivesdk</t>
  </si>
  <si>
    <t>6603792</t>
  </si>
  <si>
    <t>นพอ.พลอยไพลิน สุทธหลวง</t>
  </si>
  <si>
    <t>ช่วยเหลือผู้บาดเจ็บ</t>
  </si>
  <si>
    <t>https://lh5.googleusercontent.com/d/1GuHrpFxg5WvxswJ6W6NyvSoermOgMdDm</t>
  </si>
  <si>
    <t>https://drive.google.com/file/d/1iwNXbnZ6a94CCUmRan5YIyQwTVVktf5_/view?usp=drivesdk</t>
  </si>
  <si>
    <t>โรงพยาบาลอุตรดิตถ์</t>
  </si>
  <si>
    <t>https://lh5.googleusercontent.com/d/1W2CD6RGSoouqfobz2yKrSH1BopgH27F8</t>
  </si>
  <si>
    <t>แนะแนวศึกษาต่อในระดับชั้นปริญญาตรี</t>
  </si>
  <si>
    <t>โรงเรียนอุตรดิตถ์ดรุณี</t>
  </si>
  <si>
    <t>https://lh5.googleusercontent.com/d/1VdXXyuclGistUXn6aAjDdazO40Gp-v8C</t>
  </si>
  <si>
    <t>https://drive.google.com/file/d/1-VijzVzp_kqdfOsVT1c4qSX53m0FmG5u/view?usp=drivesdk</t>
  </si>
  <si>
    <t>พิธีแสดงความอาลัย</t>
  </si>
  <si>
    <t>https://lh5.googleusercontent.com/d/1y-I7lHbp62bwv1MTRf48CAJvKD-Y2CBV</t>
  </si>
  <si>
    <t>https://drive.google.com/file/d/1nalTEenRgI-DaGwt5tVyN3-xdb5ee4NQ/view?usp=drivesdk</t>
  </si>
  <si>
    <t>รับเสด็จ สมเด็จพระกนิษฐาธิราชเจ้า กรมสมเด็จพระเทพรัตนราชสุดาฯ สยามบรมราชกุมารี</t>
  </si>
  <si>
    <t>https://lh5.googleusercontent.com/d/128HJQpmp7lMSE1iw-osw9Dk76uZlXY2K</t>
  </si>
  <si>
    <t>https://drive.google.com/file/d/1Z5_0B2i-7xwz7U2o-ry8DVQ3wMfSeLRl/view?usp=drivesdk</t>
  </si>
  <si>
    <t>https://lh5.googleusercontent.com/d/1QZpM4uqTSHCIkgFkZpr9LPflsaHFgwB3</t>
  </si>
  <si>
    <t>https://drive.google.com/file/d/1lFKiZzCwitSv4TRdta4pOBDkYx88TX2T/view?usp=drivesdk</t>
  </si>
  <si>
    <t>https://lh5.googleusercontent.com/d/1CPT3cbROLy4nYp5nWDfRgnP3JY5gL-F0</t>
  </si>
  <si>
    <t>ประชุมวิชาการเทิดพระเกียรติสมเด็จพระศรีนครินทราบรมราชชนี</t>
  </si>
  <si>
    <t>https://lh5.googleusercontent.com/d/1SFDjFBlcdM30RmHRvzaMCb8PY5i0oMFW</t>
  </si>
  <si>
    <t>https://drive.google.com/file/d/1ZBzWVGNFZfyAEWxjEi-vvDOO_xuJSVNU/view?usp=drivesdk</t>
  </si>
  <si>
    <t>https://lh5.googleusercontent.com/d/1W-zZcHIdZ4VAZhMKKyjTuBMiP7_LsnD0</t>
  </si>
  <si>
    <t>https://drive.google.com/file/d/1jsHUeyGBDcmVnSHMAAFmlmO79o_43VpV/view?usp=drivesdk</t>
  </si>
  <si>
    <t>ห้องปกครองวพอ.</t>
  </si>
  <si>
    <t>https://lh5.googleusercontent.com/d/13zrckcgkG7tIq-Jn67BjVj7BdcxQ_zHM</t>
  </si>
  <si>
    <t>https://drive.google.com/file/d/1us0cWapxlxy-7E6O7Nf8iaWxyD2r8rQO/view?usp=drivesdk</t>
  </si>
  <si>
    <t>https://lh5.googleusercontent.com/d/1e2OEx3SBEtcBv-ZHU7IXwDIEPFGYrtU9</t>
  </si>
  <si>
    <t>https://drive.google.com/file/d/1miUjxCivYVmiFAzBytkkniMVyu5C9il3/view?usp=drivesdk</t>
  </si>
  <si>
    <t>https://lh5.googleusercontent.com/d/1FNYDqkfUpYJBOuhXDLRD0iQ4TF-pzg9A</t>
  </si>
  <si>
    <t>https://drive.google.com/file/d/1CH1WahlVueECc9khVl4ID8G4GfVIXpVr/view?usp=drivesdk</t>
  </si>
  <si>
    <t>https://lh5.googleusercontent.com/d/1ofZVEmtQIQ-ntb6EYFiyCFGP3aNBrRhi</t>
  </si>
  <si>
    <t>https://drive.google.com/file/d/1oxWqf_IWMfTbz4hbTzx46-f9eBRGyQSB/view?usp=drivesdk</t>
  </si>
  <si>
    <t>https://lh5.googleusercontent.com/d/1u9vhDhuAWmXPq7XkIactKtXLS2bjviBD</t>
  </si>
  <si>
    <t>https://drive.google.com/file/d/1hapIfRxUFv-sKortnX1GCb47L8fHKHpN/view?usp=drivesdk</t>
  </si>
  <si>
    <t>https://lh5.googleusercontent.com/d/1irviaXPE8ySLzfqAqeQlOrexnJOq5Gb5</t>
  </si>
  <si>
    <t>https://drive.google.com/file/d/1wnguZxsd1r039Np6nU1jzYNB2gnY1t54/view?usp=drivesdk</t>
  </si>
  <si>
    <t>6603772</t>
  </si>
  <si>
    <t>นพอ.ทักษพร สอนดี</t>
  </si>
  <si>
    <t>https://lh5.googleusercontent.com/d/1j7xDymleUeqLfoR5nWLSHCopkI9X7aKl</t>
  </si>
  <si>
    <t>https://drive.google.com/file/d/1JPSR-yICLoN8GZaPwv-GHXVlqDia_mgb/view?usp=drivesdk</t>
  </si>
  <si>
    <t>https://lh5.googleusercontent.com/d/1w6yGppmITFtqIiN1-uZwxoVYSq3WuI83</t>
  </si>
  <si>
    <t>https://drive.google.com/file/d/1EqPHgovQ413qiUBgKUSEi9o-4sYs6loD/view?usp=drivesdk</t>
  </si>
  <si>
    <t>https://lh5.googleusercontent.com/d/1T2ieo669tsymowQFZDtkHBc1buc5wfDv</t>
  </si>
  <si>
    <t>https://drive.google.com/file/d/1JvOGo4rlQagr3TpHdQ6nPe9q8Nt9mpot/view?usp=drivesdk</t>
  </si>
  <si>
    <t>https://lh5.googleusercontent.com/d/1mO0vBQ1jrb-gsSwYxkcSXdT9d6TrZiXW</t>
  </si>
  <si>
    <t>https://drive.google.com/file/d/1mQUnD26DV1j9hb4mbTJCkLhxHI282u6j/view?usp=drivesdk</t>
  </si>
  <si>
    <t>0800-1800</t>
  </si>
  <si>
    <t>https://lh5.googleusercontent.com/d/16_s9p_zJZAHnZgQNzkB8M4oKY-tu-_oO</t>
  </si>
  <si>
    <t>https://drive.google.com/file/d/1q6M2GUrC0xoo04w7EQOcfba5sXNOlkxM/view?usp=drivesdk</t>
  </si>
  <si>
    <t>https://lh5.googleusercontent.com/d/1BVpyxa6T7y1mjyRlUOFCQSGO6FO1MuNs</t>
  </si>
  <si>
    <t>https://drive.google.com/file/d/1ypxRQgRwwjZLOM3JMiEQntXucKDGb04e/view?usp=drivesdk</t>
  </si>
  <si>
    <t>https://lh5.googleusercontent.com/d/1ygMDWsnUxcPtRQZLUXyVkdNMAJfCCR9I</t>
  </si>
  <si>
    <t>https://drive.google.com/file/d/1TCxsvXYtRLxLjNNsaEX84Cs3JMbc5ZTE/view?usp=drivesdk</t>
  </si>
  <si>
    <t>https://lh5.googleusercontent.com/d/1DhscnPte0z_LFiqgtpvezdhZGkVnF3vU</t>
  </si>
  <si>
    <t>https://drive.google.com/file/d/1HAlS8CLjN-Em7_lZjFK6KnwHW2Hf4Yky/view?usp=drivesdk</t>
  </si>
  <si>
    <t>https://lh5.googleusercontent.com/d/1ppmKmqzuRas5916LavsbsKMokDJ0-EKG</t>
  </si>
  <si>
    <t>https://drive.google.com/file/d/1TDy5rPoMLzXZCdyjTNNdGMyFeKWaLT60/view?usp=drivesdk</t>
  </si>
  <si>
    <t>https://lh5.googleusercontent.com/d/1s6b64kQXQk18bJH0zCdVU857MSdIU2nM</t>
  </si>
  <si>
    <t>https://drive.google.com/file/d/1rEsAzAu8E-nUu1tyW6wOoVg2rylUrRGP/view?usp=drivesdk</t>
  </si>
  <si>
    <t>รับเสร็จ</t>
  </si>
  <si>
    <t>มหาวิทลัยมหิดลศาลายา</t>
  </si>
  <si>
    <t>https://lh5.googleusercontent.com/d/1klo6btKImPZqUj_vnkTUIR00-MBBZnHX</t>
  </si>
  <si>
    <t>https://drive.google.com/file/d/18DD24L60qRxtBOb2NN-Ut7KXqs_Z3kDh/view?usp=drivesdk</t>
  </si>
  <si>
    <t>https://lh5.googleusercontent.com/d/16A5jvBTS157yqIPglBZMNDl9Z9__eS11</t>
  </si>
  <si>
    <t>https://drive.google.com/file/d/1yyPeIYzSbmokpVZgEA5pNNZIzJ977d6y/view?usp=drivesdk</t>
  </si>
  <si>
    <t>วันเฉลิมพระชนมพรรษา พระบรมราชนนีพันปีหลวง</t>
  </si>
  <si>
    <t>1400-1500</t>
  </si>
  <si>
    <t>https://lh5.googleusercontent.com/d/1o8AUImExe_zAqHsP-vnaG6WsIMB694X8</t>
  </si>
  <si>
    <t>https://drive.google.com/file/d/1A05zLdtoROi1PpNz6fWWs9I28ygkYywN/view?usp=drivesdk</t>
  </si>
  <si>
    <t>ดูแลและจัดห้องพักผ่อน นพอ</t>
  </si>
  <si>
    <t>https://lh5.googleusercontent.com/d/1Yit5_F2voODjTurAH7EmHrqHl2rgFsCE</t>
  </si>
  <si>
    <t>https://drive.google.com/file/d/1RvyDngcJlfGSpa_kXLBIGEP-drc4zRC8/view?usp=drivesdk</t>
  </si>
  <si>
    <t>ทกท.หมู่1 มว.2</t>
  </si>
  <si>
    <t>https://lh5.googleusercontent.com/d/1mdrLz0LysCmtH7JP3-7gOtEkkMc8MPky</t>
  </si>
  <si>
    <t>https://drive.google.com/file/d/165vPT5R70LAeVJGjtz78d25WPjuBnIek/view?usp=drivesdk</t>
  </si>
  <si>
    <t>6603807</t>
  </si>
  <si>
    <t>นพอ.สถิตย์ภรณ์ นวลขวัญ</t>
  </si>
  <si>
    <t>https://lh5.googleusercontent.com/d/15e5564DD-rU4aNB_lkFjZfwP9opFJBXE</t>
  </si>
  <si>
    <t>https://drive.google.com/file/d/1KscPxItsNnVkuABCEVCBgzDzSh3l66Gl/view?usp=drivesdk</t>
  </si>
  <si>
    <t>https://lh5.googleusercontent.com/d/1GYaLMojEt6yenmghgyXkliQPjmk0Ps7c</t>
  </si>
  <si>
    <t>https://drive.google.com/file/d/1v0Uu0F9mrJwI6AKQQ_EPOrbbV1CDv2iC/view?usp=drivesdk</t>
  </si>
  <si>
    <t>6603806</t>
  </si>
  <si>
    <t>นพอ.ศุภิสรา หอมหวล</t>
  </si>
  <si>
    <t>https://lh5.googleusercontent.com/d/1EaXV38ERgdHUA5zq2ogNuJmBZOI9gw0X</t>
  </si>
  <si>
    <t>https://drive.google.com/file/d/1n0sUT8Sra2BXpLhQBGMxSS3ihjeiMbDj/view?usp=drivesdk</t>
  </si>
  <si>
    <t>https://lh5.googleusercontent.com/d/1GEDQrJdwHDGR8bQligZzjljmqg19kgG2</t>
  </si>
  <si>
    <t>https://drive.google.com/file/d/1LX3BdDpTqms5iJ5CNLFGBvxYzBXKoi6G/view?usp=drivesdk</t>
  </si>
  <si>
    <t>https://lh5.googleusercontent.com/d/1uDl_4xBlbw5eT2rGoQWnhKu7zzPSfyIE</t>
  </si>
  <si>
    <t>https://drive.google.com/file/d/1JygJbShDdm4cEjvHzzWhpvOaOr__8FBs/view?usp=drivesdk</t>
  </si>
  <si>
    <t>https://lh5.googleusercontent.com/d/1t_ZljHDwIpGfhTsJnDtXmXd4-jiKatV7</t>
  </si>
  <si>
    <t>https://drive.google.com/file/d/1j9FR5to3ZN0p7uHKKE5QhcrHUrGSHErC/view?usp=drivesdk</t>
  </si>
  <si>
    <t>https://lh5.googleusercontent.com/d/1jXNs2gLT_CTwnRHVtmsHaZry7pf-OW3T</t>
  </si>
  <si>
    <t>https://drive.google.com/file/d/1MVVU5Z4f-3QmmCE_rncmDRA8P037KfH2/view?usp=drivesdk</t>
  </si>
  <si>
    <t>https://lh5.googleusercontent.com/d/17StTP_lIP9JIZjcm16ekJnxopFkUapOu</t>
  </si>
  <si>
    <t>https://drive.google.com/file/d/1FhEKk5HybXJEY_vak0zlJhTUnh8LnWAl/view?usp=drivesdk</t>
  </si>
  <si>
    <t>https://lh5.googleusercontent.com/d/1rhXsTPcq3hEd7H1whnqGjhGldRElh3_c</t>
  </si>
  <si>
    <t>https://drive.google.com/file/d/1rL30dFN6jwcA498Q-y47SnwAQTp7AP3t/view?usp=drivesdk</t>
  </si>
  <si>
    <t>https://lh5.googleusercontent.com/d/1XI6CJT_xeSPDdMJ2LLeyRTUoH-sjGU5Q</t>
  </si>
  <si>
    <t>https://drive.google.com/file/d/1djpZffRQ38vTWaU0BmlHpMgVfkOLAu-m/view?usp=drivesdk</t>
  </si>
  <si>
    <t>ช้อมพิธีไหว้ครูดนตรีไทย 10 สถาบัน</t>
  </si>
  <si>
    <t>https://lh5.googleusercontent.com/d/1TJQOw7c4aeTEj3vaeE_AnZZjl3RyWxY9</t>
  </si>
  <si>
    <t>https://drive.google.com/file/d/1bL2cztyHDTkd1rzzNO8xyBMp-MSqQwT5/view?usp=drivesdk</t>
  </si>
  <si>
    <t>https://lh5.googleusercontent.com/d/1tDb-0z4XGNDh5rgVvZJSsBwD4Mm5kOVv</t>
  </si>
  <si>
    <t>https://drive.google.com/file/d/1nGh3G0a0qkPQPGbQKG-57wkG6NVlMTPb/view?usp=drivesdk</t>
  </si>
  <si>
    <t>เล่นดุริงยาง</t>
  </si>
  <si>
    <t>https://lh5.googleusercontent.com/d/1F1DCb9ofCSQ6y-xDz_D78Nw5I6Sr6qHq</t>
  </si>
  <si>
    <t>https://drive.google.com/file/d/1eNZhwjVzFWTChSCILHUNJcxww8mrhk80/view?usp=drivesdk</t>
  </si>
  <si>
    <t>6603802</t>
  </si>
  <si>
    <t>นพอ.ศตพร คงศักดิ์</t>
  </si>
  <si>
    <t>งานทัพฟ้า</t>
  </si>
  <si>
    <t>0700-2300</t>
  </si>
  <si>
    <t>https://lh5.googleusercontent.com/d/1--2uV5Lap1aFuC6lC-9YGOBD9-GtmYjS</t>
  </si>
  <si>
    <t>https://drive.google.com/file/d/1EePW7zQpYEArnfsMCixYjamvI7gU3GjD/view?usp=drivesdk</t>
  </si>
  <si>
    <t>6803945</t>
  </si>
  <si>
    <t>64</t>
  </si>
  <si>
    <t>ไอลดา ศาลากิจ</t>
  </si>
  <si>
    <t>"พยาบาลไทยบริจาคโลหิต ช่วยชีวิตเพื่อนมนุษย์ปี4"</t>
  </si>
  <si>
    <t>https://lh5.googleusercontent.com/d/1mLQmi69Uci6gfWuGiovGRcKVbsmGtEQu</t>
  </si>
  <si>
    <t>https://drive.google.com/file/d/1DVJTTUiTJIgeTa3uKUEccErO7nGi49tP/view?usp=drivesdk</t>
  </si>
  <si>
    <t>Meet The Yuth Hacker Thailand 2025</t>
  </si>
  <si>
    <t>https://lh5.googleusercontent.com/d/1Hi6VBnt6sAc_rFyyn_R5KQLVyv-1VQ8g</t>
  </si>
  <si>
    <t>https://drive.google.com/file/d/1ovL5Xl0Dclrd_GBxLILf0JCMAQY1gMJb/view?usp=drivesdk</t>
  </si>
  <si>
    <t>10.00-12.00น.</t>
  </si>
  <si>
    <t>นางเพียงพิศ นิตย์โชติ</t>
  </si>
  <si>
    <t>https://lh5.googleusercontent.com/d/1SdzKjrIEEp0oQUsDCrzTVZMTCJod-qyi</t>
  </si>
  <si>
    <t>https://drive.google.com/file/d/1j0L8JdmRID-FId_eo1aXrs_d5VuWMOcd/view?usp=drivesdk</t>
  </si>
  <si>
    <t>ช่วยจัดงานวันสวนสนาม(ไม่มีรูปขณะปฏิบัติงาน)</t>
  </si>
  <si>
    <t>ร.อ.อนุชิต ทําจะดี</t>
  </si>
  <si>
    <t>https://lh5.googleusercontent.com/d/161jPSZBUGpYyQT14rcKofTGXbdm0-xYu</t>
  </si>
  <si>
    <t>https://drive.google.com/file/d/1hWC9XFoZjBv2IvX7Z-G1jH7fQNzwcOVx/view?usp=drivesdk</t>
  </si>
  <si>
    <t>https://lh5.googleusercontent.com/d/17XWPFqmCwia-N_6wDraHR97EGR8PAIoR</t>
  </si>
  <si>
    <t>https://drive.google.com/file/d/1MVqqLu-PbJ6JG7ZbmHrygYY9JbWxVnj6/view?usp=drivesdk</t>
  </si>
  <si>
    <t>https://lh5.googleusercontent.com/d/1E-FAmNzFq4bCaFCDJDEpuQKrv_8xbWPA</t>
  </si>
  <si>
    <t>https://drive.google.com/file/d/1dXuqcYBj4YtoVD-afha9OVwo9MHpOr06/view?usp=drivesdk</t>
  </si>
  <si>
    <t>https://lh5.googleusercontent.com/d/1R4WwJ1u3vOyfSFKWLrUdmDQ6RH791UYa</t>
  </si>
  <si>
    <t>https://drive.google.com/file/d/1F6KhtBUDqEqiTG_SDiEoxLTMZTZ7EVM5/view?usp=drivesdk</t>
  </si>
  <si>
    <t>ทำความสะอาดและจัดตู้เย็น</t>
  </si>
  <si>
    <t>พ.อ.อ.เรืองวิทย์ ออละมาลี</t>
  </si>
  <si>
    <t>https://lh5.googleusercontent.com/d/1gH4y1uolsmfISPG1eIZzltA51rwSPKAV</t>
  </si>
  <si>
    <t>https://drive.google.com/file/d/1tXGCNh4dzQaXpWkk2Wllza9sGjjKPmtm/view?usp=drivesdk</t>
  </si>
  <si>
    <t>Meet the youth guardians Thailand</t>
  </si>
  <si>
    <t>https://lh5.googleusercontent.com/d/14pqs431sEj8ify2CZgMxKCesjH5Filsz</t>
  </si>
  <si>
    <t>https://drive.google.com/file/d/1pBnB6MEkCE8lf0HEKTU5_gOrD3YwV_aC/view?usp=drivesdk</t>
  </si>
  <si>
    <t>ทำความสะอาดห้องน้ำวัด</t>
  </si>
  <si>
    <t>วัดท่าถนน</t>
  </si>
  <si>
    <t>พระอธิการประทุม เขมภทฺโท</t>
  </si>
  <si>
    <t>https://lh5.googleusercontent.com/d/1txP0-zWGD_lgIOEEYDvtkHRTSa2uncvs</t>
  </si>
  <si>
    <t>https://drive.google.com/file/d/19IYwIDXLWWtBjH7ksGE5q6UzbvEr8V-M/view?usp=drivesdk</t>
  </si>
  <si>
    <t>https://lh5.googleusercontent.com/d/1jZsw3Obj7zRVfI2ZVJFJv_5XHI9JZx93</t>
  </si>
  <si>
    <t>https://drive.google.com/file/d/1Sz89Ip3TP21qK_YUiLpFS67Utqpmf3bN/view?usp=drivesdk</t>
  </si>
  <si>
    <t>ทำความสะอาดและจัดตกแต่งสวน</t>
  </si>
  <si>
    <t>นางอวยพร ออละมาลี</t>
  </si>
  <si>
    <t>https://lh5.googleusercontent.com/d/1mjKvBOwCL2pYuXC52Wp6d-SClmYWEQLE</t>
  </si>
  <si>
    <t>https://drive.google.com/file/d/1PSV0l4VnpcgHP5hVoSOK9p0bzAOVhjlB/view?usp=drivesdk</t>
  </si>
  <si>
    <t>จิตอาสาช่วยเหลือครอบครัว</t>
  </si>
  <si>
    <t>20:20</t>
  </si>
  <si>
    <t>นางภัทรวดี ศิวะธารานนท์(ผู้ปกครอง)</t>
  </si>
  <si>
    <t>https://lh5.googleusercontent.com/d/16msDjjd9favWDBun5vPYHXRUwTMUOAS8</t>
  </si>
  <si>
    <t>https://drive.google.com/file/d/1bD7mvo00WMKOmxWNZOLCEtVjv4YLH9Ma/view?usp=drivesdk</t>
  </si>
  <si>
    <t>จิตอาสาช่วยครอบครัว</t>
  </si>
  <si>
    <t>https://lh5.googleusercontent.com/d/1_RcUhh7erj4Cverh7W1E4pcgBShJhoYo</t>
  </si>
  <si>
    <t>https://drive.google.com/file/d/1_mzrWdWLhhBoS1fQuckMI4o1Mo9EL2KT/view?usp=drivesdk</t>
  </si>
  <si>
    <t>0700-2200</t>
  </si>
  <si>
    <t>https://lh5.googleusercontent.com/d/1w4vEigpsjTMYIwsrk8gLWlTacpbyf7uB</t>
  </si>
  <si>
    <t>https://drive.google.com/file/d/174P3-QSjZ_kEXbRHm_qqae6CRe51qfnV/view?usp=drivesdk</t>
  </si>
  <si>
    <t>นายชำนาญ ปรีชาคม</t>
  </si>
  <si>
    <t>https://lh5.googleusercontent.com/d/1-gzCIrOIarwbDmv8_8J9qMu_G01p_E0i</t>
  </si>
  <si>
    <t>https://drive.google.com/file/d/141dhGFLDlg0hE1RIqMay9X1DWV6MJnnY/view?usp=drivesdk</t>
  </si>
  <si>
    <t>https://lh5.googleusercontent.com/d/17pjW9qqkh1-649L_4MfvOZhKr15KJWNS</t>
  </si>
  <si>
    <t>https://drive.google.com/file/d/17O0tQyxwonqVP3IBo_5TTc6MPkFVF7ES/view?usp=drivesdk</t>
  </si>
  <si>
    <t>https://lh5.googleusercontent.com/d/1IWPnfyGVp1ZziRzjHAD2nd8NbEo0nBUP</t>
  </si>
  <si>
    <t>https://drive.google.com/file/d/1tPTfcKnZ6tvyDi3TlyPLGpBO5d4D5O-i/view?usp=drivesdk</t>
  </si>
  <si>
    <t>ทำความสะอาด</t>
  </si>
  <si>
    <t>1700-1745</t>
  </si>
  <si>
    <t>นางอภิญญาพร นามอินทร์</t>
  </si>
  <si>
    <t>https://lh5.googleusercontent.com/d/1aJ8NOJQNMbI6MoBBrVwQdOKoZjyHc06o</t>
  </si>
  <si>
    <t>https://drive.google.com/file/d/1iReTejlkXojqWT1Vv5Xj3QjydWOfDoWX/view?usp=drivesdk</t>
  </si>
  <si>
    <t>https://lh5.googleusercontent.com/d/1TnziL85-7hSDnuO4tbllM8GIYOgGj30E</t>
  </si>
  <si>
    <t>https://drive.google.com/file/d/1y7lVJrg-yLmHt16FX51SSh0mfymUVh7b/view?usp=drivesdk</t>
  </si>
  <si>
    <t>t the Youth cyber Guardian Thailand 2025</t>
  </si>
  <si>
    <t>https://lh5.googleusercontent.com/d/18XHRnIlyoiYzeegGZecVGv955EtEX8CO</t>
  </si>
  <si>
    <t>https://drive.google.com/file/d/1zoBzUQVZOufeUD5iRyAqcTYm8-EzbjYy/view?usp=drivesdk</t>
  </si>
  <si>
    <t>อาคาร15 กองบัญชาการกองทัพไทย</t>
  </si>
  <si>
    <t>0700-1600</t>
  </si>
  <si>
    <t>https://lh5.googleusercontent.com/d/1mbUb0cPx4ZE7p8vHcv_fNwca3sipn4YD</t>
  </si>
  <si>
    <t>https://drive.google.com/file/d/1FA-e2mnHX2vRNekG7CDXpATbpfeWen0W/view?usp=drivesdk</t>
  </si>
  <si>
    <t>0744</t>
  </si>
  <si>
    <t>https://lh5.googleusercontent.com/d/1Wf7_wqK-me0N6f7kr92S9wv5orZ-3KJS</t>
  </si>
  <si>
    <t>https://drive.google.com/file/d/1eowGFKTx64FX3yJm4vv7kef0c-DOurCP/view?usp=drivesdk</t>
  </si>
  <si>
    <t>6803893</t>
  </si>
  <si>
    <t>นพอ.ฐิติกานต์ วัดจัง</t>
  </si>
  <si>
    <t>https://lh5.googleusercontent.com/d/1LNEuK8ik7i8eV2ZbIIsNWQq5D_NgCCXk</t>
  </si>
  <si>
    <t>https://drive.google.com/file/d/1b6Tcmtsjr9W-omHEA1raLSJ3FRzYkFV7/view?usp=drivesdk</t>
  </si>
  <si>
    <t>https://lh5.googleusercontent.com/d/1BZvja4AzR25YU-jYXhfx-Sx4sc8BPLgT</t>
  </si>
  <si>
    <t>https://drive.google.com/file/d/10-l5T5_oa0FW73D6FJVKQRgDK-jXgLT9/view?usp=drivesdk</t>
  </si>
  <si>
    <t>47/191 ต.ปากเกร็ด อ.ปากเกร็ด</t>
  </si>
  <si>
    <t>นางวลัย เอมอานนท์</t>
  </si>
  <si>
    <t>https://lh5.googleusercontent.com/d/1dxkpTqCGCWWtZ6daEVlBN156yq46N_w3</t>
  </si>
  <si>
    <t>https://drive.google.com/file/d/1wDc2Ks8-NjP-Z6VwUaC66ecomt6mRdfI/view?usp=drivesdk</t>
  </si>
  <si>
    <t>จิตอาสามูลนิธิกระจกเงา</t>
  </si>
  <si>
    <t>มูลนิธิกระจกเงา</t>
  </si>
  <si>
    <t>1000-1600</t>
  </si>
  <si>
    <t>เจ้าหน้าที่มูลนิธิ</t>
  </si>
  <si>
    <t>https://lh5.googleusercontent.com/d/1EkX3HTA1NWWKI5wt8wzc5jxoNiWXgLXT</t>
  </si>
  <si>
    <t>https://drive.google.com/file/d/1rGlxhoHoazNBy6N6sS7Eyw98P9hOddLj/view?usp=drivesdk</t>
  </si>
  <si>
    <t>https://lh5.googleusercontent.com/d/1JkEonLTcLy2RR-mXOvCw9TKNG7db8Gk3</t>
  </si>
  <si>
    <t>https://drive.google.com/file/d/1ppDbAPCijG4J6ZbE45JKZcatWPQJjodc/view?usp=drivesdk</t>
  </si>
  <si>
    <t>ฟังบรรยายเรื่องเตรียมความพร้อมคุณแม่ตั้งครรภ์</t>
  </si>
  <si>
    <t>https://lh5.googleusercontent.com/d/19WqF-fDbXiirL53FDZIfanA7Nr6DvTYP</t>
  </si>
  <si>
    <t>https://drive.google.com/file/d/17X5lUssSdP9JseLoHwjN2SeSQ23XGO1j/view?usp=drivesdk</t>
  </si>
  <si>
    <t>https://lh5.googleusercontent.com/d/194ES6APKFjf5-9tdZti0K713ey52-g_J</t>
  </si>
  <si>
    <t>https://drive.google.com/file/d/1eZ8xKuwsGV5kC4fWFJBlVhILD502m_hN/view?usp=drivesdk</t>
  </si>
  <si>
    <t>https://lh5.googleusercontent.com/d/1izgrW5ntCBSxw8dppu6SaGRYcuaLQyTf</t>
  </si>
  <si>
    <t>https://drive.google.com/file/d/19j55_EK9FRXy-4DVSuHufv_5TgmVrg6m/view?usp=drivesdk</t>
  </si>
  <si>
    <t>https://lh5.googleusercontent.com/d/1zDOPVWgR8tsYF-l_VLXIs2Xl9cd_q4AC</t>
  </si>
  <si>
    <t>https://drive.google.com/file/d/1kS7f-OQactjgxsppdva6TA96opT1oU2o/view?usp=drivesdk</t>
  </si>
  <si>
    <t>นางสิริลักษณ์ เสือน้อย</t>
  </si>
  <si>
    <t>https://lh5.googleusercontent.com/d/1U2DvX32vt-ReyapWQVT7Kdwx_13BsFWS</t>
  </si>
  <si>
    <t>https://drive.google.com/file/d/1qPmVQYIGLq6Wd0B0cbfCCa_xU2y9T_vs/view?usp=drivesdk</t>
  </si>
  <si>
    <t>จิรัชยา ธีรประภานนท์</t>
  </si>
  <si>
    <t>ทำความสะอาดชุมชน</t>
  </si>
  <si>
    <t>ชุมชนหนองไผ่ล้อม</t>
  </si>
  <si>
    <t>พ.อ.(พิเศษ) ไตรภพ สมดี</t>
  </si>
  <si>
    <t>https://lh5.googleusercontent.com/d/1sBEpIXdLu84udRI4fNMPrO0hCFNjSnRq</t>
  </si>
  <si>
    <t>https://drive.google.com/file/d/1UcV77nQQ4CoDTQbTebzEhD1ZEMVvq19I/view?usp=drivesdk</t>
  </si>
  <si>
    <t xml:space="preserve">Big cleaning day </t>
  </si>
  <si>
    <t>https://lh5.googleusercontent.com/d/16Nx8mOZ4uvRbPl6ODXzQXVgjNArgI-9X</t>
  </si>
  <si>
    <t>https://drive.google.com/file/d/1udXHz2Dcp94ckV8PICay2L1JY8uYoJ9z/view?usp=drivesdk</t>
  </si>
  <si>
    <t>ทำงานบ้านทั่วไป</t>
  </si>
  <si>
    <t>บ้านพัก</t>
  </si>
  <si>
    <t>1430-1630</t>
  </si>
  <si>
    <t>นาง สุพัตรา เยาวภา (มารดา)</t>
  </si>
  <si>
    <t>https://lh5.googleusercontent.com/d/1tHadX-Ou9giPbfcbGtNoVj0rh5JVNCy4</t>
  </si>
  <si>
    <t>https://drive.google.com/file/d/1OhywwWDhYkK4Y3-A21-7HIyoEWRAFT1B/view?usp=drivesdk</t>
  </si>
  <si>
    <t>ทาสีสนามเด็กเล่นโรงเรียน</t>
  </si>
  <si>
    <t>โรงเรียนบ้านหนองบอน</t>
  </si>
  <si>
    <t xml:space="preserve">ผอ.สุปราณี แก้วมาพะเนาว์ </t>
  </si>
  <si>
    <t>https://lh5.googleusercontent.com/d/1TQSXVsbs3cuG7GHx1fekHhADWsJPxLhd</t>
  </si>
  <si>
    <t>https://drive.google.com/file/d/14VACDHCmV-qhUW2tGJ_eOAQJ0eLp-Gsp/view?usp=drivesdk</t>
  </si>
  <si>
    <t>ถวายความอาลัย</t>
  </si>
  <si>
    <t>https://lh5.googleusercontent.com/d/17kg6Crkxs3Jd9gkYBYVaKlT8PS2zwsCl</t>
  </si>
  <si>
    <t>https://drive.google.com/file/d/1O0jPlKAZAHCtr2zyErpod0ntm2UW7qY8/view?usp=drivesdk</t>
  </si>
  <si>
    <t>https://lh5.googleusercontent.com/d/1GOYrCrIMJwfbJzIUB5YVFcV6VOb6wIsS</t>
  </si>
  <si>
    <t>https://drive.google.com/file/d/1GaUfm0Eeg-mYKyO4SPVVreqJPYgr-5UW/view?usp=drivesdk</t>
  </si>
  <si>
    <t>https://lh5.googleusercontent.com/d/13IV3wwm0MgYmClNkAG3yVpeowvvEYaVe</t>
  </si>
  <si>
    <t>https://drive.google.com/file/d/1cRbaqsyNFka_bGZQU2RwALFMMkGRFTDF/view?usp=drivesdk</t>
  </si>
  <si>
    <t>https://lh5.googleusercontent.com/d/1KW91nfmSzXhOrKyvULqpi_A7G6huLBCM</t>
  </si>
  <si>
    <t>https://drive.google.com/file/d/15QH2vO40F2yrF8tnMcBScV6TYOLk4XT6/view?usp=drivesdk</t>
  </si>
  <si>
    <t>https://lh5.googleusercontent.com/d/1dFuZZmKFxhnvNOiAbfDePDdlgxNphUW-</t>
  </si>
  <si>
    <t>https://drive.google.com/file/d/1D0NrWFn1o3X4BekcS7Ut50z305VA03vO/view?usp=drivesdk</t>
  </si>
  <si>
    <t>https://lh5.googleusercontent.com/d/1_T0k7S7iIPBfZuj4W5KP3FX3Mas3OrrU</t>
  </si>
  <si>
    <t>https://drive.google.com/file/d/1OP0HpxEQvUOHLCJTXWMquBcxTy4NwP9o/view?usp=drivesdk</t>
  </si>
  <si>
    <t>นพอ. ธีราพร  ประสิทธิภาพ</t>
  </si>
  <si>
    <t>07.50</t>
  </si>
  <si>
    <t>https://lh5.googleusercontent.com/d/1463pBQFpY1uS7MKwbm2lRBsbSQEwCV_k</t>
  </si>
  <si>
    <t>https://drive.google.com/file/d/1yY8-NdaZoFZJEscxx-43O-aPker3Nc7S/view?usp=drivesdk</t>
  </si>
  <si>
    <t>https://lh5.googleusercontent.com/d/1o34oggZDEPgbet53WFbUsKnQe069s38v</t>
  </si>
  <si>
    <t>https://drive.google.com/file/d/1aNWO-oiAA6A5qBuWuTU3dlsRwPed_dev/view?usp=drivesdk</t>
  </si>
  <si>
    <t>ศูนย์บริการโลหิตแแห่งชาติ สภากาชาดไทย</t>
  </si>
  <si>
    <t>https://lh5.googleusercontent.com/d/1K4AvPEBWahhJSdae5LhBoBPutC_QrLrG</t>
  </si>
  <si>
    <t>https://drive.google.com/file/d/1ajB2HAS3Iu9Py8ZM7ljopVviPd_ZQ1ZQ/view?usp=drivesdk</t>
  </si>
  <si>
    <t>999999</t>
  </si>
  <si>
    <t>4324</t>
  </si>
  <si>
    <t>https://lh5.googleusercontent.com/d/1XTuz7GqfdTuxh9V-xdvx_QZYoTI5-v56</t>
  </si>
  <si>
    <t>https://drive.google.com/file/d/1oGuClWKEa_51feCHKoLfJgZTYrJBrNuy/view?usp=drivesdk</t>
  </si>
  <si>
    <t>5345345t34t543</t>
  </si>
  <si>
    <t>น.อ.หญิง ผศ. วัลลภา อันดาราgrdfgsadf</t>
  </si>
  <si>
    <t>https://lh5.googleusercontent.com/d/1vYbQ9owbgXD37XB8F9F6OMO_j_9xwPjv</t>
  </si>
  <si>
    <t>https://drive.google.com/file/d/1jS6JRwpfclMelDHacP0n-iCMKI9MR6xn/view?usp=drivesdk</t>
  </si>
  <si>
    <t>นพอ.พิธพิศาล ชัยสิทธิ์</t>
  </si>
  <si>
    <t>น.อ.หญิง ผศ. วัลลภา อันดารา</t>
  </si>
  <si>
    <t>https://lh5.googleusercontent.com/d/1OvzHxXJsfzM2IrXs9KetQXqD9qHe0QgJ</t>
  </si>
  <si>
    <t>https://drive.google.com/file/d/1S1WwvpAJNPA0ovMxDmSjNf54iYAEJ2Xr/view?usp=drivesdk</t>
  </si>
  <si>
    <t>น.อ.หญิง ผศ. วัลลภา อันดาราgfdsgdsfgesg</t>
  </si>
  <si>
    <t>https://lh5.googleusercontent.com/d/1U5lyYX9qPZAVN2hJHIQEtHr7vsO3U3wm</t>
  </si>
  <si>
    <t>https://drive.google.com/file/d/1M9zpGhGb205hsNAu73A6n7EkqbTjqR1I/view?usp=drivesdk</t>
  </si>
  <si>
    <t>https://lh5.googleusercontent.com/d/1aN8XJmuzcAJO-iXKVH0B0qNt_aIH3MJl</t>
  </si>
  <si>
    <t>https://drive.google.com/file/d/1MWsNLH3bXRhphcY3MztSdnjynAYxLMD1/view?usp=drivesdk</t>
  </si>
  <si>
    <t>https://lh5.googleusercontent.com/d/1ASFLw1OD57DdzQK9V3e7dPaqSAlP5TFS</t>
  </si>
  <si>
    <t>https://drive.google.com/file/d/18SWgz_1HSfWiZGboEhG5PS5wW4ITclhg/view?usp=drivesdk</t>
  </si>
  <si>
    <t>https://lh5.googleusercontent.com/d/1dfGDsFt-ovkKJO0ZTW_--B8YcDpUnMWU</t>
  </si>
  <si>
    <t>https://drive.google.com/file/d/1NG7CtuSkutnXFr2CYyTXVxL3hR1zI4Px/view?usp=drivesdk</t>
  </si>
  <si>
    <t>Women Thailand Cyber Top Talent 2025</t>
  </si>
  <si>
    <t>8.00-16.00</t>
  </si>
  <si>
    <t>https://lh5.googleusercontent.com/d/1LVezP3fCiloe0E_eewXsKj9--SPIFmRU</t>
  </si>
  <si>
    <t>https://drive.google.com/file/d/1_VpnV1i2OjhCwAWTzxOOK81YP7SwSmFN/view?usp=drivesdk</t>
  </si>
  <si>
    <t>งานกาดชาด</t>
  </si>
  <si>
    <t>น.อ.หญิง ผศ.ดร. วัลลภา อันดารา</t>
  </si>
  <si>
    <t>https://lh5.googleusercontent.com/d/1znNBH4Xu5NV1M_nXK_T63xcLBZ4e-ZpI</t>
  </si>
  <si>
    <t>https://drive.google.com/file/d/1SSEnTWzp9nvX7fUCsfSP1OfGiVLpeHT_/view?usp=drivesdk</t>
  </si>
  <si>
    <t>งานวันเด็กแห่งชาติ 2569</t>
  </si>
  <si>
    <t>กองบิน 6</t>
  </si>
  <si>
    <t>https://lh5.googleusercontent.com/d/1L6iJomgrzndQs5oBRo2s9cU-oendoLHK</t>
  </si>
  <si>
    <t>https://drive.google.com/file/d/1KXhXO88ocRSGclLl6IfydLyV946HtPQV/view?usp=drivesdk</t>
  </si>
  <si>
    <t xml:space="preserve">งานกาชาดประจำปี 2568 </t>
  </si>
  <si>
    <t>https://lh5.googleusercontent.com/d/1Ie5cVOX98GTO1rgxv9yk9NYivVKVEDXe</t>
  </si>
  <si>
    <t>https://drive.google.com/file/d/1qKRY5KfqJiXDZ71T9WX2NvQ-8O6A7OXR/view?usp=drivesdk</t>
  </si>
  <si>
    <t xml:space="preserve">ช่วยจัดเก็บห้องปฏิบัติการมารดาทารกและการผดุงครรภ์ </t>
  </si>
  <si>
    <t>ห้องปฏิบัติการมารดาทารกและการผดุงครรภ์ อาคารศูนย์การเรียนรู้</t>
  </si>
  <si>
    <t>น.ต. หญิง จิรปรียา โรจนเกียรติปรีดา</t>
  </si>
  <si>
    <t>https://lh5.googleusercontent.com/d/1RoLmhOrBEMDn5d2RT1mWDjysyh6DmlJh</t>
  </si>
  <si>
    <t>https://drive.google.com/file/d/1p7Vojk9bErXzw_v6j8ArS5QEriZ71Uka/view?usp=drivesdk</t>
  </si>
  <si>
    <t>WOMEN THAILAND CYBER TOP TALENT 2025</t>
  </si>
  <si>
    <t>0900-1600</t>
  </si>
  <si>
    <t>https://lh5.googleusercontent.com/d/1aRzuIyqHGfaSpaaFeBvPU_DDWOMZZDVh</t>
  </si>
  <si>
    <t>https://drive.google.com/file/d/1g41mcEtokHrost024OnRxmUPVitIjvdK/view?usp=drivesdk</t>
  </si>
  <si>
    <t>ซ้อมเต้นงานกอล์ฟ ทอ.</t>
  </si>
  <si>
    <t>1830-2030</t>
  </si>
  <si>
    <t>น.ท.หญิง ลักษ์ขณา พานิชสวรรค์</t>
  </si>
  <si>
    <t>https://lh5.googleusercontent.com/d/1bO-94WBLF-mryGR6BgzdDUR1LE8WIMsS</t>
  </si>
  <si>
    <t>https://drive.google.com/file/d/15HyMkD0ESgFFHwumL681w-4nUCO6gPvo/view?usp=drivesdk</t>
  </si>
  <si>
    <t>https://lh5.googleusercontent.com/d/1jBAZiVP7RP8ISbwF-oZq_1h-rZt6pSbV</t>
  </si>
  <si>
    <t>https://drive.google.com/file/d/1nlb3ln-V7Mhgs6NqyFAcCUKF9PJ51npE/view?usp=drivesdk</t>
  </si>
  <si>
    <t>งานกอล์ฟทอ.</t>
  </si>
  <si>
    <t>สนามกอล์ฟทูปะเตมีย์</t>
  </si>
  <si>
    <t>https://lh5.googleusercontent.com/d/1XHd9KHFHcxH8WF_gyeTcY-UZU-rsbKNm</t>
  </si>
  <si>
    <t>https://drive.google.com/file/d/1V3eO471SRLWQMhudyrrXvRBqqiLsdqQj/view?usp=drivesdk</t>
  </si>
  <si>
    <t>สงกรานต์เบิกบานจิต</t>
  </si>
  <si>
    <t>โรงพยาบาลศรีธัญญา</t>
  </si>
  <si>
    <t>น.ต.หญิง รฐานุช ถิ่นสอน</t>
  </si>
  <si>
    <t>https://lh5.googleusercontent.com/d/1kIRy3YJRUw2flJ8hq90gKaukfxsFFzl3</t>
  </si>
  <si>
    <t>https://drive.google.com/file/d/1ufa9WYZlnMRz4kb1ONzBWdHzobWOq6wu/view?usp=drivesdk</t>
  </si>
  <si>
    <t>อนุรักษ์สิ่งแวดล้อม</t>
  </si>
  <si>
    <t>https://lh5.googleusercontent.com/d/1kLMttJo9kxXolqJtHraywFIVUoMDr5Bw</t>
  </si>
  <si>
    <t>https://drive.google.com/file/d/1x1nA80rTvsb1zrS2rVwclFEAUvG5npKN/view?usp=drivesdk</t>
  </si>
  <si>
    <t>เข้าร่วมงานวันเด็กแห่งชาติ 2568</t>
  </si>
  <si>
    <t>โรงเรียนการบิน กำแพงแสน</t>
  </si>
  <si>
    <t>https://lh5.googleusercontent.com/d/1WYe4wBev0mcGOxC-EhhlMqmJM8jzdkZU</t>
  </si>
  <si>
    <t>https://drive.google.com/file/d/1BBhIgb39JIrSbqqaw1pu6MMGLAnKpdhh/view?usp=drivesdk</t>
  </si>
  <si>
    <t>ศูนย์บริการโลหิตแห่งชาติสภากาชาดไทย</t>
  </si>
  <si>
    <t>14.00</t>
  </si>
  <si>
    <t>พยายาบาฃสภากาชาดไทย</t>
  </si>
  <si>
    <t>https://lh5.googleusercontent.com/d/1z-Ll8YpfdWOtM2SaJpHK9LLUVoyY51PV</t>
  </si>
  <si>
    <t>https://drive.google.com/file/d/15CzCX7bYWp0nYjQGD32Q5y9Hay2Bg9rl/view?usp=drivesdk</t>
  </si>
  <si>
    <t>ต้อนรับวิทยาลัยกองทัพเรือเข้าศึกษาดูงาน</t>
  </si>
  <si>
    <t>ห้องจิตเวชศูนย์การเรียนรู้</t>
  </si>
  <si>
    <t>น.ท.หญิง ดร.ลักษ์ขณา พานิชสรรค์</t>
  </si>
  <si>
    <t>https://lh5.googleusercontent.com/d/1p3kyRoOyDSA5U_ixXP11eoNwnMSFwF2b</t>
  </si>
  <si>
    <t>https://drive.google.com/file/d/1mYXaQKGLsE8pEifW4qzxNJrG5I_4HqYY/view?usp=drivesdk</t>
  </si>
  <si>
    <t>ต้อนรับวิทยาลัยพยาบาลกองทัพเรือเข้าศึกษาดูงาน</t>
  </si>
  <si>
    <t>https://lh5.googleusercontent.com/d/1zcAtBQQ_oAzOMz3Dq_QFYswtvoHm7Bzr</t>
  </si>
  <si>
    <t>https://drive.google.com/file/d/1SGzC32gEZDraKuBNb9r96ZNpxpY-jvB9/view?usp=drivesdk</t>
  </si>
  <si>
    <t>งานกอล์ฟการกุศลวิทยาลัยพยาบาลทหารอากาศ</t>
  </si>
  <si>
    <t>น.อ.หญิง ลักขณา พานิสสังข์</t>
  </si>
  <si>
    <t>https://lh5.googleusercontent.com/d/1q91H7FI8Rbq1RS3Lm0r2-EE9uUPTeW0v</t>
  </si>
  <si>
    <t>https://drive.google.com/file/d/1Ods4AUy7jHcKty-OuRLhRmm93_iXaZ-o/view?usp=drivesdk</t>
  </si>
  <si>
    <t>รพ.นครปฐม</t>
  </si>
  <si>
    <t>นานชำนาญ ปรีชาคม</t>
  </si>
  <si>
    <t>https://lh5.googleusercontent.com/d/1lKVWF2NovTrzhK3IEIPYeEqp3DxNhJbO</t>
  </si>
  <si>
    <t>https://drive.google.com/file/d/1fdd84H9ZPhlRU84Xt38ysjI5fzZmk1aV/view?usp=drivesdk</t>
  </si>
  <si>
    <t>https://lh5.googleusercontent.com/d/1kMkcu8qlHHozARDaEemErGKN0A8wsg5f</t>
  </si>
  <si>
    <t>https://drive.google.com/file/d/1wwbW6V7GRDTQ1obSd6NZrZyyW1NrViWt/view?usp=drivesdk</t>
  </si>
  <si>
    <t>https://lh5.googleusercontent.com/d/189BHCR6NboiPMiIrOGzMeDcV70jqUjfK</t>
  </si>
  <si>
    <t>https://drive.google.com/file/d/11Wvjy3bo3wTV_jg8Tv1rqNU5QN-0DABq/view?usp=drivesdk</t>
  </si>
  <si>
    <t>https://lh5.googleusercontent.com/d/1nDfYhNORPkwrHSzmR04oj2yJbMu6alQQ</t>
  </si>
  <si>
    <t>https://drive.google.com/file/d/1238Nh2kReDgiCMyypVVgUfpHkl_9u1ZD/view?usp=drivesdk</t>
  </si>
  <si>
    <t>https://lh5.googleusercontent.com/d/1mRfjEBPiEU5W4_ACL9Shlu5sG5MsBCXV</t>
  </si>
  <si>
    <t>https://drive.google.com/file/d/1RfsyyQkt17Ld38IBpjAbKsq0is5tJO7t/view?usp=drivesdk</t>
  </si>
  <si>
    <t>https://lh5.googleusercontent.com/d/19KD-s_dmbEx71XZTwH-4VodDYN5BKUv_</t>
  </si>
  <si>
    <t>https://drive.google.com/file/d/1yDE-l_XXBkpjc_24oApAcYskO5Yt9SEi/view?usp=drivesdk</t>
  </si>
  <si>
    <t>https://lh5.googleusercontent.com/d/1EJzvHufRqAkZ1S2DiUbUjg59UuDaxNiA</t>
  </si>
  <si>
    <t>https://drive.google.com/file/d/1f2fiPTPp-d2mbJxwImyLldiZOZIpeP4l/view?usp=drivesdk</t>
  </si>
  <si>
    <t>1500-2300</t>
  </si>
  <si>
    <t>น.อ.หญิง ผศ.วัลลภา อันดารา</t>
  </si>
  <si>
    <t>https://lh5.googleusercontent.com/d/1_kbihRCvVCq4u9qrpdYTV59tNVy5sFip</t>
  </si>
  <si>
    <t>https://drive.google.com/file/d/1q1Y3AmdlowOB92kTxCiLInhHyFa8_ped/view?usp=drivesdk</t>
  </si>
  <si>
    <t>ค่ายเยาวชนพัฒนา ครั้งที่ 215</t>
  </si>
  <si>
    <t>วัดสามบัณฑิต จ.อยุธยา</t>
  </si>
  <si>
    <t>1600-2400</t>
  </si>
  <si>
    <t>https://lh5.googleusercontent.com/d/10qP1BGZd0L1I59YfH7Rf3h3iRVKFOkFD</t>
  </si>
  <si>
    <t>https://drive.google.com/file/d/1r2kUJQrgzoEX4gSaCE2qCiKrN-7n2kKV/view?usp=drivesdk</t>
  </si>
  <si>
    <t>https://lh5.googleusercontent.com/d/1Wtc9Hc8ipiNF6FURmj2frPESqNFhEVeA</t>
  </si>
  <si>
    <t>https://drive.google.com/file/d/1lCVZufuu0EXWpW9huWLb0aJUxbSRxMEm/view?usp=drivesdk</t>
  </si>
  <si>
    <t>https://lh5.googleusercontent.com/d/16XBhw66Rkx1PatASQGQG7BuUX3GUzqWz</t>
  </si>
  <si>
    <t>https://drive.google.com/file/d/1wyU3Jamst4VTE1v6llmAzRiUhVxtmVjd/view?usp=drivesdk</t>
  </si>
  <si>
    <t>โรงพยาบาลภูมิพลอดุลยเดช</t>
  </si>
  <si>
    <t>https://lh5.googleusercontent.com/d/1tcFzLwptO0tPzy5GLlQklkP6N2wTV7-t</t>
  </si>
  <si>
    <t>https://drive.google.com/file/d/1d7IztyruV-PhJiJsUEhNNjI8p3Pr4oTX/view?usp=drivesdk</t>
  </si>
  <si>
    <t>เข้าร่วมงานวันเด็กแห่งชาติ</t>
  </si>
  <si>
    <t>พิพิธภัณฑ์กองทัพอากาศและการบินแห่งชาติ</t>
  </si>
  <si>
    <t>น.ต.หญิง ชลินทรา วรรณภักตร์</t>
  </si>
  <si>
    <t>https://lh5.googleusercontent.com/d/11eXP0_1ziSDzE7krrEqQ_G9VDklXSSGx</t>
  </si>
  <si>
    <t>https://drive.google.com/file/d/1LzAi_uof3y0hGnC6zfGht6PsBZrxbcbJ/view?usp=drivesdk</t>
  </si>
  <si>
    <t xml:space="preserve">เข้าร่วมกิจกรรมวันเด็กแห่งชาติ </t>
  </si>
  <si>
    <t>https://lh5.googleusercontent.com/d/1BwHlj-TkMH3OQgx4JC-GQMw3JQeRKPa6</t>
  </si>
  <si>
    <t>https://drive.google.com/file/d/12_DgCGuFfoES78VixZLYh4Cc9WpOhZo2/view?usp=drivesdk</t>
  </si>
  <si>
    <t>https://lh5.googleusercontent.com/d/1Xv0UC-6sqrQFjw8VZr8k5dbDQj1-FItf</t>
  </si>
  <si>
    <t>https://drive.google.com/file/d/1yTmJjOthdzWs0bxWgRZ0Gkzom8GmxT_x/view?usp=drivesdk</t>
  </si>
  <si>
    <t>ซ้อมงานพิธีมอบหมวกพยาบาลวิชาชีพ ปีการศึกษา 2568</t>
  </si>
  <si>
    <t>วพอพอ</t>
  </si>
  <si>
    <t>https://lh5.googleusercontent.com/d/1s9AFC9v5DmrvpgVUcLIhXHXTdIDma9bx</t>
  </si>
  <si>
    <t>https://drive.google.com/file/d/1FmSf_2UV7EKVO9KzkJveYKMjel7DqnjJ/view?usp=drivesdk</t>
  </si>
  <si>
    <t>ซ้อมงานพิธีหมวกพยาบาลวิชาชีพ ปีการศึกษา 2568</t>
  </si>
  <si>
    <t>หอประชุมธูปะเตมีย์ รพ.ภูมิพล</t>
  </si>
  <si>
    <t>https://lh5.googleusercontent.com/d/1bmKx8tu34uc7RPTFkM9qC0YEM-V0bgwn</t>
  </si>
  <si>
    <t>https://drive.google.com/file/d/1Rh-DJFJPOUevxZG8o10y1SMKDMg2wTCs/view?usp=drivesdk</t>
  </si>
  <si>
    <t>ช่วยงานทดสอบพิเศษ นักเรียนใหม่ปี 69</t>
  </si>
  <si>
    <t>https://lh5.googleusercontent.com/d/1PTmyEws9-miyPJy-r95vwzkey33ExM_C</t>
  </si>
  <si>
    <t>https://drive.google.com/file/d/1VefTHUHjUW790hVSOKYxp_J8KJpQw5Mw/view?usp=drivesdk</t>
  </si>
  <si>
    <t>จัดโต๊ะสอบน้อง69</t>
  </si>
  <si>
    <t>ห้องประชุมชั้น4 อาคารสำนักงาน</t>
  </si>
  <si>
    <t>ร.อ.ศักดิ์ชัย บุญประสิทธิ์</t>
  </si>
  <si>
    <t>https://lh5.googleusercontent.com/d/13Xgxu0HU4y3P9XKCNCS9m2GmTSBVdggE</t>
  </si>
  <si>
    <t>https://drive.google.com/file/d/1KxQai2m2JKreb4YEWWrk4AtIjIdrBBTW/view?usp=drivesdk</t>
  </si>
  <si>
    <t>https://lh5.googleusercontent.com/d/18qPTUBB71AyBhp4bVKYZ2IaQHY7mR2ny</t>
  </si>
  <si>
    <t>https://drive.google.com/file/d/1KRYH5d7iu2a4yTg9bDKkjLTnJHorfSkL/view?usp=drivesdk</t>
  </si>
  <si>
    <t>https://lh5.googleusercontent.com/d/1jjCSQ_U4xFFvU5jnUXMprXaqulzxkhBg</t>
  </si>
  <si>
    <t>https://drive.google.com/file/d/1s1EbMk1DBWoVPDpenS2yfCpjxqurLMV1/view?usp=drivesdk</t>
  </si>
  <si>
    <t>วันเด็กแห่งชาติ</t>
  </si>
  <si>
    <t>06.00-15.00</t>
  </si>
  <si>
    <t>https://lh5.googleusercontent.com/d/1JFSfSODvguwmPjG0EXea0sIauTWvQQya</t>
  </si>
  <si>
    <t>https://drive.google.com/file/d/1eqFAObFZFvPqccmazR7Porw8lx5EufLO/view?usp=drivesdk</t>
  </si>
  <si>
    <t xml:space="preserve"> ซ้อมงานพิธีมอบหมวกพยาบาลวิชาชีพ ปีการศึกษา 2568</t>
  </si>
  <si>
    <t>https://lh5.googleusercontent.com/d/1jNCocyoej6zczaSdLrKM5yvUnbwDuFOT</t>
  </si>
  <si>
    <t>https://drive.google.com/file/d/1A0ViViavboeZIM4zwIARhUejp-PBe8g7/view?usp=drivesdk</t>
  </si>
  <si>
    <t>https://lh5.googleusercontent.com/d/1kRtDkpaVmCeiP-uO2RfkzKvUJTlyNrMq</t>
  </si>
  <si>
    <t>https://drive.google.com/file/d/1nfHvBPCfdWQGIWk67P8idLGFnQu-Fw1P/view?usp=drivesdk</t>
  </si>
  <si>
    <t>https://lh5.googleusercontent.com/d/1PqpvO9RzqjQpHwUxQUJtrirfpvEz36S9</t>
  </si>
  <si>
    <t>https://drive.google.com/file/d/1-hYebf0vLOnISf2mafxkCCCd2Azz5W_w/view?usp=drivesdk</t>
  </si>
  <si>
    <t>https://lh5.googleusercontent.com/d/1lq2fYyeELuvuScJiuJ3I8FPn3ZqZyWjN</t>
  </si>
  <si>
    <t>https://drive.google.com/file/d/1M7GOOHLntrzWDgbvg1fL_s8dhnoNsUJC/view?usp=drivesdk</t>
  </si>
  <si>
    <t>หอประชุมธุปะเตมีย์ รพ.ภูมิพล</t>
  </si>
  <si>
    <t>https://lh5.googleusercontent.com/d/1e9hkCx7DSnSVRHk2Vsa4_EOo82NbjfJb</t>
  </si>
  <si>
    <t>https://drive.google.com/file/d/1W_kt7EtxmH6efvhdzeKc3nA5zcbDpb0-/view?usp=drivesdk</t>
  </si>
  <si>
    <t>https://lh5.googleusercontent.com/d/1sG1QLm93JwnEWTirLGTtBGSPF1bdLki_</t>
  </si>
  <si>
    <t>https://drive.google.com/file/d/1rPDQ8zbClo03i76KtVDB8Gmq8d3fLALQ/view?usp=drivesdk</t>
  </si>
  <si>
    <t>https://lh5.googleusercontent.com/d/11-7jZVv-0_kXUCKPBhe4DDikWjKUV7uZ</t>
  </si>
  <si>
    <t>https://drive.google.com/file/d/1CpTKtLnu_qFVRPSrdXBpl5AfuH4INuxK/view?usp=drivesdk</t>
  </si>
  <si>
    <t>https://lh5.googleusercontent.com/d/1HeCdehg3-w5byw21QGqXTGOT5tGAoZtN</t>
  </si>
  <si>
    <t>https://drive.google.com/file/d/1jQfuQAKDRlDSOXh8QMzIr2qtM-ikXgZp/view?usp=drivesdk</t>
  </si>
  <si>
    <t>ทำความสะอาดห้องป.มทด</t>
  </si>
  <si>
    <t>วิทยาลัยพยาบาลทหารอกาศ</t>
  </si>
  <si>
    <t>https://lh5.googleusercontent.com/d/1F9XminEABZMB8rj_QIdnIPLviuN3TRFJ</t>
  </si>
  <si>
    <t>https://drive.google.com/file/d/1VMgk-5U5VwVfQmYRQ8-obMrTJCI9hWrB/view?usp=drivesdk</t>
  </si>
  <si>
    <t>https://lh5.googleusercontent.com/d/19ha4Ixbekt_UkN03BetPyuzV_IvSomku</t>
  </si>
  <si>
    <t>https://drive.google.com/file/d/1L6Ixruf-J65Qtenwyrqnp6iuCF3T6d_o/view?usp=drivesdk</t>
  </si>
  <si>
    <t>https://lh5.googleusercontent.com/d/117Vaapfojude4kV8ORq1-zIvDAGS_LwS</t>
  </si>
  <si>
    <t>https://drive.google.com/file/d/10qI-CjTqASreHITP2lU97M-3pQ3wn5rr/view?usp=drivesdk</t>
  </si>
  <si>
    <t>https://lh5.googleusercontent.com/d/1UbhzNYO7_3fDQbnDSjkloioUBYCB1DMh</t>
  </si>
  <si>
    <t>https://drive.google.com/file/d/18zPHXIWMivo7Wfqu4ZAnF4oFSJhE06gI/view?usp=drivesdk</t>
  </si>
  <si>
    <t>https://lh5.googleusercontent.com/d/1lNC6Z_EAuDItqGCT7yCYNipRcNOoR0om</t>
  </si>
  <si>
    <t>https://drive.google.com/file/d/1XAZozo7nCCbeAZuqhnwzZ1sQZPOBi8lF/view?usp=drivesdk</t>
  </si>
  <si>
    <t>https://lh5.googleusercontent.com/d/1VVdKsl3cr2wpH9kebgVo6Ax3OHfko2g1</t>
  </si>
  <si>
    <t>https://drive.google.com/file/d/13jSHtDybdkMKvfw14xuAQ3YvHWQT5q9n/view?usp=drivesdk</t>
  </si>
  <si>
    <t>งานกาชาดประจำปี2568</t>
  </si>
  <si>
    <t>https://lh5.googleusercontent.com/d/1pgf_LxaWoq94ADFQMhgPyeadhEMbA5dI</t>
  </si>
  <si>
    <t>https://drive.google.com/file/d/1Pj_0UFAAXe7i0bAi7q5RRK596c7VExPl/view?usp=drivesdk</t>
  </si>
  <si>
    <t>คัดเลือกนพอ. ปีการศึกษา 2569</t>
  </si>
  <si>
    <t>น.ท.หญิงลักษ์ขณา พานิชสรรค์</t>
  </si>
  <si>
    <t>https://lh5.googleusercontent.com/d/18ZcX72MnnZXq0YEvCTH-yXEO-tT_99XU</t>
  </si>
  <si>
    <t>https://drive.google.com/file/d/1d1MQ1qWz5hpDyGagFf2ErheIt3YVY051/view?usp=drivesdk</t>
  </si>
  <si>
    <t>17-21</t>
  </si>
  <si>
    <t>https://lh5.googleusercontent.com/d/1OdfLMyXHcOj1npVN4Dy8mQ1GadjlMj4I</t>
  </si>
  <si>
    <t>https://drive.google.com/file/d/1vieY3-bODKTYyTO2Vh-L9VyqJ4XbIl4l/view?usp=drivesdk</t>
  </si>
  <si>
    <t>https://lh5.googleusercontent.com/d/1r9UEeoOE6hU2fzD8MBpbvsWA7i-AyEJy</t>
  </si>
  <si>
    <t>https://drive.google.com/file/d/1WMG_RiFrD38QHCeTSoAZr3Bf8ZVSvL4L/view?usp=drivesdk</t>
  </si>
  <si>
    <t>การทดสอบความถนัด วิภาววิสัย และทดสอบร่างกาย</t>
  </si>
  <si>
    <t>https://lh5.googleusercontent.com/d/14Xb1SeV2qgE3z2dd3uxFG1Sm6ar2l9px</t>
  </si>
  <si>
    <t>https://drive.google.com/file/d/1Ir9BgN4URq8qlDg4F2ZfFdqhvBcYhfn4/view?usp=drivesdk</t>
  </si>
  <si>
    <t>ภาคบริการโลหิตแห่งชาติ ราชบุรี</t>
  </si>
  <si>
    <t>https://lh5.googleusercontent.com/d/1s8iKGt7bYgSX2EvEMZtuavqpc-7SahOI</t>
  </si>
  <si>
    <t>https://drive.google.com/file/d/1Svx3_xK8ixdzqMuiuOw3655osdj1-FYB/view?usp=drivesdk</t>
  </si>
  <si>
    <t>15-21</t>
  </si>
  <si>
    <t>https://lh5.googleusercontent.com/d/1xvwPAyQHXPb63L8fm4eXMEmoTrGzlS5u</t>
  </si>
  <si>
    <t>https://drive.google.com/file/d/1C7ocF01FR9d49gy5v9a3nMZZr2v0Wnkq/view?usp=drivesdk</t>
  </si>
  <si>
    <t>หอประชุมธูปะเตมีย์ รพ.ภูมิพลอดุลยเดช</t>
  </si>
  <si>
    <t>13-17</t>
  </si>
  <si>
    <t>https://lh5.googleusercontent.com/d/1Q0NRl8tN6rjtcO6AasvNxx5hO2i3BW2e</t>
  </si>
  <si>
    <t>https://drive.google.com/file/d/1vGGlt3-ihX7eBTKXYmD847pj5CvvvLAn/view?usp=drivesdk</t>
  </si>
  <si>
    <t xml:space="preserve">ร.อ. อนุชิต ทำจะดี </t>
  </si>
  <si>
    <t>https://lh5.googleusercontent.com/d/17SwudX9axP2OCXwcXkvUiV3YOy1pxrNC</t>
  </si>
  <si>
    <t>https://drive.google.com/file/d/1lUyirK5yqW9j7P1P_3nWx-jdZRkMUkVV/view?usp=drivesdk</t>
  </si>
  <si>
    <t>https://lh5.googleusercontent.com/d/1IqH-cdJYeeAyzkytxDDl5zYOw18LkztW</t>
  </si>
  <si>
    <t>https://drive.google.com/file/d/15pUs26CBf-byAF13PGzXQdDk4JMSA_Fr/view?usp=drivesdk</t>
  </si>
  <si>
    <t>https://lh5.googleusercontent.com/d/1Ry3VtS6901ou6dmkPNNxnsLxgprx9Vdv</t>
  </si>
  <si>
    <t>https://drive.google.com/file/d/1A-u8Tz7bv3F8Av3kDJ7GSSygUpZb4aUx/view?usp=drivesdk</t>
  </si>
  <si>
    <t>https://lh5.googleusercontent.com/d/1BcVpWXF3_9oACefZXRGEOoU3VCuQMoFZ</t>
  </si>
  <si>
    <t>https://drive.google.com/file/d/1-qgzZ_fBrH0hsWV5fsXm_pPRhrl2rWmY/view?usp=drivesdk</t>
  </si>
  <si>
    <t>ดข้าร่วมงานวันเด็กแห่งชาติ</t>
  </si>
  <si>
    <t>https://lh5.googleusercontent.com/d/18YjlTQRqCBAyXTv8pJwq36F-yMs9U6bd</t>
  </si>
  <si>
    <t>https://drive.google.com/file/d/1nuRngOLbGCHGpb5asomW4DCiWBu0tWGr/view?usp=drivesdk</t>
  </si>
  <si>
    <t>https://lh5.googleusercontent.com/d/1Ui6VAwcP2LhRWSaWWGbibEEh0rxUXOPW</t>
  </si>
  <si>
    <t>https://drive.google.com/file/d/1bh2DuCZDwP4YAiuXhvU2JzBU8oSy5VnM/view?usp=drivesdk</t>
  </si>
  <si>
    <t>https://lh5.googleusercontent.com/d/1rX45hi-ztvfMR8C5KMQGa09d-tb9qWqB</t>
  </si>
  <si>
    <t>https://drive.google.com/file/d/1oHh3TRBC8jejdQt683Oo872HgWuxJc58/view?usp=drivesdk</t>
  </si>
  <si>
    <t>https://lh5.googleusercontent.com/d/1CEaKIQfxjSTFO1_GGZD_UagSTp8V3CZb</t>
  </si>
  <si>
    <t>https://drive.google.com/file/d/16ZKmannryhSOD4oibwbJqG4t7s3zxw9R/view?usp=drivesdk</t>
  </si>
  <si>
    <t>https://lh5.googleusercontent.com/d/1rpYgeWJSkKuvJ72Ug9vWvxJ7fHxyQAtG</t>
  </si>
  <si>
    <t>https://drive.google.com/file/d/11psHnZfZnoGyLx7uvW_JG1pNHMYI9hXK/view?usp=drivesdk</t>
  </si>
  <si>
    <t>https://lh5.googleusercontent.com/d/1lKby0ehrVbHsQC-ZMCwmnM_j7z44LhFj</t>
  </si>
  <si>
    <t>https://drive.google.com/file/d/1edrJLBipNXFLkr0Cu4SMU2X-mKg0xTUh/view?usp=drivesdk</t>
  </si>
  <si>
    <t>https://lh5.googleusercontent.com/d/1NB1jMLmOYNMKNqr10MbebOI3CGwuT6RB</t>
  </si>
  <si>
    <t>https://drive.google.com/file/d/18KEsK7LZzj9uu2e9W8YC_7Bnwx-UNdBu/view?usp=drivesdk</t>
  </si>
  <si>
    <t>https://lh5.googleusercontent.com/d/1sB3VmT_hDYBPFVKjVXF1fSP9_LV1VcZ4</t>
  </si>
  <si>
    <t>https://drive.google.com/file/d/1Pt7ytzR5FbIj6LtQPNWtflkMCOO_KBjO/view?usp=drivesdk</t>
  </si>
  <si>
    <t>https://lh5.googleusercontent.com/d/16QiHb9Pvt7apRU-ySXB7faW7_Znp_7Oi</t>
  </si>
  <si>
    <t>https://drive.google.com/file/d/12z8HyfvZMv8pO0rO9m7Djv2b4VjLZZzI/view?usp=drivesdk</t>
  </si>
  <si>
    <t>https://lh5.googleusercontent.com/d/1MPn4lAdBc7y4sKEI0gk8BcbIOhIuwMQI</t>
  </si>
  <si>
    <t>https://drive.google.com/file/d/1b32PJzGc2yMTkvsUoIk2rNkzTlWa6Jci/view?usp=drivesdk</t>
  </si>
  <si>
    <t>https://lh5.googleusercontent.com/d/1ZQNlOwgcTzcqGtR4wB8V8ZuGSTMBOD9L</t>
  </si>
  <si>
    <t>https://drive.google.com/file/d/1h1Br1ap5yijYKRyzqwIZnvluHcTpG4wi/view?usp=drivesdk</t>
  </si>
  <si>
    <t>https://lh5.googleusercontent.com/d/1cQB9P1OgtV0QjVAm-YE4IiBrTOVTI4wm</t>
  </si>
  <si>
    <t>https://drive.google.com/file/d/1QcjhmqwGmV34wf6Djh6AbqzlJ_SnSByY/view?usp=drivesdk</t>
  </si>
  <si>
    <t>https://lh5.googleusercontent.com/d/1n8AoL-7zJEzFk3kLhIcdkNVKGIlMOJGk</t>
  </si>
  <si>
    <t>https://drive.google.com/file/d/1jhvslPE_QGEefUqE4UXgP54GkaDMxA_4/view?usp=drivesdk</t>
  </si>
  <si>
    <t>เข้าร่วมงานวันเด็กเเห่งชาติ 2568</t>
  </si>
  <si>
    <t xml:space="preserve">น.ต. หญิง ขวัญชนก พ่วงนาคพันธุ์ </t>
  </si>
  <si>
    <t>https://lh5.googleusercontent.com/d/1HCCc-d5O3MHErv3WGlc5SFlf1M4LOHY8</t>
  </si>
  <si>
    <t>https://drive.google.com/file/d/1Nf5Y35ldmYx2CnSK3vTLNqw3JbZiVWQw/view?usp=drivesdk</t>
  </si>
  <si>
    <t>https://lh5.googleusercontent.com/d/1Y40msjKEg1XnsCWF69G0wbmrczTL_vdB</t>
  </si>
  <si>
    <t>https://drive.google.com/file/d/1K2IedBq3HmIP5dYRB9uKKxQYm-4qhFng/view?usp=drivesdk</t>
  </si>
  <si>
    <t>https://lh5.googleusercontent.com/d/1HlwPTCnW9rZj20sx6g4oxctbPPZcf8xs</t>
  </si>
  <si>
    <t>https://drive.google.com/file/d/1qZ7wvpJI26xN_6SEerqUpD1Khz0qproP/view?usp=drivesdk</t>
  </si>
  <si>
    <t>https://lh5.googleusercontent.com/d/1n64n6V6OqFNMJGdadYJU5Um9hUChHgl-</t>
  </si>
  <si>
    <t>https://drive.google.com/file/d/1T1gca9UdKjfwWGgGdEeKzKaNCQAhncT2/view?usp=drivesdk</t>
  </si>
  <si>
    <t>https://lh5.googleusercontent.com/d/1PXZ_MRqicPSGh6jxEO5gBia1l2wvCKWZ</t>
  </si>
  <si>
    <t>https://drive.google.com/file/d/19-uCJYFKO9mas4ovgkKlC5KrAX4RKA2a/view?usp=drivesdk</t>
  </si>
  <si>
    <t xml:space="preserve">นพอ.พรรณรายณ์ เย็นประเสริฐ </t>
  </si>
  <si>
    <t>https://lh5.googleusercontent.com/d/1IcVIKM6V5aXynZrt2i886E_7a1jJeI0S</t>
  </si>
  <si>
    <t>https://drive.google.com/file/d/1HKAcLgxvveKgkT1jwPejUGKeM95ou-BZ/view?usp=drivesdk</t>
  </si>
  <si>
    <t>https://lh5.googleusercontent.com/d/1C4_rzZM8VwepHzmJ2AkRLlXJ6D-H_CxQ</t>
  </si>
  <si>
    <t>https://drive.google.com/file/d/1SkXYA9NUqx1l6COG3FQiZQAyzbL82A4y/view?usp=drivesdk</t>
  </si>
  <si>
    <t>เข้าร่วมงานวันเด็กเเห่งชาติ 2569</t>
  </si>
  <si>
    <t>กองบิน6</t>
  </si>
  <si>
    <t>https://lh5.googleusercontent.com/d/1No9cBR3uaLcNMqr731irDumxsyfBn8QK</t>
  </si>
  <si>
    <t>https://drive.google.com/file/d/1UCbUr5AjBJ5mxKFf_7ozltGRlqq_s8AU/view?usp=drivesdk</t>
  </si>
  <si>
    <t>https://lh5.googleusercontent.com/d/1Fi_du67sOgup8Zk6Cg6N3TgHwojOCCpF</t>
  </si>
  <si>
    <t>https://drive.google.com/file/d/1FkUeuDnJAluJKKqnmDlcWTv0seYTXnh4/view?usp=drivesdk</t>
  </si>
  <si>
    <t>https://lh5.googleusercontent.com/d/1is-SpzZQciM2BxlYYyycrFYhVBXK7jV4</t>
  </si>
  <si>
    <t>https://drive.google.com/file/d/1_1GMIBTjiqZUhu5oPUUpbgAi8fqvZkrl/view?usp=drivesdk</t>
  </si>
  <si>
    <t>https://lh5.googleusercontent.com/d/10BZyaNdl1koI0cGmbtC75jlKbM-ZHPu2</t>
  </si>
  <si>
    <t>https://drive.google.com/file/d/1dKZd10sZhADMjWRcXsMIJ-_QgNdGHQ5B/view?usp=drivesdk</t>
  </si>
  <si>
    <t>https://lh5.googleusercontent.com/d/1EF3EvZW6djo-J262ioo3bUvBuqOw01mI</t>
  </si>
  <si>
    <t>https://drive.google.com/file/d/14Zx77ecteEPez1qXRgyV9F3HoG8NxzRE/view?usp=drivesdk</t>
  </si>
  <si>
    <t>https://lh5.googleusercontent.com/d/1u2bQTceSaatoh0uUT1Gi9R-e8LG4n6sq</t>
  </si>
  <si>
    <t>https://drive.google.com/file/d/1bNXgmZLRW-9OqTIQW4bJ_f9khshT4lMz/view?usp=drivesdk</t>
  </si>
  <si>
    <t>https://lh5.googleusercontent.com/d/1SdquLdKRIB_M-Ff9vfhI5nAxtWJsmZVW</t>
  </si>
  <si>
    <t>https://drive.google.com/file/d/1T5SjAq1Kx6m4UsfCoyK_6WRcty4cinXI/view?usp=drivesdk</t>
  </si>
  <si>
    <t>https://lh5.googleusercontent.com/d/1tzbNAGADC9re1SzxHkV4Q6wfFnJzbSLz</t>
  </si>
  <si>
    <t>https://drive.google.com/file/d/1-53z3VMh9y5xkGzxfBCUeCfHq3_-3Dyl/view?usp=drivesdk</t>
  </si>
  <si>
    <t>https://lh5.googleusercontent.com/d/1XeTcdsZJ-9XfZPNt12D0geCzdmMMskGg</t>
  </si>
  <si>
    <t>https://drive.google.com/file/d/1zds63hb6VRkthMl9bBV89x64t_i2g38R/view?usp=drivesdk</t>
  </si>
  <si>
    <t>0600-1500</t>
  </si>
  <si>
    <t>https://lh5.googleusercontent.com/d/1rQbLcO0W8ak_87tmm93zfxqhKMa7OV9X</t>
  </si>
  <si>
    <t>https://drive.google.com/file/d/1vMCjSQoo2YuYLychu6KY3l9VY1K9NYDs/view?usp=drivesdk</t>
  </si>
  <si>
    <t>โรทาแรคท์เดย์2569</t>
  </si>
  <si>
    <t>ศูนย์ศึกษาธรรมชาติกองทัพบก บางปู</t>
  </si>
  <si>
    <t>https://lh5.googleusercontent.com/d/1In9RzTX7WShkrvu6IK_VnuMVno1mojRQ</t>
  </si>
  <si>
    <t>https://drive.google.com/file/d/1I_eu-Za799uGX1HuK_Q2NLTQfhliOG6y/view?usp=drivesdk</t>
  </si>
  <si>
    <t>ซ้อมงานพิธีมอบหมวกพยาบาลวิชาชีพปีการศึกษา2568</t>
  </si>
  <si>
    <t>https://lh5.googleusercontent.com/d/1tO3__IYHefEwPZa1vepYNbQ9dkGVbpc3</t>
  </si>
  <si>
    <t>https://drive.google.com/file/d/1yz9gNrAP1sct4JdmKUrsEHMA5rOB0fjK/view?usp=drivesdk</t>
  </si>
  <si>
    <t>https://lh5.googleusercontent.com/d/1Q1Yjb6TJgfwa6MZTe_szQK3IJ539O6y7</t>
  </si>
  <si>
    <t>https://drive.google.com/file/d/1NTusMIy5MPGnWT19mANRdPyLLBjcexmL/view?usp=drivesdk</t>
  </si>
  <si>
    <t>https://lh5.googleusercontent.com/d/1F8wSMfTDiuwD1VNTHwtLS7Y1l3NDKFse</t>
  </si>
  <si>
    <t>https://drive.google.com/file/d/10zUS2Cv6iPMrlR1aDpe0q2flgDitToQo/view?usp=drivesdk</t>
  </si>
  <si>
    <t>นพอ.นิศาชล  ชุมจันทร์</t>
  </si>
  <si>
    <t>https://lh5.googleusercontent.com/d/1Lg8hmvTTENRGuN82RRL4VWuspCeA5GwL</t>
  </si>
  <si>
    <t>https://drive.google.com/file/d/1oZRTyGbAHEZAEXz_Kf8NGe-1VXQ68YVG/view?usp=drivesdk</t>
  </si>
  <si>
    <t>ร่วมงานพิธีมอบหมวกพยาบาลวิชาชีพ ปีการศึกษา 2568</t>
  </si>
  <si>
    <t>https://lh5.googleusercontent.com/d/12_31nUjRjZ5AeIf6BBfymSxBF2Yo3VHK</t>
  </si>
  <si>
    <t>https://drive.google.com/file/d/1qU9YclP_t3ncF5IUV4bInyo9yNcX4KhH/view?usp=drivesdk</t>
  </si>
  <si>
    <t>งานทดสอบพิเศษ</t>
  </si>
  <si>
    <t>https://lh5.googleusercontent.com/d/1LDa4TwBSlihUIXd5EOcvDp98bX59fMql</t>
  </si>
  <si>
    <t>https://drive.google.com/file/d/1kjmnkXSuioODgUEHXqM4qVs2x3jtLHBw/view?usp=drivesdk</t>
  </si>
  <si>
    <t>https://lh5.googleusercontent.com/d/14HQ_XbrNqRhJx6EirVgF2DTxMssNXBYQ</t>
  </si>
  <si>
    <t>https://drive.google.com/file/d/1Q7oBUmqQk2Ku8SW3UpU6YNodyfOZ2q41/view?usp=drivesdk</t>
  </si>
  <si>
    <t xml:space="preserve">หอประชุมธุปะเตมีย์ </t>
  </si>
  <si>
    <t>https://drive.google.com/file/d/1lztjI6NHPpUKx3kGIXcbG9iTZooXPjRM/view?usp=drivesdk</t>
  </si>
  <si>
    <t>สนามกีฬาธูปเตมี</t>
  </si>
  <si>
    <t>น.ท.หญิง ดร. ลักษ์ขณา พานิช</t>
  </si>
  <si>
    <t>https://lh5.googleusercontent.com/d/1Hfbk13vwJC_ZLSsrhdWctzgdN4n7fsIq</t>
  </si>
  <si>
    <t>https://drive.google.com/file/d/10rp7qjRxQlEmjSNHpzEzQugt4kZExTmq/view?usp=drivesdk</t>
  </si>
  <si>
    <t>https://lh5.googleusercontent.com/d/1e2P8RppaSSETFu--J6WJlUU0WEh3PBlH</t>
  </si>
  <si>
    <t>https://drive.google.com/file/d/1MrooM7WqY_QAomxuk04HVeKwX7aI6_EO/view?usp=drivesdk</t>
  </si>
  <si>
    <t>https://lh5.googleusercontent.com/d/1wGPPbndYHs0K76m8E99zWBNoteqwHg2B</t>
  </si>
  <si>
    <t>https://drive.google.com/file/d/17aRppDi2lUDUNUXSIWew7ihUjnr5l8st/view?usp=drivesdk</t>
  </si>
  <si>
    <t>https://lh5.googleusercontent.com/d/1YMfGR2hW6qTA5_JiHviqImnnB2kwC80R</t>
  </si>
  <si>
    <t>https://drive.google.com/file/d/1Y_L4qcqBvOIYKMyGKsBGh8QjHu4iAxwa/view?usp=drivesdk</t>
  </si>
  <si>
    <t>https://lh5.googleusercontent.com/d/1LWoyGUzPdJAEKE5RSdxtP4qezVKNNjPm</t>
  </si>
  <si>
    <t>https://drive.google.com/file/d/1VRLmv7SbXgQ-WwuypyxVL49JjPvnbJkq/view?usp=drivesdk</t>
  </si>
  <si>
    <t>https://lh5.googleusercontent.com/d/15iy2cR_QegF-rTwVhd9ai60-RVF2LGrX</t>
  </si>
  <si>
    <t>https://drive.google.com/file/d/1V9umGkz4Yvfxz_JhFNAetzYADGRqpF07/view?usp=drivesdk</t>
  </si>
  <si>
    <t>https://lh5.googleusercontent.com/d/1BvJ08bTwhm3PC-II8n4x4ICjSs3-IbdH</t>
  </si>
  <si>
    <t>https://drive.google.com/file/d/10zLoBBk2dyr50Pmyiyf8VhVikEMxdSfG/view?usp=drivesdk</t>
  </si>
  <si>
    <t>หอประชุมธูปะเตมีย์ โรงพยาบาลภูมิพลอดุลยเดช</t>
  </si>
  <si>
    <t>https://lh5.googleusercontent.com/d/1WAiiowfCC1aeL3MVQH-w_dizCbneRxII</t>
  </si>
  <si>
    <t>https://drive.google.com/file/d/1WnxOMIdJ0CQE9-jVCTa0JXYE7ciszg67/view?usp=drivesdk</t>
  </si>
  <si>
    <t>ซ้อมการแสดงงานกอล์ฟวพอ. ปี 2569</t>
  </si>
  <si>
    <t>https://lh5.googleusercontent.com/d/1JJyNjhLYZ7GJA6fW8unhjhrtpqIIQOEX</t>
  </si>
  <si>
    <t>https://drive.google.com/file/d/1s_2UD91CLy1w16pWzuIjMRl4K5N7tIuQ/view?usp=drivesdk</t>
  </si>
  <si>
    <t>ซ้อม การแสดงงานกอล์ฟวพอ. ปี 2569</t>
  </si>
  <si>
    <t>https://lh5.googleusercontent.com/d/1pq25t70QFqlcOWVFqay8eUcOg-BJgNt7</t>
  </si>
  <si>
    <t>https://drive.google.com/file/d/18AfS7Ni7dkqww5BqCO6qAoXj89S1C2IO/view?usp=drivesdk</t>
  </si>
  <si>
    <t>การแสดงงานกอล์ฟวพอ. ปี 2569</t>
  </si>
  <si>
    <t>https://lh5.googleusercontent.com/d/1bcRQ3wQtHD_HB49ksppAyzSaRDCgAWJc</t>
  </si>
  <si>
    <t>https://drive.google.com/file/d/1fYBCxLnGw0Gaw04RYvZHPUzFI-qW-mip/view?usp=drivesdk</t>
  </si>
  <si>
    <t>น.ท.หญิง ขวัญชนก พ่วงนาคพันธุ์</t>
  </si>
  <si>
    <t>https://lh5.googleusercontent.com/d/1o8yPGaxtoDck6oJYyQRpbFnMHhNDUaYm</t>
  </si>
  <si>
    <t>https://drive.google.com/file/d/1VIAEG1aeMo4tByYKE1kZyXBAQtlh-E9R/view?usp=drivesdk</t>
  </si>
  <si>
    <t>https://lh5.googleusercontent.com/d/19RIBDXOc3aRohu2-mEmSwSf2gEaZtlB3</t>
  </si>
  <si>
    <t>https://drive.google.com/file/d/1X9knYF0QRfbsi8VhzAGqSKbikTuxPeGv/view?usp=drivesdk</t>
  </si>
  <si>
    <t>https://lh5.googleusercontent.com/d/1JVt8106TnKCSHNbTFx_szjpl6du9sq9V</t>
  </si>
  <si>
    <t>https://drive.google.com/file/d/1SnU-dmmizjVQvkY9K999MaYCL55eMkK2/view?usp=drivesdk</t>
  </si>
  <si>
    <t>น.ต.หญิง.ขวัญชนก พ่วงนาคพันธุ์</t>
  </si>
  <si>
    <t>https://lh5.googleusercontent.com/d/1dC8MKKUaka2OI2OooJmGRd9IdyixHgF1</t>
  </si>
  <si>
    <t>https://drive.google.com/file/d/1s9KeKJQVTnb0QAVqviJoLwXpYZ_RArHV/view?usp=drivesdk</t>
  </si>
  <si>
    <t>https://lh5.googleusercontent.com/d/1CHQ_vWZLkb40SU8cTRj_dCzRRlFIQ3bO</t>
  </si>
  <si>
    <t>https://drive.google.com/file/d/179EtlSfdywW-A3zKgJOzUggvg_3G7qZY/view?usp=drivesdk</t>
  </si>
  <si>
    <t>พิธีเปิด-ปิดกีฬาภายในกองทัพอากาศ</t>
  </si>
  <si>
    <t>สนามกีฬากองทัพอากาศ (ธูปะเตมีย์)</t>
  </si>
  <si>
    <t>https://lh5.googleusercontent.com/d/19YQf0MrEazLI26DMGrtCZIjw3-nDj7Ap</t>
  </si>
  <si>
    <t>https://drive.google.com/file/d/1vQGTSQQTLcFjCd93WD7Qn5fHjoacLbWl/view?usp=drivesdk</t>
  </si>
  <si>
    <t>โรงเรียนการบิน</t>
  </si>
  <si>
    <t>https://lh5.googleusercontent.com/d/1grrccwG2yhFQDJZ0Kd4Fb_XWFC0RoamZ</t>
  </si>
  <si>
    <t>https://drive.google.com/file/d/1LzMcTeBmLhrWLxWmeJswQGSBNA46Nrrc/view?usp=drivesdk</t>
  </si>
  <si>
    <t>6903915</t>
  </si>
  <si>
    <t>งานวันเด็ก</t>
  </si>
  <si>
    <t>https://lh5.googleusercontent.com/d/1Ud0xKThkPuM9cvK36o7fZ9837y10H5BH</t>
  </si>
  <si>
    <t>https://drive.google.com/file/d/1-_2sWq7c9Wayv5yjXGyEE7P0Dam_fMFG/view?usp=drivesdk</t>
  </si>
  <si>
    <t>https://lh5.googleusercontent.com/d/1DZ-P6bbt4kwO1ouAfh3UTlfsKVZwDdc-</t>
  </si>
  <si>
    <t>https://drive.google.com/file/d/1i0TNv2G69nrq6wy7B1ouDxP2j6CCDkm9/view?usp=drivesdk</t>
  </si>
  <si>
    <t>ต้อนรับคณะดูงานจาก วพร.ทร.</t>
  </si>
  <si>
    <t>น.ท.หญิง ลักษ์ขณา พาณิชสรรค์</t>
  </si>
  <si>
    <t>https://lh5.googleusercontent.com/d/1tdwIKqurYfSBKSRQVB7GnnHEYDqwCD1t</t>
  </si>
  <si>
    <t>https://drive.google.com/file/d/1s7VliX--FMJ4F40Q6dtmm-gYPWvtLvC5/view?usp=drivesdk</t>
  </si>
  <si>
    <t>เตรียมงานนภาภิบาล</t>
  </si>
  <si>
    <t>https://drive.google.com/file/d/1cXGBiu1Jd7eqjzizds_9XIsUuWtE27oA/view?usp=drivesdk</t>
  </si>
  <si>
    <t>งานพิธีมอบหมวกพยาบาลวิชาชีพ ปีการศึกษา 2568(ฝ่ายลงทะเบียนและอาหาร)</t>
  </si>
  <si>
    <t>ห้องประชุมธูปะเตมีย์ รพ.ภูมิพลอดุลยเดช</t>
  </si>
  <si>
    <t>https://lh5.googleusercontent.com/d/1BrN7waJGYNAo_3EQkwGQBOvvP77SwqY7</t>
  </si>
  <si>
    <t>https://drive.google.com/file/d/13ko6oon8spfyKVwHsKbU7AH5DfmkOfzf/view?usp=drivesdk</t>
  </si>
  <si>
    <t>https://lh5.googleusercontent.com/d/18hLYnpsxoXyMYNJ7oePGrwlDkeC5pxQ9</t>
  </si>
  <si>
    <t>https://drive.google.com/file/d/1rjDcLFL6ZewZBbhjLnsPo6H02861aa6f/view?usp=drivesdk</t>
  </si>
  <si>
    <t>https://lh5.googleusercontent.com/d/1rOxcdxU61T_-IVbG5jfe087N3rvmtiTr</t>
  </si>
  <si>
    <t>https://drive.google.com/file/d/1aouT-pvcIbaXFglSomlUjHQn2rDWlf-3/view?usp=drivesdk</t>
  </si>
  <si>
    <t>https://lh5.googleusercontent.com/d/1AfWjBeRFbO33ACecVFYGn04-ETPVZBL6</t>
  </si>
  <si>
    <t>https://drive.google.com/file/d/1h3osPSzuK-l8oPeIeW3KnSoH2EHaSiNB/view?usp=drivesdk</t>
  </si>
  <si>
    <t>กองโลหิตโรงพยาบาลภูมิพล</t>
  </si>
  <si>
    <t>https://lh5.googleusercontent.com/d/1Z76oICF3nPMnhtTV-JtsKKoTxvogWLzx</t>
  </si>
  <si>
    <t>https://drive.google.com/file/d/1tbr2Xlj8KjVcu2aJCRZ_0EOLTOtQcpZu/view?usp=drivesdk</t>
  </si>
  <si>
    <t>https://lh5.googleusercontent.com/d/14emU8Jy0kqkqS_akvSuTf3wg1cInAozK</t>
  </si>
  <si>
    <t>https://drive.google.com/file/d/159c6-E8u03M6qOaaqnaNVGw_CrBVNOyM/view?usp=drivesdk</t>
  </si>
  <si>
    <t>https://lh5.googleusercontent.com/d/1bv7DP75WfBOQVhprInAbTbPxjNOn5Av4</t>
  </si>
  <si>
    <t>https://drive.google.com/file/d/1y5pKSyQPFb3GC8wHvL0cXVWtLAPYrwUB/view?usp=drivesdk</t>
  </si>
  <si>
    <t>https://lh5.googleusercontent.com/d/1cVyGyh_o861MbBI4lpCUoFu22ARgLMp8</t>
  </si>
  <si>
    <t>https://drive.google.com/file/d/11LqsTmSBJ0rsdlHMxFxmtk4X8TMWa2bb/view?usp=drivesdk</t>
  </si>
  <si>
    <t>พิธีมอบหมวกพยาบาลวิชาชีพ ปีการศึกษา 2568</t>
  </si>
  <si>
    <t>1700-1200</t>
  </si>
  <si>
    <t>https://lh5.googleusercontent.com/d/1eFv7R7q_-8LTY6hLcYqdb0U8e5qNCsJa</t>
  </si>
  <si>
    <t>https://drive.google.com/file/d/1wqU_wibTD9JyLM-XNyjCWc-Yyp47cD1p/view?usp=drivesdk</t>
  </si>
  <si>
    <t>https://lh5.googleusercontent.com/d/1AOr7pWcPQXrsG_1lRkCxA7FEkRhGQHH0</t>
  </si>
  <si>
    <t>https://drive.google.com/file/d/1SrARtgiIQS6NUs8hEjJW6YIfdv0KxwpK/view?usp=drivesdk</t>
  </si>
  <si>
    <t>จัดโต๊ะรับสมัคร นพอ.69</t>
  </si>
  <si>
    <t>https://lh5.googleusercontent.com/d/1pH0IlA5aiH9DPFMRteNwbbbepA6YaA47</t>
  </si>
  <si>
    <t>https://drive.google.com/file/d/1Qm9wm7VweK1dCxG7sDAQHvP2csgV_vkl/view?usp=drivesdk</t>
  </si>
  <si>
    <t>ขายเสื้อชมรมโรทาแรคท์</t>
  </si>
  <si>
    <t>วพอ.พอง</t>
  </si>
  <si>
    <t>https://drive.google.com/file/d/1DqnvGUT0JdhAySgXK6SGgHwTBGudjidV/view?usp=drivesdk</t>
  </si>
  <si>
    <t>ทกท.มว.1</t>
  </si>
  <si>
    <t>https://lh5.googleusercontent.com/d/1Uk0ASo1uDF-Le8cEM1cVDtWmTLywdaB7</t>
  </si>
  <si>
    <t>https://drive.google.com/file/d/1CSq6g4ud7ri4-YSerqwl2Yv2re7iC5bN/view?usp=drivesdk</t>
  </si>
  <si>
    <t>https://lh5.googleusercontent.com/d/1ckJY1-PJ1vCQrApjC4agA273g35L9b2X</t>
  </si>
  <si>
    <t>https://drive.google.com/file/d/1B90nEAm9m22aY38T7IPM58ink1A2gPjM/view?usp=drivesdk</t>
  </si>
  <si>
    <t>https://lh5.googleusercontent.com/d/16SZsJGlALpnVKJ9N7wZKRiEMIcD5JVM8</t>
  </si>
  <si>
    <t>https://drive.google.com/file/d/1ehu8EcCoPjXCC1F85NeRnNticOlqxqST/view?usp=drivesdk</t>
  </si>
  <si>
    <t>https://lh5.googleusercontent.com/d/10U2Oqzr1JzL9rLSLk4D2Ap29PG8Lxy5L</t>
  </si>
  <si>
    <t>https://drive.google.com/file/d/1q86MiiQMVQuKM1KPT48p_ojV9975xfTH/view?usp=drivesdk</t>
  </si>
  <si>
    <t>เช่นดุริยางค์</t>
  </si>
  <si>
    <t>https://lh5.googleusercontent.com/d/1Z53PZ0hbQ6Uld6Akki-PCmxp1vfpBWtd</t>
  </si>
  <si>
    <t>https://drive.google.com/file/d/1iZ4Q3YAswtwXE33SYsQu7zzwbLkynwiR/view?usp=drivesdk</t>
  </si>
  <si>
    <t>บน.6</t>
  </si>
  <si>
    <t>https://lh5.googleusercontent.com/d/171zc59_LaqNtgH4UIKDZPYq5VG6OFJ1X</t>
  </si>
  <si>
    <t>https://drive.google.com/file/d/1QcSpsHI2EB_MdadPA10G102ZA7IF3Cp9/view?usp=drivesdk</t>
  </si>
  <si>
    <t>พิธีเปิดกีฬาภายในกองทัพอากาศ</t>
  </si>
  <si>
    <t>https://lh5.googleusercontent.com/d/1Q8kzPHKdY-daccv0FLl_tpg2zsbxKDmr</t>
  </si>
  <si>
    <t>https://drive.google.com/file/d/1seOLIz-sPMYT_yOpe75oaz9RMax5QReM/view?usp=drivesdk</t>
  </si>
  <si>
    <t>https://lh5.googleusercontent.com/d/15d9soHqFRuAv210QcI_L8DQ2idhnUtia</t>
  </si>
  <si>
    <t>https://drive.google.com/file/d/1sw_3tMSnULifSh62q6kp1yH2r8gY0qMf/view?usp=drivesdk</t>
  </si>
  <si>
    <t>https://lh5.googleusercontent.com/d/1g1UImn0OtVFrCjVSbfC7NPoIjGvrSW5s</t>
  </si>
  <si>
    <t>https://drive.google.com/file/d/1NbbMXiRTpDUqmJi8PD2LQzK9xaeIS4sH/view?usp=drivesdk</t>
  </si>
  <si>
    <t>https://lh5.googleusercontent.com/d/1AXZflBokd2-6LzrQRombjC_TkL0UF8_5</t>
  </si>
  <si>
    <t>https://drive.google.com/file/d/1uhM5zYCGfrE5WNNWQrbPQ6e4vTxs6CSc/view?usp=drivesdk</t>
  </si>
  <si>
    <t>จัดห้องสูติ</t>
  </si>
  <si>
    <t>ห้องปฏิบัติการมารดาทารรกเเละการผดุงครรภ์</t>
  </si>
  <si>
    <t>https://lh5.googleusercontent.com/d/1eEypjiSyR8djBSBvtZPJYqvv9wcP3nzi</t>
  </si>
  <si>
    <t>https://drive.google.com/file/d/1V2-Vtw5wQBTvVp0SQ9m4y_Q1QK2QQNlr/view?usp=drivesdk</t>
  </si>
  <si>
    <t>https://lh5.googleusercontent.com/d/1bSFkjOK01M2WW5-pI_qfNv4x8tx24oBA</t>
  </si>
  <si>
    <t>https://drive.google.com/file/d/10QaTlZsCwdMJecltmdMOEjR_ezJPpGsG/view?usp=drivesdk</t>
  </si>
  <si>
    <t>อนุรักษ์สิ่งเเวดล้อม</t>
  </si>
  <si>
    <t>https://lh5.googleusercontent.com/d/1OBNfuuJQZg-dxDfJt8XjbXnKPFd50T74</t>
  </si>
  <si>
    <t>https://drive.google.com/file/d/1g0i8yhyhcUSYORfRcIvPKLOu5XbZv5Vn/view?usp=drivesdk</t>
  </si>
  <si>
    <t>รับสมัครนพอ.ประจำปี 2569</t>
  </si>
  <si>
    <t>https://lh5.googleusercontent.com/d/1D3tyT3IrxeybMWCnRXM7hgRSOZ4H2fpa</t>
  </si>
  <si>
    <t>https://drive.google.com/file/d/1yICT3EitS2KqB02oPX4hF2E0uKmo5lVj/view?usp=drivesdk</t>
  </si>
  <si>
    <t>ซ้อมงานพิธีมอบหมวกพยาบาลวิชาชีพ</t>
  </si>
  <si>
    <t>https://lh5.googleusercontent.com/d/1tSWelcv2Rs_cRrnHX2XDB1uo0-ogE8LO</t>
  </si>
  <si>
    <t>https://drive.google.com/file/d/1lE_sVCiMgo_HQ0HbPK05dTmAxgp62k3Q/view?usp=drivesdk</t>
  </si>
  <si>
    <t>มอบหมวกพยาบาลวิชาชีพ</t>
  </si>
  <si>
    <t>https://lh5.googleusercontent.com/d/1Hhsy4gixRsnm4U2PnK0BPr9R-uhtONsv</t>
  </si>
  <si>
    <t>https://drive.google.com/file/d/1u-WE0Q9LgHY8ffm3TJ05fyYRVWkpoB7Y/view?usp=drivesdk</t>
  </si>
  <si>
    <t>17:00-21:00</t>
  </si>
  <si>
    <t>https://lh5.googleusercontent.com/d/1Kwnr6Rru1POt0bOJBIau56UWqFslIu0v</t>
  </si>
  <si>
    <t>https://drive.google.com/file/d/1VtlNKIYdLUtJxVGQwTl0YnBG-XgWuGDV/view?usp=drivesdk</t>
  </si>
  <si>
    <t>ร.อ. อนุชิต ทำจะ</t>
  </si>
  <si>
    <t>https://lh5.googleusercontent.com/d/1K149aAWYVw16864Z0A53pdb5s1YtOW0M</t>
  </si>
  <si>
    <t>https://drive.google.com/file/d/1jp7_zmXRnljHHcJbwKS3YS2pQpMHUzDg/view?usp=drivesdk</t>
  </si>
  <si>
    <t>2026 ROTARACT DAY ปลูกป่าชายโร</t>
  </si>
  <si>
    <t>8.30</t>
  </si>
  <si>
    <t>https://lh5.googleusercontent.com/d/1XEGGXTQ3qgRitZ9JP005R2VvIfwEHg8I</t>
  </si>
  <si>
    <t>https://drive.google.com/file/d/1PNUNjWufUd89HE1WVoAx5bMQ-9oI6Vnd/view?usp=drivesdk</t>
  </si>
  <si>
    <t>https://lh5.googleusercontent.com/d/18Ak5llOp_cIU9jqB9yKOlx_4zNGFADw0</t>
  </si>
  <si>
    <t>https://drive.google.com/file/d/1aWBf_O-zVJaulqv1l8YeesG3lRdkY166/view?usp=drivesdk</t>
  </si>
  <si>
    <t>13:00-21:00</t>
  </si>
  <si>
    <t>https://lh5.googleusercontent.com/d/1QA0DhHkn_nRTit_4x1_eHhBcR9q0DNPV</t>
  </si>
  <si>
    <t>https://drive.google.com/file/d/1q4FBZYUvd_laKMEQo8GJ1wdhew6Iv--z/view?usp=drivesdk</t>
  </si>
  <si>
    <t>https://lh5.googleusercontent.com/d/11qbMOzJUw_ldZ1OecR2wHZbP5MpqAJ45</t>
  </si>
  <si>
    <t>https://drive.google.com/file/d/1HK7kRXxBRmfR7NSLn72hbFtueSpY8O03/view?usp=drivesdk</t>
  </si>
  <si>
    <t>https://lh5.googleusercontent.com/d/1kkfwz8rhJzcEB1cVmitYzC9bmC4FQF8d</t>
  </si>
  <si>
    <t>https://drive.google.com/file/d/1E7yL0rFFc_0Ry9123rUUx0VcDQFLho3G/view?usp=drivesdk</t>
  </si>
  <si>
    <t>https://lh5.googleusercontent.com/d/1Abaxo-THZmlnHpkghrv4RhG-j3FlOV0I</t>
  </si>
  <si>
    <t>https://drive.google.com/file/d/1y3Fos2A0_BVtKt2wPMsm0MmWFByyhn7n/view?usp=drivesdk</t>
  </si>
  <si>
    <t>https://lh5.googleusercontent.com/d/128l6zSj36jRS5LxiJZ6EAvHdVXjpeOla</t>
  </si>
  <si>
    <t>https://drive.google.com/file/d/1QpeC1AgbERuLSTWsqqpS0DkSuHxd_tD_/view?usp=drivesdk</t>
  </si>
  <si>
    <t>ซ้อมการแสดงวันสงกรานต์</t>
  </si>
  <si>
    <t>รพ.ศรีธัญญา</t>
  </si>
  <si>
    <t>1800 - 2000</t>
  </si>
  <si>
    <t>https://lh5.googleusercontent.com/d/1diPy7j_o7vy__7Wa9jKYKXKrcCtk_-WZ</t>
  </si>
  <si>
    <t>https://drive.google.com/file/d/1Tm3rpdfmnr6xvD5jO7iiNDytca89Mg2J/view?usp=drivesdk</t>
  </si>
  <si>
    <t>เข้าร่วมกิจกรรมงานวันสงกรานต์</t>
  </si>
  <si>
    <t>https://lh5.googleusercontent.com/d/1X_v8_VEvsdhkOlRmUblxQb1yLW2ZIT-A</t>
  </si>
  <si>
    <t>https://drive.google.com/file/d/1KL7muEw53ZE5jTx_mK6pNm_LaTyqclxy/view?usp=drivesdk</t>
  </si>
  <si>
    <t>https://lh5.googleusercontent.com/d/11CCQ-i_IMTeLkm-YEX79kbnyrCyksuzX</t>
  </si>
  <si>
    <t>https://drive.google.com/file/d/1ZsaqXY8ODFPlkXY6lCh15fmCKLjfZNOq/view?usp=drivesdk</t>
  </si>
  <si>
    <t>โครงการตอบปัญหาธรรมะ "ทางก้าวหน้า" ครั้งที่ ๔๓</t>
  </si>
  <si>
    <t>วัดพระธรรมกาย</t>
  </si>
  <si>
    <t>https://lh5.googleusercontent.com/d/1023mKlPMMficyRHVl6PDjl63fYfrV4KZ</t>
  </si>
  <si>
    <t>https://drive.google.com/file/d/1xCF7-Nw0KLYWiOcC-Linu6iFoki12oFi/view?usp=drivesdk</t>
  </si>
  <si>
    <t>https://lh5.googleusercontent.com/d/10yOGqQYEh2r84Y1EKuxf80YDFDcufQV_</t>
  </si>
  <si>
    <t>https://drive.google.com/file/d/1SgCYUhWW2SkXe1XZt5IIbryJG1jo--s_/view?usp=drivesdk</t>
  </si>
  <si>
    <t>กวาดและทำความสะอาดลานวัด</t>
  </si>
  <si>
    <t>วัดพระธาตุพนมวรมหาวิหาร</t>
  </si>
  <si>
    <t>เรืองวิทย์ ออละมาลี</t>
  </si>
  <si>
    <t>https://lh5.googleusercontent.com/d/1rrBVsZUUxORPoy5r7WE40MfUxMRhp3Pl</t>
  </si>
  <si>
    <t>https://drive.google.com/file/d/1wec87jgNBGR7CQfUsffPGk2bOGWpAr-V/view?usp=drivesdk</t>
  </si>
  <si>
    <t>ช่วยงานรับสมัคร นพอ. ประจำปี 2569</t>
  </si>
  <si>
    <t>อาคารสำนักงาน วพอ.พอ.</t>
  </si>
  <si>
    <t>https://lh5.googleusercontent.com/d/1TIBXsiKV18Sl9Mm0ilpGBN6duWsbpHmq</t>
  </si>
  <si>
    <t>https://drive.google.com/file/d/1EQTw81pdzej6BTm9npYODK4Ix50JGwyR/view?usp=drivesdk</t>
  </si>
  <si>
    <t>ซ้อมงาน พิธีมอบหมวกวิชาชีพปีการศึกษา 2568</t>
  </si>
  <si>
    <t>https://lh5.googleusercontent.com/d/1g6wyTsrYuT3ZElZy2Hf21IBPCe3-9K4Y</t>
  </si>
  <si>
    <t>https://drive.google.com/file/d/1HFmYnqoiDy_UgB8fQxz1L1qyW_Krdi_l/view?usp=drivesdk</t>
  </si>
  <si>
    <t>ซ้อมงานพิธีมอบหมวกพยาบาลวิชาชีพปีการศึกษา 2568</t>
  </si>
  <si>
    <t>https://lh5.googleusercontent.com/d/1rRmacDvflIxO9C4N0PbnIZNC_BE0hTij</t>
  </si>
  <si>
    <t>https://drive.google.com/file/d/1MUykMEWgN_sKyy0ZRrvgWZIvaiPLNsEK/view?usp=drivesdk</t>
  </si>
  <si>
    <t>https://lh5.googleusercontent.com/d/1Sl5s3gyTBAJ9gfgQM6s81kKm1X8Lb62Z</t>
  </si>
  <si>
    <t>https://drive.google.com/file/d/11KvtGw1HVD7rQD1tv5HQnfhU0trRNDB7/view?usp=drivesdk</t>
  </si>
  <si>
    <t>ซ้อมพิธีรับหมวกพยาบาลวิชาชีพปีการศึกษา 2568</t>
  </si>
  <si>
    <t>หอประชุมธูปเตมีย์โรงพยาบาลภูมิพล</t>
  </si>
  <si>
    <t>https://lh5.googleusercontent.com/d/1WqTQHFooVZA1RdxujIS5Yfop-8H6UhzR</t>
  </si>
  <si>
    <t>https://drive.google.com/file/d/1TSd7lQ-tC6iAOWJyajR51GG28RGurQ2Q/view?usp=drivesdk</t>
  </si>
  <si>
    <t>เข้าร่วมพิธีลงนาม บันทึกข้อตกลงความร่วมมือ (MOU) เพื่อดำเนินการพัฒนาระบบบริการเลิกผลิตภัณฑ์นิโคติน และส่งเสริมการสร้างสิ่งแวดล้อมปลอดบุหรี่ ระหว่างสมาคมแพทย์ทหารแห่งประเทศไทย ในพระบรมราชูปถัมภ์ กับสมาพันธ์เครือข่ายแห่งชาติเพื่อสังคมไทยปลอดบุหรี่ ภายใต้แพทยสมาคมแห่งประเทศไทย ในพระบรมราชูปถัมภ์</t>
  </si>
  <si>
    <t>โรงพยาบาลตำรวจ</t>
  </si>
  <si>
    <t>https://lh5.googleusercontent.com/d/1-mWgwzzaOuTF4S_bN7EnHPALeXAU-bDM</t>
  </si>
  <si>
    <t>https://drive.google.com/file/d/1fMPwzLAzhL3I1fzOlUM4u0hY0nntD5VE/view?usp=drivesdk</t>
  </si>
  <si>
    <t>https://lh5.googleusercontent.com/d/1R1OZsX-MOeLCkL95qsL0Gt-ZGeulEO2d</t>
  </si>
  <si>
    <t>https://drive.google.com/file/d/17jW6MeYEm8VpO9_8RuhQHZxBdKXLgtYZ/view?usp=drivesdk</t>
  </si>
  <si>
    <t>https://lh5.googleusercontent.com/d/1Bm5fm4ZEOgmKzMp6CcSsABO-glAbabHF</t>
  </si>
  <si>
    <t>https://drive.google.com/file/d/1UDYdoxh_j28O1qM7ADXRKccuOTzFjKvZ/view?usp=drivesdk</t>
  </si>
  <si>
    <t>https://lh5.googleusercontent.com/d/1XV_tdWKqfcMkHPZkcVvgq0BAkNcSn9dh</t>
  </si>
  <si>
    <t>https://drive.google.com/file/d/1S5L60LffHU9QcW6t0BahnAImgMGRpa0r/view?usp=drivesdk</t>
  </si>
  <si>
    <t>https://lh5.googleusercontent.com/d/1VNE-yYMrsfyDcqPYHASTM9gCJb7BEbOg</t>
  </si>
  <si>
    <t>https://drive.google.com/file/d/1-KrQSfpcesFAzjGpteZVMWDPUEK15xfH/view?usp=drivesdk</t>
  </si>
  <si>
    <t>ซ้อมงานพิธีมอบหมายพยาบาลวิชาชีพ ปีการศึกษา2568</t>
  </si>
  <si>
    <t>13.00</t>
  </si>
  <si>
    <t>https://lh5.googleusercontent.com/d/1uR3srLugQU0O41yWyay9AkCrxwvL0_qb</t>
  </si>
  <si>
    <t>https://drive.google.com/file/d/1v1k6o8h0sh8_CVHuA7lCkXPTXohOkaLK/view?usp=drivesdk</t>
  </si>
  <si>
    <t xml:space="preserve">ทดสอบพิเศษนักเรียนปีการศึกษา 69 </t>
  </si>
  <si>
    <t>https://lh5.googleusercontent.com/d/1Z33WlJd8aGacrbMYkwBTlyR7rtWSW8Fb</t>
  </si>
  <si>
    <t>https://drive.google.com/file/d/1UzqVVpj5z7ZOIErqOQwKG8Ozcos4BeU4/view?usp=drivesdk</t>
  </si>
  <si>
    <t>น.อ.ผศ.วัลภา อันดารา</t>
  </si>
  <si>
    <t>https://lh5.googleusercontent.com/d/1a3rEW8liXfOlxZSx8KZiQLfM8rPjkaWK</t>
  </si>
  <si>
    <t>https://drive.google.com/file/d/18shZqDouieXpTa1OTm7D5nRn5E-RFcbS/view?usp=drivesdk</t>
  </si>
  <si>
    <t>วัดสามบัณฑิต จ.พระนครศรีอยุธยา</t>
  </si>
  <si>
    <t>https://lh5.googleusercontent.com/d/1XKfsvLw4Rey4_1yk-DDrDoNxb_XbA1fJ</t>
  </si>
  <si>
    <t>https://drive.google.com/file/d/15jSrVzzUGHIMntFTi5qGRDQlPx7clSAv/view?usp=drivesdk</t>
  </si>
  <si>
    <t>https://lh5.googleusercontent.com/d/1WUtXzRYb-Fsyyy_n84OT1x3crRlZYA5b</t>
  </si>
  <si>
    <t>https://drive.google.com/file/d/1qn1ePs7oOaLFW3Fxm6HovZjLACf5U07A/view?usp=drivesdk</t>
  </si>
  <si>
    <t>https://lh5.googleusercontent.com/d/1FuHAbPZ_AEHTVdNSxkUTfbDmQ4hZls2B</t>
  </si>
  <si>
    <t>https://drive.google.com/file/d/1-W8Lvat9j5N3wzDW3Om1qPe1mGXvkiaT/view?usp=drivesdk</t>
  </si>
  <si>
    <t>สนามกีฬากองทัพอากาศ ธูปะเตมีย์</t>
  </si>
  <si>
    <t>https://lh5.googleusercontent.com/d/1iUAE6lE_I6sUJUWFySvHfe-G2l6pTBWc</t>
  </si>
  <si>
    <t>https://drive.google.com/file/d/1OGAFKSbZjqe5i5MuOdH-iNunjtrqGjFN/view?usp=drivesdk</t>
  </si>
  <si>
    <t>สนามธูปเตมีย์</t>
  </si>
  <si>
    <t>https://lh5.googleusercontent.com/d/1EbFIFWZ_kltTFhUtaKo_7wvkGcDSkIul</t>
  </si>
  <si>
    <t>https://drive.google.com/file/d/1bTGMwMyctdhOi3qPwaZrVS1LHdUhKeGA/view?usp=drivesdk</t>
  </si>
  <si>
    <t>ตอบปัญหาธรรมะทางก้าวหน้า</t>
  </si>
  <si>
    <t>วัดธรรมกาย</t>
  </si>
  <si>
    <t>https://lh5.googleusercontent.com/d/1XqQEqE79o4CGBElvxBu7gO-OE-gCuf1Y</t>
  </si>
  <si>
    <t>https://drive.google.com/file/d/1qKjB9i4rmI8PW1PpVwB52pEkNGWQ3wgc/view?usp=drivesdk</t>
  </si>
  <si>
    <t>https://lh5.googleusercontent.com/d/1OJYzzOjx1XTgVLBW2Ap1aficBadDq2Gc</t>
  </si>
  <si>
    <t>https://drive.google.com/file/d/15sK9orYpm2T3922SJ-f25N0gxCFmKcl1/view?usp=drivesdk</t>
  </si>
  <si>
    <t>https://lh5.googleusercontent.com/d/1KJu2y9gFTshmjP2AHHSXqsFCc1BJqW5e</t>
  </si>
  <si>
    <t>https://drive.google.com/file/d/1jIUrNGuiBBwh11xO0hu2BU89lMfJuVYE/view?usp=drivesdk</t>
  </si>
  <si>
    <t>สนามกีฬากองทัพอากาศ(ธูปะเตมีย์)</t>
  </si>
  <si>
    <t>https://lh5.googleusercontent.com/d/1M9NmYWJENz4AEUc-VzPr4SlrvD8rrYLs</t>
  </si>
  <si>
    <t>https://drive.google.com/file/d/1KszDcCOLqhmoCgo_Wem47Gyp8cJILQOT/view?usp=drivesdk</t>
  </si>
  <si>
    <t>นพอ.</t>
  </si>
  <si>
    <t>https://lh5.googleusercontent.com/d/1WvLDTNk-sWr1yzP0RKjT6_8BdNepvyRM</t>
  </si>
  <si>
    <t>https://drive.google.com/file/d/1VwBos4GwgdHWKeTZBPvztzAKF_j8GnN-/view?usp=drivesdk</t>
  </si>
  <si>
    <t>พิธีเปิด-ปิดกีฬาสีภายในกองทัพอากาศ</t>
  </si>
  <si>
    <t>น.ต.หญิง ขวญชนก พ่วงนาคพันธุ์</t>
  </si>
  <si>
    <t>https://lh5.googleusercontent.com/d/1qmdASsMUTmfqul-sTfYrh3mfc917uhjn</t>
  </si>
  <si>
    <t>https://drive.google.com/file/d/1i2MLlEMgCKdSqRkpecC4RAuX-Oabm24C/view?usp=drivesdk</t>
  </si>
  <si>
    <t>งานสงกรานต์ เบิกบานจิต</t>
  </si>
  <si>
    <t>https://lh5.googleusercontent.com/d/1Ck4ZG4o3J5bNBYAzMA4CZur2B7nbpb_L</t>
  </si>
  <si>
    <t>https://drive.google.com/file/d/1eyKapDvroaQLedBGHjQ64pkOXPfVWVml/view?usp=drivesdk</t>
  </si>
  <si>
    <t>บุญสิตา สุสี</t>
  </si>
  <si>
    <t>สนามธูปะเตมีย์</t>
  </si>
  <si>
    <t>https://lh5.googleusercontent.com/d/1VYsRuKaDYe08dv7ng2HfHCQelf0P_WHm</t>
  </si>
  <si>
    <t>https://drive.google.com/file/d/1PZ_ysaNYdKGC0C_WdxPSnPI1luT4PAN8/view?usp=drivesdk</t>
  </si>
  <si>
    <t>3854</t>
  </si>
  <si>
    <t>https://lh5.googleusercontent.com/d/1ssRdxFPSc6uOJEaEEO3NYK0CJXQYHs3S</t>
  </si>
  <si>
    <t>https://drive.google.com/file/d/1oFdPKY2-1XupvMwDyWbXN4YBQ2Yb5CyG/view?usp=drivesdk</t>
  </si>
  <si>
    <t>น.ท.หญิง ลักษ์ขณา พานิช</t>
  </si>
  <si>
    <t>https://lh5.googleusercontent.com/d/1xWVSDEwp1nBW2J1cW4DZZtPSjgSrPiFC</t>
  </si>
  <si>
    <t>https://drive.google.com/file/d/18uSw_PQZUQLgHpEh3OdfX0il9zG5VeWM/view?usp=drivesdk</t>
  </si>
  <si>
    <t>https://lh5.googleusercontent.com/d/1aPPjBGCCNT-q1ASCiDg_rlv79dsDNGQv</t>
  </si>
  <si>
    <t>https://drive.google.com/file/d/1BtHARUYgyxDP0yEQWZgFk3qPn4jQwaIL/view?usp=drivesdk</t>
  </si>
  <si>
    <t>ช่วยงานจัดการทดสอบความถนัด วิภาวิสัยและจิตวิทยา ประจำปีการศึกษา 2569</t>
  </si>
  <si>
    <t>ห้องประชุมชั้น4</t>
  </si>
  <si>
    <t>07.00-15.00</t>
  </si>
  <si>
    <t>https://lh5.googleusercontent.com/d/1LwFUIathufeyG5BYBYIQHjyALtlyk_8x</t>
  </si>
  <si>
    <t>https://drive.google.com/file/d/1aOaJZCpX1O3ClPn6CrjgPJDIXuUGmj7D/view?usp=drivesdk</t>
  </si>
  <si>
    <t>https://lh5.googleusercontent.com/d/1mtb6wYDPSc_asbcuG5IFTAnJa-Qv_FJA</t>
  </si>
  <si>
    <t>https://drive.google.com/file/d/1WKeBLPjXIDo5IwMqGktjXH-rgASAr17q/view?usp=drivesdk</t>
  </si>
  <si>
    <t>https://lh5.googleusercontent.com/d/1uSJJgUJ_RtgfNnrWjCkSyB7Jn2F8IG9x</t>
  </si>
  <si>
    <t>https://drive.google.com/file/d/1g9N2A2V1ThLznPos9PCjL__o8GEBKz_7/view?usp=drivesdk</t>
  </si>
  <si>
    <t>https://lh5.googleusercontent.com/d/1j_YhQQqr23EXO1BJhUSTI28oEuC8Vz36</t>
  </si>
  <si>
    <t>https://drive.google.com/file/d/1dH2Qfc1athF78MMRgR6jy7nIYGURT4w_/view?usp=drivesdk</t>
  </si>
  <si>
    <t>https://lh5.googleusercontent.com/d/1i6KDKL-kMtMOvKxmILwPf_KNOrhA6-22</t>
  </si>
  <si>
    <t>https://drive.google.com/file/d/1w7nRfj8bpy8-b1aTJfEecyI-sUw0RyKW/view?usp=drivesdk</t>
  </si>
  <si>
    <t>https://lh5.googleusercontent.com/d/1NYp6HIwbC7yuXFVGMcvoPxF9Yk8nrEOv</t>
  </si>
  <si>
    <t>https://drive.google.com/file/d/1vMUh-VsYX8CkaKiPjNkqHgcuE1Nys11p/view?usp=drivesdk</t>
  </si>
  <si>
    <t>น.ต.หญิงขสัญชนก พ่วงนาคพันธุ์</t>
  </si>
  <si>
    <t>https://drive.google.com/file/d/17FTtsZvwPp-GRRqeFe875hR08Q7zrU90/view?usp=drivesdk</t>
  </si>
  <si>
    <t>https://lh5.googleusercontent.com/d/156gfAcyl6sH1sgmnSII_OSwsVGog-59V</t>
  </si>
  <si>
    <t>https://drive.google.com/file/d/1zebGRW1z8XhCxR4-S6fwkR8O_PGg9MlN/view?usp=drivesdk</t>
  </si>
  <si>
    <t>สนามกีฬาธูปเตย์มี</t>
  </si>
  <si>
    <t>https://lh5.googleusercontent.com/d/1Grv_OlQkvCXzSWpcZZ3pCB3ZiQZFzofC</t>
  </si>
  <si>
    <t>https://drive.google.com/file/d/1tniBpGZzknpIzLDqPiSwMl_4heyeGoaK/view?usp=drivesdk</t>
  </si>
  <si>
    <t>https://lh5.googleusercontent.com/d/1n8DB8zX4nRrmKEut2Fu-r7J47EZra5Za</t>
  </si>
  <si>
    <t>https://drive.google.com/file/d/1Bfh8GePfefqV6RDsGD6fz-eQMfbl4z9M/view?usp=drivesdk</t>
  </si>
  <si>
    <t>https://lh5.googleusercontent.com/d/1ZhX5Fcgie8rLm5N9Sk2Gy9nlttwvCIlU</t>
  </si>
  <si>
    <t>https://drive.google.com/file/d/1OY0D71d2K1_STBBp6E_wrL5Xq_gMzxSa/view?usp=drivesdk</t>
  </si>
  <si>
    <t>พิธีเปิด-ปิด กีฬาภายในกองทัพอากาศ</t>
  </si>
  <si>
    <t>https://lh5.googleusercontent.com/d/15oxdzaMytuCkpIBbYWjKICn_njYt-0is</t>
  </si>
  <si>
    <t>https://drive.google.com/file/d/1ggJGDGdGa8vEljstgGDoIeR986ByQv-j/view?usp=drivesdk</t>
  </si>
  <si>
    <t>https://lh5.googleusercontent.com/d/1zLdPJbvg9MsGPPPRYiV5ZVhtm9D9_osx</t>
  </si>
  <si>
    <t>https://drive.google.com/file/d/19h_RRhQgFDX0LqnFlQ4f_IihBLuJ4Av1/view?usp=drivesdk</t>
  </si>
  <si>
    <t>https://lh5.googleusercontent.com/d/19ghP2Axuqk7ALSGM9DtzxlZx_5pHwpYV</t>
  </si>
  <si>
    <t>https://drive.google.com/file/d/1TuNP1KnJVJe-cT5f8tdYGVnjueIdcQd6/view?usp=drivesdk</t>
  </si>
  <si>
    <t>เข้าร่วมงานวันเด็กแห่งชาติ 2569</t>
  </si>
  <si>
    <t>https://lh5.googleusercontent.com/d/1WlbP9l1Q4K-BCdiS4OCeGx1_TzBJfs5i</t>
  </si>
  <si>
    <t>https://drive.google.com/file/d/1j6BM8nsZOK0aFIzFPmXXByVYwt0QCfLO/view?usp=drivesdk</t>
  </si>
  <si>
    <t>https://lh5.googleusercontent.com/d/12UfSBe4q0N_T2gbeaqJFZoLBB-_yUlLF</t>
  </si>
  <si>
    <t>https://drive.google.com/file/d/13yOqxIgpkej0SWCox2wsfCGbmbKyi1kv/view?usp=drivesdk</t>
  </si>
  <si>
    <t xml:space="preserve"> น.ต. หญิง ขวัญชนก พ่วงนาคพันธุ์ </t>
  </si>
  <si>
    <t>https://lh5.googleusercontent.com/d/1UzQqJXBjK309LScv7IWV06gMDluGmvOg</t>
  </si>
  <si>
    <t>https://drive.google.com/file/d/1TBojmQTASRzM-_IlMaIVX1yzS2e0yxRQ/view?usp=drivesdk</t>
  </si>
  <si>
    <t>https://lh5.googleusercontent.com/d/1G3tJxbCYQUNC5-hEDk01FQRteyaNb7Op</t>
  </si>
  <si>
    <t>https://drive.google.com/file/d/1Kr7Qz0bi-uO6cusQmX0EuvgZi3vMO0rk/view?usp=drivesdk</t>
  </si>
  <si>
    <t>น.ต.หญิง ชวัญชนก พ่วงนาคพันธุ์</t>
  </si>
  <si>
    <t>https://lh5.googleusercontent.com/d/1iEj9zEwJ9OGI88OtR-XWiPuYiCyPUzbx</t>
  </si>
  <si>
    <t>https://drive.google.com/file/d/1JIHPkauJE_Mh_z_ggcOl582WiYKfKAtO/view?usp=drivesdk</t>
  </si>
  <si>
    <t>https://lh5.googleusercontent.com/d/1srKt_t9YcZ3NuMWaeQAfRmwxan7Ob_D1</t>
  </si>
  <si>
    <t>https://drive.google.com/file/d/1mF-hj59snPKh2_1FGIGMoKI14qN7PV0G/view?usp=drivesdk</t>
  </si>
  <si>
    <t>https://lh5.googleusercontent.com/d/1C4h0dr9MJqtBWRVt4ad-aZJsDPbKN90-</t>
  </si>
  <si>
    <t>https://drive.google.com/file/d/1wO8HT5KSlQuxpukor4PI12qSEWZkHLmw/view?usp=drivesdk</t>
  </si>
  <si>
    <t>https://lh5.googleusercontent.com/d/17-f19lZaTWIjt5VOagEiVRgeltWbLYhq</t>
  </si>
  <si>
    <t>https://drive.google.com/file/d/116r49uNgRfB-pn3u5EEa730hA6Al3ofD/view?usp=drivesdk</t>
  </si>
  <si>
    <t>https://lh5.googleusercontent.com/d/14RCvHnti6NQKdtT0iuvD09KixCNJDQec</t>
  </si>
  <si>
    <t>https://drive.google.com/file/d/14fr-EWUG3KSKmX9cSafxxn_UD1uvYbQd/view?usp=drivesdk</t>
  </si>
  <si>
    <t>https://lh5.googleusercontent.com/d/1iOVTeFV3OSmuZivGdXb2C86Mmn14OvZL</t>
  </si>
  <si>
    <t>https://drive.google.com/file/d/17XmNuGcECg2mw4dnxpSUBqthDERY6lTQ/view?usp=drivesdk</t>
  </si>
  <si>
    <t>https://lh5.googleusercontent.com/d/1xJN1ED74Spwk89GACF_SuAX6W7PpC4bu</t>
  </si>
  <si>
    <t>https://drive.google.com/file/d/1A9FC3yOx-Xd2dR5j8Vrb-5MlbrLUUSnz/view?usp=drivesdk</t>
  </si>
  <si>
    <t>สนามกีฬากองทัพอากาศ</t>
  </si>
  <si>
    <t>https://lh5.googleusercontent.com/d/1mPpnbgOFma0kMaW06AqEqn8kveJmgf8g</t>
  </si>
  <si>
    <t>https://drive.google.com/file/d/1vLRWqhbkXwtsDO0NuBy0Lh5dq7UbyUgc/view?usp=drivesdk</t>
  </si>
  <si>
    <t>น.ต. หญิง ขวัญชนก พ่วงนาคพันธุ์ เ</t>
  </si>
  <si>
    <t>https://lh5.googleusercontent.com/d/15QY-vh9NnVJ7wWwDnCjvalkENfm1X1Kl</t>
  </si>
  <si>
    <t>https://drive.google.com/file/d/1C8t8ov5FZQhf0VOWUMWLFuy5qsNzw0wG/view?usp=drivesdk</t>
  </si>
  <si>
    <t>https://lh5.googleusercontent.com/d/1GFhiaNQgaZQWytny57zanG0iwRHAWU7L</t>
  </si>
  <si>
    <t>https://drive.google.com/file/d/1POUXviyRW0I4MJjQwoezp_uK6kGELBYp/view?usp=drivesdk</t>
  </si>
  <si>
    <t>https://lh5.googleusercontent.com/d/167byxzzuAbYHzQcmc_nuBJPSCCBLoqzJ</t>
  </si>
  <si>
    <t>https://drive.google.com/file/d/1Zv94FaynEJU_ekMTR7H67dT_MZ0AMHtl/view?usp=drivesdk</t>
  </si>
  <si>
    <t>https://lh5.googleusercontent.com/d/1DNjvH3RKz1tM83KW70VbDvvqkVPXAbrG</t>
  </si>
  <si>
    <t>https://drive.google.com/file/d/1PkdbK_-3msFHeJJVquRX9g0K8SJfS1gl/view?usp=drivesdk</t>
  </si>
  <si>
    <t>https://lh5.googleusercontent.com/d/14GGGyeDPTDrF9209-UXeilWtEuN91m4G</t>
  </si>
  <si>
    <t>https://drive.google.com/file/d/1hHCZ23rExnxGahXfsk-Mjxn9mSUbVZK2/view?usp=drivesdk</t>
  </si>
  <si>
    <t>https://lh5.googleusercontent.com/d/1dDHFgnjyvlsNcWratZ2Sjoyla8CBCKhH</t>
  </si>
  <si>
    <t>https://drive.google.com/file/d/10m0QjXuGergL5ifnE3XkGCTJ1Ty6R9UB/view?usp=drivesdk</t>
  </si>
  <si>
    <t>ฝูงบิน 601 กองบิน 6</t>
  </si>
  <si>
    <t>https://lh5.googleusercontent.com/d/1XyH9t4FZdIPRE6-k5gACUyxlntVGinp7</t>
  </si>
  <si>
    <t>https://drive.google.com/file/d/1zwHbYjRD8LOfrANFL0EPAV1a8UjJCCxC/view?usp=drivesdk</t>
  </si>
  <si>
    <t>https://lh5.googleusercontent.com/d/1-b8-y6XPLN_qlVkreSykKTyz2J-_-gB3</t>
  </si>
  <si>
    <t>https://drive.google.com/file/d/1blzD6AoJkxj7nmXNzmgadF_oFLnWSnJB/view?usp=drivesdk</t>
  </si>
  <si>
    <t>ทำป้ายงานสัมภาษณ์นพอ.69</t>
  </si>
  <si>
    <t>อนศ.วพอ.พอ.</t>
  </si>
  <si>
    <t>น.ท.หญิง ผศ.ดร.จิรภิญญา คำรัตน์ และ นางสาวรักษ์สุดา สังข์ทอง</t>
  </si>
  <si>
    <t>https://lh5.googleusercontent.com/d/1uStvP-Xg-cSKGjQveW7nArr8i8AjnJjX</t>
  </si>
  <si>
    <t>https://drive.google.com/file/d/1P4x4tQuVX86Oq4uF7WVdK0kpqH8HRZPE/view?usp=drivesdk</t>
  </si>
  <si>
    <t>ทำป้ายสัมภาษณ์นพอ.69</t>
  </si>
  <si>
    <t>น.ท.หญิง ผศ.ดร. จิรภิญญา คำรัตน์ และนางสาวรักษ์สุดา สังข์ทอง</t>
  </si>
  <si>
    <t>https://lh5.googleusercontent.com/d/1wHs44O5-xHbM2xKuN9Iu48RsmXIHUraa</t>
  </si>
  <si>
    <t>https://drive.google.com/file/d/1KXwTxdmJ9f_mskLzd0d-NmDegXTFPCEB/view?usp=drivesdk</t>
  </si>
  <si>
    <t xml:space="preserve">พิธีเปิด-ปิดกีฬาภายในกองทัพอากาศ </t>
  </si>
  <si>
    <t>สนามกีฬาธูปะเตมีย์ กองทัพอากาศ</t>
  </si>
  <si>
    <t>https://lh5.googleusercontent.com/d/10ByQkQ3Ak-0q0hE-kvrxVJ8ZgsK0EBCF</t>
  </si>
  <si>
    <t>https://drive.google.com/file/d/1uY_-d37GXO1HxPbmETL_kJL76HHFQUM_/view?usp=drivesdk</t>
  </si>
  <si>
    <t>ซ้อมงานพิธีมอบหมวกพยาบาลวิชาชีพ ปีการศึกษา 2568 (organize)</t>
  </si>
  <si>
    <t>https://lh5.googleusercontent.com/d/1yzPz0ajR6SpC0uB4tF_t9qRtQrADAaM_</t>
  </si>
  <si>
    <t>https://drive.google.com/file/d/1_uOmcrXO_oejslrnCOCeEp-eAJrfeRQF/view?usp=drivesdk</t>
  </si>
  <si>
    <t xml:space="preserve"> ซ้อมงานพิธีมอบหมวกพยาบาลวิชาชีพ ปีการศึกษา 2568 (organize)</t>
  </si>
  <si>
    <t>หอประชุมธูปะเตมีย์ รพ.ภูมิพลฯ</t>
  </si>
  <si>
    <t>https://lh5.googleusercontent.com/d/1xnTNw0vgcvXR8ehYD7usDh6Ro8PrB-B2</t>
  </si>
  <si>
    <t>https://drive.google.com/file/d/1huA9jEDLRDO7lZaYQ0cIJotDFDcPDACS/view?usp=drivesdk</t>
  </si>
  <si>
    <t>กองบิน 6 ดอนเมือง</t>
  </si>
  <si>
    <t>https://lh5.googleusercontent.com/d/14RZMbFPThBDkG3e1q2nLGhh11UNGEXca</t>
  </si>
  <si>
    <t>https://drive.google.com/file/d/1C9cOWd8nsB2B-MIrRQpsXX08ddx0fEzj/view?usp=drivesdk</t>
  </si>
  <si>
    <t xml:space="preserve">น.ต.หญิง ขวัญชนก พ่วงนาคพันธุ์ </t>
  </si>
  <si>
    <t>https://lh5.googleusercontent.com/d/1cnrERN9NXvLyRpU9WkvWu640o4pwgHQp</t>
  </si>
  <si>
    <t>https://drive.google.com/file/d/1IiL0-UhJxd_YORoYfs2687Yu9Dmc7Gr5/view?usp=drivesdk</t>
  </si>
  <si>
    <t>พิพิธภัณฑ์กองทัพอากาศ</t>
  </si>
  <si>
    <t>https://lh5.googleusercontent.com/d/1HvSQmbeASkaYgT9jIsNShHp2EzHV374r</t>
  </si>
  <si>
    <t>https://drive.google.com/file/d/1-Wpb3PoQ5FIwaDMii1dsECoVokUxzAJU/view?usp=drivesdk</t>
  </si>
  <si>
    <t>ศูนย์บริจาคโลหิตแห่งชาติ</t>
  </si>
  <si>
    <t>10000-1800</t>
  </si>
  <si>
    <t>น.ส. ดาริน ภูรับ</t>
  </si>
  <si>
    <t>https://lh5.googleusercontent.com/d/1bo2l5Vem9X5M6oU06ecLuT2R7urBibPn</t>
  </si>
  <si>
    <t>https://drive.google.com/file/d/1TOgXpPsX_uw7X6ttOGSbZloP9cYtRGSB/view?usp=drivesdk</t>
  </si>
  <si>
    <t>https://lh5.googleusercontent.com/d/1OoV5z2bpg4ZeK6oa0VIXEIEjBXaMICpO</t>
  </si>
  <si>
    <t>https://drive.google.com/file/d/1Kwgsf79wwO_X3-nxdidiTvWl1SqAyshg/view?usp=drivesdk</t>
  </si>
  <si>
    <t>https://lh5.googleusercontent.com/d/1dPSpbStqxu_r04oDTChS1_6H8n5YxIzc</t>
  </si>
  <si>
    <t>https://drive.google.com/file/d/1naLzNI1InC7tDj2VO6-VILq_gIgu-_C7/view?usp=drivesdk</t>
  </si>
  <si>
    <t xml:space="preserve">ทำบุญ ตักบาตร </t>
  </si>
  <si>
    <t>วัดญาณสังข์วราราม</t>
  </si>
  <si>
    <t>https://lh5.googleusercontent.com/d/1Wlmj29okGpVIsLt8mik5YBWthhrI-ByI</t>
  </si>
  <si>
    <t>https://drive.google.com/file/d/1ya4gqRN9Ty9HBhlLrPqpgS4oyxCcOMFE/view?usp=drivesdk</t>
  </si>
  <si>
    <t>https://lh5.googleusercontent.com/d/1cr3jGRBeJ4P53aj0KQTxPtnxjITb2SAd</t>
  </si>
  <si>
    <t>https://drive.google.com/file/d/1wH2FFVhFPVfrYYGEhbwF4vI1iaCPRtLB/view?usp=drivesdk</t>
  </si>
  <si>
    <t>https://lh5.googleusercontent.com/d/1o4hr01soXH66m66PkjlQl5nyg6xVJZi6</t>
  </si>
  <si>
    <t>https://drive.google.com/file/d/16PJ23trrJe3ahgZw8SUSLV45EgeGZgMK/view?usp=drivesdk</t>
  </si>
  <si>
    <t>งานพิธีมอบหมวกพยาบาลวิชาชีพ ปีการศึกษา 2568</t>
  </si>
  <si>
    <t>https://lh5.googleusercontent.com/d/1vBnMkoi5wbuU0Wq0e0bQoZQWt53C0Duj</t>
  </si>
  <si>
    <t>https://drive.google.com/file/d/1USXgJBrItlkXHL6EtnyOI0aTGNJY62pu/view?usp=drivesdk</t>
  </si>
  <si>
    <t>https://lh5.googleusercontent.com/d/1EuZ6IyBGPqSiakozwu5Nh0xqZosbRxCK</t>
  </si>
  <si>
    <t>https://drive.google.com/file/d/1z5RAWTiNPOvZBsxeEvNaFwkWXAd-hx-z/view?usp=drivesdk</t>
  </si>
  <si>
    <t>วัดหลวงพ่ออี๋</t>
  </si>
  <si>
    <t>https://lh5.googleusercontent.com/d/1jpJNdFDau87rTnLPRgGFN4XfwL52Xy19</t>
  </si>
  <si>
    <t>https://drive.google.com/file/d/1yWRSCtBV5NBT9dThANc5Rf4IAqeOWVDj/view?usp=drivesdk</t>
  </si>
  <si>
    <t>เก็บขยะชายหาด</t>
  </si>
  <si>
    <t>หาดเตยงาม</t>
  </si>
  <si>
    <t>https://lh5.googleusercontent.com/d/1uOaVkCz_jZLVR7XXPzwALXr0s9DrFSKs</t>
  </si>
  <si>
    <t>https://drive.google.com/file/d/1jYANO_YO0TZejbg2-H9JG23mldcXBdYD/view?usp=drivesdk</t>
  </si>
  <si>
    <t>ทดสอบสมรรถภาพร่างกาย นพอ.69</t>
  </si>
  <si>
    <t>สนามกีฬาจันทรุเบกษา</t>
  </si>
  <si>
    <t>1600-1900</t>
  </si>
  <si>
    <t>https://lh5.googleusercontent.com/d/17zqHcExxC33YW9SOsEWu59YKoNU8SGXK</t>
  </si>
  <si>
    <t>https://drive.google.com/file/d/1kzkbWMkQ2toxOGHldcTdXQtcgDd19Eyq/view?usp=drivesdk</t>
  </si>
  <si>
    <t>https://lh5.googleusercontent.com/d/17ISfzTGqPcC4LbrGXroJ5_DSNeJ1f74p</t>
  </si>
  <si>
    <t>https://drive.google.com/file/d/1y4-3_HvwVy62WnWVMBWBCuJYQuNAIIHx/view?usp=drivesdk</t>
  </si>
  <si>
    <t>ทดสอบสมรรถภาพร่างกายนพอ.69</t>
  </si>
  <si>
    <t>สนามจันทรุเบกษา</t>
  </si>
  <si>
    <t>https://lh5.googleusercontent.com/d/1YhEaYSzEG_yBznlM0RIRZNnr9nEVPMgg</t>
  </si>
  <si>
    <t>https://drive.google.com/file/d/1ql1OYdGZbqImI_4MsluFzDf6EbGpzT8V/view?usp=drivesdk</t>
  </si>
  <si>
    <t>นพอ.ฐานิดา  อ่อนล้อม</t>
  </si>
  <si>
    <t>เก็บสถานที่สอบคัดเลือกนพอ.69</t>
  </si>
  <si>
    <t>อาคารสำนักงานชั้น4</t>
  </si>
  <si>
    <t>https://lh5.googleusercontent.com/d/1abdAzmAqvlMIp55xmB-GdmcxCppJRAip</t>
  </si>
  <si>
    <t>https://drive.google.com/file/d/1INz_TAAKbMxmrScE97SoWJ5i4_9CRJBr/view?usp=drivesdk</t>
  </si>
  <si>
    <t>อาคารสำนักงานชั้น 4</t>
  </si>
  <si>
    <t>https://lh5.googleusercontent.com/d/1hm-6ecbV2ZX0oE27DCPmx2o_eqessE08</t>
  </si>
  <si>
    <t>https://drive.google.com/file/d/1aYrwtsCYdPZMTv6It8Jyg361unUEGTQa/view?usp=drivesdk</t>
  </si>
  <si>
    <t>https://lh5.googleusercontent.com/d/1zTYIUTQPMhzzkjvHaPM3rJVUR1AOBOoe</t>
  </si>
  <si>
    <t>https://drive.google.com/file/d/1Nbw9ehqc-mWDHrsCKLYUMr6tG80wN853/view?usp=drivesdk</t>
  </si>
  <si>
    <t>https://lh5.googleusercontent.com/d/1iJRNjq7gObYpjyNLlnDIYQu94FV8q1NQ</t>
  </si>
  <si>
    <t>https://drive.google.com/file/d/1DWc9cHY56nyr8U0WGAmGcbqwNNtUXIPQ/view?usp=drivesdk</t>
  </si>
  <si>
    <t>วัดเครื่องแบบนพอ.69</t>
  </si>
  <si>
    <t>https://lh5.googleusercontent.com/d/1Glml7vfDwP0OnSDvydKM9OgSdXO-qcp3</t>
  </si>
  <si>
    <t>https://drive.google.com/file/d/1u-j1JYdnfn-_gCtD-twE8uIQg-opZeV4/view?usp=drivesdk</t>
  </si>
  <si>
    <t>https://lh5.googleusercontent.com/d/1WQgoaKkeG5dKklqczQyc1BM_ZB5GDjez</t>
  </si>
  <si>
    <t>https://drive.google.com/file/d/1v7UqjShWNZz0pnyWlZdIgVoc5UfEUzdb/view?usp=drivesdk</t>
  </si>
  <si>
    <t>วัดเครื่องแบบ นพอ.69</t>
  </si>
  <si>
    <t>https://lh5.googleusercontent.com/d/1WJR_cIkG9DM75V1SUKVRxHnX6BItqNXh</t>
  </si>
  <si>
    <t>https://drive.google.com/file/d/1LDlzMSqAtb3rbTykf1vQDNYsJQazF3ju/view?usp=drivesdk</t>
  </si>
  <si>
    <t>https://lh5.googleusercontent.com/d/1Kl6Y7LSXuLWMQckjhpizzJZujJ6AA8iN</t>
  </si>
  <si>
    <t>https://drive.google.com/file/d/1CgPbs2yvlE9YgsoxtngPRCSabFDr8tH4/view?usp=drivesdk</t>
  </si>
  <si>
    <t>เก็บสถานที่สอบคัดเลือก นพอ.69</t>
  </si>
  <si>
    <t>https://lh5.googleusercontent.com/d/1zdT-dgbQnKIGfV7JYrFy3TLyQ-4d8FD0</t>
  </si>
  <si>
    <t>https://drive.google.com/file/d/1ajKFijZLQx_TUeiSB2KxRc84gMi_zTV6/view?usp=drivesdk</t>
  </si>
  <si>
    <t>https://lh5.googleusercontent.com/d/10Pl7cbGpaqBBJw1KXKGjnykM-JEcfYvL</t>
  </si>
  <si>
    <t>https://drive.google.com/file/d/1i2FawhirRDkPy_-yVlgZNWeYcO3mrPvF/view?usp=drivesdk</t>
  </si>
  <si>
    <t>https://lh5.googleusercontent.com/d/12qcjZkTObOfTIaqh2KfgujNQAWrw-go_</t>
  </si>
  <si>
    <t>https://drive.google.com/file/d/1jyoH1odGfZHj5HZ8P3HUcKJxvu67JqoT/view?usp=drivesdk</t>
  </si>
  <si>
    <t>https://lh5.googleusercontent.com/d/1hpr-mXyhroFGVLO5jeUycYDwx_wdHGLg</t>
  </si>
  <si>
    <t>https://drive.google.com/file/d/1U9jLg4yKCMWjGHmW8qUB9iElGHKRo4fn/view?usp=drivesdk</t>
  </si>
  <si>
    <t>https://lh5.googleusercontent.com/d/1A9h-NXJAON_xl9rbkwiFbdZS7r1yEHkh</t>
  </si>
  <si>
    <t>https://drive.google.com/file/d/198ixtCVqBk7BEMNuBK3M9YHux1dGN1lr/view?usp=drivesdk</t>
  </si>
  <si>
    <t>Youth Camp 2026 &amp; การคัดเลือกผู้แทนโรทาแรคท์ภาครับเลือกของภาค 3350 (DRRE)</t>
  </si>
  <si>
    <t>จี ฟาร์ม ตำบลกระแชง อำเภอสามโคก จังหวัดปทุมธานี</t>
  </si>
  <si>
    <t>https://lh5.googleusercontent.com/d/1pr-PHd3raRL50_tmgseseb-Om4mqmduq</t>
  </si>
  <si>
    <t>https://drive.google.com/file/d/1zAJx8OxtWXFThIKhsZv_clsVXW9u-iYS/view?usp=drivesdk</t>
  </si>
  <si>
    <t>https://lh5.googleusercontent.com/d/1ytB9VqvFGmztn_0RKrKS9qdsC-OVOlov</t>
  </si>
  <si>
    <t>https://drive.google.com/file/d/1XQ2_VJkD0EhzMbTbStXha2LIamVot4ZX/view?usp=drivesdk</t>
  </si>
  <si>
    <t>https://lh5.googleusercontent.com/d/1uo6TyGRhUyvfEJnJTN9zZUNcGm2MG45k</t>
  </si>
  <si>
    <t>https://drive.google.com/file/d/1jgiXweM2qaJDIk16WKrql-8ZMM67crzW/view?usp=drivesdk</t>
  </si>
  <si>
    <t>https://lh5.googleusercontent.com/d/1fKB5i4VTY6xaBcO3feC4LEQ5GQZ7d4cO</t>
  </si>
  <si>
    <t>https://drive.google.com/file/d/1xYoeSzcuS3-vGcy3lJFgP1v1CSpOSFiS/view?usp=drivesdk</t>
  </si>
  <si>
    <t xml:space="preserve">กรชนก หน่อทิม </t>
  </si>
  <si>
    <t>https://lh5.googleusercontent.com/d/1QOm-rEBuiA63ZKEDWfnbpqsbCq__GyL6</t>
  </si>
  <si>
    <t>https://drive.google.com/file/d/1kYh219Zer6A6ddh5qbWi3M6s0iwszquz/view?usp=drivesdk</t>
  </si>
  <si>
    <t>https://lh5.googleusercontent.com/d/1meH1kPxMyoxYQMRsB0mxwvX87XRq0qC6</t>
  </si>
  <si>
    <t>https://drive.google.com/file/d/1ZdAqmW1e4UshHQtubPnyRiQ8F-uVQO0x/view?usp=drivesdk</t>
  </si>
  <si>
    <t>นพอ.ธีราพร  ประสิทธิภาพ</t>
  </si>
  <si>
    <t>15:00-18:00</t>
  </si>
  <si>
    <t>https://lh5.googleusercontent.com/d/11MFEVSkUMgAmFjeLW-O861yxDHU0tKu3</t>
  </si>
  <si>
    <t>https://drive.google.com/file/d/182xxxv7pOzB6UJXDWQVsHSbGAXFHu65B/view?usp=drivesdk</t>
  </si>
  <si>
    <t>Youth Camp 2026 &amp; การคัดเลือกผู้แทนโรทาแรคท์ภาครับเลือก ของภาค 3350 (DRRE)</t>
  </si>
  <si>
    <t>https://lh5.googleusercontent.com/d/11uhbUOwlw25K2Bv8WuiX89rKnvSP20uo</t>
  </si>
  <si>
    <t>https://drive.google.com/file/d/1gH9qhBydMajBUKaK9-wc7yQRhd4iV4RN/view?usp=drivesdk</t>
  </si>
  <si>
    <t>https://lh5.googleusercontent.com/d/19QFvV6kWDEmUUljjxtLsCs_CQ6rbHn0h</t>
  </si>
  <si>
    <t>https://drive.google.com/file/d/1RZXPKV971TymVwLQO2YeTwHOBKnVn1Qe/view?usp=drivesdk</t>
  </si>
  <si>
    <t>อาคารสํานักงานชั้น4</t>
  </si>
  <si>
    <t>15.00-18.00</t>
  </si>
  <si>
    <t xml:space="preserve"> น.ต.ศักชัย บุญประสิทธิ์</t>
  </si>
  <si>
    <t>https://lh5.googleusercontent.com/d/1p2mwxVF6wWmnFKtNSJNfiU5E7jTsITgG</t>
  </si>
  <si>
    <t>https://drive.google.com/file/d/1gKv9O9cuWtfGvQVTsbD-c-qtjCA7BA7z/view?usp=drivesdk</t>
  </si>
  <si>
    <t>1500 - 1800</t>
  </si>
  <si>
    <t>https://lh5.googleusercontent.com/d/1il7TnyNGLOO2XlM5c6x4L1taKlci8B5Y</t>
  </si>
  <si>
    <t>https://drive.google.com/file/d/1a63IUdZx5VW6dKKT9dYakCVjdZpFFRrx/view?usp=drivesdk</t>
  </si>
  <si>
    <t>https://lh5.googleusercontent.com/d/1Za74XXjgETQeC2zyb9g-LcNffc9rnFgE</t>
  </si>
  <si>
    <t>https://drive.google.com/file/d/1xyiLgHajiWDshl2v4TpnrOyNs1b6Evfc/view?usp=drivesdk</t>
  </si>
  <si>
    <t>https://lh5.googleusercontent.com/d/1PzIKWcyLQn8oSlVx2ycPdDv8LMwLg2cl</t>
  </si>
  <si>
    <t>https://drive.google.com/file/d/1eTdXtgtms7cFYX1TeeiWICgrLWOplpQu/view?usp=drivesdk</t>
  </si>
  <si>
    <t>https://lh5.googleusercontent.com/d/1KvUBU2oDirHp-AV35tGFy8e_xj3zWnHe</t>
  </si>
  <si>
    <t>https://drive.google.com/file/d/1ykSbrwXnxKYhKqrPDY-K4grmOn2089oM/view?usp=drivesdk</t>
  </si>
  <si>
    <t xml:space="preserve">Green Market </t>
  </si>
  <si>
    <t>สโมสรนายทหารอากาศชั้นประทวน</t>
  </si>
  <si>
    <t>https://lh5.googleusercontent.com/d/1XRGS7Bn4RBXb_hwAtB9AwwBa1DeZE7gw</t>
  </si>
  <si>
    <t>https://drive.google.com/file/d/1C8CzDYJNTHLkbQ3SFLgDDEEHL58cwjpl/view?usp=drivesdk</t>
  </si>
  <si>
    <t>https://lh5.googleusercontent.com/d/19UwtO5cg6VJvf-XwszrB9UkfstH4SBqL</t>
  </si>
  <si>
    <t>https://drive.google.com/file/d/1ViHLaOWHzyNQWQodbzc04EJdaMnjgrMX/view?usp=drivesdk</t>
  </si>
  <si>
    <t>ซ้อมงานพิธีรับหมวกวิชาชีพ ปีการศึกษา 2568</t>
  </si>
  <si>
    <t>https://lh5.googleusercontent.com/d/11YymM3PR1MFiNF_L40XW9x_xkQLXCR5W</t>
  </si>
  <si>
    <t>https://drive.google.com/file/d/17ejOAEldgmSa326dKM_A3bpnNBaXT3IS/view?usp=drivesdk</t>
  </si>
  <si>
    <t xml:space="preserve">Be Green Markets </t>
  </si>
  <si>
    <t xml:space="preserve">Green Markets </t>
  </si>
  <si>
    <t>07:00-15:00</t>
  </si>
  <si>
    <t>https://lh5.googleusercontent.com/d/1Xif7yibYXzy41C5KslgNU__CeC2JT-Yx</t>
  </si>
  <si>
    <t>https://drive.google.com/file/d/153Y8vZ8AwOWYtOjpcAyTkRQjH7BLv2I4/view?usp=drivesdk</t>
  </si>
  <si>
    <t>https://lh5.googleusercontent.com/d/1NDUhnXBNq2cP5PxUgc3D22mqRikRRXbK</t>
  </si>
  <si>
    <t>https://drive.google.com/file/d/12FQ3xJDUG-h71-SdGcu4ZzAlMoQ_AdQN/view?usp=drivesdk</t>
  </si>
  <si>
    <t>พิธีฟังสารผู้บัญชาการทหารอากาศ เนื่องใน “วันกองทัพอากาศ” ประจำปี 2569</t>
  </si>
  <si>
    <t>น.ต.หญิง กิตติยา มหาวิริโยทัย</t>
  </si>
  <si>
    <t>https://lh5.googleusercontent.com/d/11yEthjBa9lMs9u7gO8Ks2sy7p1TkN0h-</t>
  </si>
  <si>
    <t>https://drive.google.com/file/d/1pv9DBVIrixj_r56Q14ooVl7gz0-QEDns/view?usp=drivesdk</t>
  </si>
  <si>
    <t>https://lh5.googleusercontent.com/d/1W1D3ICLsJ6Z4sdcwv590mEde0xQM7zXv</t>
  </si>
  <si>
    <t>https://drive.google.com/file/d/1JmYgSBU6aiD4q1xK2rxSuGG1xxxdvIb6/view?usp=drivesdk</t>
  </si>
  <si>
    <t>พิธีฟังสารผู้บัญชาการทหารอากาศ เนื่องใน "วันกองทัพอากาศ" ประจำปี 2569</t>
  </si>
  <si>
    <t>06:00-14:00</t>
  </si>
  <si>
    <t>https://lh5.googleusercontent.com/d/1fTUh8eiVAjvKTXS_LVsvFXW568phk91I</t>
  </si>
  <si>
    <t>https://drive.google.com/file/d/1AZln4ymoCKKkbaJ-xDAYg6ptor_ijRY3/view?usp=drivesdk</t>
  </si>
  <si>
    <t>https://lh5.googleusercontent.com/d/1WuHtLjg0psvrpFWDW8CHk0KTOkqYHhln</t>
  </si>
  <si>
    <t>https://drive.google.com/file/d/13QL1WBQm0DARZSPoQqPp0rCIPjL0F8ud/view?usp=drivesdk</t>
  </si>
  <si>
    <t>Green Markets</t>
  </si>
  <si>
    <t>https://lh5.googleusercontent.com/d/1UgmuIBGpELR4l0Cd_lE0_qvPIp4iQFDv</t>
  </si>
  <si>
    <t>https://drive.google.com/file/d/1s-hfgjHp797XCsbhzqeZIOuBP408Qjen/view?usp=drivesdk</t>
  </si>
  <si>
    <t>https://lh5.googleusercontent.com/d/1Lxsq-xqlAamO1DmQXLJbHoSHhD4nmBhx</t>
  </si>
  <si>
    <t>https://drive.google.com/file/d/1ftePTOZLZxDFC-Nt6TgmS9cm6_XKAjz8/view?usp=drivesdk</t>
  </si>
  <si>
    <t>https://lh5.googleusercontent.com/d/1WkCcoktIN6CzICnmNqbJuPDWRyrgnIV4</t>
  </si>
  <si>
    <t>https://drive.google.com/file/d/15ovOYpJzFgvck-u_UX8wRflZ7EKYJWfQ/view?usp=drivesdk</t>
  </si>
  <si>
    <t>https://lh5.googleusercontent.com/d/1quReMVEx7JRrzsN4MDdGv1gN0d146Q_U</t>
  </si>
  <si>
    <t>https://drive.google.com/file/d/12Uss0QTb1bHuoGdX7m3jR-puevATKa1D/view?usp=drivesdk</t>
  </si>
  <si>
    <t>https://lh5.googleusercontent.com/d/1RMRXT1py9gJiEeYB9g6rADFr3QHkOR7I</t>
  </si>
  <si>
    <t>https://drive.google.com/file/d/1BEnFxpyJ1ljQpIHuexEO_2skI39IcSKU/view?usp=drivesdk</t>
  </si>
  <si>
    <t>https://lh5.googleusercontent.com/d/1a24obhat_8kPCA4VNmf5uJzcfJ2jMMhU</t>
  </si>
  <si>
    <t>https://drive.google.com/file/d/1nrrlDRFdg3jJAE8AuJzvnAPCZl7w8z4o/view?usp=drivesdk</t>
  </si>
  <si>
    <t>https://lh5.googleusercontent.com/d/1lyVubiEKRSR6NIeFW8EdtQBia2RJyXWW</t>
  </si>
  <si>
    <t>https://drive.google.com/file/d/15_HzQeAc3ec0Bo9XTTZHfH82WUDTCFBl/view?usp=drivesdk</t>
  </si>
  <si>
    <t>ค่ายเยาวชนพัฒนาครั้งที่ 215</t>
  </si>
  <si>
    <t>วัดสาทบัณฑิต จ.อยุธยา</t>
  </si>
  <si>
    <t>1800-2400</t>
  </si>
  <si>
    <t>https://lh5.googleusercontent.com/d/18Uao6Nrkm5yNoy4FEVr1NoVEKySVFIbE</t>
  </si>
  <si>
    <t>https://drive.google.com/file/d/1iqNElQ4NDZEbeESYhraTlN3GuuWQcbAL/view?usp=drivesdk</t>
  </si>
  <si>
    <t>ค่ทยเยาวชนพัฒนา ครั้งที่ 215</t>
  </si>
  <si>
    <t>https://lh5.googleusercontent.com/d/1YWz3dl-nw8pciokeXL00woOoow0gwUvs</t>
  </si>
  <si>
    <t>https://drive.google.com/file/d/14cb0TaHSoElJqW9MyLHr4O83en0YJfOs/view?usp=drivesdk</t>
  </si>
  <si>
    <t>https://lh5.googleusercontent.com/d/1WskCqSBALPgwKi6wN9GOrV5fa7FEgdil</t>
  </si>
  <si>
    <t>https://drive.google.com/file/d/17X3Wy3PCVEV0cQpJSbv4CV75NftvUAOp/view?usp=drivesdk</t>
  </si>
  <si>
    <t xml:space="preserve">Be green market </t>
  </si>
  <si>
    <t>อาคารอเนกประสงค์ชาวฟ้า</t>
  </si>
  <si>
    <t>น.อ.หญิงชญาพัฒน์ ทองปากน้ำ</t>
  </si>
  <si>
    <t>https://lh5.googleusercontent.com/d/1UkNDXJ6_QKvRDBvZQ5aIk-20qr4jGOnX</t>
  </si>
  <si>
    <t>https://drive.google.com/file/d/1O1-ysZaxeCyg49DwJQy4B6UKNoJAWBSA/view?usp=drivesdk</t>
  </si>
  <si>
    <t>https://lh5.googleusercontent.com/d/1teyqqNl0Uwwrj_SX6oJVD1QWxwg-v9Ua</t>
  </si>
  <si>
    <t>https://drive.google.com/file/d/1eFttlC3fYl5uQngLZJJihDXEPoh7Oc4H/view?usp=drivesdk</t>
  </si>
  <si>
    <t>https://lh5.googleusercontent.com/d/156wY-X6dvfuDClnqxJLh7K7gWwM0jCNv</t>
  </si>
  <si>
    <t>https://drive.google.com/file/d/1Gj1QDHiW19pjJl4DzZ728_bLnHwl-8Rq/view?usp=drivesdk</t>
  </si>
  <si>
    <t>นพอ.ฉัตรชนก</t>
  </si>
  <si>
    <t>กันสาตร</t>
  </si>
  <si>
    <t xml:space="preserve">จัดห้องปฏิบัติการและทำความสะอาดหุ่นและอุปกรณ์ต่าง ๆ </t>
  </si>
  <si>
    <t>ห้องปฏิบัติการสูติ</t>
  </si>
  <si>
    <t>https://lh5.googleusercontent.com/d/1D58Gm7c0nzkJN1ZvFVIhXpmHNdxvq1yp</t>
  </si>
  <si>
    <t>https://drive.google.com/file/d/1MNkX3rW0mCWdzMIoIdZ3U8ezwtXxiJMj/view?usp=drivesdk</t>
  </si>
  <si>
    <t>จัดห้องปฏิบัติการและทำความสะอาดหุ่นและอุปกรณ์ต่าง ๆ</t>
  </si>
  <si>
    <t xml:space="preserve">ห้องปฏิบัติการสูติ </t>
  </si>
  <si>
    <t>https://lh5.googleusercontent.com/d/1cI_QyOIAS868KWut8IPZdoDEHqKUCNGi</t>
  </si>
  <si>
    <t>https://drive.google.com/file/d/1I5ycZPIt3uFhzazHnPlbP0u0aXV0UXZT/view?usp=drivesdk</t>
  </si>
  <si>
    <t>ช่วยงานทดสอบพิเศษ</t>
  </si>
  <si>
    <t>น.ท.หญิง ดร.ลักขณา พานิชสรรค์</t>
  </si>
  <si>
    <t>https://lh5.googleusercontent.com/d/1-szYcfPiK0tip1iklqd0lqX6BDfOWXS4</t>
  </si>
  <si>
    <t>https://drive.google.com/file/d/1vWIeA7NSuqPuP3eCMencTmhMn8BfwWDd/view?usp=drivesdk</t>
  </si>
  <si>
    <t>ซ้อมประสานเสียงงานพิธีมอบหมวกพยาบาลวิชาชีพ ปีการศึกษา 2568</t>
  </si>
  <si>
    <t>https://lh5.googleusercontent.com/d/1CvhFqpwDhhiW1_bsUWVMvQZcHsjZh5G3</t>
  </si>
  <si>
    <t>https://drive.google.com/file/d/1KvCiLPEs0qF2mAXqIznvcwBpFc8bkoFR/view?usp=drivesdk</t>
  </si>
  <si>
    <t>https://lh5.googleusercontent.com/d/1iHe_w7YdP5mykPXFLBA3A7m5todcq_DK</t>
  </si>
  <si>
    <t>https://drive.google.com/file/d/1NMH3_KuvmgQgqyRqpLE8FAu1cDyA_A_g/view?usp=drivesdk</t>
  </si>
  <si>
    <t>https://lh5.googleusercontent.com/d/1nrpVVs-U2wy3U9je5eZMkOJgJV51PV0C</t>
  </si>
  <si>
    <t>https://drive.google.com/file/d/1ONtIkuBaavByTDw-Zdh5a-fX_aHZq6-i/view?usp=drivesdk</t>
  </si>
  <si>
    <t>https://lh5.googleusercontent.com/d/1ZjFvaaNG7_2fAK2TluuBM46Rh8Za3Axp</t>
  </si>
  <si>
    <t>https://drive.google.com/file/d/1HNGY4RIOZHl3D2qE130Z9TCFWCXIjVI-/view?usp=drivesdk</t>
  </si>
  <si>
    <t>https://lh5.googleusercontent.com/d/1p2NgZAI2IIbk3MUU7dEFTq6Q__BAYUv7</t>
  </si>
  <si>
    <t>https://drive.google.com/file/d/1neMSG3z6bL6MJBG9CboAjnHTHWP5C3ik/view?usp=drivesdk</t>
  </si>
  <si>
    <t>https://lh5.googleusercontent.com/d/1oxAbLc_mZufunVRyXhny-s4vuMubIW1a</t>
  </si>
  <si>
    <t>https://drive.google.com/file/d/1CcM7cejAOO8j7WBsHy_n5y5wRpA4KYuT/view?usp=drivesdk</t>
  </si>
  <si>
    <t>1200 - 2000</t>
  </si>
  <si>
    <t>https://lh5.googleusercontent.com/d/1H3b2JqYPrCDZnzFi7Gb2lWYXeEYK8DNQ</t>
  </si>
  <si>
    <t>https://drive.google.com/file/d/15LuU8bu9NuJaBtGUn91oiKWdlP9XjQ6P/view?usp=drivesdk</t>
  </si>
  <si>
    <t>เก็บสถานที่สอนคัดเลือกนพอ.69</t>
  </si>
  <si>
    <t>https://lh5.googleusercontent.com/d/1I0CyJDMKnqlsBRvk1jATV9F3LCqiwHux</t>
  </si>
  <si>
    <t>https://drive.google.com/file/d/1fhvfeOv3yWEe2VjXtZ9sjS37I5BeIp3N/view?usp=drivesdk</t>
  </si>
  <si>
    <t>https://lh5.googleusercontent.com/d/1MDHHyiFmZXKnzz78YYL1aBGsizrMH3H8</t>
  </si>
  <si>
    <t>https://drive.google.com/file/d/1qzkmbRpfz1fmaUqDm5AX0YGHa__td0Qh/view?usp=drivesdk</t>
  </si>
  <si>
    <t xml:space="preserve">ทดสอบสมรรถภาพร่างกาย นพอ.69 </t>
  </si>
  <si>
    <t>https://lh5.googleusercontent.com/d/1jP7PHb_ae4NlQ1WmpIqnQrpmBvnbsI5G</t>
  </si>
  <si>
    <t>https://drive.google.com/file/d/11fKA91VjFMZunqAqkaM8ff7mvrJPTqHp/view?usp=drivesdk</t>
  </si>
  <si>
    <t>https://lh5.googleusercontent.com/d/1xObmFucL69gdJSQFQVOhD1qcmLBfCU1i</t>
  </si>
  <si>
    <t>https://drive.google.com/file/d/1N-cOiSZmLjXzSTU90GcJwiMnHLJe3sjz/view?usp=drivesdk</t>
  </si>
  <si>
    <t>https://lh5.googleusercontent.com/d/1ezxcegwsds2dCEvgGGnysTlA5HWkZI8v</t>
  </si>
  <si>
    <t>https://drive.google.com/file/d/1GnsCxQc7wIRxyDyjkjEg-MZ4X4pITufE/view?usp=drivesdk</t>
  </si>
  <si>
    <t>https://lh5.googleusercontent.com/d/1kSwWIJQmxCmMXYkfqWXRr3ok1Sod9UXD</t>
  </si>
  <si>
    <t>https://drive.google.com/file/d/1YAJ_W-ym_nItg9y_zdsAdfcngpAnNsa8/view?usp=drivesdk</t>
  </si>
  <si>
    <t>https://lh5.googleusercontent.com/d/1klJX95m9dWqxy5PWW6ewUeJW9v9HHvAx</t>
  </si>
  <si>
    <t>https://drive.google.com/file/d/1JK2waOUiBxKXF-BnIqGm77C36bxcyVjG/view?usp=drivesdk</t>
  </si>
  <si>
    <t>https://lh5.googleusercontent.com/d/1nyX3Cj96Mfa76OqTr1sepSiAOdxwRecC</t>
  </si>
  <si>
    <t>https://drive.google.com/file/d/1SWI1T4o4FS23VvXAbu3E-Zij9goCX6zr/view?usp=drivesdk</t>
  </si>
  <si>
    <t>https://drive.google.com/file/d/1hV8iqC0YFG8id8xgy2Ga_MFE2JcD8FNA/view?usp=drivesdk</t>
  </si>
  <si>
    <t>นพอ.(ช)ธนธัส แซ่ว่อง</t>
  </si>
  <si>
    <t>16.00-24.00</t>
  </si>
  <si>
    <t>https://lh5.googleusercontent.com/d/15dqt3Y9sjXesnh3V0qsINGv8etw5kXIl</t>
  </si>
  <si>
    <t>https://drive.google.com/file/d/1uc64SJzUiWiaAQDRqEHe-V8HBoJdmpfk/view?usp=drivesdk</t>
  </si>
  <si>
    <t>https://lh5.googleusercontent.com/d/123ioYwLWEg5FgllWQ8-ZZ2cbmBKcdnoO</t>
  </si>
  <si>
    <t>https://drive.google.com/file/d/1svZMYzriqglNG7ZeLgJ_UMI_TFr3O7xr/view?usp=drivesdk</t>
  </si>
  <si>
    <t>https://lh5.googleusercontent.com/d/1MMbs7ajgp6yMl_cA3E3UOzWAQJ5bpiVJ</t>
  </si>
  <si>
    <t>https://drive.google.com/file/d/1S5xgFjZ7H3o8AsNpIsX-QVAamBTlH-O2/view?usp=drivesdk</t>
  </si>
  <si>
    <t>เดินแบบเนื่องในวันกองทัพอากาศ2569</t>
  </si>
  <si>
    <t>อาคารรณนภากาศ</t>
  </si>
  <si>
    <t>https://lh5.googleusercontent.com/d/1IOlFCZ3j2adKkql8WiPO-8Wu_JN5Bv5m</t>
  </si>
  <si>
    <t>https://drive.google.com/file/d/1LoGmmUxqFQExnvA4ddNHjQliee6Xks5E/view?usp=drivesdk</t>
  </si>
  <si>
    <t>https://lh5.googleusercontent.com/d/1g6lykO5qSnVUulvsYeeSwy6RZ6N2wICX</t>
  </si>
  <si>
    <t>https://drive.google.com/file/d/1mmuE3DVoH8hnTVcRTbJhMgcfscAFniAs/view?usp=drivesdk</t>
  </si>
  <si>
    <t>อาคารรณภากาศ</t>
  </si>
  <si>
    <t>https://lh5.googleusercontent.com/d/1duFY4oW6T5F4MisL21mJKC-PnWmn7qyz</t>
  </si>
  <si>
    <t>https://drive.google.com/file/d/1xIEmMPb8wd0Oe5Rrs-1ivkAPA_bC9dCZ/view?usp=drivesdk</t>
  </si>
  <si>
    <t xml:space="preserve">ซ้อมเดินแบบเนื่องในวันกองทัพอากาศ 2569 </t>
  </si>
  <si>
    <t>https://lh5.googleusercontent.com/d/1KFMzXr8Q7TDv1AWXpP34Yfeoiu9qw0Qo</t>
  </si>
  <si>
    <t>https://drive.google.com/file/d/1D4iKdXirvLKo4xVucbFuacclKCLk5vww/view?usp=drivesdk</t>
  </si>
  <si>
    <t>1500-2000</t>
  </si>
  <si>
    <t>https://lh5.googleusercontent.com/d/15E66z8CrtytXMJ6nhgpT_H0HpSizjnpn</t>
  </si>
  <si>
    <t>https://drive.google.com/file/d/1E4Vmrewy2-XirzU874sRttPqVGZlfkMv/view?usp=drivesdk</t>
  </si>
  <si>
    <t>ซ้อมเดินแบบเนื่องในวันกองทัพอากาศ 2569</t>
  </si>
  <si>
    <t>https://lh5.googleusercontent.com/d/1U0Je_h7nRZtQ50TuQLGvMsf_yYRZ_XFe</t>
  </si>
  <si>
    <t>https://drive.google.com/file/d/1VAqhdeOxmi1YV2mPf6WjAcGVKiJ79f68/view?usp=drivesdk</t>
  </si>
  <si>
    <t>https://lh5.googleusercontent.com/d/1U_HgWC74-W8FJGUt3eTYNOsYOWtJWi_Z</t>
  </si>
  <si>
    <t>https://drive.google.com/file/d/1s7iLbxncjElML6by9s6RcH7pni8kZTEt/view?usp=drivesdk</t>
  </si>
  <si>
    <t>https://lh5.googleusercontent.com/d/1iaXOoSlvPdYgKEK6TrrrU9Nyan9-Y9mc</t>
  </si>
  <si>
    <t>https://drive.google.com/file/d/1dHse-QzfDXgoWgb7qaBjYIY9fPlhmX8B/view?usp=drivesdk</t>
  </si>
  <si>
    <t xml:space="preserve">อาครรณภากาศ </t>
  </si>
  <si>
    <t>1300-2000</t>
  </si>
  <si>
    <t>https://lh5.googleusercontent.com/d/161s1ea513L_lI4zmGNQ7XKzObdMUYOJb</t>
  </si>
  <si>
    <t>https://drive.google.com/file/d/1fxPnAFqP7RxzK5yehJjRPXJlnRakOoWd/view?usp=drivesdk</t>
  </si>
  <si>
    <t>https://lh5.googleusercontent.com/d/1KmRUBssfolDHdEq4T9A5eJg1_1y_wwgb</t>
  </si>
  <si>
    <t>https://drive.google.com/file/d/1kkIgRpE3qYzvsUC7avb-v4GyFADg7XXq/view?usp=drivesdk</t>
  </si>
  <si>
    <t>https://lh5.googleusercontent.com/d/1-Q0I-kfGBsm0FXj4XLjBaf6H4DAO9VDC</t>
  </si>
  <si>
    <t>https://drive.google.com/file/d/1S3ftKuE30f6iOWAXQDIy7b4o-GRjgYUp/view?usp=drivesdk</t>
  </si>
  <si>
    <t>เดินแบบเนื่องในวันกองทัพอากาศ 2569</t>
  </si>
  <si>
    <t>https://lh5.googleusercontent.com/d/1pwrMFDPaF_cha5VwaZ4G0WgrvVQjMpCE</t>
  </si>
  <si>
    <t>https://drive.google.com/file/d/1A0pRzeDktZMGr4x3pdeMNf_g1VaQb4B_/view?usp=drivesdk</t>
  </si>
  <si>
    <t>วันเด็กแห่งชาติ 2568</t>
  </si>
  <si>
    <t>https://lh5.googleusercontent.com/d/1804OQdd8JLi0Fm0bm6lr2GtAM6wO80VL</t>
  </si>
  <si>
    <t>https://drive.google.com/file/d/1C5OYlK8CVYB_LDTNnv2bc9DPlJTh_wUr/view?usp=drivesdk</t>
  </si>
  <si>
    <t>https://lh5.googleusercontent.com/d/1iSXS8b8zWueB1glruy1j79Ahj7qceH_O</t>
  </si>
  <si>
    <t>https://drive.google.com/file/d/1o40hUytV96geVFE1yl7-Xs_CU5fAufGN/view?usp=drivesdk</t>
  </si>
  <si>
    <t>https://lh5.googleusercontent.com/d/1UjBfXRD-5u6u7Sx01vlw9NvaqUaEE4P3</t>
  </si>
  <si>
    <t>https://drive.google.com/file/d/171ZOqkqGcTh_-4L-QTuGJ3IcW9l4Jwk6/view?usp=drivesdk</t>
  </si>
  <si>
    <t>https://lh5.googleusercontent.com/d/1Lh7DisozVixwwRrSvBnXAXUwtvgo7zgX</t>
  </si>
  <si>
    <t>https://drive.google.com/file/d/18aNEYaP1tIKTGBN2rI6Ieqi1bJHjcuqN/view?usp=drivesdk</t>
  </si>
  <si>
    <t>0730-0800</t>
  </si>
  <si>
    <t>https://lh5.googleusercontent.com/d/1ectly9BwGQKXWhAC50fHK7I-boGDjnmJ</t>
  </si>
  <si>
    <t>https://drive.google.com/file/d/15YoBsoysZfe-tIoUWHsKA0tE_QrpjIeJ/view?usp=drivesdk</t>
  </si>
  <si>
    <t>https://lh5.googleusercontent.com/d/1lXX3vJdvMD_V0C1axTE5aPbTz3hQD7N1</t>
  </si>
  <si>
    <t>https://drive.google.com/file/d/1WFnKgJkqIyvKuSVDSXEC3tA03435NUwX/view?usp=drivesdk</t>
  </si>
  <si>
    <t>เก็บสถานที่สอบคัดเลือกนพอ. 69</t>
  </si>
  <si>
    <t>https://lh5.googleusercontent.com/d/196GZY-1F-XJKV4XpVNpT_N6nkF8Yvpwh</t>
  </si>
  <si>
    <t>https://drive.google.com/file/d/14sTyK10KklAXkCGSc_GVsx8oKm9crT5W/view?usp=drivesdk</t>
  </si>
  <si>
    <t>https://lh5.googleusercontent.com/d/1R4_F8kbWj_cD2GAM6ggqhODMOE-m32zL</t>
  </si>
  <si>
    <t>https://drive.google.com/file/d/1RhzPVzA-hI5NB_C0G8f2pxitLIl7Bvmr/view?usp=drivesdk</t>
  </si>
  <si>
    <t>ซ้อมงานพิธีมอบหมวกพยาบาลวิชาชีพ ปีการศึกษา2568</t>
  </si>
  <si>
    <t>17.00-21.00</t>
  </si>
  <si>
    <t>https://lh5.googleusercontent.com/d/1fiH6gVhb2f12DWoXpv3kNsRRv8xkiGje</t>
  </si>
  <si>
    <t>https://drive.google.com/file/d/1nsWG3qVU65GOkJHU-Sh2C9INZdOm1v2-/view?usp=drivesdk</t>
  </si>
  <si>
    <t>6803382</t>
  </si>
  <si>
    <t>https://lh5.googleusercontent.com/d/1j9sWMrL7qhb1bPZRh6ne4naAZvSFyrNn</t>
  </si>
  <si>
    <t>https://drive.google.com/file/d/15vjxfIpcFTYwgMvE98CNciDu6QzZtcf5/view?usp=drivesdk</t>
  </si>
  <si>
    <t>https://lh5.googleusercontent.com/d/18DPSsgWfHXxGGZuoBoU78OhVDqRbzE-4</t>
  </si>
  <si>
    <t>https://drive.google.com/file/d/1pLYmROd-5rFh1_FLwskG0cwGpJY_-yAL/view?usp=drivesdk</t>
  </si>
  <si>
    <t>https://lh5.googleusercontent.com/d/18blsgPyb5Q1ZOb-hB0UwcJKHIb1v-Huj</t>
  </si>
  <si>
    <t>https://drive.google.com/file/d/1xcQqKnNW8QnpgU2HAhi6mnhZi8X3uypV/view?usp=drivesdk</t>
  </si>
  <si>
    <t>https://lh5.googleusercontent.com/d/1Kv62_HS2H06kJon26d6Mr4eMTUYaKFz0</t>
  </si>
  <si>
    <t>https://drive.google.com/file/d/1goVAjXAji_subElHr3a53irQejOZSJ8J/view?usp=drivesdk</t>
  </si>
  <si>
    <t>6803022</t>
  </si>
  <si>
    <t xml:space="preserve">นพอ.พินิษา อินทร์ศวร </t>
  </si>
  <si>
    <t>เก็บหินจัดสวน</t>
  </si>
  <si>
    <t>น.อ.หญิงนิตยา สุขแสน</t>
  </si>
  <si>
    <t>https://lh5.googleusercontent.com/d/1DAVUCdbL7wwxmrhJIdQ52wJBKi0VOsHb</t>
  </si>
  <si>
    <t>https://drive.google.com/file/d/1Ri2DlIyDVsYQQyVWO02FrPJZALjjNR3_/view?usp=drivesdk</t>
  </si>
  <si>
    <t>https://lh5.googleusercontent.com/d/1Ruuj-JvHcOeiRrqSeDXPJLzRcWTlehYM</t>
  </si>
  <si>
    <t>https://drive.google.com/file/d/1dJV7TOrX6__QHDjK3PvFc0aBDvRXUlhl/view?usp=drivesdk</t>
  </si>
  <si>
    <t>เก็บหิน</t>
  </si>
  <si>
    <t>https://lh5.googleusercontent.com/d/1Ybtbs37FuHELp0HuWD1yHrHfSJD_IYoi</t>
  </si>
  <si>
    <t>https://drive.google.com/file/d/1sn7N01imi2uz_TmS5eP4ZMRw470A8WwV/view?usp=drivesdk</t>
  </si>
  <si>
    <t>Green market</t>
  </si>
  <si>
    <t>08.00-17.00</t>
  </si>
  <si>
    <t>https://lh5.googleusercontent.com/d/1jeJzB2dR1z_0i960ESPKGjgeC4byeLEi</t>
  </si>
  <si>
    <t>https://drive.google.com/file/d/1NlzMZrww57Rnfqexl3VVOJKtTuXGbm9R/view?usp=drivesdk</t>
  </si>
  <si>
    <t>ถูบันได</t>
  </si>
  <si>
    <t>บ้านดาวลาย 286/6 ถนนพหลโยธิน 62 จ.ปทุมธานี</t>
  </si>
  <si>
    <t>https://lh5.googleusercontent.com/d/1qbs_BQGfQwSoAButLUNHOsLCHdIDXEHm</t>
  </si>
  <si>
    <t>https://drive.google.com/file/d/1VyPmM0wNUsUDbivTX2VTJcCyValbh63f/view?usp=drivesdk</t>
  </si>
  <si>
    <t>https://lh5.googleusercontent.com/d/1CxBo4ZdbWMXZJjKGyPaOMaFH23MSEfPX</t>
  </si>
  <si>
    <t>https://drive.google.com/file/d/1YftZ9mIYPllxSuB2MFxDtEy1eIiVodtH/view?usp=drivesdk</t>
  </si>
  <si>
    <t>Be Green market</t>
  </si>
  <si>
    <t>อาคารอเนกประสงค์ชาวฟ้า สโมสรทหารอากาศชั้นประทวน</t>
  </si>
  <si>
    <t>https://lh5.googleusercontent.com/d/1ini5SR5Wlxp9yqchg6AndRk97T8foX1T</t>
  </si>
  <si>
    <t>https://drive.google.com/file/d/1gIAv33CZZKDZ9UbTpCE09GKIIhcdSIQy/view?usp=drivesdk</t>
  </si>
  <si>
    <t>https://lh5.googleusercontent.com/d/1sK98xr3k-5UBhoAggnUdEa4M_sjaesNe</t>
  </si>
  <si>
    <t>https://drive.google.com/file/d/1yBw3-a9R5GyEXxznwdgwIIpG_X8v1DN0/view?usp=drivesdk</t>
  </si>
  <si>
    <t>https://lh5.googleusercontent.com/d/1PRVzzpZroJdtnvWz8aEA_x_FiEzohe-2</t>
  </si>
  <si>
    <t>https://drive.google.com/file/d/1zdC0vtdHodhvTkkuI0GqeiKUh0eA7CPO/view?usp=drivesdk</t>
  </si>
  <si>
    <t>พิธีฟังสารผู้บัญชาการทหารอากาศเนื่องใน“วันกองทัพอากาศ”ประจำปี2569</t>
  </si>
  <si>
    <t>https://lh5.googleusercontent.com/d/1rlrXT_1qbuidw4Hk-5r6rISv-D8qn34q</t>
  </si>
  <si>
    <t>https://drive.google.com/file/d/1t3QzSlfVeha7Nb_ZhnRIzLlwtsB8JC0-/view?usp=drivesdk</t>
  </si>
  <si>
    <t>https://lh5.googleusercontent.com/d/1z3NfVN0rFh3hfiiyfy2DQmR5bJPrahQw</t>
  </si>
  <si>
    <t>https://drive.google.com/file/d/13ak3w5VQdTE7mduMZyEszs3eARnbnlQJ/view?usp=drivesdk</t>
  </si>
  <si>
    <t>ร.อ อนุชิต ทำจะดี</t>
  </si>
  <si>
    <t>https://lh5.googleusercontent.com/d/173oWD4QhbP9nfUzZ1yA9w00X1cdlfs7U</t>
  </si>
  <si>
    <t>https://drive.google.com/file/d/1UQc4CMcwsNwNKSUn29hTkviosKz7b2qW/view?usp=drivesdk</t>
  </si>
  <si>
    <t>https://lh5.googleusercontent.com/d/1b0u0_AMMrl9FGkBRUVbdFBSZJHp9XbJS</t>
  </si>
  <si>
    <t>https://drive.google.com/file/d/12siZbS7TcWsryem8piOquhJL0geq-kM_/view?usp=drivesdk</t>
  </si>
  <si>
    <t>เก็บหินเพื่อจัดพื้นที่สวนหย่อม</t>
  </si>
  <si>
    <t>https://lh5.googleusercontent.com/d/1ysHb5r6NTyd-fZGhcwl02HFJuxBT-Exy</t>
  </si>
  <si>
    <t>https://drive.google.com/file/d/1-yYQZBj_tcjrJSTIfAuqJ6qEeVivfpDX/view?usp=drivesdk</t>
  </si>
  <si>
    <t>งานวันเด็กแห่งชาติ 2568</t>
  </si>
  <si>
    <t>https://lh5.googleusercontent.com/d/1EH99mmy6pEAC8h_V7yr96GKbLrVLxwah</t>
  </si>
  <si>
    <t>https://drive.google.com/file/d/1hhcKyQ4Y0DJ7ZCdJ_vVUH0bwcHB99xJV/view?usp=drivesdk</t>
  </si>
  <si>
    <t>https://lh5.googleusercontent.com/d/1UZpqZmZC1yX3EPGzbQZa56U8BGYMVPXi</t>
  </si>
  <si>
    <t>https://drive.google.com/file/d/1Hh-ZRT8WxMeoEge2eD716XxI2f1oajMo/view?usp=drivesdk</t>
  </si>
  <si>
    <t>https://lh5.googleusercontent.com/d/11-M3uf9yX2MTTaTzH7gq6lK76vDd9qFO</t>
  </si>
  <si>
    <t>https://drive.google.com/file/d/1YOn1U-CISkWDvUe6rkRpz66kbmx_4IAI/view?usp=drivesdk</t>
  </si>
  <si>
    <t>https://lh5.googleusercontent.com/d/1YGPCA9_Z1ICwGODrik6CuQioR26bAeiW</t>
  </si>
  <si>
    <t>https://drive.google.com/file/d/1DcNF9riwNYUK1Ol_bMYc1VjMuzYZKSqX/view?usp=drivesdk</t>
  </si>
  <si>
    <t>https://lh5.googleusercontent.com/d/17MOTr5f1tstDiPOMepcrTzBkGV7JivHS</t>
  </si>
  <si>
    <t>https://drive.google.com/file/d/1brXTfHzcQtx95N40IkVMSKeEOV23QVKt/view?usp=drivesdk</t>
  </si>
  <si>
    <t>กวาดลานวัดท่าหลวง</t>
  </si>
  <si>
    <t>วัดท่าหลวง จ.พิจิตร</t>
  </si>
  <si>
    <t>นางดาวรุ่ง กันฟัก</t>
  </si>
  <si>
    <t>https://lh5.googleusercontent.com/d/17P6GFVrR6kRULYzQQQwaQ7hCNCzFKf1c</t>
  </si>
  <si>
    <t>https://drive.google.com/file/d/1Ff0WhDLYdmU4_oLgZVci39_pxbBjIIo5/view?usp=drivesdk</t>
  </si>
  <si>
    <t>https://lh5.googleusercontent.com/d/1uBe-zDN0ydsISRXFx2JXw6jTRfWNh8nl</t>
  </si>
  <si>
    <t>https://drive.google.com/file/d/19jzuClkHKgUVDsgducEPoe7LQnXgfVHV/view?usp=drivesdk</t>
  </si>
  <si>
    <t>https://lh5.googleusercontent.com/d/1CMhCnhX40ocpCart-afNytzg7rel5T-L</t>
  </si>
  <si>
    <t>https://drive.google.com/file/d/1yZ-03GIYLUIdCuxKnYKH6tfUYdvSkKKe/view?usp=drivesdk</t>
  </si>
  <si>
    <t>นพอ.ปาลิดา ลือนาม</t>
  </si>
  <si>
    <t xml:space="preserve">น.ต. หญิง ขวัญ ชนก พ่วงนาคพันธุ์ </t>
  </si>
  <si>
    <t>https://lh5.googleusercontent.com/d/1nuYv4SkzxgEBUle7byAViAsskQ6EOmDf</t>
  </si>
  <si>
    <t>https://drive.google.com/file/d/1L4D-y48FYSxFqg-BYqJrNhp2RBRE1LL1/view?usp=drivesdk</t>
  </si>
  <si>
    <t>นพอ.ภัทรพร ม่วงแคล้ว</t>
  </si>
  <si>
    <t>https://lh5.googleusercontent.com/d/16q5_ErgFfqz3OMCALKbUmF2MKTRLBY7w</t>
  </si>
  <si>
    <t>https://drive.google.com/file/d/1x0WtdmFrrglPejNWTzl6Ip_hD8tCMjIm/view?usp=drivesdk</t>
  </si>
  <si>
    <t>https://lh5.googleusercontent.com/d/1M_QBPuIJI9sT51pZ_QD5f2EphubCxeqB</t>
  </si>
  <si>
    <t>นพอ.ฐิติณัฐดา แสนสุขเกษม</t>
  </si>
  <si>
    <t>เก็บหินขาวบริเวณรั้วข้างหอพัก</t>
  </si>
  <si>
    <t>https://lh5.googleusercontent.com/d/1MElDX4fxCHsqmag9tbHaLMk4zYh7CcT8</t>
  </si>
  <si>
    <t>https://drive.google.com/file/d/11q-Q5gsjwDZ0CJQrUwvej95SjV9jsXhy/view?usp=drivesdk</t>
  </si>
  <si>
    <t>https://lh5.googleusercontent.com/d/1PEV_hOfWTa5tR22GTsXXuRQckQyfyPZZ</t>
  </si>
  <si>
    <t>https://drive.google.com/file/d/1NnXApQZRmK1Fwxs5xUvIHXzS4293qcgA/view?usp=drivesdk</t>
  </si>
  <si>
    <t>งานพิธีมอบ หมวกพยาบาลวิชาชีพ ปีการศึกษา 2568</t>
  </si>
  <si>
    <t>หอประชุมธูปะเต มีย์ รพ.ภูมิพล</t>
  </si>
  <si>
    <t>https://lh5.googleusercontent.com/d/1bNwtm-4qK3VhPJd-ETLLFAxjkm02TSkA</t>
  </si>
  <si>
    <t>https://drive.google.com/file/d/1IPQx0zq49i_LV9hBu0WATiTqQ5etgjKv/view?usp=drivesdk</t>
  </si>
  <si>
    <t>ลานข้างหอพัก</t>
  </si>
  <si>
    <t>https://lh5.googleusercontent.com/d/1gLWKAtvmHnYg8xeMxdlbxZhjgO6keEge</t>
  </si>
  <si>
    <t>https://drive.google.com/file/d/1X0WwI8qGmNAzfIl_3R711D77zLE-LW-3/view?usp=drivesdk</t>
  </si>
  <si>
    <t>https://lh5.googleusercontent.com/d/1x8fSfYHBPVcOUCfmPs-et91owrtleg_d</t>
  </si>
  <si>
    <t>https://drive.google.com/file/d/1AWcBoLs01dCqDGNk6ueN4zH4JJef_3c-/view?usp=drivesdk</t>
  </si>
  <si>
    <t>https://lh5.googleusercontent.com/d/1mFHo8GMzSZO2dDde-LSiD_cCLRYG7NJ1</t>
  </si>
  <si>
    <t>https://drive.google.com/file/d/1Ihi8gqjeuoprAYAb8RTbQXuT43-aPyRb/view?usp=drivesdk</t>
  </si>
  <si>
    <t>https://lh5.googleusercontent.com/d/1_5WS3VFg0FPMtF9ArxjfzOvhYsScRgUw</t>
  </si>
  <si>
    <t>https://drive.google.com/file/d/18vX30DfhFIdKR5iBooYkUcroc06SIFYG/view?usp=drivesdk</t>
  </si>
  <si>
    <t xml:space="preserve">น.ต.ศักชัย บุญ ประสิทธิ์ </t>
  </si>
  <si>
    <t>https://drive.google.com/file/d/11P2bagfp8i4yOfEZGbs_Le9XWy581VLq/view?usp=drivesdk</t>
  </si>
  <si>
    <t>https://lh5.googleusercontent.com/d/1qcnejgPyJEhoItlYaqBXz3y6LKKFJbyH</t>
  </si>
  <si>
    <t>https://drive.google.com/file/d/1Dvp5gmIfH1hTxqOYNfMkhuve6HX6ODfQ/view?usp=drivesdk</t>
  </si>
  <si>
    <t>1500 - 1700</t>
  </si>
  <si>
    <t>https://lh5.googleusercontent.com/d/1GXUfjqNUF_rbQJ3IMv2lMM8RlfYWuqFd</t>
  </si>
  <si>
    <t>https://drive.google.com/file/d/1t-IHaVsYYM0T1ZxJdLTOQOGdWYPw9jKt/view?usp=drivesdk</t>
  </si>
  <si>
    <t>https://lh5.googleusercontent.com/d/1skOXusmg_6TTtNejhgBpjyMhg6kBA_Tt</t>
  </si>
  <si>
    <t>https://drive.google.com/file/d/16RHYOyAc36BwsZcbVNR7NZ9YWJP4WH-Z/view?usp=drivesdk</t>
  </si>
  <si>
    <t>https://lh5.googleusercontent.com/d/1LANj_8JS0veZTnMajR_v9t6Mx5FsrY8W</t>
  </si>
  <si>
    <t>https://drive.google.com/file/d/1vl6awoR0QfP-XXVskYtq1YCwX9L7hNia/view?usp=drivesdk</t>
  </si>
  <si>
    <t>https://lh5.googleusercontent.com/d/1FREZcCyULT6l_fy-A5eVri_RqSHUJD8E</t>
  </si>
  <si>
    <t>https://drive.google.com/file/d/1fGA3_G2VSb_c9GSHbaKeYMvjgJ2sWApj/view?usp=drivesdk</t>
  </si>
  <si>
    <t>https://lh5.googleusercontent.com/d/1DmqKs-KEGtlLMAsKEETKlQWbhqkgy5tV</t>
  </si>
  <si>
    <t>https://drive.google.com/file/d/1KZVTh__zL8Xqd-rTx6KBD5-NLgTypUEN/view?usp=drivesdk</t>
  </si>
  <si>
    <t>https://lh5.googleusercontent.com/d/13WD84IcxruxW4WChHb8m797hTdPyJnx0</t>
  </si>
  <si>
    <t>https://drive.google.com/file/d/1dVJ8TJ1LTds4VAJ89qBYnU1dRra1M0uo/view?usp=drivesdk</t>
  </si>
  <si>
    <t>https://lh5.googleusercontent.com/d/1a1QC6pgOxIEz3gg606hmuxuTCCEWi4By</t>
  </si>
  <si>
    <t>https://drive.google.com/file/d/1ljFvEbdzRL0pcrGwvBF87q5Z0hj6pK7x/view?usp=drivesdk</t>
  </si>
  <si>
    <t>https://lh5.googleusercontent.com/d/10WzG06UeXUGjVKaHFBuHd-uSN7Uc6_9F</t>
  </si>
  <si>
    <t>https://drive.google.com/file/d/1Mtrw5D3SB-4_FcU1JhD62wAULwEM-AAT/view?usp=drivesdk</t>
  </si>
  <si>
    <t>https://lh5.googleusercontent.com/d/1Wd7vWHwZPjplfA-QwC7u-NwvFXEqjFiG</t>
  </si>
  <si>
    <t>https://drive.google.com/file/d/1sBpAzr7Y9lXIc1MfFevJKDSYzUEvJOkP/view?usp=drivesdk</t>
  </si>
  <si>
    <t>ซักผ้า</t>
  </si>
  <si>
    <t>https://lh5.googleusercontent.com/d/1mbmlZVyrnn1-Vss9QAImq3jjPwhVGVap</t>
  </si>
  <si>
    <t>https://drive.google.com/file/d/1k4Y_Ja6-QeThdXTgZZITtQE6w4QhmenT/view?usp=drivesdk</t>
  </si>
  <si>
    <t>https://lh5.googleusercontent.com/d/13PFYSMy8w4trOef9riye3zWtqZT8rC_f</t>
  </si>
  <si>
    <t>https://drive.google.com/file/d/1UBe9e8-ubZL4Xds9xYfzRT8IJ_BoCk20/view?usp=drivesdk</t>
  </si>
  <si>
    <t>น.ต. หญิง ขวัญ ชนก พ่วงนาคพันธุ์</t>
  </si>
  <si>
    <t>https://lh5.googleusercontent.com/d/1tXjuyVvu6_tn2ZtPMddk1snWAcK3099_</t>
  </si>
  <si>
    <t>https://drive.google.com/file/d/1OfcnU0XfRVaRxYBIBB4J0_FzZBXeQBmK/view?usp=drivesdk</t>
  </si>
  <si>
    <t>https://lh5.googleusercontent.com/d/1AF4MuANSC3UPGbwkx86Ednt3qD7EqU13</t>
  </si>
  <si>
    <t>https://drive.google.com/file/d/1f2Q09khQqcofgmz0MLwIkC0hzwJtcGgz/view?usp=drivesdk</t>
  </si>
  <si>
    <t>https://lh5.googleusercontent.com/d/1ZVEv3CEi2vbDv1u7cf3ztWF0lSqzOZVr</t>
  </si>
  <si>
    <t>https://drive.google.com/file/d/1Ni2p-A1ZuiY1HYlEEjQJ2QjnDgZoDA_z/view?usp=drivesdk</t>
  </si>
  <si>
    <t>นายเนติกรณ์ ปลื้มจิตร์</t>
  </si>
  <si>
    <t>https://lh5.googleusercontent.com/d/1VkexFo1N9wSfbQK_w0AFIOJ1RBDRd7mG</t>
  </si>
  <si>
    <t>https://drive.google.com/file/d/10V5M7wHBgokpNXDIcMRQZ_DmJSNLJX3M/view?usp=drivesdk</t>
  </si>
  <si>
    <t>https://lh5.googleusercontent.com/d/1K1XnM6OUzqBKDbE7HiiQn1292zuCh8nq</t>
  </si>
  <si>
    <t>https://drive.google.com/file/d/1NIU33jZBcYFpx94UpytW1tsR-bUZ_yIi/view?usp=drivesdk</t>
  </si>
  <si>
    <t>เก็บสถานที่สอบคัดเลือกนพอ.6</t>
  </si>
  <si>
    <t>https://lh5.googleusercontent.com/d/1vNKIrJV4iaZdMza04V8oab9wZFSdmKNY</t>
  </si>
  <si>
    <t>https://drive.google.com/file/d/13Da43uBwAq1CSXfRmIsm3BS0rDKq8jHL/view?usp=drivesdk</t>
  </si>
  <si>
    <t>แข่งขัน Women Thailand Cyber Top Talent 2025</t>
  </si>
  <si>
    <t>บ้านนพอ.</t>
  </si>
  <si>
    <t>https://lh5.googleusercontent.com/d/1B_Ecr2szaYlbzHm0sb4DE74klA34wG6y</t>
  </si>
  <si>
    <t>https://drive.google.com/file/d/1DOIpK35IVGTMlgiDyzqQVZFpG7mund4t/view?usp=drivesdk</t>
  </si>
  <si>
    <t>https://lh5.googleusercontent.com/d/11dZvMyMwsz4stFr8hiJO_V4XyEe5MY_x</t>
  </si>
  <si>
    <t>https://drive.google.com/file/d/1b2jQ1YFkYOLbS-a_18cGFj01iz4t-DEH/view?usp=drivesdk</t>
  </si>
  <si>
    <t>1700 - 2100</t>
  </si>
  <si>
    <t>https://lh5.googleusercontent.com/d/1qF0q7j86O3MIJBYgaOy5cLdHRh4yRv_T</t>
  </si>
  <si>
    <t>https://drive.google.com/file/d/1LAnTNN926Mq5CJ-G6MDNuVgwZOAjukxG/view?usp=drivesdk</t>
  </si>
  <si>
    <t>นพอ.สุพิชชา เชื้อชาติ</t>
  </si>
  <si>
    <t>ซ้อมเดินแบบงานวันกองทัพอากาศ 2569</t>
  </si>
  <si>
    <t>https://lh5.googleusercontent.com/d/1tLqQ3_RjLri5gvN0i_O0ilbplb_ZpkAc</t>
  </si>
  <si>
    <t>https://drive.google.com/file/d/1GW88841ifRp55DGgRltrzAzjaYkK6pFN/view?usp=drivesdk</t>
  </si>
  <si>
    <t>https://lh5.googleusercontent.com/d/1vmYEs20JR1qT3s6Q8HAzcbH3iyvf-5T5</t>
  </si>
  <si>
    <t>https://drive.google.com/file/d/1KChrsVTwYzQq3chcFv9qlG-iLKRcjjbi/view?usp=drivesdk</t>
  </si>
  <si>
    <t>https://lh5.googleusercontent.com/d/1fa2-LRUlCzWcxAYmelyndJPNTFUHfmcK</t>
  </si>
  <si>
    <t>https://drive.google.com/file/d/1RifOz9FSU72zuEEccxUa2IU-tqZsgAUw/view?usp=drivesdk</t>
  </si>
  <si>
    <t>https://lh5.googleusercontent.com/d/1wvtTLnhHozYRxSFKMoPymtAlZ7AbU--7</t>
  </si>
  <si>
    <t>https://drive.google.com/file/d/1Sp-2O5ccX8A_vITAGXDvyYh3J-BGgZR-/view?usp=drivesdk</t>
  </si>
  <si>
    <t>1810</t>
  </si>
  <si>
    <t>ทัชชกร แสนสุขเกษม</t>
  </si>
  <si>
    <t>https://lh5.googleusercontent.com/d/1IrVyQFpP9u7TNM_Rofo3asPZW3GHqEGa</t>
  </si>
  <si>
    <t>https://drive.google.com/file/d/1mXWLcsbdSipLyBlD_Wi7qJSfjXkSo5kM/view?usp=drivesdk</t>
  </si>
  <si>
    <t>https://lh5.googleusercontent.com/d/1JfJflMLW3L6xBHKib0aD51zt4jWSqZ4X</t>
  </si>
  <si>
    <t>https://drive.google.com/file/d/11InRCLrn72v8RQNFBmbpG920rnuiNWSH/view?usp=drivesdk</t>
  </si>
  <si>
    <t>https://lh5.googleusercontent.com/d/1wsATfFhtVSdGZeh9av34yfOR5TXd0lLB</t>
  </si>
  <si>
    <t>https://drive.google.com/file/d/1rk_x9IgewEpDjRr4qrBhPej73WucUMuM/view?usp=drivesdk</t>
  </si>
  <si>
    <t>สโมสรนายทหารชั้นประทวน</t>
  </si>
  <si>
    <t>https://lh5.googleusercontent.com/d/1VIzivBG1oZt1gr04SxodTKTITd6xyoTQ</t>
  </si>
  <si>
    <t>https://drive.google.com/file/d/1DK1ZRr1_VWeN1wcQobVuVNWech_PV-C-/view?usp=drivesdk</t>
  </si>
  <si>
    <t>15-1700</t>
  </si>
  <si>
    <t>https://lh5.googleusercontent.com/d/1ZqZdlQsrfXJshzIhf2JO_BdJt-X_SbVI</t>
  </si>
  <si>
    <t>https://drive.google.com/file/d/10Y-EjgJGiNjztLm1yvGIxmTJmc8olHLL/view?usp=drivesdk</t>
  </si>
  <si>
    <t>https://lh5.googleusercontent.com/d/1K9MgyV8AwZSEn4uEBN-hC8IrnaAu_jRi</t>
  </si>
  <si>
    <t>https://drive.google.com/file/d/1EhVoofQwlLjH765EBJ0cthhOx_IlZtx_/view?usp=drivesdk</t>
  </si>
  <si>
    <t xml:space="preserve">งาน Green market </t>
  </si>
  <si>
    <t>ร.อ. ฤทธิพล อ้วนสิงห์</t>
  </si>
  <si>
    <t>https://lh5.googleusercontent.com/d/1KDsvAJ-5MIG_iahU-5Sj7QJAHFEGxUxd</t>
  </si>
  <si>
    <t>https://drive.google.com/file/d/1aWLEbTY74J0G2j20cozg-YTPRqjSOHhY/view?usp=drivesdk</t>
  </si>
  <si>
    <t>https://lh5.googleusercontent.com/d/1N6Tv57aLlNUY-iYPHSizbyDI95pz_L56</t>
  </si>
  <si>
    <t>https://drive.google.com/file/d/1sE3Vr2O3MxZFFhPqVQ5MR5fkbq5NhnED/view?usp=drivesdk</t>
  </si>
  <si>
    <t>https://lh5.googleusercontent.com/d/1uWiMObObhNTmilHFISLFYshvwHkzoKVn</t>
  </si>
  <si>
    <t>https://drive.google.com/file/d/1PQZTvwlp9zSC0dEL6rckNZbol21dxSSF/view?usp=drivesdk</t>
  </si>
  <si>
    <t>6903938</t>
  </si>
  <si>
    <t>https://lh5.googleusercontent.com/d/19ULgwfKjnScDvCp8Phs4iOfcu5W7XxaX</t>
  </si>
  <si>
    <t>https://drive.google.com/file/d/1lsV0Pjd0be3ABWgOEwH0Bu5gpY8SItYX/view?usp=drivesdk</t>
  </si>
  <si>
    <t>https://lh5.googleusercontent.com/d/1P4NG2mQH4CJ2nWOX8T2xeaEmbqT91XS-</t>
  </si>
  <si>
    <t>https://drive.google.com/file/d/1idaHHxI6kjVPvh-wQNXW09Vvg3Fm3A0m/view?usp=drivesdk</t>
  </si>
  <si>
    <t>https://lh5.googleusercontent.com/d/16Pvd-qmX353-DZVFIhBBN-kMJvoeTVd8</t>
  </si>
  <si>
    <t>https://drive.google.com/file/d/1x4IrJng-M0nTKi8xOQxCVmBD_7gcW_e9/view?usp=drivesdk</t>
  </si>
  <si>
    <t>https://lh5.googleusercontent.com/d/1qM8CPbTRcVKOTE78KD7Kr5LBlfqJ2kRM</t>
  </si>
  <si>
    <t>https://drive.google.com/file/d/1DV2aSXkeMdihYN5iQ-pqsFvaxUH39gzw/view?usp=drivesdk</t>
  </si>
  <si>
    <t>1500 - 2100</t>
  </si>
  <si>
    <t>https://lh5.googleusercontent.com/d/1wRzqhgH0Zvl9UryE1YRDR0hDHEvWZzFX</t>
  </si>
  <si>
    <t>https://drive.google.com/file/d/1m7Zip2iqzKohcp8upZfgVP3Ml1_A0DsW/view?usp=drivesdk</t>
  </si>
  <si>
    <t>https://lh5.googleusercontent.com/d/1vo54lsnYlOmQcmifK8ts6frVASSOyL9Q</t>
  </si>
  <si>
    <t>https://drive.google.com/file/d/1aOAVoO2RbDH-mngk6uyY70Z5-mXgrUX0/view?usp=drivesdk</t>
  </si>
  <si>
    <t>https://lh5.googleusercontent.com/d/1b0QL97yg168bgftohS4erMvp71NS82Rz</t>
  </si>
  <si>
    <t>https://drive.google.com/file/d/1jhWA9Sl6WvgsnRuEwU243DT-Agp5sZnh/view?usp=drivesdk</t>
  </si>
  <si>
    <t>https://lh5.googleusercontent.com/d/1m5igMs2hc6iIqXYLeGpCpP5uabc_9qLN</t>
  </si>
  <si>
    <t>https://drive.google.com/file/d/1fZ97MzQXRyqeCYNLV1cB6577t4SSEruE/view?usp=drivesdk</t>
  </si>
  <si>
    <t>เก็บขวดของเก่าภายในบ้าน</t>
  </si>
  <si>
    <t>https://lh5.googleusercontent.com/d/1VEPoFxHGcrR3QQupKhTO-e9TINW6WXRC</t>
  </si>
  <si>
    <t>https://drive.google.com/file/d/15-nHOhRoJnTF8F50CFWVGyLY95F1Bo3c/view?usp=drivesdk</t>
  </si>
  <si>
    <t>https://lh5.googleusercontent.com/d/1LwejdbacH_vlnYCUms1nI1WVty4VhCXU</t>
  </si>
  <si>
    <t>https://drive.google.com/file/d/1mz8EKZin4m3DbioY-WLrwUPAe3gd1DQw/view?usp=drivesdk</t>
  </si>
  <si>
    <t>https://lh5.googleusercontent.com/d/1iAwCSwwT1_iYroowa97qP6AKAV97pYmO</t>
  </si>
  <si>
    <t>https://drive.google.com/file/d/1aankexZaXeFX_6q9u7x7NQD5MGM5boIv/view?usp=drivesdk</t>
  </si>
  <si>
    <t>https://lh5.googleusercontent.com/d/1YuA933-fvEe4YC7geuXA7YGxAct5J9s3</t>
  </si>
  <si>
    <t>https://drive.google.com/file/d/19im_0VsqTyV0wVcXG8p7zMjhFqTKvYQp/view?usp=drivesdk</t>
  </si>
  <si>
    <t>https://lh5.googleusercontent.com/d/14Ob0QE3NwPvXKo6pw5k-71NxfpHiHJAD</t>
  </si>
  <si>
    <t>https://drive.google.com/file/d/1aEG8zpb5zWIP-TLOEd2sF6lG2PbdxqCU/view?usp=drivesdk</t>
  </si>
  <si>
    <t>เดินแบบงานวันกองทัพอากาศ 2569</t>
  </si>
  <si>
    <t>https://lh5.googleusercontent.com/d/1Q3VnQLNWx6vcPTHZgdSHekffS3VW2mFu</t>
  </si>
  <si>
    <t>https://drive.google.com/file/d/1P69qxKzFa_eajFx6yk7hoxsp5VNT3dg_/view?usp=drivesdk</t>
  </si>
  <si>
    <t>กวาดศาลาวัดคลองคะเชนทร์</t>
  </si>
  <si>
    <t>วัดคลองคะเชนทร์ จ.พิจิตร</t>
  </si>
  <si>
    <t>https://lh5.googleusercontent.com/d/1GrGTvcZQQa46VI2CSi6c7WsNL6D4_lDH</t>
  </si>
  <si>
    <t>https://drive.google.com/file/d/1idgrsw2dKzXbmGLSwMguW3ypCxPIfBgF/view?usp=drivesdk</t>
  </si>
  <si>
    <t>https://lh5.googleusercontent.com/d/1bmrm05gDCmfB-gV904RMXqqADatAfwRT</t>
  </si>
  <si>
    <t>https://drive.google.com/file/d/1a2jzkMzRBAKbHrGnhWWMGr0oG6XLD5BY/view?usp=drivesdk</t>
  </si>
  <si>
    <t>https://lh5.googleusercontent.com/d/10rpenbfhP2lEK7yjFzJUiHSekBMZtFYM</t>
  </si>
  <si>
    <t>https://drive.google.com/file/d/13WiTIMhD1JtWZE_I8L-t2vmVJPXT5eC6/view?usp=drivesdk</t>
  </si>
  <si>
    <t xml:space="preserve">กองบิน 6 </t>
  </si>
  <si>
    <t>https://lh5.googleusercontent.com/d/1rAYwZurVYtcRXlw7T6yBR8FYDmD81UXI</t>
  </si>
  <si>
    <t>https://drive.google.com/file/d/1bbHgReJGaIA5Kptf02t1jgAmONiwNZ7Z/view?usp=drivesdk</t>
  </si>
  <si>
    <t>https://lh5.googleusercontent.com/d/1NjqGsldiaALLVfknAiaMmO1t6isi_QUX</t>
  </si>
  <si>
    <t>https://drive.google.com/file/d/1pqtABuI6qaJnVoLbkfIvYT4oc7ClzpiX/view?usp=drivesdk</t>
  </si>
  <si>
    <t>https://lh5.googleusercontent.com/d/10CjYOK4Mny64kdgcGRGzcTNRLTr1woMs</t>
  </si>
  <si>
    <t>https://lh5.googleusercontent.com/d/1pCGgZD_9OBhnhJpmSRQ7IXFlvB-JlHPL</t>
  </si>
  <si>
    <t>https://drive.google.com/file/d/1Bd_H27mqp9Wox_QqNcgzJQadbJqPGy91/view?usp=drivesdk</t>
  </si>
  <si>
    <t>น.อ. หญิง นิตยา สุขแสน</t>
  </si>
  <si>
    <t>https://lh5.googleusercontent.com/d/1MqHLfjGLi9kbQpXWsuRdj3S9zUvFrZEN</t>
  </si>
  <si>
    <t>https://drive.google.com/file/d/1wIqntjOzGU7z9xTCftgBGU_Er1BRlIKe/view?usp=drivesdk</t>
  </si>
  <si>
    <t>https://lh5.googleusercontent.com/d/1qj5JAjB8GyPx-lYUZxsIGUwEdwFoiMTG</t>
  </si>
  <si>
    <t>https://drive.google.com/file/d/1PEDiuM7lUbtKiCfVWnofJfGv3DZSGe2b/view?usp=drivesdk</t>
  </si>
  <si>
    <t>https://lh5.googleusercontent.com/d/1vKfqVg0fhrrAz9XvmsrsmFEhylanRQjN</t>
  </si>
  <si>
    <t>https://drive.google.com/file/d/1nSmJ6uSWnOQhyLOIhABI_aa1gXd6wPTY/view?usp=drivesdk</t>
  </si>
  <si>
    <t>กวาดอุโบสถ</t>
  </si>
  <si>
    <t>วัดสุบรรณนิมิตร</t>
  </si>
  <si>
    <t>นางสุพิศ บุญรัตน์</t>
  </si>
  <si>
    <t>https://lh5.googleusercontent.com/d/1rU3faAT9NYNUUomawTFw7eT5jb5P0IzV</t>
  </si>
  <si>
    <t>https://drive.google.com/file/d/1r-4f8N98EINxml3X3bgyWzcL_3lWETe_/view?usp=drivesdk</t>
  </si>
  <si>
    <t>https://lh5.googleusercontent.com/d/14qH1H3KlOxf1wfTFtXRQRpTvmse9sPt0</t>
  </si>
  <si>
    <t>https://drive.google.com/file/d/1IUwGx-LlrklW_gLjle9GZBIes9xs-P9c/view?usp=drivesdk</t>
  </si>
  <si>
    <t>เล่นดนตรี งานGreen market</t>
  </si>
  <si>
    <t>หอประชุมสโมสรนายทหารชั้นประทวน</t>
  </si>
  <si>
    <t>https://lh5.googleusercontent.com/d/1nIfo2FiVHxgV6VjOSImz-Xt8wpRaBoTY</t>
  </si>
  <si>
    <t>https://drive.google.com/file/d/1d4Kz8mbk7pzwNpCy9fTRgv0SUHuJ1idA/view?usp=drivesdk</t>
  </si>
  <si>
    <t>https://lh5.googleusercontent.com/d/1T27IpLGDUTPweArfA8aaXxTc4dohZKcR</t>
  </si>
  <si>
    <t>https://drive.google.com/file/d/16VhCbzmquux9-rSYX-GxxfjxIhIjAegQ/view?usp=drivesdk</t>
  </si>
  <si>
    <t>https://lh5.googleusercontent.com/d/13XKFjNc9MeRhoQ-cZEYdAqdvwEW50IGd</t>
  </si>
  <si>
    <t>https://drive.google.com/file/d/1Y-35lKoKHLNuJ5BBvUag0uovPKFcdDVl/view?usp=drivesdk</t>
  </si>
  <si>
    <t>https://lh5.googleusercontent.com/d/17tktujrzSVoxkOsEjYJzoESQuvFSSayE</t>
  </si>
  <si>
    <t>https://drive.google.com/file/d/1Oe3Nomi1YIz9225G5PJbgya0Nc6yGMHI/view?usp=drivesdk</t>
  </si>
  <si>
    <t>https://lh5.googleusercontent.com/d/19Wipll4TDb093Q-xGtKCmCB2wTR-Y-GC</t>
  </si>
  <si>
    <t>https://drive.google.com/file/d/1AAs55PpcBFydGUa3MPZDMYWg8eoP0MVJ/view?usp=drivesdk</t>
  </si>
  <si>
    <t>https://lh5.googleusercontent.com/d/1CUqEfA5hSVbQ7Nm0zm6I_5r7V0X2sEVg</t>
  </si>
  <si>
    <t>https://drive.google.com/file/d/1_JMIXnxxPfbymOXVtqvjoguFtA0wLlJs/view?usp=drivesdk</t>
  </si>
  <si>
    <t>https://lh5.googleusercontent.com/d/1KvOAo6FWoS0-wede8vekakwfPxvbZQRp</t>
  </si>
  <si>
    <t>https://drive.google.com/file/d/1qWHP2GFRB468kBpbqbbp_EMoms_Z2c4V/view?usp=drivesdk</t>
  </si>
  <si>
    <t>https://lh5.googleusercontent.com/d/1p5YKLagmS7tijmUqKLj4aSQmRxPcQWCk</t>
  </si>
  <si>
    <t>https://drive.google.com/file/d/1WlTL4u5XGybAJvAtTjyPM0t4xyfFCdet/view?usp=drivesdk</t>
  </si>
  <si>
    <t>https://lh5.googleusercontent.com/d/1zJIuB9TbxDq9LwCkn-Qh3NzIze4IrZO0</t>
  </si>
  <si>
    <t>https://drive.google.com/file/d/1TOGbciHaaxLfiClivT4DzeD1OzBBKMVV/view?usp=drivesdk</t>
  </si>
  <si>
    <t>https://lh5.googleusercontent.com/d/1ow85lzaYyDv_6ez3lptBoueWOhd3yBiB</t>
  </si>
  <si>
    <t>https://drive.google.com/file/d/1RgCdhSWx9mC1pkKvjcM9QM8vq0QNrT_F/view?usp=drivesdk</t>
  </si>
  <si>
    <t>https://lh5.googleusercontent.com/d/1V73eCsHniyY38NJ4IhYvtSdUHeRfgKT2</t>
  </si>
  <si>
    <t>https://drive.google.com/file/d/1Kq05i2uNMjClaB38OFHguRNiiboL7kWf/view?usp=drivesdk</t>
  </si>
  <si>
    <t>https://lh5.googleusercontent.com/d/16JGBjtipAfpCRsC8xrDvOtURZUjlNKX-</t>
  </si>
  <si>
    <t>https://drive.google.com/file/d/1CvHIAkQzQ8AyS0T5V6bE54UeOqxHFfXW/view?usp=drivesdk</t>
  </si>
  <si>
    <t>https://lh5.googleusercontent.com/d/1OcW33k8ZxG7NDcmnSSOrptcuKKNlkTIj</t>
  </si>
  <si>
    <t>https://drive.google.com/file/d/1WH7xImY4aB1pLCEtyIf2ZmQhZsyS8XNR/view?usp=drivesdk</t>
  </si>
  <si>
    <t>โรงพยาบาลจุฬาลงกรณ์ สภากาชาดไทย</t>
  </si>
  <si>
    <t>https://lh5.googleusercontent.com/d/1VdhaN16_kmWNPby1xuc0Z4HFDyopGHyF</t>
  </si>
  <si>
    <t>https://drive.google.com/file/d/1BMnRHetrnb4KQ0EmXR6Bs7b56dvs7TR_/view?usp=drivesdk</t>
  </si>
  <si>
    <t>https://lh5.googleusercontent.com/d/1eQpfXmODwY04XDeLMX9PyxnoG9J9ZSyt</t>
  </si>
  <si>
    <t>https://drive.google.com/file/d/180LLEXqE0C3WcPNXhZS-P51XzKzSCB_y/view?usp=drivesdk</t>
  </si>
  <si>
    <t>https://lh5.googleusercontent.com/d/1KbPUpyDNYeA6_A8KgjgIxEM0uWJwb54v</t>
  </si>
  <si>
    <t>https://drive.google.com/file/d/18TU9BZWn5vu7R3O3qC9ipAup3fkqqXuE/view?usp=drivesdk</t>
  </si>
  <si>
    <t>https://lh5.googleusercontent.com/d/17hfZ5PkdJu_40sZSB_baskW_wHeVRkjn</t>
  </si>
  <si>
    <t>https://drive.google.com/file/d/1lUEwKn0u81j8xtQZZNHJKNgvH-YT6Jtt/view?usp=drivesdk</t>
  </si>
  <si>
    <t>https://lh5.googleusercontent.com/d/16uSTgTdlvzTI0Ca5UAyQs0x-2u70BUWz</t>
  </si>
  <si>
    <t>https://drive.google.com/file/d/1g443WE-GCO7sdCNObf4fhJ2eJDZhTFMX/view?usp=drivesdk</t>
  </si>
  <si>
    <t>https://lh5.googleusercontent.com/d/1g4BAzY6MliJiAecUNJ9Rx6GoZ8-SUXX4</t>
  </si>
  <si>
    <t>https://drive.google.com/file/d/1rQ4urrT_Q-beh1m9OcXh1QLza9q--znJ/view?usp=drivesdk</t>
  </si>
  <si>
    <t>https://lh5.googleusercontent.com/d/1C5RVnWVELFSfVZPcD732-rFp3KHTEWmF</t>
  </si>
  <si>
    <t>https://drive.google.com/file/d/1o5LO45HA51tAldRA5QSIOA5JC_N4r7HW/view?usp=drivesdk</t>
  </si>
  <si>
    <t>https://lh5.googleusercontent.com/d/1edctAb6-hNmTdlbhBIII69dZsDKXxH_H</t>
  </si>
  <si>
    <t>https://drive.google.com/file/d/1ELH9a8lkdQjcrgnuiuSFQAY1DM3q-pcg/view?usp=drivesdk</t>
  </si>
  <si>
    <t xml:space="preserve"> ณ อาคารอเนกประสงค์ชาวฟ้า สโมสรทหารอากาศชั้นประทวน</t>
  </si>
  <si>
    <t>https://lh5.googleusercontent.com/d/1i9Eq-R7V8Ygmd-EgtsYF94cYyinfe6YQ</t>
  </si>
  <si>
    <t>https://drive.google.com/file/d/10TzAIB5JwxIX5pOaxvqvquY_AuFCGEHW/view?usp=drivesdk</t>
  </si>
  <si>
    <t>ทำบุญไหว้พระ</t>
  </si>
  <si>
    <t>นางสุวรรณี วงษ์ศรีสังข์</t>
  </si>
  <si>
    <t>https://lh5.googleusercontent.com/d/1V6RqE4lRA75_SPmPGC_0R1HhLi6fa--O</t>
  </si>
  <si>
    <t>https://drive.google.com/file/d/1Yp6whLvVhmUZmbyJ7d5H3XrszqPacGFR/view?usp=drivesdk</t>
  </si>
  <si>
    <t>นภัสสร บุญรัตน์</t>
  </si>
  <si>
    <t>กวาดศาลาพระ</t>
  </si>
  <si>
    <t>https://lh5.googleusercontent.com/d/1qKa4aDQFNzzh9Q-JfPLZbCY84yLNUX35</t>
  </si>
  <si>
    <t>https://drive.google.com/file/d/18ZWKGDQYdfOuu1ZbRViPAeRFs_oLtjpC/view?usp=drivesdk</t>
  </si>
  <si>
    <t>https://lh5.googleusercontent.com/d/1mkUrW-MGHj-smz_2jTRri_hUGJxdp4GL</t>
  </si>
  <si>
    <t>https://drive.google.com/file/d/1A4zKC8T_UbOTUJEwaLrxCwOsHavq81i1/view?usp=drivesdk</t>
  </si>
  <si>
    <t>https://lh5.googleusercontent.com/d/1MhzpExeDRGfEQ0vF2Hwq01UgbecGS_nj</t>
  </si>
  <si>
    <t>https://drive.google.com/file/d/1aYVMFZ923_stFwdBFKwlePAAKTMEvf94/view?usp=drivesdk</t>
  </si>
  <si>
    <t>https://lh5.googleusercontent.com/d/1D5JBKhCWXQohNnejEAlAhyNDuxDOpqtt</t>
  </si>
  <si>
    <t>https://drive.google.com/file/d/15erAajGT7wbhQ8MOkV9u9_7_0zpFR6s9/view?usp=drivesdk</t>
  </si>
  <si>
    <t>เดินแบบเนื่องในวันกองทัพอากาศ</t>
  </si>
  <si>
    <t>https://lh5.googleusercontent.com/d/1oJQLkxajA8ALxEktFgy_uqF868Q5xF8J</t>
  </si>
  <si>
    <t>https://drive.google.com/file/d/1eQk8Mu2FWEVynoeoDryv0DTiKNcwrm9S/view?usp=drivesdk</t>
  </si>
  <si>
    <t>1300-1900</t>
  </si>
  <si>
    <t>https://lh5.googleusercontent.com/d/1shPAsMeVwAGEWKchDM-olj0PvPPhLJJL</t>
  </si>
  <si>
    <t>https://drive.google.com/file/d/1WnxgPuqY8xI_XQMRAq10C6por-me4ZpF/view?usp=drivesdk</t>
  </si>
  <si>
    <t>https://lh5.googleusercontent.com/d/1kj6SEXXoP7uBoL2qcfhmktX_NQmUCw3o</t>
  </si>
  <si>
    <t>https://drive.google.com/file/d/1YZTpTDqPfDmIE38O7fbjQ6pOzwV2Aw5o/view?usp=drivesdk</t>
  </si>
  <si>
    <t>ช่วยพับหมวกและทำของขวัญงานวันเด็ก</t>
  </si>
  <si>
    <t>11.00-12.00</t>
  </si>
  <si>
    <t>https://lh5.googleusercontent.com/d/1f1UBUmLveMpWNFBQ4L3cz1isLFKUTQMO</t>
  </si>
  <si>
    <t>https://drive.google.com/file/d/1x82SFaE3IaOiFSIu4uX30slIT7m2RzJ2/view?usp=drivesdk</t>
  </si>
  <si>
    <t>https://lh5.googleusercontent.com/d/1NO3uUpf9gdsowfv5Z3gAiWls5nBQy1H_</t>
  </si>
  <si>
    <t>https://drive.google.com/file/d/1HolFD1zhiAm-IQ5oCTHxO_s1l2GhgITD/view?usp=drivesdk</t>
  </si>
  <si>
    <t>ลงนาม MOU ขับเคลื่อนสังคมไทยปลอดบุหรี่</t>
  </si>
  <si>
    <t>https://lh5.googleusercontent.com/d/1mIBwNYkHd1loPHuACFdWAqFP5ASBD-Hx</t>
  </si>
  <si>
    <t>https://drive.google.com/file/d/1BUrF9zBpo9oaJbRwK7kKRz-uPzpykOZW/view?usp=drivesdk</t>
  </si>
  <si>
    <t>รพ.ตำรวจ</t>
  </si>
  <si>
    <t>น.ต.หญิงจิรปรียา โรจนเกียรติปรีดา</t>
  </si>
  <si>
    <t>https://lh5.googleusercontent.com/d/19WM_Pa4VFfuUvCHra16rAGr-k0vjEQxB</t>
  </si>
  <si>
    <t>https://drive.google.com/file/d/13m5aGr-RbPqCIBPD0uOTJ4oLlvaRZ8Oh/view?usp=drivesdk</t>
  </si>
  <si>
    <t>งานแข่งขันกอล์ฟ</t>
  </si>
  <si>
    <t>น.อ.หญิง ผศ.วัลภา อันดารา</t>
  </si>
  <si>
    <t>https://lh5.googleusercontent.com/d/1iQ8hioj3MUMEOPGIvAmfrjNMEH1s4B9s</t>
  </si>
  <si>
    <t>https://drive.google.com/file/d/1gNnDknQkROYkqPCO4yw5aW2cfPeaKVL5/view?usp=drivesdk</t>
  </si>
  <si>
    <t>โรงเรียนนายร้อยจปร.</t>
  </si>
  <si>
    <t>https://lh5.googleusercontent.com/d/1vCJjOYwZ4LeFLMrFNhdY6LwVmAwF1TiG</t>
  </si>
  <si>
    <t>https://drive.google.com/file/d/19Ft1vzQtztPt7QQvBbs_mTUEGxAQBu2V/view?usp=drivesdk</t>
  </si>
  <si>
    <t xml:space="preserve">วีรวัฒน์ ทัศน์จันดา </t>
  </si>
  <si>
    <t>https://lh5.googleusercontent.com/d/1QTKbnp8qHhEmQGpbpHo5Wmp_FsffnHD-</t>
  </si>
  <si>
    <t>https://drive.google.com/file/d/1-Eudx4Vr1K66--bHrgVslO7RRWPe8wqm/view?usp=drivesdk</t>
  </si>
  <si>
    <t>วีรวัฒน์ ทัศน์จันดา</t>
  </si>
  <si>
    <t>https://lh5.googleusercontent.com/d/1rjjxlCMihWC5P0VflY3Q5FVghaSgSLuN</t>
  </si>
  <si>
    <t>https://drive.google.com/file/d/1vuaF5O0WsCQ2ft0C6R2Ig-OYYUNbegwI/view?usp=drivesdk</t>
  </si>
  <si>
    <t>https://lh5.googleusercontent.com/d/1Zos12RK_3Rw_NOS5RncvXZLIiu1JEmLh</t>
  </si>
  <si>
    <t>https://drive.google.com/file/d/18QhkiK54vndkgCDepqG3Igj8nnEkCHi2/view?usp=drivesdk</t>
  </si>
  <si>
    <t>https://lh5.googleusercontent.com/d/1G5ncu98oN4c9XI_WL8ScuyXt0ynHh-Xi</t>
  </si>
  <si>
    <t>https://drive.google.com/file/d/1KYowGAxMWDXFwUvRf-kC94Y87fz6y7Ce/view?usp=drivesdk</t>
  </si>
  <si>
    <t>https://lh5.googleusercontent.com/d/1-YyE3zxns5bOb9uf1_IrIhCYU6ChR58b</t>
  </si>
  <si>
    <t>https://drive.google.com/file/d/1ACd2uUp2Zmr16WsTF6rhuI6eOQxxoe7l/view?usp=drivesdk</t>
  </si>
  <si>
    <t>https://lh5.googleusercontent.com/d/1pgtXiMPYOVOS4LEZQY0MvOglXpdV-92f</t>
  </si>
  <si>
    <t>https://drive.google.com/file/d/1iUTMug6lLELg5QPeWydH8wtGt-AeCala/view?usp=drivesdk</t>
  </si>
  <si>
    <t>https://lh5.googleusercontent.com/d/1Bt26tyh-KrQmrOHNk9GMUcorP5lOtkPa</t>
  </si>
  <si>
    <t>https://drive.google.com/file/d/19-7uW9_ig_Yv1GQDIeo3s8b7AL0mT1xw/view?usp=drivesdk</t>
  </si>
  <si>
    <t>https://lh5.googleusercontent.com/d/1DBxJkh_4NrTsD7bG9ND7S6HQ7jN7Zo7-</t>
  </si>
  <si>
    <t>https://drive.google.com/file/d/1alprVD2L0RZg2fX4XxBcAREIgRFVBe-u/view?usp=drivesdk</t>
  </si>
  <si>
    <t>ซ้อมเต้นงานกอล์ฟ</t>
  </si>
  <si>
    <t>https://lh5.googleusercontent.com/d/1RaIH_xjp5bXw7oBy-dOKxYBpDowEsETn</t>
  </si>
  <si>
    <t>https://drive.google.com/file/d/11maVx-VnBJ7rOXonC1NORy8LHw8W5OQz/view?usp=drivesdk</t>
  </si>
  <si>
    <t>https://lh5.googleusercontent.com/d/1kucYZwcAeJXwRbHFE0HBPaPkn8b6gxXn</t>
  </si>
  <si>
    <t>https://drive.google.com/file/d/1HQxapq_7GidVrRYFIzy3ugwlRlOSzB0D/view?usp=drivesdk</t>
  </si>
  <si>
    <t>https://lh5.googleusercontent.com/d/1lhtq1CLTDWg1N2Dnr5_5ailcyw_UYF66</t>
  </si>
  <si>
    <t>https://drive.google.com/file/d/1IZW38ByAdDl-FX2A58oty4UzFxthVMhh/view?usp=drivesdk</t>
  </si>
  <si>
    <t>https://lh5.googleusercontent.com/d/1FQPsGHFZeHgg4ajfk-bWcToMNjUzL4IM</t>
  </si>
  <si>
    <t>https://drive.google.com/file/d/1we0fYCZcwEiRejskll03cfxMD0iwKDLB/view?usp=drivesdk</t>
  </si>
  <si>
    <t>https://lh5.googleusercontent.com/d/1HpvlxjX3mX50Mwgs0QEaShP-lbkQPL1a</t>
  </si>
  <si>
    <t>https://drive.google.com/file/d/1kSWxE86Z2qSgSCmCRNnsX0_BiXB7MX8j/view?usp=drivesdk</t>
  </si>
  <si>
    <t>เล่นดนตรี Green market</t>
  </si>
  <si>
    <t>สโมสรนายทหารประทวน</t>
  </si>
  <si>
    <t>https://lh5.googleusercontent.com/d/1XHKqSezDX0cjkd3mUoY_JOlCP-f0pvqq</t>
  </si>
  <si>
    <t>https://drive.google.com/file/d/1Ezhl9tHrcG6Uxyb1p9Y6TlrMR7SJ_UsY/view?usp=drivesdk</t>
  </si>
  <si>
    <t>ประภัสสร คีตวัฒนานท์</t>
  </si>
  <si>
    <t>1500-1900</t>
  </si>
  <si>
    <t>https://lh5.googleusercontent.com/d/1LLcFgL8vC7X_OQsYNwkpx1zAG3EoClXv</t>
  </si>
  <si>
    <t>https://drive.google.com/file/d/1z74pm7URrEOIjuGV83HcxQm3moreSgTW/view?usp=drivesdk</t>
  </si>
  <si>
    <t>จัดโต๊ะรับสมัครนพอ.69</t>
  </si>
  <si>
    <t>https://lh5.googleusercontent.com/d/1aGmcrckuYf4GviVmhvaEDpH7nnsFoJbF</t>
  </si>
  <si>
    <t>https://drive.google.com/file/d/1iVFRWKO5Nw0W7eHqiqio9T7cl8Us8wuu/view?usp=drivesdk</t>
  </si>
  <si>
    <t>https://lh5.googleusercontent.com/d/1T1YKh-zRGkMp1pRT7jBD5u3BrvrqRu_s</t>
  </si>
  <si>
    <t>https://drive.google.com/file/d/19MK7dgraEI9T44Ulfu_jh_Syzj-z6J-s/view?usp=drivesdk</t>
  </si>
  <si>
    <t>455 ม.17 ต.แม่สิน อ.ศรีสัชนาลัย จ.สุโขทัย</t>
  </si>
  <si>
    <t>นางมาลี ไฉนนุช</t>
  </si>
  <si>
    <t>https://lh5.googleusercontent.com/d/1K14lJPiU8_15hEbYtnaamQypm0C___It</t>
  </si>
  <si>
    <t>https://drive.google.com/file/d/1bC4QDE3rIyj5Br3yoJwE2rDbo51mYdGI/view?usp=drivesdk</t>
  </si>
  <si>
    <t>พิธีมอบหมวกพยาบาลวิชาชีพ ปีการศึกษา2568</t>
  </si>
  <si>
    <t>1700-2000</t>
  </si>
  <si>
    <t>https://lh5.googleusercontent.com/d/1_TnqQfV7uJiYJjngPwcP0mZ_fgSPTKpM</t>
  </si>
  <si>
    <t>https://lh5.googleusercontent.com/d/1XCu2ARgNfjlmvBTgNkjAGFyKOPrrfONx</t>
  </si>
  <si>
    <t>https://drive.google.com/file/d/1ONSgLwit3TcettiqDL7NitaZKg7TV_Xp/view?usp=drivesdk</t>
  </si>
  <si>
    <t>https://lh5.googleusercontent.com/d/1tbE2mFWHmrjPkMZCTZDAR496edfBzHI4</t>
  </si>
  <si>
    <t>https://drive.google.com/file/d/1m3AnxfR-MEybcM12Vn0myNB92wk9R29q/view?usp=drivesdk</t>
  </si>
  <si>
    <t>https://lh5.googleusercontent.com/d/1JpA4sost2BpFsv4Ys5rAw5Ka1GOzX8r-</t>
  </si>
  <si>
    <t>https://drive.google.com/file/d/1GTnHMPhLKEC1iUuKge-FwpKIoOdfNi-W/view?usp=drivesdk</t>
  </si>
  <si>
    <t>นางอภิชญา ชาสุรีย์</t>
  </si>
  <si>
    <t>https://lh5.googleusercontent.com/d/1IWHX3MJU6NS_L6H2JMFqROtbjt_xCFVm</t>
  </si>
  <si>
    <t>https://drive.google.com/file/d/16T8JFsFOJ9oFj1_cFEACWBHC5Cf4TTkQ/view?usp=drivesdk</t>
  </si>
  <si>
    <t>ปล่อยปลา</t>
  </si>
  <si>
    <t>วัดพระเจ้าใหญ่องค์ตื้อ</t>
  </si>
  <si>
    <t>https://lh5.googleusercontent.com/d/1zTLJwZuFT2jGjV1g6whx3skKZarURvRf</t>
  </si>
  <si>
    <t>https://drive.google.com/file/d/1J6EM5yRMHCsDQ0jeuhvdHntRg1qQSNIX/view?usp=drivesdk</t>
  </si>
  <si>
    <t>โรงเรียนนายร้อยพระจุลจอมเกล้า</t>
  </si>
  <si>
    <t>https://lh5.googleusercontent.com/d/13JDwn0spOWGGAxiTJJBYPeh2lVjaoFN_</t>
  </si>
  <si>
    <t>https://drive.google.com/file/d/1zl9SCnBViNoDcSRQWzxIKtJqsqFcGdj5/view?usp=drivesdk</t>
  </si>
  <si>
    <t>https://lh5.googleusercontent.com/d/1_qGJEaWHBC-6ybh-gcWNllX4rE22fyyK</t>
  </si>
  <si>
    <t>https://drive.google.com/file/d/1Ji3yLrCe8yeyCyROcf9_ugQEofjiam-m/view?usp=drivesdk</t>
  </si>
  <si>
    <t>นพอ.ไอลดา ศาลากิจ</t>
  </si>
  <si>
    <t>วัดศรีสุทธาราม</t>
  </si>
  <si>
    <t>พระครูสาครกิจจาภรณ์</t>
  </si>
  <si>
    <t>https://lh5.googleusercontent.com/d/1sDs8jYFq2J6WW4VUpqjc__UmP2dHWAyZ</t>
  </si>
  <si>
    <t>https://drive.google.com/file/d/1RwV9HsLB8ycuNRRAOXR-Q0JZZdIX-8KE/view?usp=drivesdk</t>
  </si>
  <si>
    <t>ช่วยแจกธูปเทียน</t>
  </si>
  <si>
    <t>วัดป้อมวิเชียรโชติการาม</t>
  </si>
  <si>
    <t>พระครูสาครสีลโสภณ</t>
  </si>
  <si>
    <t>https://lh5.googleusercontent.com/d/1rpF9HbnOgjFmqh0o-eH2DBj0yrO2HbuH</t>
  </si>
  <si>
    <t>https://drive.google.com/file/d/11MEb_y2Vx82l0SX4bkSyKdNZaWBsCko8/view?usp=drivesdk</t>
  </si>
  <si>
    <t>เก็บขยะซอยหมู่บ้าน</t>
  </si>
  <si>
    <t>259ง ต.โกรกกราก อ.เมือง จ.สมุทรสาคร</t>
  </si>
  <si>
    <t>นางสาวมาลัยทิพย์ ทองใบ</t>
  </si>
  <si>
    <t>https://lh5.googleusercontent.com/d/12imeSC-mi0EcogvyKlUIRmp6qSsp4rZq</t>
  </si>
  <si>
    <t>https://drive.google.com/file/d/1LL8cmDZ6GeTy2DjtScXpGMhBtznXCjG5/view?usp=drivesdk</t>
  </si>
  <si>
    <t>https://lh5.googleusercontent.com/d/1od_eT-C2K7ayjP2ufjHFCg3ODuQiSW-e</t>
  </si>
  <si>
    <t>https://drive.google.com/file/d/1VtYhmuMQoWUgi-m-ANHtyHrUS0B126_t/view?usp=drivesdk</t>
  </si>
  <si>
    <t>ทาสีบ้านเด็กกำพร้า</t>
  </si>
  <si>
    <t>บ้านพักเด็กและครอบครัวจังหวัดสมุทรสาคร</t>
  </si>
  <si>
    <t>นางสาวกนิษฐา บุญยัง</t>
  </si>
  <si>
    <t>https://lh5.googleusercontent.com/d/1eYI7qj-FnxmPuWIyOFry3ZxJZBfjd853</t>
  </si>
  <si>
    <t>https://drive.google.com/file/d/1rWMfUuhiVyZm9LFQIFRkEHlfIv_9v_bg/view?usp=drivesdk</t>
  </si>
  <si>
    <t>6903945</t>
  </si>
  <si>
    <t>https://lh5.googleusercontent.com/d/1ilo2lEbgwta_hH-0x9oBobhRs4vQXtp1</t>
  </si>
  <si>
    <t>https://drive.google.com/file/d/1w2IIz_b_NwdvcWzSGY6UDRlx8OoyQy8R/view?usp=drivesdk</t>
  </si>
  <si>
    <t>https://lh5.googleusercontent.com/d/1LMOW8SedSx-OZ3BlDK2nBtuQRzgO4dDY</t>
  </si>
  <si>
    <t>https://drive.google.com/file/d/1dc5MHNsPXo2pXYZIq3kflnjmFV9WOK3M/view?usp=drivesdk</t>
  </si>
  <si>
    <t>https://lh5.googleusercontent.com/d/1MCTATd1BhNm6oUFGQbOxHVhg8YdI_2KL</t>
  </si>
  <si>
    <t>https://drive.google.com/file/d/1wPc3MC6ZO0LaNfChQ9_UW-QtcCRDbK7F/view?usp=drivesdk</t>
  </si>
  <si>
    <t>ช่วยแม่ให้อาหารแมว</t>
  </si>
  <si>
    <t>https://lh5.googleusercontent.com/d/13tTeWS7e6X-obD1igkzpGvqI8AvD0NsT</t>
  </si>
  <si>
    <t>https://drive.google.com/file/d/1vtvrOFOuaakyjPpWMZhP89K8Wi8P5_cA/view?usp=drivesdk</t>
  </si>
  <si>
    <t>https://lh5.googleusercontent.com/d/1jTOcc5sPghj_YcCYWn86eQ9YicsZpUay</t>
  </si>
  <si>
    <t>https://drive.google.com/file/d/1S1IznFWYIJZRAsOFrpwQeDAijcy8Tde6/view?usp=drivesdk</t>
  </si>
  <si>
    <t>https://lh5.googleusercontent.com/d/16-NuhY3kNnhRTYiY588OMb23-HN1M7YD</t>
  </si>
  <si>
    <t>https://drive.google.com/file/d/1mdpyzCfFLNlOhPLi6_T9hQ-75b64XK0B/view?usp=drivesdk</t>
  </si>
  <si>
    <t>https://lh5.googleusercontent.com/d/1zmCvbCSKltybFJliWJYDUtPuTjndwvlB</t>
  </si>
  <si>
    <t>https://drive.google.com/file/d/1kBUq8qXGNzaAA-X1fxg_vyeJhzklJkzJ/view?usp=drivesdk</t>
  </si>
  <si>
    <t>https://lh5.googleusercontent.com/d/1hz9yoQfdixLvUfh9C_-Y0jAMEMZmQUQ2</t>
  </si>
  <si>
    <t>https://drive.google.com/file/d/1Z14gMGeFypeLoS73st3e68oN5ifMRWKs/view?usp=drivesdk</t>
  </si>
  <si>
    <t>https://lh5.googleusercontent.com/d/1PHut-9rG2UUg3HBU2oyyYXapAgTA6kky</t>
  </si>
  <si>
    <t>https://drive.google.com/file/d/1ADEjcKRDSYS96Tc3GCr7rf38TRrlRquP/view?usp=drivesdk</t>
  </si>
  <si>
    <t>https://lh5.googleusercontent.com/d/1N5AX1Z5XnfCvYkjVet20fAhASidnJJ6i</t>
  </si>
  <si>
    <t>https://drive.google.com/file/d/1qUKvGpDxhMm4zSaKzZUU-7423JO3U2fa/view?usp=drivesdk</t>
  </si>
  <si>
    <t>เก็บหินขาวข้างรั้วหอพัก</t>
  </si>
  <si>
    <t>https://lh5.googleusercontent.com/d/1kd_LEGoa8xgpNRc2EJho5v386EX6aTRn</t>
  </si>
  <si>
    <t>https://drive.google.com/file/d/1Qqq-Pg-7UG1zoMFwVjaCZKYUvOcSB5fw/view?usp=drivesdk</t>
  </si>
  <si>
    <t>https://lh5.googleusercontent.com/d/1fwQPTLFmdS2i-VZAJqA9okX1oXLhOtN9</t>
  </si>
  <si>
    <t>https://drive.google.com/file/d/14o-BImYmGXGYBesAZU7TAoBNpVmmrOZR/view?usp=drivesdk</t>
  </si>
  <si>
    <t>ช่วยงานและทำความสะอาดรอบโบสถ์วัด</t>
  </si>
  <si>
    <t>วัดโกรกกราก</t>
  </si>
  <si>
    <t>พระครูวิสุทธิ์สิทธิคุณ</t>
  </si>
  <si>
    <t>https://lh5.googleusercontent.com/d/1XZxn0uv_t3ULARSSEDTpKnJrmUxzu08m</t>
  </si>
  <si>
    <t>https://drive.google.com/file/d/1V6Cu_1U4lWvVLqiD7szGJfTPq7WdF5cF/view?usp=drivesdk</t>
  </si>
  <si>
    <t>ทำความสะอาดโบสถ์</t>
  </si>
  <si>
    <t>วัดตึกมหาชยาราม</t>
  </si>
  <si>
    <t>พระอธิการชำนาญ กนตวณโณ</t>
  </si>
  <si>
    <t>https://lh5.googleusercontent.com/d/1j6LT1iBKy8v962Ts71itPuxuzs0Pm9pb</t>
  </si>
  <si>
    <t>https://drive.google.com/file/d/1IGW8iF3sybqTyNN5OCREasxXsHfbAxyC/view?usp=drivesdk</t>
  </si>
  <si>
    <t>รดน้ำต้นไม้จัดสวน</t>
  </si>
  <si>
    <t>https://lh5.googleusercontent.com/d/1jEV1zn_w5vJo3H1XkIvu0FSUrbM55Idz</t>
  </si>
  <si>
    <t>https://drive.google.com/file/d/18jCNvy4qo3fgs3V5yRZV4j4Hckvvk8BS/view?usp=drivesdk</t>
  </si>
  <si>
    <t>https://lh5.googleusercontent.com/d/1k7-by9mUojKk9EdcXB_xFaMlLGq2UJCL</t>
  </si>
  <si>
    <t>https://drive.google.com/file/d/1dqeekviR4_xS4KIgbc3uh7gs2b2XvGIw/view?usp=drivesdk</t>
  </si>
  <si>
    <t>be Green Market ประจำปี2569</t>
  </si>
  <si>
    <t>อาคารอเนกประสงค์ สโมสรทหารอากาศชั้นประทวน</t>
  </si>
  <si>
    <t>https://lh5.googleusercontent.com/d/1rPeTkO7Fl4-t83-9kVtoW4Cx1uM-YFe-</t>
  </si>
  <si>
    <t>https://drive.google.com/file/d/1X_JGLNlXi4McGPXgQ8Q21zSqdXgBhYiL/view?usp=drivesdk</t>
  </si>
  <si>
    <t xml:space="preserve">โครงการ SMART ELDERLY </t>
  </si>
  <si>
    <t>นางสาวชุติมา กันฟัก</t>
  </si>
  <si>
    <t>https://lh5.googleusercontent.com/d/1vYf-B4zfY4FYwMDFBQ2V5wOKhZdcI5PL</t>
  </si>
  <si>
    <t>https://drive.google.com/file/d/1dC8P_Ot976iq7mKojz8hAzFMUsvENzsJ/view?usp=drivesdk</t>
  </si>
  <si>
    <t>ช่วยให้อาหารหมาข้างบ้าน</t>
  </si>
  <si>
    <t>ข้างบ้าน</t>
  </si>
  <si>
    <t>https://lh5.googleusercontent.com/d/1NWbl-wZqPk-4YoSKeivILE1G6h0OWRW8</t>
  </si>
  <si>
    <t>https://drive.google.com/file/d/1kgBJRiOvQle3c-qAOwT18CLWh4Ek7t3d/view?usp=drivesdk</t>
  </si>
  <si>
    <t>https://lh5.googleusercontent.com/d/1jKF79xOWAJnLZOxh52jJ00Zffu1f2AnB</t>
  </si>
  <si>
    <t>https://drive.google.com/file/d/1KbB0XtyqajRJyeO-d9bo32PMrv6HtmaH/view?usp=drivesdk</t>
  </si>
  <si>
    <t>Be Green Markets</t>
  </si>
  <si>
    <t>https://lh5.googleusercontent.com/d/16E6hEDg95lEO_PfIscGPb_xxBkUPN5RP</t>
  </si>
  <si>
    <t>https://drive.google.com/file/d/1bwZv-4t_L2upUXFt4k5piE-JQBxO6BRW/view?usp=drivesdk</t>
  </si>
  <si>
    <t>เสาร์ประทีป</t>
  </si>
  <si>
    <t>https://lh5.googleusercontent.com/d/153HXDRnpllrCUUJno9cUrHSKIG6QtFfY</t>
  </si>
  <si>
    <t>https://drive.google.com/file/d/1MbVPIqASTFM2b7e8qkGYfuemxCN_UgNA/view?usp=drivesdk</t>
  </si>
  <si>
    <t>https://lh5.googleusercontent.com/d/12rYsePBAhOOczyl1OzGOxpiRtd8Gxl7T</t>
  </si>
  <si>
    <t>https://drive.google.com/file/d/1W2OdFDwytRzAAezRwhu4sGNOqxwvdlme/view?usp=drivesdk</t>
  </si>
  <si>
    <t>https://lh5.googleusercontent.com/d/1DK2HbYDRiOQ9lRpCsKAfEJNK0TrpEqQB</t>
  </si>
  <si>
    <t>https://drive.google.com/file/d/1W1ikJp-mTYNgSHoW0T7m6_d-RJuZntHy/view?usp=drivesdk</t>
  </si>
  <si>
    <t>https://lh5.googleusercontent.com/d/1K-3_cGFdqAzhmO7vzeC1j5wxoCbzbp-q</t>
  </si>
  <si>
    <t>https://drive.google.com/file/d/1oLWQNORZHPLLcOD2ymoqPPDcbR-HjxlM/view?usp=drivesdk</t>
  </si>
  <si>
    <t>การทดสอบความถนัดวิภาววิสัยและการทดสอบร่างกาย</t>
  </si>
  <si>
    <t>https://lh5.googleusercontent.com/d/1rLwQuw5ZVTf6Q0x24qN1We0DVZYfHlO8</t>
  </si>
  <si>
    <t>https://drive.google.com/file/d/1obE38KvLLvCvX2as5ho8ICUuOZaqBYqG/view?usp=drivesdk</t>
  </si>
  <si>
    <t>https://lh5.googleusercontent.com/d/1HvPH90hl4He2dq2GyTlJK_HnK4Zx8ush</t>
  </si>
  <si>
    <t>https://drive.google.com/file/d/1XzCc5UgUSl8wC0EFBWtHzSU0cL8_78oR/view?usp=drivesdk</t>
  </si>
  <si>
    <t>ถูบ้าน</t>
  </si>
  <si>
    <t>https://lh5.googleusercontent.com/d/1nFS_ogeZFqEyUZE5vSq2uJfLmDMLLZRJ</t>
  </si>
  <si>
    <t>https://drive.google.com/file/d/1UUVYk-CegwyGuIfL3LTEfj0gIPl9X26W/view?usp=drivesdk</t>
  </si>
  <si>
    <t>https://lh5.googleusercontent.com/d/1gbXFToQzTnuzACxlKN1I8UKLryWoixUI</t>
  </si>
  <si>
    <t>https://drive.google.com/file/d/1N9xwBCFLLgSroBKsj0IFNHbk6NYH7t3a/view?usp=drivesdk</t>
  </si>
  <si>
    <t>กรอกน้ำ</t>
  </si>
  <si>
    <t>https://lh5.googleusercontent.com/d/1tCoQJEGamPKlmo2QU7cbsWIYOdMsDOVR</t>
  </si>
  <si>
    <t>https://drive.google.com/file/d/1oLGW6ljHykpOu9s4p-Ru2v2Zyg9eXk4t/view?usp=drivesdk</t>
  </si>
  <si>
    <t>ย้อมผมให้พ่อ</t>
  </si>
  <si>
    <t>0800 - 1000</t>
  </si>
  <si>
    <t>นายพิศณุ อุทกัง</t>
  </si>
  <si>
    <t>https://lh5.googleusercontent.com/d/1FPAO0fwF8He3c9FYB6P1RSFuFtBpjPhy</t>
  </si>
  <si>
    <t>https://drive.google.com/file/d/1-zW2-dFQGQtQiV9ACQmyob7TYQIC-2HU/view?usp=drivesdk</t>
  </si>
  <si>
    <t>1030 - 1230</t>
  </si>
  <si>
    <t>นางจารุวรรณ อุทกัง</t>
  </si>
  <si>
    <t>https://lh5.googleusercontent.com/d/1mSVSWmrXzjlNhaL-R8xTOsMAcXO51rKJ</t>
  </si>
  <si>
    <t>https://drive.google.com/file/d/1On5Px61ALLDu4KYK0oJRD3UeMk3KRSt9/view?usp=drivesdk</t>
  </si>
  <si>
    <t>โรงเรียนนายร้อยพระพระจุลจอมเกล้า</t>
  </si>
  <si>
    <t>https://lh5.googleusercontent.com/d/14PqarxJQjRd0ONcNKHKt7uTvza23Uxi3</t>
  </si>
  <si>
    <t>https://drive.google.com/file/d/1uZX9_AXvPrOOVZ-UZVGBlgnbpC9aGNT3/view?usp=drivesdk</t>
  </si>
  <si>
    <t>https://lh5.googleusercontent.com/d/1wlF-juwpoSa-_QJgg__QOzvxb9zP2-i_</t>
  </si>
  <si>
    <t>https://drive.google.com/file/d/1tfvwSCGpDRwxWZJN-OtH_K_-g2_BjIFh/view?usp=drivesdk</t>
  </si>
  <si>
    <t>https://lh5.googleusercontent.com/d/1mLIrwg4-3Xnig7S_nFZ2g8EqIcOJaYod</t>
  </si>
  <si>
    <t>https://drive.google.com/file/d/1VEcm7I0RYeCUzp3LLB1KtpvEGAmhDeAc/view?usp=drivesdk</t>
  </si>
  <si>
    <t>เก็บหินข้างลานหอพัก</t>
  </si>
  <si>
    <t>1400-1700</t>
  </si>
  <si>
    <t>https://lh5.googleusercontent.com/d/1N7JXLBuGZAgdCSA4MHqw-CEImfOyYWl_</t>
  </si>
  <si>
    <t>https://drive.google.com/file/d/1EVYrO7sE-udZWUFJqL-1_jSpeU9UzgrR/view?usp=drivesdk</t>
  </si>
  <si>
    <t>https://lh5.googleusercontent.com/d/1JvDrY9RQ7u-luqEisd19XWvKcP1VJ8LG</t>
  </si>
  <si>
    <t>https://drive.google.com/file/d/1zdXSpPf2nf7CGtT10EE42zfXKe519Hob/view?usp=drivesdk</t>
  </si>
  <si>
    <t>ช่วยเหลืองานรับสมัคร 69</t>
  </si>
  <si>
    <t>น.ท.ลักษ์ขณา พานิชสรรค์</t>
  </si>
  <si>
    <t>https://lh5.googleusercontent.com/d/1dHjqw89UYWxM_s5jWKnpC4RR8SiiCZS0</t>
  </si>
  <si>
    <t>https://drive.google.com/file/d/1EcoQ6pu5eEFNm_dJ_z8dodiqpcNdeer-/view?usp=drivesdk</t>
  </si>
  <si>
    <t>https://lh5.googleusercontent.com/d/1f07Q9e7nSvmX5wI3rfbPvjXNKYTmb6P-</t>
  </si>
  <si>
    <t>https://drive.google.com/file/d/1DEdPnjkByZXW-fCSfeHdMuPg5k-0mb35/view?usp=drivesdk</t>
  </si>
  <si>
    <t>https://lh5.googleusercontent.com/d/1e20eohcurqSovVVjFZlEcllNy8zyVQ_E</t>
  </si>
  <si>
    <t>https://drive.google.com/file/d/1qfg5T5s-AduRAXqFeZkcr9JnzsF7bjcl/view?usp=drivesdk</t>
  </si>
  <si>
    <t>https://lh5.googleusercontent.com/d/1po_htnjzoYwu3BkqvYYkfPI-UcNhVzoB</t>
  </si>
  <si>
    <t>https://drive.google.com/file/d/1Y5bCZzJoshr4vLYLFNe1xBqdSwysRdY6/view?usp=drivesdk</t>
  </si>
  <si>
    <t>https://lh5.googleusercontent.com/d/1VkuT3goB1oArpADOhmF8ElePTSCtB1Yh</t>
  </si>
  <si>
    <t>https://drive.google.com/file/d/1U0ZNWCijG4CEvW6ELdq7zzwjijx-lUp6/view?usp=drivesdk</t>
  </si>
  <si>
    <t>https://lh5.googleusercontent.com/d/1jKkqmD8SAVQuqmFJF27uLirky6KUmUYX</t>
  </si>
  <si>
    <t>https://drive.google.com/file/d/1dTKDVpFvkG_H0D42FZCTuKNBxKl4eI9Z/view?usp=drivesdk</t>
  </si>
  <si>
    <t>https://lh5.googleusercontent.com/d/15srlvaRLm3WgcBBZgLqZWv2DEUpSwRiB</t>
  </si>
  <si>
    <t>https://drive.google.com/file/d/1c3POBTxhRse6gXYnfH3D3VD43quoFGs3/view?usp=drivesdk</t>
  </si>
  <si>
    <t>https://lh5.googleusercontent.com/d/1MlzFTVRQ3ZAf7u62QLB4sriIJnf08WHL</t>
  </si>
  <si>
    <t>https://drive.google.com/file/d/19ptaXW6MtDmpiLDGT9QvSXzEmGTvw9P1/view?usp=drivesdk</t>
  </si>
  <si>
    <t>วัดสร้อยทอง</t>
  </si>
  <si>
    <t>https://lh5.googleusercontent.com/d/1AWg0Y3P6Q9RCbeKkUowpBAPoViEBPkfH</t>
  </si>
  <si>
    <t>https://drive.google.com/file/d/1vDjtzOjxYDrebBOI3tsxd8qI1RHIovR8/view?usp=drivesdk</t>
  </si>
  <si>
    <t>ร.อ.หญิงเบญญาดา บุรีรัตน์</t>
  </si>
  <si>
    <t>https://lh5.googleusercontent.com/d/1oEOe5_iB99h_xkxaUUToR25Tjmr5CwC1</t>
  </si>
  <si>
    <t>https://drive.google.com/file/d/1B3D9NXWfP7m2m_al_ylKlqf6tJ3vF5Yb/view?usp=drivesdk</t>
  </si>
  <si>
    <t>ซ้อมพิธีมอบหมวกพยาบาลวิชาชีพ</t>
  </si>
  <si>
    <t>https://lh5.googleusercontent.com/d/1E9EnG1965O1aZuqobxjEThkKNZw78No6</t>
  </si>
  <si>
    <t>https://drive.google.com/file/d/1Tuiwa1y3gPPCJbhdYaDoX1J1VJVanXDb/view?usp=drivesdk</t>
  </si>
  <si>
    <t>งานสงกรานต์ชมรมผู้สูงอายุ</t>
  </si>
  <si>
    <t>น.อ.หญิง ธัญรดี ปราบริปู</t>
  </si>
  <si>
    <t>https://lh5.googleusercontent.com/d/18di8zGQbaG9-KTMt8-kEOZq4NZRWHG91</t>
  </si>
  <si>
    <t>https://drive.google.com/file/d/1L1130I0Oxl6t9nEyun6u9YlSgw-G-B73/view?usp=drivesdk</t>
  </si>
  <si>
    <t>https://lh5.googleusercontent.com/d/1p-Rtf_bADfKA_dki0Bb_FDlyZ8x8xAFt</t>
  </si>
  <si>
    <t>https://drive.google.com/file/d/1iQwSR3YvaWKtzKbXYZ060qFnM0IN2b1b/view?usp=drivesdk</t>
  </si>
  <si>
    <t>น.ต.อนุชิต ทำจะดี</t>
  </si>
  <si>
    <t>https://lh5.googleusercontent.com/d/1tj6HqJjp2BoZZ2HaUx3ell5ghtrGOyWl</t>
  </si>
  <si>
    <t>https://drive.google.com/file/d/18NDbBxUW1FaKr1ffUrGBrD6qX1IARBEY/view?usp=drivesdk</t>
  </si>
  <si>
    <t>https://lh5.googleusercontent.com/d/1yB0sCDZ2Mxw-qnLLOleehv_vtfSONQUk</t>
  </si>
  <si>
    <t>https://drive.google.com/file/d/1qxYJ8_Mx_WbuzLWhPAF4L1OKmgfd-vhW/view?usp=drivesdk</t>
  </si>
  <si>
    <t>ช่วยงานรับน้อง นพอ.รุ่นที่ 69</t>
  </si>
  <si>
    <t>https://lh5.googleusercontent.com/d/1sZaqqYAM2JrhZLLI8XZZcpf-sZTsZL4z</t>
  </si>
  <si>
    <t>https://drive.google.com/file/d/1S9YhAhIWP7Wu90uNvdg5bNSiDfajdjXG/view?usp=drivesdk</t>
  </si>
  <si>
    <t>https://lh5.googleusercontent.com/d/12C61VAyycwahVEs5WXVJ8eZTVD268VMu</t>
  </si>
  <si>
    <t>https://drive.google.com/file/d/1ynQcYrqWggbjGk1sMriIt7mseBqK5vIG/view?usp=drivesdk</t>
  </si>
  <si>
    <t>https://lh5.googleusercontent.com/d/1CEj_Om6SXaxTcWay2FOSinHTSubL01La</t>
  </si>
  <si>
    <t>https://drive.google.com/file/d/1DFBmc_nMGXD1IhIunoURcXv4Ev6_oGKG/view?usp=drivesdk</t>
  </si>
  <si>
    <t>กอล์ฟการกุศล วิทยาลัยพยาบาลทหารอากาศ</t>
  </si>
  <si>
    <t>https://lh5.googleusercontent.com/d/1qygOC5r53g74n8jttPq4V1dqn1gy39WG</t>
  </si>
  <si>
    <t>https://drive.google.com/file/d/1P7JDrxMmnPR1K7pGENG9hmOUiA0YNB8Y/view?usp=drivesdk</t>
  </si>
  <si>
    <t>งาดกาชาด</t>
  </si>
  <si>
    <t>https://lh5.googleusercontent.com/d/1I1FFvhKk2uF9B0-E5ebrsoZeO_pDvIb6</t>
  </si>
  <si>
    <t>https://drive.google.com/file/d/1tykojL__JsqG1uw5JJHVQny9NbTVtouG/view?usp=drivesdk</t>
  </si>
  <si>
    <t>เข้าร่วมงานวันเด็กแห่งชาติ2569</t>
  </si>
  <si>
    <t>https://lh5.googleusercontent.com/d/1RpIpGVvK8ec0rSQgwkFHuRWV5ffUBxC2</t>
  </si>
  <si>
    <t>https://drive.google.com/file/d/1mwsGC1e1wNvYTehgoXOw6xqIUc1toFIW/view?usp=drivesdk</t>
  </si>
  <si>
    <t>ซ้อมพิธีมอบหมวกวิชาชีพ swd65</t>
  </si>
  <si>
    <t>https://lh5.googleusercontent.com/d/1kDJaZTzD3QYTlvVtWs_Bs5BMnvoDOi_s</t>
  </si>
  <si>
    <t>https://drive.google.com/file/d/1XWMEQ4bsWrlnBTlvjVOIR-YR5nT4OTko/view?usp=drivesdk</t>
  </si>
  <si>
    <t>https://lh5.googleusercontent.com/d/1hmaLllWDwk7a_7ZS_gY1LRO6YVhVSseB</t>
  </si>
  <si>
    <t>https://drive.google.com/file/d/1i5eBRTOR3kkPVWcwWTsMDsOJtxf0YMA2/view?usp=drivesdk</t>
  </si>
  <si>
    <t>https://lh5.googleusercontent.com/d/1f7Vs15oUYjc-6c-DThPixBb3xZIx_D-h</t>
  </si>
  <si>
    <t>https://lh5.googleusercontent.com/d/1OQ8QSsb8H4yq6FggzsbUyGjjdzCuScls</t>
  </si>
  <si>
    <t>https://drive.google.com/file/d/1AucO896ldesCCVjKPC78_N7hB3jnWfvy/view?usp=drivesdk</t>
  </si>
  <si>
    <t>https://lh5.googleusercontent.com/d/1bdDbuaQXfDRuf-nNCWHmjCRi3D4mzd40</t>
  </si>
  <si>
    <t>https://drive.google.com/file/d/1KKA7fVNDqrDvWLecMEW-YGONpqB6eCh5/view?usp=drivesdk</t>
  </si>
  <si>
    <t>โรทาแรกค์ปลูกป่า ณ บางปู</t>
  </si>
  <si>
    <t>บางปู</t>
  </si>
  <si>
    <t>https://lh5.googleusercontent.com/d/155tqHi3lHE8gPsyS6b5Ubpp6I7eRSet9</t>
  </si>
  <si>
    <t>ช่วยเหลืองานรัยสมัคร 69</t>
  </si>
  <si>
    <t>https://lh5.googleusercontent.com/d/1D8xGJCivGEG_HYs-YaClRl-TPprWF6zO</t>
  </si>
  <si>
    <t>https://drive.google.com/file/d/1l5bAaR6ytFyiLqd6XsQJL8k4fcLfTVIf/view?usp=drivesdk</t>
  </si>
  <si>
    <t>วัดนาหม่อม</t>
  </si>
  <si>
    <t>นายสมพร ทองดีเลิศ</t>
  </si>
  <si>
    <t>https://lh5.googleusercontent.com/d/1rANkYCQ1icUznCs9wBcz5HsEdDH0Kwq9</t>
  </si>
  <si>
    <t>https://drive.google.com/file/d/1QbiDeJLVJ51PjVPVbferhS_hF4U_0d_o/view?usp=drivesdk</t>
  </si>
  <si>
    <t>จีดโต๊ะห้องประชุมชั้น4 งานทดสอบความถนัด วิภาวิสัยและจิตวิทยา ประจำปีการศึกษา 2569</t>
  </si>
  <si>
    <t xml:space="preserve">08.00-12.00 </t>
  </si>
  <si>
    <t>น.ท.หญิง ธนารัตน์ สุริยะพึ่งพระ</t>
  </si>
  <si>
    <t>https://lh5.googleusercontent.com/d/1CWmgOoppE8Z1oDZQ0AWqsef33ay1g8bj</t>
  </si>
  <si>
    <t>https://drive.google.com/file/d/1NbWFF45kMhEHD4NETPpYPwqAktVSbtSs/view?usp=drivesdk</t>
  </si>
  <si>
    <t>https://lh5.googleusercontent.com/d/1lcLqITs32VK1ihy1wMy1wKul0rc1HZmG</t>
  </si>
  <si>
    <t>https://drive.google.com/file/d/1kP-ga7gZsID43Y4VeENo6ZAYZ77-YXY8/view?usp=drivesdk</t>
  </si>
  <si>
    <t>พิธีมอบหมวกวิขาชีพ swd65</t>
  </si>
  <si>
    <t>https://lh5.googleusercontent.com/d/1HrL9l0wVuBuO7fNyZEF1m4ykZ9ydkk6k</t>
  </si>
  <si>
    <t>https://drive.google.com/file/d/1wxfQkeOxZWoO7z40TF2Jd_fmyj8u6fht/view?usp=drivesdk</t>
  </si>
  <si>
    <t>นพอ.กฤตินันท์ ฉิมพาลร</t>
  </si>
  <si>
    <t xml:space="preserve">ซ้อมงานพิธีมอบหมวกพยาบาลวิชาชีพ ปีการศึกษา2568 </t>
  </si>
  <si>
    <t xml:space="preserve">ร.อ อนุชิต ทำจะดี </t>
  </si>
  <si>
    <t>https://lh5.googleusercontent.com/d/1QnAArVacq9mme4DpwzdHU_ejuk5F3lwq</t>
  </si>
  <si>
    <t>https://drive.google.com/file/d/1O_iRCUQk0F3kQlXHf1xlMM1moShfU9ir/view?usp=drivesdk</t>
  </si>
  <si>
    <t>สำนักหลวงปู่</t>
  </si>
  <si>
    <t>https://lh5.googleusercontent.com/d/1_imt5bS0sGma9h5gU-VgdtS_iqOf3wlY</t>
  </si>
  <si>
    <t>https://drive.google.com/file/d/1DNVGsLbwddhK4S2iLsYHxWvo7QYgXZ4o/view?usp=drivesdk</t>
  </si>
  <si>
    <t>ซ้อมงานพิธีรับหมวกพยาบาลวิชาชีพ ประจำปีการศึกษา 2568</t>
  </si>
  <si>
    <t>https://lh5.googleusercontent.com/d/1nNiLnE9cpGG_bCQJwHjaMIou-MxY2Jjj</t>
  </si>
  <si>
    <t>https://drive.google.com/file/d/1LhbVBFAh0qa7HeVzMsO_3D_-lwpGbLn7/view?usp=drivesdk</t>
  </si>
  <si>
    <t>https://lh5.googleusercontent.com/d/1on8wiZ_Y-UaJIaTamT0mcRMwpTVORA3O</t>
  </si>
  <si>
    <t>https://drive.google.com/file/d/1dJDRtaKhydQnd5xrMEi8_z7dPBZz5_1F/view?usp=drivesdk</t>
  </si>
  <si>
    <t>https://lh5.googleusercontent.com/d/1giP9swpnwXlmitzbcGeuEujpzzG0ijeK</t>
  </si>
  <si>
    <t>https://drive.google.com/file/d/1zJOFomyMh0C9abhR57SZEgkiKkmAf141/view?usp=drivesdk</t>
  </si>
  <si>
    <t>งานกอล์ฟ วพอ.</t>
  </si>
  <si>
    <t>ศูนย์พัฒนากีฬากองทัพอากาศธูปะเตมีย์(สนามกอล์ฟธูปะเตมีย์)</t>
  </si>
  <si>
    <t>https://lh5.googleusercontent.com/d/1etURJWANQv2q02nPZyu-QWex-qbXO0bh</t>
  </si>
  <si>
    <t>https://drive.google.com/file/d/1g3LR7ZXeU6NMQYNe_TU6WIuVlvPyBQ-O/view?usp=drivesdk</t>
  </si>
  <si>
    <t>https://lh5.googleusercontent.com/d/15JYC_iVvBXirjx87I0Mq0ssiB4CoREl4</t>
  </si>
  <si>
    <t>https://drive.google.com/file/d/1ymyK67XuTSiZL3fd1IwP-tFhdGJJIfB4/view?usp=drivesdk</t>
  </si>
  <si>
    <t>https://lh5.googleusercontent.com/d/1Kb2J9XSeY0IWFN5TEtqCXmfEJPP2nA8b</t>
  </si>
  <si>
    <t>https://drive.google.com/file/d/1z4DgWClg8lR5J2s-IvRrWMqHkllQAyxV/view?usp=drivesdk</t>
  </si>
  <si>
    <t>https://lh5.googleusercontent.com/d/1InLQv2VMi9TC8lylI7Xt9KUs0SfJsOtL</t>
  </si>
  <si>
    <t>https://drive.google.com/file/d/1IIPiD0JVtElZYP8A9Gp2EIMPvrKRNaJy/view?usp=drivesdk</t>
  </si>
  <si>
    <t>https://lh5.googleusercontent.com/d/1n2FWFfmPQZJ0klI3sbBZU7xYR9GnUCFk</t>
  </si>
  <si>
    <t>https://drive.google.com/file/d/1gzHoNMcYupjl57zXZcrR8BIoGrJWFDCr/view?usp=drivesdk</t>
  </si>
  <si>
    <t>https://lh5.googleusercontent.com/d/1mlOn0Acgojb4oDQmxG0UIPu0ktbkAbbc</t>
  </si>
  <si>
    <t>https://drive.google.com/file/d/14hRy9bNB33tWf5x0miCN0ZbvEZcI-CJo/view?usp=drivesdk</t>
  </si>
  <si>
    <t>ปลูกป่าชายเลน</t>
  </si>
  <si>
    <t>อ.บางปู</t>
  </si>
  <si>
    <t>https://lh5.googleusercontent.com/d/1-Gusb68gcalFYXsux-ukvC9FkUIz7w6_</t>
  </si>
  <si>
    <t>https://drive.google.com/file/d/15ztBM0Yhu0IkIFXsHYRBEotgWZDFK2gi/view?usp=drivesdk</t>
  </si>
  <si>
    <t>https://lh5.googleusercontent.com/d/1x-MhyD041LBY2fThjRvFvaQrqvibnLDA</t>
  </si>
  <si>
    <t>https://drive.google.com/file/d/12rsNOZYmUvfjmGqMjwIycgO8uZr576f3/view?usp=drivesdk</t>
  </si>
  <si>
    <t>ช่วยเหลือจัดห้องป.มดท.</t>
  </si>
  <si>
    <t>ห้องป.มทด. อาคารศูนย์การเรียนรู้</t>
  </si>
  <si>
    <t>https://lh5.googleusercontent.com/d/1I1_3k3tjf82nj3txR-zXaAtVemq5YiOh</t>
  </si>
  <si>
    <t>https://drive.google.com/file/d/1HVhUr-HmM9vKIIYbrKyNcbfgAxiUZ57k/view?usp=drivesdk</t>
  </si>
  <si>
    <t>https://lh5.googleusercontent.com/d/1YZa4DzF_W7K7UOvdRjmdzmMyI5JvMOGS</t>
  </si>
  <si>
    <t>https://drive.google.com/file/d/1bwM3XVV7S28ryrlz64LiwIccYbjTDrlA/view?usp=drivesdk</t>
  </si>
  <si>
    <t>https://lh5.googleusercontent.com/d/10VzmPn6w-Fw6Ne2I4gHNDUf1BjpwqMdI</t>
  </si>
  <si>
    <t>https://drive.google.com/file/d/1Aw9VRkJ_kkE04_fsaiJyKMwFiu04DKE2/view?usp=drivesdk</t>
  </si>
  <si>
    <t>จัดโต๊ะสอบ นพอ. 69</t>
  </si>
  <si>
    <t>ห้องประชุมชั้น 4 สนง.</t>
  </si>
  <si>
    <t>https://lh5.googleusercontent.com/d/1GmGToX6kiH0TttXyWgb6eVyZMKetIaKv</t>
  </si>
  <si>
    <t>https://drive.google.com/file/d/1ZzyJwLHDubK4ra8y1_R-IrRadUyb945_/view?usp=drivesdk</t>
  </si>
  <si>
    <t>https://lh5.googleusercontent.com/d/1CM31RjiYxEQ0FN9X-2vHDOV9z8k2-5ml</t>
  </si>
  <si>
    <t>ต้อนรับคณะดูงานจาดวิทยาลัยพยาบาลกองทัพเรือ</t>
  </si>
  <si>
    <t>https://lh5.googleusercontent.com/d/1TE4FFmwDpUGrGGxCPsoC6zjQYH3q7Ce9</t>
  </si>
  <si>
    <t>https://drive.google.com/file/d/114rEjPUTm5IssEGNCDwJXGKIWWTvxKQa/view?usp=drivesdk</t>
  </si>
  <si>
    <t>https://lh5.googleusercontent.com/d/1AIQUPRymncxw7vDzZz4oe_2xS3LIE3Ji</t>
  </si>
  <si>
    <t>https://lh5.googleusercontent.com/d/1OjwMUUdZMmvuMn0i0JM0fGVTKfso8UFi</t>
  </si>
  <si>
    <t>https://drive.google.com/file/d/12SbUl1-JZ09o5_qy_eDsi44AwSH3uWLA/view?usp=drivesdk</t>
  </si>
  <si>
    <t>https://lh5.googleusercontent.com/d/15EcKAMVi-SLh3T-NVZ0DbXeiVuqXlaBy</t>
  </si>
  <si>
    <t>https://drive.google.com/file/d/1I0Zvcq9MSXgVlTjWilDRPu1cfJJxuWCW/view?usp=drivesdk</t>
  </si>
  <si>
    <t>https://lh5.googleusercontent.com/d/1Gxn37TNKhXKSf4i--OtRm0sDfk5gqOuw</t>
  </si>
  <si>
    <t>https://drive.google.com/file/d/1NwVJ8kAMQUouDasreE_6RWid1MSeVThg/view?usp=drivesdk</t>
  </si>
  <si>
    <t>https://lh5.googleusercontent.com/d/1mYAFvfRquQba1B3IA02duF96_rY4Mjil</t>
  </si>
  <si>
    <t>https://drive.google.com/file/d/1tNZ25iUQ-8KyqHXIWUj6WveqjCTGt36u/view?usp=drivesdk</t>
  </si>
  <si>
    <t>https://lh5.googleusercontent.com/d/1T7MskqBYve6Uf1316h9NNjKHixWx3x5d</t>
  </si>
  <si>
    <t>https://drive.google.com/file/d/1m8l0GlFZ9dHC4-cScMSaHJT7_TbabhzU/view?usp=drivesdk</t>
  </si>
  <si>
    <t>https://lh5.googleusercontent.com/d/1dxhJYAPhGIYCZZL7SAdGosgaIsQW3PkU</t>
  </si>
  <si>
    <t>https://drive.google.com/file/d/1E2E4Chqim9SAbBgHTiFovGrv2v_hmLpL/view?usp=drivesdk</t>
  </si>
  <si>
    <t>https://lh5.googleusercontent.com/d/1uFEo22WIHmdEfa-wjyfRUebM0YB7f4iG</t>
  </si>
  <si>
    <t>https://drive.google.com/file/d/1LSn2PrQlq4-nnDZOdycVbGYf1p2CW7C0/view?usp=drivesdk</t>
  </si>
  <si>
    <t>https://lh5.googleusercontent.com/d/1NXVWTsXHoX94oJdDBZtc3_Yint-aMQ9c</t>
  </si>
  <si>
    <t>https://drive.google.com/file/d/1CsI1WBPHcvTbjbPijIRS6YFpC68eDZ95/view?usp=drivesdk</t>
  </si>
  <si>
    <t>ช่วยงานทดสอบพิเศษนพอ.69</t>
  </si>
  <si>
    <t>น.ท.หญิง ลักษณ์ขณา พานิชสรรค์</t>
  </si>
  <si>
    <t>https://lh5.googleusercontent.com/d/12unAgULDkoz2wy6gL8NDf6tHAwcm3Jf9</t>
  </si>
  <si>
    <t>https://drive.google.com/file/d/1MzlZDGcqDajUm_1f2GdMQrZUHnEUo3ie/view?usp=drivesdk</t>
  </si>
  <si>
    <t>นาวาอากาศโทหญิง ลักษณ์ขณา พานิชสรรค์</t>
  </si>
  <si>
    <t>https://lh5.googleusercontent.com/d/10oxADqy84lIvBV96T22V_n3OECDOCERa</t>
  </si>
  <si>
    <t>https://drive.google.com/file/d/1RXxfnUNz36j52iJcVYJSs0sxYDYKCra0/view?usp=drivesdk</t>
  </si>
  <si>
    <t>https://lh5.googleusercontent.com/d/1TTVWM837vazPUZZ8ptgiYWMBp4Mb7SCC</t>
  </si>
  <si>
    <t>https://drive.google.com/file/d/1bJ-asKsj3wp8lxwkqK1My1rHUvyRljHi/view?usp=drivesdk</t>
  </si>
  <si>
    <t>https://lh5.googleusercontent.com/d/1k3VXtGW1_JjI_86IknVjn4mxLPkRPNRb</t>
  </si>
  <si>
    <t>https://drive.google.com/file/d/1UL1uUZRja6mm97BXUL--ggeqo3Q5GRvy/view?usp=drivesdk</t>
  </si>
  <si>
    <t>https://lh5.googleusercontent.com/d/1jAgPIMXXrLNgpMAJBYQmd8o9DSAp9KHU</t>
  </si>
  <si>
    <t>https://drive.google.com/file/d/1sPhB0_sKDYteIfGxvl7w0243HDIpYh7j/view?usp=drivesdk</t>
  </si>
  <si>
    <t>https://lh5.googleusercontent.com/d/16Q7ylOpo2UEWWwo1R9vAghd84UFLFgxh</t>
  </si>
  <si>
    <t>https://drive.google.com/file/d/1_vjdpl2gUFo3SqhtLJ_je7lz2m9ac2wn/view?usp=drivesdk</t>
  </si>
  <si>
    <t>https://lh5.googleusercontent.com/d/19BHNqa6I4m0cW6FL_JDxxrUf94qEsvWV</t>
  </si>
  <si>
    <t>https://drive.google.com/file/d/1wOPqVZ8fxaGBMqucOoQx7JGjt8-w03O0/view?usp=drivesdk</t>
  </si>
  <si>
    <t>https://lh5.googleusercontent.com/d/149VpxXVsYiqfNMozTd20qS1_Y4l8Li6A</t>
  </si>
  <si>
    <t>https://drive.google.com/file/d/1qAJ_iwvdy7qLU9Ih-1SHh0wgq1PiRJUm/view?usp=drivesdk</t>
  </si>
  <si>
    <t>https://lh5.googleusercontent.com/d/1MrdRH9tGfN_HUqrdlekaCh2MlzIAgctD</t>
  </si>
  <si>
    <t>https://drive.google.com/file/d/1Ckbopr6IZKrnVlIcNgd_qnne-zoxAmAy/view?usp=drivesdk</t>
  </si>
  <si>
    <t xml:space="preserve">13 </t>
  </si>
  <si>
    <t>https://lh5.googleusercontent.com/d/18sqUMF_CmGWG0M2U-zL58C1ajUrT4paR</t>
  </si>
  <si>
    <t>https://drive.google.com/file/d/1NrWZhJZJiB0wJdwtoseLKuwTbzkHzurb/view?usp=drivesdk</t>
  </si>
  <si>
    <t>https://lh5.googleusercontent.com/d/1HoRQLPszKfUCPxv5CCF_LlE1Y03DVxLU</t>
  </si>
  <si>
    <t>https://drive.google.com/file/d/1QLLLNzs_63Bb8cekDu1l0h6e4lV8SBmz/view?usp=drivesdk</t>
  </si>
  <si>
    <t>https://lh5.googleusercontent.com/d/1CRRWxq6UBcNDcr8qk3O7-vBXKUsSKDUd</t>
  </si>
  <si>
    <t>https://drive.google.com/file/d/19TL_z3PrZHi8_6fMJqhcak-XV3DUGUSy/view?usp=drivesdk</t>
  </si>
  <si>
    <t>คัดกรองมะเร็งเต้านม</t>
  </si>
  <si>
    <t xml:space="preserve">อาคารรณนภากาศ อุทยานการบินกองทัพอากาศ </t>
  </si>
  <si>
    <t>0830-1400</t>
  </si>
  <si>
    <t>ร.อ.หญิง จรัสศรี ดำศรี</t>
  </si>
  <si>
    <t>https://lh5.googleusercontent.com/d/1u4M0y5cPU5WX_88saeXnGPYTf9s-kJt5</t>
  </si>
  <si>
    <t>https://drive.google.com/file/d/1gfrpplAzynOKZnmmU5UA_gqqxndQXGzo/view?usp=drivesdk</t>
  </si>
  <si>
    <t>https://lh5.googleusercontent.com/d/1IiSc2ieP-8D7hgzBmnk37pGQGAhScVQ4</t>
  </si>
  <si>
    <t>https://drive.google.com/file/d/1qDLXRQJOw23rcr8IvKgLRA-RIcWJ7qkb/view?usp=drivesdk</t>
  </si>
  <si>
    <t>https://lh5.googleusercontent.com/d/1GDhARqfnBKVFZQ-Lp4Z6isfy2NsICgp0</t>
  </si>
  <si>
    <t>https://drive.google.com/file/d/1fodf0B5jxPestvuhDBVxvg8D7O-5_Aj9/view?usp=drivesdk</t>
  </si>
  <si>
    <t>https://lh5.googleusercontent.com/d/1XXW2lZQDrUzhorQ-3Y-radbitjUwuxMq</t>
  </si>
  <si>
    <t>https://drive.google.com/file/d/1-77dnXd_7IIboHCSZHmFvCaPkZBs3J35/view?usp=drivesdk</t>
  </si>
  <si>
    <t>https://lh5.googleusercontent.com/d/1zpn9BQz0PMngmZxYWsTDUfM3_r_5bEFT</t>
  </si>
  <si>
    <t>https://drive.google.com/file/d/1lGyYcKb16mqiwhLZsQCfFlggxoRb_14M/view?usp=drivesdk</t>
  </si>
  <si>
    <t>https://lh5.googleusercontent.com/d/1_PdMWWge33-65brZGz3W9wmKqRYCHSPb</t>
  </si>
  <si>
    <t>https://drive.google.com/file/d/1sk0Miuny4xHWyWhMVodF3Wa8mzruCW8B/view?usp=drivesdk</t>
  </si>
  <si>
    <t>หอประชุมธูปะเตมีย์</t>
  </si>
  <si>
    <t>https://lh5.googleusercontent.com/d/160JGvnnFZtAXpU1fDprU8GXZRTybH4iM</t>
  </si>
  <si>
    <t>https://drive.google.com/file/d/1AHkmwo3sjgk3BgRlp0fbNXvAtIENnEbn/view?usp=drivesdk</t>
  </si>
  <si>
    <t>สถานกีฬากองทัพอากาศธูปะเตมีย์</t>
  </si>
  <si>
    <t>https://lh5.googleusercontent.com/d/1kzSTSBKwTI4D7nWAFZNUu0RZEUvlLVhn</t>
  </si>
  <si>
    <t>https://drive.google.com/file/d/19gV5I2dEhUlscWFUhgLy2llEV-djrPJm/view?usp=drivesdk</t>
  </si>
  <si>
    <t>https://lh5.googleusercontent.com/d/1EWtNEW5LkjWKj1ghjBrh_K53hFa_G_oI</t>
  </si>
  <si>
    <t>https://drive.google.com/file/d/1muKhtVe3GPvxyeU9PWFAnDcNmvHMe3Ky/view?usp=drivesdk</t>
  </si>
  <si>
    <t>https://lh5.googleusercontent.com/d/1dpE_9SPYEz0ASG1wG827FB6yfjKkTumt</t>
  </si>
  <si>
    <t>https://drive.google.com/file/d/1Ibz3eifcW4RxnMhWogI8j5bcWTk2idvn/view?usp=drivesdk</t>
  </si>
  <si>
    <t>https://lh5.googleusercontent.com/d/1GxDu7wIDVRNfMGbyXVx5ixDJopN-PwOi</t>
  </si>
  <si>
    <t>https://drive.google.com/file/d/1GCxldfUtLPc8Kx4apsPOpM-pQRot2Rgz/view?usp=drivesdk</t>
  </si>
  <si>
    <t>https://lh5.googleusercontent.com/d/1MT0_3KIbRwLh6jDn4nQPqGsjIeY_FsyI</t>
  </si>
  <si>
    <t>https://drive.google.com/file/d/1MeeeVmJm5ozhP6_qkI4-TC-Uw4drPisV/view?usp=drivesdk</t>
  </si>
  <si>
    <t>ช้อมงานพิธีมอบหมวกพยาบาลวิชาชีพ ปีการศึกษา 2568</t>
  </si>
  <si>
    <t>ร.อ.อนุชิต ทำจดี</t>
  </si>
  <si>
    <t>https://lh5.googleusercontent.com/d/1LcZC4Y2ACySLZ7VeQrBc29uYocmNJlUY</t>
  </si>
  <si>
    <t>https://drive.google.com/file/d/1ukAVEz4gKvxHoaeO3LYgIuBNKYYPU-Bi/view?usp=drivesdk</t>
  </si>
  <si>
    <t>https://lh5.googleusercontent.com/d/1TuDY_7WYgX5gxOiTvAriyx19-yc_lPIl</t>
  </si>
  <si>
    <t>https://drive.google.com/file/d/1YeKRMUQ-JAFkGGay0UgwOTM7we0SOQWo/view?usp=drivesdk</t>
  </si>
  <si>
    <t>https://lh5.googleusercontent.com/d/1liEngRYIK5Yb0dQfpCwGEjbizZFhOfnG</t>
  </si>
  <si>
    <t>https://drive.google.com/file/d/1kFG3ZOPL7Oo13EoYxK8S5mgyQQnxDiKc/view?usp=drivesdk</t>
  </si>
  <si>
    <t>https://lh5.googleusercontent.com/d/1_uucTwerwGZ0dp9okkp3HbIJLAxoldJi</t>
  </si>
  <si>
    <t>https://drive.google.com/file/d/11eVnHlBm1lB-y6Op9_Q-x6L4Wkz3oES_/view?usp=drivesdk</t>
  </si>
  <si>
    <t>https://lh5.googleusercontent.com/d/15CHD7R8U95pGe6IE3PoAqjOMojQkH2ZD</t>
  </si>
  <si>
    <t>https://drive.google.com/file/d/16JiGf3YbUQPCngMwZYTSLjVNbTjAEIFW/view?usp=drivesdk</t>
  </si>
  <si>
    <t>https://lh5.googleusercontent.com/d/1rVzMMp9hr_JZvTMDKwnN8sFjIZaS1Lme</t>
  </si>
  <si>
    <t>https://drive.google.com/file/d/1nh1Rsqg-rym38uKg0nmni1XxG5GgZ41K/view?usp=drivesdk</t>
  </si>
  <si>
    <t>https://lh5.googleusercontent.com/d/1FN6JVQ_LS4fNBr01E7RURws1d95l9IU1</t>
  </si>
  <si>
    <t>https://drive.google.com/file/d/1foO35ta4ogzlR3cGx3QTCSwg3wlriV2r/view?usp=drivesdk</t>
  </si>
  <si>
    <t>https://lh5.googleusercontent.com/d/1RLbmJo8tqQEDeiq-z-hQlXFHBTwysd0N</t>
  </si>
  <si>
    <t>https://drive.google.com/file/d/1qjY28jpdb9PSEtkyJ7eBmQrJRacTBr0D/view?usp=drivesdk</t>
  </si>
  <si>
    <t>3872</t>
  </si>
  <si>
    <t>https://lh5.googleusercontent.com/d/1hSc9yu76f8RBblyNfQq-1tlNrWIzjx39</t>
  </si>
  <si>
    <t>https://drive.google.com/file/d/1T0p5DTJS8VXP-dNpimCgpGbfviqVb-_d/view?usp=drivesdk</t>
  </si>
  <si>
    <t>15.00-21.00</t>
  </si>
  <si>
    <t>https://lh5.googleusercontent.com/d/17o8ncys5oDkfKiOnjIPnttePvUFINF4U</t>
  </si>
  <si>
    <t>https://drive.google.com/file/d/1CZAj9TuLJSClz7h5txCp1KRRaseEOkdu/view?usp=drivesdk</t>
  </si>
  <si>
    <t>https://lh5.googleusercontent.com/d/1bBP2_gsTj_7E_32t0R2qMMmb0Yf3i_V8</t>
  </si>
  <si>
    <t>https://drive.google.com/file/d/1MtG74qqrNXu6aqrwyKTiD6IZaLPFLdS8/view?usp=drivesdk</t>
  </si>
  <si>
    <t>https://lh5.googleusercontent.com/d/1985N9krAcRFvCZ9PDpieHJDDf_lCvOoA</t>
  </si>
  <si>
    <t>https://drive.google.com/file/d/1YxRHOhlVoyg2ZywhRAFaZ1DE-Jm1RLym/view?usp=drivesdk</t>
  </si>
  <si>
    <t>กวานลาดวัด</t>
  </si>
  <si>
    <t>https://lh5.googleusercontent.com/d/1aJSOPOOjjaW-HbyRLKyJw7_MWHldBOve</t>
  </si>
  <si>
    <t>https://drive.google.com/file/d/1rzsEizxgr5BPFCwkPIMD_06cHJOSWS3w/view?usp=drivesdk</t>
  </si>
  <si>
    <t>https://lh5.googleusercontent.com/d/1nCnTXaNyfzD3la18Jhyj39yD-7nEOK4y</t>
  </si>
  <si>
    <t>https://drive.google.com/file/d/1X-ENGDkuWat10qOp2ImDR1cnIXoZdY7I/view?usp=drivesdk</t>
  </si>
  <si>
    <t>เก็บสถานที่คัดเลือกนพอ.69</t>
  </si>
  <si>
    <t>https://lh5.googleusercontent.com/d/1G4QzpHSZZ-qlfc7f1wRekSVr5fML1P-2</t>
  </si>
  <si>
    <t>https://drive.google.com/file/d/1N0I2-RSN4z9uQlWwUB2sAlLpaBoJ-AnV/view?usp=drivesdk</t>
  </si>
  <si>
    <t>https://lh5.googleusercontent.com/d/1sRpMzqo_AxSyF8raYQE7Xby6ujsK4Trj</t>
  </si>
  <si>
    <t>https://drive.google.com/file/d/1657drX2xtB_vh-v38Wwi-sqPm1rfs56g/view?usp=drivesdk</t>
  </si>
  <si>
    <t>https://lh5.googleusercontent.com/d/19MT-zKWSry9TAOnx1K_ogfHWE2B1VmPo</t>
  </si>
  <si>
    <t>https://drive.google.com/file/d/1bcDZKd_f3GEd_nAp9e8GPqllQ0CpJ0kA/view?usp=drivesdk</t>
  </si>
  <si>
    <t>https://lh5.googleusercontent.com/d/16wAzDb-psMNsrbPxyPc9lF6qAROHMh1K</t>
  </si>
  <si>
    <t>https://drive.google.com/file/d/1b_vhp3oskUtERgFfJC04DBinu9h7Uhnv/view?usp=drivesdk</t>
  </si>
  <si>
    <t>https://lh5.googleusercontent.com/d/1MWxHQ6AIPpBfsIEg_0AByxhqRyKLMe-G</t>
  </si>
  <si>
    <t>https://drive.google.com/file/d/1fB7PRycNq4B9AB1W8XbZ5yrx2UyM-Rvr/view?usp=drivesdk</t>
  </si>
  <si>
    <t>https://lh5.googleusercontent.com/d/1dMMYR_XI6FNN36C38bDvW_mPo1AWSR6i</t>
  </si>
  <si>
    <t>https://drive.google.com/file/d/1fTu_wkX8WTUrl7w_J1EUAZ5Dv_qbBHnK/view?usp=drivesdk</t>
  </si>
  <si>
    <t>0600-0700</t>
  </si>
  <si>
    <t>https://lh5.googleusercontent.com/d/11viuh4XU5HwgXtAJ2VOdd7UeoKeQYaGD</t>
  </si>
  <si>
    <t>https://drive.google.com/file/d/1RXksrJqmLUNk6GLTe-96ZhR9LegZrL9S/view?usp=drivesdk</t>
  </si>
  <si>
    <t>https://lh5.googleusercontent.com/d/1UY_hFjOlyUy1AlgwKCpPv-lxQNwZLMWi</t>
  </si>
  <si>
    <t>https://drive.google.com/file/d/1I467_o1Qzmf126xIGZOr0kVJDNLmOwIa/view?usp=drivesdk</t>
  </si>
  <si>
    <t>นพอ.ศลิษา สุรินผัส</t>
  </si>
  <si>
    <t>https://lh5.googleusercontent.com/d/1KJ8t3lj52D8kChysbvewMqndVZUppMdC</t>
  </si>
  <si>
    <t>https://drive.google.com/file/d/1sFE1hysvjM2CLLIfxvxzccyDKM9tZaYt/view?usp=drivesdk</t>
  </si>
  <si>
    <t>งานกาชาดไทย 2568</t>
  </si>
  <si>
    <t>12.00-21.00</t>
  </si>
  <si>
    <t>น.อ.ผศ.วัลลภา อันดารา</t>
  </si>
  <si>
    <t>https://lh5.googleusercontent.com/d/1zoXybWfssveoW82DazZr9zfkuIeSjS43</t>
  </si>
  <si>
    <t>https://drive.google.com/file/d/1F2-hF9CzwT2-RwCVvWJxJn3RDDwvq3Oj/view?usp=drivesdk</t>
  </si>
  <si>
    <t>ชมรมดุริยางค์ เข้าแถวตอนเช้า</t>
  </si>
  <si>
    <t>https://lh5.googleusercontent.com/d/13q5rs0oOzOhrn3ebHUDtggT0NXdOaXnj</t>
  </si>
  <si>
    <t>https://drive.google.com/file/d/1yFhvj1WGJ3c65ApfmAt5i_E02DiY8aDe/view?usp=drivesdk</t>
  </si>
  <si>
    <t>https://lh5.googleusercontent.com/d/1IMCIEFO-3q_6KXCiqgMvgFEK1zhIcRkF</t>
  </si>
  <si>
    <t>https://drive.google.com/file/d/1xljaYQPTd1YwCarPGyHjTVb0e6mB9TVI/view?usp=drivesdk</t>
  </si>
  <si>
    <t>https://lh5.googleusercontent.com/d/10LusNelGQ3rKz_wFzCe00ntbBYjT2Oif</t>
  </si>
  <si>
    <t>https://drive.google.com/file/d/1U1w2qkTRNucOhdXxaApae9cMJPPDSaSv/view?usp=drivesdk</t>
  </si>
  <si>
    <t>https://lh5.googleusercontent.com/d/1oOUSIu6KXhHmPRlrjOSDo_zEYGvRSxGT</t>
  </si>
  <si>
    <t>https://drive.google.com/file/d/1s-s2rjKB3C4YRJ8wKb1knDhZOk8UaNqO/view?usp=drivesdk</t>
  </si>
  <si>
    <t>https://lh5.googleusercontent.com/d/1Sm2j6WPc9InBjasZmz9f4lc8Hq8YOBjZ</t>
  </si>
  <si>
    <t>https://drive.google.com/file/d/1zIQtWyJng68FKLd9oB-22CvTeDkZ9hSg/view?usp=drivesdk</t>
  </si>
  <si>
    <t>https://lh5.googleusercontent.com/d/1Kc-YFk6Oux50SPTC-1kWFhPIruzxcVQ6</t>
  </si>
  <si>
    <t>https://drive.google.com/file/d/19zsQAnp2sVbqzBEGKGunkTDgDB7SLISx/view?usp=drivesdk</t>
  </si>
  <si>
    <t>https://lh5.googleusercontent.com/d/1ZU5H_F3sWEg8AZubC_NDsSk7hF4QlkF3</t>
  </si>
  <si>
    <t>https://drive.google.com/file/d/1FTRgoQnLiro3h3OChts87THVC3AqW1a7/view?usp=drivesdk</t>
  </si>
  <si>
    <t>https://lh5.googleusercontent.com/d/1lxyWtrjoi5Rizf7PA_ExKWWlYW4ag2ES</t>
  </si>
  <si>
    <t>https://drive.google.com/file/d/1h8o8aPAH3rE5fY2GX-rbb19qiJYcs1Zr/view?usp=drivesdk</t>
  </si>
  <si>
    <t>วรางคณา ปางชาติ</t>
  </si>
  <si>
    <t>https://lh5.googleusercontent.com/d/1H-sOoUD1dIJzGlLTb9SBfmrcOzDYEasv</t>
  </si>
  <si>
    <t>https://drive.google.com/file/d/1xyrkelchbpPGOWgvEnvArtbpWgt9K-Z7/view?usp=drivesdk</t>
  </si>
  <si>
    <t>https://lh5.googleusercontent.com/d/1ACGoi6NjLjtf9zhQnaf7EQPmjSwgidiU</t>
  </si>
  <si>
    <t>https://drive.google.com/file/d/1kmfomQ9cMBEukNTKHRM9B69PFulvcUQw/view?usp=drivesdk</t>
  </si>
  <si>
    <t>https://lh5.googleusercontent.com/d/1XxFbGhZbnv8l2tR8w1pJPyMnQy7K9Uw3</t>
  </si>
  <si>
    <t>https://drive.google.com/file/d/1p05PNbDdmrOq-fofmXL6J6-KYgn3TTnh/view?usp=drivesdk</t>
  </si>
  <si>
    <t>https://lh5.googleusercontent.com/d/16dRyeUXWliZGrhd3RbXfUbfF5oyjC_Kr</t>
  </si>
  <si>
    <t>https://drive.google.com/file/d/1LxL-88VNuOjSWeHUtCOA7__gPulbPwSL/view?usp=drivesdk</t>
  </si>
  <si>
    <t>https://lh5.googleusercontent.com/d/1OlL0tpEz1d-v7pa16wcEjgGu6V_pcdvQ</t>
  </si>
  <si>
    <t>https://drive.google.com/file/d/1oHmcb1dhhbzwDnB94RjdaoeEWA6jRZYJ/view?usp=drivesdk</t>
  </si>
  <si>
    <t>https://lh5.googleusercontent.com/d/1tCjD5lQfMngC-wkW1__70vdCnozP8rXg</t>
  </si>
  <si>
    <t>https://drive.google.com/file/d/1fjrpeSpp6Or5-E8o-NO3FCwWmYXeR4i8/view?usp=drivesdk</t>
  </si>
  <si>
    <t>https://lh5.googleusercontent.com/d/1q8T6kiJSX6MDDAtaZUbNKLajO9-oiI1Z</t>
  </si>
  <si>
    <t>https://drive.google.com/file/d/1bOG5ljftlvBsCbPhJ0OAH4mrztxl0BSq/view?usp=drivesdk</t>
  </si>
  <si>
    <t>https://lh5.googleusercontent.com/d/1VWRp3Wuja-aEeeBDhvFm6SYJo8CFPKQO</t>
  </si>
  <si>
    <t>https://drive.google.com/file/d/1y3zgSi9oNu5swbg6b8TxM9nzoOGPPyL6/view?usp=drivesdk</t>
  </si>
  <si>
    <t>https://lh5.googleusercontent.com/d/1UzoVz7qAY4bgGty1S_3vgOnwO_vYUtlg</t>
  </si>
  <si>
    <t>https://drive.google.com/file/d/184ELnONszXkqf6t9qG8DvWZOeznzZ_rk/view?usp=drivesdk</t>
  </si>
  <si>
    <t>https://lh5.googleusercontent.com/d/1BDPOzCkNptJ5qzpn_HaAmbVdOwtXtvnH</t>
  </si>
  <si>
    <t>https://drive.google.com/file/d/1pUqKCPg4O-nttsGZysprRsb6OWUBbnIM/view?usp=drivesdk</t>
  </si>
  <si>
    <t>https://lh5.googleusercontent.com/d/13nVARBII_AsN-Su6UEkQncFbIzqqo2lw</t>
  </si>
  <si>
    <t>https://drive.google.com/file/d/1cuQy_TkcFrLGTDhBe4fRBMEu8ZtmgqMZ/view?usp=drivesdk</t>
  </si>
  <si>
    <t>https://lh5.googleusercontent.com/d/1T6mLw26lp0Sel2Bm8GvZtLKtmie5QpAy</t>
  </si>
  <si>
    <t>https://drive.google.com/file/d/1dCoBiUHJGm2wsmeUoHOpit4I7wUCqUAZ/view?usp=drivesdk</t>
  </si>
  <si>
    <t>https://lh5.googleusercontent.com/d/1OlPAn8XzPDEBDRSP2Z3Raw6OxTvUxBCA</t>
  </si>
  <si>
    <t>https://drive.google.com/file/d/1KRlrvB8vAo6DHfSdwAOG6xWhNiXR6cyZ/view?usp=drivesdk</t>
  </si>
  <si>
    <t>https://lh5.googleusercontent.com/d/1eybGdKN7tdH13ylDj_VdxfYfKohGXEm8</t>
  </si>
  <si>
    <t>https://drive.google.com/file/d/1OzaFhMaSxQsyayghdPmce1CHrbYlAqMU/view?usp=drivesdk</t>
  </si>
  <si>
    <t>https://lh5.googleusercontent.com/d/1jshFB2u0y2so_QdS8YCtx6ysdrLl0fN7</t>
  </si>
  <si>
    <t>https://drive.google.com/file/d/1G-DD9Aq6IdgquF7UQt2Y-DojfEZfAB_e/view?usp=drivesdk</t>
  </si>
  <si>
    <t>ศูนย์บริจาคโลหิตโรงพยาบาลภูมิพลอดุลยเดช</t>
  </si>
  <si>
    <t>https://lh5.googleusercontent.com/d/1S1Rw2W1CM4TASe23TUtyZ3tgYMp4pvwM</t>
  </si>
  <si>
    <t>https://drive.google.com/file/d/1P0gDsIw6hoCy6raCa01DZoyqxF4eMi4B/view?usp=drivesdk</t>
  </si>
  <si>
    <t>ศูนย์บริจาคโลหิตรพ.ภูมิพลอดุลยเดช</t>
  </si>
  <si>
    <t>https://lh5.googleusercontent.com/d/1lXCrUp0riMHmTANM7D-qhJoUVIc9Agcb</t>
  </si>
  <si>
    <t>https://drive.google.com/file/d/1wdC83RT7dk59S-RVpuohHHM-AkNQ7xvV/view?usp=drivesdk</t>
  </si>
  <si>
    <t>https://lh5.googleusercontent.com/d/1HXzJTiqrGto9Zi8MIPtJchkDnuDQMLR0</t>
  </si>
  <si>
    <t>https://lh5.googleusercontent.com/d/1uC1EGuLefAbURSk-JnT9SOUZYkCBFeI5</t>
  </si>
  <si>
    <t>https://drive.google.com/file/d/1ABTmgAYicFCdLeZ4TM8SyXeyfug50sUj/view?usp=drivesdk</t>
  </si>
  <si>
    <t>https://lh5.googleusercontent.com/d/12opZQfPkBRdfq3m0ryyvWj6EHZRkVVvI</t>
  </si>
  <si>
    <t>https://drive.google.com/file/d/1gVOZ8htgrwUP67UA4GplxaEryo2tL0U9/view?usp=drivesdk</t>
  </si>
  <si>
    <t>https://lh5.googleusercontent.com/d/1ho0EX_vayQOBKoqeqziCPpfR9tOPYs_o</t>
  </si>
  <si>
    <t>https://drive.google.com/file/d/1De6N-sO82GZ8fExGk5NfuEn0JaWsYrOy/view?usp=drivesdk</t>
  </si>
  <si>
    <t>https://lh5.googleusercontent.com/d/1VDpcDz2uuc35xuVaqpOxWfuTx80QcOEb</t>
  </si>
  <si>
    <t>https://drive.google.com/file/d/1F719UfPC6O82a6TNoUJYU70PHbLcFp7H/view?usp=drivesdk</t>
  </si>
  <si>
    <t>https://lh5.googleusercontent.com/d/1fgnqJqaIjap6G_jzPRlu0WqO4zMNOxFk</t>
  </si>
  <si>
    <t>https://drive.google.com/file/d/1sYOvbjVf6eJTMHQTGRYB4xmXKRs80idK/view?usp=drivesdk</t>
  </si>
  <si>
    <t>https://lh5.googleusercontent.com/d/15KDvaGA2iYWg5t14hGKqFnzEBsNcxyKR</t>
  </si>
  <si>
    <t>https://drive.google.com/file/d/1YDEJYRL-LKOkRLu0bDnfnnxy-8uL4goP/view?usp=drivesdk</t>
  </si>
  <si>
    <t>https://lh5.googleusercontent.com/d/1l_yTnUjaBxD4CEWNxQGZstv7bc3vBnkH</t>
  </si>
  <si>
    <t>https://drive.google.com/file/d/1BrZfxC4NjBBWKFNWH-9dANJxbEHb6gs8/view?usp=drivesdk</t>
  </si>
  <si>
    <t>https://lh5.googleusercontent.com/d/1mAHP9kHc-FRdLH5Pm8AjVfpT58pMx_-H</t>
  </si>
  <si>
    <t>https://drive.google.com/file/d/1MJ_aM-RDo5wZGkGNRanDxkOM4WIE2BNL/view?usp=drivesdk</t>
  </si>
  <si>
    <t>https://lh5.googleusercontent.com/d/1s52S3mx9H033-YLCqzxH4AIDI6LMUlw7</t>
  </si>
  <si>
    <t>https://drive.google.com/file/d/1U_8KZ3UghI3pEFrjEtiOU0XruYtDnggs/view?usp=drivesdk</t>
  </si>
  <si>
    <t>https://lh5.googleusercontent.com/d/1ykcqR6tgydPXsee07e-xS03IR6oaBT1d</t>
  </si>
  <si>
    <t>https://drive.google.com/file/d/1uy1KFGEJoSXueYNtWNNGh1bRlLS02N4U/view?usp=drivesdk</t>
  </si>
  <si>
    <t>https://lh5.googleusercontent.com/d/1W2fjZniEDGcVaEN5-cmALm4ghmmpcI9H</t>
  </si>
  <si>
    <t>https://drive.google.com/file/d/1fNPdfigbuUFXJQdQRnW83XN7Kt0LjyJv/view?usp=drivesdk</t>
  </si>
  <si>
    <t>https://lh5.googleusercontent.com/d/1aR4nooX7JWlTSswixEZHKGpQXwTlq-Be</t>
  </si>
  <si>
    <t>https://drive.google.com/file/d/1tCiNwMSWejqt9ZewmIjsLZaaXFAxZZBg/view?usp=drivesdk</t>
  </si>
  <si>
    <t>https://lh5.googleusercontent.com/d/1le1MiZFwJL9w2Lmo4_MjLBgI8y7Gv-EW</t>
  </si>
  <si>
    <t>https://drive.google.com/file/d/1tIvPCz87O0Acgd8XjN0PFcERjx-Deem_/view?usp=drivesdk</t>
  </si>
  <si>
    <t>https://lh5.googleusercontent.com/d/1blGzatDFB4Qpgge1JiawJ0Df8EAPolmN</t>
  </si>
  <si>
    <t>https://drive.google.com/file/d/1SVjfk60kVWN2TVzNbLTJ_OfYqsZ3EkxW/view?usp=drivesdk</t>
  </si>
  <si>
    <t>https://lh5.googleusercontent.com/d/1n4QtJTQHjhX800bb1j61iNSMwmoOdbiE</t>
  </si>
  <si>
    <t>https://drive.google.com/file/d/1uHoatkn97lQPOQ_7dwVJkf2VDy3hwP9R/view?usp=drivesdk</t>
  </si>
  <si>
    <t>ศูนย์การแพทย์สมเด็จพระเทพรัตนราชสุดาฯ สยามบรมราชกุมารี</t>
  </si>
  <si>
    <t>https://lh5.googleusercontent.com/d/1aDz16DC5eoF8BLD76P0ULYaTXC1K7CeW</t>
  </si>
  <si>
    <t>https://drive.google.com/file/d/1VcAtXdxWNf6Fo1OooefyhyM_HobfiQg6/view?usp=drivesdk</t>
  </si>
  <si>
    <t>https://lh5.googleusercontent.com/d/1xtFXiNDS_8esjt4ulZyAkU74Ys2FqyW9</t>
  </si>
  <si>
    <t>https://drive.google.com/file/d/1LHivqLzyGODOaJt4pdwQrdLKmCEONpvc/view?usp=drivesdk</t>
  </si>
  <si>
    <t>https://lh5.googleusercontent.com/d/1rkpzd3P0QMlRyHhgmM-VT4wkXRUyQ83A</t>
  </si>
  <si>
    <t>https://drive.google.com/file/d/1LMTgE9mUvaVwwQmXbo9kd1XgxdHXIhw1/view?usp=drivesdk</t>
  </si>
  <si>
    <t>https://lh5.googleusercontent.com/d/1rBz6C9EQQ5gsZwlFBBk_GTQhwfLfpKOs</t>
  </si>
  <si>
    <t>https://drive.google.com/file/d/1GwX-VTCKmth5tnTPEBTtjJqWzU9Iwdy4/view?usp=drivesdk</t>
  </si>
  <si>
    <t>3867</t>
  </si>
  <si>
    <t>https://lh5.googleusercontent.com/d/1SdEFkVKAaUQb8kfusr4yQZJWMl12kpFc</t>
  </si>
  <si>
    <t>https://drive.google.com/file/d/1pADJ-hYTUpT4QVlltrkSJdUUgoDc94_Z/view?usp=drivesdk</t>
  </si>
  <si>
    <t>https://lh5.googleusercontent.com/d/16_02IneUJnuPy41yMsqXeHCiaW3Vyfmt</t>
  </si>
  <si>
    <t>https://drive.google.com/file/d/1NWkAqDPdVQ2ACeM6SglT8pNSjy7zjYl8/view?usp=drivesdk</t>
  </si>
  <si>
    <t>https://lh5.googleusercontent.com/d/1tR7ufN2wcBYpGv6ytGP7yfLQeOUcWZhP</t>
  </si>
  <si>
    <t>https://drive.google.com/file/d/1dBx-6wEsn4HeYFTNXwKpZ1lCwvaTFm3T/view?usp=drivesdk</t>
  </si>
  <si>
    <t>https://lh5.googleusercontent.com/d/12s8YV4xfQlTwKD8aoJLGPITIREjy0mDG</t>
  </si>
  <si>
    <t>https://drive.google.com/file/d/15F64SXIw6faMj8xGF4pKpf_XWc9kkwBW/view?usp=drivesdk</t>
  </si>
  <si>
    <t>https://lh5.googleusercontent.com/d/18S-7oEUqd8DMWi-nnE29JDfPHGsGKPtQ</t>
  </si>
  <si>
    <t>https://drive.google.com/file/d/1qcUK3WGoPUw2gORvXWyxceoPrY6qU8Sq/view?usp=drivesdk</t>
  </si>
  <si>
    <t>https://lh5.googleusercontent.com/d/1e5Sn_a21OuyQVRJKic10lnCJc7dVe19p</t>
  </si>
  <si>
    <t>https://drive.google.com/file/d/1CxAqRUQWIJGQL84W8WsJgQIRU2wUMaNO/view?usp=drivesdk</t>
  </si>
  <si>
    <t>ค่ายยุวชนพัฒนาครั้งที่ 215</t>
  </si>
  <si>
    <t>วัดสามบัณฑิต จ.อยุธยส</t>
  </si>
  <si>
    <t>https://lh5.googleusercontent.com/d/1NWJXWLreU3mJ-2TTC4fJfOa1fj1qrtCX</t>
  </si>
  <si>
    <t>https://drive.google.com/file/d/1dIiwNdtV3y_gTLEg54NdAqhCmawx19_l/view?usp=drivesdk</t>
  </si>
  <si>
    <t>https://lh5.googleusercontent.com/d/1MvMsggv4jNLx1Dq_ap1q1Q0KS37ngDN0</t>
  </si>
  <si>
    <t>https://drive.google.com/file/d/1iCqqenW_ZWBL1XT55mn2tiPCb7EmdFe3/view?usp=drivesdk</t>
  </si>
  <si>
    <t>https://lh5.googleusercontent.com/d/1aAhixaARuSNY_Fg-10y6UfJuTJlYotD8</t>
  </si>
  <si>
    <t>https://drive.google.com/file/d/1j24Guvul8sRmXU6Fz_8GkOlSDwAsPRQv/view?usp=drivesdk</t>
  </si>
  <si>
    <t>https://lh5.googleusercontent.com/d/1VeZn7Q1guXOHS948wlVFZe0u4oDiCTGh</t>
  </si>
  <si>
    <t>https://drive.google.com/file/d/1bP2m4S2FuYluXTf29gL1WmMiOWgunlgI/view?usp=drivesdk</t>
  </si>
  <si>
    <t>https://lh5.googleusercontent.com/d/151ZcwxyaXMbiiseyyonos4b0rNkum7Ju</t>
  </si>
  <si>
    <t>https://drive.google.com/file/d/1q5f4YZlIAu94Z3rK6uwUxWDCRabbdmpD/view?usp=drivesdk</t>
  </si>
  <si>
    <t>https://lh5.googleusercontent.com/d/1kTMqUx7FPHVi3o9cMkgk2uFQUjByOiyR</t>
  </si>
  <si>
    <t>https://drive.google.com/file/d/14xIMmaCWLNTesIvKyOZcolzauJU1VvpP/view?usp=drivesdk</t>
  </si>
  <si>
    <t>พิธีเปิด-ปิดกีฬาภายในกองทัพ</t>
  </si>
  <si>
    <t>สนามกีฬาธูปเตมีย์</t>
  </si>
  <si>
    <t>https://lh5.googleusercontent.com/d/1EmI2hvZox-ckxqlzUl4X3rhVMdkyo6Me</t>
  </si>
  <si>
    <t>https://drive.google.com/file/d/1RcExzVjFPWi754dCrQwGTTY5NiaTqWv-/view?usp=drivesdk</t>
  </si>
  <si>
    <t>680399</t>
  </si>
  <si>
    <t>https://lh5.googleusercontent.com/d/18mdChjZhpZLKGQ_falnjDSsQaeHRqelD</t>
  </si>
  <si>
    <t>https://drive.google.com/file/d/1enZIDAY-1I1hN9AYo4Gi64JJPRqyJX81/view?usp=drivesdk</t>
  </si>
  <si>
    <t>หอประชุมธูปเตมีย์ รพ.ภูมิพล</t>
  </si>
  <si>
    <t>https://lh5.googleusercontent.com/d/1mhSSVb60xMQRYkd8tQh_orqRq0FpcNVl</t>
  </si>
  <si>
    <t>https://drive.google.com/file/d/115jFhq_i7L-0uKXUquA6zotmtGq2wG42/view?usp=drivesdk</t>
  </si>
  <si>
    <t>https://lh5.googleusercontent.com/d/1LCrEz8UmbcgX_8-9xI1CeGcXkOf61BBo</t>
  </si>
  <si>
    <t>https://drive.google.com/file/d/1zq7nlyYK-T2yM_8td9vS7iA6HiKBJz8x/view?usp=drivesdk</t>
  </si>
  <si>
    <t>ปูเตียงให้คุณแม่</t>
  </si>
  <si>
    <t>1900</t>
  </si>
  <si>
    <t>https://lh5.googleusercontent.com/d/1yWSGQpKhObw3nimMPltwTfJFjXteKaMw</t>
  </si>
  <si>
    <t>https://drive.google.com/file/d/1Ko1gCzz9ujvciZaeH_dxs2Vys5Olph6T/view?usp=drivesdk</t>
  </si>
  <si>
    <t>https://lh5.googleusercontent.com/d/14OU5-5ipfqLllldW2XV-nIZhJEuZvsGK</t>
  </si>
  <si>
    <t>https://drive.google.com/file/d/1c1GBl9cRfM4-0fhqkRnGEroIHjE9l6ZU/view?usp=drivesdk</t>
  </si>
  <si>
    <t>https://lh5.googleusercontent.com/d/1hROMasR3Y-ZySChqQhkRHp0D2qWgmHSS</t>
  </si>
  <si>
    <t>https://drive.google.com/file/d/1WiSQWZuu6q-Mj6OzJZeRoDWPjEV8d24N/view?usp=drivesdk</t>
  </si>
  <si>
    <t>https://lh5.googleusercontent.com/d/1-loh9EFUEda6AfIwNZ_pLDPZuM8Do7Tb</t>
  </si>
  <si>
    <t>https://drive.google.com/file/d/142m7ImspUZbE4COlOHraVe0cGHh1hD7w/view?usp=drivesdk</t>
  </si>
  <si>
    <t>https://lh5.googleusercontent.com/d/15OTjP6Vw2vnBn7uI8zeyLxgQFiSXERtR</t>
  </si>
  <si>
    <t>https://drive.google.com/file/d/1kW4UpQJf2MawxhW83mKot81m6RzXSxjA/view?usp=drivesdk</t>
  </si>
  <si>
    <t>https://lh5.googleusercontent.com/d/1I4-MptEmkG1X-rHKHYGszFfjh2szZUL_</t>
  </si>
  <si>
    <t>https://drive.google.com/file/d/19gBtHXUvtQbvh_tycMCcOQM41Ap7Tg3k/view?usp=drivesdk</t>
  </si>
  <si>
    <t>พิธีฟังสารผู้บัญชาการทหารอากาศเนื่องใน “วันกองทัพอากาศ” ประจำปี 2569</t>
  </si>
  <si>
    <t>https://lh5.googleusercontent.com/d/1tS0Vvsw4RlKm4KwLHlLFds0M3Kbp3dYz</t>
  </si>
  <si>
    <t>https://drive.google.com/file/d/1i0clJX-5E486wg0hSN0S0Ij7FCfOasms/view?usp=drivesdk</t>
  </si>
  <si>
    <t>พิธีฟังสารผู้บัญชาการทหารอากาศ ประจำปี 2569</t>
  </si>
  <si>
    <t>https://lh5.googleusercontent.com/d/1BZvVjW2y0OgkNdfpjDGSVn6lCsjkP_3t</t>
  </si>
  <si>
    <t>https://drive.google.com/file/d/1W0xsmF0HWVJdtsa_6JOlkI3YIfQ7A18z/view?usp=drivesdk</t>
  </si>
  <si>
    <t>ช่วยเหลืองานรับสมัครนพอ รุ่น69</t>
  </si>
  <si>
    <t>https://lh5.googleusercontent.com/d/1qfJdACi5ntVit3s6yn7XDrfguNYr4T7M</t>
  </si>
  <si>
    <t>https://drive.google.com/file/d/1x5tLo5I816zdzUBeRi0GdfnpI6M_pWDK/view?usp=drivesdk</t>
  </si>
  <si>
    <t>นพอ.ภัทราพร ถึงกัน</t>
  </si>
  <si>
    <t>https://lh5.googleusercontent.com/d/1jSFiDcDevzmyhm6gimBagyE4-D5TFQNV</t>
  </si>
  <si>
    <t>https://drive.google.com/file/d/1dR3MkKaAoTQ2gnZmItpWS9MD84vQ2Mj2/view?usp=drivesdk</t>
  </si>
  <si>
    <t>ช่วยจัดเก็บห้องปฏิบัติการมารดาทารกและการผดุงครรภ์</t>
  </si>
  <si>
    <t>https://lh5.googleusercontent.com/d/1PLiBip91PbRM2ci7V8n1od8FBldnFfGt</t>
  </si>
  <si>
    <t>https://drive.google.com/file/d/1eEKOVueLYzxHhEaOh7b0HV_3iRWeTuPk/view?usp=drivesdk</t>
  </si>
  <si>
    <t>https://lh5.googleusercontent.com/d/1N6qYgHfmEr8-BeDzFWgnkV4_ZqK35fch</t>
  </si>
  <si>
    <t>https://drive.google.com/file/d/1doJovaoFwAmWUsx-RvmC1B0ExfLrEALz/view?usp=drivesdk</t>
  </si>
  <si>
    <t>https://lh5.googleusercontent.com/d/1Lu106Bna1BVwYmUYW2Gi18aD8aC2lhw6</t>
  </si>
  <si>
    <t>https://drive.google.com/file/d/1O6R95h4ezxyckjTew3LK_YHrHfAdJObA/view?usp=drivesdk</t>
  </si>
  <si>
    <t>รตนพร  สินทรัพย์</t>
  </si>
  <si>
    <t>https://lh5.googleusercontent.com/d/1TF8b_HWvIe_4YtzYTwELsmdGdRRVih4B</t>
  </si>
  <si>
    <t>https://drive.google.com/file/d/1nZecACM99dx1SgZmDEt3j8eCfLwBcWh4/view?usp=drivesdk</t>
  </si>
  <si>
    <t>รตนพร สินทรัพย์</t>
  </si>
  <si>
    <t>https://lh5.googleusercontent.com/d/1N2PBwBHCGBVN4VccbwjwyKc8M2aci1Yu</t>
  </si>
  <si>
    <t>https://drive.google.com/file/d/1RP0ZzjvwjjwAw4FnrQXBiu8HuaXNvjew/view?usp=drivesdk</t>
  </si>
  <si>
    <t>https://lh5.googleusercontent.com/d/1HszYM3vzC-9I2XrP015W4nbsyAoC_s7E</t>
  </si>
  <si>
    <t>https://drive.google.com/file/d/1rE7o9tcUE5_x2IAAujR3AbGxstKfmkVw/view?usp=drivesdk</t>
  </si>
  <si>
    <t>https://lh5.googleusercontent.com/d/1VIDG77lWrxDowQcRG-_P-EYIZCRaBJlH</t>
  </si>
  <si>
    <t>https://drive.google.com/file/d/1f9PXLDNk_fM_xwjJzEuNr7A2fSQ_F5YA/view?usp=drivesdk</t>
  </si>
  <si>
    <t>https://lh5.googleusercontent.com/d/1AVO8APxUpRc04fda1qjN4sKzsQAtQP62</t>
  </si>
  <si>
    <t>https://drive.google.com/file/d/1B8JS7KPzIk22UsWmhT6_oimQGN9aws7f/view?usp=drivesdk</t>
  </si>
  <si>
    <t>พิธีเปิด-ปิดกีฬาภายในกองทัพภายในกองทัพอากาศ</t>
  </si>
  <si>
    <t>https://lh5.googleusercontent.com/d/1xiNXMgc56kapwjTwQmnIlmyN-_n6lsN2</t>
  </si>
  <si>
    <t>https://drive.google.com/file/d/1m2uP_4Zb-wcfKgFEi3qdcQIoiEntCc1G/view?usp=drivesdk</t>
  </si>
  <si>
    <t>https://lh5.googleusercontent.com/d/1_1O-RyzECyMdlvnjjo9qF62SIlgPtc3u</t>
  </si>
  <si>
    <t>https://drive.google.com/file/d/1ctTktaF-HZya-VSQDGydFCjQlIs4OJyw/view?usp=drivesdk</t>
  </si>
  <si>
    <t>https://lh5.googleusercontent.com/d/1m01XKwDtWx3zA3lUmtXKpMmYLQmdvjim</t>
  </si>
  <si>
    <t>https://drive.google.com/file/d/1PeQeD_43ZM4rpD24rEUcV6KlGgYwYjYS/view?usp=drivesdk</t>
  </si>
  <si>
    <t>ซ้องานพิธีมอบหมวกพยาบาลวิชาชีพ ปีการศึกษา 2568</t>
  </si>
  <si>
    <t>ร.อ.อนุชิตทำจะดี</t>
  </si>
  <si>
    <t>https://lh5.googleusercontent.com/d/1NPYXfkFBAqs-7yDyX4ZfCGkX01Ea_33j</t>
  </si>
  <si>
    <t>https://drive.google.com/file/d/17XDrkXZ9jXMSkx40MCd7SqBhZo8FInv0/view?usp=drivesdk</t>
  </si>
  <si>
    <t>1700 -2100</t>
  </si>
  <si>
    <t>https://lh5.googleusercontent.com/d/1kw2rkhBh0I1qOS8Hoc0_7UwHRcF1Emm0</t>
  </si>
  <si>
    <t>https://drive.google.com/file/d/1IaAWIjM_7y72Rjewnnmy_hsd_Bs-oZJz/view?usp=drivesdk</t>
  </si>
  <si>
    <t>https://lh5.googleusercontent.com/d/1qChOeXSPjXJhNJN_8gxXiZv14xUtKqSz</t>
  </si>
  <si>
    <t>https://drive.google.com/file/d/1zMczC8RMimbMoy_xqJr7TZs3YL2u61Li/view?usp=drivesdk</t>
  </si>
  <si>
    <t>https://lh5.googleusercontent.com/d/1Qh9EYvUjBy8etGnzWiBzioQTCd05eXLo</t>
  </si>
  <si>
    <t>https://drive.google.com/file/d/1Bw2-dokchdcMXl77TMdfpn5dPOQGhgMT/view?usp=drivesdk</t>
  </si>
  <si>
    <t>https://lh5.googleusercontent.com/d/1q0iAUcFE4W6jI3QFfKvrXewwb6gxcpNp</t>
  </si>
  <si>
    <t>https://drive.google.com/file/d/1Ye9RIG8dsxMA04LXOiWVefhBc9v-G2Kd/view?usp=drivesdk</t>
  </si>
  <si>
    <t>https://lh5.googleusercontent.com/d/17xd8pW0CJXzL9wN3EwbSxFBqRrqhD23z</t>
  </si>
  <si>
    <t>https://drive.google.com/file/d/1XCew-Njs5_QjIXsLR6cxn2vip1n2spQF/view?usp=drivesdk</t>
  </si>
  <si>
    <t>https://lh5.googleusercontent.com/d/1OTn5jSDMJEWU1GgjH3bXOYaDNeMAXD_h</t>
  </si>
  <si>
    <t>https://drive.google.com/file/d/12_2g8RoXbxzDIn11lWaRdzf6KG3Kq9TQ/view?usp=drivesdk</t>
  </si>
  <si>
    <t>ช่วยพ่อขัดระเบียง</t>
  </si>
  <si>
    <t>https://lh5.googleusercontent.com/d/1LlJAU6eQdsA1l-eR4PrKj29Zn6r3-eIq</t>
  </si>
  <si>
    <t>https://drive.google.com/file/d/1QKWJdJj6_UxBkXwx7yJ2VEibbmBW7tJu/view?usp=drivesdk</t>
  </si>
  <si>
    <t>พีรชา แสงไทย</t>
  </si>
  <si>
    <t>https://lh5.googleusercontent.com/d/10w-cmP5Gd2FUgQPki3vuDVLMm_-PgWql</t>
  </si>
  <si>
    <t>https://drive.google.com/file/d/1T1_Gskva-tUGGKNYDytezSvt9eYiQzPd/view?usp=drivesdk</t>
  </si>
  <si>
    <t>ช่วยพ่อเอาเรือลง</t>
  </si>
  <si>
    <t>กองบิน 5</t>
  </si>
  <si>
    <t>น.ต.ปรีดา หน่อทิม</t>
  </si>
  <si>
    <t>https://lh5.googleusercontent.com/d/1zJ9A1dLh8docXpbkj2-Xla4qJVG8eSwP</t>
  </si>
  <si>
    <t>https://drive.google.com/file/d/1IetE9tCR5JaWA1sJB-HREhbBIg-nDkPZ/view?usp=drivesdk</t>
  </si>
  <si>
    <t>งานวันเด็กแห่งชาติ</t>
  </si>
  <si>
    <t>โรงเรียนการบินกำแพงแสน</t>
  </si>
  <si>
    <t>https://lh5.googleusercontent.com/d/1L_YjsEvjI5GurR-8wMkUj77Qlb2oXZ6Y</t>
  </si>
  <si>
    <t>https://drive.google.com/file/d/1XsOC91jgla5TkpxAbewVnrX5w2nSMzTL/view?usp=drivesdk</t>
  </si>
  <si>
    <t>12:00-20:00</t>
  </si>
  <si>
    <t>https://lh5.googleusercontent.com/d/1V7KhHiaqmanESRA1QAO6p2YHTY4vOQeV</t>
  </si>
  <si>
    <t>https://drive.google.com/file/d/1-EvNCfp5_o3d5CMsHqVsFkyCyRACsI2Z/view?usp=drivesdk</t>
  </si>
  <si>
    <t>เดอะมอลล์นครราชสีมา</t>
  </si>
  <si>
    <t>ศูนย์บริจาคโลหิตเดอะมอลล์</t>
  </si>
  <si>
    <t>https://lh5.googleusercontent.com/d/1irJff7EjJnTC_5h_A4EQk3POfyDaaMJt</t>
  </si>
  <si>
    <t>https://drive.google.com/file/d/12xkQ864eHbKYxbMYSURxu-lvCk816FSi/view?usp=drivesdk</t>
  </si>
  <si>
    <t>https://lh5.googleusercontent.com/d/1UVr1KBsfpBzXiIEr6xJRT1UFVAe1-3w2</t>
  </si>
  <si>
    <t>https://drive.google.com/file/d/1dJa23mYHqznGuqFb9cKg65BzKCtLMHDb/view?usp=drivesdk</t>
  </si>
  <si>
    <t>ทำบุญวันวิสาขบูชา</t>
  </si>
  <si>
    <t>วัดเทพหิรัณย์</t>
  </si>
  <si>
    <t>https://lh5.googleusercontent.com/d/1c5ozbEpLmHWRoqIn0LTc0YbedfqTLeOH</t>
  </si>
  <si>
    <t>https://drive.google.com/file/d/19E3Sd-sgOfNVo6iRcUlnXFgwCEDGzsQ0/view?usp=drivesdk</t>
  </si>
  <si>
    <t>ทำบุญตักบาตรวันขึ้นปีใหม่</t>
  </si>
  <si>
    <t>หน้าตลาดสดเทศบาลชุมพร</t>
  </si>
  <si>
    <t>https://lh5.googleusercontent.com/d/1la_R8ZIH4Zasj1Dtkq5qJjyoJZJh0Yxa</t>
  </si>
  <si>
    <t>https://drive.google.com/file/d/1sQ5KLAG6hdpCaiN84-gK2F_6KiSnXikA/view?usp=drivesdk</t>
  </si>
  <si>
    <t>1330</t>
  </si>
  <si>
    <t>ศูนย์บริจาคโลหิตรพ.ภูมิพล</t>
  </si>
  <si>
    <t>https://lh5.googleusercontent.com/d/1mwx10EhW5PIyhwDiUjIog5VcXHkHWWwD</t>
  </si>
  <si>
    <t>https://drive.google.com/file/d/1L_4OkusZ_eRW7Vcfik5yh8R3n9Sfu74q/view?usp=drivesdk</t>
  </si>
  <si>
    <t>ช่วยท่านอาจารย์ทำแผ่นป้ายฝึกนภาภิบาล</t>
  </si>
  <si>
    <t>09:00-12:00</t>
  </si>
  <si>
    <t>https://lh5.googleusercontent.com/d/1O9Dg_AuQZWOLUyFVStMpEKJsEN6SIv50</t>
  </si>
  <si>
    <t>https://drive.google.com/file/d/1XKSbGzGtuvDvIYC3RrA7DYDWAKFwJ9wE/view?usp=drivesdk</t>
  </si>
  <si>
    <t>วัดหนองไผ่</t>
  </si>
  <si>
    <t>เจ้าอาวาสวัดหนองไผ่</t>
  </si>
  <si>
    <t>https://lh5.googleusercontent.com/d/1VsMxBIr38CuWiTKSEkLC6k-hGh3WHOB6</t>
  </si>
  <si>
    <t>https://drive.google.com/file/d/18GUORMaH7vPi1mdSts7qiZhVCUJvhAx_/view?usp=drivesdk</t>
  </si>
  <si>
    <t>ถอนผมหงอกให้มารดา</t>
  </si>
  <si>
    <t>107 หมู่ 10 ต.มะขามสูง อ.เมือง จ.พิษณุโลก</t>
  </si>
  <si>
    <t>18:00-20:00</t>
  </si>
  <si>
    <t>นางปรียาภรณ์ คล้ายสุวรรณ์</t>
  </si>
  <si>
    <t>https://lh5.googleusercontent.com/d/1X5N3DMDM1myWrofz4tIUl4-_TMjpK6ku</t>
  </si>
  <si>
    <t>https://drive.google.com/file/d/1oEZ7bXhL-oKxz9c9EK8yFg7M0FW63bYz/view?usp=drivesdk</t>
  </si>
  <si>
    <t>ให้อาหารสุนัขจรจัด</t>
  </si>
  <si>
    <t>วัดกระบังมังคลาราม</t>
  </si>
  <si>
    <t>https://lh5.googleusercontent.com/d/1w6yzoUE7hwGhO-0QcXPJOtsOEOLuxp7V</t>
  </si>
  <si>
    <t>https://drive.google.com/file/d/17ePVaXDUVOtLj8oCZmsRc3EcqociMYUu/view?usp=drivesdk</t>
  </si>
  <si>
    <t>ซ้อมพิธีมอบหมวกพยาบาลวิชาชีพ ปีการศึกษา 2568</t>
  </si>
  <si>
    <t>https://lh5.googleusercontent.com/d/1IpvLHg7bVU2E3Z5e4w5gCnmnyeFdMfLe</t>
  </si>
  <si>
    <t>https://drive.google.com/file/d/1ajhheTBRJT5_jebFy8n1j3Ut_Xj9zaqB/view?usp=drivesdk</t>
  </si>
  <si>
    <t>https://lh5.googleusercontent.com/d/11RYpVEYnwmZKnTpSGEz4sCHOqb9vmKsB</t>
  </si>
  <si>
    <t>https://drive.google.com/file/d/1tN9U_hRoXDpDNz-M2rlBT7O2BLWG9t8M/view?usp=drivesdk</t>
  </si>
  <si>
    <t>https://lh5.googleusercontent.com/d/12DO3RrwgWdjsDrTmhS34JCjMvX2KzzNl</t>
  </si>
  <si>
    <t>https://drive.google.com/file/d/1z2p4BfEhvS9x6U2LQQ_Sse9mpu4mNS7J/view?usp=drivesdk</t>
  </si>
  <si>
    <t>หอประชุมธูปะเตมีย์รพ.ภูมิพล</t>
  </si>
  <si>
    <t>https://lh5.googleusercontent.com/d/1QiBFLMyc2wG5hHc9cf-Ib0H-ih3JoY5Z</t>
  </si>
  <si>
    <t>https://drive.google.com/file/d/16oNVQu81rPd7R8Kwl567qVLGU4R6xQVS/view?usp=drivesdk</t>
  </si>
  <si>
    <t>เก็บหินบริเวณรั้วข้างหอพัก</t>
  </si>
  <si>
    <t>https://lh5.googleusercontent.com/d/1-EvwgP3NR-ZxxmQf2ndStyxrzeEDFAbS</t>
  </si>
  <si>
    <t>https://drive.google.com/file/d/1h-WleQAdjEqp_t_ZW_i1xBpZaUcYWdtJ/view?usp=drivesdk</t>
  </si>
  <si>
    <t>ทำบุญวันขึ้นปีใหม่ไทย(ช่วยตักน้ำรดพระพุทธรูป)</t>
  </si>
  <si>
    <t>วัดพระศรีรัตนมหาธาตุวรมหาวิหาร</t>
  </si>
  <si>
    <t>https://lh5.googleusercontent.com/d/1ti4pyiI8EAr6v5wNCWbfvyz4ncNypeq0</t>
  </si>
  <si>
    <t>https://drive.google.com/file/d/1sD9sHtD3mnBFTQT196iSc2rZ3b5EMvbm/view?usp=drivesdk</t>
  </si>
  <si>
    <t>นพอ.เบญจวรรณ มณีแนว</t>
  </si>
  <si>
    <t>https://lh5.googleusercontent.com/d/1GHOceqmJGVjfJdKKPcoH5cuU2otsD8wR</t>
  </si>
  <si>
    <t>https://drive.google.com/file/d/1P-7VhEpltuIMRQFhf5JX5ZTh1mrPhOCM/view?usp=drivesdk</t>
  </si>
  <si>
    <t>ซ้อมงานพิธีรับหมวกพยาบาลวิชาชีพ ปีการศึกษา 2568</t>
  </si>
  <si>
    <t>https://lh5.googleusercontent.com/d/1KB1y5GOEw0axbMxOV0ZmleKLlJndSSO0</t>
  </si>
  <si>
    <t>https://drive.google.com/file/d/1eHJpM_AA7fS7e5w-fvf4N7wsGfSwz9jY/view?usp=drivesdk</t>
  </si>
  <si>
    <t>https://lh5.googleusercontent.com/d/1sMAaFLiRC0rlYlcqJWsnM2zaaIt4cOu1</t>
  </si>
  <si>
    <t>https://drive.google.com/file/d/1k2G_zl3eMVL0JJ7CucIpqhjH-OTRe_KR/view?usp=drivesdk</t>
  </si>
  <si>
    <t>วัดนาวง</t>
  </si>
  <si>
    <t>พระครูปทุมเขตวิกรม</t>
  </si>
  <si>
    <t>https://lh5.googleusercontent.com/d/1I22k38V9OhTdf7IKwUVj8yWwc7kx62RM</t>
  </si>
  <si>
    <t>https://drive.google.com/file/d/1M_T6HoPZnZFY_6WRymIja_52V3dTaTlJ/view?usp=drivesdk</t>
  </si>
  <si>
    <t>https://lh5.googleusercontent.com/d/1P2RGMIGHQM_aRSLj1mD7vhQ7qh-pVcbd</t>
  </si>
  <si>
    <t>https://drive.google.com/file/d/1EIlFUV0HRHRM_hw4B3gDPwzRBVT4cM7B/view?usp=drivesdk</t>
  </si>
  <si>
    <t>ล้างห้องน้ำวัด</t>
  </si>
  <si>
    <t>https://lh5.googleusercontent.com/d/1UqDk78gvQa1eTfOAJEGKgv5GT_FOcYwL</t>
  </si>
  <si>
    <t>https://drive.google.com/file/d/1EpTZYBiLyna40uA5K3snwyQcDfYKo96z/view?usp=drivesdk</t>
  </si>
  <si>
    <t>https://lh5.googleusercontent.com/d/1z3MJhjfO02Ol5BEEY92PyQy51JTPx0c_</t>
  </si>
  <si>
    <t>https://drive.google.com/file/d/1KPJUs8QM1_jJIKcIPOCErZz_l02D-lFU/view?usp=drivesdk</t>
  </si>
  <si>
    <t>ไถ่ชีวิตโคกระบือ</t>
  </si>
  <si>
    <t>อำเภอวัดโบสถ์ จังหวัดพิษณุโลก</t>
  </si>
  <si>
    <t>https://lh5.googleusercontent.com/d/1icKXzMsB0nBQGHM8J5n9RJhMgJRG2OLV</t>
  </si>
  <si>
    <t>https://drive.google.com/file/d/1burWUcu8rqzWg6-MFaiN2d0dkc_awGoH/view?usp=drivesdk</t>
  </si>
  <si>
    <t>https://lh5.googleusercontent.com/d/1j6eWvUc4Lml6FK0GFNu23LxIKxcACAV2</t>
  </si>
  <si>
    <t>https://drive.google.com/file/d/1dWc5y8ZNc00yBoWfLbOS6o0GnIr9HGca/view?usp=drivesdk</t>
  </si>
  <si>
    <t>https://lh5.googleusercontent.com/d/18DW-WcZc9mFomK3iZQW_-PoML0x_HP7p</t>
  </si>
  <si>
    <t>https://drive.google.com/file/d/1nh3POfwEd2M08x0LspBhPMGRdi_K8qkA/view?usp=drivesdk</t>
  </si>
  <si>
    <t>ทำความสะอาด(เก็บดอกไม้)ภายในอุโมงค์พระธาตุ</t>
  </si>
  <si>
    <t>https://lh5.googleusercontent.com/d/1V8QzXHgN64xtX5ZGVR1DDLUViYikh-Y3</t>
  </si>
  <si>
    <t>https://drive.google.com/file/d/1hDk8sZvNopPqlMOc7gjOGruuH8Pzwyxh/view?usp=drivesdk</t>
  </si>
  <si>
    <t>ลานหน้าคุณพ่อ</t>
  </si>
  <si>
    <t>0700-0735</t>
  </si>
  <si>
    <t>https://lh5.googleusercontent.com/d/1ZMJsp2E7vIE46Leizl3FMzuT7wAjrA7B</t>
  </si>
  <si>
    <t>https://drive.google.com/file/d/1HqtNsm-NpBRVKCjUasyWtGr9eWFcTwoY/view?usp=drivesdk</t>
  </si>
  <si>
    <t>https://lh5.googleusercontent.com/d/1sfmzRyNfcE9uEqNfpobqNMgQBs2smFhR</t>
  </si>
  <si>
    <t>https://drive.google.com/file/d/1ltDQAK5eO2C7mRxHjVa-rLcuxsxCE5u7/view?usp=drivesdk</t>
  </si>
  <si>
    <t>https://lh5.googleusercontent.com/d/1D7Yvd_3FjjzaGauEEKOlbioyZMFaAYJZ</t>
  </si>
  <si>
    <t>https://drive.google.com/file/d/1mIpowgKAvqtqfF1bP9SWwJbD7urK6OoY/view?usp=drivesdk</t>
  </si>
  <si>
    <t>https://lh5.googleusercontent.com/d/1TWzjKAcEYSbPRD-JP_B9TIV0Yb8KO_eK</t>
  </si>
  <si>
    <t>https://drive.google.com/file/d/12yUdweoZSNY55pPW_TUYRcAQqbSNe-mw/view?usp=drivesdk</t>
  </si>
  <si>
    <t>ช่วยพับหมวกและทำของขวัญวันเด็ก</t>
  </si>
  <si>
    <t>https://lh5.googleusercontent.com/d/1kMVZQFvNyj-Q4PESBnsBZPqyVQ0IOFcT</t>
  </si>
  <si>
    <t>https://drive.google.com/file/d/1Y8NocDeHnzGeIynl8k9f2DLnZZnp1X7H/view?usp=drivesdk</t>
  </si>
  <si>
    <t>https://lh5.googleusercontent.com/d/1qZKWrQmRY23fWw_Ynvdk06VeCnbiuN4v</t>
  </si>
  <si>
    <t>https://drive.google.com/file/d/1PsYpj9CptSKqHZRxeoSqUWITOPImy5sg/view?usp=drivesdk</t>
  </si>
  <si>
    <t>ถูพื้นบ้าน</t>
  </si>
  <si>
    <t>https://lh5.googleusercontent.com/d/1phBjyrAa29JEE2DbPzmpNSnCT4fy3RFA</t>
  </si>
  <si>
    <t>https://drive.google.com/file/d/1LBQi5XM3IsB79j_uBnkOmPFrt4k-z0a1/view?usp=drivesdk</t>
  </si>
  <si>
    <t>หน้าลานคุณพ่อ</t>
  </si>
  <si>
    <t>https://lh5.googleusercontent.com/d/1CyQWVYB4jVhhQkp-KHllvZFaE41OpPqH</t>
  </si>
  <si>
    <t>https://drive.google.com/file/d/1fN9BmZaXT-ql5PHYJPs-3V_Inqkn1W0F/view?usp=drivesdk</t>
  </si>
  <si>
    <t>https://lh5.googleusercontent.com/d/14kF9wNKAGaOmIEdGY4NMawOt-ef_S8dj</t>
  </si>
  <si>
    <t>https://drive.google.com/file/d/1S3rBOECDSKeU80CjPX_45TIOR9BvJPAP/view?usp=drivesdk</t>
  </si>
  <si>
    <t>https://lh5.googleusercontent.com/d/1O8bHuiHnBV5HrcQ_0b1pbSLJcBFdam_-</t>
  </si>
  <si>
    <t>https://drive.google.com/file/d/1Afl0N4Fn3iWe_yC6_eC-4B4myt2DsVOo/view?usp=drivesdk</t>
  </si>
  <si>
    <t>https://lh5.googleusercontent.com/d/1j779cw08quK1D4Zw0XRuI9u_Em-ZorqZ</t>
  </si>
  <si>
    <t>https://drive.google.com/file/d/1MzpbiE10IxBbP1aIDHqJLYUKsDSF5l1W/view?usp=drivesdk</t>
  </si>
  <si>
    <t>วัดท่าหลง จังหวัดพิจิตร</t>
  </si>
  <si>
    <t>https://lh5.googleusercontent.com/d/1g9H8i8gg_xTGMNl0lStP5AskHe545eK7</t>
  </si>
  <si>
    <t>https://drive.google.com/file/d/12Ocz9RKZjhtM4HD6tfvhnj_NTb7OrY0p/view?usp=drivesdk</t>
  </si>
  <si>
    <t>Be Green  Market ประจำปี2569</t>
  </si>
  <si>
    <t>https://lh5.googleusercontent.com/d/1eX-xptn2rXozkL5Ug9Gn1XHw5fwxXvs9</t>
  </si>
  <si>
    <t>https://drive.google.com/file/d/1MrpOnUV-WOmwv_-ErqDGqBvUCU3y_vOX/view?usp=drivesdk</t>
  </si>
  <si>
    <t>https://lh5.googleusercontent.com/d/1ZwFMsKaxiAgO3UCMatGq7dU6OegKeRJ2</t>
  </si>
  <si>
    <t>https://drive.google.com/file/d/1JHWcv73oynA2eGTR3MzJljVPWbC4sDo4/view?usp=drivesdk</t>
  </si>
  <si>
    <t>เก็บหินขาวบริเวณร้้วข้างหอพัก</t>
  </si>
  <si>
    <t xml:space="preserve">1500 - 1700 </t>
  </si>
  <si>
    <t>https://lh5.googleusercontent.com/d/1lhrBzD0CZh7qvPY_WjZ443R11GZt24cb</t>
  </si>
  <si>
    <t>https://drive.google.com/file/d/17Fc6-AfrySE0biNqH8pwY250UcHswaDb/view?usp=drivesdk</t>
  </si>
  <si>
    <t>https://lh5.googleusercontent.com/d/14DsYEjJsLYpRSCRnx3r9qA1jXcWTldPg</t>
  </si>
  <si>
    <t>https://drive.google.com/file/d/1BAqbhMByqT-j6qYs6dfGdQd05JhKOlkV/view?usp=drivesdk</t>
  </si>
  <si>
    <t>https://lh5.googleusercontent.com/d/1ku1ISA3fYbPF7DasszEETDJSAYjrF-hr</t>
  </si>
  <si>
    <t>https://drive.google.com/file/d/1JlbaZwLXzeYaZb4m-7cccHWDvRLPxcWC/view?usp=drivesdk</t>
  </si>
  <si>
    <t>https://lh5.googleusercontent.com/d/1iEDPrz9h1F0LCKFkovFMqD7j9v12moZD</t>
  </si>
  <si>
    <t>https://drive.google.com/file/d/1dNejZHzQGTx2j63gpIidDwhgoYMXjDyE/view?usp=drivesdk</t>
  </si>
  <si>
    <t>https://lh5.googleusercontent.com/d/10XSE_W165iFK44b99-gbK_wenrx0NvJO</t>
  </si>
  <si>
    <t>https://drive.google.com/file/d/1EmVrJSXHJ4UYVzWlYQ2tSmbTFNdgDYvV/view?usp=drivesdk</t>
  </si>
  <si>
    <t>https://lh5.googleusercontent.com/d/1rNIa9f2iSciXLTOMWfMOkXOTJKJ7K4o_</t>
  </si>
  <si>
    <t>https://drive.google.com/file/d/1KD2PwRrz9L5Xgj8SN6O8v6ac7rlEpCem/view?usp=drivesdk</t>
  </si>
  <si>
    <t>https://lh5.googleusercontent.com/d/1vfYqr9_40gBy8Z6IaS21X_grSHEWllsN</t>
  </si>
  <si>
    <t>https://drive.google.com/file/d/1YLly5RtPggek7hqW8bb71EI5hTn2SwMJ/view?usp=drivesdk</t>
  </si>
  <si>
    <t>https://lh5.googleusercontent.com/d/1-T1AJkZzYy5QTb4dOP0Kiu3yxMmJfGGk</t>
  </si>
  <si>
    <t>https://drive.google.com/file/d/1FYPp4hK9czaAaxbId5mcvoPZyh5COYx1/view?usp=drivesdk</t>
  </si>
  <si>
    <t>https://lh5.googleusercontent.com/d/1Mwy7SmWI2zTTSMq_6HdZiVvSbSl7VTfu</t>
  </si>
  <si>
    <t>https://drive.google.com/file/d/1Y6TS9QVsngeQcWmQM8CHBUEDP_2nthuZ/view?usp=drivesdk</t>
  </si>
  <si>
    <t>https://lh5.googleusercontent.com/d/1yHRkgmyv8Hp1lf0gnYCkTuHnAvd7yxjz</t>
  </si>
  <si>
    <t>https://drive.google.com/file/d/1l7VksCy4_rHIVzg0UVNSkujPOUly-Mkf/view?usp=drivesdk</t>
  </si>
  <si>
    <t>https://lh5.googleusercontent.com/d/1JMQi28UDxskMT2FjPMebj9Oomc2KirIa</t>
  </si>
  <si>
    <t>https://drive.google.com/file/d/1-IKVUyn07lRnnUJ61Z9dhotGIsOrmwes/view?usp=drivesdk</t>
  </si>
  <si>
    <t>https://lh5.googleusercontent.com/d/11XZ4mVSloYElidXH4pdO-MXqDKoX6m27</t>
  </si>
  <si>
    <t>https://drive.google.com/file/d/1y1AG6BA2jZyZ3dZ_w8kC3bBy-PzX2M8L/view?usp=drivesdk</t>
  </si>
  <si>
    <t>https://lh5.googleusercontent.com/d/1qb8PFJ4Hfo78sMRW_XyrIfvxM7_Yt09N</t>
  </si>
  <si>
    <t>https://drive.google.com/file/d/1K51bpEL6pOR2sljqBsqsf_JrHF5t4Wye/view?usp=drivesdk</t>
  </si>
  <si>
    <t>https://lh5.googleusercontent.com/d/1s-N3F6QaL7UPYeP4DQsrLMp9kpd3_WZC</t>
  </si>
  <si>
    <t>https://drive.google.com/file/d/1X7jBYdd_gkqqJeNoYs8RnMsieJPr6i0U/view?usp=drivesdk</t>
  </si>
  <si>
    <t>https://lh5.googleusercontent.com/d/1F35naRyscTmGxbmsWvBsw9LcdbwA1UIL</t>
  </si>
  <si>
    <t>https://drive.google.com/file/d/1F4osWu2mI6YSLrSaySxV_ukOfMc06-3P/view?usp=drivesdk</t>
  </si>
  <si>
    <t>ซ้อมพิธีรับหมวกพยาบาลวิชาชีพ ประจำปีการศึกษา 2568</t>
  </si>
  <si>
    <t>https://lh5.googleusercontent.com/d/14Ao9JAaIFZvp5X6gsrwt0waf4PjTF9Pv</t>
  </si>
  <si>
    <t>https://drive.google.com/file/d/19pJaYhZLimYzgC0A4Qq9JKqSqyMsUj40/view?usp=drivesdk</t>
  </si>
  <si>
    <t>https://lh5.googleusercontent.com/d/12zuC3LddRVa8Y-ZShQ5qnT-TswVwqo-7</t>
  </si>
  <si>
    <t>https://drive.google.com/file/d/1Fd2jYSLBnzLWMkQ6ZKeiOIXALp7ISi5D/view?usp=drivesdk</t>
  </si>
  <si>
    <t>https://lh5.googleusercontent.com/d/1Mi96z-6sNYY3CgfC37LE8cOtO1mzS3el</t>
  </si>
  <si>
    <t>https://drive.google.com/file/d/1-naD3qYG2kKxDispiX-P7Ld487nJ9etS/view?usp=drivesdk</t>
  </si>
  <si>
    <t>13-21</t>
  </si>
  <si>
    <t>https://lh5.googleusercontent.com/d/1-4ngA000vOV2nZhuP4KI26PJZd6Xg3u6</t>
  </si>
  <si>
    <t>https://drive.google.com/file/d/1PNkiJeMi1TfaGX46gqEaIb4LDBJqmVDx/view?usp=drivesdk</t>
  </si>
  <si>
    <t>https://lh5.googleusercontent.com/d/1MjCgroJxhemWF6HSKO3cfP4JGwAKE3Nc</t>
  </si>
  <si>
    <t>https://drive.google.com/file/d/1OrGAvdSdTEK5fKZ8Ign5abN2_K3P4kYN/view?usp=drivesdk</t>
  </si>
  <si>
    <t>https://lh5.googleusercontent.com/d/19jgW1ynDpA1zGrS7eYOdZaDz6KcOtFZ5</t>
  </si>
  <si>
    <t>https://drive.google.com/file/d/1sjc2phvV88BnbEOSkGQZ6LlooV0fX8aI/view?usp=drivesdk</t>
  </si>
  <si>
    <t>https://lh5.googleusercontent.com/d/1WCIuwWbJb-maZgeN3Tz1ivunAP69J1iC</t>
  </si>
  <si>
    <t>https://drive.google.com/file/d/1m8S1ICfsuSjtsga7oxyBXbPvC3iVUbx1/view?usp=drivesdk</t>
  </si>
  <si>
    <t>https://lh5.googleusercontent.com/d/1-kbHH0y0nrrDiJ2e2RpfbU9B6krfvVm9</t>
  </si>
  <si>
    <t>https://drive.google.com/file/d/1ycsXjN4i2a4iYp45e94caxoSSU-fShPA/view?usp=drivesdk</t>
  </si>
  <si>
    <t>https://lh5.googleusercontent.com/d/1t6HoIhHqsRZVuC2UccCe0uIAgsj3y4Hs</t>
  </si>
  <si>
    <t>https://drive.google.com/file/d/18Bssh4_tOmAShXhiub7nQN1Q321it30X/view?usp=drivesdk</t>
  </si>
  <si>
    <t>https://lh5.googleusercontent.com/d/1k3CyJTqWaYPonQkGu1uq8P2bHZUUrU29</t>
  </si>
  <si>
    <t>https://drive.google.com/file/d/1ImqfsbrhE65nz5uBLIp_UqkiXKI_TNip/view?usp=drivesdk</t>
  </si>
  <si>
    <t>https://lh5.googleusercontent.com/d/1JGRRInQr96X6wp6IoCYiAjXDAHR1k6G-</t>
  </si>
  <si>
    <t>https://drive.google.com/file/d/1udAjpHkbAQ1L6Y-Cp57xKZ3EopC7xs7J/view?usp=drivesdk</t>
  </si>
  <si>
    <t>https://lh5.googleusercontent.com/d/19C9_vNq7XLD513vDY6JGTMj4Bq7l7J7C</t>
  </si>
  <si>
    <t>https://drive.google.com/file/d/168NhnlcCH6DkkAid5ivSw-XCvAdJmlYU/view?usp=drivesdk</t>
  </si>
  <si>
    <t>https://lh5.googleusercontent.com/d/1pMFav0IlFe4GixAlcSRuRB5bgzS8j-i3</t>
  </si>
  <si>
    <t>https://drive.google.com/file/d/1EiwM1ia7iGHw60neOXNPnUX9MnwNCmPc/view?usp=drivesdk</t>
  </si>
  <si>
    <t>https://lh5.googleusercontent.com/d/1yL8MEJko0sMl3uIR_RfoS5ERoP4qqruJ</t>
  </si>
  <si>
    <t>https://drive.google.com/file/d/1RPQt1OGmE8dYGrRENUpsK_GJdy4JXr1E/view?usp=drivesdk</t>
  </si>
  <si>
    <t>https://lh5.googleusercontent.com/d/1BU0Lv6iJO_aJvx2JIb7zcAI9kNCMWgVT</t>
  </si>
  <si>
    <t>https://drive.google.com/file/d/1dRjNwtZAtY8l4wIptw7IvPCdsFAvEOyL/view?usp=drivesdk</t>
  </si>
  <si>
    <t>https://lh5.googleusercontent.com/d/15r6vGOcyP8sKgG6_u3u1F57MxdaSN4Tr</t>
  </si>
  <si>
    <t>https://drive.google.com/file/d/16TQV6AB8WysPVGwrVn1eB4WXh_3XRWVG/view?usp=drivesdk</t>
  </si>
  <si>
    <t>https://lh5.googleusercontent.com/d/1taUVtPVMVX0Jq6yMubrLNNIkHnf0CTzb</t>
  </si>
  <si>
    <t>https://drive.google.com/file/d/18XjQ--wNyfllxA0EwfEzmEAJHjsUPIMO/view?usp=drivesdk</t>
  </si>
  <si>
    <t>https://lh5.googleusercontent.com/d/1ij5m0-IQ1pam4Xn3io67vS4A_yviXLxk</t>
  </si>
  <si>
    <t>https://drive.google.com/file/d/1G7ZI_oi6gTS6uLc24bR0X3j9hfvb1Fje/view?usp=drivesdk</t>
  </si>
  <si>
    <t>https://lh5.googleusercontent.com/d/1-2k8mp8bzllDigpGfmryHSrjz5gGpPfK</t>
  </si>
  <si>
    <t>https://drive.google.com/file/d/1VYseC70tBU2Yu6A7Rb71HU3vSM3teY9y/view?usp=drivesdk</t>
  </si>
  <si>
    <t>https://lh5.googleusercontent.com/d/16fFXpjbyXZHLC8UGJyuTDr-v-LlrP0sh</t>
  </si>
  <si>
    <t>https://drive.google.com/file/d/1yWMxUSw6UdZgtJ5HTTUImCI5Cn5Po_uz/view?usp=drivesdk</t>
  </si>
  <si>
    <t>https://lh5.googleusercontent.com/d/1XMDlc8zCyyxC1WzmgliIKxoKxvcQShgp</t>
  </si>
  <si>
    <t>https://drive.google.com/file/d/1gG5zUkpuk0uc2X1tIqbVI-yOdqKQDMBa/view?usp=drivesdk</t>
  </si>
  <si>
    <t>https://lh5.googleusercontent.com/d/1M6zGJZ0UtTkSwcn2QAXZxB6wjpx6QBoT</t>
  </si>
  <si>
    <t>https://drive.google.com/file/d/1vW_pSQg-D6EEXM85-oFaYe2OAx8dW_nn/view?usp=drivesdk</t>
  </si>
  <si>
    <t>ร.อ. อนุชติ ทำจะดี</t>
  </si>
  <si>
    <t>https://lh5.googleusercontent.com/d/1DGbsC1hw-9L6fPm2mTlW04h89VPEVehQ</t>
  </si>
  <si>
    <t>https://drive.google.com/file/d/1E0ruZxDADITmD600uS9KICtUsxUzr8Yt/view?usp=drivesdk</t>
  </si>
  <si>
    <t>https://lh5.googleusercontent.com/d/1ZF5po8YTiUSFiP5SZEiDjFUsUprxZY8l</t>
  </si>
  <si>
    <t>https://drive.google.com/file/d/1dobKeh4XQGHK6Mx62xSbVfGUsQDuKWtY/view?usp=drivesdk</t>
  </si>
  <si>
    <t>https://lh5.googleusercontent.com/d/1XNezoAxhOg8abuP3qyHcfsGawfp7aPtj</t>
  </si>
  <si>
    <t>https://drive.google.com/file/d/1Quwl47smZPdauoebnJ0q9uFjoU4wNvtA/view?usp=drivesdk</t>
  </si>
  <si>
    <t>https://lh5.googleusercontent.com/d/1cRT8ahVgMHLvJm67mRy-er8p5JSIErSK</t>
  </si>
  <si>
    <t>https://drive.google.com/file/d/1nmu3V-K1OlenXV0L8TdGFLxg9v0W0nE7/view?usp=drivesdk</t>
  </si>
  <si>
    <t>https://lh5.googleusercontent.com/d/1CVrcTAdFZ0606XMTV1OM_mArI6VNTz-e</t>
  </si>
  <si>
    <t>https://drive.google.com/file/d/1-3-B_iNJds1Jv86lJ87LPSKFYY81kQZS/view?usp=drivesdk</t>
  </si>
  <si>
    <t>https://lh5.googleusercontent.com/d/10WIkK3TM4fml0DfjM_7nA5ZtKV6QMu2M</t>
  </si>
  <si>
    <t>https://drive.google.com/file/d/1K3k-yJvjokld6-kb5HqRoqn7oYvFHvpX/view?usp=drivesdk</t>
  </si>
  <si>
    <t>https://lh5.googleusercontent.com/d/11A-p7SktU6UARZYvXagMVKis4U0Q7oS1</t>
  </si>
  <si>
    <t>https://drive.google.com/file/d/1iEwIALNEmVAgcLNz6GPz7aL8rR5kGWtO/view?usp=drivesdk</t>
  </si>
  <si>
    <t>https://lh5.googleusercontent.com/d/1snQ7FVfrzfagRN3vB04FfGpbCjtxZTYa</t>
  </si>
  <si>
    <t>https://drive.google.com/file/d/1HSxx8R4nThb7RUJD9p8yLDqoqdffiqgP/view?usp=drivesdk</t>
  </si>
  <si>
    <t>https://lh5.googleusercontent.com/d/1Rig2PbSnOyF_vNmrsc3dSn22lPNbWydu</t>
  </si>
  <si>
    <t>https://drive.google.com/file/d/17nquMvKbkdPvOp2yqTIwtozNEVfqKDXw/view?usp=drivesdk</t>
  </si>
  <si>
    <t>https://lh5.googleusercontent.com/d/1WUYbpY5PTYetnkOUEvpLlmncHNtOvjhN</t>
  </si>
  <si>
    <t>https://drive.google.com/file/d/12_yM27ChxaZBN5bbdGFwCSnJ5cV5Tl_s/view?usp=drivesdk</t>
  </si>
  <si>
    <t>https://lh5.googleusercontent.com/d/1HGdPDg5s9GWJ9ivwFlsyl5zydDuC0_ib</t>
  </si>
  <si>
    <t>https://drive.google.com/file/d/1f1ZpS1cbvCFfK1mr1ycXXMq5IUJVJwRQ/view?usp=drivesdk</t>
  </si>
  <si>
    <t>https://lh5.googleusercontent.com/d/14MnZHc1-pN6ISOU9GjnF443PJY8a6i_8</t>
  </si>
  <si>
    <t>https://drive.google.com/file/d/14XzbrXtbYp1jnoxds8_ME8CVIBCFqILc/view?usp=drivesdk</t>
  </si>
  <si>
    <t>https://lh5.googleusercontent.com/d/1CMPwMg1Vc1J30_8YCx8yDmjUyKp2gBq5</t>
  </si>
  <si>
    <t>https://drive.google.com/file/d/1ZxZjjsjQS9v-RJE0RdRbLIL9qhwKVYeT/view?usp=drivesdk</t>
  </si>
  <si>
    <t>เข้าร่วมกิจกรรมวันเด็กแห่งชาติ 2568</t>
  </si>
  <si>
    <t>https://lh5.googleusercontent.com/d/1T9SNZalVBRJ2pgusCyKPKPUOGfZWrw7k</t>
  </si>
  <si>
    <t>https://drive.google.com/file/d/1p7CUSQBD5buRZYkE93AE5OnuAfVfRYkZ/view?usp=drivesdk</t>
  </si>
  <si>
    <t>https://lh5.googleusercontent.com/d/1hsnLkqz2DOx8nRPAUxuECDGv29HHDcMu</t>
  </si>
  <si>
    <t>https://drive.google.com/file/d/1rUvBbk1tk6wMDjZNOkNxlvNHR_wLzzFs/view?usp=drivesdk</t>
  </si>
  <si>
    <t>https://lh5.googleusercontent.com/d/1ZxA_oeLq0UJUBSu2yiG1SP-I9WlJfF30</t>
  </si>
  <si>
    <t>https://drive.google.com/file/d/1KG9kvsYg7d4sr7sBHbTsOoidBMXmpI8J/view?usp=drivesdk</t>
  </si>
  <si>
    <t>https://lh5.googleusercontent.com/d/1ko4h-qsHeC_0K3xY2SCRejH_p3Ci_M1m</t>
  </si>
  <si>
    <t>https://drive.google.com/file/d/1iWBtaNMg3kY1IpbAMdCx4m8oofRJlrUT/view?usp=drivesdk</t>
  </si>
  <si>
    <t>https://lh5.googleusercontent.com/d/1AV4Wiv-1d4kh3l2GR9z47dTfociXPoiK</t>
  </si>
  <si>
    <t>https://drive.google.com/file/d/1J13uibAIOJyAeORcscYjIF-a1TE2sAyO/view?usp=drivesdk</t>
  </si>
  <si>
    <t>https://lh5.googleusercontent.com/d/1Z3Xx8am_law_IfcNzqX17Mf1Z5PwQU9j</t>
  </si>
  <si>
    <t>https://drive.google.com/file/d/1FBcqgO_20I7IGihNOZDbXPsKIaulrl0z/view?usp=drivesdk</t>
  </si>
  <si>
    <t>ช่วยเหลืองานรับสมัคร นพอ.69</t>
  </si>
  <si>
    <t>น.ท. หญิง ลักษ์ขณา พานิชสรรค์</t>
  </si>
  <si>
    <t>https://lh5.googleusercontent.com/d/1WyT_TW4C82pOyDtWvgyhB3sdM9fWrP4G</t>
  </si>
  <si>
    <t>https://drive.google.com/file/d/1bf5tumiag3H1PNdIaS1spVsiTor5hzny/view?usp=drivesdk</t>
  </si>
  <si>
    <t>น.ท.หญิงลักษณ์ขณา พานิชสรรค์</t>
  </si>
  <si>
    <t>https://lh5.googleusercontent.com/d/1cQp0HQbhUefpKVtybyVvyDiLnhZxnDMa</t>
  </si>
  <si>
    <t>https://drive.google.com/file/d/1_GQ7t-AztYEVlMrscGeV82eK9oW0rxx2/view?usp=drivesdk</t>
  </si>
  <si>
    <t>จัดโต๊ะสอบนพอ.รุ่นที่69</t>
  </si>
  <si>
    <t>https://lh5.googleusercontent.com/d/1734ti4DE0OQuqUqVWPIe-HakBseuTndd</t>
  </si>
  <si>
    <t>https://drive.google.com/file/d/1CTbEOmIUf-60xebln_Ba7W0FIaG3oG5k/view?usp=drivesdk</t>
  </si>
  <si>
    <t>ดูแลการสอบนพอ.ปี69</t>
  </si>
  <si>
    <t>https://lh5.googleusercontent.com/d/12Hd2dK3oVBabAMH7_q4Z7CC8_stb7Xqj</t>
  </si>
  <si>
    <t>https://drive.google.com/file/d/1HBsJKl5hXEguRNQeb21cx0lIf7fTpBxp/view?usp=drivesdk</t>
  </si>
  <si>
    <t>https://lh5.googleusercontent.com/d/1UE1ktnLAasowp1WzzyG2Z9XCtXZPmYUI</t>
  </si>
  <si>
    <t>https://drive.google.com/file/d/14UAXSj56-NEZlGhqhCDd-FtjpZ2GxZFx/view?usp=drivesdk</t>
  </si>
  <si>
    <t>ล้างแก้ว</t>
  </si>
  <si>
    <t>นางดวงเดือน มนนามอญ</t>
  </si>
  <si>
    <t>https://lh5.googleusercontent.com/d/1Nph5rukfOMTWBbO0hrb6RifuBG-Dixd5</t>
  </si>
  <si>
    <t>https://drive.google.com/file/d/12bvQzDbG9bxp36S_bTR6S8GAw744AQjx/view?usp=drivesdk</t>
  </si>
  <si>
    <t>1200-1400</t>
  </si>
  <si>
    <t>https://lh5.googleusercontent.com/d/1YYfZ9BFDhVxTB2mFpnLuPpiLxMmb7Nnn</t>
  </si>
  <si>
    <t>https://drive.google.com/file/d/112oPN3-bbPcz3HrevKMzlZljD1HvP2mk/view?usp=drivesdk</t>
  </si>
  <si>
    <t>https://lh5.googleusercontent.com/d/1H1BCX7JEaDUMAc0i4n5t4oTJdTsnTKDd</t>
  </si>
  <si>
    <t>https://drive.google.com/file/d/1vEX89LozVRCP_kaech9gwS3yIpuOGDxW/view?usp=drivesdk</t>
  </si>
  <si>
    <t>Green markets</t>
  </si>
  <si>
    <t>อาคารอเนกประสงค์ชาวฟ้าสโมสรทหารอากาศชั้นประทวน</t>
  </si>
  <si>
    <t>https://lh5.googleusercontent.com/d/1mkkcdCG816GxLZi5teMN7Z-mp0vKrzsl</t>
  </si>
  <si>
    <t>https://drive.google.com/file/d/1kit4r9Qr9fmYXPfe6YiMRXtJ5teY9sTf/view?usp=drivesdk</t>
  </si>
  <si>
    <t>งานกรีนมาร์เก็ต</t>
  </si>
  <si>
    <t>ห้องประชุม</t>
  </si>
  <si>
    <t>https://lh5.googleusercontent.com/d/1njvjhFlxtGesOGYLCeaef8x7KWNQcqoV</t>
  </si>
  <si>
    <t>https://drive.google.com/file/d/1PncAuS0c47cUfSI8kca-juFoiJ8umOsY/view?usp=drivesdk</t>
  </si>
  <si>
    <t>https://lh5.googleusercontent.com/d/1w2REuZARInCYJx3ew6oOYSQZE0oJFxyG</t>
  </si>
  <si>
    <t>https://drive.google.com/file/d/1cnr04DIfFPqjvGfROyTm1XA7ocs7qgMG/view?usp=drivesdk</t>
  </si>
  <si>
    <t>https://lh5.googleusercontent.com/d/1baAl-VkfqQQdOFSYSXpfszrzr5rOqOTp</t>
  </si>
  <si>
    <t>https://drive.google.com/file/d/1m7f6fZBydAkCOlhzc-MaS-VKeTxkqb4w/view?usp=drivesdk</t>
  </si>
  <si>
    <t>https://lh5.googleusercontent.com/d/1lxl3Zhub3O9TiHgS8TrzXx4glz_R7-zJ</t>
  </si>
  <si>
    <t>https://drive.google.com/file/d/1OmqrS2LmiEbZOGeS0qLtu4VloyIqKwqJ/view?usp=drivesdk</t>
  </si>
  <si>
    <t>https://lh5.googleusercontent.com/d/1kh_qlS8ZZIm1NpX779jeg1eSXXI4A1tO</t>
  </si>
  <si>
    <t>https://drive.google.com/file/d/1EdxxEDpYDvNoBGKdq1ScIyzFHPZ_SHiZ/view?usp=drivesdk</t>
  </si>
  <si>
    <t>บริจาคของโรงเรียนบ้านเด็กรามอินทรา</t>
  </si>
  <si>
    <t>โรงเรียนบ้านเด็กรามอินทรา(บ้านเด็กตาบอดผู้พิการซ้ำซ้อน)</t>
  </si>
  <si>
    <t>นายพงศ์ศักดิ์ เกษมสุวรรณ</t>
  </si>
  <si>
    <t>https://lh5.googleusercontent.com/d/1K-f327no1CKC1BxzgeqGyLXr4A9Vhev_</t>
  </si>
  <si>
    <t>https://drive.google.com/file/d/1MtWm7ac7nHLDSIB9bubgeVNs2aNtD1u6/view?usp=drivesdk</t>
  </si>
  <si>
    <t>https://lh5.googleusercontent.com/d/1nPymyMgEWVONZU3HSuvLP9UVNWQBkBjG</t>
  </si>
  <si>
    <t>https://drive.google.com/file/d/1dLnnIq0Zaz2zMCMn5YhKgULg04_rA_gT/view?usp=drivesdk</t>
  </si>
  <si>
    <t>งานวันเด็กเเห่งชาติ 2568</t>
  </si>
  <si>
    <t>https://lh5.googleusercontent.com/d/1pETx3LL4VHlQx5N893RE6pbdxfBZwkwg</t>
  </si>
  <si>
    <t>https://drive.google.com/file/d/1Mc8w-JuS7ZceHVOPTe8nqBbWenjJFX58/view?usp=drivesdk</t>
  </si>
  <si>
    <t>ค่ายเยาชนพัฒนา ครั้งที่ 215</t>
  </si>
  <si>
    <t>https://lh5.googleusercontent.com/d/1Glnq2r0IJgTbZ2QrYN9aujdGhFQTZjl5</t>
  </si>
  <si>
    <t>https://drive.google.com/file/d/1E1NXcwsf8TyB5awavS2S0HkgHcYmIAe0/view?usp=drivesdk</t>
  </si>
  <si>
    <t xml:space="preserve"> ซ้อมงานพิธีมอบหมวกพยาบาลวิชาชีพ ปีการศึกษา 2568  </t>
  </si>
  <si>
    <t>https://lh5.googleusercontent.com/d/14TnHPLOqMyz3Z_t4tL_ucmSe0nkxnuOF</t>
  </si>
  <si>
    <t>https://drive.google.com/file/d/1joy_oDwMRGLbJArS2VYI7WncjMmlCnav/view?usp=drivesdk</t>
  </si>
  <si>
    <t>https://lh5.googleusercontent.com/d/1_SDrNh1AzLbbaI5U8o5fFoYindHCQCR2</t>
  </si>
  <si>
    <t>https://drive.google.com/file/d/10sa4W4HXc9zwFYr-Ks1C8-BG-gTLasR-/view?usp=drivesdk</t>
  </si>
  <si>
    <t>https://lh5.googleusercontent.com/d/1T80uOASPtNiAwnEUJdXYubqyK0N0sFlh</t>
  </si>
  <si>
    <t>https://drive.google.com/file/d/1Al-7ZFTpVXWOLnLlVz5mL593XE3MVZuV/view?usp=drivesdk</t>
  </si>
  <si>
    <t>วงดนตรีไทยงานสงกรานต์วพอ.</t>
  </si>
  <si>
    <t>https://lh5.googleusercontent.com/d/1-IwuN7_uJ_D4s2QdvPi6ha4Y_odFEXK0</t>
  </si>
  <si>
    <t>https://drive.google.com/file/d/1o3rskx3a8wJywhBfHkb0q9x3lBXauUVi/view?usp=drivesdk</t>
  </si>
  <si>
    <t>https://lh5.googleusercontent.com/d/1mz6ush4VmdOOHlaIKSuxO5Y2t-EoKpb2</t>
  </si>
  <si>
    <t>https://drive.google.com/file/d/13Z-npktU5c0x4alogz_WG1gwCRtHij_5/view?usp=drivesdk</t>
  </si>
  <si>
    <t>https://lh5.googleusercontent.com/d/1MAHZbSIuVDnk8qspgp4I0w8HztOn0wjh</t>
  </si>
  <si>
    <t>https://drive.google.com/file/d/1yXSQDkNFRllN7z2TJ6UUJYSD7G5o4Zi0/view?usp=drivesdk</t>
  </si>
  <si>
    <t>https://lh5.googleusercontent.com/d/1Cui9syqARPDnZ_YlegMv8kzm6MictsoU</t>
  </si>
  <si>
    <t>https://drive.google.com/file/d/1ugmu-390hQ4bw4-tQHLIxCzd5RWu5vJ4/view?usp=drivesdk</t>
  </si>
  <si>
    <t>https://lh5.googleusercontent.com/d/1BGqfZaRV1yetR2OznHgwoUFAMNyMVwh0</t>
  </si>
  <si>
    <t>https://drive.google.com/file/d/1QcpuYDJ89749az7rmwy6bA5XKUribjJS/view?usp=drivesdk</t>
  </si>
  <si>
    <t>https://lh5.googleusercontent.com/d/1JaldxBrujubL19e6qVQ25kUrrKU-jWDm</t>
  </si>
  <si>
    <t>https://drive.google.com/file/d/1K_gIv1uFBzQqP0xGgwJLqfvtywh8P7D-/view?usp=drivesdk</t>
  </si>
  <si>
    <t xml:space="preserve">ร.อ.หญิง ขนัฏฐา นาดี </t>
  </si>
  <si>
    <t>https://lh5.googleusercontent.com/d/1bq1KOU29t00x0aXnjFoeKtTxHZsIUPnr</t>
  </si>
  <si>
    <t>https://drive.google.com/file/d/1P63SQe9S82ZT2-8C112pfgE4qualypq_/view?usp=drivesdk</t>
  </si>
  <si>
    <t>ศูนย์อนามัยที่ 2</t>
  </si>
  <si>
    <t>นายไพโรจน์ คล้ายสุวรรณ์</t>
  </si>
  <si>
    <t>https://lh5.googleusercontent.com/d/1H6KE7gvGbUeZWl2qJLjO5__e6dTocaI4</t>
  </si>
  <si>
    <t>https://drive.google.com/file/d/1Fe7U62h1M7N_Pct_vsSKeZXQ7QE01F-k/view?usp=drivesdk</t>
  </si>
  <si>
    <t xml:space="preserve"> หอประชุมธูปะเตมีย์ รพ.ภูมิพล</t>
  </si>
  <si>
    <t>https://lh5.googleusercontent.com/d/165efb5bZhgXECX_k7l2hwJpk7uzRlMsB</t>
  </si>
  <si>
    <t>https://drive.google.com/file/d/1nDxnKRPHK4AsPBZuP655y_j9eheElcPf/view?usp=drivesdk</t>
  </si>
  <si>
    <t>วงดนตรีไทยงานสงกรานต์ วพอ.</t>
  </si>
  <si>
    <t>https://lh5.googleusercontent.com/d/1HRG-o4dWfhbbwouMQNQKopjDxqQZfhEZ</t>
  </si>
  <si>
    <t>https://drive.google.com/file/d/1XWH9tLPcex0dJWW8znD4770Dbr93mtgF/view?usp=drivesdk</t>
  </si>
  <si>
    <t>https://lh5.googleusercontent.com/d/1qodJqQQ4XRIE0Gh_NYRnZQ2NGjsOnuNv</t>
  </si>
  <si>
    <t>https://drive.google.com/file/d/1vtM1edchL2ZdT6uTj-zEQ9RMWs5v3yJd/view?usp=drivesdk</t>
  </si>
  <si>
    <t>https://lh5.googleusercontent.com/d/1D-A96oX9DqtAjyEoujW8e0kshvk02s0a</t>
  </si>
  <si>
    <t>https://drive.google.com/file/d/1Eu0GtJlt22l7LQzWkm67ndUP6bl6G-1h/view?usp=drivesdk</t>
  </si>
  <si>
    <t>https://lh5.googleusercontent.com/d/1aycegNn0Y3k_Bbop_xNS5p7lzYjF2M7O</t>
  </si>
  <si>
    <t>https://drive.google.com/file/d/1kpyebnxTMitDA3ytRZBEtxRgPRzXR2mk/view?usp=drivesdk</t>
  </si>
  <si>
    <t>ทำลายเอกสาร</t>
  </si>
  <si>
    <t>1000-1500</t>
  </si>
  <si>
    <t>https://lh5.googleusercontent.com/d/1nsm2Qt6UY_7-8lUfQitDjOkYA3dbXtvV</t>
  </si>
  <si>
    <t>https://drive.google.com/file/d/1e8jeF_qen5qs5gkLXwuTjJmBmUkIKUGf/view?usp=drivesdk</t>
  </si>
  <si>
    <t>https://lh5.googleusercontent.com/d/13Llmdl2OWb-zMSrnxsyf2pzYlqzLl-VT</t>
  </si>
  <si>
    <t>https://drive.google.com/file/d/1NJQTibgpQ5PyOy4kpRtcDpIzijBkdbCt/view?usp=drivesdk</t>
  </si>
  <si>
    <t>https://lh5.googleusercontent.com/d/1FUGBRYPLNrPwFsCyp3CylgJPiGPeqGna</t>
  </si>
  <si>
    <t>https://drive.google.com/file/d/14HW0mVG_C45FfGScWT5B7abjiOM5ALFU/view?usp=drivesdk</t>
  </si>
  <si>
    <t>https://lh5.googleusercontent.com/d/1qyjr_QEPVURnniubTSq7PaN8OxsA23X2</t>
  </si>
  <si>
    <t>https://drive.google.com/file/d/1zyHjGZxmDGcAVY6GXnzmpyVPmhE7ITSK/view?usp=drivesdk</t>
  </si>
  <si>
    <t>https://lh5.googleusercontent.com/d/1CiqJ8ukiiaaZTyq8PDcMLmX2haP3Mlax</t>
  </si>
  <si>
    <t>https://drive.google.com/file/d/1ZQTqLu2oNwj2xN82N6wIkTapKgZG1MNz/view?usp=drivesdk</t>
  </si>
  <si>
    <t>https://lh5.googleusercontent.com/d/1brqJyYH_POgP9gfoSUwRClE2ociPvgiA</t>
  </si>
  <si>
    <t>https://drive.google.com/file/d/19YrQUD7EVDjGhv1UsiISvtZVC8kjpsAY/view?usp=drivesdk</t>
  </si>
  <si>
    <t>https://lh5.googleusercontent.com/d/1_AmvQgiQCyeFt3hJHPN8Np_HGx1mkY5Y</t>
  </si>
  <si>
    <t>https://drive.google.com/file/d/1bQ-anlRN0JwoZZak4wQiq_DOU4UDK6aA/view?usp=drivesdk</t>
  </si>
  <si>
    <t>https://lh5.googleusercontent.com/d/1nI9mdQqgjHR_OUstbOcZ29sBq2dnQqqg</t>
  </si>
  <si>
    <t>https://drive.google.com/file/d/10D4pssTaatZLGgPkBnkbwRdVl-A4mnlM/view?usp=drivesdk</t>
  </si>
  <si>
    <t>ดูแลสวนหน้าบ้าน และทำงานบ้าน(ทิ้งขยะ,ให้อาหารปลา)</t>
  </si>
  <si>
    <t>https://lh5.googleusercontent.com/d/1zBKo8ECZmpeZ0jtQMnVe16bKxA_MOm1X</t>
  </si>
  <si>
    <t>https://drive.google.com/file/d/1fDBXKiCKSabG0_K84s8CpGRX13Qn9yrG/view?usp=drivesdk</t>
  </si>
  <si>
    <t>https://lh5.googleusercontent.com/d/1GXLRSWOw0D7VQz5Zi0NdKCzTLtUYFeYS</t>
  </si>
  <si>
    <t>https://drive.google.com/file/d/1mzG8fXzsDFwbFnlXHaFWtqrym8SjptWr/view?usp=drivesdk</t>
  </si>
  <si>
    <t>หน้าอาคารสำนักงาน</t>
  </si>
  <si>
    <t xml:space="preserve"> ร.อ.หญิง ขนัฏฐา นาดี </t>
  </si>
  <si>
    <t>https://lh5.googleusercontent.com/d/1u9B6rQ1X2hDZuzZxVtXNjRw9AHN8aYQY</t>
  </si>
  <si>
    <t>https://drive.google.com/file/d/10_O9LuY1PDga5fwwfZGzNVOkoHZNBnhj/view?usp=drivesdk</t>
  </si>
  <si>
    <t>https://lh5.googleusercontent.com/d/1PxOhqWhSaenqorFUPCTh9RZig1i05rOd</t>
  </si>
  <si>
    <t>https://drive.google.com/file/d/1FkWIDaW4dnzJzBwFQpqXbC7HVGSOBm_q/view?usp=drivesdk</t>
  </si>
  <si>
    <t>https://lh5.googleusercontent.com/d/11udWMvKfZ5Gz4oYWUXPyxhd1a8clfT2-</t>
  </si>
  <si>
    <t>https://drive.google.com/file/d/1g2NFbdLuWqGrBUZtdg-DrEmDgYjCYmVl/view?usp=drivesdk</t>
  </si>
  <si>
    <t>https://lh5.googleusercontent.com/d/1UPdHIJJLNTgK0WiKZ-6Eh4v2-ZaQ8_JK</t>
  </si>
  <si>
    <t>https://drive.google.com/file/d/1k7XT9Vn_D61ln6LWC5go_f8ffUUywkWo/view?usp=drivesdk</t>
  </si>
  <si>
    <t>https://lh5.googleusercontent.com/d/1JjhGSINlsK4N1rbHD7trNLp4arL7rx9p</t>
  </si>
  <si>
    <t>https://drive.google.com/file/d/1KEsUknX4wjQT6hHcbsgdn2ogtZJi6WVn/view?usp=drivesdk</t>
  </si>
  <si>
    <t>https://lh5.googleusercontent.com/d/1jdMIyH-7EqrBCHLiFnGIZ3XRIx2Aogzd</t>
  </si>
  <si>
    <t>https://drive.google.com/file/d/1BXYycstda0E9QVje8SdiqVbWBY-7UEuY/view?usp=drivesdk</t>
  </si>
  <si>
    <t>น.ค.หญิง ขวัญชนก พ่วงนาคพันธ์ุ</t>
  </si>
  <si>
    <t>https://lh5.googleusercontent.com/d/1ibcpjOahkZgUmEC4q1yaifjJnaj2c7gk</t>
  </si>
  <si>
    <t>https://drive.google.com/file/d/1DGmiEQ4B6Y1KriDNeGWMZ4hfVQ6dPS9M/view?usp=drivesdk</t>
  </si>
  <si>
    <t>https://lh5.googleusercontent.com/d/1d4bc2I-hUHRIA2vDw_FpX5HHn1DPSFT1</t>
  </si>
  <si>
    <t>https://drive.google.com/file/d/1SrmzxBeC98sLYSx4c4nSjBd1_tfucLoj/view?usp=drivesdk</t>
  </si>
  <si>
    <t>https://lh5.googleusercontent.com/d/1ycDMNqoL_lA0sVF41LCwWD0VJIRuxjM9</t>
  </si>
  <si>
    <t>https://drive.google.com/file/d/12drPzuuqRdRZ60-KcDpPL2GkhXwdZs9F/view?usp=drivesdk</t>
  </si>
  <si>
    <t>https://lh5.googleusercontent.com/d/1JfZRarC2Z0cpL7xLxOMLy8T1cxYmd5Lr</t>
  </si>
  <si>
    <t>https://drive.google.com/file/d/1JjH8EzAhDaTjvMEWtPkKmVDl5gz8iide/view?usp=drivesdk</t>
  </si>
  <si>
    <t>https://lh5.googleusercontent.com/d/1izceB2xAQLJaxHY4hYQlTlGUSntCQZMN</t>
  </si>
  <si>
    <t>https://drive.google.com/file/d/1HzfF3E5H-EuEh7FOLp_dVSUui4EybXln/view?usp=drivesdk</t>
  </si>
  <si>
    <t>“Give Blood New – ให้เลือด ให้ได้ ให้เลย”</t>
  </si>
  <si>
    <t>โรงพยาบาลพุทธโสธร</t>
  </si>
  <si>
    <t>https://lh5.googleusercontent.com/d/1LFEnYfaRkViYyNtcgtkJBYgR92k7eMhZ</t>
  </si>
  <si>
    <t>https://drive.google.com/file/d/1A-q7SoVRA6gZpAoa4ZTW0gXYoOFrv_kL/view?usp=drivesdk</t>
  </si>
  <si>
    <t>นพอ.จิรัชยร ธีรประภานนท์</t>
  </si>
  <si>
    <t>https://lh5.googleusercontent.com/d/1-AOy5i6wzQC7oLIIjipGjgn0bYbYSOHD</t>
  </si>
  <si>
    <t>https://drive.google.com/file/d/1qptDKU0zjKLStO2YcyJFpXHKOBGvC7g6/view?usp=drivesdk</t>
  </si>
  <si>
    <t>https://lh5.googleusercontent.com/d/1OFHtlUBDwTbfKhIrIMH8AT66XFROOtVb</t>
  </si>
  <si>
    <t>https://drive.google.com/file/d/1cT4__lK9DlE9chbmiSpX0naM370grZYU/view?usp=drivesdk</t>
  </si>
  <si>
    <t>https://lh5.googleusercontent.com/d/1KHnUhcM3EKUT_uZVDp6PbPRgkDWsztF7</t>
  </si>
  <si>
    <t>https://drive.google.com/file/d/1CUxtZAFsFJNP5u3OkEqAfSuZDtTFQDrt/view?usp=drivesdk</t>
  </si>
  <si>
    <t>สวดมนต์ถวายพระพรชัยมงคล</t>
  </si>
  <si>
    <t>วัดต้นตาล</t>
  </si>
  <si>
    <t>2000-0000</t>
  </si>
  <si>
    <t>https://lh5.googleusercontent.com/d/1mwBrYqmOdYOn98e04OZcmrnCDgVF9j2y</t>
  </si>
  <si>
    <t>https://drive.google.com/file/d/1w-dP2KU2HdDE3dJuNCQCTX2XIyz8cJBx/view?usp=drivesdk</t>
  </si>
  <si>
    <t>ลานหน้าหอพัก</t>
  </si>
  <si>
    <t>https://lh5.googleusercontent.com/d/1_xFdY2dpYERQCe6xpNC2h6ppzB0FwDmd</t>
  </si>
  <si>
    <t>https://drive.google.com/file/d/1ptAZJKWr8eVQbNIbdgrfOC8x3Ll_RH9B/view?usp=drivesdk</t>
  </si>
  <si>
    <t>ตักบาตรวันสงกรานต์</t>
  </si>
  <si>
    <t>หมู่บ้านต้นนา</t>
  </si>
  <si>
    <t>https://lh5.googleusercontent.com/d/1OmzgqVzOrXOD9W0T3u6YbsDuuL1ztphv</t>
  </si>
  <si>
    <t>https://drive.google.com/file/d/12uZfkrlmhE2iN2w3ChlNL8Hrt-XYkqwY/view?usp=drivesdk</t>
  </si>
  <si>
    <t>ทำบุญถวายสังฆทาน</t>
  </si>
  <si>
    <t>พระครูศรีศาสนกิจโกศล</t>
  </si>
  <si>
    <t>https://lh5.googleusercontent.com/d/1vRpSwjJJ4u-p1SZMAkPSYxmC5THP1Bt-</t>
  </si>
  <si>
    <t>https://drive.google.com/file/d/1zM1q7kMAg4H5DGnF4xFwADDWDauIJBF-/view?usp=drivesdk</t>
  </si>
  <si>
    <t>https://lh5.googleusercontent.com/d/1zJNVKNjalA5s3hxAN6IW3jll6lfKLhvP</t>
  </si>
  <si>
    <t>https://drive.google.com/file/d/1otNXHlmmdvobdgof5QuA573SrJdKEF-E/view?usp=drivesdk</t>
  </si>
  <si>
    <t>https://lh5.googleusercontent.com/d/1x3qrgaqe6MedA8KDI2SrxqR2rjbj0E8J</t>
  </si>
  <si>
    <t>https://drive.google.com/file/d/1WvXt5wyzRpEJuaVgMMNR4VolPirMpeTx/view?usp=drivesdk</t>
  </si>
  <si>
    <t>อาคารรณนภาอากาศ</t>
  </si>
  <si>
    <t>https://lh5.googleusercontent.com/d/1-QsHD5ELbC3lNFWLn0jIxoiPfM2_rHbz</t>
  </si>
  <si>
    <t>https://drive.google.com/file/d/1c37wplleiLIn2hyC4zMpRweh0K8TZm7s/view?usp=drivesdk</t>
  </si>
  <si>
    <t>https://lh5.googleusercontent.com/d/12iUmjgvKNkAHFmORsoyA0sx6ka3-mUTJ</t>
  </si>
  <si>
    <t>https://drive.google.com/file/d/1VoVOVPG-X0mS076yDSfVjwul-Win3ioR/view?usp=drivesdk</t>
  </si>
  <si>
    <t>https://lh5.googleusercontent.com/d/1nxInzO1HkzgJXfuTkQmwgM0RLg-ghOHB</t>
  </si>
  <si>
    <t>https://drive.google.com/file/d/1ULUzhDXDXkRT3dTprfH-k-jX0JlYu_P_/view?usp=drivesdk</t>
  </si>
  <si>
    <t>https://lh5.googleusercontent.com/d/1zT7kNvv26ShEwh6eyfeiaJD-EZEO41wb</t>
  </si>
  <si>
    <t>https://drive.google.com/file/d/1hqGGky1gmOetInaVv0mwSImdKqrB_hft/view?usp=drivesdk</t>
  </si>
  <si>
    <t>ลานวัด</t>
  </si>
  <si>
    <t>พระอธิการมุ้ย</t>
  </si>
  <si>
    <t>https://lh5.googleusercontent.com/d/19R4ACCMT9nKAC2adBhTB5ML2kpXJlbUR</t>
  </si>
  <si>
    <t>https://drive.google.com/file/d/1JV5AMNh_tT9wkxHIm-LyKGKcu7lr377V/view?usp=drivesdk</t>
  </si>
  <si>
    <t>https://lh5.googleusercontent.com/d/1sMeGHeKYJ-ppy0o5dMHEtZ-323ZG0LK2</t>
  </si>
  <si>
    <t>https://drive.google.com/file/d/1L6Qb9NnZxnRxSnwSuASzF-K1UVG8sj80/view?usp=drivesdk</t>
  </si>
  <si>
    <t>https://lh5.googleusercontent.com/d/108A1m5IGhuT2dpC45vn5y6X-a8EfM6XE</t>
  </si>
  <si>
    <t>https://drive.google.com/file/d/1rdr5GGfZAObLLQv7dd54G4qjc4ntLc8e/view?usp=drivesdk</t>
  </si>
  <si>
    <t>เดินแบงเนื่องในวันกองทัพอากาศ 2569</t>
  </si>
  <si>
    <t>https://lh5.googleusercontent.com/d/1tzMrEl5lMgj3vGL0_dcCCtwUX2SGTMAR</t>
  </si>
  <si>
    <t>https://drive.google.com/file/d/1RbtO1coKducgmt2aeR5a86DsMUv39Tvz/view?usp=drivesdk</t>
  </si>
  <si>
    <t>งานวันเด็ก 2569</t>
  </si>
  <si>
    <t>https://lh5.googleusercontent.com/d/1aYgJ1pQQGzIfpAUXFPElc5kK4E2mM3CL</t>
  </si>
  <si>
    <t>https://drive.google.com/file/d/142i97gue-QmXVPKSAleN1XoW6z4yEejg/view?usp=drivesdk</t>
  </si>
  <si>
    <t>https://lh5.googleusercontent.com/d/14oQuioOQs97g8T-jHiuFGnZzOwFTHjSH</t>
  </si>
  <si>
    <t>https://drive.google.com/file/d/14gE_u-v8t00gJtfQbb4V53OEHJLBPKmP/view?usp=drivesdk</t>
  </si>
  <si>
    <t>https://lh5.googleusercontent.com/d/1O-zefqSBijKT8cgBnBc3TpcYD4_cE1tI</t>
  </si>
  <si>
    <t>https://drive.google.com/file/d/1ln630FjaM-ONO2FLDdgV69JyAav4MIrZ/view?usp=drivesdk</t>
  </si>
  <si>
    <t>อาคารสำนักงานชั้น 4  วพอ.พอ.</t>
  </si>
  <si>
    <t>https://lh5.googleusercontent.com/d/1un2T19JzidxSK-RErzTbO8yn6fSprV3U</t>
  </si>
  <si>
    <t>https://drive.google.com/file/d/1K5JBNy5YE2qzI3LFOF4m8QngSS_LTI87/view?usp=drivesdk</t>
  </si>
  <si>
    <t>https://lh5.googleusercontent.com/d/1h3xAGzXqaDIigxMCSuOCQZ9ilUyAFvDk</t>
  </si>
  <si>
    <t>https://drive.google.com/file/d/14QdZu50Ifp6hzm4Z4P3KENfhgaOzanqs/view?usp=drivesdk</t>
  </si>
  <si>
    <t>https://lh5.googleusercontent.com/d/1lMkkFludfVolL4EfTdztz9q4efkAKlC4</t>
  </si>
  <si>
    <t>https://drive.google.com/file/d/1PHJu4yJ0OWdv8o1XZy6BgpwNI7i8tCVY/view?usp=drivesdk</t>
  </si>
  <si>
    <t>ห้องปกครอง</t>
  </si>
  <si>
    <t>https://lh5.googleusercontent.com/d/1TJbrpky_yNkQfHf7sJT88TPQLxw7NZ-p</t>
  </si>
  <si>
    <t>https://drive.google.com/file/d/1GbjjxaQ3dKLy6mqrxoGBC5D3uNENxU28/view?usp=drivesdk</t>
  </si>
  <si>
    <t>https://lh5.googleusercontent.com/d/1NjsXmA4k9NZU9gG09zKOLg98F0KTETWW</t>
  </si>
  <si>
    <t>https://drive.google.com/file/d/17ssaP7e6DnC4c4mms1N45u5RwX6SKwtw/view?usp=drivesdk</t>
  </si>
  <si>
    <t>น.อ.หญิง นิตยา สุขเเสน</t>
  </si>
  <si>
    <t>https://lh5.googleusercontent.com/d/1Cci3Mrj0m51rSWfgrum9eG21SygLitBd</t>
  </si>
  <si>
    <t>https://drive.google.com/file/d/1iu-2qS79SENB_QQpsh-mfU812yeHz2la/view?usp=drivesdk</t>
  </si>
  <si>
    <t>ช่วยทำลายเอกสาร</t>
  </si>
  <si>
    <t>https://lh5.googleusercontent.com/d/1S_J4_TIuw7oAzbUuaYRiS8KEO1xKwIxo</t>
  </si>
  <si>
    <t>https://drive.google.com/file/d/1JDqRbMKVxT2OVOXCmNKBmfsEu0sdvj6y/view?usp=drivesdk</t>
  </si>
  <si>
    <t>https://lh5.googleusercontent.com/d/120-q3Ptz5UuL8o60XDIFaDN1uLkylNuB</t>
  </si>
  <si>
    <t>https://drive.google.com/file/d/1Mm8YgoNzx0vKGBi6tMIqtjqgMlB4-4Jg/view?usp=drivesdk</t>
  </si>
  <si>
    <t>https://lh5.googleusercontent.com/d/1Tj4OaVEcfV8Quuk7g1L6DBxcyH5o6cuf</t>
  </si>
  <si>
    <t>https://drive.google.com/file/d/1PJ66xxYuo2XmLO7eeCwMWJtTjQCf6JC9/view?usp=drivesdk</t>
  </si>
  <si>
    <t>https://lh5.googleusercontent.com/d/1NsFjvL_cPuAkh_dLsbDwdo0Kk0a8lVmU</t>
  </si>
  <si>
    <t>https://drive.google.com/file/d/15Ym53HUptFI2YulZuJztnCzOHUHHg4tF/view?usp=drivesdk</t>
  </si>
  <si>
    <t>จัดระเบียบและทำความสะอาดชั้นหนังสือ</t>
  </si>
  <si>
    <t>478 หมู่10 ต.ทุ่งคอก อ.สองพี่น้อง จ.สุพรรณบุรี</t>
  </si>
  <si>
    <t>https://lh5.googleusercontent.com/d/1mtI08rKYGDQEza8shqxOV4DkWB4Z77O4</t>
  </si>
  <si>
    <t>https://drive.google.com/file/d/1W1xNHl_rde2qOvK5bgDExCZjGClWG6gg/view?usp=drivesdk</t>
  </si>
  <si>
    <t>https://lh5.googleusercontent.com/d/1Zp5WQGQtplgmDyzBdKjF2SOB8l3HMmIv</t>
  </si>
  <si>
    <t>https://drive.google.com/file/d/1T8mUs43kyWFKPYWNVR8PmOWFfa4y4nTs/view?usp=drivesdk</t>
  </si>
  <si>
    <t>https://lh5.googleusercontent.com/d/1XpeWzprEnhzCgqMqrL3qXQCTOrwwMADG</t>
  </si>
  <si>
    <t>https://lh5.googleusercontent.com/d/1OIRTTbuca8jZby0TS5QdTC8-qHXQsku9</t>
  </si>
  <si>
    <t>https://drive.google.com/file/d/13vwvyRQjjJN4cLegI1z_6ha2AXuLos8b/view?usp=drivesdk</t>
  </si>
  <si>
    <t>https://lh5.googleusercontent.com/d/12FrkvH1UjPVLfj3QC1MLxWRHyc-upst0</t>
  </si>
  <si>
    <t>https://drive.google.com/file/d/1xul4f-YMp71-atDmN3W2Bn-RwOwUib-h/view?usp=drivesdk</t>
  </si>
  <si>
    <t>https://lh5.googleusercontent.com/d/1lFtawhe5r1uFwSLwkcr9jNLdHGWbxTSB</t>
  </si>
  <si>
    <t>https://drive.google.com/file/d/1CcF_gJD7Whl9C8Q_5EfkicIDTyGZv2Rw/view?usp=drivesdk</t>
  </si>
  <si>
    <t>https://lh5.googleusercontent.com/d/1k8HeLt4nrUCk2BagDmsnMh5tUkVbGpeT</t>
  </si>
  <si>
    <t>https://drive.google.com/file/d/1AyiuxQH5RUZSfvGSSGLtPX3mlHgYXsdb/view?usp=drivesdk</t>
  </si>
  <si>
    <t>ไหว้พระทำบุญ</t>
  </si>
  <si>
    <t>วัดภูยอดรวย</t>
  </si>
  <si>
    <t>https://lh5.googleusercontent.com/d/1xDusGJ_H2XuNxQtjewN7a96XHfqAtnMY</t>
  </si>
  <si>
    <t>https://drive.google.com/file/d/191RivFI0lY1-4Imb-x6apNbCHrrld52y/view?usp=drivesdk</t>
  </si>
  <si>
    <t>https://lh5.googleusercontent.com/d/1eCnhYXnRmHDzRMEzlZ-Vn8MMUjOcEskX</t>
  </si>
  <si>
    <t>https://drive.google.com/file/d/1yoxpD3td6bTNtsMHDspD3fU0jOCm6W00/view?usp=drivesdk</t>
  </si>
  <si>
    <t>https://lh5.googleusercontent.com/d/19t73zQlTuMr0cgYhRNkXbyuHP9VuT2ju</t>
  </si>
  <si>
    <t>https://drive.google.com/file/d/1Gym3YMtIyGWPUq_NJxrDvlJEKblAKUEc/view?usp=drivesdk</t>
  </si>
  <si>
    <t>https://lh5.googleusercontent.com/d/10v66xP0Gdz8J1_T-Q7W3KRT-d-X7cI9v</t>
  </si>
  <si>
    <t>https://drive.google.com/file/d/1eIyXBwz3fBgvJfd931DoamruedQjbUWS/view?usp=drivesdk</t>
  </si>
  <si>
    <t>https://lh5.googleusercontent.com/d/1E5Hfow6dOOVD9cb92groq_peKYqtJ4II</t>
  </si>
  <si>
    <t>https://drive.google.com/file/d/1jORVn88NRbATYtDYjmEQxGN_7YdtCz0a/view?usp=drivesdk</t>
  </si>
  <si>
    <t>https://lh5.googleusercontent.com/d/1OmhDNDyuZkwDhmmzsGT8SZZJ6hLnuiW_</t>
  </si>
  <si>
    <t>https://drive.google.com/file/d/1ttQ-rkA4GkNzHVL1tg6OOU2fHm144K5i/view?usp=drivesdk</t>
  </si>
  <si>
    <t>เล่นดนตรีในงาน green market</t>
  </si>
  <si>
    <t>https://lh5.googleusercontent.com/d/1jyQzOOuil8uQZSoStqM2sO__wELtVpMf</t>
  </si>
  <si>
    <t>https://drive.google.com/file/d/1zU9W3JsNk9R37EiMBIi0mjsoVfSIZjH1/view?usp=drivesdk</t>
  </si>
  <si>
    <t>0630</t>
  </si>
  <si>
    <t>https://lh5.googleusercontent.com/d/1nnnf3OK5L3iWobG5wTQY-xI23uqp-Ylt</t>
  </si>
  <si>
    <t>https://drive.google.com/file/d/1L5I-GjeBbmDYGVwCVck8jMF1_BTk8NUd/view?usp=drivesdk</t>
  </si>
  <si>
    <t>https://lh5.googleusercontent.com/d/1ksUumBVJIODvSX1idqJKebDY7bF2GMGc</t>
  </si>
  <si>
    <t>https://drive.google.com/file/d/1MRQScc2plKZlCcRZZ6MmYDbIbydHJG5c/view?usp=drivesdk</t>
  </si>
  <si>
    <t>อาคารสำนักงาน ชั้น 4 วพอ.พอ.</t>
  </si>
  <si>
    <t>https://lh5.googleusercontent.com/d/14WkcWFI7qaiyWCHgDuhLH4Rqkuh3eW-S</t>
  </si>
  <si>
    <t>https://drive.google.com/file/d/1LTLKD5OVMU6ta35AWQKT3h00NzHyxStl/view?usp=drivesdk</t>
  </si>
  <si>
    <t>https://lh5.googleusercontent.com/d/1zeC45HVnJVkT-LHi-M9X8MK-1M8Leb57</t>
  </si>
  <si>
    <t>https://drive.google.com/file/d/14uEjgVlnKC_uYfT4ef9GWizjC2MoX8mx/view?usp=drivesdk</t>
  </si>
  <si>
    <t>ซ้อมงานพิธีมอบหมวกพยาบาลวิชาชีพ ปีการศึกษา  2568</t>
  </si>
  <si>
    <t>https://lh5.googleusercontent.com/d/1hgCNwDUoCWduseAxtKWIoKdDXbN2UbVE</t>
  </si>
  <si>
    <t>https://drive.google.com/file/d/1Bj2s-WLnDUi-rcT-JhaedzH3VGIXC2p3/view?usp=drivesdk</t>
  </si>
  <si>
    <t>ล้างตู้เย็น</t>
  </si>
  <si>
    <t>นางอุมา หฤทัยบริรักษ์</t>
  </si>
  <si>
    <t>https://lh5.googleusercontent.com/d/1pmtoV8o7szhlmvCSgBspuPcevC2L7jh4</t>
  </si>
  <si>
    <t>https://drive.google.com/file/d/1bmE987LTyphkrAsWKOq-I977XpYs4shN/view?usp=drivesdk</t>
  </si>
  <si>
    <t>https://lh5.googleusercontent.com/d/1pIC-sTjNtoD8P9ezTDC40pFBHn-IEQ_C</t>
  </si>
  <si>
    <t>https://drive.google.com/file/d/1QWcB_d9GuNRrrrAL4rOalLqMXbOxYlvD/view?usp=drivesdk</t>
  </si>
  <si>
    <t>https://lh5.googleusercontent.com/d/1JRpalpMotQjq4uQ5sYFHo4v9YTyp0nkc</t>
  </si>
  <si>
    <t>https://drive.google.com/file/d/12imWiUq8vUAas59ejcqQySMaG0jPeJVN/view?usp=drivesdk</t>
  </si>
  <si>
    <t>เก็บหินขาวบริเวณรอบรั้วข้างหอพัก</t>
  </si>
  <si>
    <t>https://lh5.googleusercontent.com/d/1oXrH_Kk0L3KNtXWeW6oy8qDR_l10R3kl</t>
  </si>
  <si>
    <t>https://drive.google.com/file/d/1bAZXpEcYK-1Pwd-WmOLAHw0DuMtYKjmQ/view?usp=drivesdk</t>
  </si>
  <si>
    <t>https://lh5.googleusercontent.com/d/1WXwy4S-MOxD-YM4vYW87t1WI8PiBhljR</t>
  </si>
  <si>
    <t>https://drive.google.com/file/d/1urn6sfD1Znbd1q8N7cn747La_KPUQb8R/view?usp=drivesdk</t>
  </si>
  <si>
    <t>หอประชุมธูปะเตย์มี รพ.ภูมิพล</t>
  </si>
  <si>
    <t>https://lh5.googleusercontent.com/d/1mCMbk7lzNfdqYyMOcMXeTsiZRoJ77s2N</t>
  </si>
  <si>
    <t>https://drive.google.com/file/d/1qqgELvb1Z44a-ZB-FZO0HLzPVgFVZC8-/view?usp=drivesdk</t>
  </si>
  <si>
    <t>https://lh5.googleusercontent.com/d/1DFi4s5_k06ho39RCVkEqanKwhOhAuvMQ</t>
  </si>
  <si>
    <t>https://drive.google.com/file/d/1DqeAtuDx4Iqkt0eCCyRmG1TBkahnKgxK/view?usp=drivesdk</t>
  </si>
  <si>
    <t>https://lh5.googleusercontent.com/d/1dvP-w2pw0Ct2OgsAWdlE06n3UjdR1eXP</t>
  </si>
  <si>
    <t>https://drive.google.com/file/d/179trtDM2AlQw0K9qSJinhq8GG2kbNzvl/view?usp=drivesdk</t>
  </si>
  <si>
    <t>น.ท.หญิง ลักษขณา พานิชสรรค์</t>
  </si>
  <si>
    <t>https://lh5.googleusercontent.com/d/1dGn3xC8Rl9PF2r4ullhYudvomK4c6JzX</t>
  </si>
  <si>
    <t>https://drive.google.com/file/d/1EMFmxb4iL_TtvOm7THMaIjJFuD_FzihB/view?usp=drivesdk</t>
  </si>
  <si>
    <t>https://lh5.googleusercontent.com/d/18J0rChWx07pLmrarXEbx0aIAcrXzwH1Q</t>
  </si>
  <si>
    <t>https://drive.google.com/file/d/1AFrxqXixKTZrpG10upgbaFdjAtFNTb_g/view?usp=drivesdk</t>
  </si>
  <si>
    <t>https://lh5.googleusercontent.com/d/1BwX5TafTVC1sDooPFcJbRWZWGK6xrRcL</t>
  </si>
  <si>
    <t>https://drive.google.com/file/d/1-VtxU7gWdsMTPN3AOLdNmxNzhuXrkJij/view?usp=drivesdk</t>
  </si>
  <si>
    <t>https://lh5.googleusercontent.com/d/1AhzLVrZUeCaS3y05wlS_hvfiI42DSgm0</t>
  </si>
  <si>
    <t>https://drive.google.com/file/d/1zpTiRRYIsXgUt6a8w3NbddeFIz9OX49V/view?usp=drivesdk</t>
  </si>
  <si>
    <t>https://lh5.googleusercontent.com/d/1oQ57YaJOgKJkEjyCCVSip-eoimFmFO68</t>
  </si>
  <si>
    <t>https://drive.google.com/file/d/1aChhzDNcFFovNDopMIZPbTDbaSufFfP9/view?usp=drivesdk</t>
  </si>
  <si>
    <t>https://lh5.googleusercontent.com/d/1m5EWQpsePH5vNzX0wj8DGzXIGfSA56jm</t>
  </si>
  <si>
    <t>https://drive.google.com/file/d/1aPxicEO05eAbdLBqXjGI3OdBz5yXWPor/view?usp=drivesdk</t>
  </si>
  <si>
    <t xml:space="preserve">ภาคบริการโลหิตแห่งชาติที่2 </t>
  </si>
  <si>
    <t>ร.อ.นิติกร  อักษรนิติ</t>
  </si>
  <si>
    <t>https://lh5.googleusercontent.com/d/1Ln92b8ygnseDWPYCi36nYeVpKJULH4bQ</t>
  </si>
  <si>
    <t>https://drive.google.com/file/d/14sePWM6wozk5YYom_0U03oafvu3mTNNi/view?usp=drivesdk</t>
  </si>
  <si>
    <t>https://lh5.googleusercontent.com/d/1GAv5QX69wfI2ZbFgQISV-7c-4eSOpEWb</t>
  </si>
  <si>
    <t>https://drive.google.com/file/d/162jyqXpywsMcDJ1UMHDVO-nTNd5YyAtx/view?usp=drivesdk</t>
  </si>
  <si>
    <t>https://lh5.googleusercontent.com/d/1IzApc-ND_iP6rdx9fIjcu_UZSrA4eSi-</t>
  </si>
  <si>
    <t>https://drive.google.com/file/d/1aMQo2iN2AvTSiI81elOSn3BmlUY1jlvE/view?usp=drivesdk</t>
  </si>
  <si>
    <t>https://lh5.googleusercontent.com/d/1IkS5iND_24gAfMZnje9nFjZmi9Roqflw</t>
  </si>
  <si>
    <t>https://drive.google.com/file/d/1sqXim6yZt24e9jDi21rO1_apIDIcRUWY/view?usp=drivesdk</t>
  </si>
  <si>
    <t>https://lh5.googleusercontent.com/d/1Hxkp3EaqU0P4TeLl8U6WsSAb68Wh9b_i</t>
  </si>
  <si>
    <t>https://drive.google.com/file/d/184D-xSlTkUz3zzJTE6KHJzl2m1CejTan/view?usp=drivesdk</t>
  </si>
  <si>
    <t>พิธีเปิด-ปิดกีฬาภายในกองทัพ  อากาศ</t>
  </si>
  <si>
    <t>https://lh5.googleusercontent.com/d/1dYJy-eH_sWHj0YaOMmQgXOCEyqlIK0ec</t>
  </si>
  <si>
    <t>https://drive.google.com/file/d/19URJsgayhjzQ-wI6JGb4JtC3u3qDFbHj/view?usp=drivesdk</t>
  </si>
  <si>
    <t>https://lh5.googleusercontent.com/d/1i-JM4YzVNnr0gF5VI5mJXDgsmnQ5NWnU</t>
  </si>
  <si>
    <t>https://drive.google.com/file/d/1G1eOA708SPG2Ttg90H-eBQJOOeU6yn1K/view?usp=drivesdk</t>
  </si>
  <si>
    <t>https://lh5.googleusercontent.com/d/1B0AEVeXb3K1P-2BIpWf0Z7cvDHj9IguN</t>
  </si>
  <si>
    <t>https://drive.google.com/file/d/1ITSm_Mqh5EwVoscrwUkHpbdj2zy3nhPP/view?usp=drivesdk</t>
  </si>
  <si>
    <t>https://lh5.googleusercontent.com/d/1n11dC_cnYGjbSHxMfQUvgsBdeQcVXiEY</t>
  </si>
  <si>
    <t>https://drive.google.com/file/d/1pKsxYjKYb8wKSS948TEqlxytfISV1wrq/view?usp=drivesdk</t>
  </si>
  <si>
    <t>1330-1430</t>
  </si>
  <si>
    <t>https://lh5.googleusercontent.com/d/1HJgbKrgZBJZXwyBQzkGNoWlsr7rnCW_J</t>
  </si>
  <si>
    <t>https://drive.google.com/file/d/1QTIw5aRRp3irJIwU2HpV1Vv-fWp_aru-/view?usp=drivesdk</t>
  </si>
  <si>
    <t>https://lh5.googleusercontent.com/d/1Ko0DmmalWYRurYxRUNN90r8o7VIkll5i</t>
  </si>
  <si>
    <t>https://drive.google.com/file/d/1gG90QksiM03riiKPww0jeNCR0efGGWuU/view?usp=drivesdk</t>
  </si>
  <si>
    <t>https://lh5.googleusercontent.com/d/1Dw0fkjWG9M5tBIh7OU-MI2rzS7kI3_6j</t>
  </si>
  <si>
    <t>https://drive.google.com/file/d/1ZhL11DgGGAyXHkO_dvd1Tm14fzSD9wnJ/view?usp=drivesdk</t>
  </si>
  <si>
    <t>กองบริการโลหิต รพ.ภูมิพล</t>
  </si>
  <si>
    <t>https://lh5.googleusercontent.com/d/1AwyFUAifOqFc1IBcyOfONL06xsU2HW69</t>
  </si>
  <si>
    <t>https://drive.google.com/file/d/1EE9eqCErYpYI_pBMzlvP8l--99lfcKk6/view?usp=drivesdk</t>
  </si>
  <si>
    <t>https://lh5.googleusercontent.com/d/138LQU3F0GBrah0hsayPy02_wp4UHzZXQ</t>
  </si>
  <si>
    <t>https://drive.google.com/file/d/1C93-Yv-iyX0G2he4fRxJO2x5XmiAy7C2/view?usp=drivesdk</t>
  </si>
  <si>
    <t>https://lh5.googleusercontent.com/d/1Cbxpi5T9N4PxehOU_hnh5jpeDvS6eNLd</t>
  </si>
  <si>
    <t>https://drive.google.com/file/d/1W5FXGkvuKCsqozNlIRxh9s1Csg_y-g1W/view?usp=drivesdk</t>
  </si>
  <si>
    <t>https://lh5.googleusercontent.com/d/1iZvL72ActxXVGqXcMbswanZD6jjDaD6U</t>
  </si>
  <si>
    <t>https://drive.google.com/file/d/1z2C0yMmCGyABW5nBhP8fokOEZc4IRLiZ/view?usp=drivesdk</t>
  </si>
  <si>
    <t>https://lh5.googleusercontent.com/d/1cvc7T4Mob1CdWZCcHlt-dWsHRB136BAJ</t>
  </si>
  <si>
    <t>https://drive.google.com/file/d/1ZMjsd6LUgWVouQbdIMvKNGQFdAAaJHQa/view?usp=drivesdk</t>
  </si>
  <si>
    <t>https://lh5.googleusercontent.com/d/1TITpu_Mw6H7zMZM1waO_ZoQ8sFRiwbQm</t>
  </si>
  <si>
    <t>https://drive.google.com/file/d/1Htqzd__ECor0_-CXo8CvV-ZDYcT3CZBR/view?usp=drivesdk</t>
  </si>
  <si>
    <t>https://lh5.googleusercontent.com/d/1KzvUuFqnnKgHkFs4Dh3goh_IYnvF_XTC</t>
  </si>
  <si>
    <t>https://drive.google.com/file/d/1bRDEkeWOU3SGpFDR6T9ojvvUyfKzWAOV/view?usp=drivesdk</t>
  </si>
  <si>
    <t>เก็บหินข้างรั้วหอพัก</t>
  </si>
  <si>
    <t>ข้างรั้วหอพักนพอ.</t>
  </si>
  <si>
    <t>1530</t>
  </si>
  <si>
    <t>https://lh5.googleusercontent.com/d/1xnoRDgvd-iPbf9Cvrdfs-j4oYuoPahwE</t>
  </si>
  <si>
    <t>https://drive.google.com/file/d/1ycGFXKffXx_pJ9P2Yj2FETE3guvdLRGR/view?usp=drivesdk</t>
  </si>
  <si>
    <t>เก็บสกานทีสอบคัดลือกนพอ. 69</t>
  </si>
  <si>
    <t>https://lh5.googleusercontent.com/d/1D7tNY1tpXw_hvMmVF8QEMMmle49mG0j4</t>
  </si>
  <si>
    <t>https://drive.google.com/file/d/1nNC01CFmj0CKE48KWS1I0GH68O7WS3fb/view?usp=drivesdk</t>
  </si>
  <si>
    <t>1330-1400</t>
  </si>
  <si>
    <t>https://lh5.googleusercontent.com/d/1qQ1ljObe0kZqZHTPMNda22R7SafkB7eD</t>
  </si>
  <si>
    <t>https://drive.google.com/file/d/1fz5W7oNpBhfKlY7vEiNLVPBzPh9UTCKo/view?usp=drivesdk</t>
  </si>
  <si>
    <t>ซ้อมเต้นเพลง ฉันมีความสุข</t>
  </si>
  <si>
    <t>https://lh5.googleusercontent.com/d/1uGxonlBwb8-trHxP9_5ePaSkmG62R22k</t>
  </si>
  <si>
    <t>https://drive.google.com/file/d/18naD7rXTOtGcvmuAgZswJbdRWTMS8ZJr/view?usp=drivesdk</t>
  </si>
  <si>
    <t>https://lh5.googleusercontent.com/d/1KHd1IPPeRkSFyvpgETSPfREJIJTHOdqi</t>
  </si>
  <si>
    <t>https://drive.google.com/file/d/1cdcdyGX1kP8pgWzLVfReoGgDsh-Pq6ut/view?usp=drivesdk</t>
  </si>
  <si>
    <t>https://lh5.googleusercontent.com/d/1ZSphVk8Tk1BN2USY4BbyxSgbkVH-Xo_T</t>
  </si>
  <si>
    <t>https://drive.google.com/file/d/1uBie9ntWgKjIShrtVNxmchBvB4ZT1_lr/view?usp=drivesdk</t>
  </si>
  <si>
    <t>ซ้อมเต้น เพลงฉันมีความสุข</t>
  </si>
  <si>
    <t xml:space="preserve"> ร.อ.หญิง เบญญาดา บุรีรัตน์</t>
  </si>
  <si>
    <t>https://lh5.googleusercontent.com/d/1x4T6Rzt_eZpRtfBRnfiVV3H_yeHjB20g</t>
  </si>
  <si>
    <t>https://drive.google.com/file/d/1Ki3_FHEiyMTI28zcMr4T02KnQvNKUWpD/view?usp=drivesdk</t>
  </si>
  <si>
    <t>น.ต.หญิง ชลินทรา วรรณพักตร์</t>
  </si>
  <si>
    <t>https://lh5.googleusercontent.com/d/1kP-y2_H3pWsRBun_yZMZxX0YshTsCpud</t>
  </si>
  <si>
    <t>https://drive.google.com/file/d/12Z9ZYU0PcXuQKDd2R-kUYpwN8TWyYPlb/view?usp=drivesdk</t>
  </si>
  <si>
    <t>https://lh5.googleusercontent.com/d/1vYAMecNegaIuvo2_-rGPSFbtg5OGQhI-</t>
  </si>
  <si>
    <t>https://drive.google.com/file/d/1IPtG3VgBfkn-zlwLe1nUC0j3c5gWjCQa/view?usp=drivesdk</t>
  </si>
  <si>
    <t>673880</t>
  </si>
  <si>
    <t>https://lh5.googleusercontent.com/d/1JyEXNhji9wC4Bva20KPzHrK7fJ94jd50</t>
  </si>
  <si>
    <t>https://drive.google.com/file/d/1BajnLMT__hI_Aj82iw6lFT3WSIMZpOWf/view?usp=drivesdk</t>
  </si>
  <si>
    <t>https://lh5.googleusercontent.com/d/1F4eCATr7Oy4Hnmvzv1m8e0Wc2lPSx7le</t>
  </si>
  <si>
    <t>https://drive.google.com/file/d/1vsgb_BLiqjWGlabGDEcJNrCosUwxVie8/view?usp=drivesdk</t>
  </si>
  <si>
    <t>https://lh5.googleusercontent.com/d/1LRT9PSiXwtCA30Pja_a-44f-stK84eoY</t>
  </si>
  <si>
    <t>https://drive.google.com/file/d/1EDup2bPczhH35qW2hBqEtcfoSBawYIbr/view?usp=drivesdk</t>
  </si>
  <si>
    <t>วัดไร่ขิง</t>
  </si>
  <si>
    <t>นายสุรัตน์ หฤทัยบริรักษ์</t>
  </si>
  <si>
    <t>https://lh5.googleusercontent.com/d/144y37QnPlfb3xSdAOz5ERqyiMN1_7D2G</t>
  </si>
  <si>
    <t>https://drive.google.com/file/d/1y3CgQV2sp2O6yiu9XQg7vA_6hxHz6F6E/view?usp=drivesdk</t>
  </si>
  <si>
    <t>https://lh5.googleusercontent.com/d/1swt0Dv7XA8QPOAeJVlM8o3_UHzBemzbk</t>
  </si>
  <si>
    <t>https://drive.google.com/file/d/1-odRCPYsNQU2hhEQVwl0hwEP7RjvUeSn/view?usp=drivesdk</t>
  </si>
  <si>
    <t>ประชาสัมพันธ์งานเทศกาลเที่ยวไทย</t>
  </si>
  <si>
    <t>หอประชุมแห่งชาติสิริกิต์</t>
  </si>
  <si>
    <t>นายกิตติศักดิ์ เตียวตระกูล</t>
  </si>
  <si>
    <t>https://lh5.googleusercontent.com/d/1uDFsCso-rr41gE1GPLEtx3BzdOjILQy8</t>
  </si>
  <si>
    <t>https://drive.google.com/file/d/1oxgQEHdYjVKW1vbIMXsTFsnMdfTXVgoR/view?usp=drivesdk</t>
  </si>
  <si>
    <t>ค่ายเยาวชนพัฒนา ครั้งที่215</t>
  </si>
  <si>
    <t>https://lh5.googleusercontent.com/d/1sJciDPke_c7KY-moK3lp5Zw3abmdomSR</t>
  </si>
  <si>
    <t>https://drive.google.com/file/d/198i0j8ODRUgOgUmjw70qM2K6MMno_tyV/view?usp=drivesdk</t>
  </si>
  <si>
    <t>https://lh5.googleusercontent.com/d/1K-hdUdGRJHocgAGt_7FYxw816tHyC3z-</t>
  </si>
  <si>
    <t>https://drive.google.com/file/d/1Uv_9yKiGdcR4e8S2TT20F0fDacja5n1Q/view?usp=drivesdk</t>
  </si>
  <si>
    <t>https://lh5.googleusercontent.com/d/1JV7tKvecRF0Wx5YpWZNLBcErToxPQB5U</t>
  </si>
  <si>
    <t>https://drive.google.com/file/d/1Vdwya_xk3dtgF1ZvPHWJbZ6V3ClHKW4D/view?usp=drivesdk</t>
  </si>
  <si>
    <t>https://lh5.googleusercontent.com/d/1iumkGII8CWeHPJPm1Ds7Vzl2bwNidr8-</t>
  </si>
  <si>
    <t>https://drive.google.com/file/d/1nT8tXES7uZxeyS5XFx6ABaPq1pQue5uf/view?usp=drivesdk</t>
  </si>
  <si>
    <t>https://lh5.googleusercontent.com/d/1UxR3IAdYPhZfXsMX9D703QwBRZZSNWRZ</t>
  </si>
  <si>
    <t>https://drive.google.com/file/d/1hSD9A70dQ9tJIqXTIFdTId7KdZgHOKPA/view?usp=drivesdk</t>
  </si>
  <si>
    <t>https://lh5.googleusercontent.com/d/1HybTNIAqNsYcRMyrBjRhVgg4fRX-bXLX</t>
  </si>
  <si>
    <t>https://drive.google.com/file/d/1R0IFzxSRcu3ts37qjUzjpn9vqlgNEB2i/view?usp=drivesdk</t>
  </si>
  <si>
    <t>https://lh5.googleusercontent.com/d/19ve7L-Zynh7xjqx2mZt9VSKDuVBSrX5P</t>
  </si>
  <si>
    <t>https://drive.google.com/file/d/1ui1QuJ9luRxevt8r0v21KGxVZT1F9y9J/view?usp=drivesdk</t>
  </si>
  <si>
    <t>https://lh5.googleusercontent.com/d/1dE__8hfPW-cLLsiK1N7P9zY6GWzqNMHm</t>
  </si>
  <si>
    <t>https://drive.google.com/file/d/1tuR_tulW9c9Gc4aAVpHyp5x1_JPibna5/view?usp=drivesdk</t>
  </si>
  <si>
    <t>https://lh5.googleusercontent.com/d/1MUxfh3IYY46yd4JYQ6-uhtruFRID80XY</t>
  </si>
  <si>
    <t>https://drive.google.com/file/d/1XZRVYS3esMFqcuaPFwa0iZJxL2vm1Mil/view?usp=drivesdk</t>
  </si>
  <si>
    <t>https://lh5.googleusercontent.com/d/11SfL7ED8KQI7rCbD0xX77i8dcyg8YPBL</t>
  </si>
  <si>
    <t>https://drive.google.com/file/d/1Ht6MaDTxewqxKNGlOS2kLLTMWZ0y8_DT/view?usp=drivesdk</t>
  </si>
  <si>
    <t>https://lh5.googleusercontent.com/d/10QCxJ-zMY99sjcvDvqRbMJ-_rvBmP15m</t>
  </si>
  <si>
    <t>https://drive.google.com/file/d/1Nli5FwzVjakN8RBhnis22c0QjARWLg4C/view?usp=drivesdk</t>
  </si>
  <si>
    <t>วันเฉลิมพระชนมพรรษา</t>
  </si>
  <si>
    <t>https://lh5.googleusercontent.com/d/1PH4gaLEcS1K1irDjxQK7Bh9GVRhV_YNt</t>
  </si>
  <si>
    <t>https://drive.google.com/file/d/1eX_u00HnPAEwoOae_aHtorzvC18r6ayk/view?usp=drivesdk</t>
  </si>
  <si>
    <t>https://lh5.googleusercontent.com/d/17-NRiis_9HAIqrdSiQ8jxa2w3oagIU2d</t>
  </si>
  <si>
    <t>https://drive.google.com/file/d/1tqWfNrdnu5S2DwnyTP3Ze1Ck-WOhurcp/view?usp=drivesdk</t>
  </si>
  <si>
    <t>https://lh5.googleusercontent.com/d/1Pu542iVYMQ8oplRf6dlE9WUI_8EoHvpW</t>
  </si>
  <si>
    <t>https://drive.google.com/file/d/1wFbMxusl6Lg1fJrttqPYO6n4Hni_Qm5V/view?usp=drivesdk</t>
  </si>
  <si>
    <t>https://lh5.googleusercontent.com/d/1hnk1yEhidhULQrViQ7Dk7W2J-J1Bi5-2</t>
  </si>
  <si>
    <t>https://drive.google.com/file/d/1bq8huc5UA_NqE_c8Bziu2u2PcZLizTTc/view?usp=drivesdk</t>
  </si>
  <si>
    <t>https://lh5.googleusercontent.com/d/1yD_OT5WV6pfDdYLq-IWs7h2COBQQT_3D</t>
  </si>
  <si>
    <t>https://drive.google.com/file/d/1fTjCFpI5un_WZzKxnzIYBcrnfayFnV0r/view?usp=drivesdk</t>
  </si>
  <si>
    <t>https://lh5.googleusercontent.com/d/1OlJ00iepbKkDeNjnGNAiL6c_gfZ1zgve</t>
  </si>
  <si>
    <t>https://drive.google.com/file/d/17qZZ-d31WJIhe8_XC3KQDgEvBruMwN9-/view?usp=drivesdk</t>
  </si>
  <si>
    <t>ตรวจสอบเอกสารของการรับสมัครนักเรียนใหม่</t>
  </si>
  <si>
    <t>https://lh5.googleusercontent.com/d/1vX6-SVrv3GdHAoXdMrREjPnDxIvz7wK4</t>
  </si>
  <si>
    <t>https://drive.google.com/file/d/1zlLltWiyMX7ubTg0EMHN5TEX2Hbgazxm/view?usp=drivesdk</t>
  </si>
  <si>
    <t>จัดสวนหินบริเวณวิทยาลัย</t>
  </si>
  <si>
    <t>น.อ.หญิง.ผศ.นิตยา สุขแสน</t>
  </si>
  <si>
    <t>https://lh5.googleusercontent.com/d/1JCgj5EK7A1Qt8VlHwpjZXL_jdM0aaRXo</t>
  </si>
  <si>
    <t>https://drive.google.com/file/d/1YrUn-BgPFU3CB0IOsBAKURrzsKTgu2Yl/view?usp=drivesdk</t>
  </si>
  <si>
    <t>ขนหินตกแต่งสวน</t>
  </si>
  <si>
    <t>https://lh5.googleusercontent.com/d/1rF16tusWhGqmm4l4o9XcCqQ9YU1Fkqhx</t>
  </si>
  <si>
    <t>https://drive.google.com/file/d/1cHgBnV9jeo79J-KfA18pTYYsO8EOSjGq/view?usp=drivesdk</t>
  </si>
  <si>
    <t>https://lh5.googleusercontent.com/d/1D0whAsxoMuyR3SCsJtPFKvtis89NHtGC</t>
  </si>
  <si>
    <t>https://drive.google.com/file/d/14DjlJyb-zRhoTXgc6Ry6a4-drt2uEoIv/view?usp=drivesdk</t>
  </si>
  <si>
    <t>https://lh5.googleusercontent.com/d/1RUgP9KTMx89oPjguANQlg8GVfdJeydCb</t>
  </si>
  <si>
    <t>https://drive.google.com/file/d/1EZ8Ao2NRja0sSNSYxSXtiHTnXixVmXZi/view?usp=drivesdk</t>
  </si>
  <si>
    <t>กองบริการโลหิต รพ.ภูมิพลอดุลยเดช</t>
  </si>
  <si>
    <t>1430-1530</t>
  </si>
  <si>
    <t>https://lh5.googleusercontent.com/d/1EG9ErYiDtR-U8FLb_54LSWwRhGcJ5aFn</t>
  </si>
  <si>
    <t>https://drive.google.com/file/d/1eTOSDrvxtnqHayVJ02Yk2gO42Ny3VNEZ/view?usp=drivesdk</t>
  </si>
  <si>
    <t>เก็บหินตกแต่ง</t>
  </si>
  <si>
    <t>https://lh5.googleusercontent.com/d/180ZfgvLvdTS8DGB1pask4u8GZL7SRM5C</t>
  </si>
  <si>
    <t>https://drive.google.com/file/d/1FbJC9_r5LInUXrtA9lhU-n1u_iCB0JeR/view?usp=drivesdk</t>
  </si>
  <si>
    <t>ปรับปรุงทัศนียภาพใน วพอ.พอ.</t>
  </si>
  <si>
    <t>1430-1730</t>
  </si>
  <si>
    <t>https://lh5.googleusercontent.com/d/1ervWWHLzFboeeiXKWc4t7LA7WmDkQNcu</t>
  </si>
  <si>
    <t>https://drive.google.com/file/d/1HH2ckPPIT8TIbgjhPEjuXxl6O4DGACn_/view?usp=drivesdk</t>
  </si>
  <si>
    <t>น.อ.หญิง ผศ.นิตยา สุขแสน</t>
  </si>
  <si>
    <t>https://lh5.googleusercontent.com/d/1GL9jCfy_FMdk6WRw3GpeA51VELmrI1vO</t>
  </si>
  <si>
    <t>https://drive.google.com/file/d/1hNqsOZAqN0NluRLSomwXBkJ7A46mOd1k/view?usp=drivesdk</t>
  </si>
  <si>
    <t>https://lh5.googleusercontent.com/d/16qG-kQ89Rgp5INpSnJ1z-PPUXyZK6ubm</t>
  </si>
  <si>
    <t>https://drive.google.com/file/d/1o6ymOPZNTV4vm58KFn6hfXrfhAgpEdAF/view?usp=drivesdk</t>
  </si>
  <si>
    <t>https://lh5.googleusercontent.com/d/159aIcQGhv8-AnRmLZ-98Iy7sWElukAvi</t>
  </si>
  <si>
    <t>https://drive.google.com/file/d/1UDUMd81GBsUyvBz1sKk_4n1x2nDMKvRR/view?usp=drivesdk</t>
  </si>
  <si>
    <t>https://lh5.googleusercontent.com/d/1t7ZCDU-YwiQNAkPRpR7DEIeyet8QXAEl</t>
  </si>
  <si>
    <t>https://drive.google.com/file/d/1u9-dP8fsCqpX3Nn1Q4G9BQjeGx6OtpQX/view?usp=drivesdk</t>
  </si>
  <si>
    <t>https://lh5.googleusercontent.com/d/1mAE3Th7_2MttvJ_fsyQuH_uRI4hrM3Qp</t>
  </si>
  <si>
    <t>https://drive.google.com/file/d/1FKZ-v-vAQ41KKhqSQhGiAIhBki2otIo-/view?usp=drivesdk</t>
  </si>
  <si>
    <t>ซ้อมเต้นเพลงความสุข</t>
  </si>
  <si>
    <t>https://lh5.googleusercontent.com/d/12b2OgxzvylcZI94l3fWzemDso4RLckXb</t>
  </si>
  <si>
    <t>https://drive.google.com/file/d/1GB720k7rPsRTJzNEWLNxzKIkmJK5HCyX/view?usp=drivesdk</t>
  </si>
  <si>
    <t>https://lh5.googleusercontent.com/d/1Yf6p3zFjLBJ7yEIGLZ17OHhLEr9-an_0</t>
  </si>
  <si>
    <t>https://drive.google.com/file/d/1LnwhP0sgACtqfNYknBde4ZGS9421JF3i/view?usp=drivesdk</t>
  </si>
  <si>
    <t>https://lh5.googleusercontent.com/d/1-dfyQANnGVijqUm6EyaT3D1c1uoe002v</t>
  </si>
  <si>
    <t>https://drive.google.com/file/d/1hv2P27t1QYtp3hTWVlnPENBaWtsdPPlx/view?usp=drivesdk</t>
  </si>
  <si>
    <t>ขนหินตกแต่งวิทยาลัย</t>
  </si>
  <si>
    <t>https://lh5.googleusercontent.com/d/1q5nchticQJLyWGbavkNk7HCDrl1U-d97</t>
  </si>
  <si>
    <t>https://drive.google.com/file/d/10mJkE7Dd2vyhbs_zZLPvtYmHEBvE4rGt/view?usp=drivesdk</t>
  </si>
  <si>
    <t>ซ้อมเต้นเพลง ความสุข</t>
  </si>
  <si>
    <t>https://lh5.googleusercontent.com/d/1ZEvcm5ZKfnaXcdkEzwjwMu7pSwtgXHDc</t>
  </si>
  <si>
    <t>https://drive.google.com/file/d/1Welx-Jz8kiA7s_hJU7l92ypCVMh1pQbZ/view?usp=drivesdk</t>
  </si>
  <si>
    <t>วางพานพุ่มเนื่องในวันเฉลิมพระชนมพรรษา</t>
  </si>
  <si>
    <t>https://lh5.googleusercontent.com/d/1sPDlyomJQg_ZYEqSCRwmu_etIk7IO75y</t>
  </si>
  <si>
    <t>https://drive.google.com/file/d/1xC73C4vtxCjSOPet8VDsASVEtJswPdAW/view?usp=drivesdk</t>
  </si>
  <si>
    <t>https://lh5.googleusercontent.com/d/11ZqNaifOQyDQCdLsoi_QBNlzHogBpsyq</t>
  </si>
  <si>
    <t>https://drive.google.com/file/d/10jFJ5yWN-1riGyJJ5MWYhNu0uqbPmW4L/view?usp=drivesdk</t>
  </si>
  <si>
    <t>https://lh5.googleusercontent.com/d/1GmjSs51TfA38RbhUZ7yeGSzVvw9NHvab</t>
  </si>
  <si>
    <t>https://drive.google.com/file/d/1liZNBLscoDOhbl4CrQM29b_vMqVkYvnx/view?usp=drivesdk</t>
  </si>
  <si>
    <t>สนามกีฬากองทัพอากาศ จันทรุเบกษา</t>
  </si>
  <si>
    <t>https://lh5.googleusercontent.com/d/1GOGDf88E7t9KQqFRYszEUtY2BU89Q29r</t>
  </si>
  <si>
    <t>https://drive.google.com/file/d/1gYZguG8PWjQ5YVQueABgNXjiAFOGHruC/view?usp=drivesdk</t>
  </si>
  <si>
    <t>https://lh5.googleusercontent.com/d/1_WyjLs4fKb_eDqCo_KOKT_VtIAtc5D8u</t>
  </si>
  <si>
    <t>https://drive.google.com/file/d/1Z5NjF_Z0rwHMLt0glZEaKw530BTLB3QB/view?usp=drivesdk</t>
  </si>
  <si>
    <t xml:space="preserve">การแข่งขันกอล์ฟการกุศล ครั้งที่ 17 </t>
  </si>
  <si>
    <t>https://lh5.googleusercontent.com/d/1GI-wBxcORqI0O3p9l3ePs1nyY0RLZLjp</t>
  </si>
  <si>
    <t>https://drive.google.com/file/d/15QxgAInu8ex6RfltMCMWt89Y2Aa9vnv_/view?usp=drivesdk</t>
  </si>
  <si>
    <t>https://lh5.googleusercontent.com/d/1zYRGLol-wj86sRROfr_TrHXwtJ0gUUgW</t>
  </si>
  <si>
    <t>https://drive.google.com/file/d/1KV7JLZmZwhfOT9J1v2B4egWDnC2D1Cfw/view?usp=drivesdk</t>
  </si>
  <si>
    <t>https://lh5.googleusercontent.com/d/19Ar_eIWVRThYomR8rMuIlHh5Rc8r4qz5</t>
  </si>
  <si>
    <t>https://drive.google.com/file/d/1G7DkH1CZUaCCh3TEQ-2-VO4IfpJsHoBJ/view?usp=drivesdk</t>
  </si>
  <si>
    <t>จัดสวนวพอ.</t>
  </si>
  <si>
    <t>https://lh5.googleusercontent.com/d/1hmnpYia5SLRjbTDSCNPCI_bLejvMzyec</t>
  </si>
  <si>
    <t>https://drive.google.com/file/d/1T2DvIsLMSAV4U3Liv3p_QUbobY84QZtg/view?usp=drivesdk</t>
  </si>
  <si>
    <t>ขนหินอ่อนตกแต่ง</t>
  </si>
  <si>
    <t>https://lh5.googleusercontent.com/d/1KsqyzAaAsStK3iC6A3cqhkOLQYtqJgqI</t>
  </si>
  <si>
    <t>https://drive.google.com/file/d/15_0xJzFloyX0qHGEcGzjvJQJtoH6U1gg/view?usp=drivesdk</t>
  </si>
  <si>
    <t>จัดสิ่งแวดล้อมภายในวิทยาลัย</t>
  </si>
  <si>
    <t>https://lh5.googleusercontent.com/d/1AtEjNlQJ1IFgX5bDcyifFfejvN6M8krz</t>
  </si>
  <si>
    <t>https://drive.google.com/file/d/1ofpVLAv6JzFimtNpRhE5-IO_yd8Y9THl/view?usp=drivesdk</t>
  </si>
  <si>
    <t>โรงพยาบาลท้องถิ่น</t>
  </si>
  <si>
    <t>ศูนย์บริจาคโลหิต</t>
  </si>
  <si>
    <t>https://lh5.googleusercontent.com/d/1ldon19rrui_YPa1BLZx3ZaUI8Oq7mpgK</t>
  </si>
  <si>
    <t>https://drive.google.com/file/d/1sP1dhS9r7HjRj0brzckyIUGjv7pynRAm/view?usp=drivesdk</t>
  </si>
  <si>
    <t>ขนหิน ตกแต่งวพอ.</t>
  </si>
  <si>
    <t>https://lh5.googleusercontent.com/d/19RxmIQ_TpL0LsETsvKO5i6GvX3KRSRWu</t>
  </si>
  <si>
    <t>https://drive.google.com/file/d/1gV1xAtve6I9cvI6jEiudCgGBmoKRO4je/view?usp=drivesdk</t>
  </si>
  <si>
    <t>พร้อมพิธีมอบหมวกพยาบาลวิชาชีพ ปีการศึกษา 2568</t>
  </si>
  <si>
    <t>https://lh5.googleusercontent.com/d/189GBgDRX-8-XSluVq6NKuVSgImMfQyRY</t>
  </si>
  <si>
    <t>https://drive.google.com/file/d/1WhBK6N37ncDaVpZU2C-emG395eSuVw_e/view?usp=drivesdk</t>
  </si>
  <si>
    <t>https://lh5.googleusercontent.com/d/150udxTcvvunal1zavgdj0J8SZVZOGA0K</t>
  </si>
  <si>
    <t>https://drive.google.com/file/d/1YkCLMScmjNvs8gBhZ10_S2n8RoOtZkd6/view?usp=drivesdk</t>
  </si>
  <si>
    <t>ทำความสะอาดห้อง</t>
  </si>
  <si>
    <t>https://lh5.googleusercontent.com/d/1kxLUMGcAHwYpnpUnm5Z2iQBrx_9qu6yh</t>
  </si>
  <si>
    <t>https://drive.google.com/file/d/16UWhaWMFSO3cMTWqVST3j6LgFP0OLu5_/view?usp=drivesdk</t>
  </si>
  <si>
    <t>https://lh5.googleusercontent.com/d/1vgkrSyLhXejxhWLjUrYKnP-tIEXQgVlL</t>
  </si>
  <si>
    <t>https://drive.google.com/file/d/1EePSuqzkh7uHxSnJOlHYzSFWAttowgsq/view?usp=drivesdk</t>
  </si>
  <si>
    <t>https://lh5.googleusercontent.com/d/1qIknwErCa8P3pBihOCBsiGYMGIUyDN4l</t>
  </si>
  <si>
    <t>https://drive.google.com/file/d/1mfKnIl68OkxwnRTftujfR-cuGERl2g8F/view?usp=drivesdk</t>
  </si>
  <si>
    <t>https://lh5.googleusercontent.com/d/1KU6VYYe8CbfkxMN87whfSxpUcr6LLUfy</t>
  </si>
  <si>
    <t>https://drive.google.com/file/d/1SbMmezSaN8eScuCSoLB0x0NgZ7YzimLu/view?usp=drivesdk</t>
  </si>
  <si>
    <t>https://lh5.googleusercontent.com/d/1vOsyhQUOQYqL7KRvt9mLK6yJIsb8-zht</t>
  </si>
  <si>
    <t>https://drive.google.com/file/d/1QB2qhPLGAQXa6iRskPqwzpJICVoGHrzq/view?usp=drivesdk</t>
  </si>
  <si>
    <t>https://lh5.googleusercontent.com/d/1f-bYiBdg5cn4hA6jIr9YnwjGNk3_E8f7</t>
  </si>
  <si>
    <t>https://drive.google.com/file/d/1Ta2G3iQSI9FaXZ5yDjNx8-x2w6gKa8g8/view?usp=drivesdk</t>
  </si>
  <si>
    <t>https://lh5.googleusercontent.com/d/1PNmanvq1IpM2jHpZtzK2cRmkIZ7dFI8T</t>
  </si>
  <si>
    <t>https://drive.google.com/file/d/1guel7VfrZvauy0gF4VCqNzG2QTsl48k1/view?usp=drivesdk</t>
  </si>
  <si>
    <t>วัดบางพูดนอก</t>
  </si>
  <si>
    <t>https://lh5.googleusercontent.com/d/10hYRsxZbp3ase-QwCAhADVuIpUEUspHW</t>
  </si>
  <si>
    <t>https://drive.google.com/file/d/1sMPi16513wYe7TFssjI7p2ABoMSX5WhG/view?usp=drivesdk</t>
  </si>
  <si>
    <t>เก็บขยะ</t>
  </si>
  <si>
    <t>https://lh5.googleusercontent.com/d/1RGL_J9Cv_UIohRJlcyinWX1TkigS-nbF</t>
  </si>
  <si>
    <t>https://drive.google.com/file/d/1vDJXgMbmPIrH8sC3RcoVzAUxAyDYEQN0/view?usp=drivesdk</t>
  </si>
  <si>
    <t>https://lh5.googleusercontent.com/d/194wqIOxCI-VLYfIbgMYGLbT_6JJIkh5U</t>
  </si>
  <si>
    <t>https://drive.google.com/file/d/1WgmpSyAdZ_MmMXukD5Z7OBVtsho6nlTm/view?usp=drivesdk</t>
  </si>
  <si>
    <t>https://lh5.googleusercontent.com/d/1pMYWphHWkJa-tiAWgsCHnZzSS5j8P_7P</t>
  </si>
  <si>
    <t>https://drive.google.com/file/d/1WEkRWFnHU-sVSPNyvP8xmVHNHDtb0FB9/view?usp=drivesdk</t>
  </si>
  <si>
    <t>https://lh5.googleusercontent.com/d/1Egu3RlYLEg0yZsEU2YLBCaa7jmmvDXhB</t>
  </si>
  <si>
    <t>https://drive.google.com/file/d/1O7iyVu00Vi4oXZ8liQD6RO-KSII7xu_n/view?usp=drivesdk</t>
  </si>
  <si>
    <t>https://lh5.googleusercontent.com/d/1-25fzREyBQxg7iZP3bVOu1JnH81GnZpZ</t>
  </si>
  <si>
    <t>https://drive.google.com/file/d/1w_5J_ahXt1ubMSPOznl4fERinYXikB-8/view?usp=drivesdk</t>
  </si>
  <si>
    <t>https://lh5.googleusercontent.com/d/1LteeCMtTa3V2LQtQxczBfI5P45bleYlI</t>
  </si>
  <si>
    <t>https://drive.google.com/file/d/1arG2R3jgg7CAD3YX_qkbnnnICrFXTd3I/view?usp=drivesdk</t>
  </si>
  <si>
    <t>สนามกีฬากองทัพอากาศ(จันทรุเบกษา)</t>
  </si>
  <si>
    <t>https://lh5.googleusercontent.com/d/1S32Z83WYu16Ag6dTqMFOTuIyi_uyfk-6</t>
  </si>
  <si>
    <t>https://drive.google.com/file/d/1MPHvSRgiunIXJKxdNCGjCgS9Be8g8miJ/view?usp=drivesdk</t>
  </si>
  <si>
    <t>https://lh5.googleusercontent.com/d/1sHNBITPoAJYWZD0BCerssRdSp5PbRKUu</t>
  </si>
  <si>
    <t>https://drive.google.com/file/d/1KwuePrYOO3joAvw0iKGtFrk4mtC0N8_s/view?usp=drivesdk</t>
  </si>
  <si>
    <t>https://lh5.googleusercontent.com/d/1Zeh80bxji-dWnfV0m837kTtnrJKAY94g</t>
  </si>
  <si>
    <t>https://drive.google.com/file/d/1esAs9DXAUd5XQ9zYVSks95u8GFWbB8yU/view?usp=drivesdk</t>
  </si>
  <si>
    <t>ซ้อมดนตรีไทยงานสงกรานต์วพอ.2569</t>
  </si>
  <si>
    <t>https://lh5.googleusercontent.com/d/1QwG4CAbFG8LPhgH_o573CuNksq2P5Xsx</t>
  </si>
  <si>
    <t>https://drive.google.com/file/d/12no7TEhBI6ORmcG5s4tr-29gxnuoN8_L/view?usp=drivesdk</t>
  </si>
  <si>
    <t>https://lh5.googleusercontent.com/d/1Zg1uVqqUSJrZi2nSZR-4KVbOlsiJhXai</t>
  </si>
  <si>
    <t>https://drive.google.com/file/d/1DdXP2I9okqXXUw0sx6RL24zj2Q1fJKaA/view?usp=drivesdk</t>
  </si>
  <si>
    <t>https://lh5.googleusercontent.com/d/1dLavsPf55L-tT_MWuq577oRv8CeN2ID-</t>
  </si>
  <si>
    <t>https://drive.google.com/file/d/17hcY6Wqai3JB8l8nXP2AdEZoRDuBcuS8/view?usp=drivesdk</t>
  </si>
  <si>
    <t>https://lh5.googleusercontent.com/d/1N3g-6W_iETeY4cXY4vF86kTxVaJ0381w</t>
  </si>
  <si>
    <t>https://drive.google.com/file/d/1Pi3cHMRhWH2I8sz8XX8AXsiLz0X-YPtS/view?usp=drivesdk</t>
  </si>
  <si>
    <t>ปรับปรุงทัศนียภาพในวพอ.พอ.</t>
  </si>
  <si>
    <t>https://lh5.googleusercontent.com/d/1iOg3c24XU1HIlMcHtOG-kGvYvEyMkkf4</t>
  </si>
  <si>
    <t>https://drive.google.com/file/d/11xMPVlv-OLzr4yoJ5Ygzdomq8LVoutci/view?usp=drivesdk</t>
  </si>
  <si>
    <t>หน้าลานวัด</t>
  </si>
  <si>
    <t>พระครูสุวรรณวุฒาจารย์</t>
  </si>
  <si>
    <t>https://lh5.googleusercontent.com/d/1dwlICqUqY5kILvVI0sN7bRkMoTjFoMmq</t>
  </si>
  <si>
    <t>https://drive.google.com/file/d/1_83UH_gwYV4nmPspTxf0YXAq2tHfIX8_/view?usp=drivesdk</t>
  </si>
  <si>
    <t>https://lh5.googleusercontent.com/d/18Na3gAYr83x6Qa2GVMv_G0S-bns7VDK_</t>
  </si>
  <si>
    <t>https://drive.google.com/file/d/1hoNC6zSt76oEVH5pRrnvvExpSat0WcPf/view?usp=drivesdk</t>
  </si>
  <si>
    <t>โรงพยาบาลรามาธิบดี</t>
  </si>
  <si>
    <t>ศูนย์บริการโลหิต</t>
  </si>
  <si>
    <t>https://lh5.googleusercontent.com/d/1WcLkmJO7eb2b8cSYGLapww5UKK5Q6N51</t>
  </si>
  <si>
    <t>https://drive.google.com/file/d/1fXoGTkhF9LI_IV_sDc9tzZlKaj4D9oYG/view?usp=drivesdk</t>
  </si>
  <si>
    <t>https://lh5.googleusercontent.com/d/1StJkwogYd3Y3h4lBBqOokG4Q9KD6oVhe</t>
  </si>
  <si>
    <t>https://drive.google.com/file/d/19F2SNh3qUsR9p2XydjRgsnCTLs33whgN/view?usp=drivesdk</t>
  </si>
  <si>
    <t>ขนหินอ่อนตกแต่งวิลัย</t>
  </si>
  <si>
    <t>https://lh5.googleusercontent.com/d/1AGgoGrASrluedmULONTXcUuldT3gtOEg</t>
  </si>
  <si>
    <t>https://drive.google.com/file/d/180tBelvEFeE5eMHmfkgFw5rKPZ3J9tqP/view?usp=drivesdk</t>
  </si>
  <si>
    <t>https://lh5.googleusercontent.com/d/1aAXknAceAzmwczh_B-u2t3HCg5N3KaAF</t>
  </si>
  <si>
    <t>https://drive.google.com/file/d/1FzR0lhrWFl0Z8SYvIsHOOEsdku6_Y_zs/view?usp=drivesdk</t>
  </si>
  <si>
    <t>https://lh5.googleusercontent.com/d/1ZFVZzDyIgdVAyMucWyGG4Bu8F6zkTTO7</t>
  </si>
  <si>
    <t>https://drive.google.com/file/d/159t1PVODRCvFyRg249nNRTew47zkptLu/view?usp=drivesdk</t>
  </si>
  <si>
    <t>https://lh5.googleusercontent.com/d/11Y-_47JmPotFJ57jsH4ARw6w5g7La-qK</t>
  </si>
  <si>
    <t>https://drive.google.com/file/d/1mmXQ63Ghu8QSP_f_ux7WZSahHPmKyb2v/view?usp=drivesdk</t>
  </si>
  <si>
    <t>https://lh5.googleusercontent.com/d/1cDaPymsjplyfBXnC22umUCpASLL4LBW8</t>
  </si>
  <si>
    <t>https://drive.google.com/file/d/1l1pDgUkClePoxdXXz3ruQrMwnRLh_X7_/view?usp=drivesdk</t>
  </si>
  <si>
    <t>https://lh5.googleusercontent.com/d/1rGHppryPWDY_DlT9aUpRN72b_RDUMZmP</t>
  </si>
  <si>
    <t>https://drive.google.com/file/d/1Zk9bypGEQg6oE4TWqpvQ0r4ezGEnEN9q/view?usp=drivesdk</t>
  </si>
  <si>
    <t>https://lh5.googleusercontent.com/d/1HxPwdaPyBAkKnNtT6RCIXBdxnnBmLkS5</t>
  </si>
  <si>
    <t>https://drive.google.com/file/d/1R-jlGTaH-bq8b2PHHZDoEEJdk4apssCG/view?usp=drivesdk</t>
  </si>
  <si>
    <t>https://lh5.googleusercontent.com/d/1G_NlbKIEYJO0CG9QZQ4oFIni8SB0ZYFi</t>
  </si>
  <si>
    <t>https://drive.google.com/file/d/1gAMiz0nyJ-hDcxw1jtTkekDSWs7-jhAF/view?usp=drivesdk</t>
  </si>
  <si>
    <t>กองบริการโลหิต รพ.ภูมิพลอดุลยเดช พอ.</t>
  </si>
  <si>
    <t>https://lh5.googleusercontent.com/d/1nfNDHpcHbn66pXdry9PgPKEkWE_AwSqJ</t>
  </si>
  <si>
    <t>https://drive.google.com/file/d/16hP9jo29g3jP_jFMUmxAtYqcmX8BTU78/view?usp=drivesdk</t>
  </si>
  <si>
    <t>14:30-17:30</t>
  </si>
  <si>
    <t>https://lh5.googleusercontent.com/d/1cQSa2i4fv18tdRTLscbfcAHWHiKH0k6W</t>
  </si>
  <si>
    <t>https://drive.google.com/file/d/1IvC61JG-9kGil608hvDzqIg74D0VHPkx/view?usp=drivesdk</t>
  </si>
  <si>
    <t>18:00-19:00</t>
  </si>
  <si>
    <t>https://lh5.googleusercontent.com/d/1CDrpuQU8n-Ol2A9GdmAfeRNSRiFylyKJ</t>
  </si>
  <si>
    <t>https://drive.google.com/file/d/1F6HvDxPsp4WG4d36g3DYIhFWHHR2Zl-B/view?usp=drivesdk</t>
  </si>
  <si>
    <t>https://lh5.googleusercontent.com/d/1equeSsK_2hdq-vsXiUuDAUZM8rz1kudy</t>
  </si>
  <si>
    <t>https://drive.google.com/file/d/13eTjJi5elwxV1PKiEXBqpewbZcUfz9gu/view?usp=drivesdk</t>
  </si>
  <si>
    <t>จัดสภาพเเวดล้อม วพอ.</t>
  </si>
  <si>
    <t>น.อ.หญิง ผศ.นิตยา สุขเเสน</t>
  </si>
  <si>
    <t>https://lh5.googleusercontent.com/d/1fkkqZFJmgwIxezOuZqJ7Y_viRtu8z2dp</t>
  </si>
  <si>
    <t>https://drive.google.com/file/d/1YBNhyFsEIvR6eQSh_U-PSu0NQauRN8YZ/view?usp=drivesdk</t>
  </si>
  <si>
    <t>https://lh5.googleusercontent.com/d/1hWVE5PKSy7KKiek80vBe4vjzwK70KJmJ</t>
  </si>
  <si>
    <t>https://drive.google.com/file/d/1xx2KjRBdGMrzqJLAj-zpkZRXHoMgbDrO/view?usp=drivesdk</t>
  </si>
  <si>
    <t>16:00-19:00</t>
  </si>
  <si>
    <t>https://lh5.googleusercontent.com/d/1u859nwQYHsJQVZHwJuKEnZKfoYpBRAog</t>
  </si>
  <si>
    <t>https://drive.google.com/file/d/1M7t4LguButBw-datVsnT1SUpro3uGy9k/view?usp=drivesdk</t>
  </si>
  <si>
    <t>https://lh5.googleusercontent.com/d/1FqBxz34BqXriLyYXqyqoGfxEG16_jdCT</t>
  </si>
  <si>
    <t>https://drive.google.com/file/d/17ddOQkPG_U5_RSkyGzvqruqDgqmtgYfC/view?usp=drivesdk</t>
  </si>
  <si>
    <t>https://lh5.googleusercontent.com/d/1ToEe8VaCAr36TBWj4jNhYQCqQD-8xwci</t>
  </si>
  <si>
    <t>https://drive.google.com/file/d/1OjUiVDN4lmfosKTKgFeaU9Sga2G-PHN_/view?usp=drivesdk</t>
  </si>
  <si>
    <t>https://lh5.googleusercontent.com/d/16RQR1qVc69zzmww77l93G7hq0lAU1MHg</t>
  </si>
  <si>
    <t>https://drive.google.com/file/d/1Rdo8BiG2vS-DGzxco5q1VaLgdbLEUoYd/view?usp=drivesdk</t>
  </si>
  <si>
    <t>ซ้อมเต้น</t>
  </si>
  <si>
    <t>https://lh5.googleusercontent.com/d/1oOTG9WQPC9HpLmPQSU9BsvPKIo6r3yh_</t>
  </si>
  <si>
    <t>https://drive.google.com/file/d/19SgYpWmXc3YbYp4ekpCC4PSIu6KSqPxz/view?usp=drivesdk</t>
  </si>
  <si>
    <t>1900-2000</t>
  </si>
  <si>
    <t>https://lh5.googleusercontent.com/d/1bs94eYSKxCPl36MOHP1nqgiUqhPQ1qTN</t>
  </si>
  <si>
    <t>https://drive.google.com/file/d/1aQkDI0u27ZFvQZCKwDp1kWaLu-EJOZSp/view?usp=drivesdk</t>
  </si>
  <si>
    <t>นำเที่ยวปราสาทบ้านเบญจ์</t>
  </si>
  <si>
    <t>ปราสาทบ้านเบญจ์ จ.อุบลราชธานี</t>
  </si>
  <si>
    <t>https://lh5.googleusercontent.com/d/1E-1SV1XwyvfkG9vo-5f_NJ7szKWzt2Jt</t>
  </si>
  <si>
    <t>https://drive.google.com/file/d/1ieKRET3eipOGAHxK2eCQKsDIHzhkr_1m/view?usp=drivesdk</t>
  </si>
  <si>
    <t>https://lh5.googleusercontent.com/d/163GSAsGzvZd2G_nPTOzgNstMpnRU_YES</t>
  </si>
  <si>
    <t>https://drive.google.com/file/d/1C58ZpZTl-ztiAmlJR6Veh7mSksYtJsMg/view?usp=drivesdk</t>
  </si>
  <si>
    <t>https://lh5.googleusercontent.com/d/1Ie9fQ6GIfS_KkgaByf_hh5JYfPvSHhpr</t>
  </si>
  <si>
    <t>https://drive.google.com/file/d/1q2avw5TEjA0Ug5XvU3EO1xEIRpiBIDcU/view?usp=drivesdk</t>
  </si>
  <si>
    <t>https://lh5.googleusercontent.com/d/14dqIJpsknxJ_IujGwJidI3mpMmPh_Pt-</t>
  </si>
  <si>
    <t>https://drive.google.com/file/d/1WRQCD5jZzm5XwVp218AO1FLCbBUsY39h/view?usp=drivesdk</t>
  </si>
  <si>
    <t>งานคัดกรองมะเร้งเต้านม</t>
  </si>
  <si>
    <t>อาคารรณนภาอากาศ อุทยานการบินกองทัพอากาศ</t>
  </si>
  <si>
    <t>ร.อ.จรัสศรี ดำศรี</t>
  </si>
  <si>
    <t>https://lh5.googleusercontent.com/d/1SrdeutBED09VkpZ0xWSlVVK17ZF19ulV</t>
  </si>
  <si>
    <t>https://drive.google.com/file/d/1XyJ8ls6IiwMR9WAUiUyaYYoFmmuG-gsX/view?usp=drivesdk</t>
  </si>
  <si>
    <t>https://lh5.googleusercontent.com/d/1J_RCb5H111F5gitK85Gcip7Xpqt8PeZq</t>
  </si>
  <si>
    <t>https://drive.google.com/file/d/1103aqtwrIG62-PggCs925LAzQMIMumMF/view?usp=drivesdk</t>
  </si>
  <si>
    <t>https://lh5.googleusercontent.com/d/1djCpg51wEvAVPNPATy4OqXOubPcMlzgs</t>
  </si>
  <si>
    <t>https://drive.google.com/file/d/1SZuLphRcME7GZoT38Gmtwzzn1lXp2Lkd/view?usp=drivesdk</t>
  </si>
  <si>
    <t>สนามกีฬากองทัพอากาศจันทรุเบกษา</t>
  </si>
  <si>
    <t>https://lh5.googleusercontent.com/d/1X0w2gBrQyKOil6qNAo0X6j2xUTgcNAq1</t>
  </si>
  <si>
    <t>https://drive.google.com/file/d/1p8-X-BACeYEQQlvZx26vq8UguA0-babV/view?usp=drivesdk</t>
  </si>
  <si>
    <t>https://lh5.googleusercontent.com/d/1ZhTDF4eBjWu5WPl6kicgMC3t7vrBHXsZ</t>
  </si>
  <si>
    <t>https://drive.google.com/file/d/1ijDKzTujaVG2WHlAS6oeHgl-3BGlxhSm/view?usp=drivesdk</t>
  </si>
  <si>
    <t>https://lh5.googleusercontent.com/d/13O8N3pWYxbm40KrzHqdja713vv4c6Se1</t>
  </si>
  <si>
    <t>https://drive.google.com/file/d/1d0rsDZzb0g1yNX-tdaz5av4pmRRCnHpM/view?usp=drivesdk</t>
  </si>
  <si>
    <t>https://lh5.googleusercontent.com/d/1nYFzauoAgOI3e25NlvPRG6BUdbCTpZz7</t>
  </si>
  <si>
    <t>https://drive.google.com/file/d/1-c9IEjngNVlelhP9-yTbSh_dY9alfOlO/view?usp=drivesdk</t>
  </si>
  <si>
    <t>https://lh5.googleusercontent.com/d/1_ZayB0tPYTf0gJDUNew-CihwG3MLPARn</t>
  </si>
  <si>
    <t>https://drive.google.com/file/d/1TsWKv4RmwnOIhIO-7c74A7aX8YgnWumQ/view?usp=drivesdk</t>
  </si>
  <si>
    <t>https://lh5.googleusercontent.com/d/1eAVRl84mQ96z8qWuTwndBGQEVvGplvnX</t>
  </si>
  <si>
    <t>https://drive.google.com/file/d/1SSW7kq3PF9gK_TbSaT1byK4oCAL4rKyR/view?usp=drivesdk</t>
  </si>
  <si>
    <t>https://lh5.googleusercontent.com/d/1BC7pfQZVKgRyf_p6igIsVriFtID6QUDB</t>
  </si>
  <si>
    <t>https://drive.google.com/file/d/1y_oryO6jM5RYFhvbNUlCcWb_Z4cMtSSh/view?usp=drivesdk</t>
  </si>
  <si>
    <t>https://lh5.googleusercontent.com/d/1lgjkqKOsTBqZ4cNbJ2S6vbBJkRHzgpEz</t>
  </si>
  <si>
    <t>https://drive.google.com/file/d/1qQQ5Yt7SBzNHApPWzizAUbLN7OhgxSwK/view?usp=drivesdk</t>
  </si>
  <si>
    <t>https://lh5.googleusercontent.com/d/1X-q7BaZeHWASUDF2j6l9VlgjdxyPF8Zq</t>
  </si>
  <si>
    <t>https://drive.google.com/file/d/1jhrHd8pbEDS_bdvIeWm0nzggI_klw8E3/view?usp=drivesdk</t>
  </si>
  <si>
    <t>น.ท.หญิง ลักขณา พานิชสรรค์</t>
  </si>
  <si>
    <t>https://lh5.googleusercontent.com/d/17jtoqCbTlGGHzV7Wl_31ZQg3B2MgWj16</t>
  </si>
  <si>
    <t>https://drive.google.com/file/d/1tBH5dftsQS7OcoKsfKWJz_vWfbf0PDTF/view?usp=drivesdk</t>
  </si>
  <si>
    <t>https://lh5.googleusercontent.com/d/1CHUs8wgjWrW-Ph1myI13OSk87Q3X5gwt</t>
  </si>
  <si>
    <t>https://drive.google.com/file/d/1ouqO-3Mq55QsBsFmwB9w2NCJmFrqp_TZ/view?usp=drivesdk</t>
  </si>
  <si>
    <t>นพอ.ชญานิศ ทองแสง</t>
  </si>
  <si>
    <t>น.อ.หญิง.ผศ. นิตยา สุขแสน</t>
  </si>
  <si>
    <t>https://lh5.googleusercontent.com/d/1u_6huERRaqCxN1fUcDErjuZODbJEp6np</t>
  </si>
  <si>
    <t>https://drive.google.com/file/d/1wL2XDWEeEiW55K4lSklFt1l2z9fPsIGt/view?usp=drivesdk</t>
  </si>
  <si>
    <t>https://lh5.googleusercontent.com/d/1yyIXoaRsDAuA7eo0PPNag_FTLX_oZK4p</t>
  </si>
  <si>
    <t>https://drive.google.com/file/d/1izoeoEIoSQv5UxmYLy2pKX-YXghdl_1S/view?usp=drivesdk</t>
  </si>
  <si>
    <t>งานกอล์ฟการกุศล ทอ.2569</t>
  </si>
  <si>
    <t>https://lh5.googleusercontent.com/d/1arb7kZ5XfzMCTv6GXNmEtcbmofy-vvDc</t>
  </si>
  <si>
    <t>https://drive.google.com/file/d/1kaw0uqhLyOExiFLYJCwDoOYLpXrSL1R2/view?usp=drivesdk</t>
  </si>
  <si>
    <t>https://lh5.googleusercontent.com/d/1CiSi4isflCwwjHgNvAj_LXkWZO2TQGwD</t>
  </si>
  <si>
    <t>https://drive.google.com/file/d/1dR6IAb7CBj9hUeItrh73J1he4Bz3AlAf/view?usp=drivesdk</t>
  </si>
  <si>
    <t>https://lh5.googleusercontent.com/d/14ubF5nQHdQFhz0BsZDgFaSvFIlx6kVIE</t>
  </si>
  <si>
    <t>https://drive.google.com/file/d/1sAIY8UOlQm3uUsL_zTKr7Lvra8RsY0Mu/view?usp=drivesdk</t>
  </si>
  <si>
    <t>15:00-21:00</t>
  </si>
  <si>
    <t>https://lh5.googleusercontent.com/d/1wMVK0jnJkf9PX53wOCqdzrqUfEOWXfpW</t>
  </si>
  <si>
    <t>https://drive.google.com/file/d/1BdPWVzkH6CaAAC1a0jftT-0QXgHyQ3W7/view?usp=drivesdk</t>
  </si>
  <si>
    <t>https://lh5.googleusercontent.com/d/1Rq7-1HEyP7yIhlzjK4o0OvOJX1HhgbYL</t>
  </si>
  <si>
    <t>https://drive.google.com/file/d/1ZLuEBer-DpZe-hC81PBmt0OcJqO-fyqI/view?usp=drivesdk</t>
  </si>
  <si>
    <t>ช่วยจัดห้อง มทด.</t>
  </si>
  <si>
    <t>https://lh5.googleusercontent.com/d/1J0wqRhl28CQNtuvmranpxnc6WwuOeYr7</t>
  </si>
  <si>
    <t>https://drive.google.com/file/d/1YVgJA3ciRcS1LRAWLI_hwtyq-uamQUkI/view?usp=drivesdk</t>
  </si>
  <si>
    <t>ซ้อมเต้นเพื่อนำเสนออัตลักษณ์วิทยาลัย</t>
  </si>
  <si>
    <t>น.ต.หญิง เบญญาดา บุรีรัตน์</t>
  </si>
  <si>
    <t>https://lh5.googleusercontent.com/d/1tpWXOEwpRBV7_MnQ2Ifx85GKjLgTMX0i</t>
  </si>
  <si>
    <t>https://drive.google.com/file/d/1HoCfIyk8iDrHyqmcVC5PO28HNsLR_uc2/view?usp=drivesdk</t>
  </si>
  <si>
    <t>นพอ.ดรกนก  วิไลลักษณ์</t>
  </si>
  <si>
    <t>https://lh5.googleusercontent.com/d/1kCIWYDBtH1ZrKKJQCk427c308Ye6nJIT</t>
  </si>
  <si>
    <t>https://drive.google.com/file/d/1kYdQalaaKloaP7q7DUPw-VfobiCb8suP/view?usp=drivesdk</t>
  </si>
  <si>
    <t>https://lh5.googleusercontent.com/d/1Jcvsx8HTEIU9AyaPf79IZXCHWCkkdt9g</t>
  </si>
  <si>
    <t>https://drive.google.com/file/d/1F9wpap_DbFTPNVKbURAjTNXwCmx0bJmF/view?usp=drivesdk</t>
  </si>
  <si>
    <t>นพอ.กรกนก  วิไลลักษณ์</t>
  </si>
  <si>
    <t>จัดสภาพแวดล้อม วพอ.</t>
  </si>
  <si>
    <t>https://lh5.googleusercontent.com/d/1DHjVkMBADJvDn_pxnILFwCgsr9QxhrKF</t>
  </si>
  <si>
    <t>https://drive.google.com/file/d/1GG_fz0ezf1Jr8Hxa3A_DmJ2Eg5DGBKdN/view?usp=drivesdk</t>
  </si>
  <si>
    <t>น.อ.หญิง.ผศ.นิตยา แสนสุข</t>
  </si>
  <si>
    <t>https://lh5.googleusercontent.com/d/1YB1Fo8Ac3HAufxavPCN1xmDLTEKplsG6</t>
  </si>
  <si>
    <t>https://drive.google.com/file/d/11C4UH-0nf-EulmEEsxMXUQ-0nQUHM9yg/view?usp=drivesdk</t>
  </si>
  <si>
    <t>ศูนย์บริจาคโลหิต จังหวัด ราชบุรี</t>
  </si>
  <si>
    <t>นางจีรนันท์ แก้วก่อง</t>
  </si>
  <si>
    <t>https://lh5.googleusercontent.com/d/1VUdJBOCLDwLpCkat5kfEwhGgO_9l7H63</t>
  </si>
  <si>
    <t>https://drive.google.com/file/d/18hJzTuWMt6znRgIj6xB_eA4I1WmpxMWg/view?usp=drivesdk</t>
  </si>
  <si>
    <t>6603830</t>
  </si>
  <si>
    <t>ช่วยทำแผล อุบัติเหตุรถจักรยานยนต์</t>
  </si>
  <si>
    <t>อ.นิคมพัฒนา จ.ระยอง</t>
  </si>
  <si>
    <t>จ.ส.อ.ไพโรจน์ คล้ายแก้ว</t>
  </si>
  <si>
    <t>https://lh5.googleusercontent.com/d/1v4XZMPMJurEAAirDH1LUBBmefYfibrFM</t>
  </si>
  <si>
    <t>https://drive.google.com/file/d/1yFTUoxq47vpESKDjib-Y56M1S5CQ8P8M/view?usp=drivesdk</t>
  </si>
  <si>
    <t>เก็บขยะรอบอ่างเก็บน้ำระยะทาง 6 กิโลเมตร</t>
  </si>
  <si>
    <t>อ่างเก็บน้ำดอกกราย จ.ระยอง</t>
  </si>
  <si>
    <t>นางจุรีรัช คล้ายแก้ว</t>
  </si>
  <si>
    <t>https://lh5.googleusercontent.com/d/1HbjmUEQ4kLD-lZ0W_zlyKJkqb6CVuF7Q</t>
  </si>
  <si>
    <t>https://drive.google.com/file/d/1Ht36vfhT336_c_FazUX1nSQ38s_9SCUq/view?usp=drivesdk</t>
  </si>
  <si>
    <t>วัดมาบตอง จ.ระยอง</t>
  </si>
  <si>
    <t>https://lh5.googleusercontent.com/d/14RxUPV4RZyGvzpFLNMfBLUw4ZWatu7YI</t>
  </si>
  <si>
    <t>https://drive.google.com/file/d/12t_mccDxXheeaZkTYDToAa2EmO7b-qwI/view?usp=drivesdk</t>
  </si>
  <si>
    <t>วัดอัมพวนาราม จ.ชลบุรี</t>
  </si>
  <si>
    <t>https://lh5.googleusercontent.com/d/1ByBHdysIfUpBWtqHe5OdFti_DxRLgvPk</t>
  </si>
  <si>
    <t>https://drive.google.com/file/d/1XZOkkwn-vFpEUMtZg0qNgha8t_w0oxD9/view?usp=drivesdk</t>
  </si>
  <si>
    <t>สรงน้ำพระพุทธรูป</t>
  </si>
  <si>
    <t>จ.ระยอง</t>
  </si>
  <si>
    <t>https://lh5.googleusercontent.com/d/1FmigK8S_9qp4xYV7FdF7DsBChJnt28_8</t>
  </si>
  <si>
    <t>https://drive.google.com/file/d/1_93cE-Sd2RYQdEIMg6gV7ufbsRXqYn_G/view?usp=drivesdk</t>
  </si>
  <si>
    <t>ไถ่ชีวิตโคกระบือ ร่วมกับสโมสร Rotaract of Brgy Sta Cruz ของฟิลิปปินส์</t>
  </si>
  <si>
    <t>โรงฆ่าสัตว์ เทศบาลเมืองปทุมธานี</t>
  </si>
  <si>
    <t>https://lh5.googleusercontent.com/d/143cXZZjblTSksiIGGacG2loeUoB_9Hjr</t>
  </si>
  <si>
    <t>https://drive.google.com/file/d/1fcYi47LhWb87o4GLUj3ovUet5kgQZXlQ/view?usp=drivesdk</t>
  </si>
  <si>
    <t>https://lh5.googleusercontent.com/d/1XaDaihtEjMO169i3A6jJCwBLAWOntUVl</t>
  </si>
  <si>
    <t>https://drive.google.com/file/d/1Afy-QaJCByaRgcfLXUUaVz0snYM_El9C/view?usp=drivesdk</t>
  </si>
  <si>
    <t>ช่วยทำแผลอุบัติเหตุ</t>
  </si>
  <si>
    <t>https://lh5.googleusercontent.com/d/1FUcKBnSf5voqvm71GaCL_FzJfRuuiXfr</t>
  </si>
  <si>
    <t>https://drive.google.com/file/d/1NCR5lZ79amZEfU1OngROCh1JLOgLNkiX/view?usp=drivesdk</t>
  </si>
  <si>
    <t>ปรับปรุงทัศนียภาพใน วพอ. พอ.</t>
  </si>
  <si>
    <t>https://lh5.googleusercontent.com/d/12XByPXPlKJIONuf-Xb07xNild9Dd2U6H</t>
  </si>
  <si>
    <t>https://drive.google.com/file/d/1hmE2cCwt8Dd2EgeKxGpjxSk15b7uf8TS/view?usp=drivesdk</t>
  </si>
  <si>
    <t>บริจาคเงินค่าอาหารช้าง</t>
  </si>
  <si>
    <t>บ้านของช้าง จ.ชลบุรี</t>
  </si>
  <si>
    <t>https://lh5.googleusercontent.com/d/1z-xNDLLC590QqJ5P7zdz4rYOA2ZhLthP</t>
  </si>
  <si>
    <t>https://drive.google.com/file/d/1EEx0tC4XpBFeCiqzcXx5At-OtbLDHRbA/view?usp=drivesdk</t>
  </si>
  <si>
    <t>ช่วยเหลืองานในวพอ.</t>
  </si>
  <si>
    <t>https://lh5.googleusercontent.com/d/13wcd4EBMvU2r3DqG0hscQlG7dXOqUBgA</t>
  </si>
  <si>
    <t>https://drive.google.com/file/d/1aU-juckRzta7TtGeYiZO0iZHk0Zc0bnA/view?usp=drivesdk</t>
  </si>
  <si>
    <t xml:space="preserve"> น.อ.หญิง ผศ. นิตยา สุขแสน</t>
  </si>
  <si>
    <t>https://lh5.googleusercontent.com/d/1gYaPYG6gD8QUvL5z_dr6B66V1IT4xZUm</t>
  </si>
  <si>
    <t>https://drive.google.com/file/d/197M8K-QSnPJXX0-3Ok6i7SSS0zpi5_SW/view?usp=drivesdk</t>
  </si>
  <si>
    <t>ดูหนังการกุศล</t>
  </si>
  <si>
    <t>เมเจอร์รัชโยธิน</t>
  </si>
  <si>
    <t>https://lh5.googleusercontent.com/d/1IPw0Vzp9CFvTSkF6yiIub5lHL0LaIrdL</t>
  </si>
  <si>
    <t>https://drive.google.com/file/d/1F7JZDEb9Jy_yYFz9PbidE_un9Q74sYgA/view?usp=drivesdk</t>
  </si>
  <si>
    <t>https://lh5.googleusercontent.com/d/1GDsIjgUfU-MBttkQeRCSM90KVGThQct6</t>
  </si>
  <si>
    <t>https://drive.google.com/file/d/1MtiXL8SzSDOvZ-B9J3qKcSuxf1XD4Xa6/view?usp=drivesdk</t>
  </si>
  <si>
    <t>https://lh5.googleusercontent.com/d/14YCqJmT2-EZVRPwcml9h3-A-umxHPGs7</t>
  </si>
  <si>
    <t>https://drive.google.com/file/d/1v6Fe4jjQ98nreUSDz_Sv8fhf-qPE9Cvj/view?usp=drivesdk</t>
  </si>
  <si>
    <t>https://lh5.googleusercontent.com/d/1NpNgBNMJHZpW9_uaWTwDat_Q4GgY3Zek</t>
  </si>
  <si>
    <t>https://drive.google.com/file/d/14C3HCqtQ4j-4rt32KJkD-MnM-xylZCEd/view?usp=drivesdk</t>
  </si>
  <si>
    <t>https://lh5.googleusercontent.com/d/1D5JzRdlVjlzI1jPs-ZCsgXAM3FFG5HE9</t>
  </si>
  <si>
    <t>https://drive.google.com/file/d/1_PmbxnYljaOxnuGtUFp4KMSDh50PNufc/view?usp=drivesdk</t>
  </si>
  <si>
    <t>ช่วยจัดทำปกตารางสอนและระเบียบการเข้าเรียนออนไลน์</t>
  </si>
  <si>
    <t>1100-1700</t>
  </si>
  <si>
    <t>https://lh5.googleusercontent.com/d/1-ffdJ0msISUOcO1YIVDnyRxZOLs3ySlD</t>
  </si>
  <si>
    <t>https://drive.google.com/file/d/1lWzkxGeU5aEkkDDpf8pgzNulzpx13pM3/view?usp=drivesdk</t>
  </si>
  <si>
    <t>https://lh5.googleusercontent.com/d/17QgpKDm3dHXgC5YdJ2VG7lkkgYfd7sxy</t>
  </si>
  <si>
    <t>https://drive.google.com/file/d/1ndkEGdBCsNOB0yR7RL6KA8Yb8YH9fBwb/view?usp=drivesdk</t>
  </si>
  <si>
    <t>https://lh5.googleusercontent.com/d/1V2cUPzTXU_SnLzr-ysBH3NzlxA28A7C4</t>
  </si>
  <si>
    <t>https://drive.google.com/file/d/13cQ8ybeurI0nxSEmMYbwLhnMSH_f6lJT/view?usp=drivesdk</t>
  </si>
  <si>
    <t>https://lh5.googleusercontent.com/d/1YJGCuZkHFZ5TDrPwwfp8zl2FGSCQp0rZ</t>
  </si>
  <si>
    <t>https://drive.google.com/file/d/1bPc_TqzUHyWcwVgJhyw17MIaOixOPhX7/view?usp=drivesdk</t>
  </si>
  <si>
    <t>https://lh5.googleusercontent.com/d/1Ngj6oHaRUPIgzYAYlFh9XN_Y3twZ2a_d</t>
  </si>
  <si>
    <t>https://drive.google.com/file/d/16TvT0wOSyoG9-zZ1W7i4euzabG0a1IFH/view?usp=drivesdk</t>
  </si>
  <si>
    <t>โรงภาพยนตร์เมเจอร์รัชโยธิน</t>
  </si>
  <si>
    <t>https://lh5.googleusercontent.com/d/13-XCoFajQOiqkxOb5MtjNVSsXbTI39SW</t>
  </si>
  <si>
    <t>https://drive.google.com/file/d/1MCU1qI7XcEqkNIAKtqIO3U_IvE3sp9SZ/view?usp=drivesdk</t>
  </si>
  <si>
    <t>https://lh5.googleusercontent.com/d/1FT9EFdBQJo6dF3uaOGormYLjg11zmV1j</t>
  </si>
  <si>
    <t>https://drive.google.com/file/d/1sj1ZLybk5VRD6CkzIV1MQL5tS6FtLL6y/view?usp=drivesdk</t>
  </si>
  <si>
    <t>https://lh5.googleusercontent.com/d/19b3CGoIwyEG3Ll5fPITkvAEDBADQ5S2F</t>
  </si>
  <si>
    <t>https://drive.google.com/file/d/1FpZOWMX6YflARDVVGGvPiL2EnZMFyINh/view?usp=drivesdk</t>
  </si>
  <si>
    <t>https://lh5.googleusercontent.com/d/1O-lKknwJcUf8uIfqftApcaHwD5z_tGzt</t>
  </si>
  <si>
    <t>https://drive.google.com/file/d/14lrEHE4sdHzS5o7KM4AX2jIfBbCUUWwG/view?usp=drivesdk</t>
  </si>
  <si>
    <t>https://lh5.googleusercontent.com/d/12_r8MouoLAz39GrUa9XoBsKdTrOz2lrt</t>
  </si>
  <si>
    <t>https://drive.google.com/file/d/1EMnS4Ok8JPD4dEUN2bz2y_ooIXqpQS9B/view?usp=drivesdk</t>
  </si>
  <si>
    <t>https://lh5.googleusercontent.com/d/1LZ5SEZ9CqJvOQlm271sGX-bhKVlNboNh</t>
  </si>
  <si>
    <t>https://drive.google.com/file/d/19FDcrW-64E_DU1PVzFh56D-wWB81KRxU/view?usp=drivesdk</t>
  </si>
  <si>
    <t>สภากาชาด จังหวัดลพบุรี</t>
  </si>
  <si>
    <t>1000-1030</t>
  </si>
  <si>
    <t>นางรัตนภรณ์ ธีสุระ</t>
  </si>
  <si>
    <t>https://lh5.googleusercontent.com/d/1YGq-6_FVXtMoQGmq7G_FlWuTAEAWr0y5</t>
  </si>
  <si>
    <t>https://drive.google.com/file/d/1OYI5vBZhSJmnzqZlcp2YjzLyx6TBBOCw/view?usp=drivesdk</t>
  </si>
  <si>
    <t xml:space="preserve"> ทดสอบสมรรถภาพร่างกาย นพอ.69 </t>
  </si>
  <si>
    <t>https://lh5.googleusercontent.com/d/1Cls_5rogqy_ZAGNcIR6bAiKHl-j9EcYE</t>
  </si>
  <si>
    <t>https://drive.google.com/file/d/1hd7UBAHKWQvwmV8vGaZhUWSnyOJ4l_FR/view?usp=drivesdk</t>
  </si>
  <si>
    <t>https://lh5.googleusercontent.com/d/1FNsO6oDyHWRoUJEcKR-S4BS40BF6jl6_</t>
  </si>
  <si>
    <t>https://drive.google.com/file/d/19NRE2_spCCK0BJMkz2xAVaVDXD9W0MiZ/view?usp=drivesdk</t>
  </si>
  <si>
    <t>1200-20000</t>
  </si>
  <si>
    <t>https://lh5.googleusercontent.com/d/1STDXwQ4ewwIe1zT3-b972c2-fmwMZGub</t>
  </si>
  <si>
    <t>https://drive.google.com/file/d/139467fnMr7vgogrzN6lcl8L2Di1Cnxp5/view?usp=drivesdk</t>
  </si>
  <si>
    <t>https://lh5.googleusercontent.com/d/1jhEjxKcKu5b7eWN6G5QhNmbfU1ToynzW</t>
  </si>
  <si>
    <t>https://drive.google.com/file/d/1ET4HkuoWZ37zxiRxxrA1kyFI-5a-vtPN/view?usp=drivesdk</t>
  </si>
  <si>
    <t>https://lh5.googleusercontent.com/d/1xmgKLSAZ6Ha5T6iyAVuk2rPt8ryNEuEg</t>
  </si>
  <si>
    <t>https://drive.google.com/file/d/1BhR5S8eXQPO7yDsw-DS7zx2P_SIe8oke/view?usp=drivesdk</t>
  </si>
  <si>
    <t>https://lh5.googleusercontent.com/d/1y_WN-QPCn_J5LLSwy8-EErnTTncPQ7qK</t>
  </si>
  <si>
    <t>https://drive.google.com/file/d/14ub6BmSoKSUFceSh8ULGQDcNEUH29BC7/view?usp=drivesdk</t>
  </si>
  <si>
    <t>https://lh5.googleusercontent.com/d/1gYdxPdm9sa3aeaNW3wq6Dh5GfJ_VDTwE</t>
  </si>
  <si>
    <t>https://drive.google.com/file/d/1FtJRveiLTNjhtX9mhc0iIj2yElUjXogc/view?usp=drivesdk</t>
  </si>
  <si>
    <t>จัดสิ่งแวดล้อมภายใน วพอ.พอ.</t>
  </si>
  <si>
    <t>1300 - 1600</t>
  </si>
  <si>
    <t>https://lh5.googleusercontent.com/d/1lPS2VkORip8e6aw4GjnqzvLq_DtK_5pD</t>
  </si>
  <si>
    <t>https://drive.google.com/file/d/1yMj5emZgujmzSD8Y6wvZQR7lgi6HMKeB/view?usp=drivesdk</t>
  </si>
  <si>
    <t>ซ้อมพิธีมอบหมวกวิชาชีพ ปีการศึกษา 2568</t>
  </si>
  <si>
    <t>https://lh5.googleusercontent.com/d/133J-wQap_gohiC-kBZ8fd0ILDKJF2LkG</t>
  </si>
  <si>
    <t>https://drive.google.com/file/d/15ewiDcxI_6ykV-YjaADyjqzC7VrltbNX/view?usp=drivesdk</t>
  </si>
  <si>
    <t>ขายเสื้อโรทาแรคท์</t>
  </si>
  <si>
    <t>https://lh5.googleusercontent.com/d/1_ZpTEeM8zoRQAW-nhxj7xPmORlAw_Hnm</t>
  </si>
  <si>
    <t>https://drive.google.com/file/d/1Z46_nmEl4gxz4poLROwFMtCF5ogE23Ui/view?usp=drivesdk</t>
  </si>
  <si>
    <t>https://lh5.googleusercontent.com/d/1MPK3J1eyZG1mru4FmTUux-t8gnrjns_4</t>
  </si>
  <si>
    <t>https://drive.google.com/file/d/1VYe9BCgJKDJTZT7mpuJwIXuaJvXvrjXU/view?usp=drivesdk</t>
  </si>
  <si>
    <t>https://lh5.googleusercontent.com/d/18EYETK0TBXon6MLKDLKa-3u1HbQvQz31</t>
  </si>
  <si>
    <t>https://drive.google.com/file/d/1ieAasWdqO6vTpneADtRxcV_h6fkFI_JJ/view?usp=drivesdk</t>
  </si>
  <si>
    <t>https://lh5.googleusercontent.com/d/1Mg9SiEHs8D3rFZPytKuMvhUl_RyI1bbi</t>
  </si>
  <si>
    <t>https://drive.google.com/file/d/1VSnI5mO3jNyUvyqGEB3FUPWHOfsZibjI/view?usp=drivesdk</t>
  </si>
  <si>
    <t>https://lh5.googleusercontent.com/d/1KkVNlwBHy-FJ3EecjVJvUdb9aZER0TXk</t>
  </si>
  <si>
    <t>https://drive.google.com/file/d/13hcM_7NE0yD4taoLkavbwycNI8KqjGZh/view?usp=drivesdk</t>
  </si>
  <si>
    <t>https://lh5.googleusercontent.com/d/1K13iYlforADUSI-hdDohp30VnUA3vp_A</t>
  </si>
  <si>
    <t>https://drive.google.com/file/d/1za05zNuwSm7T2MxCmJ4Jv_WROB_Dast1/view?usp=drivesdk</t>
  </si>
  <si>
    <t>https://lh5.googleusercontent.com/d/1J8PSa6putNwK4oaMVMszMngjkP1TI00F</t>
  </si>
  <si>
    <t>https://drive.google.com/file/d/1ZYG97TEVe_LFI4YKrBdddnVBN4XWO4lC/view?usp=drivesdk</t>
  </si>
  <si>
    <t>https://lh5.googleusercontent.com/d/1hsfVzjmdXCVliOOLfm-QzPqjgE_TxcS0</t>
  </si>
  <si>
    <t>https://drive.google.com/file/d/1GQG7iaQQHZ9ojQ9AP3aZtHt_F_y7zVC1/view?usp=drivesdk</t>
  </si>
  <si>
    <t>https://lh5.googleusercontent.com/d/1O2uw4w1nXQA0IiQJeU0AAKBras3ZaHdg</t>
  </si>
  <si>
    <t>https://drive.google.com/file/d/1ddnDai1S8bSKFVl2iddA3_PXBgsTB-Cz/view?usp=drivesdk</t>
  </si>
  <si>
    <t>https://lh5.googleusercontent.com/d/1xbF18QY5fRlK76FTZHTPC0f2TSyC6exW</t>
  </si>
  <si>
    <t>https://drive.google.com/file/d/1OKHp73AbUK-VphQ9IUSwoKGwYK4MAwEH/view?usp=drivesdk</t>
  </si>
  <si>
    <t>https://lh5.googleusercontent.com/d/1vAeG2YPnImTDreof6wWPYH7D6bSb7dcw</t>
  </si>
  <si>
    <t>https://drive.google.com/file/d/16UahvJWekbQkl_u6aYTPV_rVjeZ51vB5/view?usp=drivesdk</t>
  </si>
  <si>
    <t>https://lh5.googleusercontent.com/d/1SCSLMaxVBMNA3rnrO82sWAfeNxC5XlM-</t>
  </si>
  <si>
    <t>https://drive.google.com/file/d/1rP2QjGPskJO_coVZirDMS7C4LifpsAxl/view?usp=drivesdk</t>
  </si>
  <si>
    <t>https://lh5.googleusercontent.com/d/1LpPKRXUvmKLZMVLSbSERVNnPY1XZc0-O</t>
  </si>
  <si>
    <t>https://drive.google.com/file/d/1ajQzTqluur1dfdQCePKNcSE3wHuJoc3Q/view?usp=drivesdk</t>
  </si>
  <si>
    <t>การตกแต่งวิสัยทัศน์ภายในวพอ.</t>
  </si>
  <si>
    <t>สวนลีลาวดี</t>
  </si>
  <si>
    <t>นอ.หญิง.ผศ.นิตยา สุขแสน</t>
  </si>
  <si>
    <t>https://lh5.googleusercontent.com/d/15Ok1FzzN0rGETWdq0yfQP8gmRszaiRjN</t>
  </si>
  <si>
    <t>https://drive.google.com/file/d/1pCD4XyZ8d0tXD2ap-D1-DSqDxDhbLEfG/view?usp=drivesdk</t>
  </si>
  <si>
    <t>https://lh5.googleusercontent.com/d/1agqO4t7nsPDoaw7ssLkNOU5HBJu9Wu3D</t>
  </si>
  <si>
    <t>https://drive.google.com/file/d/1qPBVX6BDakCoKokRUPh6oqRkXTiQa1j6/view?usp=drivesdk</t>
  </si>
  <si>
    <t>https://lh5.googleusercontent.com/d/1EkViikp8qnOhy2fCbMSYQznN4wzkZ5dq</t>
  </si>
  <si>
    <t>https://drive.google.com/file/d/1t8sGVXmZeneys-IjXChFnyf4KVeDsNIT/view?usp=drivesdk</t>
  </si>
  <si>
    <t>https://lh5.googleusercontent.com/d/1Ls95WRccRWnvhy9TSib3vGqws2pvt0lS</t>
  </si>
  <si>
    <t>https://drive.google.com/file/d/1jqFpby85v0oExX5zTBCBeKrtS6g0_byw/view?usp=drivesdk</t>
  </si>
  <si>
    <t>น.อ.หญิง ผศ.นิตยา สุขแสวง</t>
  </si>
  <si>
    <t>https://lh5.googleusercontent.com/d/1znQs38TiTeDAfax_MZu3EVV2vi0QlHX-</t>
  </si>
  <si>
    <t>https://drive.google.com/file/d/1E3dGQR_jQkRF9aF43nKZp6KFAOuNb4LV/view?usp=drivesdk</t>
  </si>
  <si>
    <t>https://lh5.googleusercontent.com/d/1ahQGXr2ht744WEFCAfKd1ZyhWMz9cAvO</t>
  </si>
  <si>
    <t>https://drive.google.com/file/d/1aUEb7gDbCwo-MckvT2e6XU6qntF3iKuz/view?usp=drivesdk</t>
  </si>
  <si>
    <t>https://lh5.googleusercontent.com/d/1GFBOhOLJJ7odtKm8N1McXsg6Ox0q8MHJ</t>
  </si>
  <si>
    <t>https://drive.google.com/file/d/1yFjk0iYcU-TE2sK4gUe819n5sqygQwag/view?usp=drivesdk</t>
  </si>
  <si>
    <t>https://lh5.googleusercontent.com/d/1xwH3F8xagsCv3e6HO7We6kDYcc6HR1Mj</t>
  </si>
  <si>
    <t>https://drive.google.com/file/d/1CCCFNjLBgsDAIVbiLYD4zjZkkWgpzttZ/view?usp=drivesdk</t>
  </si>
  <si>
    <t xml:space="preserve"> ร.อ.หญิง ขนัฏฐา นาดี</t>
  </si>
  <si>
    <t>https://lh5.googleusercontent.com/d/1TRQE7cwKzag2xo-p3hegcSY7vjwy63Qp</t>
  </si>
  <si>
    <t>https://drive.google.com/file/d/1PHBRQyPammGSXG4097MbAkJjT28DYEJK/view?usp=drivesdk</t>
  </si>
  <si>
    <t>https://lh5.googleusercontent.com/d/1yUkoQf6eOGH19vhCX3kvnf0w2G1atz1T</t>
  </si>
  <si>
    <t>https://drive.google.com/file/d/1aU2497CLzl_3WcmKUMVp8awnu5fcR1g5/view?usp=drivesdk</t>
  </si>
  <si>
    <t>https://lh5.googleusercontent.com/d/1KLbZ-HKnq7JJSva8n-5ghQzNp_KAK3zY</t>
  </si>
  <si>
    <t>https://drive.google.com/file/d/1jS7ft5J8SuTqGd9KvWYexnKTJVw5vroL/view?usp=drivesdk</t>
  </si>
  <si>
    <t>https://lh5.googleusercontent.com/d/1_hyGjDSMbPD7fz_3ctSnT1W670sML8q9</t>
  </si>
  <si>
    <t>https://drive.google.com/file/d/10CzkWUZBpWvvcwpANuW90IjAxrwH7xbe/view?usp=drivesdk</t>
  </si>
  <si>
    <t>https://lh5.googleusercontent.com/d/1lJQPMW3PL00sxbLWpY2sk-SMqHIREA2u</t>
  </si>
  <si>
    <t>https://drive.google.com/file/d/15vSeXhMBLxTFSg1md1y1-I9s-ZMR4qrM/view?usp=drivesdk</t>
  </si>
  <si>
    <t>https://lh5.googleusercontent.com/d/1eL7rhoZIT9C7_bFnGWGxVB_UYtYo8_m3</t>
  </si>
  <si>
    <t>https://drive.google.com/file/d/1E1dm4I2tPBeRoat4D54CPIeSy8uvyitd/view?usp=drivesdk</t>
  </si>
  <si>
    <t>https://lh5.googleusercontent.com/d/1Iob-JH5GrAzxglvbceQLPCLa5fQ0IxuV</t>
  </si>
  <si>
    <t>https://drive.google.com/file/d/1eXc-ZRDV6sQ4VgDNJu9A_u9-gI-T0lMA/view?usp=drivesdk</t>
  </si>
  <si>
    <t>https://lh5.googleusercontent.com/d/1O99x6S8B15poTDTc7SDn-B6VO6Gj3lvl</t>
  </si>
  <si>
    <t>https://drive.google.com/file/d/1ZobZjCXnDNxUJJI7mTvhNV5119khnYw4/view?usp=drivesdk</t>
  </si>
  <si>
    <t>https://lh5.googleusercontent.com/d/1uT56qFkrubhnDlWbA6HykGPsJaG6v8zA</t>
  </si>
  <si>
    <t>https://drive.google.com/file/d/1hVdR5TkhH5hbTTQSGPIYYOY3BodFzb7g/view?usp=drivesdk</t>
  </si>
  <si>
    <t>ซ้อมดนตรีไทยงานสงกราต์วพอ.2569</t>
  </si>
  <si>
    <t>https://lh5.googleusercontent.com/d/12gaQKAtxV9kEZSN21fE5VxomBItLyH_0</t>
  </si>
  <si>
    <t>https://drive.google.com/file/d/1jwq1_tGiGDI1Fddsqd9cUl0kI8zaBdDo/view?usp=drivesdk</t>
  </si>
  <si>
    <t>https://lh5.googleusercontent.com/d/1B_MdTFwOBTxEHF7QbuXzc9T_hSUReFvN</t>
  </si>
  <si>
    <t>https://drive.google.com/file/d/1jWzrAKOS2-TaN4UBZe1imYseC-hb8B0_/view?usp=drivesdk</t>
  </si>
  <si>
    <t>https://lh5.googleusercontent.com/d/1IbdRoPJ2pKfzFVl0Jzg6TB_H_0-p4_Es</t>
  </si>
  <si>
    <t>https://drive.google.com/file/d/1Ej_qzD77iwvM_fJb8lU_cXSiEXj_lcwu/view?usp=drivesdk</t>
  </si>
  <si>
    <t>https://lh5.googleusercontent.com/d/18DS52U8RWR1EshaxsG1ov-LrGx_InCXG</t>
  </si>
  <si>
    <t>https://drive.google.com/file/d/1b0RHOAERATScqg7LDV8ndvlKOxIbFR6g/view?usp=drivesdk</t>
  </si>
  <si>
    <t>https://lh5.googleusercontent.com/d/17JvcNzJmrmpIikgmnQWzDla16Xdu0upR</t>
  </si>
  <si>
    <t>https://drive.google.com/file/d/1FNYI0AHpE5l1iWNvEDvakKQEN02gH7W8/view?usp=drivesdk</t>
  </si>
  <si>
    <t>https://lh5.googleusercontent.com/d/1HcsqSP9xP5jIDKdvHj2VMecquhKCvpr6</t>
  </si>
  <si>
    <t>https://drive.google.com/file/d/1M1qADP5TdDs6T7JTCuVdM6tyJ_alg8ZG/view?usp=drivesdk</t>
  </si>
  <si>
    <t>https://lh5.googleusercontent.com/d/1zpZqARrKAenTQao7wbHqvmzF8ySy1oTk</t>
  </si>
  <si>
    <t>https://drive.google.com/file/d/1RVSLhUWwE-u_Zu6Y8rSR-sGMCk06damh/view?usp=drivesdk</t>
  </si>
  <si>
    <t>https://lh5.googleusercontent.com/d/1sID3y-JqxD9NmDrQfWDEsFhbp6mfEL3S</t>
  </si>
  <si>
    <t>https://drive.google.com/file/d/1eT5yzF-MJY5HAfOAKJsI50salN_OQBmq/view?usp=drivesdk</t>
  </si>
  <si>
    <t>ปรับปรุงทัศนียภาพภายในวพอ.</t>
  </si>
  <si>
    <t>https://lh5.googleusercontent.com/d/1OLvRey4vvr698vzwZwlD0_qwl57bAKJF</t>
  </si>
  <si>
    <t>https://drive.google.com/file/d/1Dp7pWBg7Ue8JpiGXCGZoTwBEbtenEKdb/view?usp=drivesdk</t>
  </si>
  <si>
    <t>https://lh5.googleusercontent.com/d/1a2yzJaqkHJa9NEQfGdniZ0AwciwohVMd</t>
  </si>
  <si>
    <t>https://drive.google.com/file/d/1QkC4VG_968I7iAevxvdnhfhwXgMxQNR6/view?usp=drivesdk</t>
  </si>
  <si>
    <t>https://lh5.googleusercontent.com/d/1dgtAV2F4CfBIUG6fPPg31t25TGGkVoGZ</t>
  </si>
  <si>
    <t>https://drive.google.com/file/d/1b-yh8K_d-BNMMCjZMOt-kbVHfQ7cnPfe/view?usp=drivesdk</t>
  </si>
  <si>
    <t>https://lh5.googleusercontent.com/d/1uOcbMB-YPYV7SI1WntQLet_M1DeFOoM_</t>
  </si>
  <si>
    <t>https://drive.google.com/file/d/1VgPsdWWn93ESzeS5Mibhwug28S1gz2rk/view?usp=drivesdk</t>
  </si>
  <si>
    <t>ห้องประชุมสโมสร กำนัน ผู้ใหญ่บ้าน ที่ว่าอำเภอลานกระบือ จ.กำแพงเพชร</t>
  </si>
  <si>
    <t>09.00-17.00 น.</t>
  </si>
  <si>
    <t>นายสืบศักดิ์ ศรีสุวรรณ์</t>
  </si>
  <si>
    <t>https://lh5.googleusercontent.com/d/1Yky3bHUzStg6ArdpA0XPE1AX8QRYJXAA</t>
  </si>
  <si>
    <t>https://drive.google.com/file/d/1hgA1IRNlm9XXqHj3PlhccyJU4nXweAeK/view?usp=drivesdk</t>
  </si>
  <si>
    <t>ซ้อมเต้นเพลงฉันมีความสุข</t>
  </si>
  <si>
    <t>16.00-18.00</t>
  </si>
  <si>
    <t>https://lh5.googleusercontent.com/d/1foXA0g0xDYrhKJbjOy7qWp62TYARevfJ</t>
  </si>
  <si>
    <t>https://drive.google.com/file/d/1hn6JKZbNTM2oTqOSm258suNUCbIB3K-W/view?usp=drivesdk</t>
  </si>
  <si>
    <t>https://lh5.googleusercontent.com/d/1ziypGe_MJzoWS-w0qrmyxHDfaOGe_gjr</t>
  </si>
  <si>
    <t>https://drive.google.com/file/d/1k9pyUga9yVwJwGEBy636uH_b_44p_ydh/view?usp=drivesdk</t>
  </si>
  <si>
    <t>17.00–19.00</t>
  </si>
  <si>
    <t>https://lh5.googleusercontent.com/d/1saTCK3H0zKduuZXCGWVk32aua-2uWnal</t>
  </si>
  <si>
    <t>https://drive.google.com/file/d/17D4sHLLjyAwKLuWMQFkgndpuihBmnO83/view?usp=drivesdk</t>
  </si>
  <si>
    <t>เก็บหิน ตกแต่งสถานที่</t>
  </si>
  <si>
    <t>https://lh5.googleusercontent.com/d/1nVQ3eXdRnpLw9ssQ0BhcJlJTdEfwrxwX</t>
  </si>
  <si>
    <t>https://drive.google.com/file/d/1HJSKOUjhD4oSu6pK2BW4NPSsWRNpZM7D/view?usp=drivesdk</t>
  </si>
  <si>
    <t>17.00-19.00</t>
  </si>
  <si>
    <t>https://lh5.googleusercontent.com/d/1-BOkYxxoZQsYd358NPaR7Q1eBy79akOo</t>
  </si>
  <si>
    <t>https://drive.google.com/file/d/1o_sPNnEM5jiodIEGMVxh_h46r23SWje_/view?usp=drivesdk</t>
  </si>
  <si>
    <t>https://lh5.googleusercontent.com/d/1jXYTUvDXgqBKvkJv5r66aeYs-rFdUyPF</t>
  </si>
  <si>
    <t>https://drive.google.com/file/d/1w3zDDFAVAKjKXptUe9T62RsbBXUjBadc/view?usp=drivesdk</t>
  </si>
  <si>
    <t>ทำหน้าที่แทนนักเรียนปกครอง</t>
  </si>
  <si>
    <t>https://lh5.googleusercontent.com/d/1BIbhRuKnykm2tMwyIFwoBtoCWw0gDAcm</t>
  </si>
  <si>
    <t>https://drive.google.com/file/d/165GErTD6epHDuIRZEPF8vmufAzbY4oJ_/view?usp=drivesdk</t>
  </si>
  <si>
    <t>จัดห้องปฏิบัติการ ทำความสะอาดหุ่นและอุปกรณ์ต่างๆ</t>
  </si>
  <si>
    <t>15.00-16.00</t>
  </si>
  <si>
    <t>https://lh5.googleusercontent.com/d/1GVzc4L5DIskNgJGnLeMxBCKtd2bS5OeM</t>
  </si>
  <si>
    <t>https://drive.google.com/file/d/1CGadJVxl_Yiqblu2_pvI3yJFgA6gfsqV/view?usp=drivesdk</t>
  </si>
  <si>
    <t>https://lh5.googleusercontent.com/d/1X2B8fUslirzI2SEeFsA0Eo0qxFTHlPmG</t>
  </si>
  <si>
    <t>https://drive.google.com/file/d/1uHkqzCQoIaazODEzjdbp8h9qewgm3qBe/view?usp=drivesdk</t>
  </si>
  <si>
    <t>https://lh5.googleusercontent.com/d/1tZJknu6OAZ00Pp14o9gaOf20JmTyKYo5</t>
  </si>
  <si>
    <t>https://drive.google.com/file/d/1S5h-B5Tje7NFlgRkwlf9-SDyIW-fzK5L/view?usp=drivesdk</t>
  </si>
  <si>
    <t>บ้านปิ่น</t>
  </si>
  <si>
    <t>https://lh5.googleusercontent.com/d/10FaiJ6z1njV9HXuHmUyeED5mfE63ojfN</t>
  </si>
  <si>
    <t>https://drive.google.com/file/d/1yAfBgKh4L9RiADrieXyaUBgFEBOsz0hT/view?usp=drivesdk</t>
  </si>
  <si>
    <t>https://lh5.googleusercontent.com/d/15OiuoMvjsB9sPhBhuWbJ-R7bSBRFyjQ7</t>
  </si>
  <si>
    <t>https://drive.google.com/file/d/14_t3Q7eHQ67rGzc6NQCXB2xn70WYP34E/view?usp=drivesdk</t>
  </si>
  <si>
    <t>ซ้อมงานพิธีมอบ หมวกพยาบาลวิชาชีพ ปีการศึกษา 2568</t>
  </si>
  <si>
    <t>https://lh5.googleusercontent.com/d/1WYOJ56RR-AJ5xOYfqEUXdKXBi-6dtvME</t>
  </si>
  <si>
    <t>https://drive.google.com/file/d/1a4TtmncoylglkibdXn-zFkrR6gv6Hk4i/view?usp=drivesdk</t>
  </si>
  <si>
    <t>https://lh5.googleusercontent.com/d/1Y4rh-LCnRo4Lwbbrups7qImJ48rw-Cm3</t>
  </si>
  <si>
    <t>https://drive.google.com/file/d/1G2VeaUb9ehU0tOu8dQLy8-7hbewvhIl8/view?usp=drivesdk</t>
  </si>
  <si>
    <t>https://lh5.googleusercontent.com/d/1eeyowrzxTg1NBFXpyIPWByIuLtyIxQea</t>
  </si>
  <si>
    <t>https://drive.google.com/file/d/1_hUW2KfcmWYitybgv8gFGc8m_21O8uWy/view?usp=drivesdk</t>
  </si>
  <si>
    <t>ทดสอบพิเศษนพอ.รุ่นที่ 69</t>
  </si>
  <si>
    <t xml:space="preserve">น.อ.หญิงลักษ์ขณา พานิชสรรค์ </t>
  </si>
  <si>
    <t>https://lh5.googleusercontent.com/d/1enFWmHk7hM9Ry-Wj7eh82hcA8iqHFMu4</t>
  </si>
  <si>
    <t>https://drive.google.com/file/d/1L5Of5zOVLEDaz9ZztQ5uWN254LJ9tzqH/view?usp=drivesdk</t>
  </si>
  <si>
    <t>https://lh5.googleusercontent.com/d/1TWxmgt6nLPPhNoCH0hfPssGFk1DDBQzn</t>
  </si>
  <si>
    <t>https://drive.google.com/file/d/1cl85HRG1HXqiCUrVa_vk3AZenHUstoUp/view?usp=drivesdk</t>
  </si>
  <si>
    <t>หอพักนพอ.</t>
  </si>
  <si>
    <t>https://lh5.googleusercontent.com/d/1n1iPSgLowXZqONzi9N1Eu9N8SvVCeICY</t>
  </si>
  <si>
    <t>https://drive.google.com/file/d/13D54MhcB8IkewrhgByXjP-T8lKeAZuMw/view?usp=drivesdk</t>
  </si>
  <si>
    <t>https://lh5.googleusercontent.com/d/1FEitf3mVXK9pqA8Rv7uPHJxTjWPQ7Aec</t>
  </si>
  <si>
    <t>https://drive.google.com/file/d/1qENIhlJRQCOh2aG8I7NCZEKpnPFg1HWw/view?usp=drivesdk</t>
  </si>
  <si>
    <t>ค่ายเยาวชาพัฒนา ครั้งที่ 215</t>
  </si>
  <si>
    <t>https://lh5.googleusercontent.com/d/1GI9BO82yGIybKBc6W4_dHtETlFbo4zPr</t>
  </si>
  <si>
    <t>https://drive.google.com/file/d/1tocSovzW987nvUo1fTznxPxEFUUpovws/view?usp=drivesdk</t>
  </si>
  <si>
    <t>https://lh5.googleusercontent.com/d/1Qu_PwUsGy8sxeVHMAgWuZVk9bvBdjWEv</t>
  </si>
  <si>
    <t>https://drive.google.com/file/d/11cn0WXE0kI4j8wxiyPLu6LaCIbe1eOgv/view?usp=drivesdk</t>
  </si>
  <si>
    <t xml:space="preserve">งานกาชาด ปี 2568 </t>
  </si>
  <si>
    <t xml:space="preserve">น.อ.หญิง ผศ.วัลลภา อันดารา </t>
  </si>
  <si>
    <t>https://lh5.googleusercontent.com/d/1wGNToNZsTGQuGbF1kX0prEW_VKHrUcPu</t>
  </si>
  <si>
    <t>https://drive.google.com/file/d/1EUBogCq8hMW62Y7NpXZFoHN5nnLWDFNn/view?usp=drivesdk</t>
  </si>
  <si>
    <t>https://lh5.googleusercontent.com/d/10BnMoLIANeJy0WI6CjGzPAWLUp1dNMB8</t>
  </si>
  <si>
    <t>https://drive.google.com/file/d/124aCZvE5o5srqjK6eSVY-1IMtP8PScOy/view?usp=drivesdk</t>
  </si>
  <si>
    <t>https://lh5.googleusercontent.com/d/1dNB4RdTsPXWtaqYwuw4eLsggBnrC5WAn</t>
  </si>
  <si>
    <t>https://drive.google.com/file/d/19ySFH0nxLAPs90EoR15QwXvLzck2HmXt/view?usp=drivesdk</t>
  </si>
  <si>
    <t>https://lh5.googleusercontent.com/d/1-jwj9h563XcrgC1hc8sCUYVS_uLWcTep</t>
  </si>
  <si>
    <t>https://drive.google.com/file/d/1nm_DUyKqUjdLkX86AOkyaEjixdAc4SHh/view?usp=drivesdk</t>
  </si>
  <si>
    <t>https://lh5.googleusercontent.com/d/1RQolqh9ttOp4Ric3L6yPcXaZDxgP8aHb</t>
  </si>
  <si>
    <t>https://drive.google.com/file/d/1xp4FldFms6waaxLfKb5inpLIb7yBAOMB/view?usp=drivesdk</t>
  </si>
  <si>
    <t>ผู้นำซ้อมเต้นเพลงฉันมีความสุข</t>
  </si>
  <si>
    <t>https://lh5.googleusercontent.com/d/1NihbDRUE9uWMzz9UQaAfu4wBZi1zQHsg</t>
  </si>
  <si>
    <t>https://drive.google.com/file/d/1dKLpBUBP3vyt_nyIwePGtPU95em2J6Dv/view?usp=drivesdk</t>
  </si>
  <si>
    <t>น.ต.หญิงเบญญาดา บุรีรัตน์</t>
  </si>
  <si>
    <t>https://lh5.googleusercontent.com/d/1j0cNCSJS4_Vtd2O6FOF05b6s6tzrY32D</t>
  </si>
  <si>
    <t>https://drive.google.com/file/d/1UQGO-UYe0Udor3HqWb8i-Mf-KdL0o_Xw/view?usp=drivesdk</t>
  </si>
  <si>
    <t>ซ้อมการแสดงงานกอล์ฟทอ.</t>
  </si>
  <si>
    <t>https://lh5.googleusercontent.com/d/1P3dxongsFvR6x9Mq6RRvJT1NgDIw9vIS</t>
  </si>
  <si>
    <t>https://drive.google.com/file/d/1jsBG5wC1fjMKZI6FoXmRXa4EHirw1ILk/view?usp=drivesdk</t>
  </si>
  <si>
    <t>https://lh5.googleusercontent.com/d/1CGkgafxeseXjdfht583QYZ6zQTKDMUbg</t>
  </si>
  <si>
    <t>https://drive.google.com/file/d/1ePo99TIbSZX19DrXvOvVx-OpHCz77c_s/view?usp=drivesdk</t>
  </si>
  <si>
    <t>https://lh5.googleusercontent.com/d/1B4C4cknsTZdupoXnGImFiJ8Q3hI4XkfP</t>
  </si>
  <si>
    <t>https://drive.google.com/file/d/1w4CXWudjUCDjr6phfweNYwTr2w-Ga9lu/view?usp=drivesdk</t>
  </si>
  <si>
    <t>https://lh5.googleusercontent.com/d/1IYjH9nmnJVthHMwcD2N6YHE2rabMryhM</t>
  </si>
  <si>
    <t>https://drive.google.com/file/d/1EwqPW7lUvgwYGfjrbXvNMVBR9PJZVLk8/view?usp=drivesdk</t>
  </si>
  <si>
    <t>https://lh5.googleusercontent.com/d/1ZwwcC7SPcsL9k69TnLmJVgoDOfCCcH1g</t>
  </si>
  <si>
    <t>https://drive.google.com/file/d/1RYmksBzCDKdQ5ruqPFXzheIZC9xZ82Wt/view?usp=drivesdk</t>
  </si>
  <si>
    <t>https://lh5.googleusercontent.com/d/1TwlHXx8IvrYLzPrjIahIpiruw0eUiZN5</t>
  </si>
  <si>
    <t>https://drive.google.com/file/d/1bqtZ5FAs7wsPggS0YP6aAyAiwzOHN3Xr/view?usp=drivesdk</t>
  </si>
  <si>
    <t>https://lh5.googleusercontent.com/d/1oz5vEWlCBiNFYSBWSjxloHDeuqerpmLk</t>
  </si>
  <si>
    <t>https://drive.google.com/file/d/1aNlQt5ERQAbpWZojbg5tpEHZxZA6O1Lv/view?usp=drivesdk</t>
  </si>
  <si>
    <t>https://lh5.googleusercontent.com/d/1pAtsb78eHNrTQ2T3VQ0rLugGLpbxsY5O</t>
  </si>
  <si>
    <t>https://drive.google.com/file/d/1qZwiEjnATYkjJjq1vmFVWFwWC6uBHuch/view?usp=drivesdk</t>
  </si>
  <si>
    <t>จัดสิ่งแวดล้อม วพอ.</t>
  </si>
  <si>
    <t>https://lh5.googleusercontent.com/d/1jZ-gCjxlDCJdrYPmD5k9HFUOHTVN3SaD</t>
  </si>
  <si>
    <t>https://drive.google.com/file/d/1oSr7rO9xVbqU1Jm_Fo2ZgFozikJ790QN/view?usp=drivesdk</t>
  </si>
  <si>
    <t>https://lh5.googleusercontent.com/d/1YiHcad_9nyMJhWrPmOxhw9-M13X6at8E</t>
  </si>
  <si>
    <t>https://drive.google.com/file/d/1BiJXgWEF508r-bAlaSu04zdDTUmsapXN/view?usp=drivesdk</t>
  </si>
  <si>
    <t>วันเด็กแห่งชาติ 2569</t>
  </si>
  <si>
    <t>https://lh5.googleusercontent.com/d/1xS5Q7rlLxSnSjdLtAIUsYEA4VhbX-ZsQ</t>
  </si>
  <si>
    <t>https://drive.google.com/file/d/1mgWP-uUtrzMX_kowhfbBZnkCQCHJWzd4/view?usp=drivesdk</t>
  </si>
  <si>
    <t>งานกอล์ฟ ทอ.</t>
  </si>
  <si>
    <t>https://lh5.googleusercontent.com/d/1ebsYPICFJZ-q8LGRLZn2E-Rsgcrs9msA</t>
  </si>
  <si>
    <t>https://drive.google.com/file/d/1ne9iKb0wJuwimwa6oM-kQv6NP0DUncW4/view?usp=drivesdk</t>
  </si>
  <si>
    <t>ขนหิน จัดสิ่งแวดล้อม วพอ.พอ.</t>
  </si>
  <si>
    <t>https://lh5.googleusercontent.com/d/1DP-YVVDbbRg-VW438mhsDooVoSkV-AF3</t>
  </si>
  <si>
    <t>https://drive.google.com/file/d/1J_lHIjLVScnvbnlFes38W1UkOAaQmUcp/view?usp=drivesdk</t>
  </si>
  <si>
    <t>https://lh5.googleusercontent.com/d/1n9C9iijmO0u54yiu4BTG1sfZ5mp1t9Qf</t>
  </si>
  <si>
    <t>https://drive.google.com/file/d/1gCzfIReZvJUDkhQiMX5VuIT-PcCvX0J4/view?usp=drivesdk</t>
  </si>
  <si>
    <t>ปรับปรุงสถานที่ วเอ.พอ.</t>
  </si>
  <si>
    <t>https://lh5.googleusercontent.com/d/1KcZ-1OajRVD1WMXOmtHAtO4a0JERXrvf</t>
  </si>
  <si>
    <t>https://drive.google.com/file/d/1_V1858Tq5QhiEjfQofktCJt-VSlD_siP/view?usp=drivesdk</t>
  </si>
  <si>
    <t>งานมอบหมวกพยาบาลวิชาชีพ ปีการศึกษา 2568</t>
  </si>
  <si>
    <t>https://lh5.googleusercontent.com/d/1mhzwD76GYBo4ZJt6EVDIOGhrDcAz0uGI</t>
  </si>
  <si>
    <t>https://drive.google.com/file/d/1h1YN-ifSs_1ghn8p4bVWq9uFMs6YezDK/view?usp=drivesdk</t>
  </si>
  <si>
    <t>งานกอล์ฟวพอ.</t>
  </si>
  <si>
    <t>https://lh5.googleusercontent.com/d/1Zb015rEBTb7zPGUKeFv2L7e2de02u9dz</t>
  </si>
  <si>
    <t>https://drive.google.com/file/d/10cEeGmt5n7G0RD-TwFc-uTUSBuFmAjXv/view?usp=drivesdk</t>
  </si>
  <si>
    <t>https://lh5.googleusercontent.com/d/1levfkz2pwW5nKkhYTt1kQxgaZjQzk_70</t>
  </si>
  <si>
    <t>https://drive.google.com/file/d/19uxdemVqfjYHHZu78MSYV0_p3SzNczzk/view?usp=drivesdk</t>
  </si>
  <si>
    <t>งานรับหมวกพยาบาลวิชาชีพ ปีการศึกษา 2568</t>
  </si>
  <si>
    <t>https://lh5.googleusercontent.com/d/1pQs-DhlA7OZDeFrmYy5k7tofivInOBaO</t>
  </si>
  <si>
    <t>https://drive.google.com/file/d/1C3mKinMXAzaZwdReYiz6B-3WNsU1k2-z/view?usp=drivesdk</t>
  </si>
  <si>
    <t>ปรับปรุงทัศนียภาพภายใน วพอ.พอ.</t>
  </si>
  <si>
    <t>https://lh5.googleusercontent.com/d/18fwDP0wmTO1d_wFNoovkvFKKwJ3whLDO</t>
  </si>
  <si>
    <t>https://drive.google.com/file/d/1iyJOU-wXo7OzDXyA3-xzDazynUwjDKhB/view?usp=drivesdk</t>
  </si>
  <si>
    <t>แสดงงานกอล์ฟทอ.</t>
  </si>
  <si>
    <t>https://lh5.googleusercontent.com/d/1TrWS5Yyrr_V-nHKXVyAYitFCn_HSLVhU</t>
  </si>
  <si>
    <t>https://drive.google.com/file/d/1p3klAYn4RA1DQ9Eb4zjJ8o6VpdK6M0r0/view?usp=drivesdk</t>
  </si>
  <si>
    <t>https://lh5.googleusercontent.com/d/1krHcHVC6t4YO_62ADWqqyD7blPKUyLHK</t>
  </si>
  <si>
    <t>https://drive.google.com/file/d/1eTbA72Jn4yz5j7Ewo5b3RtgPCZ09C_D0/view?usp=drivesdk</t>
  </si>
  <si>
    <t>สภากาชาติ</t>
  </si>
  <si>
    <t>https://lh5.googleusercontent.com/d/1PuCDnxEArvuIObr3ZqIAqs4cyljr8TkV</t>
  </si>
  <si>
    <t>https://drive.google.com/file/d/1a4GN4QuVOP9aiUOl64LPfARmDr2PZ2tm/view?usp=drivesdk</t>
  </si>
  <si>
    <t>เดอะมอลล์งามวงค์วาน</t>
  </si>
  <si>
    <t>https://lh5.googleusercontent.com/d/1zdhBJN6t13VbJhz_jqj7lnEwWiLZjC5Q</t>
  </si>
  <si>
    <t>https://drive.google.com/file/d/18qM9Nn0UtFrD2-LKDRcaKNU6AkddkMn2/view?usp=drivesdk</t>
  </si>
  <si>
    <t>https://lh5.googleusercontent.com/d/1vNJir2RrvjeCMJXD-idRBYS8bw4SokyH</t>
  </si>
  <si>
    <t>https://drive.google.com/file/d/1aS8eiTsZzOKNyDHFDyOWpbafuQQ4xSmn/view?usp=drivesdk</t>
  </si>
  <si>
    <t>https://lh5.googleusercontent.com/d/1j7kF_Fkv4R0oom6iNiFEMqy8n5C60ffB</t>
  </si>
  <si>
    <t>https://drive.google.com/file/d/1PJYjnO0SJiAPxqfI41IzNlICLJl3okcD/view?usp=drivesdk</t>
  </si>
  <si>
    <t>1330-1630</t>
  </si>
  <si>
    <t>https://lh5.googleusercontent.com/d/1Ql4MSRUCdsatHZTx7NxiOyvzbOy501TX</t>
  </si>
  <si>
    <t>https://drive.google.com/file/d/1WWoZfBLeKNk9sOgMWFuu-MJ67TIgA99f/view?usp=drivesdk</t>
  </si>
  <si>
    <t>https://lh5.googleusercontent.com/d/19Dbp4XvcmZZ0hQCY3S1UHMceM_E58XK2</t>
  </si>
  <si>
    <t>https://drive.google.com/file/d/17opHE1EHiFnkTzc39q9vXJyvSu6l0Dap/view?usp=drivesdk</t>
  </si>
  <si>
    <t>https://lh5.googleusercontent.com/d/1JhZe63NyL8gFTgaH-pUqMDA6b2M38Xfn</t>
  </si>
  <si>
    <t>https://drive.google.com/file/d/1eV_mE3VJul5noWwdcIl4-hCzUX8bBaq0/view?usp=drivesdk</t>
  </si>
  <si>
    <t>https://lh5.googleusercontent.com/d/1APqfsBjmUI50F1Zh428HaAMIeMOPdHCm</t>
  </si>
  <si>
    <t>https://drive.google.com/file/d/16s5MEJxBl1-qDSrjoxkSm-hI67r8FTWF/view?usp=drivesdk</t>
  </si>
  <si>
    <t>ขนหิน จัดสิ่งแวดล้อมภายในวิทยาลัย</t>
  </si>
  <si>
    <t>14.00-17.00</t>
  </si>
  <si>
    <t>https://lh5.googleusercontent.com/d/1wxR4lsJ7_C9eB2hpbTJrUpK0jgzmVJJN</t>
  </si>
  <si>
    <t>https://drive.google.com/file/d/1w005a788Mb4KQ-LSfkejSVgfMY9muahZ/view?usp=drivesdk</t>
  </si>
  <si>
    <t>จัดสิ่งแวดล้อมภายในวพอ.</t>
  </si>
  <si>
    <t>น.อ.หญิงผศ.นิตยา สุขแสน</t>
  </si>
  <si>
    <t>https://lh5.googleusercontent.com/d/1ahtKA1aarM6VSq2N5N234h61Jli87Xof</t>
  </si>
  <si>
    <t>https://drive.google.com/file/d/11WoPIA9D4fA-9YHkbHm2Q4Qy-4nNbcGP/view?usp=drivesdk</t>
  </si>
  <si>
    <t>บ้านที่จังหวัดพิษณุโลก</t>
  </si>
  <si>
    <t>10.00-12.00</t>
  </si>
  <si>
    <t>นางรัชนิดา อินทะชุบ</t>
  </si>
  <si>
    <t>https://lh5.googleusercontent.com/d/1SHgvF6LV4ZtN2JuielUmLRyArMJ8OPTC</t>
  </si>
  <si>
    <t>https://drive.google.com/file/d/1Mc4FC90VYGuz5DJJ7RuV5LX0VwUDfA4y/view?usp=drivesdk</t>
  </si>
  <si>
    <t>ช่วยพ่อปลูกต้นไม้</t>
  </si>
  <si>
    <t>09.00-11.00</t>
  </si>
  <si>
    <t>นายชาคริต อินทะชุบ</t>
  </si>
  <si>
    <t>https://lh5.googleusercontent.com/d/1z1qdWp9MEBbyeLs3C7BjaQKe0wl-koMZ</t>
  </si>
  <si>
    <t>https://drive.google.com/file/d/1f93pwkvDkCk0dXNWCHhBVvuRUk4ExQyi/view?usp=drivesdk</t>
  </si>
  <si>
    <t>จัดสิ่งแวดล้อมใน วพอ.</t>
  </si>
  <si>
    <t>https://lh5.googleusercontent.com/d/1tg94moAd1WI_FzIWF7ftf9011VTqb4Je</t>
  </si>
  <si>
    <t>https://drive.google.com/file/d/1TZZ0IRd20jq-qad1gKXNQmMEUSHyQF94/view?usp=drivesdk</t>
  </si>
  <si>
    <t>ทำความสะอาดใต้ถุนบ้าน</t>
  </si>
  <si>
    <t>08.00-10.00</t>
  </si>
  <si>
    <t>https://lh5.googleusercontent.com/d/1US14LLowPMDtTnEIMh368X2O0T7YlB7T</t>
  </si>
  <si>
    <t>https://drive.google.com/file/d/1AYPbP-oQxWVqe3_HH1UCY7Ei9fFDgAJv/view?usp=drivesdk</t>
  </si>
  <si>
    <t>https://lh5.googleusercontent.com/d/1N8H_VWhWq0YdrkCBeJqEDUZu8Syib3CH</t>
  </si>
  <si>
    <t>https://drive.google.com/file/d/1k_yCRX5Ub1BKBCQO5IPouTe18jRdvMu0/view?usp=drivesdk</t>
  </si>
  <si>
    <t>จัดสิ่งแวดล้อมภายในวิทยาลัยให้น่าอยู่</t>
  </si>
  <si>
    <t>https://lh5.googleusercontent.com/d/1F5XWs1C9jh3hXhM-Y5_5BamJDzAhnFsy</t>
  </si>
  <si>
    <t>น เก็บสถานที่สอบคัดเลือก นพอ.69</t>
  </si>
  <si>
    <t>https://lh5.googleusercontent.com/d/1AIo5P6mx4WP7C2sF94aq9sLLqnIr-cUE</t>
  </si>
  <si>
    <t>https://drive.google.com/file/d/1nnM_0gGZaW_qPxuL5zKgY8qw6gPKD7_8/view?usp=drivesdk</t>
  </si>
  <si>
    <t>ปรับปรุงทัศนียภาพวพอ.</t>
  </si>
  <si>
    <t>https://lh5.googleusercontent.com/d/1TDicQiJak8MGj5UEOzSJqht1EP-9RuN5</t>
  </si>
  <si>
    <t>https://drive.google.com/file/d/1DZ4Sd8RCEmVuqvQXgR-_3DBfCQRvg59J/view?usp=drivesdk</t>
  </si>
  <si>
    <t>https://lh5.googleusercontent.com/d/1EtJf5i5TuKxVLDICm7XVANhSdblVrL-u</t>
  </si>
  <si>
    <t>https://drive.google.com/file/d/11dk-2fuQFg3Jb709T1UKXLfzmZFbgOmA/view?usp=drivesdk</t>
  </si>
  <si>
    <t>ซ้อมดนตรีไทยงานสงกรานต์วพอ. 2569</t>
  </si>
  <si>
    <t>https://lh5.googleusercontent.com/d/1WQfaWT8W2LCNyQL3Z2hndNnH9Rac2789</t>
  </si>
  <si>
    <t>https://drive.google.com/file/d/1-mR9Q_1bHyK71x-K2-2BB2DQuYTKEYdy/view?usp=drivesdk</t>
  </si>
  <si>
    <t>https://lh5.googleusercontent.com/d/145vLhk7vfTWrtusaEQEP3dhQRmXzSkP6</t>
  </si>
  <si>
    <t>https://drive.google.com/file/d/1pae5z0CT0i0L7o7bRMMInr1LuPI4P5BY/view?usp=drivesdk</t>
  </si>
  <si>
    <t>https://lh5.googleusercontent.com/d/1dozsjmY5w2nqpJdO1aySlWOCJBphNcaU</t>
  </si>
  <si>
    <t>https://drive.google.com/file/d/1BlondYAwuzGuCnITVXanvlbom-k_fVF2/view?usp=drivesdk</t>
  </si>
  <si>
    <t>https://lh5.googleusercontent.com/d/1_RxKZN4lLT6Fp9HsuGeb7no25NDEsxz_</t>
  </si>
  <si>
    <t>https://drive.google.com/file/d/1W8CE5_mSSbwzY1r6KAHZN3pMiWFyclHX/view?usp=drivesdk</t>
  </si>
  <si>
    <t>https://lh5.googleusercontent.com/d/1nKZFs7yIWwF1m870tikWfC2bnKAA3v14</t>
  </si>
  <si>
    <t>https://drive.google.com/file/d/12rDydYGWMKrMQ0k9nyeQDPs0tlTWW_En/view?usp=drivesdk</t>
  </si>
  <si>
    <t>https://lh5.googleusercontent.com/d/1VBeLbZrrRVLoRnY-l0BxO_iERPAhCjh2</t>
  </si>
  <si>
    <t>https://drive.google.com/file/d/1LLfmtreeSXA--N66FNRSWVCn3b7hFgC1/view?usp=drivesdk</t>
  </si>
  <si>
    <t>https://lh5.googleusercontent.com/d/1ZcXH7kwPuE2sgyk6WdZTp4-VnvsUeVcz</t>
  </si>
  <si>
    <t>https://drive.google.com/file/d/1TKau83cf8m3MdOE2F_-XLtkuZyqqucwJ/view?usp=drivesdk</t>
  </si>
  <si>
    <t>หน้าหอพัก นพอ.</t>
  </si>
  <si>
    <t>https://lh5.googleusercontent.com/d/1Xr8YNPirpeIcyMwm_qK6js-wm5wTqqSv</t>
  </si>
  <si>
    <t>https://drive.google.com/file/d/1D6xmzThRCwQwXNaSIUHu8lZLWyEu8HBz/view?usp=drivesdk</t>
  </si>
  <si>
    <t>ช่วยจัดสิ่งแวดล้อมภายในวพอ.</t>
  </si>
  <si>
    <t>น.อ.ผศ.นิตยา สุขแสน</t>
  </si>
  <si>
    <t>https://lh5.googleusercontent.com/d/1IgUaXjhpbt7ijvUhg5KmIQjT0Qn32znX</t>
  </si>
  <si>
    <t>https://drive.google.com/file/d/1uDvjGqY9c_4N5_DEZvIf_-_GZsP8PHg4/view?usp=drivesdk</t>
  </si>
  <si>
    <t>https://lh5.googleusercontent.com/d/1KmgCRh2HM2qd2Sat6Jk-WR4A2QGcFqQs</t>
  </si>
  <si>
    <t>https://drive.google.com/file/d/1tT3fUgVYFxnaMLU8_80S8p4x_Qjlmvmi/view?usp=drivesdk</t>
  </si>
  <si>
    <t>ขนหินปรับปรุงภูมิทัศน์</t>
  </si>
  <si>
    <t>https://lh5.googleusercontent.com/d/15GlJJEyiVq-ZrRgA68_fCtqiREO14JhR</t>
  </si>
  <si>
    <t>https://drive.google.com/file/d/1i-81NPXEBB-93SQNsrfkLonMgYnC1J0q/view?usp=drivesdk</t>
  </si>
  <si>
    <t>https://lh5.googleusercontent.com/d/1PrwU482QZenyTgjQ-S7LoYu6Sx_qd5Rc</t>
  </si>
  <si>
    <t>https://drive.google.com/file/d/1JB8oFVFlAJtxetdSHxDM_ADCOPF-ltOS/view?usp=drivesdk</t>
  </si>
  <si>
    <t>https://lh5.googleusercontent.com/d/1MWZFEMKRlnT3akdR0DOACs8pl4j1QrBi</t>
  </si>
  <si>
    <t>https://drive.google.com/file/d/1_6OOlNSz18z3NHV5qHs9x1IoGSSyJ9K_/view?usp=drivesdk</t>
  </si>
  <si>
    <t>https://lh5.googleusercontent.com/d/16zKGFe7EjjSlqi7aNo9_g5qFDFvceoWp</t>
  </si>
  <si>
    <t>https://drive.google.com/file/d/1EiYk6zXpqDg4JNHTtgS1xez3lH26SplY/view?usp=drivesdk</t>
  </si>
  <si>
    <t>https://lh5.googleusercontent.com/d/1MjIO5V4ISycV2VLUelSgROnHQMKLpqoQ</t>
  </si>
  <si>
    <t>https://drive.google.com/file/d/11nFj13lzAax305yNimmrxv9g2J73tvmd/view?usp=drivesdk</t>
  </si>
  <si>
    <t>ห้องประชุมชั้น 4 อาคารสำนักงาน วพอ.</t>
  </si>
  <si>
    <t>https://lh5.googleusercontent.com/d/1HQs6uNVsIh5IGlB3kHQ2r1GjOJQfF1oV</t>
  </si>
  <si>
    <t>https://drive.google.com/file/d/1Cg3DxxFTDHwF_TGkw3SlHi3CRQM-Ecae/view?usp=drivesdk</t>
  </si>
  <si>
    <t>จัดสถานที่ทดสอบวิภาววิสัย</t>
  </si>
  <si>
    <t>น.ท.หญิงธนารัตน์ สุริยะพึ่งพระ</t>
  </si>
  <si>
    <t>https://lh5.googleusercontent.com/d/17sATn5X_O2NkXbkHnydczr1CfUp4R-zH</t>
  </si>
  <si>
    <t>https://drive.google.com/file/d/1EvBcu-ED0F-yGL4Kp60tRY11kED-QxcV/view?usp=drivesdk</t>
  </si>
  <si>
    <t>งานกาชาดประจำปี 2568</t>
  </si>
  <si>
    <t>น.อ.หญิง ผ.ศ.วัลลภา อันดารา</t>
  </si>
  <si>
    <t>https://lh5.googleusercontent.com/d/14bZ_lpWB9QGhs4n_guMTJnuBKMiBt7qk</t>
  </si>
  <si>
    <t>https://drive.google.com/file/d/1Lu9Zvj2Jn5Oj4PrgfIzgRdq6mOqydfJU/view?usp=drivesdk</t>
  </si>
  <si>
    <t>น.อ.หญิง ผศ.ดร.วัลลภา อันดารา</t>
  </si>
  <si>
    <t>https://lh5.googleusercontent.com/d/1H3OmJo5C1498EU_b5vbncy-O8NHcTzZn</t>
  </si>
  <si>
    <t>https://drive.google.com/file/d/1BuhIFv_piBwn4_YIrRNN6CGetkfxsc0x/view?usp=drivesdk</t>
  </si>
  <si>
    <t>ศตพร คงศักดิ์</t>
  </si>
  <si>
    <t>https://lh5.googleusercontent.com/d/1sWEk7vo-r3LVfq4w2MrTpEJUszs2YWRh</t>
  </si>
  <si>
    <t>https://drive.google.com/file/d/1waYP_Q-nHaQyE6jgtIMv663RkEsqyUFA/view?usp=drivesdk</t>
  </si>
  <si>
    <t>https://lh5.googleusercontent.com/d/1zuq6abcHhXBefHCPwRD5qG6eh43UeSPb</t>
  </si>
  <si>
    <t>https://drive.google.com/file/d/1dEw9Cg7L6YrKqjboIPMZv-OoCFgKqjiC/view?usp=drivesdk</t>
  </si>
  <si>
    <t>https://lh5.googleusercontent.com/d/1m720GlVt-pxIWba1WefSU3N62W9PSXlU</t>
  </si>
  <si>
    <t>https://drive.google.com/file/d/1S5bSbJhr8RTj6mw4TZTmotNl4lsKQ4X7/view?usp=drivesdk</t>
  </si>
  <si>
    <t>https://lh5.googleusercontent.com/d/14F9UNEFjcok-0S2jjmVes6t8XjE_xhgN</t>
  </si>
  <si>
    <t>https://drive.google.com/file/d/10GgV373rM6MK4EH6muKl5UAwuwdJlfke/view?usp=drivesdk</t>
  </si>
  <si>
    <t>รับหมวกวิชาชีพพยาบาล</t>
  </si>
  <si>
    <t>https://lh5.googleusercontent.com/d/1BGjZuw1eoMXyZZOpEoZjXHityaQgOT5b</t>
  </si>
  <si>
    <t>https://drive.google.com/file/d/1JpOvDtO6_uMHZm0XxSi_bHvlPB2XX8ik/view?usp=drivesdk</t>
  </si>
  <si>
    <t>ซ้อมเต้นนำเสนออัตลักษณ์วิทยาลัย</t>
  </si>
  <si>
    <t>https://lh5.googleusercontent.com/d/1UHcUeF3XUf11lPO5uHQ2Ao0jz9i78Sfe</t>
  </si>
  <si>
    <t>https://drive.google.com/file/d/1UYu8qQwCMvMJfODU4rIkmsfG_VnSB8q-/view?usp=drivesdk</t>
  </si>
  <si>
    <t>https://lh5.googleusercontent.com/d/1q3J_LJTl8XpDG-YxbzUNziaV7Q-w7xnI</t>
  </si>
  <si>
    <t>https://drive.google.com/file/d/1-pHHUyctHZC6DDD7_jnCuaH6H-I5amxq/view?usp=drivesdk</t>
  </si>
  <si>
    <t>จัดโต๊ะสอบนพอ.รุ่นที่ 69</t>
  </si>
  <si>
    <t>https://lh5.googleusercontent.com/d/1uCiZ8QX7DMgOLAa8ynEzyNkMGPNaqLQr</t>
  </si>
  <si>
    <t>https://drive.google.com/file/d/11ontYA8Dm9qwBQAl_h1koqWDYTEBtfHk/view?usp=drivesdk</t>
  </si>
  <si>
    <t>วิทยาลัพยาบาลทหารอากาศ</t>
  </si>
  <si>
    <t>https://lh5.googleusercontent.com/d/177uygTfAhMufMqblN4vSTKb8T2wwfpNi</t>
  </si>
  <si>
    <t>https://drive.google.com/file/d/1IiNuyk8cp1guj22fbyxqGJdsaZdZNo4e/view?usp=drivesdk</t>
  </si>
  <si>
    <t>ขนหินอ่อนตกแต่งวิทยาลัย</t>
  </si>
  <si>
    <t>https://lh5.googleusercontent.com/d/1exBaCBXL0_e7IaD5kII2QNTZZTEZ1koR</t>
  </si>
  <si>
    <t>https://drive.google.com/file/d/1giHqMElKcJBGI2nnEhKkbSN_cqCXicgX/view?usp=drivesdk</t>
  </si>
  <si>
    <t>รพ.ภูมิพลอดุลยเดช พอ</t>
  </si>
  <si>
    <t>1100-1230</t>
  </si>
  <si>
    <t>ศูนย์บริจาคโลหิต รพ.ภูมิพลอดุลยเดช พอ</t>
  </si>
  <si>
    <t>https://lh5.googleusercontent.com/d/1UpU8pYB-5u4Gvem73UbOdebAK1Oo57jy</t>
  </si>
  <si>
    <t>https://drive.google.com/file/d/19PBCBCnXzKYOXOXdQmw62rTJgpUcK4Bi/view?usp=drivesdk</t>
  </si>
  <si>
    <t>ห้องปฏิบัติการมารดาทารกและการผดุงครรภ์</t>
  </si>
  <si>
    <t>น.ต.หญิง จีรปรียา โรจนเกียรติปรีดา</t>
  </si>
  <si>
    <t>https://lh5.googleusercontent.com/d/1UlcTnAfpFtmj6Eoo7Z-ehhewbVYnBQL6</t>
  </si>
  <si>
    <t>https://drive.google.com/file/d/1hHTBxCKVXfAA1VOxFP-8BkQRwJfc4mls/view?usp=drivesdk</t>
  </si>
  <si>
    <t>https://lh5.googleusercontent.com/d/17y7vZXvDOcUP7suz3q4EkwmmN1SKXhVX</t>
  </si>
  <si>
    <t>https://drive.google.com/file/d/18Q_3Xev1jvt_UASjO5KjSw1xZQQtFZah/view?usp=drivesdk</t>
  </si>
  <si>
    <t>https://lh5.googleusercontent.com/d/196qCpuuI0_VGh4GqgPETsrdsOxe6JkAV</t>
  </si>
  <si>
    <t>https://drive.google.com/file/d/17iPqTPjJ_LTKHuKvP_rSW4HdIAGa4Dlx/view?usp=drivesdk</t>
  </si>
  <si>
    <t>https://lh5.googleusercontent.com/d/1MugJnfsTqAqAeRjbHnFelVFfblXeQzQz</t>
  </si>
  <si>
    <t>https://drive.google.com/file/d/1mf94ECuk-dAjmZAl6CvS4ZOqcvRmf710/view?usp=drivesdk</t>
  </si>
  <si>
    <t>https://lh5.googleusercontent.com/d/1TCX6p78hnJV-bl9ML8jnJJcaQvonyGM4</t>
  </si>
  <si>
    <t>https://drive.google.com/file/d/1ULNFCYEyEen0gobO_fFXjZBQFSFx2PoN/view?usp=drivesdk</t>
  </si>
  <si>
    <t>https://lh5.googleusercontent.com/d/1acpv1rMBlwQh2iDfPuHa8bQzIPaJoriR</t>
  </si>
  <si>
    <t>https://drive.google.com/file/d/1BVQiqBEE5gfYRhFzY3rzjdCW9XYZBZu9/view?usp=drivesdk</t>
  </si>
  <si>
    <t>https://lh5.googleusercontent.com/d/1wblBa9sqZXK34jKYlLKIJey6F3C2uewx</t>
  </si>
  <si>
    <t>https://drive.google.com/file/d/1WM3ryQc6KjXxkwpzkDqMKei4WFANrfzw/view?usp=drivesdk</t>
  </si>
  <si>
    <t>https://lh5.googleusercontent.com/d/1EwM7x2_fHXrVSoeqv5-Qargn2ISkUUPU</t>
  </si>
  <si>
    <t>https://drive.google.com/file/d/10Ftv0ts-zxCGd21_sX3wiBn7pGeieILK/view?usp=drivesdk</t>
  </si>
  <si>
    <t>https://lh5.googleusercontent.com/d/1jiNF3kYW91uw9gkVkoPyvqPv5mFl8WiB</t>
  </si>
  <si>
    <t>https://drive.google.com/file/d/1jUL48enp3yW4jE-PGkVulGzRKx7B-RQe/view?usp=drivesdk</t>
  </si>
  <si>
    <t>จัดโต๊ะสอบวิภาววิสัยและจิตวิทยา ปีการศึกษา 2569</t>
  </si>
  <si>
    <t>ห้องประชุมชั้น 4 อาคารสำนักงาน</t>
  </si>
  <si>
    <t>https://lh5.googleusercontent.com/d/1kpDamePgsch9rb1y6mvNxyuuP2pLJdSh</t>
  </si>
  <si>
    <t>https://drive.google.com/file/d/1i6pFF6hcHJ47sTRMprAJ8N5bAd6WmmuK/view?usp=drivesdk</t>
  </si>
  <si>
    <t>จัดโต๊ะสอบนพอ.รุ่น 69</t>
  </si>
  <si>
    <t>https://lh5.googleusercontent.com/d/1lFLekmVMitfarDRwu9Oz_u5MPxzR7ZpY</t>
  </si>
  <si>
    <t>https://drive.google.com/file/d/1kAaqOtJq3Tl9daKabZKp5SOlpRYd93ko/view?usp=drivesdk</t>
  </si>
  <si>
    <t>ช่วยจัดงานทดสอบวิภาววิสัยและจิตวิทยา ปีการศึกษา 2569</t>
  </si>
  <si>
    <t>https://lh5.googleusercontent.com/d/1vrIN9ZXgOL-isTeug2mTlgbp3irKk1yq</t>
  </si>
  <si>
    <t>https://drive.google.com/file/d/1tBnkGHes0sCHkzQSPhnPhN6ESbTamzUV/view?usp=drivesdk</t>
  </si>
  <si>
    <t>ดูแลการสอบนพอ.ปี 69</t>
  </si>
  <si>
    <t>https://lh5.googleusercontent.com/d/1l9te9nhDUyaa2Qx3QyGeOpVZP6pETkUl</t>
  </si>
  <si>
    <t>https://drive.google.com/file/d/1hphdNs--YPb-5u9TUvj7Vz9MtVgFqmhX/view?usp=drivesdk</t>
  </si>
  <si>
    <t>https://lh5.googleusercontent.com/d/1ubVjrFpEUgzikRZzdVOAFA4C0qprKmvk</t>
  </si>
  <si>
    <t>https://drive.google.com/file/d/1wTw2M2OcVPbhIhbifhEfDHHfo6oaamRc/view?usp=drivesdk</t>
  </si>
  <si>
    <t>https://lh5.googleusercontent.com/d/1VsHwdb4GH73S9qqIQ_KDEC_rNsNxFQOH</t>
  </si>
  <si>
    <t>https://drive.google.com/file/d/1ryRVdTed29sPOoLXMlOj3Bw13GcNneKS/view?usp=drivesdk</t>
  </si>
  <si>
    <t>https://lh5.googleusercontent.com/d/1hgO5YQJi-S--tBHvKzBDpU3jTmz0eNSp</t>
  </si>
  <si>
    <t>https://drive.google.com/file/d/1if6XP-w4G0-9EJK4sNWeIAvfuqUQAWz8/view?usp=drivesdk</t>
  </si>
  <si>
    <t>https://lh5.googleusercontent.com/d/1BzBBFadqCL57He2xWzBWc7ZfKor-RhXE</t>
  </si>
  <si>
    <t>https://drive.google.com/file/d/1Iuqb-OFXFpnbfjKwdvtPowgxmMdWHPEp/view?usp=drivesdk</t>
  </si>
  <si>
    <t>https://lh5.googleusercontent.com/d/1pZQrQx95K8JpaiSR9Mc7Tf799yj-7iZw</t>
  </si>
  <si>
    <t>https://drive.google.com/file/d/1oIpJ4JX6POr18exVlEsq_HrJ7ZUGAY8M/view?usp=drivesdk</t>
  </si>
  <si>
    <t>https://lh5.googleusercontent.com/d/1DJOPnw1oKsH-HjrIt1ghsPENcjhCOvkj</t>
  </si>
  <si>
    <t>https://drive.google.com/file/d/1CzXHATb_RchxPUBjtbx0AWZjXgZ0HrL1/view?usp=drivesdk</t>
  </si>
  <si>
    <t>https://lh5.googleusercontent.com/d/1AjE-4lu_yy8V9ATmW21qB7W-qDQ2445U</t>
  </si>
  <si>
    <t>https://drive.google.com/file/d/1lB4C0pQTYVG01dEZCGeK_OT3xwphjg-7/view?usp=drivesdk</t>
  </si>
  <si>
    <t>ขนหินอ่อน</t>
  </si>
  <si>
    <t>https://lh5.googleusercontent.com/d/16A2k1zbbomePHZ8sgRBW8malrV7UPZoZ</t>
  </si>
  <si>
    <t>https://drive.google.com/file/d/1UF34_iPdY9blDEvBzSbJtZgvwW4UaAM5/view?usp=drivesdk</t>
  </si>
  <si>
    <t>https://lh5.googleusercontent.com/d/1ZBhwNkp0iwwvedvNkiJw6hmi5_WpmPIw</t>
  </si>
  <si>
    <t>https://drive.google.com/file/d/1FCYXbrCSfNXMs6BThx_-fBlxht0lTLjB/view?usp=drivesdk</t>
  </si>
  <si>
    <t>https://lh5.googleusercontent.com/d/1i6DTA_cdJR67VIg5wDWlbLORCKDRGENS</t>
  </si>
  <si>
    <t>https://drive.google.com/file/d/1UhBXKvQaPj_a2XuxvwAEpX_tMFgqAvGQ/view?usp=drivesdk</t>
  </si>
  <si>
    <t>https://lh5.googleusercontent.com/d/1kSH37P5YoBy_hrxUE-zHmDNvihIrQS3J</t>
  </si>
  <si>
    <t>https://drive.google.com/file/d/1Bh4aYLn_ErajoS-nPqQHFEvgIJpPCyke/view?usp=drivesdk</t>
  </si>
  <si>
    <t>https://lh5.googleusercontent.com/d/1fztYxLCFrDUfFA7UtPT7Af3TsDQ5qwwp</t>
  </si>
  <si>
    <t>https://drive.google.com/file/d/1Kc-ngMjw4VRgNs45mDJepaqMVFgX3ScR/view?usp=drivesdk</t>
  </si>
  <si>
    <t>นพอ.ศิวัชญา อยูชาติประเสริฐ</t>
  </si>
  <si>
    <t>https://lh5.googleusercontent.com/d/1PiEbplqt0SfPQlR7AzJvi3dEy2FoWyZU</t>
  </si>
  <si>
    <t>https://drive.google.com/file/d/1yWCQgRn36V-ntv34Syv9P79P0PvPT2tN/view?usp=drivesdk</t>
  </si>
  <si>
    <t>ทำนุบำรุง วพอ.</t>
  </si>
  <si>
    <t>https://lh5.googleusercontent.com/d/1v5YrQsSgzm3rvjf7PRo2HoR99Ui-cq1d</t>
  </si>
  <si>
    <t>https://drive.google.com/file/d/18BvPBU2S4_ah_IKI8zldrlGPSTtu_0y4/view?usp=drivesdk</t>
  </si>
  <si>
    <t>พิธิเปิดปิดกีฬาภายในกองทัพอากาศ</t>
  </si>
  <si>
    <t>https://lh5.googleusercontent.com/d/1-Nl6NS5krvWfSFDhAhRvWzMvDLLRolBy</t>
  </si>
  <si>
    <t>https://drive.google.com/file/d/1dSWtlBh3VWJASTpCcBUMbIJI2L1N5x7L/view?usp=drivesdk</t>
  </si>
  <si>
    <t>https://lh5.googleusercontent.com/d/1qXIK7sZI4EOPmBqe2Ke9eJVJ0ihhwtaD</t>
  </si>
  <si>
    <t>https://drive.google.com/file/d/1JGYSM4qM60qpEy-vkTLxp-ZZzYW4CLBc/view?usp=drivesdk</t>
  </si>
  <si>
    <t>https://lh5.googleusercontent.com/d/1spODMp3cN-f2N4MbzxVs4r_rzAWO9TLi</t>
  </si>
  <si>
    <t>https://drive.google.com/file/d/1--p3fa_im5JBfmq5Ix8X1xlMsJa0iG8T/view?usp=drivesdk</t>
  </si>
  <si>
    <t>https://lh5.googleusercontent.com/d/1TIUX4IMh8v1mSDcz-xvBxgDi6ZVu4z3G</t>
  </si>
  <si>
    <t>https://drive.google.com/file/d/1HSz2pp4RiwQ3So3iFANHY0vbaMZJ2OOH/view?usp=drivesdk</t>
  </si>
  <si>
    <t>https://lh5.googleusercontent.com/d/1PqvOgzCvTaOa9XAUvNjaoQUGlSsMb0iI</t>
  </si>
  <si>
    <t>https://drive.google.com/file/d/1g3xlZeCAMhlKEBd1_cYreOKrGeTslmjE/view?usp=drivesdk</t>
  </si>
  <si>
    <t>https://lh5.googleusercontent.com/d/1OQGo1BlsCE0QOQZ80i8lJUlRnX3xG4FR</t>
  </si>
  <si>
    <t>https://drive.google.com/file/d/1vNUs4kTure2yB3wPF1fcTwopimkR2rsK/view?usp=drivesdk</t>
  </si>
  <si>
    <t>ห้องประชุมชั้นสามอาคารเรียน</t>
  </si>
  <si>
    <t>https://lh5.googleusercontent.com/d/1v0gG25ZpvnX1QgQTQtLH0PHu1dA6ShFA</t>
  </si>
  <si>
    <t>https://drive.google.com/file/d/1SUZfNoL9o_PQdQIipFXmwixvuNrH_sL6/view?usp=drivesdk</t>
  </si>
  <si>
    <t>https://lh5.googleusercontent.com/d/1ZkGP8k8_xLQiQfTXoQgd6fUSLEvleJ8e</t>
  </si>
  <si>
    <t>https://drive.google.com/file/d/1tdaRDJ3zbE6Z1QD2jU5MjeLMIV26nJRT/view?usp=drivesdk</t>
  </si>
  <si>
    <t>https://lh5.googleusercontent.com/d/1INMU_nlGn0QBQPQdPPJemLVnd2-ye7qi</t>
  </si>
  <si>
    <t>https://drive.google.com/file/d/14sg6QsAFxaA1FXhWQ1OW4BcVAsDdQevW/view?usp=drivesdk</t>
  </si>
  <si>
    <t>ปรับปรุงทัศนียภาพใน วพอ.พอ</t>
  </si>
  <si>
    <t>https://lh5.googleusercontent.com/d/1hcNwjkpDW1DAeFaWDtEx_wotH00Iffyv</t>
  </si>
  <si>
    <t>https://drive.google.com/file/d/1sCyLPWAq3SDg6VW_k1H9JLCUYqlB7NxH/view?usp=drivesdk</t>
  </si>
  <si>
    <t>ซ้อมดนตรีไทยงานสงกรานต์ วพอ.2569</t>
  </si>
  <si>
    <t>https://lh5.googleusercontent.com/d/13RNGWoJQU3P0PhQUXn95u7hMILXMzOjt</t>
  </si>
  <si>
    <t>https://drive.google.com/file/d/1LPLt2b8wZ_Kr3UmfyeEYj-c3CW5HqkDf/view?usp=drivesdk</t>
  </si>
  <si>
    <t>https://lh5.googleusercontent.com/d/1YHcC6JhAEdwwEu4TNxXymDE6B3KZhw_T</t>
  </si>
  <si>
    <t>https://drive.google.com/file/d/1MFmSeakwaQFf3G7huJTKCQk4hqJuF6AX/view?usp=drivesdk</t>
  </si>
  <si>
    <t>https://lh5.googleusercontent.com/d/1hTUb1SmD6H7aCQ-lhyaWhbyvuSQKrY3z</t>
  </si>
  <si>
    <t>https://drive.google.com/file/d/12tHOr7hRAksw_i3KkSPSV2tVq6dBitjr/view?usp=drivesdk</t>
  </si>
  <si>
    <t>https://lh5.googleusercontent.com/d/1Oy_oenAaWcoE_hCGLS1A7l9yJK2jAPy2</t>
  </si>
  <si>
    <t>https://drive.google.com/file/d/1yznu22KoW-q0_-nlngCXYQUt5YSlKxBq/view?usp=drivesdk</t>
  </si>
  <si>
    <t>https://lh5.googleusercontent.com/d/1Dv8ZWFT3TZTLdrQH8n8RboTEa4gNwxll</t>
  </si>
  <si>
    <t>https://drive.google.com/file/d/1CedSgF4wnY3-3dalbpDeiuAd2OiQAeVb/view?usp=drivesdk</t>
  </si>
  <si>
    <t>https://lh5.googleusercontent.com/d/1PV_3IDoZmC3gOelB9tvGwpsRsUCKQ2JL</t>
  </si>
  <si>
    <t>https://drive.google.com/file/d/1ShXbtTMzp2q4D70jIwodOkbLzRcSTksU/view?usp=drivesdk</t>
  </si>
  <si>
    <t>https://lh5.googleusercontent.com/d/16MBy8O7Ino5sOChWjEIvcc9y4zgW9ITz</t>
  </si>
  <si>
    <t>https://drive.google.com/file/d/138Y8uGP_msVA7r8uNCuFQqAI5lVKad7U/view?usp=drivesdk</t>
  </si>
  <si>
    <t>https://lh5.googleusercontent.com/d/1zce41xU3LshSS8EGAHe9Q0D5Q89DFUDK</t>
  </si>
  <si>
    <t>https://drive.google.com/file/d/1bzwXWiyYUnaNOHKvtr1novSOvFIeXReP/view?usp=drivesdk</t>
  </si>
  <si>
    <t>วัดคลองบ้านใหม่</t>
  </si>
  <si>
    <t>พระครูปริยัติคุณาทร</t>
  </si>
  <si>
    <t>https://lh5.googleusercontent.com/d/19cz6LJHNk3QuFix9ykPJUKOjT5SbzLKQ</t>
  </si>
  <si>
    <t>https://drive.google.com/file/d/1wBMKsbntiPEE5p_E6fCTnG9POkALqH-A/view?usp=drivesdk</t>
  </si>
  <si>
    <t>เข้าร่วมพิธีวางพวงมาลา ถวายสักการะพระบรมราชานุสาวรีย์ ร.8</t>
  </si>
  <si>
    <t>โรงพยาบาลจุฬาลงกรณ์</t>
  </si>
  <si>
    <t>0530-0730</t>
  </si>
  <si>
    <t>https://lh5.googleusercontent.com/d/15GCxxw5Ro8GZqNXo-H_3SVI_D8sYrEZi</t>
  </si>
  <si>
    <t>https://drive.google.com/file/d/1sHut5IekQNS4LSnKLPh7zA0RzxlwDS7J/view?usp=drivesdk</t>
  </si>
  <si>
    <t>https://lh5.googleusercontent.com/d/1cUR6qqfLzOQePBP-KEJGlSPh0UPVyM7L</t>
  </si>
  <si>
    <t>https://drive.google.com/file/d/1MXKrGa7WyxIb8BnRzU2Z0RswSE1FZJD1/view?usp=drivesdk</t>
  </si>
  <si>
    <t>https://lh5.googleusercontent.com/d/1CZDfH6tit45bFauhOFXJ4ZUKj9xWQkf_</t>
  </si>
  <si>
    <t>https://drive.google.com/file/d/1JE6vWzq3YAWv8r8QI8scA7rdyyMbphEQ/view?usp=drivesdk</t>
  </si>
  <si>
    <t>https://lh5.googleusercontent.com/d/1yNYzgSctEcrHeMWHCui2ulwV4z8OBm83</t>
  </si>
  <si>
    <t>https://drive.google.com/file/d/1N0Ud26k3vMBdsaiCKJnIdRt01QrJLs4H/view?usp=drivesdk</t>
  </si>
  <si>
    <t>https://lh5.googleusercontent.com/d/1klzpMMWk80-ERJFyonEaeggfdoN0MjIk</t>
  </si>
  <si>
    <t>https://drive.google.com/file/d/1BM-1Kdfosuo3qZZ17d9aBEyfOO7zf_dT/view?usp=drivesdk</t>
  </si>
  <si>
    <t>https://lh5.googleusercontent.com/d/1CLDc2asXpXjEJNnvZTTikBdZk9hi91ME</t>
  </si>
  <si>
    <t>https://drive.google.com/file/d/1m320_37FYLYLJ2bllU_Vv34xodAzNDd2/view?usp=drivesdk</t>
  </si>
  <si>
    <t>ขนหิน</t>
  </si>
  <si>
    <t>https://lh5.googleusercontent.com/d/1U9fz-ZV3Rq2Kq-KkCtVjRCJQlQGGhYl0</t>
  </si>
  <si>
    <t>https://drive.google.com/file/d/1IuaVSuJ1KRRI3XIaRrnePFZhqiZjCWqm/view?usp=drivesdk</t>
  </si>
  <si>
    <t>https://lh5.googleusercontent.com/d/1mz2jK60Zk6_w6vZoNhK-iw1YU81qrX4R</t>
  </si>
  <si>
    <t>https://drive.google.com/file/d/1ULKnczyllyih6pDY2j_ooHnFXnajNhmG/view?usp=drivesdk</t>
  </si>
  <si>
    <t>จัดสภาพแวดล้อมหลังอาคารเรียน</t>
  </si>
  <si>
    <t>https://lh5.googleusercontent.com/d/14Zz3mAM9aN426GKlycKy1GmEu4xCn7rf</t>
  </si>
  <si>
    <t>https://drive.google.com/file/d/1HZrRC9ESLNYEPqjAWG74BPrnqfmjw0xS/view?usp=drivesdk</t>
  </si>
  <si>
    <t>https://lh5.googleusercontent.com/d/1Oe_yWZOJB8yDv1a9wcBZTi0jTA1wJcWi</t>
  </si>
  <si>
    <t>https://drive.google.com/file/d/1Ru-WSzl_dypDBVw9TkcynwruzIK9bynz/view?usp=drivesdk</t>
  </si>
  <si>
    <t>https://lh5.googleusercontent.com/d/1AlS908S1HX94r3hnRV_eRez6Nu8TrTZG</t>
  </si>
  <si>
    <t>https://drive.google.com/file/d/1vCtfqm1rHON5qoMGnMV74SLUvAb_wrJD/view?usp=drivesdk</t>
  </si>
  <si>
    <t>รับหมวกวิชาชีพ</t>
  </si>
  <si>
    <t>0500-1300</t>
  </si>
  <si>
    <t>รอ.อนุชิต ทำจะดี</t>
  </si>
  <si>
    <t>https://lh5.googleusercontent.com/d/1WY8vuaec9KC0-8vufr56n-9Uju4-tEE7</t>
  </si>
  <si>
    <t>https://drive.google.com/file/d/1hjoJiBV-FoGoSwNo4pv5Dz5Bt4I8sEps/view?usp=drivesdk</t>
  </si>
  <si>
    <t>โรทาแรกค์ ปลูกป่าบางปู</t>
  </si>
  <si>
    <t>https://lh5.googleusercontent.com/d/1afiryto6Uxpduqflt916wpy-mTTi_kZr</t>
  </si>
  <si>
    <t>https://drive.google.com/file/d/1q9ejhE3cgpr41fIwU8eAmVn3PBXaG0Ff/view?usp=drivesdk</t>
  </si>
  <si>
    <t>ทดสอบพิเศษ</t>
  </si>
  <si>
    <t>https://lh5.googleusercontent.com/d/1reh9gnEzsYMoDYoV4o5rz_VOff7yeH_V</t>
  </si>
  <si>
    <t>https://drive.google.com/file/d/1FODjd3x4b2HSbYtHj0dga7idNorwC315/view?usp=drivesdk</t>
  </si>
  <si>
    <t>https://lh5.googleusercontent.com/d/1SaJqwptR6e6zvkD46H4INlxmxHk5id_V</t>
  </si>
  <si>
    <t>https://drive.google.com/file/d/1aFIm2qL6vlpDwampXLJSiX7vBnQfI-Jo/view?usp=drivesdk</t>
  </si>
  <si>
    <t>https://lh5.googleusercontent.com/d/1A84uZiFtl6vF6F2e89r-Nn-zXoUX7hmL</t>
  </si>
  <si>
    <t>https://drive.google.com/file/d/1u8o-LiXrrQrs_AVhxHqEtVEvY7ihFk--/view?usp=drivesdk</t>
  </si>
  <si>
    <t>https://lh5.googleusercontent.com/d/1IWx4FacjgS3SmyTRiKNgZr3Qqu54e5Kk</t>
  </si>
  <si>
    <t>https://drive.google.com/file/d/1t67VwOwE44YLsqdShr8OsW8dV-aaUVWT/view?usp=drivesdk</t>
  </si>
  <si>
    <t>https://lh5.googleusercontent.com/d/1fCWV_aqDFYoF8iBiPZG0FBZrwZs0NBz_</t>
  </si>
  <si>
    <t>https://drive.google.com/file/d/1jr8RzUQB-jM1L3ET3fWy6Fmzpglnh3ji/view?usp=drivesdk</t>
  </si>
  <si>
    <t>https://lh5.googleusercontent.com/d/1jEa0XsiGiccUDuUB0JvtoRdUG3ygertF</t>
  </si>
  <si>
    <t>https://drive.google.com/file/d/1BlqwFeYroonTxLLGR3yFKgd5tltD_Sdb/view?usp=drivesdk</t>
  </si>
  <si>
    <t>จัดห้องสอบสูติฯ พี่ นทน.</t>
  </si>
  <si>
    <t>https://lh5.googleusercontent.com/d/1hJurYHH3qTWXtxjh2CBQ3vLo-JG4VE3Z</t>
  </si>
  <si>
    <t>https://drive.google.com/file/d/1yGnSuUnMQi30WmkHqoRWhA8b5hLnCFdj/view?usp=drivesdk</t>
  </si>
  <si>
    <t>พิธีวางพวงมาลาวันอานันทมหิดล</t>
  </si>
  <si>
    <t>คณะแพทยศาสตร์ จุฬาลงกรณ์ราชวิทยาลัย</t>
  </si>
  <si>
    <t>https://lh5.googleusercontent.com/d/1XGiXUcdgdrLX_GgEdJbtXqmVCH0ettMV</t>
  </si>
  <si>
    <t>https://drive.google.com/file/d/11wTjq6aftQGOgC3RzhHaC0mSS9h4UBVS/view?usp=drivesdk</t>
  </si>
  <si>
    <t>ซ้อมเกียรติยศสวีแด</t>
  </si>
  <si>
    <t>https://lh5.googleusercontent.com/d/10Z999r--oTU6TrqwIU0vRHTZs7m3ypLU</t>
  </si>
  <si>
    <t>https://drive.google.com/file/d/1hLISLci1xtLIXnBlbVcCtPqzwc3hU_MZ/view?usp=drivesdk</t>
  </si>
  <si>
    <t>https://lh5.googleusercontent.com/d/1UYdIZG6mwsdNHUukpq8TmmS0XV8fAXjl</t>
  </si>
  <si>
    <t>https://drive.google.com/file/d/1xq0VpJsRul2lISMIecAks71cxOU8ObcL/view?usp=drivesdk</t>
  </si>
  <si>
    <t>https://lh5.googleusercontent.com/d/1e0T9zKpRSHchtAILQ6V9x7uFW3RAjRBj</t>
  </si>
  <si>
    <t>https://drive.google.com/file/d/1dFXdgxa6h4KwZjEDQ4QYXUfw8NU-3qUG/view?usp=drivesdk</t>
  </si>
  <si>
    <t>ซ้อมงานพิธีรับหมวกพยาบาลวิชาชีพ ปีการศึกษา 2569</t>
  </si>
  <si>
    <t>https://lh5.googleusercontent.com/d/1z1FSVkN9p3k36bx4r3D3sswL9iX4d_Zd</t>
  </si>
  <si>
    <t>https://drive.google.com/file/d/1yMGzhIbZS4TZwc2F4JHZJjIJVRhHtwuk/view?usp=drivesdk</t>
  </si>
  <si>
    <t>วัดสามบัณฑิต</t>
  </si>
  <si>
    <t>https://lh5.googleusercontent.com/d/1AiFdie224xV-qjYgr_joESfWGIJNRrqQ</t>
  </si>
  <si>
    <t>https://drive.google.com/file/d/1psb4manjrmGTOSNymacrKcPRveqgWP8-/view?usp=drivesdk</t>
  </si>
  <si>
    <t>https://lh5.googleusercontent.com/d/1ovjGhVCXyLUlicGjvQ80bWrchw5lAo6J</t>
  </si>
  <si>
    <t>https://drive.google.com/file/d/1GQiKd3qimw4S8QrM_wv5puhXEbs4CMbg/view?usp=drivesdk</t>
  </si>
  <si>
    <t>งานกาชาด ปี2568</t>
  </si>
  <si>
    <t>https://lh5.googleusercontent.com/d/1kv_jc-2V9_6DqTRD8J7jCVlpFGqD5jCX</t>
  </si>
  <si>
    <t>https://drive.google.com/file/d/1MQQf3-0KF7jksAkgFhHpsaV6zOxtj80u/view?usp=drivesdk</t>
  </si>
  <si>
    <t>https://lh5.googleusercontent.com/d/16rEVU_VPDKgxjluQxpBPc7zZcNHKSP4t</t>
  </si>
  <si>
    <t>https://lh5.googleusercontent.com/d/1uQcCzizUv9PRzT8gHfX3dCXB6oBsA7vi</t>
  </si>
  <si>
    <t>https://drive.google.com/file/d/19JjaRZM-EnzKhPW5QsgZLsFBocwRHlc3/view?usp=drivesdk</t>
  </si>
  <si>
    <t>1630-1800</t>
  </si>
  <si>
    <t>https://lh5.googleusercontent.com/d/1YaIdemWD9mvKCwNqGsDsgOzC-PDHV4fs</t>
  </si>
  <si>
    <t>https://drive.google.com/file/d/1mkgK94GG4OZ_Ym00r_vOvJCg_h_au-5b/view?usp=drivesdk</t>
  </si>
  <si>
    <t>https://lh5.googleusercontent.com/d/1RDdHwsGCQobaXKFdA8XIthPhtaPsgNwF</t>
  </si>
  <si>
    <t>https://drive.google.com/file/d/1vOQ_5YXoonibFYVkWCeeY-OCnbau5EC0/view?usp=drivesdk</t>
  </si>
  <si>
    <t>https://lh5.googleusercontent.com/d/160r9bLCJhJ6K0JEo3Ueawpbk_9wTTdqv</t>
  </si>
  <si>
    <t>https://drive.google.com/file/d/1dr99QFAMVkxLJM4DIxAqLbd55MmwNkby/view?usp=drivesdk</t>
  </si>
  <si>
    <t>จัดสวนขนหินหลังอาคารเรียน</t>
  </si>
  <si>
    <t>https://lh5.googleusercontent.com/d/11exl4cvIavNdNfC6ewrKvK7eK6e9uQJ6</t>
  </si>
  <si>
    <t>https://drive.google.com/file/d/1yMUtT7RIEH9bNmczUx_7h2_RTqapo37c/view?usp=drivesdk</t>
  </si>
  <si>
    <t>https://lh5.googleusercontent.com/d/1q8QV2EEyZ_7WWa0Ze7a8OT84zp8HiqGT</t>
  </si>
  <si>
    <t>https://drive.google.com/file/d/143Z78JgdcNfwD1ijq0BcSmRiEePnnz7g/view?usp=drivesdk</t>
  </si>
  <si>
    <t>https://lh5.googleusercontent.com/d/1BVvaBSDXeBaZ2HdhwR4gZiTU7yN-qIyY</t>
  </si>
  <si>
    <t>https://drive.google.com/file/d/1uZkAQOhGS6JkDjNUddoCKMCJZTbVb2Qj/view?usp=drivesdk</t>
  </si>
  <si>
    <t xml:space="preserve">ซ้อมงานพิธีมอบหมวกพยาบาลวิชาชีพ </t>
  </si>
  <si>
    <t>https://lh5.googleusercontent.com/d/1CMbd8ILRON-e9q1pkK1kqrAwj55KdlXt</t>
  </si>
  <si>
    <t>https://drive.google.com/file/d/1PDym0--6Z_E9HGzJYaFnFGGwRoeCrA9O/view?usp=drivesdk</t>
  </si>
  <si>
    <t>https://lh5.googleusercontent.com/d/194eHGRpaBxSL1sg0HW5jFbDZDNWhAyBA</t>
  </si>
  <si>
    <t>https://drive.google.com/file/d/1sR6-L6pnENilOBZXOCUah7bRlmWCgOku/view?usp=drivesdk</t>
  </si>
  <si>
    <t>https://lh5.googleusercontent.com/d/1kyD731WXOuvgOVocp6jObkQGBz6cIfRX</t>
  </si>
  <si>
    <t>https://drive.google.com/file/d/13mVReueXHmET3r0kA08mzznAVbGjiIbL/view?usp=drivesdk</t>
  </si>
  <si>
    <t>https://lh5.googleusercontent.com/d/1G5nRBUIM2t5GTh2XInukBPTZDNO8ephd</t>
  </si>
  <si>
    <t>https://drive.google.com/file/d/1qIlA1gib8TOQenSrLQ0v8zXMQ6AZKft2/view?usp=drivesdk</t>
  </si>
  <si>
    <t>น.อ.หณิง.ผศ.นิตยา สุขแสน</t>
  </si>
  <si>
    <t>https://lh5.googleusercontent.com/d/15-bPqj2MVBmN7IOF2vOOwKUD03yVViV9</t>
  </si>
  <si>
    <t>https://drive.google.com/file/d/1L2yQv0rEt12IGtlgVMmw4grkr5N54yMO/view?usp=drivesdk</t>
  </si>
  <si>
    <t>https://lh5.googleusercontent.com/d/1gFHfRk-sSdqycgC608WVeN9dob0JeYZc</t>
  </si>
  <si>
    <t>https://drive.google.com/file/d/1_Ctwy5M0Wud0wRYqfYCRL-0sBZSl0_4t/view?usp=drivesdk</t>
  </si>
  <si>
    <t>https://lh5.googleusercontent.com/d/1AaamNSn9ekUcxouYfaez2Slm2YZ1AZ5I</t>
  </si>
  <si>
    <t>https://drive.google.com/file/d/1OfGhnLNKA2jh73NoSUAarJUtHGr6zMv8/view?usp=drivesdk</t>
  </si>
  <si>
    <t>https://lh5.googleusercontent.com/d/1kFML0YnkCOGbCyaJFHWLiPSEJ74Wu3d2</t>
  </si>
  <si>
    <t>https://drive.google.com/file/d/1JyvyFHuVS1Jz6B2Ia02jZ9DO-6mFUhPM/view?usp=drivesdk</t>
  </si>
  <si>
    <t>https://lh5.googleusercontent.com/d/1A_7HqRuikBm2GPVnBOX4LeBQpl493Hjm</t>
  </si>
  <si>
    <t>https://drive.google.com/file/d/1GjiN3CaRj2cibEueqXqW9wzN6I8qyM1f/view?usp=drivesdk</t>
  </si>
  <si>
    <t>https://lh5.googleusercontent.com/d/1CuoFkMXhjtKtPdI37eUJuzr-3yPZ1oCl</t>
  </si>
  <si>
    <t>https://drive.google.com/file/d/1UwRKvg8GwAdZIuNGzMNEGpuzXr0m_Qj_/view?usp=drivesdk</t>
  </si>
  <si>
    <t>https://drive.google.com/file/d/1p_CLCTdORqtBh-Woksdyi-Ir1suZgLum/view?usp=drivesdk</t>
  </si>
  <si>
    <t>ซ้อมงานพิธีมอบหมวกพยาบาลวิชาชีพ ปีการศึกษา 2568ซ้อมงานพิธีมอบหมวกพยาบาลวิชาชีพ ปีการศึกษา 2568</t>
  </si>
  <si>
    <t>https://lh5.googleusercontent.com/d/12FCOKiCbAqcXTVV-1HFTkvY0z-nHHlaa</t>
  </si>
  <si>
    <t>https://drive.google.com/file/d/1wXt_2Mc4S6o5nMOFyZ9eZTZZxuMP00ET/view?usp=drivesdk</t>
  </si>
  <si>
    <t>https://lh5.googleusercontent.com/d/19tsBl9Okwn5IhEdn69kqV_jMnDy8RRtD</t>
  </si>
  <si>
    <t>https://drive.google.com/file/d/1bMfTf5mwzvJtqqtSReWLFLCK5uowBIOD/view?usp=drivesdk</t>
  </si>
  <si>
    <t>https://lh5.googleusercontent.com/d/1JJ_2XnKDz9bK84HXDbKroyOjnXOIsLew</t>
  </si>
  <si>
    <t>https://drive.google.com/file/d/1H6lq1vOciMtRRPxTpfgDF7VJRHBSg7hJ/view?usp=drivesdk</t>
  </si>
  <si>
    <t>4444</t>
  </si>
  <si>
    <t>Ssdd</t>
  </si>
  <si>
    <t>Asnsn</t>
  </si>
  <si>
    <t>Jssjjs</t>
  </si>
  <si>
    <t>Ssjj</t>
  </si>
  <si>
    <t>Aasd</t>
  </si>
  <si>
    <t>https://lh5.googleusercontent.com/d/1EbiOse5qeeT8kFLnZ22FDuumThbqOUZa</t>
  </si>
  <si>
    <t>https://drive.google.com/file/d/1A54doF8uE4D72AIdXJrQN2Uu3Ins-Nxn/view?usp=drivesdk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</si>
</sst>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13">
    <font>
      <sz val="10.0"/>
      <color rgb="FF000000"/>
      <name val="Arial"/>
      <scheme val="minor"/>
    </font>
    <font>
      <color theme="1"/>
      <name val="Sarabun"/>
    </font>
    <font>
      <color theme="1"/>
      <name val="Arial"/>
      <scheme val="minor"/>
    </font>
    <font>
      <color theme="1"/>
      <name val="Arial"/>
    </font>
    <font>
      <u/>
      <color rgb="FF0000FF"/>
      <name val="Sarabun"/>
    </font>
    <font>
      <u/>
      <color rgb="FF0000FF"/>
    </font>
    <font>
      <u/>
      <color rgb="FF0000FF"/>
      <name val="Sarabun"/>
    </font>
    <font>
      <u/>
      <color rgb="FF0000FF"/>
    </font>
    <font>
      <color rgb="FFFFFFFF"/>
      <name val="Arial"/>
    </font>
    <font>
      <u/>
      <color rgb="FF0000FF"/>
    </font>
    <font>
      <u/>
      <color rgb="FF0000FF"/>
      <name val="Sarabun"/>
    </font>
    <font>
      <u/>
      <color rgb="FF0000FF"/>
      <name val="Sarabun"/>
    </font>
    <font>
      <u/>
      <color rgb="FF0000FF"/>
      <name val="Sarabun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49" xfId="0" applyAlignment="1" applyFont="1" applyNumberFormat="1">
      <alignment horizontal="center" vertical="bottom"/>
    </xf>
    <xf borderId="0" fillId="0" fontId="2" numFmtId="0" xfId="0" applyFont="1"/>
    <xf borderId="0" fillId="2" fontId="3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quotePrefix="1"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horizontal="center" readingOrder="0" vertical="bottom"/>
    </xf>
    <xf borderId="0" fillId="0" fontId="2" numFmtId="164" xfId="0" applyFont="1" applyNumberFormat="1"/>
    <xf borderId="0" fillId="0" fontId="2" numFmtId="165" xfId="0" applyFont="1" applyNumberFormat="1"/>
    <xf borderId="0" fillId="0" fontId="4" numFmtId="0" xfId="0" applyAlignment="1" applyFont="1">
      <alignment horizontal="center" readingOrder="0" vertical="bottom"/>
    </xf>
    <xf borderId="0" fillId="0" fontId="5" numFmtId="0" xfId="0" applyFont="1"/>
    <xf borderId="0" fillId="0" fontId="6" numFmtId="49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 vertical="bottom"/>
    </xf>
    <xf borderId="0" fillId="0" fontId="2" numFmtId="165" xfId="0" applyAlignment="1" applyFont="1" applyNumberFormat="1">
      <alignment readingOrder="0"/>
    </xf>
    <xf borderId="0" fillId="0" fontId="3" numFmtId="49" xfId="0" applyAlignment="1" applyFont="1" applyNumberFormat="1">
      <alignment horizontal="center" vertical="bottom"/>
    </xf>
    <xf borderId="0" fillId="3" fontId="2" numFmtId="0" xfId="0" applyFill="1" applyFont="1"/>
    <xf borderId="0" fillId="3" fontId="2" numFmtId="164" xfId="0" applyFont="1" applyNumberFormat="1"/>
    <xf borderId="0" fillId="3" fontId="2" numFmtId="165" xfId="0" applyFont="1" applyNumberFormat="1"/>
    <xf borderId="0" fillId="3" fontId="7" numFmtId="0" xfId="0" applyFont="1"/>
    <xf borderId="0" fillId="0" fontId="1" numFmtId="49" xfId="0" applyAlignment="1" applyFont="1" applyNumberFormat="1">
      <alignment horizontal="center" readingOrder="0" vertical="bottom"/>
    </xf>
    <xf borderId="0" fillId="4" fontId="8" numFmtId="49" xfId="0" applyAlignment="1" applyFill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5" fontId="3" numFmtId="49" xfId="0" applyAlignment="1" applyFill="1" applyFont="1" applyNumberFormat="1">
      <alignment vertical="bottom"/>
    </xf>
    <xf borderId="0" fillId="6" fontId="2" numFmtId="0" xfId="0" applyFill="1" applyFont="1"/>
    <xf borderId="0" fillId="6" fontId="2" numFmtId="164" xfId="0" applyFont="1" applyNumberFormat="1"/>
    <xf borderId="0" fillId="6" fontId="2" numFmtId="165" xfId="0" applyFont="1" applyNumberFormat="1"/>
    <xf borderId="0" fillId="6" fontId="9" numFmtId="0" xfId="0" applyFont="1"/>
    <xf borderId="0" fillId="0" fontId="10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/>
    </xf>
    <xf borderId="0" fillId="3" fontId="1" numFmtId="164" xfId="0" applyAlignment="1" applyFont="1" applyNumberForma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quotePrefix="1" borderId="0" fillId="3" fontId="1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3" fontId="1" numFmtId="165" xfId="0" applyAlignment="1" applyFont="1" applyNumberForma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0" fillId="3" fontId="12" numFmtId="49" xfId="0" applyAlignment="1" applyFont="1" applyNumberFormat="1">
      <alignment horizontal="center" readingOrder="0" vertical="bottom"/>
    </xf>
    <xf borderId="0" fillId="3" fontId="1" numFmtId="49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drive.google.com/file/d/1u9-dP8fsCqpX3Nn1Q4G9BQjeGx6OtpQX/view?usp=drivesdk" TargetMode="External"/><Relationship Id="rId5252" Type="http://schemas.openxmlformats.org/officeDocument/2006/relationships/hyperlink" Target="https://lh5.googleusercontent.com/d/1mAE3Th7_2MttvJ_fsyQuH_uRI4hrM3Qp" TargetMode="External"/><Relationship Id="rId5250" Type="http://schemas.openxmlformats.org/officeDocument/2006/relationships/hyperlink" Target="https://lh5.googleusercontent.com/d/1t7ZCDU-YwiQNAkPRpR7DEIeyet8QXAEl" TargetMode="External"/><Relationship Id="rId5255" Type="http://schemas.openxmlformats.org/officeDocument/2006/relationships/hyperlink" Target="https://drive.google.com/file/d/1GB720k7rPsRTJzNEWLNxzKIkmJK5HCyX/view?usp=drivesdk" TargetMode="External"/><Relationship Id="rId5256" Type="http://schemas.openxmlformats.org/officeDocument/2006/relationships/hyperlink" Target="https://lh5.googleusercontent.com/d/1Yf6p3zFjLBJ7yEIGLZ17OHhLEr9-an_0" TargetMode="External"/><Relationship Id="rId5253" Type="http://schemas.openxmlformats.org/officeDocument/2006/relationships/hyperlink" Target="https://drive.google.com/file/d/1FKZ-v-vAQ41KKhqSQhGiAIhBki2otIo-/view?usp=drivesdk" TargetMode="External"/><Relationship Id="rId5254" Type="http://schemas.openxmlformats.org/officeDocument/2006/relationships/hyperlink" Target="https://lh5.googleusercontent.com/d/12b2OgxzvylcZI94l3fWzemDso4RLckXb" TargetMode="External"/><Relationship Id="rId5259" Type="http://schemas.openxmlformats.org/officeDocument/2006/relationships/hyperlink" Target="https://drive.google.com/file/d/1hv2P27t1QYtp3hTWVlnPENBaWtsdPPlx/view?usp=drivesdk" TargetMode="External"/><Relationship Id="rId5257" Type="http://schemas.openxmlformats.org/officeDocument/2006/relationships/hyperlink" Target="https://drive.google.com/file/d/1LnwhP0sgACtqfNYknBde4ZGS9421JF3i/view?usp=drivesdk" TargetMode="External"/><Relationship Id="rId5258" Type="http://schemas.openxmlformats.org/officeDocument/2006/relationships/hyperlink" Target="https://lh5.googleusercontent.com/d/1-dfyQANnGVijqUm6EyaT3D1c1uoe002v" TargetMode="External"/><Relationship Id="rId5240" Type="http://schemas.openxmlformats.org/officeDocument/2006/relationships/hyperlink" Target="https://lh5.googleusercontent.com/d/180ZfgvLvdTS8DGB1pask4u8GZL7SRM5C" TargetMode="External"/><Relationship Id="rId5241" Type="http://schemas.openxmlformats.org/officeDocument/2006/relationships/hyperlink" Target="https://drive.google.com/file/d/1FbJC9_r5LInUXrtA9lhU-n1u_iCB0JeR/view?usp=drivesdk" TargetMode="External"/><Relationship Id="rId5244" Type="http://schemas.openxmlformats.org/officeDocument/2006/relationships/hyperlink" Target="https://lh5.googleusercontent.com/d/1GL9jCfy_FMdk6WRw3GpeA51VELmrI1vO" TargetMode="External"/><Relationship Id="rId5245" Type="http://schemas.openxmlformats.org/officeDocument/2006/relationships/hyperlink" Target="https://drive.google.com/file/d/1hNqsOZAqN0NluRLSomwXBkJ7A46mOd1k/view?usp=drivesdk" TargetMode="External"/><Relationship Id="rId5242" Type="http://schemas.openxmlformats.org/officeDocument/2006/relationships/hyperlink" Target="https://lh5.googleusercontent.com/d/1ervWWHLzFboeeiXKWc4t7LA7WmDkQNcu" TargetMode="External"/><Relationship Id="rId5243" Type="http://schemas.openxmlformats.org/officeDocument/2006/relationships/hyperlink" Target="https://drive.google.com/file/d/1HH2ckPPIT8TIbgjhPEjuXxl6O4DGACn_/view?usp=drivesdk" TargetMode="External"/><Relationship Id="rId5248" Type="http://schemas.openxmlformats.org/officeDocument/2006/relationships/hyperlink" Target="https://lh5.googleusercontent.com/d/159aIcQGhv8-AnRmLZ-98Iy7sWElukAvi" TargetMode="External"/><Relationship Id="rId5249" Type="http://schemas.openxmlformats.org/officeDocument/2006/relationships/hyperlink" Target="https://drive.google.com/file/d/1UDUMd81GBsUyvBz1sKk_4n1x2nDMKvRR/view?usp=drivesdk" TargetMode="External"/><Relationship Id="rId5246" Type="http://schemas.openxmlformats.org/officeDocument/2006/relationships/hyperlink" Target="https://lh5.googleusercontent.com/d/16qG-kQ89Rgp5INpSnJ1z-PPUXyZK6ubm" TargetMode="External"/><Relationship Id="rId5247" Type="http://schemas.openxmlformats.org/officeDocument/2006/relationships/hyperlink" Target="https://drive.google.com/file/d/1o6ymOPZNTV4vm58KFn6hfXrfhAgpEdAF/view?usp=drivesdk" TargetMode="External"/><Relationship Id="rId5270" Type="http://schemas.openxmlformats.org/officeDocument/2006/relationships/hyperlink" Target="https://lh5.googleusercontent.com/d/1GOGDf88E7t9KQqFRYszEUtY2BU89Q29r" TargetMode="External"/><Relationship Id="rId5273" Type="http://schemas.openxmlformats.org/officeDocument/2006/relationships/hyperlink" Target="https://drive.google.com/file/d/1Z5NjF_Z0rwHMLt0glZEaKw530BTLB3QB/view?usp=drivesdk" TargetMode="External"/><Relationship Id="rId5274" Type="http://schemas.openxmlformats.org/officeDocument/2006/relationships/hyperlink" Target="https://lh5.googleusercontent.com/d/1GI-wBxcORqI0O3p9l3ePs1nyY0RLZLjp" TargetMode="External"/><Relationship Id="rId5271" Type="http://schemas.openxmlformats.org/officeDocument/2006/relationships/hyperlink" Target="https://drive.google.com/file/d/1gYZguG8PWjQ5YVQueABgNXjiAFOGHruC/view?usp=drivesdk" TargetMode="External"/><Relationship Id="rId5272" Type="http://schemas.openxmlformats.org/officeDocument/2006/relationships/hyperlink" Target="https://lh5.googleusercontent.com/d/1_WyjLs4fKb_eDqCo_KOKT_VtIAtc5D8u" TargetMode="External"/><Relationship Id="rId5277" Type="http://schemas.openxmlformats.org/officeDocument/2006/relationships/hyperlink" Target="https://drive.google.com/file/d/1KV7JLZmZwhfOT9J1v2B4egWDnC2D1Cfw/view?usp=drivesdk" TargetMode="External"/><Relationship Id="rId5278" Type="http://schemas.openxmlformats.org/officeDocument/2006/relationships/hyperlink" Target="https://lh5.googleusercontent.com/d/19Ar_eIWVRThYomR8rMuIlHh5Rc8r4qz5" TargetMode="External"/><Relationship Id="rId5275" Type="http://schemas.openxmlformats.org/officeDocument/2006/relationships/hyperlink" Target="https://drive.google.com/file/d/15QxgAInu8ex6RfltMCMWt89Y2Aa9vnv_/view?usp=drivesdk" TargetMode="External"/><Relationship Id="rId5276" Type="http://schemas.openxmlformats.org/officeDocument/2006/relationships/hyperlink" Target="https://lh5.googleusercontent.com/d/1zYRGLol-wj86sRROfr_TrHXwtJ0gUUgW" TargetMode="External"/><Relationship Id="rId5279" Type="http://schemas.openxmlformats.org/officeDocument/2006/relationships/hyperlink" Target="https://drive.google.com/file/d/1G7DkH1CZUaCCh3TEQ-2-VO4IfpJsHoBJ/view?usp=drivesdk" TargetMode="External"/><Relationship Id="rId5262" Type="http://schemas.openxmlformats.org/officeDocument/2006/relationships/hyperlink" Target="https://lh5.googleusercontent.com/d/1ZEvcm5ZKfnaXcdkEzwjwMu7pSwtgXHDc" TargetMode="External"/><Relationship Id="rId5263" Type="http://schemas.openxmlformats.org/officeDocument/2006/relationships/hyperlink" Target="https://drive.google.com/file/d/1Welx-Jz8kiA7s_hJU7l92ypCVMh1pQbZ/view?usp=drivesdk" TargetMode="External"/><Relationship Id="rId5260" Type="http://schemas.openxmlformats.org/officeDocument/2006/relationships/hyperlink" Target="https://lh5.googleusercontent.com/d/1q5nchticQJLyWGbavkNk7HCDrl1U-d97" TargetMode="External"/><Relationship Id="rId5261" Type="http://schemas.openxmlformats.org/officeDocument/2006/relationships/hyperlink" Target="https://drive.google.com/file/d/10mJkE7Dd2vyhbs_zZLPvtYmHEBvE4rGt/view?usp=drivesdk" TargetMode="External"/><Relationship Id="rId5266" Type="http://schemas.openxmlformats.org/officeDocument/2006/relationships/hyperlink" Target="https://lh5.googleusercontent.com/d/11ZqNaifOQyDQCdLsoi_QBNlzHogBpsyq" TargetMode="External"/><Relationship Id="rId5267" Type="http://schemas.openxmlformats.org/officeDocument/2006/relationships/hyperlink" Target="https://drive.google.com/file/d/10jFJ5yWN-1riGyJJ5MWYhNu0uqbPmW4L/view?usp=drivesdk" TargetMode="External"/><Relationship Id="rId5264" Type="http://schemas.openxmlformats.org/officeDocument/2006/relationships/hyperlink" Target="https://lh5.googleusercontent.com/d/1sPDlyomJQg_ZYEqSCRwmu_etIk7IO75y" TargetMode="External"/><Relationship Id="rId5265" Type="http://schemas.openxmlformats.org/officeDocument/2006/relationships/hyperlink" Target="https://drive.google.com/file/d/1xC73C4vtxCjSOPet8VDsASVEtJswPdAW/view?usp=drivesdk" TargetMode="External"/><Relationship Id="rId5268" Type="http://schemas.openxmlformats.org/officeDocument/2006/relationships/hyperlink" Target="https://lh5.googleusercontent.com/d/1GmjSs51TfA38RbhUZ7yeGSzVvw9NHvab" TargetMode="External"/><Relationship Id="rId5269" Type="http://schemas.openxmlformats.org/officeDocument/2006/relationships/hyperlink" Target="https://drive.google.com/file/d/1liZNBLscoDOhbl4CrQM29b_vMqVkYvnx/view?usp=drivesdk" TargetMode="External"/><Relationship Id="rId5219" Type="http://schemas.openxmlformats.org/officeDocument/2006/relationships/hyperlink" Target="https://drive.google.com/file/d/1tqWfNrdnu5S2DwnyTP3Ze1Ck-WOhurcp/view?usp=drivesdk" TargetMode="External"/><Relationship Id="rId5217" Type="http://schemas.openxmlformats.org/officeDocument/2006/relationships/hyperlink" Target="https://drive.google.com/file/d/1eX_u00HnPAEwoOae_aHtorzvC18r6ayk/view?usp=drivesdk" TargetMode="External"/><Relationship Id="rId5218" Type="http://schemas.openxmlformats.org/officeDocument/2006/relationships/hyperlink" Target="https://lh5.googleusercontent.com/d/17-NRiis_9HAIqrdSiQ8jxa2w3oagIU2d" TargetMode="External"/><Relationship Id="rId392" Type="http://schemas.openxmlformats.org/officeDocument/2006/relationships/hyperlink" Target="https://lh5.googleusercontent.com/d/1R7sfRxlnbb6yDECEjvC1Sx-rVLJJB17g" TargetMode="External"/><Relationship Id="rId391" Type="http://schemas.openxmlformats.org/officeDocument/2006/relationships/hyperlink" Target="https://drive.google.com/file/d/19Sit6O7OwntoORvY_TxOnFoqvPlmft4y/view?usp=drivesdk" TargetMode="External"/><Relationship Id="rId390" Type="http://schemas.openxmlformats.org/officeDocument/2006/relationships/hyperlink" Target="https://lh5.googleusercontent.com/d/1HRdh7G1R_TNZliakKMD6M4Q2xEXmQbUZ" TargetMode="External"/><Relationship Id="rId2180" Type="http://schemas.openxmlformats.org/officeDocument/2006/relationships/hyperlink" Target="https://lh5.googleusercontent.com/d/154jIshrPqLJwmxqMdDYUJSazKrWa38Eq" TargetMode="External"/><Relationship Id="rId2181" Type="http://schemas.openxmlformats.org/officeDocument/2006/relationships/hyperlink" Target="https://drive.google.com/file/d/1rVfUWgJA1UT-d5nPkR3nEPVRkD2kMWvA/view?usp=drivesdk" TargetMode="External"/><Relationship Id="rId2182" Type="http://schemas.openxmlformats.org/officeDocument/2006/relationships/hyperlink" Target="https://lh5.googleusercontent.com/d/1L_Ru1YKUV9rFEbwRDi4gL7hdiwDiCpFZ" TargetMode="External"/><Relationship Id="rId2183" Type="http://schemas.openxmlformats.org/officeDocument/2006/relationships/hyperlink" Target="https://drive.google.com/file/d/1RCNSgETFDuXtRv1R8w_Dm2TXGtFxkoSC/view?usp=drivesdk" TargetMode="External"/><Relationship Id="rId385" Type="http://schemas.openxmlformats.org/officeDocument/2006/relationships/hyperlink" Target="https://drive.google.com/file/d/1COUxKLKMsyR23Jr98WqjjG-vX7H7rbAO/view?usp=drivesdk" TargetMode="External"/><Relationship Id="rId2184" Type="http://schemas.openxmlformats.org/officeDocument/2006/relationships/hyperlink" Target="https://lh5.googleusercontent.com/d/1RGIuSWJ-UyyFZDLdPIPmowJMhrg9cF42" TargetMode="External"/><Relationship Id="rId5211" Type="http://schemas.openxmlformats.org/officeDocument/2006/relationships/hyperlink" Target="https://drive.google.com/file/d/1XZRVYS3esMFqcuaPFwa0iZJxL2vm1Mil/view?usp=drivesdk" TargetMode="External"/><Relationship Id="rId384" Type="http://schemas.openxmlformats.org/officeDocument/2006/relationships/hyperlink" Target="https://lh5.googleusercontent.com/d/1pAkP3ui_gDFnFCMDAQaq6H15p51vewca" TargetMode="External"/><Relationship Id="rId2185" Type="http://schemas.openxmlformats.org/officeDocument/2006/relationships/hyperlink" Target="https://drive.google.com/file/d/1Ysrvt1OXv9i9g5Ta9R2Mzy7GmiGJbivx/view?usp=drivesdk" TargetMode="External"/><Relationship Id="rId5212" Type="http://schemas.openxmlformats.org/officeDocument/2006/relationships/hyperlink" Target="https://lh5.googleusercontent.com/d/11SfL7ED8KQI7rCbD0xX77i8dcyg8YPBL" TargetMode="External"/><Relationship Id="rId383" Type="http://schemas.openxmlformats.org/officeDocument/2006/relationships/hyperlink" Target="https://drive.google.com/file/d/1QY6ilacERaUGqCl-f0pmjSsxbhU3iDvk/view?usp=drivesdk" TargetMode="External"/><Relationship Id="rId2186" Type="http://schemas.openxmlformats.org/officeDocument/2006/relationships/hyperlink" Target="https://lh5.googleusercontent.com/d/1-plDusthcljjYK3kNCpx4UBOQ52ePQ_D" TargetMode="External"/><Relationship Id="rId382" Type="http://schemas.openxmlformats.org/officeDocument/2006/relationships/hyperlink" Target="https://lh5.googleusercontent.com/d/1KaWi3Rfkq9jXOICCoVUcvWGdUwMW1-pc" TargetMode="External"/><Relationship Id="rId2187" Type="http://schemas.openxmlformats.org/officeDocument/2006/relationships/hyperlink" Target="https://drive.google.com/file/d/1t9Y6g2GXsGdyeoSqcJwTKadsWJ1jO6A7/view?usp=drivesdk" TargetMode="External"/><Relationship Id="rId5210" Type="http://schemas.openxmlformats.org/officeDocument/2006/relationships/hyperlink" Target="https://lh5.googleusercontent.com/d/1MUxfh3IYY46yd4JYQ6-uhtruFRID80XY" TargetMode="External"/><Relationship Id="rId389" Type="http://schemas.openxmlformats.org/officeDocument/2006/relationships/hyperlink" Target="https://drive.google.com/file/d/1tI96j9K7ShBAcmSeglGxT_h8sFIJrjF3/view?usp=drivesdk" TargetMode="External"/><Relationship Id="rId2188" Type="http://schemas.openxmlformats.org/officeDocument/2006/relationships/hyperlink" Target="https://lh5.googleusercontent.com/d/1n2xc3vDf-BArtpH5W8oX6RDS_ebqRtbT" TargetMode="External"/><Relationship Id="rId5215" Type="http://schemas.openxmlformats.org/officeDocument/2006/relationships/hyperlink" Target="https://drive.google.com/file/d/1Nli5FwzVjakN8RBhnis22c0QjARWLg4C/view?usp=drivesdk" TargetMode="External"/><Relationship Id="rId388" Type="http://schemas.openxmlformats.org/officeDocument/2006/relationships/hyperlink" Target="https://lh5.googleusercontent.com/d/1U00QC2X3gt-I-XaK_w_jevNrsOIsmTod" TargetMode="External"/><Relationship Id="rId2189" Type="http://schemas.openxmlformats.org/officeDocument/2006/relationships/hyperlink" Target="https://drive.google.com/file/d/1tjCLsWSw57JK53ukUlx0zjHZQe3Ta4NN/view?usp=drivesdk" TargetMode="External"/><Relationship Id="rId5216" Type="http://schemas.openxmlformats.org/officeDocument/2006/relationships/hyperlink" Target="https://lh5.googleusercontent.com/d/1PH4gaLEcS1K1irDjxQK7Bh9GVRhV_YNt" TargetMode="External"/><Relationship Id="rId387" Type="http://schemas.openxmlformats.org/officeDocument/2006/relationships/hyperlink" Target="https://drive.google.com/file/d/1XlLo1iZjIVsbPUPW4My5iFtAawi9s7qa/view?usp=drivesdk" TargetMode="External"/><Relationship Id="rId5213" Type="http://schemas.openxmlformats.org/officeDocument/2006/relationships/hyperlink" Target="https://drive.google.com/file/d/1Ht6MaDTxewqxKNGlOS2kLLTMWZ0y8_DT/view?usp=drivesdk" TargetMode="External"/><Relationship Id="rId386" Type="http://schemas.openxmlformats.org/officeDocument/2006/relationships/hyperlink" Target="https://lh5.googleusercontent.com/d/1ojuIDmz6bWA-59w4ZzBsEfwY2-GiBKiC" TargetMode="External"/><Relationship Id="rId5214" Type="http://schemas.openxmlformats.org/officeDocument/2006/relationships/hyperlink" Target="https://lh5.googleusercontent.com/d/10QCxJ-zMY99sjcvDvqRbMJ-_rvBmP15m" TargetMode="External"/><Relationship Id="rId5208" Type="http://schemas.openxmlformats.org/officeDocument/2006/relationships/hyperlink" Target="https://lh5.googleusercontent.com/d/1dE__8hfPW-cLLsiK1N7P9zY6GWzqNMHm" TargetMode="External"/><Relationship Id="rId5209" Type="http://schemas.openxmlformats.org/officeDocument/2006/relationships/hyperlink" Target="https://drive.google.com/file/d/1tuR_tulW9c9Gc4aAVpHyp5x1_JPibna5/view?usp=drivesdk" TargetMode="External"/><Relationship Id="rId5206" Type="http://schemas.openxmlformats.org/officeDocument/2006/relationships/hyperlink" Target="https://lh5.googleusercontent.com/d/19ve7L-Zynh7xjqx2mZt9VSKDuVBSrX5P" TargetMode="External"/><Relationship Id="rId5207" Type="http://schemas.openxmlformats.org/officeDocument/2006/relationships/hyperlink" Target="https://drive.google.com/file/d/1ui1QuJ9luRxevt8r0v21KGxVZT1F9y9J/view?usp=drivesdk" TargetMode="External"/><Relationship Id="rId381" Type="http://schemas.openxmlformats.org/officeDocument/2006/relationships/hyperlink" Target="https://drive.google.com/file/d/1N5niKwpAzjDaHjwZHqoYn4DXj552msab/view?usp=drivesdk" TargetMode="External"/><Relationship Id="rId380" Type="http://schemas.openxmlformats.org/officeDocument/2006/relationships/hyperlink" Target="https://lh5.googleusercontent.com/d/1JwpHu2JsvgFXffmjF_JcKRmPEc2blcP2" TargetMode="External"/><Relationship Id="rId379" Type="http://schemas.openxmlformats.org/officeDocument/2006/relationships/hyperlink" Target="https://drive.google.com/file/d/15krmNBAiIc7DCJt5vDqXjHA1D0PKyNMh/view?usp=drivesdk" TargetMode="External"/><Relationship Id="rId2170" Type="http://schemas.openxmlformats.org/officeDocument/2006/relationships/hyperlink" Target="https://lh5.googleusercontent.com/d/1JlT4SEXcKT1m8vNDtGNw-peVlBrCIdi8" TargetMode="External"/><Relationship Id="rId2171" Type="http://schemas.openxmlformats.org/officeDocument/2006/relationships/hyperlink" Target="https://drive.google.com/file/d/1lTbQomm9RfEWA-Dh45RDtf-QpNh982Z9/view?usp=drivesdk" TargetMode="External"/><Relationship Id="rId2172" Type="http://schemas.openxmlformats.org/officeDocument/2006/relationships/hyperlink" Target="https://lh5.googleusercontent.com/d/1M7rFszqHoPl4YjUWQFe9X5WcL6x_PM85" TargetMode="External"/><Relationship Id="rId374" Type="http://schemas.openxmlformats.org/officeDocument/2006/relationships/hyperlink" Target="https://lh5.googleusercontent.com/d/1ghxn_dY5GWvTQbtMwEV_NK9K2aVe1m1W" TargetMode="External"/><Relationship Id="rId2173" Type="http://schemas.openxmlformats.org/officeDocument/2006/relationships/hyperlink" Target="https://drive.google.com/file/d/1aYQLlzP4LtTWt1HkteiqbJbNfmTqIpAO/view?usp=drivesdk" TargetMode="External"/><Relationship Id="rId5200" Type="http://schemas.openxmlformats.org/officeDocument/2006/relationships/hyperlink" Target="https://lh5.googleusercontent.com/d/1iumkGII8CWeHPJPm1Ds7Vzl2bwNidr8-" TargetMode="External"/><Relationship Id="rId373" Type="http://schemas.openxmlformats.org/officeDocument/2006/relationships/hyperlink" Target="https://drive.google.com/file/d/1_I2oSzULgi8tWOhy3HF-ozCQ1VaiZt2G/view?usp=drivesdk" TargetMode="External"/><Relationship Id="rId2174" Type="http://schemas.openxmlformats.org/officeDocument/2006/relationships/hyperlink" Target="https://lh5.googleusercontent.com/d/1lXxquYT0ePEykgZbaUFf7E5X0OZWYOWj" TargetMode="External"/><Relationship Id="rId5201" Type="http://schemas.openxmlformats.org/officeDocument/2006/relationships/hyperlink" Target="https://drive.google.com/file/d/1nT8tXES7uZxeyS5XFx6ABaPq1pQue5uf/view?usp=drivesdk" TargetMode="External"/><Relationship Id="rId372" Type="http://schemas.openxmlformats.org/officeDocument/2006/relationships/hyperlink" Target="https://lh5.googleusercontent.com/d/1xOtR0of6if6bYKYypy9e--DvjDPkmioq" TargetMode="External"/><Relationship Id="rId2175" Type="http://schemas.openxmlformats.org/officeDocument/2006/relationships/hyperlink" Target="https://drive.google.com/file/d/1rsJNz92734-Bevl_dbb3q0OjFSJduYwB/view?usp=drivesdk" TargetMode="External"/><Relationship Id="rId371" Type="http://schemas.openxmlformats.org/officeDocument/2006/relationships/hyperlink" Target="https://drive.google.com/file/d/1SQ-NNmBq0-Sl8kKXyUX0HtTA3d5JIJmR/view?usp=drivesdk" TargetMode="External"/><Relationship Id="rId2176" Type="http://schemas.openxmlformats.org/officeDocument/2006/relationships/hyperlink" Target="https://lh5.googleusercontent.com/d/1BuLrNxg7KnhuBKWRVafGgNSuGsoMmyfH" TargetMode="External"/><Relationship Id="rId378" Type="http://schemas.openxmlformats.org/officeDocument/2006/relationships/hyperlink" Target="https://lh5.googleusercontent.com/d/1xL_mDKPzIoMoD6qpfGKDgCA9oUZzt2KY" TargetMode="External"/><Relationship Id="rId2177" Type="http://schemas.openxmlformats.org/officeDocument/2006/relationships/hyperlink" Target="https://drive.google.com/file/d/1Hy9CsnjiJrUbQktX63BEZHSwqUHSDF88/view?usp=drivesdk" TargetMode="External"/><Relationship Id="rId5204" Type="http://schemas.openxmlformats.org/officeDocument/2006/relationships/hyperlink" Target="https://lh5.googleusercontent.com/d/1HybTNIAqNsYcRMyrBjRhVgg4fRX-bXLX" TargetMode="External"/><Relationship Id="rId377" Type="http://schemas.openxmlformats.org/officeDocument/2006/relationships/hyperlink" Target="https://drive.google.com/file/d/1sjN3f7_n5zKAGAPQf3-CzIjCdeK8SOWy/view?usp=drivesdk" TargetMode="External"/><Relationship Id="rId2178" Type="http://schemas.openxmlformats.org/officeDocument/2006/relationships/hyperlink" Target="https://lh5.googleusercontent.com/d/1O700DKnRynn771ok6ngdWiBSMcNmvuaY" TargetMode="External"/><Relationship Id="rId5205" Type="http://schemas.openxmlformats.org/officeDocument/2006/relationships/hyperlink" Target="https://drive.google.com/file/d/1R0IFzxSRcu3ts37qjUzjpn9vqlgNEB2i/view?usp=drivesdk" TargetMode="External"/><Relationship Id="rId376" Type="http://schemas.openxmlformats.org/officeDocument/2006/relationships/hyperlink" Target="https://lh5.googleusercontent.com/d/1LKHQqWlo7xUIS0pL-DSNYIUf-GXdCvRR" TargetMode="External"/><Relationship Id="rId2179" Type="http://schemas.openxmlformats.org/officeDocument/2006/relationships/hyperlink" Target="https://drive.google.com/file/d/1sKQllCXhgj8USV_EbJx1hxHnThJmm9sy/view?usp=drivesdk" TargetMode="External"/><Relationship Id="rId5202" Type="http://schemas.openxmlformats.org/officeDocument/2006/relationships/hyperlink" Target="https://lh5.googleusercontent.com/d/1UxR3IAdYPhZfXsMX9D703QwBRZZSNWRZ" TargetMode="External"/><Relationship Id="rId375" Type="http://schemas.openxmlformats.org/officeDocument/2006/relationships/hyperlink" Target="https://drive.google.com/file/d/1uoHQRJnz2_WsMX8vF3R2MpsuKRfX3Pzt/view?usp=drivesdk" TargetMode="External"/><Relationship Id="rId5203" Type="http://schemas.openxmlformats.org/officeDocument/2006/relationships/hyperlink" Target="https://drive.google.com/file/d/1hSD9A70dQ9tJIqXTIFdTId7KdZgHOKPA/view?usp=drivesdk" TargetMode="External"/><Relationship Id="rId5239" Type="http://schemas.openxmlformats.org/officeDocument/2006/relationships/hyperlink" Target="https://drive.google.com/file/d/1eTOSDrvxtnqHayVJ02Yk2gO42Ny3VNEZ/view?usp=drivesdk" TargetMode="External"/><Relationship Id="rId5230" Type="http://schemas.openxmlformats.org/officeDocument/2006/relationships/hyperlink" Target="https://lh5.googleusercontent.com/d/1JCgj5EK7A1Qt8VlHwpjZXL_jdM0aaRXo" TargetMode="External"/><Relationship Id="rId5233" Type="http://schemas.openxmlformats.org/officeDocument/2006/relationships/hyperlink" Target="https://drive.google.com/file/d/1cHgBnV9jeo79J-KfA18pTYYsO8EOSjGq/view?usp=drivesdk" TargetMode="External"/><Relationship Id="rId5234" Type="http://schemas.openxmlformats.org/officeDocument/2006/relationships/hyperlink" Target="https://lh5.googleusercontent.com/d/1D0whAsxoMuyR3SCsJtPFKvtis89NHtGC" TargetMode="External"/><Relationship Id="rId5231" Type="http://schemas.openxmlformats.org/officeDocument/2006/relationships/hyperlink" Target="https://drive.google.com/file/d/1YrUn-BgPFU3CB0IOsBAKURrzsKTgu2Yl/view?usp=drivesdk" TargetMode="External"/><Relationship Id="rId5232" Type="http://schemas.openxmlformats.org/officeDocument/2006/relationships/hyperlink" Target="https://lh5.googleusercontent.com/d/1rF16tusWhGqmm4l4o9XcCqQ9YU1Fkqhx" TargetMode="External"/><Relationship Id="rId5237" Type="http://schemas.openxmlformats.org/officeDocument/2006/relationships/hyperlink" Target="https://drive.google.com/file/d/1EZ8Ao2NRja0sSNSYxSXtiHTnXixVmXZi/view?usp=drivesdk" TargetMode="External"/><Relationship Id="rId5238" Type="http://schemas.openxmlformats.org/officeDocument/2006/relationships/hyperlink" Target="https://lh5.googleusercontent.com/d/1EG9ErYiDtR-U8FLb_54LSWwRhGcJ5aFn" TargetMode="External"/><Relationship Id="rId5235" Type="http://schemas.openxmlformats.org/officeDocument/2006/relationships/hyperlink" Target="https://drive.google.com/file/d/14DjlJyb-zRhoTXgc6Ry6a4-drt2uEoIv/view?usp=drivesdk" TargetMode="External"/><Relationship Id="rId5236" Type="http://schemas.openxmlformats.org/officeDocument/2006/relationships/hyperlink" Target="https://lh5.googleusercontent.com/d/1RUgP9KTMx89oPjguANQlg8GVfdJeydCb" TargetMode="External"/><Relationship Id="rId5228" Type="http://schemas.openxmlformats.org/officeDocument/2006/relationships/hyperlink" Target="https://lh5.googleusercontent.com/d/1vX6-SVrv3GdHAoXdMrREjPnDxIvz7wK4" TargetMode="External"/><Relationship Id="rId5229" Type="http://schemas.openxmlformats.org/officeDocument/2006/relationships/hyperlink" Target="https://drive.google.com/file/d/1zlLltWiyMX7ubTg0EMHN5TEX2Hbgazxm/view?usp=drivesdk" TargetMode="External"/><Relationship Id="rId2190" Type="http://schemas.openxmlformats.org/officeDocument/2006/relationships/hyperlink" Target="https://lh5.googleusercontent.com/d/17qXDR4JTd72mKP93PgK-c1eSMmnNRU9d" TargetMode="External"/><Relationship Id="rId2191" Type="http://schemas.openxmlformats.org/officeDocument/2006/relationships/hyperlink" Target="https://drive.google.com/file/d/1tF27o8HXvXxTkpqf3JdT5a_hfkBu6QTC/view?usp=drivesdk" TargetMode="External"/><Relationship Id="rId2192" Type="http://schemas.openxmlformats.org/officeDocument/2006/relationships/hyperlink" Target="https://lh5.googleusercontent.com/d/1lVxEnId39eSymjpLQ89S-EjGsXOZy6uh" TargetMode="External"/><Relationship Id="rId2193" Type="http://schemas.openxmlformats.org/officeDocument/2006/relationships/hyperlink" Target="https://drive.google.com/file/d/1WBK4eSksBQ_gGRyTjhzEi10rNLBc_PvA/view?usp=drivesdk" TargetMode="External"/><Relationship Id="rId2194" Type="http://schemas.openxmlformats.org/officeDocument/2006/relationships/hyperlink" Target="https://lh5.googleusercontent.com/d/1DTYB6RHYnliNaNcTdGMI7IMf6vsD-1s5" TargetMode="External"/><Relationship Id="rId396" Type="http://schemas.openxmlformats.org/officeDocument/2006/relationships/hyperlink" Target="https://lh5.googleusercontent.com/d/1eM1H789h8228wTnywZ2MQn9JIyyRsOzJ" TargetMode="External"/><Relationship Id="rId2195" Type="http://schemas.openxmlformats.org/officeDocument/2006/relationships/hyperlink" Target="https://drive.google.com/file/d/1pkgp2tyjHTtgZZtrlKnLAF71AU_3Ciq_/view?usp=drivesdk" TargetMode="External"/><Relationship Id="rId5222" Type="http://schemas.openxmlformats.org/officeDocument/2006/relationships/hyperlink" Target="https://lh5.googleusercontent.com/d/1hnk1yEhidhULQrViQ7Dk7W2J-J1Bi5-2" TargetMode="External"/><Relationship Id="rId395" Type="http://schemas.openxmlformats.org/officeDocument/2006/relationships/hyperlink" Target="https://drive.google.com/file/d/1nDT_tcxuWhyJlORmXIefQMJk0M2wDtX2/view?usp=drivesdk" TargetMode="External"/><Relationship Id="rId2196" Type="http://schemas.openxmlformats.org/officeDocument/2006/relationships/hyperlink" Target="https://lh5.googleusercontent.com/d/1sW32eyTQjvyoQY_oN5D_PABkwFJ6lgmJ" TargetMode="External"/><Relationship Id="rId5223" Type="http://schemas.openxmlformats.org/officeDocument/2006/relationships/hyperlink" Target="https://drive.google.com/file/d/1bq8huc5UA_NqE_c8Bziu2u2PcZLizTTc/view?usp=drivesdk" TargetMode="External"/><Relationship Id="rId394" Type="http://schemas.openxmlformats.org/officeDocument/2006/relationships/hyperlink" Target="https://lh5.googleusercontent.com/d/1lAcv86SmZbYbwHDEKhPo3Q9aTLGaDiwt" TargetMode="External"/><Relationship Id="rId2197" Type="http://schemas.openxmlformats.org/officeDocument/2006/relationships/hyperlink" Target="https://drive.google.com/file/d/1PjKU3UQ7ilm4EOrxAYwJ6LDRfd-0-dSO/view?usp=drivesdk" TargetMode="External"/><Relationship Id="rId5220" Type="http://schemas.openxmlformats.org/officeDocument/2006/relationships/hyperlink" Target="https://lh5.googleusercontent.com/d/1Pu542iVYMQ8oplRf6dlE9WUI_8EoHvpW" TargetMode="External"/><Relationship Id="rId393" Type="http://schemas.openxmlformats.org/officeDocument/2006/relationships/hyperlink" Target="https://drive.google.com/file/d/1-RADgll9Z5-mEckj-qtGfhOd99Hr4B9p/view?usp=drivesdk" TargetMode="External"/><Relationship Id="rId2198" Type="http://schemas.openxmlformats.org/officeDocument/2006/relationships/hyperlink" Target="https://lh5.googleusercontent.com/d/11OprIm5Eh-oalT44QtwZMO4tgxjJS0Ic" TargetMode="External"/><Relationship Id="rId5221" Type="http://schemas.openxmlformats.org/officeDocument/2006/relationships/hyperlink" Target="https://drive.google.com/file/d/1wFbMxusl6Lg1fJrttqPYO6n4Hni_Qm5V/view?usp=drivesdk" TargetMode="External"/><Relationship Id="rId2199" Type="http://schemas.openxmlformats.org/officeDocument/2006/relationships/hyperlink" Target="https://drive.google.com/file/d/1mMxnLxMDMCE9qeOJhM-6tw1ZPNZlMuP6/view?usp=drivesdk" TargetMode="External"/><Relationship Id="rId5226" Type="http://schemas.openxmlformats.org/officeDocument/2006/relationships/hyperlink" Target="https://lh5.googleusercontent.com/d/1OlJ00iepbKkDeNjnGNAiL6c_gfZ1zgve" TargetMode="External"/><Relationship Id="rId399" Type="http://schemas.openxmlformats.org/officeDocument/2006/relationships/hyperlink" Target="https://drive.google.com/file/d/17NTMAELo9FQrKoINX4AO_yfz83HpfEft/view?usp=drivesdk" TargetMode="External"/><Relationship Id="rId5227" Type="http://schemas.openxmlformats.org/officeDocument/2006/relationships/hyperlink" Target="https://drive.google.com/file/d/17qZZ-d31WJIhe8_XC3KQDgEvBruMwN9-/view?usp=drivesdk" TargetMode="External"/><Relationship Id="rId398" Type="http://schemas.openxmlformats.org/officeDocument/2006/relationships/hyperlink" Target="https://lh5.googleusercontent.com/d/15i8DR6yKc8itZ9UMdE_LSJ0R8SI0wZbl" TargetMode="External"/><Relationship Id="rId5224" Type="http://schemas.openxmlformats.org/officeDocument/2006/relationships/hyperlink" Target="https://lh5.googleusercontent.com/d/1yD_OT5WV6pfDdYLq-IWs7h2COBQQT_3D" TargetMode="External"/><Relationship Id="rId397" Type="http://schemas.openxmlformats.org/officeDocument/2006/relationships/hyperlink" Target="https://drive.google.com/file/d/1Hb2zlSa2VfW3fwXRSt4wjCzXCOFIFDWC/view?usp=drivesdk" TargetMode="External"/><Relationship Id="rId5225" Type="http://schemas.openxmlformats.org/officeDocument/2006/relationships/hyperlink" Target="https://drive.google.com/file/d/1fTjCFpI5un_WZzKxnzIYBcrnfayFnV0r/view?usp=drivesdk" TargetMode="External"/><Relationship Id="rId1730" Type="http://schemas.openxmlformats.org/officeDocument/2006/relationships/hyperlink" Target="https://drive.google.com/file/d/1Guowe3CdpFrwrNRH49yD54t5Mq3COuh3/view?usp=drivesdk" TargetMode="External"/><Relationship Id="rId1731" Type="http://schemas.openxmlformats.org/officeDocument/2006/relationships/hyperlink" Target="https://lh5.googleusercontent.com/d/1NhR06VWxpEuxQj_r7Y-wsVOM-2EKXYZg" TargetMode="External"/><Relationship Id="rId1732" Type="http://schemas.openxmlformats.org/officeDocument/2006/relationships/hyperlink" Target="https://drive.google.com/file/d/1u7_HNdofd4ZvMGUL4tPMcsTl63ABXE0O/view?usp=drivesdk" TargetMode="External"/><Relationship Id="rId1733" Type="http://schemas.openxmlformats.org/officeDocument/2006/relationships/hyperlink" Target="https://lh5.googleusercontent.com/d/19-rvCIjoNPx2Pr9wBHJRVow3fI-4qHeK" TargetMode="External"/><Relationship Id="rId1734" Type="http://schemas.openxmlformats.org/officeDocument/2006/relationships/hyperlink" Target="https://drive.google.com/file/d/1j83TvN-XFcMnhVKMMPRHFxI7WdrwRKRb/view?usp=drivesdk" TargetMode="External"/><Relationship Id="rId1735" Type="http://schemas.openxmlformats.org/officeDocument/2006/relationships/hyperlink" Target="https://lh5.googleusercontent.com/d/1dCll_pfyYQzF35Hs_WY9pobowIhQxjYR" TargetMode="External"/><Relationship Id="rId1736" Type="http://schemas.openxmlformats.org/officeDocument/2006/relationships/hyperlink" Target="https://drive.google.com/file/d/12NQ9EzKooI9XrUtQLAopzjILN-dvm9qh/view?usp=drivesdk" TargetMode="External"/><Relationship Id="rId1737" Type="http://schemas.openxmlformats.org/officeDocument/2006/relationships/hyperlink" Target="https://lh5.googleusercontent.com/d/1tCPDaA-C6KnmdYv70KtOuM-FDSodth2Y" TargetMode="External"/><Relationship Id="rId1738" Type="http://schemas.openxmlformats.org/officeDocument/2006/relationships/hyperlink" Target="https://drive.google.com/file/d/13gUkxJfdd0NaOq1OhoKaTOjcqoK8eZ-3/view?usp=drivesdk" TargetMode="External"/><Relationship Id="rId1739" Type="http://schemas.openxmlformats.org/officeDocument/2006/relationships/hyperlink" Target="https://lh5.googleusercontent.com/d/1X_zvSn84Me4lPZwMxLsh-8bGY502LyAU" TargetMode="External"/><Relationship Id="rId1720" Type="http://schemas.openxmlformats.org/officeDocument/2006/relationships/hyperlink" Target="https://drive.google.com/file/d/1ASj9shzMNLvnToAN6pev_hNF90DxiK1p/view?usp=drivesdk" TargetMode="External"/><Relationship Id="rId1721" Type="http://schemas.openxmlformats.org/officeDocument/2006/relationships/hyperlink" Target="https://lh5.googleusercontent.com/d/1O1522BACAjNgkFikDBpCdVgMalWi1MyP" TargetMode="External"/><Relationship Id="rId1722" Type="http://schemas.openxmlformats.org/officeDocument/2006/relationships/hyperlink" Target="https://drive.google.com/file/d/1gYifugxRm1JMHFk8MNrFpJclNGC75YZu/view?usp=drivesdk" TargetMode="External"/><Relationship Id="rId1723" Type="http://schemas.openxmlformats.org/officeDocument/2006/relationships/hyperlink" Target="https://lh5.googleusercontent.com/d/1jRcgB7X1sb6aCvpfmiGbYGPsh22SUKGf" TargetMode="External"/><Relationship Id="rId1724" Type="http://schemas.openxmlformats.org/officeDocument/2006/relationships/hyperlink" Target="https://drive.google.com/file/d/14BAGdO6XeZIi4kfKKk5agof1Fh9wHVKk/view?usp=drivesdk" TargetMode="External"/><Relationship Id="rId1725" Type="http://schemas.openxmlformats.org/officeDocument/2006/relationships/hyperlink" Target="https://lh5.googleusercontent.com/d/1dO5P_0kIewPDW9-li3-IT7PKSSaQMOET" TargetMode="External"/><Relationship Id="rId1726" Type="http://schemas.openxmlformats.org/officeDocument/2006/relationships/hyperlink" Target="https://drive.google.com/file/d/1kfNe2puNzvh2e1bO3_5s0RGwSvvyKRAk/view?usp=drivesdk" TargetMode="External"/><Relationship Id="rId1727" Type="http://schemas.openxmlformats.org/officeDocument/2006/relationships/hyperlink" Target="https://lh5.googleusercontent.com/d/1Pvr_AHrt2aSeeW3RA7GAxhnlCWM1c8Qx" TargetMode="External"/><Relationship Id="rId1728" Type="http://schemas.openxmlformats.org/officeDocument/2006/relationships/hyperlink" Target="https://drive.google.com/file/d/1gngIPRoBV7evk0EKJluYg2kP8xEQm4UG/view?usp=drivesdk" TargetMode="External"/><Relationship Id="rId1729" Type="http://schemas.openxmlformats.org/officeDocument/2006/relationships/hyperlink" Target="https://lh5.googleusercontent.com/d/1AvWohzKTQjnuEdC6yp4DajSSgqTMz5IR" TargetMode="External"/><Relationship Id="rId1752" Type="http://schemas.openxmlformats.org/officeDocument/2006/relationships/hyperlink" Target="https://drive.google.com/file/d/1hJqnP1EKhLe6K5dBsOEiqtZCHCFl8wF-/view?usp=drivesdk" TargetMode="External"/><Relationship Id="rId1753" Type="http://schemas.openxmlformats.org/officeDocument/2006/relationships/hyperlink" Target="https://lh5.googleusercontent.com/d/1nxRdi20AjeA49fiPrvOC8OHcXQ3ZN2yz" TargetMode="External"/><Relationship Id="rId1754" Type="http://schemas.openxmlformats.org/officeDocument/2006/relationships/hyperlink" Target="https://drive.google.com/file/d/1KZ0xlHc_MnfYySa3oTnu37BIB4UuiJ2P/view?usp=drivesdk" TargetMode="External"/><Relationship Id="rId1755" Type="http://schemas.openxmlformats.org/officeDocument/2006/relationships/hyperlink" Target="https://lh5.googleusercontent.com/d/1R9BvvHncnTwSMBF9zlgh0Skl-oqoflff" TargetMode="External"/><Relationship Id="rId1756" Type="http://schemas.openxmlformats.org/officeDocument/2006/relationships/hyperlink" Target="https://drive.google.com/file/d/1a1HTyul1mdLm2h2_Kxxw30Fv8ItxTci_/view?usp=drivesdk" TargetMode="External"/><Relationship Id="rId1757" Type="http://schemas.openxmlformats.org/officeDocument/2006/relationships/hyperlink" Target="https://lh5.googleusercontent.com/d/1oxORO01P1Y7L024tw7U--e7Dt7gUYc-E" TargetMode="External"/><Relationship Id="rId1758" Type="http://schemas.openxmlformats.org/officeDocument/2006/relationships/hyperlink" Target="https://drive.google.com/file/d/1Grd2Xc6g_AC1t3hmXO8YD-cbeF8yefHp/view?usp=drivesdk" TargetMode="External"/><Relationship Id="rId1759" Type="http://schemas.openxmlformats.org/officeDocument/2006/relationships/hyperlink" Target="https://lh5.googleusercontent.com/d/13ypWfuC0_1TaPjFLyhIXXJTZ-fl-gIr0" TargetMode="External"/><Relationship Id="rId1750" Type="http://schemas.openxmlformats.org/officeDocument/2006/relationships/hyperlink" Target="https://drive.google.com/file/d/14stS3XzqPlhWaUKIOCc3f_NuA_QDuBLV/view?usp=drivesdk" TargetMode="External"/><Relationship Id="rId1751" Type="http://schemas.openxmlformats.org/officeDocument/2006/relationships/hyperlink" Target="https://lh5.googleusercontent.com/d/1SoefMKR_qTrTJ-H01fINxxzyJ-tQ6SKU" TargetMode="External"/><Relationship Id="rId1741" Type="http://schemas.openxmlformats.org/officeDocument/2006/relationships/hyperlink" Target="https://lh5.googleusercontent.com/d/1WGj0u37rtWUj3PAk200eUg0HN_pZB8IL" TargetMode="External"/><Relationship Id="rId1742" Type="http://schemas.openxmlformats.org/officeDocument/2006/relationships/hyperlink" Target="https://drive.google.com/file/d/1GmbDgj7umWjPB-PxNPj4MC5IvzvJWnfx/view?usp=drivesdk" TargetMode="External"/><Relationship Id="rId1743" Type="http://schemas.openxmlformats.org/officeDocument/2006/relationships/hyperlink" Target="https://lh5.googleusercontent.com/d/1bMPUpIZQ07DFmph7dtzY7KNKpctsn0uz" TargetMode="External"/><Relationship Id="rId1744" Type="http://schemas.openxmlformats.org/officeDocument/2006/relationships/hyperlink" Target="https://drive.google.com/file/d/1cwpRUHUfxrUN5YuMPSeJ23sPs1IfaPY9/view?usp=drivesdk" TargetMode="External"/><Relationship Id="rId1745" Type="http://schemas.openxmlformats.org/officeDocument/2006/relationships/hyperlink" Target="https://lh5.googleusercontent.com/d/1W_r_wwH6MNZHDeIwgr0X8UnzWLyh2lFm" TargetMode="External"/><Relationship Id="rId1746" Type="http://schemas.openxmlformats.org/officeDocument/2006/relationships/hyperlink" Target="https://drive.google.com/file/d/1FE6VLR4kAsrf2ta2Z0jKevTWQ1Uwnc3z/view?usp=drivesdk" TargetMode="External"/><Relationship Id="rId1747" Type="http://schemas.openxmlformats.org/officeDocument/2006/relationships/hyperlink" Target="https://lh5.googleusercontent.com/d/12xlwykMiVfYT67yUgnQXWYuyf5MfHnHN" TargetMode="External"/><Relationship Id="rId1748" Type="http://schemas.openxmlformats.org/officeDocument/2006/relationships/hyperlink" Target="https://drive.google.com/file/d/1TyBn6oKujUrmEZLxvuATER1Co3Fz5J-I/view?usp=drivesdk" TargetMode="External"/><Relationship Id="rId1749" Type="http://schemas.openxmlformats.org/officeDocument/2006/relationships/hyperlink" Target="https://lh5.googleusercontent.com/d/1Wnlbtb3scVv4HFDXnun35wbWw00a9XQt" TargetMode="External"/><Relationship Id="rId1740" Type="http://schemas.openxmlformats.org/officeDocument/2006/relationships/hyperlink" Target="https://drive.google.com/file/d/15rgvY36f87No6sk8bk0uv8Jw8fhFEjst/view?usp=drivesdk" TargetMode="External"/><Relationship Id="rId5291" Type="http://schemas.openxmlformats.org/officeDocument/2006/relationships/hyperlink" Target="https://drive.google.com/file/d/1WhBK6N37ncDaVpZU2C-emG395eSuVw_e/view?usp=drivesdk" TargetMode="External"/><Relationship Id="rId5292" Type="http://schemas.openxmlformats.org/officeDocument/2006/relationships/hyperlink" Target="https://lh5.googleusercontent.com/d/150udxTcvvunal1zavgdj0J8SZVZOGA0K" TargetMode="External"/><Relationship Id="rId5290" Type="http://schemas.openxmlformats.org/officeDocument/2006/relationships/hyperlink" Target="https://lh5.googleusercontent.com/d/189GBgDRX-8-XSluVq6NKuVSgImMfQyRY" TargetMode="External"/><Relationship Id="rId5295" Type="http://schemas.openxmlformats.org/officeDocument/2006/relationships/hyperlink" Target="https://drive.google.com/file/d/16UWhaWMFSO3cMTWqVST3j6LgFP0OLu5_/view?usp=drivesdk" TargetMode="External"/><Relationship Id="rId5296" Type="http://schemas.openxmlformats.org/officeDocument/2006/relationships/hyperlink" Target="https://lh5.googleusercontent.com/d/1vgkrSyLhXejxhWLjUrYKnP-tIEXQgVlL" TargetMode="External"/><Relationship Id="rId5293" Type="http://schemas.openxmlformats.org/officeDocument/2006/relationships/hyperlink" Target="https://drive.google.com/file/d/1YkCLMScmjNvs8gBhZ10_S2n8RoOtZkd6/view?usp=drivesdk" TargetMode="External"/><Relationship Id="rId5294" Type="http://schemas.openxmlformats.org/officeDocument/2006/relationships/hyperlink" Target="https://lh5.googleusercontent.com/d/1kxLUMGcAHwYpnpUnm5Z2iQBrx_9qu6yh" TargetMode="External"/><Relationship Id="rId5299" Type="http://schemas.openxmlformats.org/officeDocument/2006/relationships/hyperlink" Target="https://drive.google.com/file/d/1mfKnIl68OkxwnRTftujfR-cuGERl2g8F/view?usp=drivesdk" TargetMode="External"/><Relationship Id="rId5297" Type="http://schemas.openxmlformats.org/officeDocument/2006/relationships/hyperlink" Target="https://drive.google.com/file/d/1EePSuqzkh7uHxSnJOlHYzSFWAttowgsq/view?usp=drivesdk" TargetMode="External"/><Relationship Id="rId5298" Type="http://schemas.openxmlformats.org/officeDocument/2006/relationships/hyperlink" Target="https://lh5.googleusercontent.com/d/1qIknwErCa8P3pBihOCBsiGYMGIUyDN4l" TargetMode="External"/><Relationship Id="rId5280" Type="http://schemas.openxmlformats.org/officeDocument/2006/relationships/hyperlink" Target="https://lh5.googleusercontent.com/d/1hmnpYia5SLRjbTDSCNPCI_bLejvMzyec" TargetMode="External"/><Relationship Id="rId5281" Type="http://schemas.openxmlformats.org/officeDocument/2006/relationships/hyperlink" Target="https://drive.google.com/file/d/1T2DvIsLMSAV4U3Liv3p_QUbobY84QZtg/view?usp=drivesdk" TargetMode="External"/><Relationship Id="rId5284" Type="http://schemas.openxmlformats.org/officeDocument/2006/relationships/hyperlink" Target="https://lh5.googleusercontent.com/d/1AtEjNlQJ1IFgX5bDcyifFfejvN6M8krz" TargetMode="External"/><Relationship Id="rId5285" Type="http://schemas.openxmlformats.org/officeDocument/2006/relationships/hyperlink" Target="https://drive.google.com/file/d/1ofpVLAv6JzFimtNpRhE5-IO_yd8Y9THl/view?usp=drivesdk" TargetMode="External"/><Relationship Id="rId5282" Type="http://schemas.openxmlformats.org/officeDocument/2006/relationships/hyperlink" Target="https://lh5.googleusercontent.com/d/1KsqyzAaAsStK3iC6A3cqhkOLQYtqJgqI" TargetMode="External"/><Relationship Id="rId5283" Type="http://schemas.openxmlformats.org/officeDocument/2006/relationships/hyperlink" Target="https://drive.google.com/file/d/15_0xJzFloyX0qHGEcGzjvJQJtoH6U1gg/view?usp=drivesdk" TargetMode="External"/><Relationship Id="rId5288" Type="http://schemas.openxmlformats.org/officeDocument/2006/relationships/hyperlink" Target="https://lh5.googleusercontent.com/d/19RxmIQ_TpL0LsETsvKO5i6GvX3KRSRWu" TargetMode="External"/><Relationship Id="rId5289" Type="http://schemas.openxmlformats.org/officeDocument/2006/relationships/hyperlink" Target="https://drive.google.com/file/d/1gV1xAtve6I9cvI6jEiudCgGBmoKRO4je/view?usp=drivesdk" TargetMode="External"/><Relationship Id="rId5286" Type="http://schemas.openxmlformats.org/officeDocument/2006/relationships/hyperlink" Target="https://lh5.googleusercontent.com/d/1ldon19rrui_YPa1BLZx3ZaUI8Oq7mpgK" TargetMode="External"/><Relationship Id="rId5287" Type="http://schemas.openxmlformats.org/officeDocument/2006/relationships/hyperlink" Target="https://drive.google.com/file/d/1sP1dhS9r7HjRj0brzckyIUGjv7pynRAm/view?usp=drivesdk" TargetMode="External"/><Relationship Id="rId1710" Type="http://schemas.openxmlformats.org/officeDocument/2006/relationships/hyperlink" Target="https://drive.google.com/file/d/1Fst8iGaRrNtIHYoltc_EMYK9J-PRXq6w/view?usp=drivesdk" TargetMode="External"/><Relationship Id="rId1711" Type="http://schemas.openxmlformats.org/officeDocument/2006/relationships/hyperlink" Target="https://lh5.googleusercontent.com/d/1Q__2KaQZoZxypQ-ecmc5n2FG_kD9Tn8J" TargetMode="External"/><Relationship Id="rId1712" Type="http://schemas.openxmlformats.org/officeDocument/2006/relationships/hyperlink" Target="https://drive.google.com/file/d/1ybcBDJnInnwpck-A9lXT0Rx5WzCFUJmI/view?usp=drivesdk" TargetMode="External"/><Relationship Id="rId1713" Type="http://schemas.openxmlformats.org/officeDocument/2006/relationships/hyperlink" Target="https://lh5.googleusercontent.com/d/1T9pL40ijgNyLXz6pSlKZNCUOsWgfBNNF" TargetMode="External"/><Relationship Id="rId1714" Type="http://schemas.openxmlformats.org/officeDocument/2006/relationships/hyperlink" Target="https://drive.google.com/file/d/1QmJ00MMptwz0Bh3YGgIcIWD26IkWSqUt/view?usp=drivesdk" TargetMode="External"/><Relationship Id="rId1715" Type="http://schemas.openxmlformats.org/officeDocument/2006/relationships/hyperlink" Target="https://lh5.googleusercontent.com/d/1_gmBtSik7_iN9jkcRztI6hA_EGMW3Mkc" TargetMode="External"/><Relationship Id="rId1716" Type="http://schemas.openxmlformats.org/officeDocument/2006/relationships/hyperlink" Target="https://drive.google.com/file/d/1h6nvNpWnzVOm9vBytBM_gds7VVAslUMD/view?usp=drivesdk" TargetMode="External"/><Relationship Id="rId1717" Type="http://schemas.openxmlformats.org/officeDocument/2006/relationships/hyperlink" Target="https://lh5.googleusercontent.com/d/1AtBEES4suCWg5ay2E-d-hJzmxXhGCb3-" TargetMode="External"/><Relationship Id="rId1718" Type="http://schemas.openxmlformats.org/officeDocument/2006/relationships/hyperlink" Target="https://drive.google.com/file/d/1QvuM3uF5NnnXXgNdOiRUJXjQ-OrabTtL/view?usp=drivesdk" TargetMode="External"/><Relationship Id="rId1719" Type="http://schemas.openxmlformats.org/officeDocument/2006/relationships/hyperlink" Target="https://lh5.googleusercontent.com/d/1SfLzdb6PRLhVbjoRii9JY9jvpuQNAbdf" TargetMode="External"/><Relationship Id="rId1700" Type="http://schemas.openxmlformats.org/officeDocument/2006/relationships/hyperlink" Target="https://drive.google.com/file/d/1BXBvXh3ecPJ-5dDJr2FH2I7g3mJoIhFW/view?usp=drivesdk" TargetMode="External"/><Relationship Id="rId1701" Type="http://schemas.openxmlformats.org/officeDocument/2006/relationships/hyperlink" Target="https://lh5.googleusercontent.com/d/1TF8dqam6I1oS-9LPuimruJLPnuGhoe_a" TargetMode="External"/><Relationship Id="rId1702" Type="http://schemas.openxmlformats.org/officeDocument/2006/relationships/hyperlink" Target="https://drive.google.com/file/d/1eqDwq37K4WRI1bQsVR53SBSE8Sy4sk-n/view?usp=drivesdk" TargetMode="External"/><Relationship Id="rId1703" Type="http://schemas.openxmlformats.org/officeDocument/2006/relationships/hyperlink" Target="https://lh5.googleusercontent.com/d/1z_d6gXEQs72KtZIaaD3bu1E-MQxerhrC" TargetMode="External"/><Relationship Id="rId1704" Type="http://schemas.openxmlformats.org/officeDocument/2006/relationships/hyperlink" Target="https://drive.google.com/file/d/1efkPdnGfFWutbWGHpgmf8lyAbhcjkB_n/view?usp=drivesdk" TargetMode="External"/><Relationship Id="rId1705" Type="http://schemas.openxmlformats.org/officeDocument/2006/relationships/hyperlink" Target="https://lh5.googleusercontent.com/d/1NWFl7nr8hPekDp7RQF95g811L5OEzoRO" TargetMode="External"/><Relationship Id="rId1706" Type="http://schemas.openxmlformats.org/officeDocument/2006/relationships/hyperlink" Target="https://drive.google.com/file/d/1lAc4os7HAsq7JE9TM6Aj4MEk4AdrmkfA/view?usp=drivesdk" TargetMode="External"/><Relationship Id="rId1707" Type="http://schemas.openxmlformats.org/officeDocument/2006/relationships/hyperlink" Target="https://lh5.googleusercontent.com/d/14Lzb9ngwEfDCxwXssSWi_AU6pNng3kbs" TargetMode="External"/><Relationship Id="rId1708" Type="http://schemas.openxmlformats.org/officeDocument/2006/relationships/hyperlink" Target="https://drive.google.com/file/d/1-U7rOBwWMsGT5LXSyLjERnWSgO5yIlBl/view?usp=drivesdk" TargetMode="External"/><Relationship Id="rId1709" Type="http://schemas.openxmlformats.org/officeDocument/2006/relationships/hyperlink" Target="https://lh5.googleusercontent.com/d/1S3iBdEl7nm0CsqkswgijRdl_SOyWFkQ-" TargetMode="External"/><Relationship Id="rId40" Type="http://schemas.openxmlformats.org/officeDocument/2006/relationships/hyperlink" Target="https://drive.google.com/file/d/1Ek_scsrbLHSoJRyGfxvsWjPu3ATcmqzL/view?usp=drivesdk" TargetMode="External"/><Relationship Id="rId3513" Type="http://schemas.openxmlformats.org/officeDocument/2006/relationships/hyperlink" Target="https://drive.google.com/file/d/1q4FBZYUvd_laKMEQo8GJ1wdhew6Iv--z/view?usp=drivesdk" TargetMode="External"/><Relationship Id="rId4844" Type="http://schemas.openxmlformats.org/officeDocument/2006/relationships/hyperlink" Target="https://drive.google.com/file/d/1vW_pSQg-D6EEXM85-oFaYe2OAx8dW_nn/view?usp=drivesdk" TargetMode="External"/><Relationship Id="rId3512" Type="http://schemas.openxmlformats.org/officeDocument/2006/relationships/hyperlink" Target="https://lh5.googleusercontent.com/d/1QA0DhHkn_nRTit_4x1_eHhBcR9q0DNPV" TargetMode="External"/><Relationship Id="rId4843" Type="http://schemas.openxmlformats.org/officeDocument/2006/relationships/hyperlink" Target="https://lh5.googleusercontent.com/d/1M6zGJZ0UtTkSwcn2QAXZxB6wjpx6QBoT" TargetMode="External"/><Relationship Id="rId42" Type="http://schemas.openxmlformats.org/officeDocument/2006/relationships/hyperlink" Target="https://drive.google.com/file/d/1V4WHhZ_bR7OvghOVypwbRvSIhT_j-Cz8/view?usp=drivesdk" TargetMode="External"/><Relationship Id="rId3515" Type="http://schemas.openxmlformats.org/officeDocument/2006/relationships/hyperlink" Target="https://drive.google.com/file/d/1HK7kRXxBRmfR7NSLn72hbFtueSpY8O03/view?usp=drivesdk" TargetMode="External"/><Relationship Id="rId4846" Type="http://schemas.openxmlformats.org/officeDocument/2006/relationships/hyperlink" Target="https://drive.google.com/file/d/1E0ruZxDADITmD600uS9KICtUsxUzr8Yt/view?usp=drivesdk" TargetMode="External"/><Relationship Id="rId41" Type="http://schemas.openxmlformats.org/officeDocument/2006/relationships/hyperlink" Target="https://lh5.googleusercontent.com/d/1D-_UmuXYU3ArwMZjsJk6xBr3rFd3n_gr" TargetMode="External"/><Relationship Id="rId3514" Type="http://schemas.openxmlformats.org/officeDocument/2006/relationships/hyperlink" Target="https://lh5.googleusercontent.com/d/11qbMOzJUw_ldZ1OecR2wHZbP5MpqAJ45" TargetMode="External"/><Relationship Id="rId4845" Type="http://schemas.openxmlformats.org/officeDocument/2006/relationships/hyperlink" Target="https://lh5.googleusercontent.com/d/1DGbsC1hw-9L6fPm2mTlW04h89VPEVehQ" TargetMode="External"/><Relationship Id="rId44" Type="http://schemas.openxmlformats.org/officeDocument/2006/relationships/hyperlink" Target="https://drive.google.com/file/d/1jsmnDBVKfSRBuwszpcMUwuC1oct-cInm/view?usp=drivesdk" TargetMode="External"/><Relationship Id="rId3517" Type="http://schemas.openxmlformats.org/officeDocument/2006/relationships/hyperlink" Target="https://drive.google.com/file/d/1E7yL0rFFc_0Ry9123rUUx0VcDQFLho3G/view?usp=drivesdk" TargetMode="External"/><Relationship Id="rId4848" Type="http://schemas.openxmlformats.org/officeDocument/2006/relationships/hyperlink" Target="https://drive.google.com/file/d/1dobKeh4XQGHK6Mx62xSbVfGUsQDuKWtY/view?usp=drivesdk" TargetMode="External"/><Relationship Id="rId43" Type="http://schemas.openxmlformats.org/officeDocument/2006/relationships/hyperlink" Target="https://lh5.googleusercontent.com/d/1TBeaEz7zRhaA__iuDUPPptkT3mQz0mZQ" TargetMode="External"/><Relationship Id="rId3516" Type="http://schemas.openxmlformats.org/officeDocument/2006/relationships/hyperlink" Target="https://lh5.googleusercontent.com/d/1kkfwz8rhJzcEB1cVmitYzC9bmC4FQF8d" TargetMode="External"/><Relationship Id="rId4847" Type="http://schemas.openxmlformats.org/officeDocument/2006/relationships/hyperlink" Target="https://lh5.googleusercontent.com/d/1ZF5po8YTiUSFiP5SZEiDjFUsUprxZY8l" TargetMode="External"/><Relationship Id="rId46" Type="http://schemas.openxmlformats.org/officeDocument/2006/relationships/hyperlink" Target="https://drive.google.com/file/d/115LevKkAP3WvlDcPcrLD2iIjn3nKOoGZ/view?usp=drivesdk" TargetMode="External"/><Relationship Id="rId3519" Type="http://schemas.openxmlformats.org/officeDocument/2006/relationships/hyperlink" Target="https://drive.google.com/file/d/1y3Fos2A0_BVtKt2wPMsm0MmWFByyhn7n/view?usp=drivesdk" TargetMode="External"/><Relationship Id="rId45" Type="http://schemas.openxmlformats.org/officeDocument/2006/relationships/hyperlink" Target="https://lh5.googleusercontent.com/d/11bMPh9R-FjBv9Xr8SwsjqCZzs_vbGz3t" TargetMode="External"/><Relationship Id="rId3518" Type="http://schemas.openxmlformats.org/officeDocument/2006/relationships/hyperlink" Target="https://lh5.googleusercontent.com/d/1Abaxo-THZmlnHpkghrv4RhG-j3FlOV0I" TargetMode="External"/><Relationship Id="rId4849" Type="http://schemas.openxmlformats.org/officeDocument/2006/relationships/hyperlink" Target="https://lh5.googleusercontent.com/d/1XNezoAxhOg8abuP3qyHcfsGawfp7aPtj" TargetMode="External"/><Relationship Id="rId48" Type="http://schemas.openxmlformats.org/officeDocument/2006/relationships/hyperlink" Target="https://drive.google.com/file/d/1_hZQNmFZuRjAy0O6K59fguQ2wt1yXozK/view?usp=drivesdk" TargetMode="External"/><Relationship Id="rId47" Type="http://schemas.openxmlformats.org/officeDocument/2006/relationships/hyperlink" Target="https://lh5.googleusercontent.com/d/1I-cWams3n0rT_h2kxUyGE6R0iSQCoNHO" TargetMode="External"/><Relationship Id="rId49" Type="http://schemas.openxmlformats.org/officeDocument/2006/relationships/hyperlink" Target="https://lh5.googleusercontent.com/d/10Bo0Y4CPPq8BEETbpfmGGjdszB6cot5_" TargetMode="External"/><Relationship Id="rId4840" Type="http://schemas.openxmlformats.org/officeDocument/2006/relationships/hyperlink" Target="https://drive.google.com/file/d/1yWMxUSw6UdZgtJ5HTTUImCI5Cn5Po_uz/view?usp=drivesdk" TargetMode="External"/><Relationship Id="rId3511" Type="http://schemas.openxmlformats.org/officeDocument/2006/relationships/hyperlink" Target="https://drive.google.com/file/d/1aWBf_O-zVJaulqv1l8YeesG3lRdkY166/view?usp=drivesdk" TargetMode="External"/><Relationship Id="rId4842" Type="http://schemas.openxmlformats.org/officeDocument/2006/relationships/hyperlink" Target="https://drive.google.com/file/d/1gG5zUkpuk0uc2X1tIqbVI-yOdqKQDMBa/view?usp=drivesdk" TargetMode="External"/><Relationship Id="rId3510" Type="http://schemas.openxmlformats.org/officeDocument/2006/relationships/hyperlink" Target="https://lh5.googleusercontent.com/d/18Ak5llOp_cIU9jqB9yKOlx_4zNGFADw0" TargetMode="External"/><Relationship Id="rId4841" Type="http://schemas.openxmlformats.org/officeDocument/2006/relationships/hyperlink" Target="https://lh5.googleusercontent.com/d/1XMDlc8zCyyxC1WzmgliIKxoKxvcQShgp" TargetMode="External"/><Relationship Id="rId3502" Type="http://schemas.openxmlformats.org/officeDocument/2006/relationships/hyperlink" Target="https://lh5.googleusercontent.com/d/1Hhsy4gixRsnm4U2PnK0BPr9R-uhtONsv" TargetMode="External"/><Relationship Id="rId4833" Type="http://schemas.openxmlformats.org/officeDocument/2006/relationships/hyperlink" Target="https://lh5.googleusercontent.com/d/1taUVtPVMVX0Jq6yMubrLNNIkHnf0CTzb" TargetMode="External"/><Relationship Id="rId3501" Type="http://schemas.openxmlformats.org/officeDocument/2006/relationships/hyperlink" Target="https://drive.google.com/file/d/1lE_sVCiMgo_HQ0HbPK05dTmAxgp62k3Q/view?usp=drivesdk" TargetMode="External"/><Relationship Id="rId4832" Type="http://schemas.openxmlformats.org/officeDocument/2006/relationships/hyperlink" Target="https://drive.google.com/file/d/16TQV6AB8WysPVGwrVn1eB4WXh_3XRWVG/view?usp=drivesdk" TargetMode="External"/><Relationship Id="rId31" Type="http://schemas.openxmlformats.org/officeDocument/2006/relationships/hyperlink" Target="https://lh5.googleusercontent.com/d/1K8qZGRPkTnKvQcUwWfKaPD3sRAyD7UT3" TargetMode="External"/><Relationship Id="rId3504" Type="http://schemas.openxmlformats.org/officeDocument/2006/relationships/hyperlink" Target="https://lh5.googleusercontent.com/d/1Kwnr6Rru1POt0bOJBIau56UWqFslIu0v" TargetMode="External"/><Relationship Id="rId4835" Type="http://schemas.openxmlformats.org/officeDocument/2006/relationships/hyperlink" Target="https://lh5.googleusercontent.com/d/1ij5m0-IQ1pam4Xn3io67vS4A_yviXLxk" TargetMode="External"/><Relationship Id="rId30" Type="http://schemas.openxmlformats.org/officeDocument/2006/relationships/hyperlink" Target="https://drive.google.com/file/d/1bhvNNvUzfbUAzceHbIIWvVoZQmKQ7sOm/view?usp=drivesdk" TargetMode="External"/><Relationship Id="rId3503" Type="http://schemas.openxmlformats.org/officeDocument/2006/relationships/hyperlink" Target="https://drive.google.com/file/d/1u-WE0Q9LgHY8ffm3TJ05fyYRVWkpoB7Y/view?usp=drivesdk" TargetMode="External"/><Relationship Id="rId4834" Type="http://schemas.openxmlformats.org/officeDocument/2006/relationships/hyperlink" Target="https://drive.google.com/file/d/18XjQ--wNyfllxA0EwfEzmEAJHjsUPIMO/view?usp=drivesdk" TargetMode="External"/><Relationship Id="rId33" Type="http://schemas.openxmlformats.org/officeDocument/2006/relationships/hyperlink" Target="https://lh5.googleusercontent.com/d/1KvFi20dySBei93tpc2ZrXE3IuEIxsJ8x" TargetMode="External"/><Relationship Id="rId3506" Type="http://schemas.openxmlformats.org/officeDocument/2006/relationships/hyperlink" Target="https://lh5.googleusercontent.com/d/1K149aAWYVw16864Z0A53pdb5s1YtOW0M" TargetMode="External"/><Relationship Id="rId4837" Type="http://schemas.openxmlformats.org/officeDocument/2006/relationships/hyperlink" Target="https://lh5.googleusercontent.com/d/1-2k8mp8bzllDigpGfmryHSrjz5gGpPfK" TargetMode="External"/><Relationship Id="rId32" Type="http://schemas.openxmlformats.org/officeDocument/2006/relationships/hyperlink" Target="https://drive.google.com/file/d/1-BH1aY1K8hGh7J0Lcpr2VF74-fNd8Hnj/view?usp=drivesdk" TargetMode="External"/><Relationship Id="rId3505" Type="http://schemas.openxmlformats.org/officeDocument/2006/relationships/hyperlink" Target="https://drive.google.com/file/d/1VtlNKIYdLUtJxVGQwTl0YnBG-XgWuGDV/view?usp=drivesdk" TargetMode="External"/><Relationship Id="rId4836" Type="http://schemas.openxmlformats.org/officeDocument/2006/relationships/hyperlink" Target="https://drive.google.com/file/d/1G7ZI_oi6gTS6uLc24bR0X3j9hfvb1Fje/view?usp=drivesdk" TargetMode="External"/><Relationship Id="rId35" Type="http://schemas.openxmlformats.org/officeDocument/2006/relationships/hyperlink" Target="https://lh5.googleusercontent.com/d/1N9kCer_DCRhYI0_9npwcBGaUJ1vO1Tth" TargetMode="External"/><Relationship Id="rId3508" Type="http://schemas.openxmlformats.org/officeDocument/2006/relationships/hyperlink" Target="https://lh5.googleusercontent.com/d/1XEGGXTQ3qgRitZ9JP005R2VvIfwEHg8I" TargetMode="External"/><Relationship Id="rId4839" Type="http://schemas.openxmlformats.org/officeDocument/2006/relationships/hyperlink" Target="https://lh5.googleusercontent.com/d/16fFXpjbyXZHLC8UGJyuTDr-v-LlrP0sh" TargetMode="External"/><Relationship Id="rId34" Type="http://schemas.openxmlformats.org/officeDocument/2006/relationships/hyperlink" Target="https://drive.google.com/file/d/1aon51y_WSQGflgD4Yp1pA1Pmmu2m_b0g/view?usp=drivesdk" TargetMode="External"/><Relationship Id="rId3507" Type="http://schemas.openxmlformats.org/officeDocument/2006/relationships/hyperlink" Target="https://drive.google.com/file/d/1jp7_zmXRnljHHcJbwKS3YS2pQpMHUzDg/view?usp=drivesdk" TargetMode="External"/><Relationship Id="rId4838" Type="http://schemas.openxmlformats.org/officeDocument/2006/relationships/hyperlink" Target="https://drive.google.com/file/d/1VYseC70tBU2Yu6A7Rb71HU3vSM3teY9y/view?usp=drivesdk" TargetMode="External"/><Relationship Id="rId3509" Type="http://schemas.openxmlformats.org/officeDocument/2006/relationships/hyperlink" Target="https://drive.google.com/file/d/1PNUNjWufUd89HE1WVoAx5bMQ-9oI6Vnd/view?usp=drivesdk" TargetMode="External"/><Relationship Id="rId37" Type="http://schemas.openxmlformats.org/officeDocument/2006/relationships/hyperlink" Target="https://lh5.googleusercontent.com/d/16GYp9vmK5s3DI9wkj93yb51LNvHpqyQR" TargetMode="External"/><Relationship Id="rId36" Type="http://schemas.openxmlformats.org/officeDocument/2006/relationships/hyperlink" Target="https://drive.google.com/file/d/1lszQpMoakXos9GAnoe0N1b9fvL9nVOCC/view?usp=drivesdk" TargetMode="External"/><Relationship Id="rId39" Type="http://schemas.openxmlformats.org/officeDocument/2006/relationships/hyperlink" Target="https://lh5.googleusercontent.com/d/1fZxYSy7cv40dhOBNfxv8MUu173KAwRh9" TargetMode="External"/><Relationship Id="rId38" Type="http://schemas.openxmlformats.org/officeDocument/2006/relationships/hyperlink" Target="https://drive.google.com/file/d/1bUnAYIWh6bKek0ufXaXRwjjCRpqhZ4Ig/view?usp=drivesdk" TargetMode="External"/><Relationship Id="rId3500" Type="http://schemas.openxmlformats.org/officeDocument/2006/relationships/hyperlink" Target="https://lh5.googleusercontent.com/d/1tSWelcv2Rs_cRrnHX2XDB1uo0-ogE8LO" TargetMode="External"/><Relationship Id="rId4831" Type="http://schemas.openxmlformats.org/officeDocument/2006/relationships/hyperlink" Target="https://lh5.googleusercontent.com/d/15r6vGOcyP8sKgG6_u3u1F57MxdaSN4Tr" TargetMode="External"/><Relationship Id="rId4830" Type="http://schemas.openxmlformats.org/officeDocument/2006/relationships/hyperlink" Target="https://drive.google.com/file/d/1dRjNwtZAtY8l4wIptw7IvPCdsFAvEOyL/view?usp=drivesdk" TargetMode="External"/><Relationship Id="rId2203" Type="http://schemas.openxmlformats.org/officeDocument/2006/relationships/hyperlink" Target="https://drive.google.com/file/d/1hSkhvMFJ-VePoyX6sskHzOlWUK0Jwgda/view?usp=drivesdk" TargetMode="External"/><Relationship Id="rId3535" Type="http://schemas.openxmlformats.org/officeDocument/2006/relationships/hyperlink" Target="https://drive.google.com/file/d/1EQTw81pdzej6BTm9npYODK4Ix50JGwyR/view?usp=drivesdk" TargetMode="External"/><Relationship Id="rId4866" Type="http://schemas.openxmlformats.org/officeDocument/2006/relationships/hyperlink" Target="https://drive.google.com/file/d/1f1ZpS1cbvCFfK1mr1ycXXMq5IUJVJwRQ/view?usp=drivesdk" TargetMode="External"/><Relationship Id="rId2204" Type="http://schemas.openxmlformats.org/officeDocument/2006/relationships/hyperlink" Target="https://lh5.googleusercontent.com/d/1sJaSzwjG_xeGGzvpqokt61XLVYUqFxN6" TargetMode="External"/><Relationship Id="rId3534" Type="http://schemas.openxmlformats.org/officeDocument/2006/relationships/hyperlink" Target="https://lh5.googleusercontent.com/d/1TIBXsiKV18Sl9Mm0ilpGBN6duWsbpHmq" TargetMode="External"/><Relationship Id="rId4865" Type="http://schemas.openxmlformats.org/officeDocument/2006/relationships/hyperlink" Target="https://lh5.googleusercontent.com/d/1HGdPDg5s9GWJ9ivwFlsyl5zydDuC0_ib" TargetMode="External"/><Relationship Id="rId20" Type="http://schemas.openxmlformats.org/officeDocument/2006/relationships/hyperlink" Target="https://drive.google.com/file/d/1w9taLYg_TYlDoUDcZNagKvD7FcXN7MmI/view?usp=drivesdk" TargetMode="External"/><Relationship Id="rId2205" Type="http://schemas.openxmlformats.org/officeDocument/2006/relationships/hyperlink" Target="https://drive.google.com/file/d/1ZV9PVzyq2WCKTgF5AOIvQvmeRe8-AFEb/view?usp=drivesdk" TargetMode="External"/><Relationship Id="rId3537" Type="http://schemas.openxmlformats.org/officeDocument/2006/relationships/hyperlink" Target="https://drive.google.com/file/d/1HFmYnqoiDy_UgB8fQxz1L1qyW_Krdi_l/view?usp=drivesdk" TargetMode="External"/><Relationship Id="rId4868" Type="http://schemas.openxmlformats.org/officeDocument/2006/relationships/hyperlink" Target="https://drive.google.com/file/d/14XzbrXtbYp1jnoxds8_ME8CVIBCFqILc/view?usp=drivesdk" TargetMode="External"/><Relationship Id="rId2206" Type="http://schemas.openxmlformats.org/officeDocument/2006/relationships/hyperlink" Target="https://lh5.googleusercontent.com/d/1wx30VKQ2t_cI94ZA9Hqe5fIZIAaB_gig" TargetMode="External"/><Relationship Id="rId3536" Type="http://schemas.openxmlformats.org/officeDocument/2006/relationships/hyperlink" Target="https://lh5.googleusercontent.com/d/1g6wyTsrYuT3ZElZy2Hf21IBPCe3-9K4Y" TargetMode="External"/><Relationship Id="rId4867" Type="http://schemas.openxmlformats.org/officeDocument/2006/relationships/hyperlink" Target="https://lh5.googleusercontent.com/d/14MnZHc1-pN6ISOU9GjnF443PJY8a6i_8" TargetMode="External"/><Relationship Id="rId22" Type="http://schemas.openxmlformats.org/officeDocument/2006/relationships/hyperlink" Target="https://drive.google.com/file/d/15KnV7vuM1GYqHInx7NkBGPFNVyznySj0/view?usp=drivesdk" TargetMode="External"/><Relationship Id="rId2207" Type="http://schemas.openxmlformats.org/officeDocument/2006/relationships/hyperlink" Target="https://drive.google.com/file/d/1eXudE_4sgqtYIw40plxxRDuWIxM4v2KT/view?usp=drivesdk" TargetMode="External"/><Relationship Id="rId3539" Type="http://schemas.openxmlformats.org/officeDocument/2006/relationships/hyperlink" Target="https://drive.google.com/file/d/1MUykMEWgN_sKyy0ZRrvgWZIvaiPLNsEK/view?usp=drivesdk" TargetMode="External"/><Relationship Id="rId21" Type="http://schemas.openxmlformats.org/officeDocument/2006/relationships/hyperlink" Target="https://lh5.googleusercontent.com/d/1QZOpuzmDoQCXdD5WV6uqJWPAw5cNOad7" TargetMode="External"/><Relationship Id="rId2208" Type="http://schemas.openxmlformats.org/officeDocument/2006/relationships/hyperlink" Target="https://lh5.googleusercontent.com/d/1grg5VqSJ0LEEhMIvELeZx2NJAcc8bUB7" TargetMode="External"/><Relationship Id="rId3538" Type="http://schemas.openxmlformats.org/officeDocument/2006/relationships/hyperlink" Target="https://lh5.googleusercontent.com/d/1rRmacDvflIxO9C4N0PbnIZNC_BE0hTij" TargetMode="External"/><Relationship Id="rId4869" Type="http://schemas.openxmlformats.org/officeDocument/2006/relationships/hyperlink" Target="https://lh5.googleusercontent.com/d/1CMPwMg1Vc1J30_8YCx8yDmjUyKp2gBq5" TargetMode="External"/><Relationship Id="rId24" Type="http://schemas.openxmlformats.org/officeDocument/2006/relationships/hyperlink" Target="https://drive.google.com/file/d/1p2shziwfh5oAHXEnSPLSc6bvhMVisaLS/view?usp=drivesdk" TargetMode="External"/><Relationship Id="rId2209" Type="http://schemas.openxmlformats.org/officeDocument/2006/relationships/hyperlink" Target="https://drive.google.com/file/d/1tgePegVFE4a76W2GHfPjV-w1cF0dxWx1/view?usp=drivesdk" TargetMode="External"/><Relationship Id="rId23" Type="http://schemas.openxmlformats.org/officeDocument/2006/relationships/hyperlink" Target="https://lh5.googleusercontent.com/d/182iHAiC8r8Kw1LT9QnFuCfb1WxwcvJNC" TargetMode="External"/><Relationship Id="rId26" Type="http://schemas.openxmlformats.org/officeDocument/2006/relationships/hyperlink" Target="https://drive.google.com/file/d/1A1NXoTQzTkozbayKjJscZWyRk8fBjOto/view?usp=drivesdk" TargetMode="External"/><Relationship Id="rId25" Type="http://schemas.openxmlformats.org/officeDocument/2006/relationships/hyperlink" Target="https://lh5.googleusercontent.com/d/1DjQLU8G4uenDlKzfKAFce8BFNiGoG6yy" TargetMode="External"/><Relationship Id="rId28" Type="http://schemas.openxmlformats.org/officeDocument/2006/relationships/hyperlink" Target="https://drive.google.com/file/d/1nF8PJ4mmoVrxvfo6pgjKSd6HFsBny0Yv/view?usp=drivesdk" TargetMode="External"/><Relationship Id="rId4860" Type="http://schemas.openxmlformats.org/officeDocument/2006/relationships/hyperlink" Target="https://drive.google.com/file/d/1HSxx8R4nThb7RUJD9p8yLDqoqdffiqgP/view?usp=drivesdk" TargetMode="External"/><Relationship Id="rId27" Type="http://schemas.openxmlformats.org/officeDocument/2006/relationships/hyperlink" Target="https://lh5.googleusercontent.com/d/1Zej3t2rYV44TQqynwZYua3XQRUH8weX0" TargetMode="External"/><Relationship Id="rId3531" Type="http://schemas.openxmlformats.org/officeDocument/2006/relationships/hyperlink" Target="https://drive.google.com/file/d/1SgCYUhWW2SkXe1XZt5IIbryJG1jo--s_/view?usp=drivesdk" TargetMode="External"/><Relationship Id="rId4862" Type="http://schemas.openxmlformats.org/officeDocument/2006/relationships/hyperlink" Target="https://drive.google.com/file/d/17nquMvKbkdPvOp2yqTIwtozNEVfqKDXw/view?usp=drivesdk" TargetMode="External"/><Relationship Id="rId29" Type="http://schemas.openxmlformats.org/officeDocument/2006/relationships/hyperlink" Target="https://lh5.googleusercontent.com/d/1xPwMJhEac1tp5Z7fMv8gr62zvoBpsydT" TargetMode="External"/><Relationship Id="rId2200" Type="http://schemas.openxmlformats.org/officeDocument/2006/relationships/hyperlink" Target="https://lh5.googleusercontent.com/d/1iZu23_5qbLYlEiZM79__ExRcRqXClSX_" TargetMode="External"/><Relationship Id="rId3530" Type="http://schemas.openxmlformats.org/officeDocument/2006/relationships/hyperlink" Target="https://lh5.googleusercontent.com/d/10yOGqQYEh2r84Y1EKuxf80YDFDcufQV_" TargetMode="External"/><Relationship Id="rId4861" Type="http://schemas.openxmlformats.org/officeDocument/2006/relationships/hyperlink" Target="https://lh5.googleusercontent.com/d/1Rig2PbSnOyF_vNmrsc3dSn22lPNbWydu" TargetMode="External"/><Relationship Id="rId2201" Type="http://schemas.openxmlformats.org/officeDocument/2006/relationships/hyperlink" Target="https://drive.google.com/file/d/14tkp1JZeaO9WZIv3EJBGAaI7NtXX4kds/view?usp=drivesdk" TargetMode="External"/><Relationship Id="rId3533" Type="http://schemas.openxmlformats.org/officeDocument/2006/relationships/hyperlink" Target="https://drive.google.com/file/d/1wec87jgNBGR7CQfUsffPGk2bOGWpAr-V/view?usp=drivesdk" TargetMode="External"/><Relationship Id="rId4864" Type="http://schemas.openxmlformats.org/officeDocument/2006/relationships/hyperlink" Target="https://drive.google.com/file/d/12_yM27ChxaZBN5bbdGFwCSnJ5cV5Tl_s/view?usp=drivesdk" TargetMode="External"/><Relationship Id="rId2202" Type="http://schemas.openxmlformats.org/officeDocument/2006/relationships/hyperlink" Target="https://lh5.googleusercontent.com/d/1HPKe7cTu-Sj_KsVgYHvlb3dhVprqgkaR" TargetMode="External"/><Relationship Id="rId3532" Type="http://schemas.openxmlformats.org/officeDocument/2006/relationships/hyperlink" Target="https://lh5.googleusercontent.com/d/1rrBVsZUUxORPoy5r7WE40MfUxMRhp3Pl" TargetMode="External"/><Relationship Id="rId4863" Type="http://schemas.openxmlformats.org/officeDocument/2006/relationships/hyperlink" Target="https://lh5.googleusercontent.com/d/1WUYbpY5PTYetnkOUEvpLlmncHNtOvjhN" TargetMode="External"/><Relationship Id="rId3524" Type="http://schemas.openxmlformats.org/officeDocument/2006/relationships/hyperlink" Target="https://lh5.googleusercontent.com/d/1X_v8_VEvsdhkOlRmUblxQb1yLW2ZIT-A" TargetMode="External"/><Relationship Id="rId4855" Type="http://schemas.openxmlformats.org/officeDocument/2006/relationships/hyperlink" Target="https://lh5.googleusercontent.com/d/10WIkK3TM4fml0DfjM_7nA5ZtKV6QMu2M" TargetMode="External"/><Relationship Id="rId3523" Type="http://schemas.openxmlformats.org/officeDocument/2006/relationships/hyperlink" Target="https://drive.google.com/file/d/1Tm3rpdfmnr6xvD5jO7iiNDytca89Mg2J/view?usp=drivesdk" TargetMode="External"/><Relationship Id="rId4854" Type="http://schemas.openxmlformats.org/officeDocument/2006/relationships/hyperlink" Target="https://drive.google.com/file/d/1-3-B_iNJds1Jv86lJ87LPSKFYY81kQZS/view?usp=drivesdk" TargetMode="External"/><Relationship Id="rId3526" Type="http://schemas.openxmlformats.org/officeDocument/2006/relationships/hyperlink" Target="https://lh5.googleusercontent.com/d/11CCQ-i_IMTeLkm-YEX79kbnyrCyksuzX" TargetMode="External"/><Relationship Id="rId4857" Type="http://schemas.openxmlformats.org/officeDocument/2006/relationships/hyperlink" Target="https://lh5.googleusercontent.com/d/11A-p7SktU6UARZYvXagMVKis4U0Q7oS1" TargetMode="External"/><Relationship Id="rId3525" Type="http://schemas.openxmlformats.org/officeDocument/2006/relationships/hyperlink" Target="https://drive.google.com/file/d/1KL7muEw53ZE5jTx_mK6pNm_LaTyqclxy/view?usp=drivesdk" TargetMode="External"/><Relationship Id="rId4856" Type="http://schemas.openxmlformats.org/officeDocument/2006/relationships/hyperlink" Target="https://drive.google.com/file/d/1K3k-yJvjokld6-kb5HqRoqn7oYvFHvpX/view?usp=drivesdk" TargetMode="External"/><Relationship Id="rId11" Type="http://schemas.openxmlformats.org/officeDocument/2006/relationships/hyperlink" Target="https://lh5.googleusercontent.com/d/1NqRlDze86VN9KqRyAgkmLnC6zvz02YL4" TargetMode="External"/><Relationship Id="rId3528" Type="http://schemas.openxmlformats.org/officeDocument/2006/relationships/hyperlink" Target="https://lh5.googleusercontent.com/d/1023mKlPMMficyRHVl6PDjl63fYfrV4KZ" TargetMode="External"/><Relationship Id="rId4859" Type="http://schemas.openxmlformats.org/officeDocument/2006/relationships/hyperlink" Target="https://lh5.googleusercontent.com/d/1snQ7FVfrzfagRN3vB04FfGpbCjtxZTYa" TargetMode="External"/><Relationship Id="rId10" Type="http://schemas.openxmlformats.org/officeDocument/2006/relationships/hyperlink" Target="https://drive.google.com/file/d/1dukl6TLXp_kqgaM842_o-r4dgM1gbR0K/view?usp=drivesdk" TargetMode="External"/><Relationship Id="rId3527" Type="http://schemas.openxmlformats.org/officeDocument/2006/relationships/hyperlink" Target="https://drive.google.com/file/d/1ZsaqXY8ODFPlkXY6lCh15fmCKLjfZNOq/view?usp=drivesdk" TargetMode="External"/><Relationship Id="rId4858" Type="http://schemas.openxmlformats.org/officeDocument/2006/relationships/hyperlink" Target="https://drive.google.com/file/d/1iEwIALNEmVAgcLNz6GPz7aL8rR5kGWtO/view?usp=drivesdk" TargetMode="External"/><Relationship Id="rId13" Type="http://schemas.openxmlformats.org/officeDocument/2006/relationships/hyperlink" Target="https://lh5.googleusercontent.com/d/1AM7JmSNYij-0LAJt5QJIQcTUsCY5d-KB" TargetMode="External"/><Relationship Id="rId12" Type="http://schemas.openxmlformats.org/officeDocument/2006/relationships/hyperlink" Target="https://drive.google.com/file/d/1UKCins2hZuVKr6Mv2ywXyOYu2ChER4dF/view?usp=drivesdk" TargetMode="External"/><Relationship Id="rId3529" Type="http://schemas.openxmlformats.org/officeDocument/2006/relationships/hyperlink" Target="https://drive.google.com/file/d/1xCF7-Nw0KLYWiOcC-Linu6iFoki12oFi/view?usp=drivesdk" TargetMode="External"/><Relationship Id="rId15" Type="http://schemas.openxmlformats.org/officeDocument/2006/relationships/hyperlink" Target="https://lh5.googleusercontent.com/d/1Xx8HdDXR09h3HP0N47g0lacLwSkWxyj-" TargetMode="External"/><Relationship Id="rId14" Type="http://schemas.openxmlformats.org/officeDocument/2006/relationships/hyperlink" Target="https://drive.google.com/file/d/1E5Zya31Z4D4idaHx1hxUxpdPZ0SduOLF/view?usp=drivesdk" TargetMode="External"/><Relationship Id="rId17" Type="http://schemas.openxmlformats.org/officeDocument/2006/relationships/hyperlink" Target="https://lh5.googleusercontent.com/d/1tPvfdyeyVqKynkTJgJr1IA4tsqvm8cv-" TargetMode="External"/><Relationship Id="rId16" Type="http://schemas.openxmlformats.org/officeDocument/2006/relationships/hyperlink" Target="https://drive.google.com/file/d/1odqzTaQ1v-BjgSuO9EFODDzkFATXy6LZ/view?usp=drivesdk" TargetMode="External"/><Relationship Id="rId19" Type="http://schemas.openxmlformats.org/officeDocument/2006/relationships/hyperlink" Target="https://lh5.googleusercontent.com/d/1qcGwrhSyTzQDHBP3r5oXecsAjTqC2rJE" TargetMode="External"/><Relationship Id="rId3520" Type="http://schemas.openxmlformats.org/officeDocument/2006/relationships/hyperlink" Target="https://lh5.googleusercontent.com/d/128l6zSj36jRS5LxiJZ6EAvHdVXjpeOla" TargetMode="External"/><Relationship Id="rId4851" Type="http://schemas.openxmlformats.org/officeDocument/2006/relationships/hyperlink" Target="https://lh5.googleusercontent.com/d/1cRT8ahVgMHLvJm67mRy-er8p5JSIErSK" TargetMode="External"/><Relationship Id="rId18" Type="http://schemas.openxmlformats.org/officeDocument/2006/relationships/hyperlink" Target="https://drive.google.com/file/d/141_LMBDHo0t6WR1G4TroPWA-5IC3JHUX/view?usp=drivesdk" TargetMode="External"/><Relationship Id="rId4850" Type="http://schemas.openxmlformats.org/officeDocument/2006/relationships/hyperlink" Target="https://drive.google.com/file/d/1Quwl47smZPdauoebnJ0q9uFjoU4wNvtA/view?usp=drivesdk" TargetMode="External"/><Relationship Id="rId3522" Type="http://schemas.openxmlformats.org/officeDocument/2006/relationships/hyperlink" Target="https://lh5.googleusercontent.com/d/1diPy7j_o7vy__7Wa9jKYKXKrcCtk_-WZ" TargetMode="External"/><Relationship Id="rId4853" Type="http://schemas.openxmlformats.org/officeDocument/2006/relationships/hyperlink" Target="https://lh5.googleusercontent.com/d/1CVrcTAdFZ0606XMTV1OM_mArI6VNTz-e" TargetMode="External"/><Relationship Id="rId3521" Type="http://schemas.openxmlformats.org/officeDocument/2006/relationships/hyperlink" Target="https://drive.google.com/file/d/1QpeC1AgbERuLSTWsqqpS0DkSuHxd_tD_/view?usp=drivesdk" TargetMode="External"/><Relationship Id="rId4852" Type="http://schemas.openxmlformats.org/officeDocument/2006/relationships/hyperlink" Target="https://drive.google.com/file/d/1nmu3V-K1OlenXV0L8TdGFLxg9v0W0nE7/view?usp=drivesdk" TargetMode="External"/><Relationship Id="rId84" Type="http://schemas.openxmlformats.org/officeDocument/2006/relationships/hyperlink" Target="https://lh5.googleusercontent.com/d/1ENS3ZPthqRL5SKTQSRxlTkL-ErHoOlI2" TargetMode="External"/><Relationship Id="rId1774" Type="http://schemas.openxmlformats.org/officeDocument/2006/relationships/hyperlink" Target="https://drive.google.com/file/d/1q4m9NgY9IZsD7yZNgMne01xvAhVxFIyY/view?usp=drivesdk" TargetMode="External"/><Relationship Id="rId4800" Type="http://schemas.openxmlformats.org/officeDocument/2006/relationships/hyperlink" Target="https://drive.google.com/file/d/1F4osWu2mI6YSLrSaySxV_ukOfMc06-3P/view?usp=drivesdk" TargetMode="External"/><Relationship Id="rId83" Type="http://schemas.openxmlformats.org/officeDocument/2006/relationships/hyperlink" Target="https://drive.google.com/file/d/12ahQqUwIKOHs4wLwOSE6rQNFPHBNLeq8/view?usp=drivesdk" TargetMode="External"/><Relationship Id="rId1775" Type="http://schemas.openxmlformats.org/officeDocument/2006/relationships/hyperlink" Target="https://lh5.googleusercontent.com/d/1kn1ss5X6oeXOkzpOUUOsFaKw8L7fv0z7" TargetMode="External"/><Relationship Id="rId86" Type="http://schemas.openxmlformats.org/officeDocument/2006/relationships/hyperlink" Target="https://lh5.googleusercontent.com/d/1jX6Bidzeq3mxXXzpSs3PX4kRWVmsXyIZ" TargetMode="External"/><Relationship Id="rId1776" Type="http://schemas.openxmlformats.org/officeDocument/2006/relationships/hyperlink" Target="https://drive.google.com/file/d/11MY-Yg6Gi6fb1A112via5hwdyhbDfFdh/view?usp=drivesdk" TargetMode="External"/><Relationship Id="rId4802" Type="http://schemas.openxmlformats.org/officeDocument/2006/relationships/hyperlink" Target="https://drive.google.com/file/d/19pJaYhZLimYzgC0A4Qq9JKqSqyMsUj40/view?usp=drivesdk" TargetMode="External"/><Relationship Id="rId85" Type="http://schemas.openxmlformats.org/officeDocument/2006/relationships/hyperlink" Target="https://drive.google.com/file/d/1j1hiINdZXSiaZ1e4yTMH0ZNNUYkScm8B/view?usp=drivesdk" TargetMode="External"/><Relationship Id="rId1777" Type="http://schemas.openxmlformats.org/officeDocument/2006/relationships/hyperlink" Target="https://lh5.googleusercontent.com/d/1IPu-b_F2npyg25oML1_GKpobKPWOvEIk" TargetMode="External"/><Relationship Id="rId4801" Type="http://schemas.openxmlformats.org/officeDocument/2006/relationships/hyperlink" Target="https://lh5.googleusercontent.com/d/14Ao9JAaIFZvp5X6gsrwt0waf4PjTF9Pv" TargetMode="External"/><Relationship Id="rId88" Type="http://schemas.openxmlformats.org/officeDocument/2006/relationships/hyperlink" Target="https://lh5.googleusercontent.com/d/1S8UChCpOqs_095wKGLCBC-0xSYuz0FqR" TargetMode="External"/><Relationship Id="rId1778" Type="http://schemas.openxmlformats.org/officeDocument/2006/relationships/hyperlink" Target="https://drive.google.com/file/d/1fH0cknGfsVWcsvEEa4j_OTXHMIu6LtDK/view?usp=drivesdk" TargetMode="External"/><Relationship Id="rId4804" Type="http://schemas.openxmlformats.org/officeDocument/2006/relationships/hyperlink" Target="https://drive.google.com/file/d/1Fd2jYSLBnzLWMkQ6ZKeiOIXALp7ISi5D/view?usp=drivesdk" TargetMode="External"/><Relationship Id="rId87" Type="http://schemas.openxmlformats.org/officeDocument/2006/relationships/hyperlink" Target="https://drive.google.com/file/d/1m-0c2RTVlOnmrGmkK3H-0XGl1xn3apB6/view?usp=drivesdk" TargetMode="External"/><Relationship Id="rId1779" Type="http://schemas.openxmlformats.org/officeDocument/2006/relationships/hyperlink" Target="https://lh5.googleusercontent.com/d/1Z-0bGyYAkEv4WnMYZ5etxggXVPMpXuR7" TargetMode="External"/><Relationship Id="rId4803" Type="http://schemas.openxmlformats.org/officeDocument/2006/relationships/hyperlink" Target="https://lh5.googleusercontent.com/d/12zuC3LddRVa8Y-ZShQ5qnT-TswVwqo-7" TargetMode="External"/><Relationship Id="rId4806" Type="http://schemas.openxmlformats.org/officeDocument/2006/relationships/hyperlink" Target="https://drive.google.com/file/d/1-naD3qYG2kKxDispiX-P7Ld487nJ9etS/view?usp=drivesdk" TargetMode="External"/><Relationship Id="rId89" Type="http://schemas.openxmlformats.org/officeDocument/2006/relationships/hyperlink" Target="https://drive.google.com/file/d/1cONPpBIVRznJmuornOxu2iOML1H5bkez/view?usp=drivesdk" TargetMode="External"/><Relationship Id="rId4805" Type="http://schemas.openxmlformats.org/officeDocument/2006/relationships/hyperlink" Target="https://lh5.googleusercontent.com/d/1Mi96z-6sNYY3CgfC37LE8cOtO1mzS3el" TargetMode="External"/><Relationship Id="rId4808" Type="http://schemas.openxmlformats.org/officeDocument/2006/relationships/hyperlink" Target="https://drive.google.com/file/d/1PNkiJeMi1TfaGX46gqEaIb4LDBJqmVDx/view?usp=drivesdk" TargetMode="External"/><Relationship Id="rId4807" Type="http://schemas.openxmlformats.org/officeDocument/2006/relationships/hyperlink" Target="https://lh5.googleusercontent.com/d/1-4ngA000vOV2nZhuP4KI26PJZd6Xg3u6" TargetMode="External"/><Relationship Id="rId4809" Type="http://schemas.openxmlformats.org/officeDocument/2006/relationships/hyperlink" Target="https://lh5.googleusercontent.com/d/1MjCgroJxhemWF6HSKO3cfP4JGwAKE3Nc" TargetMode="External"/><Relationship Id="rId80" Type="http://schemas.openxmlformats.org/officeDocument/2006/relationships/hyperlink" Target="https://lh5.googleusercontent.com/d/1bL6oYgHSTAWt4y5D0HNR0PGI37vgyBs8" TargetMode="External"/><Relationship Id="rId82" Type="http://schemas.openxmlformats.org/officeDocument/2006/relationships/hyperlink" Target="https://lh5.googleusercontent.com/d/16RalPVaVpVFFHZ_hm-7DaM4yFkDO74SX" TargetMode="External"/><Relationship Id="rId81" Type="http://schemas.openxmlformats.org/officeDocument/2006/relationships/hyperlink" Target="https://drive.google.com/file/d/177eTB4RQfShIF3W92jRv-X26Jgt0Qnl1/view?usp=drivesdk" TargetMode="External"/><Relationship Id="rId1770" Type="http://schemas.openxmlformats.org/officeDocument/2006/relationships/hyperlink" Target="https://drive.google.com/file/d/17dEoak-0IvfUWXsRUlwzwrXxkY5Nxw67/view?usp=drivesdk" TargetMode="External"/><Relationship Id="rId1771" Type="http://schemas.openxmlformats.org/officeDocument/2006/relationships/hyperlink" Target="https://lh5.googleusercontent.com/d/1_6VU0lj-BJeyw_F-jUDzd9Hxv57uWfDN" TargetMode="External"/><Relationship Id="rId1772" Type="http://schemas.openxmlformats.org/officeDocument/2006/relationships/hyperlink" Target="https://drive.google.com/file/d/1V-4QKpk_E4Fh2ypTzsgMZ5sEpeJOGhNt/view?usp=drivesdk" TargetMode="External"/><Relationship Id="rId1773" Type="http://schemas.openxmlformats.org/officeDocument/2006/relationships/hyperlink" Target="https://lh5.googleusercontent.com/d/1U_0b5OrtfqneSYgr7W6vXz23vBmmBZwI" TargetMode="External"/><Relationship Id="rId73" Type="http://schemas.openxmlformats.org/officeDocument/2006/relationships/hyperlink" Target="https://drive.google.com/file/d/1ukTfnuVjIgDa0mkpi26EeAMckOddNbsz/view?usp=drivesdk" TargetMode="External"/><Relationship Id="rId1763" Type="http://schemas.openxmlformats.org/officeDocument/2006/relationships/hyperlink" Target="https://lh5.googleusercontent.com/d/1pShWwp0udgHR0AXRGtvp7zAXnCdwmTxp" TargetMode="External"/><Relationship Id="rId72" Type="http://schemas.openxmlformats.org/officeDocument/2006/relationships/hyperlink" Target="https://lh5.googleusercontent.com/d/1tDjYrt3pyGlzYKfJJhZptCYkAxiFHqQj" TargetMode="External"/><Relationship Id="rId1764" Type="http://schemas.openxmlformats.org/officeDocument/2006/relationships/hyperlink" Target="https://drive.google.com/file/d/1bk-RqK6-hdT1ms59_5T5YpDl9iTy_F0P/view?usp=drivesdk" TargetMode="External"/><Relationship Id="rId75" Type="http://schemas.openxmlformats.org/officeDocument/2006/relationships/hyperlink" Target="https://drive.google.com/file/d/1v0ZvopSlBIBwiKNiBBKHuMIDEUODeVZO/view?usp=drivesdk" TargetMode="External"/><Relationship Id="rId1765" Type="http://schemas.openxmlformats.org/officeDocument/2006/relationships/hyperlink" Target="https://lh5.googleusercontent.com/d/1e7OCM0lYYdG_L-93El9tUmG8Tyt92Wv6" TargetMode="External"/><Relationship Id="rId74" Type="http://schemas.openxmlformats.org/officeDocument/2006/relationships/hyperlink" Target="https://lh5.googleusercontent.com/d/1sIgCx9eRsZzzl1LUTG-8XHQVcttJBBNa" TargetMode="External"/><Relationship Id="rId1766" Type="http://schemas.openxmlformats.org/officeDocument/2006/relationships/hyperlink" Target="https://drive.google.com/file/d/1vYpToyuG7VibTdfZAVX-4r0ZqCFIwrCW/view?usp=drivesdk" TargetMode="External"/><Relationship Id="rId77" Type="http://schemas.openxmlformats.org/officeDocument/2006/relationships/hyperlink" Target="https://drive.google.com/file/d/18sy8TqoKyQR2PqmD7j4ePWuhnymsdwa2/view?usp=drivesdk" TargetMode="External"/><Relationship Id="rId1767" Type="http://schemas.openxmlformats.org/officeDocument/2006/relationships/hyperlink" Target="https://lh5.googleusercontent.com/d/1G_oAKs75J-goqaPKhcRBHUYBs7Mi0tBK" TargetMode="External"/><Relationship Id="rId76" Type="http://schemas.openxmlformats.org/officeDocument/2006/relationships/hyperlink" Target="https://lh5.googleusercontent.com/d/1rsSIiJ7WtuHpwpuMbfq5hv-6IWRUvM2F" TargetMode="External"/><Relationship Id="rId1768" Type="http://schemas.openxmlformats.org/officeDocument/2006/relationships/hyperlink" Target="https://drive.google.com/file/d/11PELhsKb4yklCWFyJ8uw2YmuIwslaCPt/view?usp=drivesdk" TargetMode="External"/><Relationship Id="rId79" Type="http://schemas.openxmlformats.org/officeDocument/2006/relationships/hyperlink" Target="https://drive.google.com/file/d/16NH7D49_SFlCjKTfJ6fBGFzeQhrdAG0g/view?usp=drivesdk" TargetMode="External"/><Relationship Id="rId1769" Type="http://schemas.openxmlformats.org/officeDocument/2006/relationships/hyperlink" Target="https://lh5.googleusercontent.com/d/1lHcF53oQEkD0YkONb7FdrxsBuk4aH8AL" TargetMode="External"/><Relationship Id="rId78" Type="http://schemas.openxmlformats.org/officeDocument/2006/relationships/hyperlink" Target="https://lh5.googleusercontent.com/d/1iKElwFFIY1VY_GyGfCkHyXwShR2ZDlc-" TargetMode="External"/><Relationship Id="rId71" Type="http://schemas.openxmlformats.org/officeDocument/2006/relationships/hyperlink" Target="https://drive.google.com/file/d/1YcbMvd3wb-R2iQz2Q6EZiZSokio9TDOj/view?usp=drivesdk" TargetMode="External"/><Relationship Id="rId70" Type="http://schemas.openxmlformats.org/officeDocument/2006/relationships/hyperlink" Target="https://lh5.googleusercontent.com/d/1WQIkwdGgpVPGF6lp-tNa5ufBFm8WC731" TargetMode="External"/><Relationship Id="rId1760" Type="http://schemas.openxmlformats.org/officeDocument/2006/relationships/hyperlink" Target="https://drive.google.com/file/d/1V-TVztsm9WDNAhhofFKbCClRqoqaTpFd/view?usp=drivesdk" TargetMode="External"/><Relationship Id="rId1761" Type="http://schemas.openxmlformats.org/officeDocument/2006/relationships/hyperlink" Target="https://lh5.googleusercontent.com/d/1VSU3AAAngV_LFkjP26k_x_3ESpBFh3-T" TargetMode="External"/><Relationship Id="rId1762" Type="http://schemas.openxmlformats.org/officeDocument/2006/relationships/hyperlink" Target="https://drive.google.com/file/d/1j-klncCgGm3tezDKmk9S2T3N0TelHv08/view?usp=drivesdk" TargetMode="External"/><Relationship Id="rId62" Type="http://schemas.openxmlformats.org/officeDocument/2006/relationships/hyperlink" Target="https://lh5.googleusercontent.com/d/1j_3jUbQyGksdp2jgwoD71_1OhBa5esGk" TargetMode="External"/><Relationship Id="rId1796" Type="http://schemas.openxmlformats.org/officeDocument/2006/relationships/hyperlink" Target="https://drive.google.com/file/d/1LYC-xbyrgHraKZw270cMPypBwhrkfUVE/view?usp=drivesdk" TargetMode="External"/><Relationship Id="rId4822" Type="http://schemas.openxmlformats.org/officeDocument/2006/relationships/hyperlink" Target="https://drive.google.com/file/d/1udAjpHkbAQ1L6Y-Cp57xKZ3EopC7xs7J/view?usp=drivesdk" TargetMode="External"/><Relationship Id="rId61" Type="http://schemas.openxmlformats.org/officeDocument/2006/relationships/hyperlink" Target="https://drive.google.com/file/d/1Vw9FzXBwM9xSUbnoXG2IQFGCjWV8fvdh/view?usp=drivesdk" TargetMode="External"/><Relationship Id="rId1797" Type="http://schemas.openxmlformats.org/officeDocument/2006/relationships/hyperlink" Target="https://lh5.googleusercontent.com/d/1DVzqCnyLqvnxE6s2IL3jbAknMu-dA3eT" TargetMode="External"/><Relationship Id="rId4821" Type="http://schemas.openxmlformats.org/officeDocument/2006/relationships/hyperlink" Target="https://lh5.googleusercontent.com/d/1JGRRInQr96X6wp6IoCYiAjXDAHR1k6G-" TargetMode="External"/><Relationship Id="rId64" Type="http://schemas.openxmlformats.org/officeDocument/2006/relationships/hyperlink" Target="https://lh5.googleusercontent.com/d/1Ju055Fz_g7F6NpxEYMaTWhm-BmFeBHmX" TargetMode="External"/><Relationship Id="rId1798" Type="http://schemas.openxmlformats.org/officeDocument/2006/relationships/hyperlink" Target="https://drive.google.com/file/d/1fNOnHG3fZSPPpMbxOf3eZ_fG2wbeeJjW/view?usp=drivesdk" TargetMode="External"/><Relationship Id="rId4824" Type="http://schemas.openxmlformats.org/officeDocument/2006/relationships/hyperlink" Target="https://drive.google.com/file/d/168NhnlcCH6DkkAid5ivSw-XCvAdJmlYU/view?usp=drivesdk" TargetMode="External"/><Relationship Id="rId63" Type="http://schemas.openxmlformats.org/officeDocument/2006/relationships/hyperlink" Target="https://drive.google.com/file/d/1bLXGuleRRu6H0DLLWhbdAgKNMgq15aXe/view?usp=drivesdk" TargetMode="External"/><Relationship Id="rId1799" Type="http://schemas.openxmlformats.org/officeDocument/2006/relationships/hyperlink" Target="https://lh5.googleusercontent.com/d/1vcnGCOn1glS1K_whu0qSjNhPFBsUvGle" TargetMode="External"/><Relationship Id="rId4823" Type="http://schemas.openxmlformats.org/officeDocument/2006/relationships/hyperlink" Target="https://lh5.googleusercontent.com/d/19C9_vNq7XLD513vDY6JGTMj4Bq7l7J7C" TargetMode="External"/><Relationship Id="rId66" Type="http://schemas.openxmlformats.org/officeDocument/2006/relationships/hyperlink" Target="https://lh5.googleusercontent.com/d/1x6_m7Z_WKlieNBo9tOVCtLw-KO_QfNqD" TargetMode="External"/><Relationship Id="rId4826" Type="http://schemas.openxmlformats.org/officeDocument/2006/relationships/hyperlink" Target="https://drive.google.com/file/d/1EiwM1ia7iGHw60neOXNPnUX9MnwNCmPc/view?usp=drivesdk" TargetMode="External"/><Relationship Id="rId65" Type="http://schemas.openxmlformats.org/officeDocument/2006/relationships/hyperlink" Target="https://drive.google.com/file/d/1zSY7XOV5bWq5HeZ-Pma16P-W2h6X4DOC/view?usp=drivesdk" TargetMode="External"/><Relationship Id="rId4825" Type="http://schemas.openxmlformats.org/officeDocument/2006/relationships/hyperlink" Target="https://lh5.googleusercontent.com/d/1pMFav0IlFe4GixAlcSRuRB5bgzS8j-i3" TargetMode="External"/><Relationship Id="rId68" Type="http://schemas.openxmlformats.org/officeDocument/2006/relationships/hyperlink" Target="https://lh5.googleusercontent.com/d/1sn_UxkYi8apZeVoC1WIAS_rIQakXN7YV" TargetMode="External"/><Relationship Id="rId4828" Type="http://schemas.openxmlformats.org/officeDocument/2006/relationships/hyperlink" Target="https://drive.google.com/file/d/1RPQt1OGmE8dYGrRENUpsK_GJdy4JXr1E/view?usp=drivesdk" TargetMode="External"/><Relationship Id="rId67" Type="http://schemas.openxmlformats.org/officeDocument/2006/relationships/hyperlink" Target="https://drive.google.com/file/d/17UbzJwhCgry-bOOM2mkCcuVjgR0974zK/view?usp=drivesdk" TargetMode="External"/><Relationship Id="rId4827" Type="http://schemas.openxmlformats.org/officeDocument/2006/relationships/hyperlink" Target="https://lh5.googleusercontent.com/d/1yL8MEJko0sMl3uIR_RfoS5ERoP4qqruJ" TargetMode="External"/><Relationship Id="rId4829" Type="http://schemas.openxmlformats.org/officeDocument/2006/relationships/hyperlink" Target="https://lh5.googleusercontent.com/d/1BU0Lv6iJO_aJvx2JIb7zcAI9kNCMWgVT" TargetMode="External"/><Relationship Id="rId60" Type="http://schemas.openxmlformats.org/officeDocument/2006/relationships/hyperlink" Target="https://lh5.googleusercontent.com/d/1t_3FYEPxVrVbKlJVF6jQHfs1y9Tf7Lpa" TargetMode="External"/><Relationship Id="rId69" Type="http://schemas.openxmlformats.org/officeDocument/2006/relationships/hyperlink" Target="https://drive.google.com/file/d/1Pu_IH0KxTcjrE4SOPf0rq_ps4mZO9Cco/view?usp=drivesdk" TargetMode="External"/><Relationship Id="rId1790" Type="http://schemas.openxmlformats.org/officeDocument/2006/relationships/hyperlink" Target="https://drive.google.com/file/d/1_FthUXvFm9vYvOvTf7oPHF7kEeO93-Cc/view?usp=drivesdk" TargetMode="External"/><Relationship Id="rId1791" Type="http://schemas.openxmlformats.org/officeDocument/2006/relationships/hyperlink" Target="https://lh5.googleusercontent.com/d/1QlUUS5u-CLp6xXAodJh002xqMFGYh3Om" TargetMode="External"/><Relationship Id="rId1792" Type="http://schemas.openxmlformats.org/officeDocument/2006/relationships/hyperlink" Target="https://drive.google.com/file/d/1fXWbHEbkUJF0NKzoccqDtvxb1lntedu1/view?usp=drivesdk" TargetMode="External"/><Relationship Id="rId1793" Type="http://schemas.openxmlformats.org/officeDocument/2006/relationships/hyperlink" Target="https://lh5.googleusercontent.com/d/1rHH0Utinysl6uERQvMt6e6gFsRPcJD-U" TargetMode="External"/><Relationship Id="rId1794" Type="http://schemas.openxmlformats.org/officeDocument/2006/relationships/hyperlink" Target="https://drive.google.com/file/d/1za7_Y2m-0tqIJkJ_NfiipkJrhpHee4_u/view?usp=drivesdk" TargetMode="External"/><Relationship Id="rId4820" Type="http://schemas.openxmlformats.org/officeDocument/2006/relationships/hyperlink" Target="https://drive.google.com/file/d/1ImqfsbrhE65nz5uBLIp_UqkiXKI_TNip/view?usp=drivesdk" TargetMode="External"/><Relationship Id="rId1795" Type="http://schemas.openxmlformats.org/officeDocument/2006/relationships/hyperlink" Target="https://lh5.googleusercontent.com/d/1YnbLkL4ONbvUJebRb9Qoadzncx-wfGIA" TargetMode="External"/><Relationship Id="rId51" Type="http://schemas.openxmlformats.org/officeDocument/2006/relationships/hyperlink" Target="https://lh5.googleusercontent.com/d/1UnT2lOHCOxGI6gQkFn1PnDzYhSt2MBxU" TargetMode="External"/><Relationship Id="rId1785" Type="http://schemas.openxmlformats.org/officeDocument/2006/relationships/hyperlink" Target="https://lh5.googleusercontent.com/d/1lH4mm4FnXLtpdHomjf4o3M676xPVt8lx" TargetMode="External"/><Relationship Id="rId4811" Type="http://schemas.openxmlformats.org/officeDocument/2006/relationships/hyperlink" Target="https://lh5.googleusercontent.com/d/19jgW1ynDpA1zGrS7eYOdZaDz6KcOtFZ5" TargetMode="External"/><Relationship Id="rId50" Type="http://schemas.openxmlformats.org/officeDocument/2006/relationships/hyperlink" Target="https://drive.google.com/file/d/15wzMfQum2_sbJ-PfEFkPUR4Q0JeH_B-m/view?usp=drivesdk" TargetMode="External"/><Relationship Id="rId1786" Type="http://schemas.openxmlformats.org/officeDocument/2006/relationships/hyperlink" Target="https://drive.google.com/file/d/1-9XoIVdJOn25-WPf7xbju8Cw9uREbwf1/view?usp=drivesdk" TargetMode="External"/><Relationship Id="rId4810" Type="http://schemas.openxmlformats.org/officeDocument/2006/relationships/hyperlink" Target="https://drive.google.com/file/d/1OrGAvdSdTEK5fKZ8Ign5abN2_K3P4kYN/view?usp=drivesdk" TargetMode="External"/><Relationship Id="rId53" Type="http://schemas.openxmlformats.org/officeDocument/2006/relationships/hyperlink" Target="https://lh5.googleusercontent.com/d/1mY3j3JaPUBXT06jZLaJhTsW76urMdbrC" TargetMode="External"/><Relationship Id="rId1787" Type="http://schemas.openxmlformats.org/officeDocument/2006/relationships/hyperlink" Target="https://lh5.googleusercontent.com/d/1jLDVPS6PMJ1O9nE6bek3cEPHefq9NGU0" TargetMode="External"/><Relationship Id="rId4813" Type="http://schemas.openxmlformats.org/officeDocument/2006/relationships/hyperlink" Target="https://lh5.googleusercontent.com/d/1WCIuwWbJb-maZgeN3Tz1ivunAP69J1iC" TargetMode="External"/><Relationship Id="rId52" Type="http://schemas.openxmlformats.org/officeDocument/2006/relationships/hyperlink" Target="https://drive.google.com/file/d/1mZ7cbAqsD8kuxBYAuFr-YP44LJPyF3HO/view?usp=drivesdk" TargetMode="External"/><Relationship Id="rId1788" Type="http://schemas.openxmlformats.org/officeDocument/2006/relationships/hyperlink" Target="https://drive.google.com/file/d/1Deif5dpeaIT5EQ5lz80OZ5cxvZmr9qw9/view?usp=drivesdk" TargetMode="External"/><Relationship Id="rId4812" Type="http://schemas.openxmlformats.org/officeDocument/2006/relationships/hyperlink" Target="https://drive.google.com/file/d/1sjc2phvV88BnbEOSkGQZ6LlooV0fX8aI/view?usp=drivesdk" TargetMode="External"/><Relationship Id="rId55" Type="http://schemas.openxmlformats.org/officeDocument/2006/relationships/hyperlink" Target="https://lh5.googleusercontent.com/d/1G-w9xzwpgPTsrn0cgaUc5zyUqDcLuIPN" TargetMode="External"/><Relationship Id="rId1789" Type="http://schemas.openxmlformats.org/officeDocument/2006/relationships/hyperlink" Target="https://lh5.googleusercontent.com/d/1dMrU-V1dx73EncoJ3z73j6qyduAPprKs" TargetMode="External"/><Relationship Id="rId4815" Type="http://schemas.openxmlformats.org/officeDocument/2006/relationships/hyperlink" Target="https://lh5.googleusercontent.com/d/1-kbHH0y0nrrDiJ2e2RpfbU9B6krfvVm9" TargetMode="External"/><Relationship Id="rId54" Type="http://schemas.openxmlformats.org/officeDocument/2006/relationships/hyperlink" Target="https://drive.google.com/file/d/1YR-AEDymZgogNn7n3eJsc7Etpx0c_mIm/view?usp=drivesdk" TargetMode="External"/><Relationship Id="rId4814" Type="http://schemas.openxmlformats.org/officeDocument/2006/relationships/hyperlink" Target="https://drive.google.com/file/d/1m8S1ICfsuSjtsga7oxyBXbPvC3iVUbx1/view?usp=drivesdk" TargetMode="External"/><Relationship Id="rId57" Type="http://schemas.openxmlformats.org/officeDocument/2006/relationships/hyperlink" Target="https://lh5.googleusercontent.com/d/1rfXo28rDWjWU31fBUhFCu1h2cWe82nDO" TargetMode="External"/><Relationship Id="rId4817" Type="http://schemas.openxmlformats.org/officeDocument/2006/relationships/hyperlink" Target="https://lh5.googleusercontent.com/d/1t6HoIhHqsRZVuC2UccCe0uIAgsj3y4Hs" TargetMode="External"/><Relationship Id="rId56" Type="http://schemas.openxmlformats.org/officeDocument/2006/relationships/hyperlink" Target="https://drive.google.com/file/d/1jJH5CQYTFwaj15rWjtlfvoVQUCIVrS5a/view?usp=drivesdk" TargetMode="External"/><Relationship Id="rId4816" Type="http://schemas.openxmlformats.org/officeDocument/2006/relationships/hyperlink" Target="https://drive.google.com/file/d/1ycsXjN4i2a4iYp45e94caxoSSU-fShPA/view?usp=drivesdk" TargetMode="External"/><Relationship Id="rId4819" Type="http://schemas.openxmlformats.org/officeDocument/2006/relationships/hyperlink" Target="https://lh5.googleusercontent.com/d/1k3CyJTqWaYPonQkGu1uq8P2bHZUUrU29" TargetMode="External"/><Relationship Id="rId4818" Type="http://schemas.openxmlformats.org/officeDocument/2006/relationships/hyperlink" Target="https://drive.google.com/file/d/18Bssh4_tOmAShXhiub7nQN1Q321it30X/view?usp=drivesdk" TargetMode="External"/><Relationship Id="rId59" Type="http://schemas.openxmlformats.org/officeDocument/2006/relationships/hyperlink" Target="https://lh5.googleusercontent.com/d/16YqLEDDuaUmQCnS89dpMEUzYZ5e98hLL" TargetMode="External"/><Relationship Id="rId58" Type="http://schemas.openxmlformats.org/officeDocument/2006/relationships/hyperlink" Target="https://drive.google.com/file/d/1pFqeojTTDC95GOsFARqOWwM2tmr9gd6w/view?usp=drivesdk" TargetMode="External"/><Relationship Id="rId1780" Type="http://schemas.openxmlformats.org/officeDocument/2006/relationships/hyperlink" Target="https://drive.google.com/file/d/1lw1Wx8UpTB2_VTSB9VAu4dXC1_e31Qoq/view?usp=drivesdk" TargetMode="External"/><Relationship Id="rId1781" Type="http://schemas.openxmlformats.org/officeDocument/2006/relationships/hyperlink" Target="https://lh5.googleusercontent.com/d/1kyQjFZ0lhEPdLSA5CBfQDXXPLPwlOdKy" TargetMode="External"/><Relationship Id="rId1782" Type="http://schemas.openxmlformats.org/officeDocument/2006/relationships/hyperlink" Target="https://drive.google.com/file/d/15fSBG-1IRJUin3MU18-LI4tDh0GzWakJ/view?usp=drivesdk" TargetMode="External"/><Relationship Id="rId1783" Type="http://schemas.openxmlformats.org/officeDocument/2006/relationships/hyperlink" Target="https://lh5.googleusercontent.com/d/148kaRhdjGB650AfQcuCLaflXGGmUALYo" TargetMode="External"/><Relationship Id="rId1784" Type="http://schemas.openxmlformats.org/officeDocument/2006/relationships/hyperlink" Target="https://drive.google.com/file/d/1WitDx5pJr4qXUbdlVuClnKOtkavRtf9r/view?usp=drivesdk" TargetMode="External"/><Relationship Id="rId2269" Type="http://schemas.openxmlformats.org/officeDocument/2006/relationships/hyperlink" Target="https://drive.google.com/file/d/1gG1bVOnJ8wklb3n3DEWWasvoWyZJue_O/view?usp=drivesdk" TargetMode="External"/><Relationship Id="rId349" Type="http://schemas.openxmlformats.org/officeDocument/2006/relationships/hyperlink" Target="https://drive.google.com/file/d/1fltoHuCyi8xWRgckVWAeT0MnyUb-Dhxt/view?usp=drivesdk" TargetMode="External"/><Relationship Id="rId348" Type="http://schemas.openxmlformats.org/officeDocument/2006/relationships/hyperlink" Target="https://lh5.googleusercontent.com/d/1zM4fK3GT2SqS8YgRlJh1GMhz09iRx0E4" TargetMode="External"/><Relationship Id="rId347" Type="http://schemas.openxmlformats.org/officeDocument/2006/relationships/hyperlink" Target="https://drive.google.com/file/d/18NpDj9Iu0ivKQ0s01Hpv4J8o0n2dVR5U/view?usp=drivesdk" TargetMode="External"/><Relationship Id="rId346" Type="http://schemas.openxmlformats.org/officeDocument/2006/relationships/hyperlink" Target="https://lh5.googleusercontent.com/d/1sIFYxmf-LGBJN8-k5aT3swLTnmatPG_J" TargetMode="External"/><Relationship Id="rId3591" Type="http://schemas.openxmlformats.org/officeDocument/2006/relationships/hyperlink" Target="https://drive.google.com/file/d/1BtHARUYgyxDP0yEQWZgFk3qPn4jQwaIL/view?usp=drivesdk" TargetMode="External"/><Relationship Id="rId2260" Type="http://schemas.openxmlformats.org/officeDocument/2006/relationships/hyperlink" Target="https://lh5.googleusercontent.com/d/1h-Yr-CZLfol-porKfXS26RY8-3x7ARDd" TargetMode="External"/><Relationship Id="rId3590" Type="http://schemas.openxmlformats.org/officeDocument/2006/relationships/hyperlink" Target="https://lh5.googleusercontent.com/d/1aPPjBGCCNT-q1ASCiDg_rlv79dsDNGQv" TargetMode="External"/><Relationship Id="rId341" Type="http://schemas.openxmlformats.org/officeDocument/2006/relationships/hyperlink" Target="https://drive.google.com/file/d/1FpEn821yI7YdvkTf-6lWmcP3RNkQ25s1/view?usp=drivesdk" TargetMode="External"/><Relationship Id="rId2261" Type="http://schemas.openxmlformats.org/officeDocument/2006/relationships/hyperlink" Target="https://drive.google.com/file/d/1Vkz2dKazDHWaIwn3Q7Ayz2VoqK9WIzTm/view?usp=drivesdk" TargetMode="External"/><Relationship Id="rId3593" Type="http://schemas.openxmlformats.org/officeDocument/2006/relationships/hyperlink" Target="https://drive.google.com/file/d/1aOaJZCpX1O3ClPn6CrjgPJDIXuUGmj7D/view?usp=drivesdk" TargetMode="External"/><Relationship Id="rId340" Type="http://schemas.openxmlformats.org/officeDocument/2006/relationships/hyperlink" Target="https://lh5.googleusercontent.com/d/1y9-eVMml1IthSqMWQAhwQYOHqZjT6m5H" TargetMode="External"/><Relationship Id="rId2262" Type="http://schemas.openxmlformats.org/officeDocument/2006/relationships/hyperlink" Target="https://lh5.googleusercontent.com/d/1qjRnOm729hIC5CadvlhfMs9JAQhxPmj6" TargetMode="External"/><Relationship Id="rId3592" Type="http://schemas.openxmlformats.org/officeDocument/2006/relationships/hyperlink" Target="https://lh5.googleusercontent.com/d/1LwFUIathufeyG5BYBYIQHjyALtlyk_8x" TargetMode="External"/><Relationship Id="rId2263" Type="http://schemas.openxmlformats.org/officeDocument/2006/relationships/hyperlink" Target="https://drive.google.com/file/d/1LxKBoPdTI3zDIlabszl8t_PvSgD3EgAm/view?usp=drivesdk" TargetMode="External"/><Relationship Id="rId3595" Type="http://schemas.openxmlformats.org/officeDocument/2006/relationships/hyperlink" Target="https://drive.google.com/file/d/1WKeBLPjXIDo5IwMqGktjXH-rgASAr17q/view?usp=drivesdk" TargetMode="External"/><Relationship Id="rId2264" Type="http://schemas.openxmlformats.org/officeDocument/2006/relationships/hyperlink" Target="https://lh5.googleusercontent.com/d/19DWykdxJvhRX6yNMVdlaulD6ijzKXr2R" TargetMode="External"/><Relationship Id="rId3594" Type="http://schemas.openxmlformats.org/officeDocument/2006/relationships/hyperlink" Target="https://lh5.googleusercontent.com/d/1mtb6wYDPSc_asbcuG5IFTAnJa-Qv_FJA" TargetMode="External"/><Relationship Id="rId345" Type="http://schemas.openxmlformats.org/officeDocument/2006/relationships/hyperlink" Target="https://drive.google.com/file/d/1enVTCdyfqTOtolpalTdTDeDZmXTeqMjs/view?usp=drivesdk" TargetMode="External"/><Relationship Id="rId2265" Type="http://schemas.openxmlformats.org/officeDocument/2006/relationships/hyperlink" Target="https://drive.google.com/file/d/1-eosj0NaYmKdGGRAX1NKps6lMIHfFfQx/view?usp=drivesdk" TargetMode="External"/><Relationship Id="rId3597" Type="http://schemas.openxmlformats.org/officeDocument/2006/relationships/hyperlink" Target="https://drive.google.com/file/d/1g9N2A2V1ThLznPos9PCjL__o8GEBKz_7/view?usp=drivesdk" TargetMode="External"/><Relationship Id="rId344" Type="http://schemas.openxmlformats.org/officeDocument/2006/relationships/hyperlink" Target="https://lh5.googleusercontent.com/d/17FLJCYVVFh8m1bQKgNKltlkJrlFu-11A" TargetMode="External"/><Relationship Id="rId2266" Type="http://schemas.openxmlformats.org/officeDocument/2006/relationships/hyperlink" Target="https://lh5.googleusercontent.com/d/1xOd8bik_YACQYJcy55CGKmS1seKGfQqR" TargetMode="External"/><Relationship Id="rId3596" Type="http://schemas.openxmlformats.org/officeDocument/2006/relationships/hyperlink" Target="https://lh5.googleusercontent.com/d/1uSJJgUJ_RtgfNnrWjCkSyB7Jn2F8IG9x" TargetMode="External"/><Relationship Id="rId343" Type="http://schemas.openxmlformats.org/officeDocument/2006/relationships/hyperlink" Target="https://drive.google.com/file/d/1WFN5hIw3JgqQ4ammFga4EaW5uflAVKoc/view?usp=drivesdk" TargetMode="External"/><Relationship Id="rId2267" Type="http://schemas.openxmlformats.org/officeDocument/2006/relationships/hyperlink" Target="https://drive.google.com/file/d/1fHT1r8gQWCfBDmyZTNLOh5oxRlIX5IbF/view?usp=drivesdk" TargetMode="External"/><Relationship Id="rId3599" Type="http://schemas.openxmlformats.org/officeDocument/2006/relationships/hyperlink" Target="https://drive.google.com/file/d/1dH2Qfc1athF78MMRgR6jy7nIYGURT4w_/view?usp=drivesdk" TargetMode="External"/><Relationship Id="rId342" Type="http://schemas.openxmlformats.org/officeDocument/2006/relationships/hyperlink" Target="https://lh5.googleusercontent.com/d/1WgmfLLnSvT7KnKaLQqMNMrm3566QhZUU" TargetMode="External"/><Relationship Id="rId2268" Type="http://schemas.openxmlformats.org/officeDocument/2006/relationships/hyperlink" Target="https://lh5.googleusercontent.com/d/16hSqlrti2Qad5QN8xgPvBwvstLXOTK8E" TargetMode="External"/><Relationship Id="rId3598" Type="http://schemas.openxmlformats.org/officeDocument/2006/relationships/hyperlink" Target="https://lh5.googleusercontent.com/d/1j_YhQQqr23EXO1BJhUSTI28oEuC8Vz36" TargetMode="External"/><Relationship Id="rId2258" Type="http://schemas.openxmlformats.org/officeDocument/2006/relationships/hyperlink" Target="https://lh5.googleusercontent.com/d/1zqBg31l5ECIKi1Uikos2CE39Dkg-CCEA" TargetMode="External"/><Relationship Id="rId2259" Type="http://schemas.openxmlformats.org/officeDocument/2006/relationships/hyperlink" Target="https://drive.google.com/file/d/1wuSZ-VKr5kVhLyAIpxFO3Cx-p61pDboG/view?usp=drivesdk" TargetMode="External"/><Relationship Id="rId3589" Type="http://schemas.openxmlformats.org/officeDocument/2006/relationships/hyperlink" Target="https://drive.google.com/file/d/18uSw_PQZUQLgHpEh3OdfX0il9zG5VeWM/view?usp=drivesdk" TargetMode="External"/><Relationship Id="rId338" Type="http://schemas.openxmlformats.org/officeDocument/2006/relationships/hyperlink" Target="https://lh5.googleusercontent.com/d/1Xvzy1vzetGcso43FkA1obvfCqt9R_LrS" TargetMode="External"/><Relationship Id="rId337" Type="http://schemas.openxmlformats.org/officeDocument/2006/relationships/hyperlink" Target="https://drive.google.com/file/d/1bIzoQL5FzRCJxHeXY5abG6FBUchMxfeA/view?usp=drivesdk" TargetMode="External"/><Relationship Id="rId336" Type="http://schemas.openxmlformats.org/officeDocument/2006/relationships/hyperlink" Target="https://lh5.googleusercontent.com/d/1CzJ7AqhU1V9uH13XkOsuyX1nFAumNiYQ" TargetMode="External"/><Relationship Id="rId335" Type="http://schemas.openxmlformats.org/officeDocument/2006/relationships/hyperlink" Target="https://drive.google.com/file/d/1hXrc_5JPOdllBT0WfbbWSy3rgIUtq9FM/view?usp=drivesdk" TargetMode="External"/><Relationship Id="rId3580" Type="http://schemas.openxmlformats.org/officeDocument/2006/relationships/hyperlink" Target="https://lh5.googleusercontent.com/d/1qmdASsMUTmfqul-sTfYrh3mfc917uhjn" TargetMode="External"/><Relationship Id="rId339" Type="http://schemas.openxmlformats.org/officeDocument/2006/relationships/hyperlink" Target="https://drive.google.com/file/d/1Yps7taksV0mtRGx9AIjDnUoAqHthF87K/view?usp=drivesdk" TargetMode="External"/><Relationship Id="rId330" Type="http://schemas.openxmlformats.org/officeDocument/2006/relationships/hyperlink" Target="https://lh5.googleusercontent.com/d/1NZYkTLXhh3vlRyIVT3ViTHETeLKLpgnW" TargetMode="External"/><Relationship Id="rId2250" Type="http://schemas.openxmlformats.org/officeDocument/2006/relationships/hyperlink" Target="https://drive.google.com/file/d/17aA-_6j8OzdOZbV1eHUL_g9IjIm_tdQO/view?usp=drivesdk" TargetMode="External"/><Relationship Id="rId3582" Type="http://schemas.openxmlformats.org/officeDocument/2006/relationships/hyperlink" Target="https://lh5.googleusercontent.com/d/1Ck4ZG4o3J5bNBYAzMA4CZur2B7nbpb_L" TargetMode="External"/><Relationship Id="rId2251" Type="http://schemas.openxmlformats.org/officeDocument/2006/relationships/hyperlink" Target="https://lh5.googleusercontent.com/d/1a6FE_-wRNqS84otCnOq1t0B2qqaqgtvX" TargetMode="External"/><Relationship Id="rId3581" Type="http://schemas.openxmlformats.org/officeDocument/2006/relationships/hyperlink" Target="https://drive.google.com/file/d/1i2MLlEMgCKdSqRkpecC4RAuX-Oabm24C/view?usp=drivesdk" TargetMode="External"/><Relationship Id="rId2252" Type="http://schemas.openxmlformats.org/officeDocument/2006/relationships/hyperlink" Target="https://lh5.googleusercontent.com/d/1owC_WNn2tTxrHa2otz4Y0xsZb7jpbG9d" TargetMode="External"/><Relationship Id="rId3584" Type="http://schemas.openxmlformats.org/officeDocument/2006/relationships/hyperlink" Target="https://lh5.googleusercontent.com/d/1VYsRuKaDYe08dv7ng2HfHCQelf0P_WHm" TargetMode="External"/><Relationship Id="rId2253" Type="http://schemas.openxmlformats.org/officeDocument/2006/relationships/hyperlink" Target="https://drive.google.com/file/d/1S7U0N2XQWuhiX9YkpiIgDc5W1IKGSNfh/view?usp=drivesdk" TargetMode="External"/><Relationship Id="rId3583" Type="http://schemas.openxmlformats.org/officeDocument/2006/relationships/hyperlink" Target="https://drive.google.com/file/d/1eyKapDvroaQLedBGHjQ64pkOXPfVWVml/view?usp=drivesdk" TargetMode="External"/><Relationship Id="rId334" Type="http://schemas.openxmlformats.org/officeDocument/2006/relationships/hyperlink" Target="https://lh5.googleusercontent.com/d/1Pw96L52X_rsE8C4oaW7_PGFfsrTX5mhK" TargetMode="External"/><Relationship Id="rId2254" Type="http://schemas.openxmlformats.org/officeDocument/2006/relationships/hyperlink" Target="https://lh5.googleusercontent.com/d/13EvnGY4oZ46aYhThSZPTNpFVwJq7Qp7M" TargetMode="External"/><Relationship Id="rId3586" Type="http://schemas.openxmlformats.org/officeDocument/2006/relationships/hyperlink" Target="https://lh5.googleusercontent.com/d/1ssRdxFPSc6uOJEaEEO3NYK0CJXQYHs3S" TargetMode="External"/><Relationship Id="rId333" Type="http://schemas.openxmlformats.org/officeDocument/2006/relationships/hyperlink" Target="https://drive.google.com/file/d/1YxB6ANLVzrTVqXgBZ3Q8hOZTvL73Z6vR/view?usp=drivesdk" TargetMode="External"/><Relationship Id="rId2255" Type="http://schemas.openxmlformats.org/officeDocument/2006/relationships/hyperlink" Target="https://drive.google.com/file/d/1eHl535q7TQXb9vewxYlZocNXgGqrfC7h/view?usp=drivesdk" TargetMode="External"/><Relationship Id="rId3585" Type="http://schemas.openxmlformats.org/officeDocument/2006/relationships/hyperlink" Target="https://drive.google.com/file/d/1PZ_ysaNYdKGC0C_WdxPSnPI1luT4PAN8/view?usp=drivesdk" TargetMode="External"/><Relationship Id="rId332" Type="http://schemas.openxmlformats.org/officeDocument/2006/relationships/hyperlink" Target="https://lh5.googleusercontent.com/d/1uK83acQpmj_ei1X-z8qV44KVeLwN0pOT" TargetMode="External"/><Relationship Id="rId2256" Type="http://schemas.openxmlformats.org/officeDocument/2006/relationships/hyperlink" Target="https://lh5.googleusercontent.com/d/17NNCMTDB798vaP0_zSpxyh1RGz0QEvz_" TargetMode="External"/><Relationship Id="rId3588" Type="http://schemas.openxmlformats.org/officeDocument/2006/relationships/hyperlink" Target="https://lh5.googleusercontent.com/d/1xWVSDEwp1nBW2J1cW4DZZtPSjgSrPiFC" TargetMode="External"/><Relationship Id="rId331" Type="http://schemas.openxmlformats.org/officeDocument/2006/relationships/hyperlink" Target="https://drive.google.com/file/d/1kFuAEXzlJ0Zn7Gj-9w9amhwNbg7AdL5j/view?usp=drivesdk" TargetMode="External"/><Relationship Id="rId2257" Type="http://schemas.openxmlformats.org/officeDocument/2006/relationships/hyperlink" Target="https://drive.google.com/file/d/1msUb9BeOq5XXlrWA0gkC60Di1CE8T2Lh/view?usp=drivesdk" TargetMode="External"/><Relationship Id="rId3587" Type="http://schemas.openxmlformats.org/officeDocument/2006/relationships/hyperlink" Target="https://drive.google.com/file/d/1oFdPKY2-1XupvMwDyWbXN4YBQ2Yb5CyG/view?usp=drivesdk" TargetMode="External"/><Relationship Id="rId5318" Type="http://schemas.openxmlformats.org/officeDocument/2006/relationships/hyperlink" Target="https://drive.google.com/file/d/1O7iyVu00Vi4oXZ8liQD6RO-KSII7xu_n/view?usp=drivesdk" TargetMode="External"/><Relationship Id="rId5319" Type="http://schemas.openxmlformats.org/officeDocument/2006/relationships/hyperlink" Target="https://lh5.googleusercontent.com/d/1-25fzREyBQxg7iZP3bVOu1JnH81GnZpZ" TargetMode="External"/><Relationship Id="rId5316" Type="http://schemas.openxmlformats.org/officeDocument/2006/relationships/hyperlink" Target="https://drive.google.com/file/d/1WEkRWFnHU-sVSPNyvP8xmVHNHDtb0FB9/view?usp=drivesdk" TargetMode="External"/><Relationship Id="rId5317" Type="http://schemas.openxmlformats.org/officeDocument/2006/relationships/hyperlink" Target="https://lh5.googleusercontent.com/d/1Egu3RlYLEg0yZsEU2YLBCaa7jmmvDXhB" TargetMode="External"/><Relationship Id="rId370" Type="http://schemas.openxmlformats.org/officeDocument/2006/relationships/hyperlink" Target="https://lh5.googleusercontent.com/d/1wCujP2swHeSvMsDi7LtsLfDVax24DOK5" TargetMode="External"/><Relationship Id="rId369" Type="http://schemas.openxmlformats.org/officeDocument/2006/relationships/hyperlink" Target="https://drive.google.com/file/d/1114MCL4Ukk6P7wQUm-AmaMlPqlMkOPdU/view?usp=drivesdk" TargetMode="External"/><Relationship Id="rId368" Type="http://schemas.openxmlformats.org/officeDocument/2006/relationships/hyperlink" Target="https://lh5.googleusercontent.com/d/1s5WxtqPQg-n0PN25slNUjo4mKha3_1N-" TargetMode="External"/><Relationship Id="rId2280" Type="http://schemas.openxmlformats.org/officeDocument/2006/relationships/hyperlink" Target="https://lh5.googleusercontent.com/d/1UAYAJEvVUpxe7QX6rnsDFYWyY0au_Eic" TargetMode="External"/><Relationship Id="rId2281" Type="http://schemas.openxmlformats.org/officeDocument/2006/relationships/hyperlink" Target="https://drive.google.com/file/d/1mOHfWbYccuCrQPq3dkG4EK9moBo3hKkS/view?usp=drivesdk" TargetMode="External"/><Relationship Id="rId2282" Type="http://schemas.openxmlformats.org/officeDocument/2006/relationships/hyperlink" Target="https://lh5.googleusercontent.com/d/1DMHLUjVyb9LZLNK3lFBI9urPtCcrBJ_f" TargetMode="External"/><Relationship Id="rId363" Type="http://schemas.openxmlformats.org/officeDocument/2006/relationships/hyperlink" Target="https://drive.google.com/file/d/1ekvmfvWcgYrqN8FyUWqkCkW1-lpiBcAI/view?usp=drivesdk" TargetMode="External"/><Relationship Id="rId2283" Type="http://schemas.openxmlformats.org/officeDocument/2006/relationships/hyperlink" Target="https://drive.google.com/file/d/1krTEvfy0wYWL62okfal20FmsJpoZfQAC/view?usp=drivesdk" TargetMode="External"/><Relationship Id="rId5310" Type="http://schemas.openxmlformats.org/officeDocument/2006/relationships/hyperlink" Target="https://drive.google.com/file/d/1sMPi16513wYe7TFssjI7p2ABoMSX5WhG/view?usp=drivesdk" TargetMode="External"/><Relationship Id="rId362" Type="http://schemas.openxmlformats.org/officeDocument/2006/relationships/hyperlink" Target="https://lh5.googleusercontent.com/d/1ogEMKhMQ_n8fRShn1a8AIl0puPeRGfyJ" TargetMode="External"/><Relationship Id="rId2284" Type="http://schemas.openxmlformats.org/officeDocument/2006/relationships/hyperlink" Target="https://lh5.googleusercontent.com/d/1Z6doTm2aEBPjZz0UWAZjjVB5TjBBveum" TargetMode="External"/><Relationship Id="rId5311" Type="http://schemas.openxmlformats.org/officeDocument/2006/relationships/hyperlink" Target="https://lh5.googleusercontent.com/d/1RGL_J9Cv_UIohRJlcyinWX1TkigS-nbF" TargetMode="External"/><Relationship Id="rId361" Type="http://schemas.openxmlformats.org/officeDocument/2006/relationships/hyperlink" Target="https://drive.google.com/file/d/1IxxyEk0YZSzWLqw-8nZaAqax_EImpNyr/view?usp=drivesdk" TargetMode="External"/><Relationship Id="rId2285" Type="http://schemas.openxmlformats.org/officeDocument/2006/relationships/hyperlink" Target="https://lh5.googleusercontent.com/d/1oOc9hEk7BG0j0BdO78GqXAzh-QxFqHeS" TargetMode="External"/><Relationship Id="rId360" Type="http://schemas.openxmlformats.org/officeDocument/2006/relationships/hyperlink" Target="https://lh5.googleusercontent.com/d/1_GkTFWmESvn_c1NqOTHJPog4MavHnUcw" TargetMode="External"/><Relationship Id="rId2286" Type="http://schemas.openxmlformats.org/officeDocument/2006/relationships/hyperlink" Target="https://drive.google.com/file/d/1m9mPEaNIwikhgu932bVvyzXKByfB9kER/view?usp=drivesdk" TargetMode="External"/><Relationship Id="rId367" Type="http://schemas.openxmlformats.org/officeDocument/2006/relationships/hyperlink" Target="https://drive.google.com/file/d/1MqJzn2S704WrIJX-uF8Kgj60-uDZSitI/view?usp=drivesdk" TargetMode="External"/><Relationship Id="rId2287" Type="http://schemas.openxmlformats.org/officeDocument/2006/relationships/hyperlink" Target="https://lh5.googleusercontent.com/d/1yS_zdMdcbbyNhnEsU8opjgbqNi6mCEcd" TargetMode="External"/><Relationship Id="rId5314" Type="http://schemas.openxmlformats.org/officeDocument/2006/relationships/hyperlink" Target="https://drive.google.com/file/d/1WgmpSyAdZ_MmMXukD5Z7OBVtsho6nlTm/view?usp=drivesdk" TargetMode="External"/><Relationship Id="rId366" Type="http://schemas.openxmlformats.org/officeDocument/2006/relationships/hyperlink" Target="https://lh5.googleusercontent.com/d/1ego6DHU1CskZ52FnIJCiVuoitjQ-bmny" TargetMode="External"/><Relationship Id="rId2288" Type="http://schemas.openxmlformats.org/officeDocument/2006/relationships/hyperlink" Target="https://drive.google.com/file/d/1izV_PX5rllT6Djp9Zr_C_zC9rexXRw5V/view?usp=drivesdk" TargetMode="External"/><Relationship Id="rId5315" Type="http://schemas.openxmlformats.org/officeDocument/2006/relationships/hyperlink" Target="https://lh5.googleusercontent.com/d/1pMYWphHWkJa-tiAWgsCHnZzSS5j8P_7P" TargetMode="External"/><Relationship Id="rId365" Type="http://schemas.openxmlformats.org/officeDocument/2006/relationships/hyperlink" Target="https://drive.google.com/file/d/10KmywXfmZM_QOnLiIZ02bu496wZfL9aU/view?usp=drivesdk" TargetMode="External"/><Relationship Id="rId2289" Type="http://schemas.openxmlformats.org/officeDocument/2006/relationships/hyperlink" Target="https://lh5.googleusercontent.com/d/14nkCdsH2qpb-emq32JbnYu-awkax7Kz0" TargetMode="External"/><Relationship Id="rId5312" Type="http://schemas.openxmlformats.org/officeDocument/2006/relationships/hyperlink" Target="https://drive.google.com/file/d/1vDJXgMbmPIrH8sC3RcoVzAUxAyDYEQN0/view?usp=drivesdk" TargetMode="External"/><Relationship Id="rId364" Type="http://schemas.openxmlformats.org/officeDocument/2006/relationships/hyperlink" Target="https://lh5.googleusercontent.com/d/13BQrqoFCez8XXivE0ubLxxGFXAizkHV7" TargetMode="External"/><Relationship Id="rId5313" Type="http://schemas.openxmlformats.org/officeDocument/2006/relationships/hyperlink" Target="https://lh5.googleusercontent.com/d/194wqIOxCI-VLYfIbgMYGLbT_6JJIkh5U" TargetMode="External"/><Relationship Id="rId95" Type="http://schemas.openxmlformats.org/officeDocument/2006/relationships/hyperlink" Target="https://drive.google.com/file/d/1kuh1Y-uG3RPU_F0szTaxE6oT19tykEBB/view?usp=drivesdk" TargetMode="External"/><Relationship Id="rId5307" Type="http://schemas.openxmlformats.org/officeDocument/2006/relationships/hyperlink" Target="https://lh5.googleusercontent.com/d/1PNmanvq1IpM2jHpZtzK2cRmkIZ7dFI8T" TargetMode="External"/><Relationship Id="rId94" Type="http://schemas.openxmlformats.org/officeDocument/2006/relationships/hyperlink" Target="https://lh5.googleusercontent.com/d/15MOF85VXVPQ_2p52Igw76vpfa4_H8_fd" TargetMode="External"/><Relationship Id="rId5308" Type="http://schemas.openxmlformats.org/officeDocument/2006/relationships/hyperlink" Target="https://drive.google.com/file/d/1guel7VfrZvauy0gF4VCqNzG2QTsl48k1/view?usp=drivesdk" TargetMode="External"/><Relationship Id="rId97" Type="http://schemas.openxmlformats.org/officeDocument/2006/relationships/hyperlink" Target="https://drive.google.com/file/d/12OFwhv5OeC3cB_hxEYz5haFll8kHdkoa/view?usp=drivesdk" TargetMode="External"/><Relationship Id="rId5305" Type="http://schemas.openxmlformats.org/officeDocument/2006/relationships/hyperlink" Target="https://drive.google.com/file/d/1Ta2G3iQSI9FaXZ5yDjNx8-x2w6gKa8g8/view?usp=drivesdk" TargetMode="External"/><Relationship Id="rId96" Type="http://schemas.openxmlformats.org/officeDocument/2006/relationships/hyperlink" Target="https://lh5.googleusercontent.com/d/1LE_xcbwuN-0NovlzYDoEwu3tdkb-IgzC" TargetMode="External"/><Relationship Id="rId5306" Type="http://schemas.openxmlformats.org/officeDocument/2006/relationships/hyperlink" Target="https://lh5.googleusercontent.com/d/1PNmanvq1IpM2jHpZtzK2cRmkIZ7dFI8T" TargetMode="External"/><Relationship Id="rId99" Type="http://schemas.openxmlformats.org/officeDocument/2006/relationships/hyperlink" Target="https://drive.google.com/file/d/1ycDbuVZWKGxDDfvl8BvRQ6XCN37cSDD-/view?usp=drivesdk" TargetMode="External"/><Relationship Id="rId98" Type="http://schemas.openxmlformats.org/officeDocument/2006/relationships/hyperlink" Target="https://lh5.googleusercontent.com/d/1I62JFQY8SyN-09xX-XVJa2Hx-H76kLpw" TargetMode="External"/><Relationship Id="rId5309" Type="http://schemas.openxmlformats.org/officeDocument/2006/relationships/hyperlink" Target="https://lh5.googleusercontent.com/d/10hYRsxZbp3ase-QwCAhADVuIpUEUspHW" TargetMode="External"/><Relationship Id="rId91" Type="http://schemas.openxmlformats.org/officeDocument/2006/relationships/hyperlink" Target="https://drive.google.com/file/d/1Snqb11XZJ9ow7p2UliNzn_rD1UgGa0dk/view?usp=drivesdk" TargetMode="External"/><Relationship Id="rId90" Type="http://schemas.openxmlformats.org/officeDocument/2006/relationships/hyperlink" Target="https://lh5.googleusercontent.com/d/1NsmYisw67wLcZfB4zh2z59bQ7vkIi3ck" TargetMode="External"/><Relationship Id="rId93" Type="http://schemas.openxmlformats.org/officeDocument/2006/relationships/hyperlink" Target="https://drive.google.com/file/d/1w-dv1u-amf2y4X82GJWx4Alla4msQE3z/view?usp=drivesdk" TargetMode="External"/><Relationship Id="rId92" Type="http://schemas.openxmlformats.org/officeDocument/2006/relationships/hyperlink" Target="https://lh5.googleusercontent.com/d/1yJzubrPLPTykQ3sZL8b_MNQFOf1YplIL" TargetMode="External"/><Relationship Id="rId359" Type="http://schemas.openxmlformats.org/officeDocument/2006/relationships/hyperlink" Target="https://drive.google.com/file/d/14hNLjR03iuSk3unuSLEETzunbb3DPZq6/view?usp=drivesdk" TargetMode="External"/><Relationship Id="rId358" Type="http://schemas.openxmlformats.org/officeDocument/2006/relationships/hyperlink" Target="https://lh5.googleusercontent.com/d/1Hp3dJ4p3onz7RnPcAWxCMrVFQxgFovA5" TargetMode="External"/><Relationship Id="rId357" Type="http://schemas.openxmlformats.org/officeDocument/2006/relationships/hyperlink" Target="https://drive.google.com/file/d/1l8xW7Zh3lOaHg4grhx3jUFDGaqZF7h40/view?usp=drivesdk" TargetMode="External"/><Relationship Id="rId2270" Type="http://schemas.openxmlformats.org/officeDocument/2006/relationships/hyperlink" Target="https://lh5.googleusercontent.com/d/1QlytoyxIcvSrZtDVXfpPwz5Phl5W5HDT" TargetMode="External"/><Relationship Id="rId2271" Type="http://schemas.openxmlformats.org/officeDocument/2006/relationships/hyperlink" Target="https://drive.google.com/file/d/17Q-HhlhvR3Yw16PIFHyRlgdTmoj7uT7b/view?usp=drivesdk" TargetMode="External"/><Relationship Id="rId352" Type="http://schemas.openxmlformats.org/officeDocument/2006/relationships/hyperlink" Target="https://lh5.googleusercontent.com/d/1SpVdE8Uml6QlwA3j6cj5ZFMcNlr40Ghr" TargetMode="External"/><Relationship Id="rId2272" Type="http://schemas.openxmlformats.org/officeDocument/2006/relationships/hyperlink" Target="https://lh5.googleusercontent.com/d/1tnqPQ2CZLBmlr6sogRhTEkesYftj1eKK" TargetMode="External"/><Relationship Id="rId351" Type="http://schemas.openxmlformats.org/officeDocument/2006/relationships/hyperlink" Target="https://drive.google.com/file/d/1_TxGMZhNRmXAB9vjgao8SPuwTQphy7QI/view?usp=drivesdk" TargetMode="External"/><Relationship Id="rId2273" Type="http://schemas.openxmlformats.org/officeDocument/2006/relationships/hyperlink" Target="https://drive.google.com/file/d/16J3jQ2Kj-Ti81MsKazbvG5zJn48piL0E/view?usp=drivesdk" TargetMode="External"/><Relationship Id="rId5300" Type="http://schemas.openxmlformats.org/officeDocument/2006/relationships/hyperlink" Target="https://lh5.googleusercontent.com/d/1KU6VYYe8CbfkxMN87whfSxpUcr6LLUfy" TargetMode="External"/><Relationship Id="rId350" Type="http://schemas.openxmlformats.org/officeDocument/2006/relationships/hyperlink" Target="https://lh5.googleusercontent.com/d/1XgpsxvnNkoHMicdqr_GWeMwRunGSnXQ_" TargetMode="External"/><Relationship Id="rId2274" Type="http://schemas.openxmlformats.org/officeDocument/2006/relationships/hyperlink" Target="https://lh5.googleusercontent.com/d/1_SH2YUt47qDckatFMJaSEgQmBUPmWdVO" TargetMode="External"/><Relationship Id="rId2275" Type="http://schemas.openxmlformats.org/officeDocument/2006/relationships/hyperlink" Target="https://drive.google.com/file/d/14qJC4UcVlGZIB1I6KbmqJB031W2aMJUM/view?usp=drivesdk" TargetMode="External"/><Relationship Id="rId356" Type="http://schemas.openxmlformats.org/officeDocument/2006/relationships/hyperlink" Target="https://lh5.googleusercontent.com/d/1CmTOHms1shMOdRRpaHJUmaXkjtKhGBx4" TargetMode="External"/><Relationship Id="rId2276" Type="http://schemas.openxmlformats.org/officeDocument/2006/relationships/hyperlink" Target="https://lh5.googleusercontent.com/d/1afhfUXaCl1psZTmBbYL37pKYFuOwpafT" TargetMode="External"/><Relationship Id="rId5303" Type="http://schemas.openxmlformats.org/officeDocument/2006/relationships/hyperlink" Target="https://drive.google.com/file/d/1QB2qhPLGAQXa6iRskPqwzpJICVoGHrzq/view?usp=drivesdk" TargetMode="External"/><Relationship Id="rId355" Type="http://schemas.openxmlformats.org/officeDocument/2006/relationships/hyperlink" Target="https://drive.google.com/file/d/1h7sCz-DyvKeRwqUfbGF8LxYv736dkTvY/view?usp=drivesdk" TargetMode="External"/><Relationship Id="rId2277" Type="http://schemas.openxmlformats.org/officeDocument/2006/relationships/hyperlink" Target="https://drive.google.com/file/d/1duexgGYIPCs8JMIFvNBuFDE5lPlJV-Oy/view?usp=drivesdk" TargetMode="External"/><Relationship Id="rId5304" Type="http://schemas.openxmlformats.org/officeDocument/2006/relationships/hyperlink" Target="https://lh5.googleusercontent.com/d/1f-bYiBdg5cn4hA6jIr9YnwjGNk3_E8f7" TargetMode="External"/><Relationship Id="rId354" Type="http://schemas.openxmlformats.org/officeDocument/2006/relationships/hyperlink" Target="https://lh5.googleusercontent.com/d/1HIUR9MnNKLZJi3FkKCfoo1HRxXWoMlWu" TargetMode="External"/><Relationship Id="rId2278" Type="http://schemas.openxmlformats.org/officeDocument/2006/relationships/hyperlink" Target="https://lh5.googleusercontent.com/d/1nP5lQHXW9gNCOJGCjrb8YnGzD-ff3mtD" TargetMode="External"/><Relationship Id="rId5301" Type="http://schemas.openxmlformats.org/officeDocument/2006/relationships/hyperlink" Target="https://drive.google.com/file/d/1SbMmezSaN8eScuCSoLB0x0NgZ7YzimLu/view?usp=drivesdk" TargetMode="External"/><Relationship Id="rId353" Type="http://schemas.openxmlformats.org/officeDocument/2006/relationships/hyperlink" Target="https://drive.google.com/file/d/1fJyMWGXMBGuQfUwrUx0Zw_H0VGd6PK9_/view?usp=drivesdk" TargetMode="External"/><Relationship Id="rId2279" Type="http://schemas.openxmlformats.org/officeDocument/2006/relationships/hyperlink" Target="https://drive.google.com/file/d/1442HJ2m-csqfHgqmGkFz0CZr1SgJayRo/view?usp=drivesdk" TargetMode="External"/><Relationship Id="rId5302" Type="http://schemas.openxmlformats.org/officeDocument/2006/relationships/hyperlink" Target="https://lh5.googleusercontent.com/d/1vOsyhQUOQYqL7KRvt9mLK6yJIsb8-zht" TargetMode="External"/><Relationship Id="rId2225" Type="http://schemas.openxmlformats.org/officeDocument/2006/relationships/hyperlink" Target="https://drive.google.com/file/d/1Rg2yNNSTWlMrVpsBfmkNbu2879EnDnho/view?usp=drivesdk" TargetMode="External"/><Relationship Id="rId3557" Type="http://schemas.openxmlformats.org/officeDocument/2006/relationships/hyperlink" Target="https://drive.google.com/file/d/1UzqVVpj5z7ZOIErqOQwKG8Ozcos4BeU4/view?usp=drivesdk" TargetMode="External"/><Relationship Id="rId4888" Type="http://schemas.openxmlformats.org/officeDocument/2006/relationships/hyperlink" Target="https://drive.google.com/file/d/1CTbEOmIUf-60xebln_Ba7W0FIaG3oG5k/view?usp=drivesdk" TargetMode="External"/><Relationship Id="rId2226" Type="http://schemas.openxmlformats.org/officeDocument/2006/relationships/hyperlink" Target="https://lh5.googleusercontent.com/d/1lSaAYo5fo38ayV9G2QVX2dgqjNX7K596" TargetMode="External"/><Relationship Id="rId3556" Type="http://schemas.openxmlformats.org/officeDocument/2006/relationships/hyperlink" Target="https://lh5.googleusercontent.com/d/1Z33WlJd8aGacrbMYkwBTlyR7rtWSW8Fb" TargetMode="External"/><Relationship Id="rId4887" Type="http://schemas.openxmlformats.org/officeDocument/2006/relationships/hyperlink" Target="https://lh5.googleusercontent.com/d/1734ti4DE0OQuqUqVWPIe-HakBseuTndd" TargetMode="External"/><Relationship Id="rId2227" Type="http://schemas.openxmlformats.org/officeDocument/2006/relationships/hyperlink" Target="https://drive.google.com/file/d/1wEkJQ8cy_D7tkqlnk9UsH8gmSIXOupzg/view?usp=drivesdk" TargetMode="External"/><Relationship Id="rId3559" Type="http://schemas.openxmlformats.org/officeDocument/2006/relationships/hyperlink" Target="https://drive.google.com/file/d/18shZqDouieXpTa1OTm7D5nRn5E-RFcbS/view?usp=drivesdk" TargetMode="External"/><Relationship Id="rId2228" Type="http://schemas.openxmlformats.org/officeDocument/2006/relationships/hyperlink" Target="https://lh5.googleusercontent.com/d/12DnN8gdrtEHoPbZTnYQbjTBh3iRzVAF-" TargetMode="External"/><Relationship Id="rId3558" Type="http://schemas.openxmlformats.org/officeDocument/2006/relationships/hyperlink" Target="https://lh5.googleusercontent.com/d/1a3rEW8liXfOlxZSx8KZiQLfM8rPjkaWK" TargetMode="External"/><Relationship Id="rId4889" Type="http://schemas.openxmlformats.org/officeDocument/2006/relationships/hyperlink" Target="https://lh5.googleusercontent.com/d/12Hd2dK3oVBabAMH7_q4Z7CC8_stb7Xqj" TargetMode="External"/><Relationship Id="rId2229" Type="http://schemas.openxmlformats.org/officeDocument/2006/relationships/hyperlink" Target="https://drive.google.com/file/d/1OqGurlFlXS8D5FRTdhXrT1FWTt3o5U89/view?usp=drivesdk" TargetMode="External"/><Relationship Id="rId305" Type="http://schemas.openxmlformats.org/officeDocument/2006/relationships/hyperlink" Target="https://drive.google.com/file/d/16VhCZjRWgPFzp85RixGLxVcVzcB68BbT/view?usp=drivesdk" TargetMode="External"/><Relationship Id="rId304" Type="http://schemas.openxmlformats.org/officeDocument/2006/relationships/hyperlink" Target="https://lh5.googleusercontent.com/d/1CrPX3_R3Hgg-jUmvs2s6UEu-wRiawoPG" TargetMode="External"/><Relationship Id="rId303" Type="http://schemas.openxmlformats.org/officeDocument/2006/relationships/hyperlink" Target="https://drive.google.com/file/d/1t8IyX1nZlkYnjPDADxFvFzhhWObIJQED/view?usp=drivesdk" TargetMode="External"/><Relationship Id="rId302" Type="http://schemas.openxmlformats.org/officeDocument/2006/relationships/hyperlink" Target="https://lh5.googleusercontent.com/d/1qyyUtDZhtjq7WU11x0aXsZEbF96H61en" TargetMode="External"/><Relationship Id="rId309" Type="http://schemas.openxmlformats.org/officeDocument/2006/relationships/hyperlink" Target="https://drive.google.com/file/d/1wNTZNS04GI7ijk7S3Js8Xcse_WHH0t9h/view?usp=drivesdk" TargetMode="External"/><Relationship Id="rId308" Type="http://schemas.openxmlformats.org/officeDocument/2006/relationships/hyperlink" Target="https://lh5.googleusercontent.com/d/1-xOZwXKQ31QN965YXgoKTM8YimxaoHRM" TargetMode="External"/><Relationship Id="rId307" Type="http://schemas.openxmlformats.org/officeDocument/2006/relationships/hyperlink" Target="https://drive.google.com/file/d/1CMldJhc_f5z4-lt5QNe3OMrOGKekOeWh/view?usp=drivesdk" TargetMode="External"/><Relationship Id="rId306" Type="http://schemas.openxmlformats.org/officeDocument/2006/relationships/hyperlink" Target="https://lh5.googleusercontent.com/d/1FVPEVdeGqDgxK7sokpVn6sIMZl4xhzCJ" TargetMode="External"/><Relationship Id="rId4880" Type="http://schemas.openxmlformats.org/officeDocument/2006/relationships/hyperlink" Target="https://drive.google.com/file/d/1J13uibAIOJyAeORcscYjIF-a1TE2sAyO/view?usp=drivesdk" TargetMode="External"/><Relationship Id="rId3551" Type="http://schemas.openxmlformats.org/officeDocument/2006/relationships/hyperlink" Target="https://drive.google.com/file/d/1S5L60LffHU9QcW6t0BahnAImgMGRpa0r/view?usp=drivesdk" TargetMode="External"/><Relationship Id="rId4882" Type="http://schemas.openxmlformats.org/officeDocument/2006/relationships/hyperlink" Target="https://drive.google.com/file/d/1FBcqgO_20I7IGihNOZDbXPsKIaulrl0z/view?usp=drivesdk" TargetMode="External"/><Relationship Id="rId2220" Type="http://schemas.openxmlformats.org/officeDocument/2006/relationships/hyperlink" Target="https://lh5.googleusercontent.com/d/1TDweql4endpO_L6ORpsywwxOk-D8ZTnA" TargetMode="External"/><Relationship Id="rId3550" Type="http://schemas.openxmlformats.org/officeDocument/2006/relationships/hyperlink" Target="https://lh5.googleusercontent.com/d/1XV_tdWKqfcMkHPZkcVvgq0BAkNcSn9dh" TargetMode="External"/><Relationship Id="rId4881" Type="http://schemas.openxmlformats.org/officeDocument/2006/relationships/hyperlink" Target="https://lh5.googleusercontent.com/d/1Z3Xx8am_law_IfcNzqX17Mf1Z5PwQU9j" TargetMode="External"/><Relationship Id="rId301" Type="http://schemas.openxmlformats.org/officeDocument/2006/relationships/hyperlink" Target="https://drive.google.com/file/d/1758GxlKglsz81KnavSqck1dYKJeAPGm1/view?usp=drivesdk" TargetMode="External"/><Relationship Id="rId2221" Type="http://schemas.openxmlformats.org/officeDocument/2006/relationships/hyperlink" Target="https://drive.google.com/file/d/197ekSPJSdEbiUyc3D3eisuMXkNIq7llp/view?usp=drivesdk" TargetMode="External"/><Relationship Id="rId3553" Type="http://schemas.openxmlformats.org/officeDocument/2006/relationships/hyperlink" Target="https://drive.google.com/file/d/1-KrQSfpcesFAzjGpteZVMWDPUEK15xfH/view?usp=drivesdk" TargetMode="External"/><Relationship Id="rId4884" Type="http://schemas.openxmlformats.org/officeDocument/2006/relationships/hyperlink" Target="https://drive.google.com/file/d/1bf5tumiag3H1PNdIaS1spVsiTor5hzny/view?usp=drivesdk" TargetMode="External"/><Relationship Id="rId300" Type="http://schemas.openxmlformats.org/officeDocument/2006/relationships/hyperlink" Target="https://lh5.googleusercontent.com/d/1cL2StfC-kHXJyTw-5m4qN0loVH6fiGup" TargetMode="External"/><Relationship Id="rId2222" Type="http://schemas.openxmlformats.org/officeDocument/2006/relationships/hyperlink" Target="https://lh5.googleusercontent.com/d/1AIlZcdZHUHNhb0uiVOE1JObQrEJnce6i" TargetMode="External"/><Relationship Id="rId3552" Type="http://schemas.openxmlformats.org/officeDocument/2006/relationships/hyperlink" Target="https://lh5.googleusercontent.com/d/1VNE-yYMrsfyDcqPYHASTM9gCJb7BEbOg" TargetMode="External"/><Relationship Id="rId4883" Type="http://schemas.openxmlformats.org/officeDocument/2006/relationships/hyperlink" Target="https://lh5.googleusercontent.com/d/1WyT_TW4C82pOyDtWvgyhB3sdM9fWrP4G" TargetMode="External"/><Relationship Id="rId2223" Type="http://schemas.openxmlformats.org/officeDocument/2006/relationships/hyperlink" Target="https://drive.google.com/file/d/163FWr-BBx_2pE1TJPBVxrYigu6KWkKyj/view?usp=drivesdk" TargetMode="External"/><Relationship Id="rId3555" Type="http://schemas.openxmlformats.org/officeDocument/2006/relationships/hyperlink" Target="https://drive.google.com/file/d/1v1k6o8h0sh8_CVHuA7lCkXPTXohOkaLK/view?usp=drivesdk" TargetMode="External"/><Relationship Id="rId4886" Type="http://schemas.openxmlformats.org/officeDocument/2006/relationships/hyperlink" Target="https://drive.google.com/file/d/1_GQ7t-AztYEVlMrscGeV82eK9oW0rxx2/view?usp=drivesdk" TargetMode="External"/><Relationship Id="rId2224" Type="http://schemas.openxmlformats.org/officeDocument/2006/relationships/hyperlink" Target="https://lh5.googleusercontent.com/d/10Yh4CT6RwVsoHQCMGqIxb4xZ5Mw0Nyvc" TargetMode="External"/><Relationship Id="rId3554" Type="http://schemas.openxmlformats.org/officeDocument/2006/relationships/hyperlink" Target="https://lh5.googleusercontent.com/d/1uR3srLugQU0O41yWyay9AkCrxwvL0_qb" TargetMode="External"/><Relationship Id="rId4885" Type="http://schemas.openxmlformats.org/officeDocument/2006/relationships/hyperlink" Target="https://lh5.googleusercontent.com/d/1cQp0HQbhUefpKVtybyVvyDiLnhZxnDMa" TargetMode="External"/><Relationship Id="rId2214" Type="http://schemas.openxmlformats.org/officeDocument/2006/relationships/hyperlink" Target="https://lh5.googleusercontent.com/d/16CYE7GN-qION7RGdJ093YlUSordRPXgj" TargetMode="External"/><Relationship Id="rId3546" Type="http://schemas.openxmlformats.org/officeDocument/2006/relationships/hyperlink" Target="https://lh5.googleusercontent.com/d/1R1OZsX-MOeLCkL95qsL0Gt-ZGeulEO2d" TargetMode="External"/><Relationship Id="rId4877" Type="http://schemas.openxmlformats.org/officeDocument/2006/relationships/hyperlink" Target="https://lh5.googleusercontent.com/d/1ko4h-qsHeC_0K3xY2SCRejH_p3Ci_M1m" TargetMode="External"/><Relationship Id="rId2215" Type="http://schemas.openxmlformats.org/officeDocument/2006/relationships/hyperlink" Target="https://drive.google.com/file/d/1NB7ZBxCKfoEduTJD5bcGjP_FZePHfnSh/view?usp=drivesdk" TargetMode="External"/><Relationship Id="rId3545" Type="http://schemas.openxmlformats.org/officeDocument/2006/relationships/hyperlink" Target="https://drive.google.com/file/d/1fMPwzLAzhL3I1fzOlUM4u0hY0nntD5VE/view?usp=drivesdk" TargetMode="External"/><Relationship Id="rId4876" Type="http://schemas.openxmlformats.org/officeDocument/2006/relationships/hyperlink" Target="https://drive.google.com/file/d/1KG9kvsYg7d4sr7sBHbTsOoidBMXmpI8J/view?usp=drivesdk" TargetMode="External"/><Relationship Id="rId2216" Type="http://schemas.openxmlformats.org/officeDocument/2006/relationships/hyperlink" Target="https://lh5.googleusercontent.com/d/1GoipzMtun9_2AYThQuPBDCIu0-azItdX" TargetMode="External"/><Relationship Id="rId3548" Type="http://schemas.openxmlformats.org/officeDocument/2006/relationships/hyperlink" Target="https://lh5.googleusercontent.com/d/1Bm5fm4ZEOgmKzMp6CcSsABO-glAbabHF" TargetMode="External"/><Relationship Id="rId4879" Type="http://schemas.openxmlformats.org/officeDocument/2006/relationships/hyperlink" Target="https://lh5.googleusercontent.com/d/1AV4Wiv-1d4kh3l2GR9z47dTfociXPoiK" TargetMode="External"/><Relationship Id="rId2217" Type="http://schemas.openxmlformats.org/officeDocument/2006/relationships/hyperlink" Target="https://drive.google.com/file/d/1_l1PFu97rLYZWSxzfO9spWcjhzjSIRd0/view?usp=drivesdk" TargetMode="External"/><Relationship Id="rId3547" Type="http://schemas.openxmlformats.org/officeDocument/2006/relationships/hyperlink" Target="https://drive.google.com/file/d/17jW6MeYEm8VpO9_8RuhQHZxBdKXLgtYZ/view?usp=drivesdk" TargetMode="External"/><Relationship Id="rId4878" Type="http://schemas.openxmlformats.org/officeDocument/2006/relationships/hyperlink" Target="https://drive.google.com/file/d/1iWBtaNMg3kY1IpbAMdCx4m8oofRJlrUT/view?usp=drivesdk" TargetMode="External"/><Relationship Id="rId2218" Type="http://schemas.openxmlformats.org/officeDocument/2006/relationships/hyperlink" Target="https://lh5.googleusercontent.com/d/1qgcMEGTbEVBxuj7UIDj1mL6gedeSA-B9" TargetMode="External"/><Relationship Id="rId2219" Type="http://schemas.openxmlformats.org/officeDocument/2006/relationships/hyperlink" Target="https://drive.google.com/file/d/1JY8yyButCds-7zMhdf59m7_1xYHJOuU4/view?usp=drivesdk" TargetMode="External"/><Relationship Id="rId3549" Type="http://schemas.openxmlformats.org/officeDocument/2006/relationships/hyperlink" Target="https://drive.google.com/file/d/1UDYdoxh_j28O1qM7ADXRKccuOTzFjKvZ/view?usp=drivesdk" TargetMode="External"/><Relationship Id="rId3540" Type="http://schemas.openxmlformats.org/officeDocument/2006/relationships/hyperlink" Target="https://lh5.googleusercontent.com/d/1Sl5s3gyTBAJ9gfgQM6s81kKm1X8Lb62Z" TargetMode="External"/><Relationship Id="rId4871" Type="http://schemas.openxmlformats.org/officeDocument/2006/relationships/hyperlink" Target="https://lh5.googleusercontent.com/d/1T9SNZalVBRJ2pgusCyKPKPUOGfZWrw7k" TargetMode="External"/><Relationship Id="rId4870" Type="http://schemas.openxmlformats.org/officeDocument/2006/relationships/hyperlink" Target="https://drive.google.com/file/d/1ZxZjjsjQS9v-RJE0RdRbLIL9qhwKVYeT/view?usp=drivesdk" TargetMode="External"/><Relationship Id="rId2210" Type="http://schemas.openxmlformats.org/officeDocument/2006/relationships/hyperlink" Target="https://lh5.googleusercontent.com/d/1rzAlia-WESIx-LdlplxRcm8bY-hcEXY7" TargetMode="External"/><Relationship Id="rId3542" Type="http://schemas.openxmlformats.org/officeDocument/2006/relationships/hyperlink" Target="https://lh5.googleusercontent.com/d/1WqTQHFooVZA1RdxujIS5Yfop-8H6UhzR" TargetMode="External"/><Relationship Id="rId4873" Type="http://schemas.openxmlformats.org/officeDocument/2006/relationships/hyperlink" Target="https://lh5.googleusercontent.com/d/1hsnLkqz2DOx8nRPAUxuECDGv29HHDcMu" TargetMode="External"/><Relationship Id="rId2211" Type="http://schemas.openxmlformats.org/officeDocument/2006/relationships/hyperlink" Target="https://drive.google.com/file/d/1Djvo2twyTYmVYlxbk-na7S1BmMmJoKxO/view?usp=drivesdk" TargetMode="External"/><Relationship Id="rId3541" Type="http://schemas.openxmlformats.org/officeDocument/2006/relationships/hyperlink" Target="https://drive.google.com/file/d/11KvtGw1HVD7rQD1tv5HQnfhU0trRNDB7/view?usp=drivesdk" TargetMode="External"/><Relationship Id="rId4872" Type="http://schemas.openxmlformats.org/officeDocument/2006/relationships/hyperlink" Target="https://drive.google.com/file/d/1p7CUSQBD5buRZYkE93AE5OnuAfVfRYkZ/view?usp=drivesdk" TargetMode="External"/><Relationship Id="rId2212" Type="http://schemas.openxmlformats.org/officeDocument/2006/relationships/hyperlink" Target="https://lh5.googleusercontent.com/d/1o7GZaOESE5WtNvLmjNlxkmVYNUc-mH0K" TargetMode="External"/><Relationship Id="rId3544" Type="http://schemas.openxmlformats.org/officeDocument/2006/relationships/hyperlink" Target="https://lh5.googleusercontent.com/d/1-mWgwzzaOuTF4S_bN7EnHPALeXAU-bDM" TargetMode="External"/><Relationship Id="rId4875" Type="http://schemas.openxmlformats.org/officeDocument/2006/relationships/hyperlink" Target="https://lh5.googleusercontent.com/d/1ZxA_oeLq0UJUBSu2yiG1SP-I9WlJfF30" TargetMode="External"/><Relationship Id="rId2213" Type="http://schemas.openxmlformats.org/officeDocument/2006/relationships/hyperlink" Target="https://drive.google.com/file/d/19_G4SlPVKy8Du1ETw0Y1rjCeLzQTqSgZ/view?usp=drivesdk" TargetMode="External"/><Relationship Id="rId3543" Type="http://schemas.openxmlformats.org/officeDocument/2006/relationships/hyperlink" Target="https://drive.google.com/file/d/1TSd7lQ-tC6iAOWJyajR51GG28RGurQ2Q/view?usp=drivesdk" TargetMode="External"/><Relationship Id="rId4874" Type="http://schemas.openxmlformats.org/officeDocument/2006/relationships/hyperlink" Target="https://drive.google.com/file/d/1rUvBbk1tk6wMDjZNOkNxlvNHR_wLzzFs/view?usp=drivesdk" TargetMode="External"/><Relationship Id="rId2247" Type="http://schemas.openxmlformats.org/officeDocument/2006/relationships/hyperlink" Target="https://lh5.googleusercontent.com/d/1V3HmkyniVNjlhOjVin4dG5vnxcsjif_w" TargetMode="External"/><Relationship Id="rId3579" Type="http://schemas.openxmlformats.org/officeDocument/2006/relationships/hyperlink" Target="https://drive.google.com/file/d/1VwBos4GwgdHWKeTZBPvztzAKF_j8GnN-/view?usp=drivesdk" TargetMode="External"/><Relationship Id="rId2248" Type="http://schemas.openxmlformats.org/officeDocument/2006/relationships/hyperlink" Target="https://drive.google.com/file/d/1W6AB7zXpF4gcxKl0c2YUeapgqt5LMevs/view?usp=drivesdk" TargetMode="External"/><Relationship Id="rId3578" Type="http://schemas.openxmlformats.org/officeDocument/2006/relationships/hyperlink" Target="https://lh5.googleusercontent.com/d/1WvLDTNk-sWr1yzP0RKjT6_8BdNepvyRM" TargetMode="External"/><Relationship Id="rId2249" Type="http://schemas.openxmlformats.org/officeDocument/2006/relationships/hyperlink" Target="https://lh5.googleusercontent.com/d/1nuemi20ys9Nw0NWy7wK6iji3cV9Wrog6" TargetMode="External"/><Relationship Id="rId327" Type="http://schemas.openxmlformats.org/officeDocument/2006/relationships/hyperlink" Target="https://drive.google.com/file/d/1TgWqZwZh4Wn2Fjcu0lrEU3IZFN6ieun8/view?usp=drivesdk" TargetMode="External"/><Relationship Id="rId326" Type="http://schemas.openxmlformats.org/officeDocument/2006/relationships/hyperlink" Target="https://lh5.googleusercontent.com/d/1xTBLxxWlRhGF2Z3Lonm0m7ay5H05o27E" TargetMode="External"/><Relationship Id="rId325" Type="http://schemas.openxmlformats.org/officeDocument/2006/relationships/hyperlink" Target="https://drive.google.com/file/d/12I7mrFWgItHY0XAWxaIhiOlgxT45uhvq/view?usp=drivesdk" TargetMode="External"/><Relationship Id="rId324" Type="http://schemas.openxmlformats.org/officeDocument/2006/relationships/hyperlink" Target="https://lh5.googleusercontent.com/d/1IL1gREtQjWlAjNv1sA2EJtir3S-lT2jC" TargetMode="External"/><Relationship Id="rId329" Type="http://schemas.openxmlformats.org/officeDocument/2006/relationships/hyperlink" Target="https://drive.google.com/file/d/1W2veplCbgnZ71YjgUXZAS2YV8_HSERl2/view?usp=drivesdk" TargetMode="External"/><Relationship Id="rId328" Type="http://schemas.openxmlformats.org/officeDocument/2006/relationships/hyperlink" Target="https://lh5.googleusercontent.com/d/1-2bqpXgi36iLyhj9icjM6F2YIkIIu-CP" TargetMode="External"/><Relationship Id="rId3571" Type="http://schemas.openxmlformats.org/officeDocument/2006/relationships/hyperlink" Target="https://drive.google.com/file/d/1qKjB9i4rmI8PW1PpVwB52pEkNGWQ3wgc/view?usp=drivesdk" TargetMode="External"/><Relationship Id="rId2240" Type="http://schemas.openxmlformats.org/officeDocument/2006/relationships/hyperlink" Target="https://drive.google.com/file/d/1L7IAuYuySHVH0ZcrK1CBBbnUfmT3M9Q0/view?usp=drivesdk" TargetMode="External"/><Relationship Id="rId3570" Type="http://schemas.openxmlformats.org/officeDocument/2006/relationships/hyperlink" Target="https://lh5.googleusercontent.com/d/1XqQEqE79o4CGBElvxBu7gO-OE-gCuf1Y" TargetMode="External"/><Relationship Id="rId2241" Type="http://schemas.openxmlformats.org/officeDocument/2006/relationships/hyperlink" Target="https://lh5.googleusercontent.com/d/1G6-xT7u1bVJ53WnT1czcMrU8tN2dnejK" TargetMode="External"/><Relationship Id="rId3573" Type="http://schemas.openxmlformats.org/officeDocument/2006/relationships/hyperlink" Target="https://drive.google.com/file/d/15sK9orYpm2T3922SJ-f25N0gxCFmKcl1/view?usp=drivesdk" TargetMode="External"/><Relationship Id="rId2242" Type="http://schemas.openxmlformats.org/officeDocument/2006/relationships/hyperlink" Target="https://drive.google.com/file/d/1V_xvMTwC7vVYTCkh2zoMh5MZu2Gcya5U/view?usp=drivesdk" TargetMode="External"/><Relationship Id="rId3572" Type="http://schemas.openxmlformats.org/officeDocument/2006/relationships/hyperlink" Target="https://lh5.googleusercontent.com/d/1OJYzzOjx1XTgVLBW2Ap1aficBadDq2Gc" TargetMode="External"/><Relationship Id="rId323" Type="http://schemas.openxmlformats.org/officeDocument/2006/relationships/hyperlink" Target="https://drive.google.com/file/d/1CdyiuzWzX8GnlvHO8Npzra2LGPIVTAp0/view?usp=drivesdk" TargetMode="External"/><Relationship Id="rId2243" Type="http://schemas.openxmlformats.org/officeDocument/2006/relationships/hyperlink" Target="https://lh5.googleusercontent.com/d/1PGNI7N94hK7e-yDkMkRHttHGc5U2jOsp" TargetMode="External"/><Relationship Id="rId3575" Type="http://schemas.openxmlformats.org/officeDocument/2006/relationships/hyperlink" Target="https://drive.google.com/file/d/1jIUrNGuiBBwh11xO0hu2BU89lMfJuVYE/view?usp=drivesdk" TargetMode="External"/><Relationship Id="rId322" Type="http://schemas.openxmlformats.org/officeDocument/2006/relationships/hyperlink" Target="https://lh5.googleusercontent.com/d/12KoTnUF9zZSRTw4WWriSRCD89gJ50O-V" TargetMode="External"/><Relationship Id="rId2244" Type="http://schemas.openxmlformats.org/officeDocument/2006/relationships/hyperlink" Target="https://drive.google.com/file/d/14DIeUyWsDo09yDpUOHCbNb4Lm7BEqJD-/view?usp=drivesdk" TargetMode="External"/><Relationship Id="rId3574" Type="http://schemas.openxmlformats.org/officeDocument/2006/relationships/hyperlink" Target="https://lh5.googleusercontent.com/d/1KJu2y9gFTshmjP2AHHSXqsFCc1BJqW5e" TargetMode="External"/><Relationship Id="rId321" Type="http://schemas.openxmlformats.org/officeDocument/2006/relationships/hyperlink" Target="https://drive.google.com/file/d/1qJTn6EqOGNOmt6Mg0Gcz8I8aA8RjIy8K/view?usp=drivesdk" TargetMode="External"/><Relationship Id="rId2245" Type="http://schemas.openxmlformats.org/officeDocument/2006/relationships/hyperlink" Target="https://lh5.googleusercontent.com/d/1yuxCGJIWwTnkgMRooHMAfSHj2FN4rino" TargetMode="External"/><Relationship Id="rId3577" Type="http://schemas.openxmlformats.org/officeDocument/2006/relationships/hyperlink" Target="https://drive.google.com/file/d/1KszDcCOLqhmoCgo_Wem47Gyp8cJILQOT/view?usp=drivesdk" TargetMode="External"/><Relationship Id="rId320" Type="http://schemas.openxmlformats.org/officeDocument/2006/relationships/hyperlink" Target="https://lh5.googleusercontent.com/d/1__CzxsoZkJcR-kZ2n2Qo5EQBmi-WvbcM" TargetMode="External"/><Relationship Id="rId2246" Type="http://schemas.openxmlformats.org/officeDocument/2006/relationships/hyperlink" Target="https://drive.google.com/file/d/1Y6_GmnW7dNgSH5zEnvJSYt3SYCrHMleN/view?usp=drivesdk" TargetMode="External"/><Relationship Id="rId3576" Type="http://schemas.openxmlformats.org/officeDocument/2006/relationships/hyperlink" Target="https://lh5.googleusercontent.com/d/1M9NmYWJENz4AEUc-VzPr4SlrvD8rrYLs" TargetMode="External"/><Relationship Id="rId2236" Type="http://schemas.openxmlformats.org/officeDocument/2006/relationships/hyperlink" Target="https://drive.google.com/file/d/1Q_J8CqtZvDWS5MCFz8CvkWt180NViit1/view?usp=drivesdk" TargetMode="External"/><Relationship Id="rId3568" Type="http://schemas.openxmlformats.org/officeDocument/2006/relationships/hyperlink" Target="https://lh5.googleusercontent.com/d/1EbFIFWZ_kltTFhUtaKo_7wvkGcDSkIul" TargetMode="External"/><Relationship Id="rId4899" Type="http://schemas.openxmlformats.org/officeDocument/2006/relationships/hyperlink" Target="https://lh5.googleusercontent.com/d/1mkkcdCG816GxLZi5teMN7Z-mp0vKrzsl" TargetMode="External"/><Relationship Id="rId2237" Type="http://schemas.openxmlformats.org/officeDocument/2006/relationships/hyperlink" Target="https://lh5.googleusercontent.com/d/1DrnTyJrKJeCL2igd5gcbp09vgzwE-qVh" TargetMode="External"/><Relationship Id="rId3567" Type="http://schemas.openxmlformats.org/officeDocument/2006/relationships/hyperlink" Target="https://drive.google.com/file/d/1OGAFKSbZjqe5i5MuOdH-iNunjtrqGjFN/view?usp=drivesdk" TargetMode="External"/><Relationship Id="rId4898" Type="http://schemas.openxmlformats.org/officeDocument/2006/relationships/hyperlink" Target="https://drive.google.com/file/d/1vEX89LozVRCP_kaech9gwS3yIpuOGDxW/view?usp=drivesdk" TargetMode="External"/><Relationship Id="rId2238" Type="http://schemas.openxmlformats.org/officeDocument/2006/relationships/hyperlink" Target="https://drive.google.com/file/d/1oxHWDlJdf1hyYoMN-lQePrjV3sbY5kya/view?usp=drivesdk" TargetMode="External"/><Relationship Id="rId2239" Type="http://schemas.openxmlformats.org/officeDocument/2006/relationships/hyperlink" Target="https://lh5.googleusercontent.com/d/1uvyIH39gSRJ4hXhgI9B1Z9WQD_VJEAmi" TargetMode="External"/><Relationship Id="rId3569" Type="http://schemas.openxmlformats.org/officeDocument/2006/relationships/hyperlink" Target="https://drive.google.com/file/d/1bTGMwMyctdhOi3qPwaZrVS1LHdUhKeGA/view?usp=drivesdk" TargetMode="External"/><Relationship Id="rId316" Type="http://schemas.openxmlformats.org/officeDocument/2006/relationships/hyperlink" Target="https://lh5.googleusercontent.com/d/12dK96YxXZTGZ3Rzf8RnswqqUKeBgah1i" TargetMode="External"/><Relationship Id="rId315" Type="http://schemas.openxmlformats.org/officeDocument/2006/relationships/hyperlink" Target="https://drive.google.com/file/d/1_FTKixmjo4lCSf1x-T6c7ipPiFwT4my7/view?usp=drivesdk" TargetMode="External"/><Relationship Id="rId314" Type="http://schemas.openxmlformats.org/officeDocument/2006/relationships/hyperlink" Target="https://lh5.googleusercontent.com/d/1cb6g3guQf4Kbh9z2ev72jYLZlJ32K-A5" TargetMode="External"/><Relationship Id="rId313" Type="http://schemas.openxmlformats.org/officeDocument/2006/relationships/hyperlink" Target="https://drive.google.com/file/d/1V4DA2JL9vn7G8lYh9fz-4GfDHJSBkw4b/view?usp=drivesdk" TargetMode="External"/><Relationship Id="rId319" Type="http://schemas.openxmlformats.org/officeDocument/2006/relationships/hyperlink" Target="https://drive.google.com/file/d/1rai2eU9J6LCbSUXFdk8nH4j7lbYKVpCJ/view?usp=drivesdk" TargetMode="External"/><Relationship Id="rId318" Type="http://schemas.openxmlformats.org/officeDocument/2006/relationships/hyperlink" Target="https://lh5.googleusercontent.com/d/1HaFzSV4qCwaAiS5y7-_k0cm80GJyeDyE" TargetMode="External"/><Relationship Id="rId317" Type="http://schemas.openxmlformats.org/officeDocument/2006/relationships/hyperlink" Target="https://drive.google.com/file/d/16IT_W4y53PYq4Jv8McQGOUeqvBeXoMd3/view?usp=drivesdk" TargetMode="External"/><Relationship Id="rId3560" Type="http://schemas.openxmlformats.org/officeDocument/2006/relationships/hyperlink" Target="https://lh5.googleusercontent.com/d/1XKfsvLw4Rey4_1yk-DDrDoNxb_XbA1fJ" TargetMode="External"/><Relationship Id="rId4891" Type="http://schemas.openxmlformats.org/officeDocument/2006/relationships/hyperlink" Target="https://lh5.googleusercontent.com/d/1UE1ktnLAasowp1WzzyG2Z9XCtXZPmYUI" TargetMode="External"/><Relationship Id="rId4890" Type="http://schemas.openxmlformats.org/officeDocument/2006/relationships/hyperlink" Target="https://drive.google.com/file/d/1HBsJKl5hXEguRNQeb21cx0lIf7fTpBxp/view?usp=drivesdk" TargetMode="External"/><Relationship Id="rId2230" Type="http://schemas.openxmlformats.org/officeDocument/2006/relationships/hyperlink" Target="https://lh5.googleusercontent.com/d/18hfFmnLWgneRxQXe9yLfO59r_8_xSq00" TargetMode="External"/><Relationship Id="rId3562" Type="http://schemas.openxmlformats.org/officeDocument/2006/relationships/hyperlink" Target="https://lh5.googleusercontent.com/d/1WUtXzRYb-Fsyyy_n84OT1x3crRlZYA5b" TargetMode="External"/><Relationship Id="rId4893" Type="http://schemas.openxmlformats.org/officeDocument/2006/relationships/hyperlink" Target="https://lh5.googleusercontent.com/d/1Nph5rukfOMTWBbO0hrb6RifuBG-Dixd5" TargetMode="External"/><Relationship Id="rId2231" Type="http://schemas.openxmlformats.org/officeDocument/2006/relationships/hyperlink" Target="https://lh5.googleusercontent.com/d/12GPxWN9tHN8coTdCnJsf5kGjNlagF_mf" TargetMode="External"/><Relationship Id="rId3561" Type="http://schemas.openxmlformats.org/officeDocument/2006/relationships/hyperlink" Target="https://drive.google.com/file/d/15jSrVzzUGHIMntFTi5qGRDQlPx7clSAv/view?usp=drivesdk" TargetMode="External"/><Relationship Id="rId4892" Type="http://schemas.openxmlformats.org/officeDocument/2006/relationships/hyperlink" Target="https://drive.google.com/file/d/14UAXSj56-NEZlGhqhCDd-FtjpZ2GxZFx/view?usp=drivesdk" TargetMode="External"/><Relationship Id="rId312" Type="http://schemas.openxmlformats.org/officeDocument/2006/relationships/hyperlink" Target="https://lh5.googleusercontent.com/d/1lrV2n1qCZNF1ZRIBsTZukfOdcdYmRBL9" TargetMode="External"/><Relationship Id="rId2232" Type="http://schemas.openxmlformats.org/officeDocument/2006/relationships/hyperlink" Target="https://drive.google.com/file/d/1sz2O_qVsMYe1ZJOkRdEUSCrgGM4emcY8/view?usp=drivesdk" TargetMode="External"/><Relationship Id="rId3564" Type="http://schemas.openxmlformats.org/officeDocument/2006/relationships/hyperlink" Target="https://lh5.googleusercontent.com/d/1FuHAbPZ_AEHTVdNSxkUTfbDmQ4hZls2B" TargetMode="External"/><Relationship Id="rId4895" Type="http://schemas.openxmlformats.org/officeDocument/2006/relationships/hyperlink" Target="https://lh5.googleusercontent.com/d/1YYfZ9BFDhVxTB2mFpnLuPpiLxMmb7Nnn" TargetMode="External"/><Relationship Id="rId311" Type="http://schemas.openxmlformats.org/officeDocument/2006/relationships/hyperlink" Target="https://drive.google.com/file/d/1l2rttujZ9L0BFP8RTQdrIqoCATrsWq88/view?usp=drivesdk" TargetMode="External"/><Relationship Id="rId2233" Type="http://schemas.openxmlformats.org/officeDocument/2006/relationships/hyperlink" Target="https://lh5.googleusercontent.com/d/1G75IQTX6vNGtalBc98IurNYC27cEeOfk" TargetMode="External"/><Relationship Id="rId3563" Type="http://schemas.openxmlformats.org/officeDocument/2006/relationships/hyperlink" Target="https://drive.google.com/file/d/1qn1ePs7oOaLFW3Fxm6HovZjLACf5U07A/view?usp=drivesdk" TargetMode="External"/><Relationship Id="rId4894" Type="http://schemas.openxmlformats.org/officeDocument/2006/relationships/hyperlink" Target="https://drive.google.com/file/d/12bvQzDbG9bxp36S_bTR6S8GAw744AQjx/view?usp=drivesdk" TargetMode="External"/><Relationship Id="rId310" Type="http://schemas.openxmlformats.org/officeDocument/2006/relationships/hyperlink" Target="https://lh5.googleusercontent.com/d/1U323yLfvOmA0_n30B56v92h6J00KGECD" TargetMode="External"/><Relationship Id="rId2234" Type="http://schemas.openxmlformats.org/officeDocument/2006/relationships/hyperlink" Target="https://drive.google.com/file/d/13wYKMsD6QBmvV_CGcsNiZnv0Fm4WvRiN/view?usp=drivesdk" TargetMode="External"/><Relationship Id="rId3566" Type="http://schemas.openxmlformats.org/officeDocument/2006/relationships/hyperlink" Target="https://lh5.googleusercontent.com/d/1iUAE6lE_I6sUJUWFySvHfe-G2l6pTBWc" TargetMode="External"/><Relationship Id="rId4897" Type="http://schemas.openxmlformats.org/officeDocument/2006/relationships/hyperlink" Target="https://lh5.googleusercontent.com/d/1H1BCX7JEaDUMAc0i4n5t4oTJdTsnTKDd" TargetMode="External"/><Relationship Id="rId2235" Type="http://schemas.openxmlformats.org/officeDocument/2006/relationships/hyperlink" Target="https://lh5.googleusercontent.com/d/1v51ISlcnMDqEekKaRprH-EzR3DUyLSUG" TargetMode="External"/><Relationship Id="rId3565" Type="http://schemas.openxmlformats.org/officeDocument/2006/relationships/hyperlink" Target="https://drive.google.com/file/d/1-W8Lvat9j5N3wzDW3Om1qPe1mGXvkiaT/view?usp=drivesdk" TargetMode="External"/><Relationship Id="rId4896" Type="http://schemas.openxmlformats.org/officeDocument/2006/relationships/hyperlink" Target="https://drive.google.com/file/d/112oPN3-bbPcz3HrevKMzlZljD1HvP2mk/view?usp=drivesdk" TargetMode="External"/><Relationship Id="rId4040" Type="http://schemas.openxmlformats.org/officeDocument/2006/relationships/hyperlink" Target="https://lh5.googleusercontent.com/d/1m5igMs2hc6iIqXYLeGpCpP5uabc_9qLN" TargetMode="External"/><Relationship Id="rId5372" Type="http://schemas.openxmlformats.org/officeDocument/2006/relationships/hyperlink" Target="https://drive.google.com/file/d/1YBNhyFsEIvR6eQSh_U-PSu0NQauRN8YZ/view?usp=drivesdk" TargetMode="External"/><Relationship Id="rId5373" Type="http://schemas.openxmlformats.org/officeDocument/2006/relationships/hyperlink" Target="https://lh5.googleusercontent.com/d/1hWVE5PKSy7KKiek80vBe4vjzwK70KJmJ" TargetMode="External"/><Relationship Id="rId4042" Type="http://schemas.openxmlformats.org/officeDocument/2006/relationships/hyperlink" Target="https://drive.google.com/file/d/1fZ97MzQXRyqeCYNLV1cB6577t4SSEruE/view?usp=drivesdk" TargetMode="External"/><Relationship Id="rId5370" Type="http://schemas.openxmlformats.org/officeDocument/2006/relationships/hyperlink" Target="https://drive.google.com/file/d/13eTjJi5elwxV1PKiEXBqpewbZcUfz9gu/view?usp=drivesdk" TargetMode="External"/><Relationship Id="rId4041" Type="http://schemas.openxmlformats.org/officeDocument/2006/relationships/hyperlink" Target="https://lh5.googleusercontent.com/d/1m5igMs2hc6iIqXYLeGpCpP5uabc_9qLN" TargetMode="External"/><Relationship Id="rId5371" Type="http://schemas.openxmlformats.org/officeDocument/2006/relationships/hyperlink" Target="https://lh5.googleusercontent.com/d/1fkkqZFJmgwIxezOuZqJ7Y_viRtu8z2dp" TargetMode="External"/><Relationship Id="rId4044" Type="http://schemas.openxmlformats.org/officeDocument/2006/relationships/hyperlink" Target="https://drive.google.com/file/d/15-nHOhRoJnTF8F50CFWVGyLY95F1Bo3c/view?usp=drivesdk" TargetMode="External"/><Relationship Id="rId5376" Type="http://schemas.openxmlformats.org/officeDocument/2006/relationships/hyperlink" Target="https://drive.google.com/file/d/1M7t4LguButBw-datVsnT1SUpro3uGy9k/view?usp=drivesdk" TargetMode="External"/><Relationship Id="rId4043" Type="http://schemas.openxmlformats.org/officeDocument/2006/relationships/hyperlink" Target="https://lh5.googleusercontent.com/d/1VEPoFxHGcrR3QQupKhTO-e9TINW6WXRC" TargetMode="External"/><Relationship Id="rId5377" Type="http://schemas.openxmlformats.org/officeDocument/2006/relationships/hyperlink" Target="https://lh5.googleusercontent.com/d/1FqBxz34BqXriLyYXqyqoGfxEG16_jdCT" TargetMode="External"/><Relationship Id="rId4046" Type="http://schemas.openxmlformats.org/officeDocument/2006/relationships/hyperlink" Target="https://drive.google.com/file/d/1mz8EKZin4m3DbioY-WLrwUPAe3gd1DQw/view?usp=drivesdk" TargetMode="External"/><Relationship Id="rId5374" Type="http://schemas.openxmlformats.org/officeDocument/2006/relationships/hyperlink" Target="https://drive.google.com/file/d/1xx2KjRBdGMrzqJLAj-zpkZRXHoMgbDrO/view?usp=drivesdk" TargetMode="External"/><Relationship Id="rId4045" Type="http://schemas.openxmlformats.org/officeDocument/2006/relationships/hyperlink" Target="https://lh5.googleusercontent.com/d/1LwejdbacH_vlnYCUms1nI1WVty4VhCXU" TargetMode="External"/><Relationship Id="rId5375" Type="http://schemas.openxmlformats.org/officeDocument/2006/relationships/hyperlink" Target="https://lh5.googleusercontent.com/d/1u859nwQYHsJQVZHwJuKEnZKfoYpBRAog" TargetMode="External"/><Relationship Id="rId4048" Type="http://schemas.openxmlformats.org/officeDocument/2006/relationships/hyperlink" Target="https://drive.google.com/file/d/1aankexZaXeFX_6q9u7x7NQD5MGM5boIv/view?usp=drivesdk" TargetMode="External"/><Relationship Id="rId4047" Type="http://schemas.openxmlformats.org/officeDocument/2006/relationships/hyperlink" Target="https://lh5.googleusercontent.com/d/1iAwCSwwT1_iYroowa97qP6AKAV97pYmO" TargetMode="External"/><Relationship Id="rId5378" Type="http://schemas.openxmlformats.org/officeDocument/2006/relationships/hyperlink" Target="https://drive.google.com/file/d/17ddOQkPG_U5_RSkyGzvqruqDgqmtgYfC/view?usp=drivesdk" TargetMode="External"/><Relationship Id="rId4049" Type="http://schemas.openxmlformats.org/officeDocument/2006/relationships/hyperlink" Target="https://lh5.googleusercontent.com/d/1YuA933-fvEe4YC7geuXA7YGxAct5J9s3" TargetMode="External"/><Relationship Id="rId5379" Type="http://schemas.openxmlformats.org/officeDocument/2006/relationships/hyperlink" Target="https://lh5.googleusercontent.com/d/1ToEe8VaCAr36TBWj4jNhYQCqQD-8xwci" TargetMode="External"/><Relationship Id="rId5361" Type="http://schemas.openxmlformats.org/officeDocument/2006/relationships/hyperlink" Target="https://lh5.googleusercontent.com/d/1G_NlbKIEYJO0CG9QZQ4oFIni8SB0ZYFi" TargetMode="External"/><Relationship Id="rId5362" Type="http://schemas.openxmlformats.org/officeDocument/2006/relationships/hyperlink" Target="https://drive.google.com/file/d/1gAMiz0nyJ-hDcxw1jtTkekDSWs7-jhAF/view?usp=drivesdk" TargetMode="External"/><Relationship Id="rId4031" Type="http://schemas.openxmlformats.org/officeDocument/2006/relationships/hyperlink" Target="https://lh5.googleusercontent.com/d/1qM8CPbTRcVKOTE78KD7Kr5LBlfqJ2kRM" TargetMode="External"/><Relationship Id="rId4030" Type="http://schemas.openxmlformats.org/officeDocument/2006/relationships/hyperlink" Target="https://drive.google.com/file/d/1x4IrJng-M0nTKi8xOQxCVmBD_7gcW_e9/view?usp=drivesdk" TargetMode="External"/><Relationship Id="rId5360" Type="http://schemas.openxmlformats.org/officeDocument/2006/relationships/hyperlink" Target="https://drive.google.com/file/d/1R-jlGTaH-bq8b2PHHZDoEEJdk4apssCG/view?usp=drivesdk" TargetMode="External"/><Relationship Id="rId297" Type="http://schemas.openxmlformats.org/officeDocument/2006/relationships/hyperlink" Target="https://drive.google.com/file/d/1MS06RpbCH0emJKOVetoaqmcSL3l29tWj/view?usp=drivesdk" TargetMode="External"/><Relationship Id="rId4033" Type="http://schemas.openxmlformats.org/officeDocument/2006/relationships/hyperlink" Target="https://drive.google.com/file/d/1DV2aSXkeMdihYN5iQ-pqsFvaxUH39gzw/view?usp=drivesdk" TargetMode="External"/><Relationship Id="rId5365" Type="http://schemas.openxmlformats.org/officeDocument/2006/relationships/hyperlink" Target="https://lh5.googleusercontent.com/d/1cQSa2i4fv18tdRTLscbfcAHWHiKH0k6W" TargetMode="External"/><Relationship Id="rId296" Type="http://schemas.openxmlformats.org/officeDocument/2006/relationships/hyperlink" Target="https://lh5.googleusercontent.com/d/1BFYKywVe2d-Pw78Gzi_7_YzuRbx3yMzy" TargetMode="External"/><Relationship Id="rId4032" Type="http://schemas.openxmlformats.org/officeDocument/2006/relationships/hyperlink" Target="https://lh5.googleusercontent.com/d/1qM8CPbTRcVKOTE78KD7Kr5LBlfqJ2kRM" TargetMode="External"/><Relationship Id="rId5366" Type="http://schemas.openxmlformats.org/officeDocument/2006/relationships/hyperlink" Target="https://drive.google.com/file/d/1IvC61JG-9kGil608hvDzqIg74D0VHPkx/view?usp=drivesdk" TargetMode="External"/><Relationship Id="rId295" Type="http://schemas.openxmlformats.org/officeDocument/2006/relationships/hyperlink" Target="https://drive.google.com/file/d/1x5wKSkz--Wl6B4Q-lqp1uJ7QSmM19mLg/view?usp=drivesdk" TargetMode="External"/><Relationship Id="rId4035" Type="http://schemas.openxmlformats.org/officeDocument/2006/relationships/hyperlink" Target="https://drive.google.com/file/d/1m7Zip2iqzKohcp8upZfgVP3Ml1_A0DsW/view?usp=drivesdk" TargetMode="External"/><Relationship Id="rId5363" Type="http://schemas.openxmlformats.org/officeDocument/2006/relationships/hyperlink" Target="https://lh5.googleusercontent.com/d/1nfNDHpcHbn66pXdry9PgPKEkWE_AwSqJ" TargetMode="External"/><Relationship Id="rId294" Type="http://schemas.openxmlformats.org/officeDocument/2006/relationships/hyperlink" Target="https://lh5.googleusercontent.com/d/1P3tSvwkWBPzhzHEXv54ehAc57bz-_AjC" TargetMode="External"/><Relationship Id="rId4034" Type="http://schemas.openxmlformats.org/officeDocument/2006/relationships/hyperlink" Target="https://lh5.googleusercontent.com/d/1wRzqhgH0Zvl9UryE1YRDR0hDHEvWZzFX" TargetMode="External"/><Relationship Id="rId5364" Type="http://schemas.openxmlformats.org/officeDocument/2006/relationships/hyperlink" Target="https://drive.google.com/file/d/16hP9jo29g3jP_jFMUmxAtYqcmX8BTU78/view?usp=drivesdk" TargetMode="External"/><Relationship Id="rId4037" Type="http://schemas.openxmlformats.org/officeDocument/2006/relationships/hyperlink" Target="https://drive.google.com/file/d/1aOAVoO2RbDH-mngk6uyY70Z5-mXgrUX0/view?usp=drivesdk" TargetMode="External"/><Relationship Id="rId5369" Type="http://schemas.openxmlformats.org/officeDocument/2006/relationships/hyperlink" Target="https://lh5.googleusercontent.com/d/1equeSsK_2hdq-vsXiUuDAUZM8rz1kudy" TargetMode="External"/><Relationship Id="rId4036" Type="http://schemas.openxmlformats.org/officeDocument/2006/relationships/hyperlink" Target="https://lh5.googleusercontent.com/d/1vo54lsnYlOmQcmifK8ts6frVASSOyL9Q" TargetMode="External"/><Relationship Id="rId299" Type="http://schemas.openxmlformats.org/officeDocument/2006/relationships/hyperlink" Target="https://drive.google.com/file/d/1mY2PYgXMTmxBQDxzvTq6sxI_-FUz9A4x/view?usp=drivesdk" TargetMode="External"/><Relationship Id="rId4039" Type="http://schemas.openxmlformats.org/officeDocument/2006/relationships/hyperlink" Target="https://drive.google.com/file/d/1jhWA9Sl6WvgsnRuEwU243DT-Agp5sZnh/view?usp=drivesdk" TargetMode="External"/><Relationship Id="rId5367" Type="http://schemas.openxmlformats.org/officeDocument/2006/relationships/hyperlink" Target="https://lh5.googleusercontent.com/d/1CDrpuQU8n-Ol2A9GdmAfeRNSRiFylyKJ" TargetMode="External"/><Relationship Id="rId298" Type="http://schemas.openxmlformats.org/officeDocument/2006/relationships/hyperlink" Target="https://lh5.googleusercontent.com/d/1tQ9OrDzA0nUXhkXw2FIYXSARvoBQ7RgR" TargetMode="External"/><Relationship Id="rId4038" Type="http://schemas.openxmlformats.org/officeDocument/2006/relationships/hyperlink" Target="https://lh5.googleusercontent.com/d/1b0QL97yg168bgftohS4erMvp71NS82Rz" TargetMode="External"/><Relationship Id="rId5368" Type="http://schemas.openxmlformats.org/officeDocument/2006/relationships/hyperlink" Target="https://drive.google.com/file/d/1F6HvDxPsp4WG4d36g3DYIhFWHHR2Zl-B/view?usp=drivesdk" TargetMode="External"/><Relationship Id="rId5390" Type="http://schemas.openxmlformats.org/officeDocument/2006/relationships/hyperlink" Target="https://drive.google.com/file/d/1C58ZpZTl-ztiAmlJR6Veh7mSksYtJsMg/view?usp=drivesdk" TargetMode="External"/><Relationship Id="rId5391" Type="http://schemas.openxmlformats.org/officeDocument/2006/relationships/hyperlink" Target="https://lh5.googleusercontent.com/d/1Ie9fQ6GIfS_KkgaByf_hh5JYfPvSHhpr" TargetMode="External"/><Relationship Id="rId4060" Type="http://schemas.openxmlformats.org/officeDocument/2006/relationships/hyperlink" Target="https://drive.google.com/file/d/1a2jzkMzRBAKbHrGnhWWMGr0oG6XLD5BY/view?usp=drivesdk" TargetMode="External"/><Relationship Id="rId4062" Type="http://schemas.openxmlformats.org/officeDocument/2006/relationships/hyperlink" Target="https://lh5.googleusercontent.com/d/10rpenbfhP2lEK7yjFzJUiHSekBMZtFYM" TargetMode="External"/><Relationship Id="rId5394" Type="http://schemas.openxmlformats.org/officeDocument/2006/relationships/hyperlink" Target="https://drive.google.com/file/d/1WRQCD5jZzm5XwVp218AO1FLCbBUsY39h/view?usp=drivesdk" TargetMode="External"/><Relationship Id="rId4061" Type="http://schemas.openxmlformats.org/officeDocument/2006/relationships/hyperlink" Target="https://lh5.googleusercontent.com/d/10rpenbfhP2lEK7yjFzJUiHSekBMZtFYM" TargetMode="External"/><Relationship Id="rId5395" Type="http://schemas.openxmlformats.org/officeDocument/2006/relationships/hyperlink" Target="https://lh5.googleusercontent.com/d/1SrdeutBED09VkpZ0xWSlVVK17ZF19ulV" TargetMode="External"/><Relationship Id="rId4064" Type="http://schemas.openxmlformats.org/officeDocument/2006/relationships/hyperlink" Target="https://lh5.googleusercontent.com/d/1rAYwZurVYtcRXlw7T6yBR8FYDmD81UXI" TargetMode="External"/><Relationship Id="rId5392" Type="http://schemas.openxmlformats.org/officeDocument/2006/relationships/hyperlink" Target="https://drive.google.com/file/d/1q2avw5TEjA0Ug5XvU3EO1xEIRpiBIDcU/view?usp=drivesdk" TargetMode="External"/><Relationship Id="rId4063" Type="http://schemas.openxmlformats.org/officeDocument/2006/relationships/hyperlink" Target="https://drive.google.com/file/d/13WiTIMhD1JtWZE_I8L-t2vmVJPXT5eC6/view?usp=drivesdk" TargetMode="External"/><Relationship Id="rId5393" Type="http://schemas.openxmlformats.org/officeDocument/2006/relationships/hyperlink" Target="https://lh5.googleusercontent.com/d/14dqIJpsknxJ_IujGwJidI3mpMmPh_Pt-" TargetMode="External"/><Relationship Id="rId4066" Type="http://schemas.openxmlformats.org/officeDocument/2006/relationships/hyperlink" Target="https://lh5.googleusercontent.com/d/1NjqGsldiaALLVfknAiaMmO1t6isi_QUX" TargetMode="External"/><Relationship Id="rId5398" Type="http://schemas.openxmlformats.org/officeDocument/2006/relationships/hyperlink" Target="https://drive.google.com/file/d/1103aqtwrIG62-PggCs925LAzQMIMumMF/view?usp=drivesdk" TargetMode="External"/><Relationship Id="rId4065" Type="http://schemas.openxmlformats.org/officeDocument/2006/relationships/hyperlink" Target="https://drive.google.com/file/d/1bbHgReJGaIA5Kptf02t1jgAmONiwNZ7Z/view?usp=drivesdk" TargetMode="External"/><Relationship Id="rId5399" Type="http://schemas.openxmlformats.org/officeDocument/2006/relationships/hyperlink" Target="https://lh5.googleusercontent.com/d/1djCpg51wEvAVPNPATy4OqXOubPcMlzgs" TargetMode="External"/><Relationship Id="rId4068" Type="http://schemas.openxmlformats.org/officeDocument/2006/relationships/hyperlink" Target="https://drive.google.com/file/d/1pqtABuI6qaJnVoLbkfIvYT4oc7ClzpiX/view?usp=drivesdk" TargetMode="External"/><Relationship Id="rId5396" Type="http://schemas.openxmlformats.org/officeDocument/2006/relationships/hyperlink" Target="https://drive.google.com/file/d/1XyJ8ls6IiwMR9WAUiUyaYYoFmmuG-gsX/view?usp=drivesdk" TargetMode="External"/><Relationship Id="rId4067" Type="http://schemas.openxmlformats.org/officeDocument/2006/relationships/hyperlink" Target="https://lh5.googleusercontent.com/d/1NjqGsldiaALLVfknAiaMmO1t6isi_QUX" TargetMode="External"/><Relationship Id="rId5397" Type="http://schemas.openxmlformats.org/officeDocument/2006/relationships/hyperlink" Target="https://lh5.googleusercontent.com/d/1J_RCb5H111F5gitK85Gcip7Xpqt8PeZq" TargetMode="External"/><Relationship Id="rId4069" Type="http://schemas.openxmlformats.org/officeDocument/2006/relationships/hyperlink" Target="https://lh5.googleusercontent.com/d/10CjYOK4Mny64kdgcGRGzcTNRLTr1woMs" TargetMode="External"/><Relationship Id="rId5380" Type="http://schemas.openxmlformats.org/officeDocument/2006/relationships/hyperlink" Target="https://drive.google.com/file/d/1OjUiVDN4lmfosKTKgFeaU9Sga2G-PHN_/view?usp=drivesdk" TargetMode="External"/><Relationship Id="rId4051" Type="http://schemas.openxmlformats.org/officeDocument/2006/relationships/hyperlink" Target="https://drive.google.com/file/d/19im_0VsqTyV0wVcXG8p7zMjhFqTKvYQp/view?usp=drivesdk" TargetMode="External"/><Relationship Id="rId5383" Type="http://schemas.openxmlformats.org/officeDocument/2006/relationships/hyperlink" Target="https://lh5.googleusercontent.com/d/1oOTG9WQPC9HpLmPQSU9BsvPKIo6r3yh_" TargetMode="External"/><Relationship Id="rId4050" Type="http://schemas.openxmlformats.org/officeDocument/2006/relationships/hyperlink" Target="https://lh5.googleusercontent.com/d/1YuA933-fvEe4YC7geuXA7YGxAct5J9s3" TargetMode="External"/><Relationship Id="rId5384" Type="http://schemas.openxmlformats.org/officeDocument/2006/relationships/hyperlink" Target="https://drive.google.com/file/d/19SgYpWmXc3YbYp4ekpCC4PSIu6KSqPxz/view?usp=drivesdk" TargetMode="External"/><Relationship Id="rId4053" Type="http://schemas.openxmlformats.org/officeDocument/2006/relationships/hyperlink" Target="https://drive.google.com/file/d/1aEG8zpb5zWIP-TLOEd2sF6lG2PbdxqCU/view?usp=drivesdk" TargetMode="External"/><Relationship Id="rId5381" Type="http://schemas.openxmlformats.org/officeDocument/2006/relationships/hyperlink" Target="https://lh5.googleusercontent.com/d/16RQR1qVc69zzmww77l93G7hq0lAU1MHg" TargetMode="External"/><Relationship Id="rId4052" Type="http://schemas.openxmlformats.org/officeDocument/2006/relationships/hyperlink" Target="https://lh5.googleusercontent.com/d/14Ob0QE3NwPvXKo6pw5k-71NxfpHiHJAD" TargetMode="External"/><Relationship Id="rId5382" Type="http://schemas.openxmlformats.org/officeDocument/2006/relationships/hyperlink" Target="https://drive.google.com/file/d/1Rdo8BiG2vS-DGzxco5q1VaLgdbLEUoYd/view?usp=drivesdk" TargetMode="External"/><Relationship Id="rId4055" Type="http://schemas.openxmlformats.org/officeDocument/2006/relationships/hyperlink" Target="https://drive.google.com/file/d/1P69qxKzFa_eajFx6yk7hoxsp5VNT3dg_/view?usp=drivesdk" TargetMode="External"/><Relationship Id="rId5387" Type="http://schemas.openxmlformats.org/officeDocument/2006/relationships/hyperlink" Target="https://lh5.googleusercontent.com/d/1E-1SV1XwyvfkG9vo-5f_NJ7szKWzt2Jt" TargetMode="External"/><Relationship Id="rId4054" Type="http://schemas.openxmlformats.org/officeDocument/2006/relationships/hyperlink" Target="https://lh5.googleusercontent.com/d/1Q3VnQLNWx6vcPTHZgdSHekffS3VW2mFu" TargetMode="External"/><Relationship Id="rId5388" Type="http://schemas.openxmlformats.org/officeDocument/2006/relationships/hyperlink" Target="https://drive.google.com/file/d/1ieKRET3eipOGAHxK2eCQKsDIHzhkr_1m/view?usp=drivesdk" TargetMode="External"/><Relationship Id="rId4057" Type="http://schemas.openxmlformats.org/officeDocument/2006/relationships/hyperlink" Target="https://drive.google.com/file/d/1idgrsw2dKzXbmGLSwMguW3ypCxPIfBgF/view?usp=drivesdk" TargetMode="External"/><Relationship Id="rId5385" Type="http://schemas.openxmlformats.org/officeDocument/2006/relationships/hyperlink" Target="https://lh5.googleusercontent.com/d/1bs94eYSKxCPl36MOHP1nqgiUqhPQ1qTN" TargetMode="External"/><Relationship Id="rId4056" Type="http://schemas.openxmlformats.org/officeDocument/2006/relationships/hyperlink" Target="https://lh5.googleusercontent.com/d/1GrGTvcZQQa46VI2CSi6c7WsNL6D4_lDH" TargetMode="External"/><Relationship Id="rId5386" Type="http://schemas.openxmlformats.org/officeDocument/2006/relationships/hyperlink" Target="https://drive.google.com/file/d/1aQkDI0u27ZFvQZCKwDp1kWaLu-EJOZSp/view?usp=drivesdk" TargetMode="External"/><Relationship Id="rId4059" Type="http://schemas.openxmlformats.org/officeDocument/2006/relationships/hyperlink" Target="https://lh5.googleusercontent.com/d/1bmrm05gDCmfB-gV904RMXqqADatAfwRT" TargetMode="External"/><Relationship Id="rId4058" Type="http://schemas.openxmlformats.org/officeDocument/2006/relationships/hyperlink" Target="https://lh5.googleusercontent.com/d/1bmrm05gDCmfB-gV904RMXqqADatAfwRT" TargetMode="External"/><Relationship Id="rId5389" Type="http://schemas.openxmlformats.org/officeDocument/2006/relationships/hyperlink" Target="https://lh5.googleusercontent.com/d/163GSAsGzvZd2G_nPTOzgNstMpnRU_YES" TargetMode="External"/><Relationship Id="rId4008" Type="http://schemas.openxmlformats.org/officeDocument/2006/relationships/hyperlink" Target="https://lh5.googleusercontent.com/d/1JfJflMLW3L6xBHKib0aD51zt4jWSqZ4X" TargetMode="External"/><Relationship Id="rId4007" Type="http://schemas.openxmlformats.org/officeDocument/2006/relationships/hyperlink" Target="https://drive.google.com/file/d/1mXWLcsbdSipLyBlD_Wi7qJSfjXkSo5kM/view?usp=drivesdk" TargetMode="External"/><Relationship Id="rId5338" Type="http://schemas.openxmlformats.org/officeDocument/2006/relationships/hyperlink" Target="https://drive.google.com/file/d/11xMPVlv-OLzr4yoJ5Ygzdomq8LVoutci/view?usp=drivesdk" TargetMode="External"/><Relationship Id="rId4009" Type="http://schemas.openxmlformats.org/officeDocument/2006/relationships/hyperlink" Target="https://drive.google.com/file/d/11InRCLrn72v8RQNFBmbpG920rnuiNWSH/view?usp=drivesdk" TargetMode="External"/><Relationship Id="rId5339" Type="http://schemas.openxmlformats.org/officeDocument/2006/relationships/hyperlink" Target="https://lh5.googleusercontent.com/d/1dwlICqUqY5kILvVI0sN7bRkMoTjFoMmq" TargetMode="External"/><Relationship Id="rId271" Type="http://schemas.openxmlformats.org/officeDocument/2006/relationships/hyperlink" Target="https://drive.google.com/file/d/1wNq7fYH-c_yI8txioxErtGBVnfJsvJ25/view?usp=drivesdk" TargetMode="External"/><Relationship Id="rId270" Type="http://schemas.openxmlformats.org/officeDocument/2006/relationships/hyperlink" Target="https://lh5.googleusercontent.com/d/114aW79Z5QeW9OaUcZqqnrd6F2jY-iBoX" TargetMode="External"/><Relationship Id="rId269" Type="http://schemas.openxmlformats.org/officeDocument/2006/relationships/hyperlink" Target="https://drive.google.com/file/d/1pkncT8jj-5B3fv2Vl2l4uebWM5EIkpVe/view?usp=drivesdk" TargetMode="External"/><Relationship Id="rId264" Type="http://schemas.openxmlformats.org/officeDocument/2006/relationships/hyperlink" Target="https://lh5.googleusercontent.com/d/1y85emSdEdm37m6s7mEWB-wMszWbOqtV9" TargetMode="External"/><Relationship Id="rId4000" Type="http://schemas.openxmlformats.org/officeDocument/2006/relationships/hyperlink" Target="https://lh5.googleusercontent.com/d/1vmYEs20JR1qT3s6Q8HAzcbH3iyvf-5T5" TargetMode="External"/><Relationship Id="rId5332" Type="http://schemas.openxmlformats.org/officeDocument/2006/relationships/hyperlink" Target="https://drive.google.com/file/d/1DdXP2I9okqXXUw0sx6RL24zj2Q1fJKaA/view?usp=drivesdk" TargetMode="External"/><Relationship Id="rId263" Type="http://schemas.openxmlformats.org/officeDocument/2006/relationships/hyperlink" Target="https://drive.google.com/file/d/1b0jay_hlIsgGyXXFX0Gf2BGol4MT3byT/view?usp=drivesdk" TargetMode="External"/><Relationship Id="rId5333" Type="http://schemas.openxmlformats.org/officeDocument/2006/relationships/hyperlink" Target="https://lh5.googleusercontent.com/d/1dLavsPf55L-tT_MWuq577oRv8CeN2ID-" TargetMode="External"/><Relationship Id="rId262" Type="http://schemas.openxmlformats.org/officeDocument/2006/relationships/hyperlink" Target="https://lh5.googleusercontent.com/d/16c6FAbF2WOWwRJbispsad6BzbrN26sJD" TargetMode="External"/><Relationship Id="rId4002" Type="http://schemas.openxmlformats.org/officeDocument/2006/relationships/hyperlink" Target="https://lh5.googleusercontent.com/d/1fa2-LRUlCzWcxAYmelyndJPNTFUHfmcK" TargetMode="External"/><Relationship Id="rId5330" Type="http://schemas.openxmlformats.org/officeDocument/2006/relationships/hyperlink" Target="https://drive.google.com/file/d/12no7TEhBI6ORmcG5s4tr-29gxnuoN8_L/view?usp=drivesdk" TargetMode="External"/><Relationship Id="rId261" Type="http://schemas.openxmlformats.org/officeDocument/2006/relationships/hyperlink" Target="https://drive.google.com/file/d/18wpz2VYyha_ze9lM8KgisK4sHqhWMvig/view?usp=drivesdk" TargetMode="External"/><Relationship Id="rId4001" Type="http://schemas.openxmlformats.org/officeDocument/2006/relationships/hyperlink" Target="https://drive.google.com/file/d/1KChrsVTwYzQq3chcFv9qlG-iLKRcjjbi/view?usp=drivesdk" TargetMode="External"/><Relationship Id="rId5331" Type="http://schemas.openxmlformats.org/officeDocument/2006/relationships/hyperlink" Target="https://lh5.googleusercontent.com/d/1Zg1uVqqUSJrZi2nSZR-4KVbOlsiJhXai" TargetMode="External"/><Relationship Id="rId268" Type="http://schemas.openxmlformats.org/officeDocument/2006/relationships/hyperlink" Target="https://lh5.googleusercontent.com/d/1m22vKpeJUN1DWJlEClKg1Ghg0P4A_5co" TargetMode="External"/><Relationship Id="rId4004" Type="http://schemas.openxmlformats.org/officeDocument/2006/relationships/hyperlink" Target="https://lh5.googleusercontent.com/d/1wvtTLnhHozYRxSFKMoPymtAlZ7AbU--7" TargetMode="External"/><Relationship Id="rId5336" Type="http://schemas.openxmlformats.org/officeDocument/2006/relationships/hyperlink" Target="https://drive.google.com/file/d/1Pi3cHMRhWH2I8sz8XX8AXsiLz0X-YPtS/view?usp=drivesdk" TargetMode="External"/><Relationship Id="rId267" Type="http://schemas.openxmlformats.org/officeDocument/2006/relationships/hyperlink" Target="https://drive.google.com/file/d/1IEj7-LXZS8f04Q9EtQBAVWvK8NVx1NUb/view?usp=drivesdk" TargetMode="External"/><Relationship Id="rId4003" Type="http://schemas.openxmlformats.org/officeDocument/2006/relationships/hyperlink" Target="https://drive.google.com/file/d/1RifOz9FSU72zuEEccxUa2IU-tqZsgAUw/view?usp=drivesdk" TargetMode="External"/><Relationship Id="rId5337" Type="http://schemas.openxmlformats.org/officeDocument/2006/relationships/hyperlink" Target="https://lh5.googleusercontent.com/d/1iOg3c24XU1HIlMcHtOG-kGvYvEyMkkf4" TargetMode="External"/><Relationship Id="rId266" Type="http://schemas.openxmlformats.org/officeDocument/2006/relationships/hyperlink" Target="https://lh5.googleusercontent.com/d/1LQxtQxrL9YqKf83UP6mtA-PoY4RgbGq9" TargetMode="External"/><Relationship Id="rId4006" Type="http://schemas.openxmlformats.org/officeDocument/2006/relationships/hyperlink" Target="https://lh5.googleusercontent.com/d/1IrVyQFpP9u7TNM_Rofo3asPZW3GHqEGa" TargetMode="External"/><Relationship Id="rId5334" Type="http://schemas.openxmlformats.org/officeDocument/2006/relationships/hyperlink" Target="https://drive.google.com/file/d/17hcY6Wqai3JB8l8nXP2AdEZoRDuBcuS8/view?usp=drivesdk" TargetMode="External"/><Relationship Id="rId265" Type="http://schemas.openxmlformats.org/officeDocument/2006/relationships/hyperlink" Target="https://drive.google.com/file/d/1CC5AI6CjTmHhZ7EmQVmn2cZB-pBmPwPM/view?usp=drivesdk" TargetMode="External"/><Relationship Id="rId4005" Type="http://schemas.openxmlformats.org/officeDocument/2006/relationships/hyperlink" Target="https://drive.google.com/file/d/1Sp-2O5ccX8A_vITAGXDvyYh3J-BGgZR-/view?usp=drivesdk" TargetMode="External"/><Relationship Id="rId5335" Type="http://schemas.openxmlformats.org/officeDocument/2006/relationships/hyperlink" Target="https://lh5.googleusercontent.com/d/1N3g-6W_iETeY4cXY4vF86kTxVaJ0381w" TargetMode="External"/><Relationship Id="rId5329" Type="http://schemas.openxmlformats.org/officeDocument/2006/relationships/hyperlink" Target="https://lh5.googleusercontent.com/d/1QwG4CAbFG8LPhgH_o573CuNksq2P5Xsx" TargetMode="External"/><Relationship Id="rId5327" Type="http://schemas.openxmlformats.org/officeDocument/2006/relationships/hyperlink" Target="https://lh5.googleusercontent.com/d/1Zeh80bxji-dWnfV0m837kTtnrJKAY94g" TargetMode="External"/><Relationship Id="rId5328" Type="http://schemas.openxmlformats.org/officeDocument/2006/relationships/hyperlink" Target="https://drive.google.com/file/d/1esAs9DXAUd5XQ9zYVSks95u8GFWbB8yU/view?usp=drivesdk" TargetMode="External"/><Relationship Id="rId260" Type="http://schemas.openxmlformats.org/officeDocument/2006/relationships/hyperlink" Target="https://lh5.googleusercontent.com/d/1bojFpA2uM6kyGbS7x0I9ERPfmL933h8m" TargetMode="External"/><Relationship Id="rId259" Type="http://schemas.openxmlformats.org/officeDocument/2006/relationships/hyperlink" Target="https://drive.google.com/file/d/1m9HZ3dpmpoET8021HZ6rFjF6KJCDdC_Y/view?usp=drivesdk" TargetMode="External"/><Relationship Id="rId258" Type="http://schemas.openxmlformats.org/officeDocument/2006/relationships/hyperlink" Target="https://lh5.googleusercontent.com/d/1RiBH11HFViEVTBh6b5lSGaLS4D3BpnYP" TargetMode="External"/><Relationship Id="rId2290" Type="http://schemas.openxmlformats.org/officeDocument/2006/relationships/hyperlink" Target="https://drive.google.com/file/d/1wlEnOqJ3OPvS3_0923Kio4kkOfNGk2Go/view?usp=drivesdk" TargetMode="External"/><Relationship Id="rId2291" Type="http://schemas.openxmlformats.org/officeDocument/2006/relationships/hyperlink" Target="https://lh5.googleusercontent.com/d/1XtzvB7plQ6cfaQJ3aVBVNq_wU_gnJHaw" TargetMode="External"/><Relationship Id="rId2292" Type="http://schemas.openxmlformats.org/officeDocument/2006/relationships/hyperlink" Target="https://drive.google.com/file/d/1VI5ykfgSVFSTKeWrRXw09vqsvuRdQP1D/view?usp=drivesdk" TargetMode="External"/><Relationship Id="rId2293" Type="http://schemas.openxmlformats.org/officeDocument/2006/relationships/hyperlink" Target="https://lh5.googleusercontent.com/d/1qTjFNGkqcXhySkNalxP7PC3Up2IFj3EC" TargetMode="External"/><Relationship Id="rId253" Type="http://schemas.openxmlformats.org/officeDocument/2006/relationships/hyperlink" Target="https://drive.google.com/file/d/1CUywAc1Vzwmj_JfdEHDcT7ymTfcLE3vQ/view?usp=drivesdk" TargetMode="External"/><Relationship Id="rId2294" Type="http://schemas.openxmlformats.org/officeDocument/2006/relationships/hyperlink" Target="https://drive.google.com/file/d/1PVVe_yNl-oZRAtsY1zbk8R7t20K_-e9h/view?usp=drivesdk" TargetMode="External"/><Relationship Id="rId5321" Type="http://schemas.openxmlformats.org/officeDocument/2006/relationships/hyperlink" Target="https://lh5.googleusercontent.com/d/1LteeCMtTa3V2LQtQxczBfI5P45bleYlI" TargetMode="External"/><Relationship Id="rId252" Type="http://schemas.openxmlformats.org/officeDocument/2006/relationships/hyperlink" Target="https://lh5.googleusercontent.com/d/1vhVsHdoyysVnbkeJT2I6r9OTp0aDH_an" TargetMode="External"/><Relationship Id="rId2295" Type="http://schemas.openxmlformats.org/officeDocument/2006/relationships/hyperlink" Target="https://lh5.googleusercontent.com/d/1LBqlRGCn53bxPOItCJ7rTlwHA4oVnEz6" TargetMode="External"/><Relationship Id="rId5322" Type="http://schemas.openxmlformats.org/officeDocument/2006/relationships/hyperlink" Target="https://drive.google.com/file/d/1arG2R3jgg7CAD3YX_qkbnnnICrFXTd3I/view?usp=drivesdk" TargetMode="External"/><Relationship Id="rId251" Type="http://schemas.openxmlformats.org/officeDocument/2006/relationships/hyperlink" Target="https://drive.google.com/file/d/1BflgMVIfuiNXV5xEe064StvUJYE3l3FO/view?usp=drivesdk" TargetMode="External"/><Relationship Id="rId2296" Type="http://schemas.openxmlformats.org/officeDocument/2006/relationships/hyperlink" Target="https://drive.google.com/file/d/1qupg5RjGhIitvJx-QKeRd-Wv3ErNryvL/view?usp=drivesdk" TargetMode="External"/><Relationship Id="rId250" Type="http://schemas.openxmlformats.org/officeDocument/2006/relationships/hyperlink" Target="https://lh5.googleusercontent.com/d/1okrU9O2ubnMnQVGUvOJLVO14F5DVnl3b" TargetMode="External"/><Relationship Id="rId2297" Type="http://schemas.openxmlformats.org/officeDocument/2006/relationships/hyperlink" Target="https://lh5.googleusercontent.com/d/1jaFYUVm-QxnYoHBlgM-bfkSLhQPOsuWq" TargetMode="External"/><Relationship Id="rId5320" Type="http://schemas.openxmlformats.org/officeDocument/2006/relationships/hyperlink" Target="https://drive.google.com/file/d/1w_5J_ahXt1ubMSPOznl4fERinYXikB-8/view?usp=drivesdk" TargetMode="External"/><Relationship Id="rId257" Type="http://schemas.openxmlformats.org/officeDocument/2006/relationships/hyperlink" Target="https://drive.google.com/file/d/1WelBYih3HqZnFkxS72Reg1E4snXo2VSe/view?usp=drivesdk" TargetMode="External"/><Relationship Id="rId2298" Type="http://schemas.openxmlformats.org/officeDocument/2006/relationships/hyperlink" Target="https://drive.google.com/file/d/1-OFQpZHVtzsDvaoC2s-DJ0gbzs9HzHhI/view?usp=drivesdk" TargetMode="External"/><Relationship Id="rId5325" Type="http://schemas.openxmlformats.org/officeDocument/2006/relationships/hyperlink" Target="https://lh5.googleusercontent.com/d/1sHNBITPoAJYWZD0BCerssRdSp5PbRKUu" TargetMode="External"/><Relationship Id="rId256" Type="http://schemas.openxmlformats.org/officeDocument/2006/relationships/hyperlink" Target="https://lh5.googleusercontent.com/d/177Ba2GL5Xi5Fem0e3M_w5UO0CCP78-md" TargetMode="External"/><Relationship Id="rId2299" Type="http://schemas.openxmlformats.org/officeDocument/2006/relationships/hyperlink" Target="https://lh5.googleusercontent.com/d/1A6EFJZyPOO8claXV93FMqpGYNzaD1exw" TargetMode="External"/><Relationship Id="rId5326" Type="http://schemas.openxmlformats.org/officeDocument/2006/relationships/hyperlink" Target="https://drive.google.com/file/d/1KwuePrYOO3joAvw0iKGtFrk4mtC0N8_s/view?usp=drivesdk" TargetMode="External"/><Relationship Id="rId255" Type="http://schemas.openxmlformats.org/officeDocument/2006/relationships/hyperlink" Target="https://drive.google.com/file/d/1CQP0XWapS7xgYspilB9WeHE9mAuekPGg/view?usp=drivesdk" TargetMode="External"/><Relationship Id="rId5323" Type="http://schemas.openxmlformats.org/officeDocument/2006/relationships/hyperlink" Target="https://lh5.googleusercontent.com/d/1S32Z83WYu16Ag6dTqMFOTuIyi_uyfk-6" TargetMode="External"/><Relationship Id="rId254" Type="http://schemas.openxmlformats.org/officeDocument/2006/relationships/hyperlink" Target="https://lh5.googleusercontent.com/d/1fx4zsSNCAzm8VfjGTLewtr4hDhyJ-WcQ" TargetMode="External"/><Relationship Id="rId5324" Type="http://schemas.openxmlformats.org/officeDocument/2006/relationships/hyperlink" Target="https://drive.google.com/file/d/1MPHvSRgiunIXJKxdNCGjCgS9Be8g8miJ/view?usp=drivesdk" TargetMode="External"/><Relationship Id="rId4029" Type="http://schemas.openxmlformats.org/officeDocument/2006/relationships/hyperlink" Target="https://lh5.googleusercontent.com/d/16Pvd-qmX353-DZVFIhBBN-kMJvoeTVd8" TargetMode="External"/><Relationship Id="rId293" Type="http://schemas.openxmlformats.org/officeDocument/2006/relationships/hyperlink" Target="https://drive.google.com/file/d/1QFPA4eXXqaeLGcZVSGIK7WbyribYazFG/view?usp=drivesdk" TargetMode="External"/><Relationship Id="rId292" Type="http://schemas.openxmlformats.org/officeDocument/2006/relationships/hyperlink" Target="https://lh5.googleusercontent.com/d/1LwHG9PUpuT-fLGPfQ2h9T5cYu4777DCd" TargetMode="External"/><Relationship Id="rId291" Type="http://schemas.openxmlformats.org/officeDocument/2006/relationships/hyperlink" Target="https://drive.google.com/file/d/1dls27RcfAO7y7v7h-PSXuZmnBu4s4jCv/view?usp=drivesdk" TargetMode="External"/><Relationship Id="rId290" Type="http://schemas.openxmlformats.org/officeDocument/2006/relationships/hyperlink" Target="https://lh5.googleusercontent.com/d/16ei8ytaLqxaarAAHd0R1ENkb3Je2IRgf" TargetMode="External"/><Relationship Id="rId5350" Type="http://schemas.openxmlformats.org/officeDocument/2006/relationships/hyperlink" Target="https://drive.google.com/file/d/1FzR0lhrWFl0Z8SYvIsHOOEsdku6_Y_zs/view?usp=drivesdk" TargetMode="External"/><Relationship Id="rId5351" Type="http://schemas.openxmlformats.org/officeDocument/2006/relationships/hyperlink" Target="https://lh5.googleusercontent.com/d/1ZFVZzDyIgdVAyMucWyGG4Bu8F6zkTTO7" TargetMode="External"/><Relationship Id="rId4020" Type="http://schemas.openxmlformats.org/officeDocument/2006/relationships/hyperlink" Target="https://lh5.googleusercontent.com/d/1N6Tv57aLlNUY-iYPHSizbyDI95pz_L56" TargetMode="External"/><Relationship Id="rId286" Type="http://schemas.openxmlformats.org/officeDocument/2006/relationships/hyperlink" Target="https://lh5.googleusercontent.com/d/1B6bQ7VvVlISvmb-nyvDmQ9i7hrYbvhwD" TargetMode="External"/><Relationship Id="rId4022" Type="http://schemas.openxmlformats.org/officeDocument/2006/relationships/hyperlink" Target="https://lh5.googleusercontent.com/d/1uWiMObObhNTmilHFISLFYshvwHkzoKVn" TargetMode="External"/><Relationship Id="rId5354" Type="http://schemas.openxmlformats.org/officeDocument/2006/relationships/hyperlink" Target="https://drive.google.com/file/d/1mmXQ63Ghu8QSP_f_ux7WZSahHPmKyb2v/view?usp=drivesdk" TargetMode="External"/><Relationship Id="rId285" Type="http://schemas.openxmlformats.org/officeDocument/2006/relationships/hyperlink" Target="https://drive.google.com/file/d/1n0a-2cXSyEMPaYPJqJVkta_HhDewHRbr/view?usp=drivesdk" TargetMode="External"/><Relationship Id="rId4021" Type="http://schemas.openxmlformats.org/officeDocument/2006/relationships/hyperlink" Target="https://drive.google.com/file/d/1sE3Vr2O3MxZFFhPqVQ5MR5fkbq5NhnED/view?usp=drivesdk" TargetMode="External"/><Relationship Id="rId5355" Type="http://schemas.openxmlformats.org/officeDocument/2006/relationships/hyperlink" Target="https://lh5.googleusercontent.com/d/1cDaPymsjplyfBXnC22umUCpASLL4LBW8" TargetMode="External"/><Relationship Id="rId284" Type="http://schemas.openxmlformats.org/officeDocument/2006/relationships/hyperlink" Target="https://lh5.googleusercontent.com/d/11vcaFvIQJockRUGj4K6I4y9kROilGaA3" TargetMode="External"/><Relationship Id="rId4024" Type="http://schemas.openxmlformats.org/officeDocument/2006/relationships/hyperlink" Target="https://lh5.googleusercontent.com/d/19ULgwfKjnScDvCp8Phs4iOfcu5W7XxaX" TargetMode="External"/><Relationship Id="rId5352" Type="http://schemas.openxmlformats.org/officeDocument/2006/relationships/hyperlink" Target="https://drive.google.com/file/d/159t1PVODRCvFyRg249nNRTew47zkptLu/view?usp=drivesdk" TargetMode="External"/><Relationship Id="rId283" Type="http://schemas.openxmlformats.org/officeDocument/2006/relationships/hyperlink" Target="https://drive.google.com/file/d/1umPfpLoJ2VmOE-Kto3ToQvgyp97Fp_1z/view?usp=drivesdk" TargetMode="External"/><Relationship Id="rId4023" Type="http://schemas.openxmlformats.org/officeDocument/2006/relationships/hyperlink" Target="https://drive.google.com/file/d/1PQZTvwlp9zSC0dEL6rckNZbol21dxSSF/view?usp=drivesdk" TargetMode="External"/><Relationship Id="rId5353" Type="http://schemas.openxmlformats.org/officeDocument/2006/relationships/hyperlink" Target="https://lh5.googleusercontent.com/d/11Y-_47JmPotFJ57jsH4ARw6w5g7La-qK" TargetMode="External"/><Relationship Id="rId4026" Type="http://schemas.openxmlformats.org/officeDocument/2006/relationships/hyperlink" Target="https://lh5.googleusercontent.com/d/1P4NG2mQH4CJ2nWOX8T2xeaEmbqT91XS-" TargetMode="External"/><Relationship Id="rId5358" Type="http://schemas.openxmlformats.org/officeDocument/2006/relationships/hyperlink" Target="https://drive.google.com/file/d/1Zk9bypGEQg6oE4TWqpvQ0r4ezGEnEN9q/view?usp=drivesdk" TargetMode="External"/><Relationship Id="rId289" Type="http://schemas.openxmlformats.org/officeDocument/2006/relationships/hyperlink" Target="https://drive.google.com/file/d/1t1OGqYtGTMH3r7Ti77xn5O-9njdjGXwr/view?usp=drivesdk" TargetMode="External"/><Relationship Id="rId4025" Type="http://schemas.openxmlformats.org/officeDocument/2006/relationships/hyperlink" Target="https://drive.google.com/file/d/1lsV0Pjd0be3ABWgOEwH0Bu5gpY8SItYX/view?usp=drivesdk" TargetMode="External"/><Relationship Id="rId5359" Type="http://schemas.openxmlformats.org/officeDocument/2006/relationships/hyperlink" Target="https://lh5.googleusercontent.com/d/1HxPwdaPyBAkKnNtT6RCIXBdxnnBmLkS5" TargetMode="External"/><Relationship Id="rId288" Type="http://schemas.openxmlformats.org/officeDocument/2006/relationships/hyperlink" Target="https://lh5.googleusercontent.com/d/1i8GjX1wIV5OTMQCXNyP_Y3yn1pBEjhgF" TargetMode="External"/><Relationship Id="rId4028" Type="http://schemas.openxmlformats.org/officeDocument/2006/relationships/hyperlink" Target="https://drive.google.com/file/d/1idaHHxI6kjVPvh-wQNXW09Vvg3Fm3A0m/view?usp=drivesdk" TargetMode="External"/><Relationship Id="rId5356" Type="http://schemas.openxmlformats.org/officeDocument/2006/relationships/hyperlink" Target="https://drive.google.com/file/d/1l1pDgUkClePoxdXXz3ruQrMwnRLh_X7_/view?usp=drivesdk" TargetMode="External"/><Relationship Id="rId287" Type="http://schemas.openxmlformats.org/officeDocument/2006/relationships/hyperlink" Target="https://drive.google.com/file/d/1zuO5B2MsJ0fnOziZ07O3KXI46vIsDOPU/view?usp=drivesdk" TargetMode="External"/><Relationship Id="rId4027" Type="http://schemas.openxmlformats.org/officeDocument/2006/relationships/hyperlink" Target="https://lh5.googleusercontent.com/d/1P4NG2mQH4CJ2nWOX8T2xeaEmbqT91XS-" TargetMode="External"/><Relationship Id="rId5357" Type="http://schemas.openxmlformats.org/officeDocument/2006/relationships/hyperlink" Target="https://lh5.googleusercontent.com/d/1rGHppryPWDY_DlT9aUpRN72b_RDUMZmP" TargetMode="External"/><Relationship Id="rId4019" Type="http://schemas.openxmlformats.org/officeDocument/2006/relationships/hyperlink" Target="https://drive.google.com/file/d/1aWLEbTY74J0G2j20cozg-YTPRqjSOHhY/view?usp=drivesdk" TargetMode="External"/><Relationship Id="rId4018" Type="http://schemas.openxmlformats.org/officeDocument/2006/relationships/hyperlink" Target="https://lh5.googleusercontent.com/d/1KDsvAJ-5MIG_iahU-5Sj7QJAHFEGxUxd" TargetMode="External"/><Relationship Id="rId5349" Type="http://schemas.openxmlformats.org/officeDocument/2006/relationships/hyperlink" Target="https://lh5.googleusercontent.com/d/1aAXknAceAzmwczh_B-u2t3HCg5N3KaAF" TargetMode="External"/><Relationship Id="rId282" Type="http://schemas.openxmlformats.org/officeDocument/2006/relationships/hyperlink" Target="https://lh5.googleusercontent.com/d/1_eDRifSgFc09P5vqPxm4OFuL_TSRliDl" TargetMode="External"/><Relationship Id="rId281" Type="http://schemas.openxmlformats.org/officeDocument/2006/relationships/hyperlink" Target="https://drive.google.com/file/d/14mJvR1EiOynG7I2yrGoTx1Gr5ynMnE_z/view?usp=drivesdk" TargetMode="External"/><Relationship Id="rId280" Type="http://schemas.openxmlformats.org/officeDocument/2006/relationships/hyperlink" Target="https://lh5.googleusercontent.com/d/1qblfB5RlHHgpVaDUomRivPqcjM0j8CwT" TargetMode="External"/><Relationship Id="rId5340" Type="http://schemas.openxmlformats.org/officeDocument/2006/relationships/hyperlink" Target="https://drive.google.com/file/d/1_83UH_gwYV4nmPspTxf0YXAq2tHfIX8_/view?usp=drivesdk" TargetMode="External"/><Relationship Id="rId275" Type="http://schemas.openxmlformats.org/officeDocument/2006/relationships/hyperlink" Target="https://drive.google.com/file/d/14R2DhA0_SZMLsNkWdx_bxXQ-qzpFo8_V/view?usp=drivesdk" TargetMode="External"/><Relationship Id="rId4011" Type="http://schemas.openxmlformats.org/officeDocument/2006/relationships/hyperlink" Target="https://drive.google.com/file/d/1rk_x9IgewEpDjRr4qrBhPej73WucUMuM/view?usp=drivesdk" TargetMode="External"/><Relationship Id="rId5343" Type="http://schemas.openxmlformats.org/officeDocument/2006/relationships/hyperlink" Target="https://lh5.googleusercontent.com/d/1WcLkmJO7eb2b8cSYGLapww5UKK5Q6N51" TargetMode="External"/><Relationship Id="rId274" Type="http://schemas.openxmlformats.org/officeDocument/2006/relationships/hyperlink" Target="https://lh5.googleusercontent.com/d/1UNCWmLiFOxUEI5nkrEy20CXe6FCKd9MA" TargetMode="External"/><Relationship Id="rId4010" Type="http://schemas.openxmlformats.org/officeDocument/2006/relationships/hyperlink" Target="https://lh5.googleusercontent.com/d/1wsATfFhtVSdGZeh9av34yfOR5TXd0lLB" TargetMode="External"/><Relationship Id="rId5344" Type="http://schemas.openxmlformats.org/officeDocument/2006/relationships/hyperlink" Target="https://drive.google.com/file/d/1fXoGTkhF9LI_IV_sDc9tzZlKaj4D9oYG/view?usp=drivesdk" TargetMode="External"/><Relationship Id="rId273" Type="http://schemas.openxmlformats.org/officeDocument/2006/relationships/hyperlink" Target="https://drive.google.com/file/d/1WsleQKB-_VYoslHqTd-uP3FfP9vnvKth/view?usp=drivesdk" TargetMode="External"/><Relationship Id="rId4013" Type="http://schemas.openxmlformats.org/officeDocument/2006/relationships/hyperlink" Target="https://drive.google.com/file/d/1DK1ZRr1_VWeN1wcQobVuVNWech_PV-C-/view?usp=drivesdk" TargetMode="External"/><Relationship Id="rId5341" Type="http://schemas.openxmlformats.org/officeDocument/2006/relationships/hyperlink" Target="https://lh5.googleusercontent.com/d/18Na3gAYr83x6Qa2GVMv_G0S-bns7VDK_" TargetMode="External"/><Relationship Id="rId272" Type="http://schemas.openxmlformats.org/officeDocument/2006/relationships/hyperlink" Target="https://lh5.googleusercontent.com/d/1EoyCgCDaVfW5OfqPf7YD8iD7R8a6VklJ" TargetMode="External"/><Relationship Id="rId4012" Type="http://schemas.openxmlformats.org/officeDocument/2006/relationships/hyperlink" Target="https://lh5.googleusercontent.com/d/1VIzivBG1oZt1gr04SxodTKTITd6xyoTQ" TargetMode="External"/><Relationship Id="rId5342" Type="http://schemas.openxmlformats.org/officeDocument/2006/relationships/hyperlink" Target="https://drive.google.com/file/d/1hoNC6zSt76oEVH5pRrnvvExpSat0WcPf/view?usp=drivesdk" TargetMode="External"/><Relationship Id="rId279" Type="http://schemas.openxmlformats.org/officeDocument/2006/relationships/hyperlink" Target="https://drive.google.com/file/d/1vwQwMRUsEP8HCga4pYf7y4FNRbniHC38/view?usp=drivesdk" TargetMode="External"/><Relationship Id="rId4015" Type="http://schemas.openxmlformats.org/officeDocument/2006/relationships/hyperlink" Target="https://drive.google.com/file/d/10Y-EjgJGiNjztLm1yvGIxmTJmc8olHLL/view?usp=drivesdk" TargetMode="External"/><Relationship Id="rId5347" Type="http://schemas.openxmlformats.org/officeDocument/2006/relationships/hyperlink" Target="https://lh5.googleusercontent.com/d/1AGgoGrASrluedmULONTXcUuldT3gtOEg" TargetMode="External"/><Relationship Id="rId278" Type="http://schemas.openxmlformats.org/officeDocument/2006/relationships/hyperlink" Target="https://lh5.googleusercontent.com/d/11n-63pMtHnBRzHCSwwZz4UtaICxjcu3O" TargetMode="External"/><Relationship Id="rId4014" Type="http://schemas.openxmlformats.org/officeDocument/2006/relationships/hyperlink" Target="https://lh5.googleusercontent.com/d/1ZqZdlQsrfXJshzIhf2JO_BdJt-X_SbVI" TargetMode="External"/><Relationship Id="rId5348" Type="http://schemas.openxmlformats.org/officeDocument/2006/relationships/hyperlink" Target="https://drive.google.com/file/d/180tBelvEFeE5eMHmfkgFw5rKPZ3J9tqP/view?usp=drivesdk" TargetMode="External"/><Relationship Id="rId277" Type="http://schemas.openxmlformats.org/officeDocument/2006/relationships/hyperlink" Target="https://drive.google.com/file/d/1Svdl8e6hxlg16t-Wj-PsB02KijHNc2GL/view?usp=drivesdk" TargetMode="External"/><Relationship Id="rId4017" Type="http://schemas.openxmlformats.org/officeDocument/2006/relationships/hyperlink" Target="https://drive.google.com/file/d/1EhVoofQwlLjH765EBJ0cthhOx_IlZtx_/view?usp=drivesdk" TargetMode="External"/><Relationship Id="rId5345" Type="http://schemas.openxmlformats.org/officeDocument/2006/relationships/hyperlink" Target="https://lh5.googleusercontent.com/d/1StJkwogYd3Y3h4lBBqOokG4Q9KD6oVhe" TargetMode="External"/><Relationship Id="rId276" Type="http://schemas.openxmlformats.org/officeDocument/2006/relationships/hyperlink" Target="https://lh5.googleusercontent.com/d/1ncbY_whOpcjuVhnixvx7fbISsGPTs3UY" TargetMode="External"/><Relationship Id="rId4016" Type="http://schemas.openxmlformats.org/officeDocument/2006/relationships/hyperlink" Target="https://lh5.googleusercontent.com/d/1K9MgyV8AwZSEn4uEBN-hC8IrnaAu_jRi" TargetMode="External"/><Relationship Id="rId5346" Type="http://schemas.openxmlformats.org/officeDocument/2006/relationships/hyperlink" Target="https://drive.google.com/file/d/19F2SNh3qUsR9p2XydjRgsnCTLs33whgN/view?usp=drivesdk" TargetMode="External"/><Relationship Id="rId1851" Type="http://schemas.openxmlformats.org/officeDocument/2006/relationships/hyperlink" Target="https://drive.google.com/file/d/1WoeJS8nsVJxLMb0kT0kj5hMFmVPhK6jw/view?usp=drivesdk" TargetMode="External"/><Relationship Id="rId1852" Type="http://schemas.openxmlformats.org/officeDocument/2006/relationships/hyperlink" Target="https://lh5.googleusercontent.com/d/1n880R0MV7KTHeOgISKuQD33rk3U7-Cce" TargetMode="External"/><Relationship Id="rId1853" Type="http://schemas.openxmlformats.org/officeDocument/2006/relationships/hyperlink" Target="https://drive.google.com/file/d/1-EQIhCbzP70BZuR5KWdEOCRHSvrtjLHf/view?usp=drivesdk" TargetMode="External"/><Relationship Id="rId1854" Type="http://schemas.openxmlformats.org/officeDocument/2006/relationships/hyperlink" Target="https://lh5.googleusercontent.com/d/1MAfkOtGYdZDsaAw6OU-y9vVuGHarGrcc" TargetMode="External"/><Relationship Id="rId1855" Type="http://schemas.openxmlformats.org/officeDocument/2006/relationships/hyperlink" Target="https://drive.google.com/file/d/1sfXlmfnZoEH6OxFNE1PxrE0jIIKChfjS/view?usp=drivesdk" TargetMode="External"/><Relationship Id="rId1856" Type="http://schemas.openxmlformats.org/officeDocument/2006/relationships/hyperlink" Target="https://lh5.googleusercontent.com/d/16SLy53TqBp3k8G9HbOUVwWLtf-H4wNch" TargetMode="External"/><Relationship Id="rId1857" Type="http://schemas.openxmlformats.org/officeDocument/2006/relationships/hyperlink" Target="https://drive.google.com/file/d/1tE0Yg_p9l51q3y4vlf4hGOw3lYwYoXq4/view?usp=drivesdk" TargetMode="External"/><Relationship Id="rId1858" Type="http://schemas.openxmlformats.org/officeDocument/2006/relationships/hyperlink" Target="https://lh5.googleusercontent.com/d/1dKHPYeaoVkE45jkq6lDufvVZlb_VTEh6" TargetMode="External"/><Relationship Id="rId1859" Type="http://schemas.openxmlformats.org/officeDocument/2006/relationships/hyperlink" Target="https://drive.google.com/file/d/1_zB8ixXD87EbQFw8BpdaRw2dBB8gyjXU/view?usp=drivesdk" TargetMode="External"/><Relationship Id="rId1850" Type="http://schemas.openxmlformats.org/officeDocument/2006/relationships/hyperlink" Target="https://lh5.googleusercontent.com/d/1As6oG37RG2no0Rr9sPmspu9sN73aG52a" TargetMode="External"/><Relationship Id="rId1840" Type="http://schemas.openxmlformats.org/officeDocument/2006/relationships/hyperlink" Target="https://drive.google.com/file/d/1nDRALfraMLMVRCqV-5-XlNmpxJ_h34YP/view?usp=drivesdk" TargetMode="External"/><Relationship Id="rId1841" Type="http://schemas.openxmlformats.org/officeDocument/2006/relationships/hyperlink" Target="https://lh5.googleusercontent.com/d/1PRDzmtAyga_Lad-ynYX1hs1IdfkflcBc" TargetMode="External"/><Relationship Id="rId1842" Type="http://schemas.openxmlformats.org/officeDocument/2006/relationships/hyperlink" Target="https://lh5.googleusercontent.com/d/1Cazm6NdI9U0CliAZTdwQwGsX8fc3oL-v" TargetMode="External"/><Relationship Id="rId1843" Type="http://schemas.openxmlformats.org/officeDocument/2006/relationships/hyperlink" Target="https://drive.google.com/file/d/1Gmg5dBhG2laVPXeYMNjshvpQ6EOpIDKC/view?usp=drivesdk" TargetMode="External"/><Relationship Id="rId1844" Type="http://schemas.openxmlformats.org/officeDocument/2006/relationships/hyperlink" Target="https://lh5.googleusercontent.com/d/1TkOro2c_Ixib1OcUMchcJ7zWjCwFdBfz" TargetMode="External"/><Relationship Id="rId1845" Type="http://schemas.openxmlformats.org/officeDocument/2006/relationships/hyperlink" Target="https://drive.google.com/file/d/11EHsYvhqQ35vpPma4ApA955fbDUVlHKd/view?usp=drivesdk" TargetMode="External"/><Relationship Id="rId1846" Type="http://schemas.openxmlformats.org/officeDocument/2006/relationships/hyperlink" Target="https://lh5.googleusercontent.com/d/12gg_LAhL2y_uoCv6XUw2R9eNUubsRHKf" TargetMode="External"/><Relationship Id="rId1847" Type="http://schemas.openxmlformats.org/officeDocument/2006/relationships/hyperlink" Target="https://drive.google.com/file/d/1pgaqtoD2J-XtDlpebF3JbRe3aFi7Q_nS/view?usp=drivesdk" TargetMode="External"/><Relationship Id="rId1848" Type="http://schemas.openxmlformats.org/officeDocument/2006/relationships/hyperlink" Target="https://lh5.googleusercontent.com/d/183iAefvNS8JiMijZeJ97XqQBfpw971Q5" TargetMode="External"/><Relationship Id="rId1849" Type="http://schemas.openxmlformats.org/officeDocument/2006/relationships/hyperlink" Target="https://drive.google.com/file/d/1KUoIsInO2ehwrd9C3xcvYOIkJY3xqiE0/view?usp=drivesdk" TargetMode="External"/><Relationship Id="rId1873" Type="http://schemas.openxmlformats.org/officeDocument/2006/relationships/hyperlink" Target="https://drive.google.com/file/d/1I6jzIp6260mtxTdLK4H2Gh3ej9DKLzQ_/view?usp=drivesdk" TargetMode="External"/><Relationship Id="rId1874" Type="http://schemas.openxmlformats.org/officeDocument/2006/relationships/hyperlink" Target="https://lh5.googleusercontent.com/d/1qKwfeeAnVZ_gCdfNmNPSlqmKy9A_51bM" TargetMode="External"/><Relationship Id="rId1875" Type="http://schemas.openxmlformats.org/officeDocument/2006/relationships/hyperlink" Target="https://drive.google.com/file/d/1oTlb5ypv1LLl1sFLdwFEjJG-75NOwU1H/view?usp=drivesdk" TargetMode="External"/><Relationship Id="rId4901" Type="http://schemas.openxmlformats.org/officeDocument/2006/relationships/hyperlink" Target="https://lh5.googleusercontent.com/d/1njvjhFlxtGesOGYLCeaef8x7KWNQcqoV" TargetMode="External"/><Relationship Id="rId1876" Type="http://schemas.openxmlformats.org/officeDocument/2006/relationships/hyperlink" Target="https://lh5.googleusercontent.com/d/1q2N8fR0lqtcc9L79q-EfcNzxt7yp9XMy" TargetMode="External"/><Relationship Id="rId4900" Type="http://schemas.openxmlformats.org/officeDocument/2006/relationships/hyperlink" Target="https://drive.google.com/file/d/1kit4r9Qr9fmYXPfe6YiMRXtJ5teY9sTf/view?usp=drivesdk" TargetMode="External"/><Relationship Id="rId1877" Type="http://schemas.openxmlformats.org/officeDocument/2006/relationships/hyperlink" Target="https://drive.google.com/file/d/1U8rwArfnRfWnBDMiTvUQRLBButxdMqOg/view?usp=drivesdk" TargetMode="External"/><Relationship Id="rId4903" Type="http://schemas.openxmlformats.org/officeDocument/2006/relationships/hyperlink" Target="https://lh5.googleusercontent.com/d/1w2REuZARInCYJx3ew6oOYSQZE0oJFxyG" TargetMode="External"/><Relationship Id="rId1878" Type="http://schemas.openxmlformats.org/officeDocument/2006/relationships/hyperlink" Target="https://lh5.googleusercontent.com/d/1xVOhMJgH0aKvOgVjuodUBtZ4QIDe1iPV" TargetMode="External"/><Relationship Id="rId4902" Type="http://schemas.openxmlformats.org/officeDocument/2006/relationships/hyperlink" Target="https://drive.google.com/file/d/1PncAuS0c47cUfSI8kca-juFoiJ8umOsY/view?usp=drivesdk" TargetMode="External"/><Relationship Id="rId1879" Type="http://schemas.openxmlformats.org/officeDocument/2006/relationships/hyperlink" Target="https://drive.google.com/file/d/16Hdt7NWBYq7T3IE_SXE0bGTmXrgoUsW-/view?usp=drivesdk" TargetMode="External"/><Relationship Id="rId4905" Type="http://schemas.openxmlformats.org/officeDocument/2006/relationships/hyperlink" Target="https://lh5.googleusercontent.com/d/1baAl-VkfqQQdOFSYSXpfszrzr5rOqOTp" TargetMode="External"/><Relationship Id="rId4904" Type="http://schemas.openxmlformats.org/officeDocument/2006/relationships/hyperlink" Target="https://drive.google.com/file/d/1cnr04DIfFPqjvGfROyTm1XA7ocs7qgMG/view?usp=drivesdk" TargetMode="External"/><Relationship Id="rId4907" Type="http://schemas.openxmlformats.org/officeDocument/2006/relationships/hyperlink" Target="https://lh5.googleusercontent.com/d/1lxl3Zhub3O9TiHgS8TrzXx4glz_R7-zJ" TargetMode="External"/><Relationship Id="rId4906" Type="http://schemas.openxmlformats.org/officeDocument/2006/relationships/hyperlink" Target="https://drive.google.com/file/d/1m7f6fZBydAkCOlhzc-MaS-VKeTxkqb4w/view?usp=drivesdk" TargetMode="External"/><Relationship Id="rId4909" Type="http://schemas.openxmlformats.org/officeDocument/2006/relationships/hyperlink" Target="https://lh5.googleusercontent.com/d/1kh_qlS8ZZIm1NpX779jeg1eSXXI4A1tO" TargetMode="External"/><Relationship Id="rId4908" Type="http://schemas.openxmlformats.org/officeDocument/2006/relationships/hyperlink" Target="https://drive.google.com/file/d/1OmqrS2LmiEbZOGeS0qLtu4VloyIqKwqJ/view?usp=drivesdk" TargetMode="External"/><Relationship Id="rId1870" Type="http://schemas.openxmlformats.org/officeDocument/2006/relationships/hyperlink" Target="https://lh5.googleusercontent.com/d/15HIePK1-LEshlLXSLeleZqOdF8FfGAI7" TargetMode="External"/><Relationship Id="rId1871" Type="http://schemas.openxmlformats.org/officeDocument/2006/relationships/hyperlink" Target="https://drive.google.com/file/d/1c53v9oeLPpFM0mVNU3n1uHW7TIoip55u/view?usp=drivesdk" TargetMode="External"/><Relationship Id="rId1872" Type="http://schemas.openxmlformats.org/officeDocument/2006/relationships/hyperlink" Target="https://lh5.googleusercontent.com/d/1B4XRl-ozPbY9m3l1Vl1YQk9RooXTHl-h" TargetMode="External"/><Relationship Id="rId1862" Type="http://schemas.openxmlformats.org/officeDocument/2006/relationships/hyperlink" Target="https://lh5.googleusercontent.com/d/1ARhjQA4JEA2D5MGOewi4HYvWykQZpYJe" TargetMode="External"/><Relationship Id="rId1863" Type="http://schemas.openxmlformats.org/officeDocument/2006/relationships/hyperlink" Target="https://drive.google.com/file/d/1RrzaWb-4zlhK3NPnG8zNmVTqVvxJUNoQ/view?usp=drivesdk" TargetMode="External"/><Relationship Id="rId1864" Type="http://schemas.openxmlformats.org/officeDocument/2006/relationships/hyperlink" Target="https://lh5.googleusercontent.com/d/169zMweX_WoVlMO3grmpfDuokEBuhI9ME" TargetMode="External"/><Relationship Id="rId1865" Type="http://schemas.openxmlformats.org/officeDocument/2006/relationships/hyperlink" Target="https://drive.google.com/file/d/1NV_z8RkWpVYm29-tKGVP6zwcRldid7Iq/view?usp=drivesdk" TargetMode="External"/><Relationship Id="rId1866" Type="http://schemas.openxmlformats.org/officeDocument/2006/relationships/hyperlink" Target="https://lh5.googleusercontent.com/d/1x-rSVLfTv0zr_C4LpsfhaH9ekm7BFT3R" TargetMode="External"/><Relationship Id="rId1867" Type="http://schemas.openxmlformats.org/officeDocument/2006/relationships/hyperlink" Target="https://drive.google.com/file/d/1TgOOhTUsRi22vdDQcFmHoYBJBVXLKtSa/view?usp=drivesdk" TargetMode="External"/><Relationship Id="rId1868" Type="http://schemas.openxmlformats.org/officeDocument/2006/relationships/hyperlink" Target="https://lh5.googleusercontent.com/d/1Xw1E_LQX54pfdVUDVNxjOTX-CP7UQF5_" TargetMode="External"/><Relationship Id="rId1869" Type="http://schemas.openxmlformats.org/officeDocument/2006/relationships/hyperlink" Target="https://drive.google.com/file/d/1R7bfpFTnWkdFUnMlFqCqP_k0pGt9ZubH/view?usp=drivesdk" TargetMode="External"/><Relationship Id="rId1860" Type="http://schemas.openxmlformats.org/officeDocument/2006/relationships/hyperlink" Target="https://lh5.googleusercontent.com/d/1a4pSjoyiquqEavmrTqxrAE2j-2iexz6m" TargetMode="External"/><Relationship Id="rId1861" Type="http://schemas.openxmlformats.org/officeDocument/2006/relationships/hyperlink" Target="https://drive.google.com/file/d/1OAeh8R0beJnib3FEE5RVmD5jelJfgzqz/view?usp=drivesdk" TargetMode="External"/><Relationship Id="rId1810" Type="http://schemas.openxmlformats.org/officeDocument/2006/relationships/hyperlink" Target="https://drive.google.com/file/d/1CeCkJ5O-f3qklmJaBDi_mGyQXz0ZAfJN/view?usp=drivesdk" TargetMode="External"/><Relationship Id="rId1811" Type="http://schemas.openxmlformats.org/officeDocument/2006/relationships/hyperlink" Target="https://lh5.googleusercontent.com/d/1PdkB0mm3fcorlyiB79DdFvHj_WXW-0zr" TargetMode="External"/><Relationship Id="rId1812" Type="http://schemas.openxmlformats.org/officeDocument/2006/relationships/hyperlink" Target="https://drive.google.com/file/d/1_FiX3PPND-LBMtV1UJQZzuM8R5BHDwgC/view?usp=drivesdk" TargetMode="External"/><Relationship Id="rId1813" Type="http://schemas.openxmlformats.org/officeDocument/2006/relationships/hyperlink" Target="https://lh5.googleusercontent.com/d/1rIpXSH1MRojFixSaeOr1lt0MQaCG-A3H" TargetMode="External"/><Relationship Id="rId1814" Type="http://schemas.openxmlformats.org/officeDocument/2006/relationships/hyperlink" Target="https://drive.google.com/file/d/1ZhNF26ZUkEH0rSKnH0o0JHUBSf54duul/view?usp=drivesdk" TargetMode="External"/><Relationship Id="rId1815" Type="http://schemas.openxmlformats.org/officeDocument/2006/relationships/hyperlink" Target="https://lh5.googleusercontent.com/d/16BVDTwjLyUQ8KZf54U4EDmUrh6Bl_6ww" TargetMode="External"/><Relationship Id="rId1816" Type="http://schemas.openxmlformats.org/officeDocument/2006/relationships/hyperlink" Target="https://drive.google.com/file/d/1qx_bE26vjd9E6WH9scRUuQoRmSrSYOxo/view?usp=drivesdk" TargetMode="External"/><Relationship Id="rId1817" Type="http://schemas.openxmlformats.org/officeDocument/2006/relationships/hyperlink" Target="https://lh5.googleusercontent.com/d/11DKKk5r4K6GhRq2aE-4L7Lv3wU591KQv" TargetMode="External"/><Relationship Id="rId1818" Type="http://schemas.openxmlformats.org/officeDocument/2006/relationships/hyperlink" Target="https://drive.google.com/file/d/1aXpCy7Dej5aEP0hf4hqUjCrXlLkd47RX/view?usp=drivesdk" TargetMode="External"/><Relationship Id="rId1819" Type="http://schemas.openxmlformats.org/officeDocument/2006/relationships/hyperlink" Target="https://lh5.googleusercontent.com/d/1x7YgjlZ2r7e8sfjpOHIAjGuIqHt4o_XB" TargetMode="External"/><Relationship Id="rId4080" Type="http://schemas.openxmlformats.org/officeDocument/2006/relationships/hyperlink" Target="https://drive.google.com/file/d/1r-4f8N98EINxml3X3bgyWzcL_3lWETe_/view?usp=drivesdk" TargetMode="External"/><Relationship Id="rId4082" Type="http://schemas.openxmlformats.org/officeDocument/2006/relationships/hyperlink" Target="https://drive.google.com/file/d/1IUwGx-LlrklW_gLjle9GZBIes9xs-P9c/view?usp=drivesdk" TargetMode="External"/><Relationship Id="rId4081" Type="http://schemas.openxmlformats.org/officeDocument/2006/relationships/hyperlink" Target="https://lh5.googleusercontent.com/d/14qH1H3KlOxf1wfTFtXRQRpTvmse9sPt0" TargetMode="External"/><Relationship Id="rId4084" Type="http://schemas.openxmlformats.org/officeDocument/2006/relationships/hyperlink" Target="https://drive.google.com/file/d/1d4Kz8mbk7pzwNpCy9fTRgv0SUHuJ1idA/view?usp=drivesdk" TargetMode="External"/><Relationship Id="rId4083" Type="http://schemas.openxmlformats.org/officeDocument/2006/relationships/hyperlink" Target="https://lh5.googleusercontent.com/d/1nIfo2FiVHxgV6VjOSImz-Xt8wpRaBoTY" TargetMode="External"/><Relationship Id="rId4086" Type="http://schemas.openxmlformats.org/officeDocument/2006/relationships/hyperlink" Target="https://drive.google.com/file/d/16VhCbzmquux9-rSYX-GxxfjxIhIjAegQ/view?usp=drivesdk" TargetMode="External"/><Relationship Id="rId4085" Type="http://schemas.openxmlformats.org/officeDocument/2006/relationships/hyperlink" Target="https://lh5.googleusercontent.com/d/1T27IpLGDUTPweArfA8aaXxTc4dohZKcR" TargetMode="External"/><Relationship Id="rId4088" Type="http://schemas.openxmlformats.org/officeDocument/2006/relationships/hyperlink" Target="https://drive.google.com/file/d/1Y-35lKoKHLNuJ5BBvUag0uovPKFcdDVl/view?usp=drivesdk" TargetMode="External"/><Relationship Id="rId4087" Type="http://schemas.openxmlformats.org/officeDocument/2006/relationships/hyperlink" Target="https://lh5.googleusercontent.com/d/13XKFjNc9MeRhoQ-cZEYdAqdvwEW50IGd" TargetMode="External"/><Relationship Id="rId4089" Type="http://schemas.openxmlformats.org/officeDocument/2006/relationships/hyperlink" Target="https://lh5.googleusercontent.com/d/17tktujrzSVoxkOsEjYJzoESQuvFSSayE" TargetMode="External"/><Relationship Id="rId1800" Type="http://schemas.openxmlformats.org/officeDocument/2006/relationships/hyperlink" Target="https://drive.google.com/file/d/1RAPkQnPmyoy6-Dm3uGDRd25o4W9u2nHM/view?usp=drivesdk" TargetMode="External"/><Relationship Id="rId1801" Type="http://schemas.openxmlformats.org/officeDocument/2006/relationships/hyperlink" Target="https://lh5.googleusercontent.com/d/1sQm3CyaEBYnM9qeKLTCZW86kJxz-a8sZ" TargetMode="External"/><Relationship Id="rId1802" Type="http://schemas.openxmlformats.org/officeDocument/2006/relationships/hyperlink" Target="https://drive.google.com/file/d/16hgL-2KanMHm4NrIcAvuP6iZhYCKJbEW/view?usp=drivesdk" TargetMode="External"/><Relationship Id="rId1803" Type="http://schemas.openxmlformats.org/officeDocument/2006/relationships/hyperlink" Target="https://lh5.googleusercontent.com/d/1pA-IInVanpU9LrcojOMjV79mhcnPXq3G" TargetMode="External"/><Relationship Id="rId1804" Type="http://schemas.openxmlformats.org/officeDocument/2006/relationships/hyperlink" Target="https://drive.google.com/file/d/1pZH5BGAkeJXtc5xgvc6xhKIdrFBlzLit/view?usp=drivesdk" TargetMode="External"/><Relationship Id="rId1805" Type="http://schemas.openxmlformats.org/officeDocument/2006/relationships/hyperlink" Target="https://lh5.googleusercontent.com/d/10Tdabe48rE_vmPjq2YLGt52KXDI_xG33" TargetMode="External"/><Relationship Id="rId1806" Type="http://schemas.openxmlformats.org/officeDocument/2006/relationships/hyperlink" Target="https://drive.google.com/file/d/15X9GsAxRLP1kZ6BeZgZ-1TXiMS_l6jjN/view?usp=drivesdk" TargetMode="External"/><Relationship Id="rId1807" Type="http://schemas.openxmlformats.org/officeDocument/2006/relationships/hyperlink" Target="https://lh5.googleusercontent.com/d/17zvB4ttwQH-i5r3P5YLzeKANmQxOQyAp" TargetMode="External"/><Relationship Id="rId1808" Type="http://schemas.openxmlformats.org/officeDocument/2006/relationships/hyperlink" Target="https://drive.google.com/file/d/16lcW6quVQdGvPdMqlZlcRsG_btFAphT_/view?usp=drivesdk" TargetMode="External"/><Relationship Id="rId1809" Type="http://schemas.openxmlformats.org/officeDocument/2006/relationships/hyperlink" Target="https://lh5.googleusercontent.com/d/1U-85b6JIIGwOWbyIrXXCWO0VeXZuUCVy" TargetMode="External"/><Relationship Id="rId4071" Type="http://schemas.openxmlformats.org/officeDocument/2006/relationships/hyperlink" Target="https://lh5.googleusercontent.com/d/1pCGgZD_9OBhnhJpmSRQ7IXFlvB-JlHPL" TargetMode="External"/><Relationship Id="rId4070" Type="http://schemas.openxmlformats.org/officeDocument/2006/relationships/hyperlink" Target="https://lh5.googleusercontent.com/d/1pCGgZD_9OBhnhJpmSRQ7IXFlvB-JlHPL" TargetMode="External"/><Relationship Id="rId4073" Type="http://schemas.openxmlformats.org/officeDocument/2006/relationships/hyperlink" Target="https://lh5.googleusercontent.com/d/1MqHLfjGLi9kbQpXWsuRdj3S9zUvFrZEN" TargetMode="External"/><Relationship Id="rId4072" Type="http://schemas.openxmlformats.org/officeDocument/2006/relationships/hyperlink" Target="https://drive.google.com/file/d/1Bd_H27mqp9Wox_QqNcgzJQadbJqPGy91/view?usp=drivesdk" TargetMode="External"/><Relationship Id="rId4075" Type="http://schemas.openxmlformats.org/officeDocument/2006/relationships/hyperlink" Target="https://lh5.googleusercontent.com/d/1qj5JAjB8GyPx-lYUZxsIGUwEdwFoiMTG" TargetMode="External"/><Relationship Id="rId4074" Type="http://schemas.openxmlformats.org/officeDocument/2006/relationships/hyperlink" Target="https://drive.google.com/file/d/1wIqntjOzGU7z9xTCftgBGU_Er1BRlIKe/view?usp=drivesdk" TargetMode="External"/><Relationship Id="rId4077" Type="http://schemas.openxmlformats.org/officeDocument/2006/relationships/hyperlink" Target="https://lh5.googleusercontent.com/d/1vKfqVg0fhrrAz9XvmsrsmFEhylanRQjN" TargetMode="External"/><Relationship Id="rId4076" Type="http://schemas.openxmlformats.org/officeDocument/2006/relationships/hyperlink" Target="https://drive.google.com/file/d/1PEDiuM7lUbtKiCfVWnofJfGv3DZSGe2b/view?usp=drivesdk" TargetMode="External"/><Relationship Id="rId4079" Type="http://schemas.openxmlformats.org/officeDocument/2006/relationships/hyperlink" Target="https://lh5.googleusercontent.com/d/1rU3faAT9NYNUUomawTFw7eT5jb5P0IzV" TargetMode="External"/><Relationship Id="rId4078" Type="http://schemas.openxmlformats.org/officeDocument/2006/relationships/hyperlink" Target="https://drive.google.com/file/d/1nSmJ6uSWnOQhyLOIhABI_aa1gXd6wPTY/view?usp=drivesdk" TargetMode="External"/><Relationship Id="rId1830" Type="http://schemas.openxmlformats.org/officeDocument/2006/relationships/hyperlink" Target="https://drive.google.com/file/d/1m6zjI22bSvNqadsN4jmem-9Etcij864b/view?usp=drivesdk" TargetMode="External"/><Relationship Id="rId1831" Type="http://schemas.openxmlformats.org/officeDocument/2006/relationships/hyperlink" Target="https://lh5.googleusercontent.com/d/1BohN4vVXrQ4A8TEwGY2FidJVaQqWysPS" TargetMode="External"/><Relationship Id="rId1832" Type="http://schemas.openxmlformats.org/officeDocument/2006/relationships/hyperlink" Target="https://drive.google.com/file/d/1ME7KoWQ3NvKdXWPCgSNfU7avGxXVqXfY/view?usp=drivesdk" TargetMode="External"/><Relationship Id="rId1833" Type="http://schemas.openxmlformats.org/officeDocument/2006/relationships/hyperlink" Target="https://lh5.googleusercontent.com/d/1BCfUGLTCoVYird1A_MBocJOBdsQHGabX" TargetMode="External"/><Relationship Id="rId1834" Type="http://schemas.openxmlformats.org/officeDocument/2006/relationships/hyperlink" Target="https://drive.google.com/file/d/1v1TBIXrjBNuNlFtGrAq98XWe0S1Jev7D/view?usp=drivesdk" TargetMode="External"/><Relationship Id="rId1835" Type="http://schemas.openxmlformats.org/officeDocument/2006/relationships/hyperlink" Target="https://lh5.googleusercontent.com/d/1JdcLgjiReee8qmlfjD1b0RA0glpbmLXU" TargetMode="External"/><Relationship Id="rId1836" Type="http://schemas.openxmlformats.org/officeDocument/2006/relationships/hyperlink" Target="https://drive.google.com/file/d/1a5hP7QU7tNrYKgnGZ1mT5FksTXlnWmBy/view?usp=drivesdk" TargetMode="External"/><Relationship Id="rId1837" Type="http://schemas.openxmlformats.org/officeDocument/2006/relationships/hyperlink" Target="https://lh5.googleusercontent.com/d/1sl4priVeVNPxjepHfEAg6_tCI26JPSbn" TargetMode="External"/><Relationship Id="rId1838" Type="http://schemas.openxmlformats.org/officeDocument/2006/relationships/hyperlink" Target="https://drive.google.com/file/d/1tYTUEeoMWQRgiLv0eUL3vQ-ZrrTOPetu/view?usp=drivesdk" TargetMode="External"/><Relationship Id="rId1839" Type="http://schemas.openxmlformats.org/officeDocument/2006/relationships/hyperlink" Target="https://lh5.googleusercontent.com/d/1Y1XrPhx7yCVS7SO9ggaOk-M1OKtvY7nO" TargetMode="External"/><Relationship Id="rId1820" Type="http://schemas.openxmlformats.org/officeDocument/2006/relationships/hyperlink" Target="https://drive.google.com/file/d/1UYx9rrWH9aCnbBxYunLZA_8MAVk8UWFO/view?usp=drivesdk" TargetMode="External"/><Relationship Id="rId1821" Type="http://schemas.openxmlformats.org/officeDocument/2006/relationships/hyperlink" Target="https://lh5.googleusercontent.com/d/1GoPD4JZ9pnMDXmh782x5VXTCCEpwi49I" TargetMode="External"/><Relationship Id="rId1822" Type="http://schemas.openxmlformats.org/officeDocument/2006/relationships/hyperlink" Target="https://drive.google.com/file/d/1RDt84_hRHVS1V93qTsz4z94_yM6mz0Fj/view?usp=drivesdk" TargetMode="External"/><Relationship Id="rId1823" Type="http://schemas.openxmlformats.org/officeDocument/2006/relationships/hyperlink" Target="https://lh5.googleusercontent.com/d/1iNGf0p04eUN2xZeiksftTTg9pbSUix6t" TargetMode="External"/><Relationship Id="rId1824" Type="http://schemas.openxmlformats.org/officeDocument/2006/relationships/hyperlink" Target="https://drive.google.com/file/d/1XUkKmxBBsXqlvLHHcHZ2F5U3gTbHnWF-/view?usp=drivesdk" TargetMode="External"/><Relationship Id="rId1825" Type="http://schemas.openxmlformats.org/officeDocument/2006/relationships/hyperlink" Target="https://lh5.googleusercontent.com/d/1s2eVDucDV7ydCW4aOVt_2fuEXzKfhLfb" TargetMode="External"/><Relationship Id="rId1826" Type="http://schemas.openxmlformats.org/officeDocument/2006/relationships/hyperlink" Target="https://drive.google.com/file/d/1-SE5DgaXUuKZPgupif0BwvGoTMjZLajn/view?usp=drivesdk" TargetMode="External"/><Relationship Id="rId1827" Type="http://schemas.openxmlformats.org/officeDocument/2006/relationships/hyperlink" Target="https://lh5.googleusercontent.com/d/1Ggo9hF8tX6A3rf7Zv2FmEVMAy3ULp_rH" TargetMode="External"/><Relationship Id="rId1828" Type="http://schemas.openxmlformats.org/officeDocument/2006/relationships/hyperlink" Target="https://drive.google.com/file/d/1VfHJGSSp3R6F41wl_W503azuqfU9cUL6/view?usp=drivesdk" TargetMode="External"/><Relationship Id="rId1829" Type="http://schemas.openxmlformats.org/officeDocument/2006/relationships/hyperlink" Target="https://lh5.googleusercontent.com/d/1gfnI-Cr40sOj6qtkK0-UgK2epc4cGlDc" TargetMode="External"/><Relationship Id="rId4091" Type="http://schemas.openxmlformats.org/officeDocument/2006/relationships/hyperlink" Target="https://lh5.googleusercontent.com/d/19Wipll4TDb093Q-xGtKCmCB2wTR-Y-GC" TargetMode="External"/><Relationship Id="rId4090" Type="http://schemas.openxmlformats.org/officeDocument/2006/relationships/hyperlink" Target="https://drive.google.com/file/d/1Oe3Nomi1YIz9225G5PJbgya0Nc6yGMHI/view?usp=drivesdk" TargetMode="External"/><Relationship Id="rId4093" Type="http://schemas.openxmlformats.org/officeDocument/2006/relationships/hyperlink" Target="https://lh5.googleusercontent.com/d/1CUqEfA5hSVbQ7Nm0zm6I_5r7V0X2sEVg" TargetMode="External"/><Relationship Id="rId4092" Type="http://schemas.openxmlformats.org/officeDocument/2006/relationships/hyperlink" Target="https://drive.google.com/file/d/1AAs55PpcBFydGUa3MPZDMYWg8eoP0MVJ/view?usp=drivesdk" TargetMode="External"/><Relationship Id="rId4095" Type="http://schemas.openxmlformats.org/officeDocument/2006/relationships/hyperlink" Target="https://lh5.googleusercontent.com/d/1KvOAo6FWoS0-wede8vekakwfPxvbZQRp" TargetMode="External"/><Relationship Id="rId4094" Type="http://schemas.openxmlformats.org/officeDocument/2006/relationships/hyperlink" Target="https://drive.google.com/file/d/1_JMIXnxxPfbymOXVtqvjoguFtA0wLlJs/view?usp=drivesdk" TargetMode="External"/><Relationship Id="rId4097" Type="http://schemas.openxmlformats.org/officeDocument/2006/relationships/hyperlink" Target="https://lh5.googleusercontent.com/d/1p5YKLagmS7tijmUqKLj4aSQmRxPcQWCk" TargetMode="External"/><Relationship Id="rId4096" Type="http://schemas.openxmlformats.org/officeDocument/2006/relationships/hyperlink" Target="https://drive.google.com/file/d/1qWHP2GFRB468kBpbqbbp_EMoms_Z2c4V/view?usp=drivesdk" TargetMode="External"/><Relationship Id="rId4099" Type="http://schemas.openxmlformats.org/officeDocument/2006/relationships/hyperlink" Target="https://lh5.googleusercontent.com/d/1zJIuB9TbxDq9LwCkn-Qh3NzIze4IrZO0" TargetMode="External"/><Relationship Id="rId4098" Type="http://schemas.openxmlformats.org/officeDocument/2006/relationships/hyperlink" Target="https://drive.google.com/file/d/1WlTL4u5XGybAJvAtTjyPM0t4xyfFCdet/view?usp=drivesdk" TargetMode="External"/><Relationship Id="rId2302" Type="http://schemas.openxmlformats.org/officeDocument/2006/relationships/hyperlink" Target="https://drive.google.com/file/d/1rlOYGKba5J3c8psz91FcH9doc3SBy39g/view?usp=drivesdk" TargetMode="External"/><Relationship Id="rId3634" Type="http://schemas.openxmlformats.org/officeDocument/2006/relationships/hyperlink" Target="https://drive.google.com/file/d/116r49uNgRfB-pn3u5EEa730hA6Al3ofD/view?usp=drivesdk" TargetMode="External"/><Relationship Id="rId4965" Type="http://schemas.openxmlformats.org/officeDocument/2006/relationships/hyperlink" Target="https://lh5.googleusercontent.com/d/1_AmvQgiQCyeFt3hJHPN8Np_HGx1mkY5Y" TargetMode="External"/><Relationship Id="rId2303" Type="http://schemas.openxmlformats.org/officeDocument/2006/relationships/hyperlink" Target="https://lh5.googleusercontent.com/d/1S8Js9DojUNslVGiOtAy3ncKqXrn3zMzP" TargetMode="External"/><Relationship Id="rId3633" Type="http://schemas.openxmlformats.org/officeDocument/2006/relationships/hyperlink" Target="https://lh5.googleusercontent.com/d/17-f19lZaTWIjt5VOagEiVRgeltWbLYhq" TargetMode="External"/><Relationship Id="rId4964" Type="http://schemas.openxmlformats.org/officeDocument/2006/relationships/hyperlink" Target="https://drive.google.com/file/d/19YrQUD7EVDjGhv1UsiISvtZVC8kjpsAY/view?usp=drivesdk" TargetMode="External"/><Relationship Id="rId2304" Type="http://schemas.openxmlformats.org/officeDocument/2006/relationships/hyperlink" Target="https://drive.google.com/file/d/1Ce1rGSV9qR7sqF_tylKamDm4b4CFq60y/view?usp=drivesdk" TargetMode="External"/><Relationship Id="rId3636" Type="http://schemas.openxmlformats.org/officeDocument/2006/relationships/hyperlink" Target="https://drive.google.com/file/d/14fr-EWUG3KSKmX9cSafxxn_UD1uvYbQd/view?usp=drivesdk" TargetMode="External"/><Relationship Id="rId4967" Type="http://schemas.openxmlformats.org/officeDocument/2006/relationships/hyperlink" Target="https://drive.google.com/file/d/1bQ-anlRN0JwoZZak4wQiq_DOU4UDK6aA/view?usp=drivesdk" TargetMode="External"/><Relationship Id="rId2305" Type="http://schemas.openxmlformats.org/officeDocument/2006/relationships/hyperlink" Target="https://lh5.googleusercontent.com/d/12EMtauwNTwrT_vtgOua7ZngRVPXL3Kji" TargetMode="External"/><Relationship Id="rId3635" Type="http://schemas.openxmlformats.org/officeDocument/2006/relationships/hyperlink" Target="https://lh5.googleusercontent.com/d/14RCvHnti6NQKdtT0iuvD09KixCNJDQec" TargetMode="External"/><Relationship Id="rId4966" Type="http://schemas.openxmlformats.org/officeDocument/2006/relationships/hyperlink" Target="https://lh5.googleusercontent.com/d/1_AmvQgiQCyeFt3hJHPN8Np_HGx1mkY5Y" TargetMode="External"/><Relationship Id="rId2306" Type="http://schemas.openxmlformats.org/officeDocument/2006/relationships/hyperlink" Target="https://drive.google.com/file/d/1AcUK3qngnvKrj919NhVTtCFSmVxtICB9/view?usp=drivesdk" TargetMode="External"/><Relationship Id="rId3638" Type="http://schemas.openxmlformats.org/officeDocument/2006/relationships/hyperlink" Target="https://drive.google.com/file/d/17XmNuGcECg2mw4dnxpSUBqthDERY6lTQ/view?usp=drivesdk" TargetMode="External"/><Relationship Id="rId4969" Type="http://schemas.openxmlformats.org/officeDocument/2006/relationships/hyperlink" Target="https://lh5.googleusercontent.com/d/1nI9mdQqgjHR_OUstbOcZ29sBq2dnQqqg" TargetMode="External"/><Relationship Id="rId2307" Type="http://schemas.openxmlformats.org/officeDocument/2006/relationships/hyperlink" Target="https://lh5.googleusercontent.com/d/1UX0W0gc4Bmi97n6VB2exyhQXYFeBqMyk" TargetMode="External"/><Relationship Id="rId3637" Type="http://schemas.openxmlformats.org/officeDocument/2006/relationships/hyperlink" Target="https://lh5.googleusercontent.com/d/1iOVTeFV3OSmuZivGdXb2C86Mmn14OvZL" TargetMode="External"/><Relationship Id="rId4968" Type="http://schemas.openxmlformats.org/officeDocument/2006/relationships/hyperlink" Target="https://lh5.googleusercontent.com/d/1nI9mdQqgjHR_OUstbOcZ29sBq2dnQqqg" TargetMode="External"/><Relationship Id="rId2308" Type="http://schemas.openxmlformats.org/officeDocument/2006/relationships/hyperlink" Target="https://drive.google.com/file/d/1JUZGRS-SxgUmJm-STnqFOKg47wJgczPj/view?usp=drivesdk" TargetMode="External"/><Relationship Id="rId2309" Type="http://schemas.openxmlformats.org/officeDocument/2006/relationships/hyperlink" Target="https://lh5.googleusercontent.com/d/1xKgyMz-Nb2Zrpfq_HQ_G-fOU8yGov8nv" TargetMode="External"/><Relationship Id="rId3639" Type="http://schemas.openxmlformats.org/officeDocument/2006/relationships/hyperlink" Target="https://lh5.googleusercontent.com/d/1xJN1ED74Spwk89GACF_SuAX6W7PpC4bu" TargetMode="External"/><Relationship Id="rId3630" Type="http://schemas.openxmlformats.org/officeDocument/2006/relationships/hyperlink" Target="https://drive.google.com/file/d/1mF-hj59snPKh2_1FGIGMoKI14qN7PV0G/view?usp=drivesdk" TargetMode="External"/><Relationship Id="rId4961" Type="http://schemas.openxmlformats.org/officeDocument/2006/relationships/hyperlink" Target="https://lh5.googleusercontent.com/d/1CiqJ8ukiiaaZTyq8PDcMLmX2haP3Mlax" TargetMode="External"/><Relationship Id="rId4960" Type="http://schemas.openxmlformats.org/officeDocument/2006/relationships/hyperlink" Target="https://drive.google.com/file/d/1zyHjGZxmDGcAVY6GXnzmpyVPmhE7ITSK/view?usp=drivesdk" TargetMode="External"/><Relationship Id="rId2300" Type="http://schemas.openxmlformats.org/officeDocument/2006/relationships/hyperlink" Target="https://drive.google.com/file/d/192PMXaZAn7iwlObXiGEFRYVbeOqrp8Qz/view?usp=drivesdk" TargetMode="External"/><Relationship Id="rId3632" Type="http://schemas.openxmlformats.org/officeDocument/2006/relationships/hyperlink" Target="https://drive.google.com/file/d/1wO8HT5KSlQuxpukor4PI12qSEWZkHLmw/view?usp=drivesdk" TargetMode="External"/><Relationship Id="rId4963" Type="http://schemas.openxmlformats.org/officeDocument/2006/relationships/hyperlink" Target="https://lh5.googleusercontent.com/d/1brqJyYH_POgP9gfoSUwRClE2ociPvgiA" TargetMode="External"/><Relationship Id="rId2301" Type="http://schemas.openxmlformats.org/officeDocument/2006/relationships/hyperlink" Target="https://lh5.googleusercontent.com/d/10oZnq3Zn2nQYQq7cxWOBrllrvwWC5V7R" TargetMode="External"/><Relationship Id="rId3631" Type="http://schemas.openxmlformats.org/officeDocument/2006/relationships/hyperlink" Target="https://lh5.googleusercontent.com/d/1C4h0dr9MJqtBWRVt4ad-aZJsDPbKN90-" TargetMode="External"/><Relationship Id="rId4962" Type="http://schemas.openxmlformats.org/officeDocument/2006/relationships/hyperlink" Target="https://drive.google.com/file/d/1ZQTqLu2oNwj2xN82N6wIkTapKgZG1MNz/view?usp=drivesdk" TargetMode="External"/><Relationship Id="rId3623" Type="http://schemas.openxmlformats.org/officeDocument/2006/relationships/hyperlink" Target="https://lh5.googleusercontent.com/d/1UzQqJXBjK309LScv7IWV06gMDluGmvOg" TargetMode="External"/><Relationship Id="rId4954" Type="http://schemas.openxmlformats.org/officeDocument/2006/relationships/hyperlink" Target="https://lh5.googleusercontent.com/d/13Llmdl2OWb-zMSrnxsyf2pzYlqzLl-VT" TargetMode="External"/><Relationship Id="rId3622" Type="http://schemas.openxmlformats.org/officeDocument/2006/relationships/hyperlink" Target="https://drive.google.com/file/d/13yOqxIgpkej0SWCox2wsfCGbmbKyi1kv/view?usp=drivesdk" TargetMode="External"/><Relationship Id="rId4953" Type="http://schemas.openxmlformats.org/officeDocument/2006/relationships/hyperlink" Target="https://drive.google.com/file/d/1e8jeF_qen5qs5gkLXwuTjJmBmUkIKUGf/view?usp=drivesdk" TargetMode="External"/><Relationship Id="rId3625" Type="http://schemas.openxmlformats.org/officeDocument/2006/relationships/hyperlink" Target="https://lh5.googleusercontent.com/d/1G3tJxbCYQUNC5-hEDk01FQRteyaNb7Op" TargetMode="External"/><Relationship Id="rId4956" Type="http://schemas.openxmlformats.org/officeDocument/2006/relationships/hyperlink" Target="https://drive.google.com/file/d/1NJQTibgpQ5PyOy4kpRtcDpIzijBkdbCt/view?usp=drivesdk" TargetMode="External"/><Relationship Id="rId3624" Type="http://schemas.openxmlformats.org/officeDocument/2006/relationships/hyperlink" Target="https://drive.google.com/file/d/1TBojmQTASRzM-_IlMaIVX1yzS2e0yxRQ/view?usp=drivesdk" TargetMode="External"/><Relationship Id="rId4955" Type="http://schemas.openxmlformats.org/officeDocument/2006/relationships/hyperlink" Target="https://lh5.googleusercontent.com/d/13Llmdl2OWb-zMSrnxsyf2pzYlqzLl-VT" TargetMode="External"/><Relationship Id="rId3627" Type="http://schemas.openxmlformats.org/officeDocument/2006/relationships/hyperlink" Target="https://lh5.googleusercontent.com/d/1iEj9zEwJ9OGI88OtR-XWiPuYiCyPUzbx" TargetMode="External"/><Relationship Id="rId4958" Type="http://schemas.openxmlformats.org/officeDocument/2006/relationships/hyperlink" Target="https://drive.google.com/file/d/14HW0mVG_C45FfGScWT5B7abjiOM5ALFU/view?usp=drivesdk" TargetMode="External"/><Relationship Id="rId3626" Type="http://schemas.openxmlformats.org/officeDocument/2006/relationships/hyperlink" Target="https://drive.google.com/file/d/1Kr7Qz0bi-uO6cusQmX0EuvgZi3vMO0rk/view?usp=drivesdk" TargetMode="External"/><Relationship Id="rId4957" Type="http://schemas.openxmlformats.org/officeDocument/2006/relationships/hyperlink" Target="https://lh5.googleusercontent.com/d/1FUGBRYPLNrPwFsCyp3CylgJPiGPeqGna" TargetMode="External"/><Relationship Id="rId3629" Type="http://schemas.openxmlformats.org/officeDocument/2006/relationships/hyperlink" Target="https://lh5.googleusercontent.com/d/1srKt_t9YcZ3NuMWaeQAfRmwxan7Ob_D1" TargetMode="External"/><Relationship Id="rId3628" Type="http://schemas.openxmlformats.org/officeDocument/2006/relationships/hyperlink" Target="https://drive.google.com/file/d/1JIHPkauJE_Mh_z_ggcOl582WiYKfKAtO/view?usp=drivesdk" TargetMode="External"/><Relationship Id="rId4959" Type="http://schemas.openxmlformats.org/officeDocument/2006/relationships/hyperlink" Target="https://lh5.googleusercontent.com/d/1qyjr_QEPVURnniubTSq7PaN8OxsA23X2" TargetMode="External"/><Relationship Id="rId4950" Type="http://schemas.openxmlformats.org/officeDocument/2006/relationships/hyperlink" Target="https://lh5.googleusercontent.com/d/1aycegNn0Y3k_Bbop_xNS5p7lzYjF2M7O" TargetMode="External"/><Relationship Id="rId3621" Type="http://schemas.openxmlformats.org/officeDocument/2006/relationships/hyperlink" Target="https://lh5.googleusercontent.com/d/12UfSBe4q0N_T2gbeaqJFZoLBB-_yUlLF" TargetMode="External"/><Relationship Id="rId4952" Type="http://schemas.openxmlformats.org/officeDocument/2006/relationships/hyperlink" Target="https://lh5.googleusercontent.com/d/1nsm2Qt6UY_7-8lUfQitDjOkYA3dbXtvV" TargetMode="External"/><Relationship Id="rId3620" Type="http://schemas.openxmlformats.org/officeDocument/2006/relationships/hyperlink" Target="https://drive.google.com/file/d/1j6BM8nsZOK0aFIzFPmXXByVYwt0QCfLO/view?usp=drivesdk" TargetMode="External"/><Relationship Id="rId4951" Type="http://schemas.openxmlformats.org/officeDocument/2006/relationships/hyperlink" Target="https://drive.google.com/file/d/1kpyebnxTMitDA3ytRZBEtxRgPRzXR2mk/view?usp=drivesdk" TargetMode="External"/><Relationship Id="rId2324" Type="http://schemas.openxmlformats.org/officeDocument/2006/relationships/hyperlink" Target="https://drive.google.com/file/d/1luJ8pU4mwVrXCwMj-Q3IwWVKkf7pAXGx/view?usp=drivesdk" TargetMode="External"/><Relationship Id="rId3656" Type="http://schemas.openxmlformats.org/officeDocument/2006/relationships/hyperlink" Target="https://drive.google.com/file/d/1zwHbYjRD8LOfrANFL0EPAV1a8UjJCCxC/view?usp=drivesdk" TargetMode="External"/><Relationship Id="rId4987" Type="http://schemas.openxmlformats.org/officeDocument/2006/relationships/hyperlink" Target="https://lh5.googleusercontent.com/d/1ibcpjOahkZgUmEC4q1yaifjJnaj2c7gk" TargetMode="External"/><Relationship Id="rId2325" Type="http://schemas.openxmlformats.org/officeDocument/2006/relationships/hyperlink" Target="https://lh5.googleusercontent.com/d/1ZIz8MnCHBt4-xc2BodupSjbKvFmIy6BZ" TargetMode="External"/><Relationship Id="rId3655" Type="http://schemas.openxmlformats.org/officeDocument/2006/relationships/hyperlink" Target="https://lh5.googleusercontent.com/d/1XyH9t4FZdIPRE6-k5gACUyxlntVGinp7" TargetMode="External"/><Relationship Id="rId4986" Type="http://schemas.openxmlformats.org/officeDocument/2006/relationships/hyperlink" Target="https://drive.google.com/file/d/1BXYycstda0E9QVje8SdiqVbWBY-7UEuY/view?usp=drivesdk" TargetMode="External"/><Relationship Id="rId2326" Type="http://schemas.openxmlformats.org/officeDocument/2006/relationships/hyperlink" Target="https://drive.google.com/file/d/1f7CLIo-pL6B3WpOh1knmG68MpErNSvxV/view?usp=drivesdk" TargetMode="External"/><Relationship Id="rId3658" Type="http://schemas.openxmlformats.org/officeDocument/2006/relationships/hyperlink" Target="https://drive.google.com/file/d/1blzD6AoJkxj7nmXNzmgadF_oFLnWSnJB/view?usp=drivesdk" TargetMode="External"/><Relationship Id="rId4989" Type="http://schemas.openxmlformats.org/officeDocument/2006/relationships/hyperlink" Target="https://lh5.googleusercontent.com/d/1d4bc2I-hUHRIA2vDw_FpX5HHn1DPSFT1" TargetMode="External"/><Relationship Id="rId2327" Type="http://schemas.openxmlformats.org/officeDocument/2006/relationships/hyperlink" Target="https://lh5.googleusercontent.com/d/1RcHdQf1_h3_0Li6vKSkBQQcBM9OKEpz4" TargetMode="External"/><Relationship Id="rId3657" Type="http://schemas.openxmlformats.org/officeDocument/2006/relationships/hyperlink" Target="https://lh5.googleusercontent.com/d/1-b8-y6XPLN_qlVkreSykKTyz2J-_-gB3" TargetMode="External"/><Relationship Id="rId4988" Type="http://schemas.openxmlformats.org/officeDocument/2006/relationships/hyperlink" Target="https://drive.google.com/file/d/1DGmiEQ4B6Y1KriDNeGWMZ4hfVQ6dPS9M/view?usp=drivesdk" TargetMode="External"/><Relationship Id="rId2328" Type="http://schemas.openxmlformats.org/officeDocument/2006/relationships/hyperlink" Target="https://drive.google.com/file/d/1dOzEpvMvcyIY7GMugImIt1Mf7sCtSgWB/view?usp=drivesdk" TargetMode="External"/><Relationship Id="rId2329" Type="http://schemas.openxmlformats.org/officeDocument/2006/relationships/hyperlink" Target="https://lh5.googleusercontent.com/d/1uW6kdxdziwqiQfIpwdmm8AZTTunYPoTn" TargetMode="External"/><Relationship Id="rId3659" Type="http://schemas.openxmlformats.org/officeDocument/2006/relationships/hyperlink" Target="https://lh5.googleusercontent.com/d/1uStvP-Xg-cSKGjQveW7nArr8i8AjnJjX" TargetMode="External"/><Relationship Id="rId3650" Type="http://schemas.openxmlformats.org/officeDocument/2006/relationships/hyperlink" Target="https://drive.google.com/file/d/1PkdbK_-3msFHeJJVquRX9g0K8SJfS1gl/view?usp=drivesdk" TargetMode="External"/><Relationship Id="rId4981" Type="http://schemas.openxmlformats.org/officeDocument/2006/relationships/hyperlink" Target="https://lh5.googleusercontent.com/d/1UPdHIJJLNTgK0WiKZ-6Eh4v2-ZaQ8_JK" TargetMode="External"/><Relationship Id="rId4980" Type="http://schemas.openxmlformats.org/officeDocument/2006/relationships/hyperlink" Target="https://drive.google.com/file/d/1g2NFbdLuWqGrBUZtdg-DrEmDgYjCYmVl/view?usp=drivesdk" TargetMode="External"/><Relationship Id="rId2320" Type="http://schemas.openxmlformats.org/officeDocument/2006/relationships/hyperlink" Target="https://drive.google.com/file/d/15tC6193AgMPOwjg9heL8EUB-2kzhRD1_/view?usp=drivesdk" TargetMode="External"/><Relationship Id="rId3652" Type="http://schemas.openxmlformats.org/officeDocument/2006/relationships/hyperlink" Target="https://drive.google.com/file/d/1hHCZ23rExnxGahXfsk-Mjxn9mSUbVZK2/view?usp=drivesdk" TargetMode="External"/><Relationship Id="rId4983" Type="http://schemas.openxmlformats.org/officeDocument/2006/relationships/hyperlink" Target="https://lh5.googleusercontent.com/d/1JjhGSINlsK4N1rbHD7trNLp4arL7rx9p" TargetMode="External"/><Relationship Id="rId2321" Type="http://schemas.openxmlformats.org/officeDocument/2006/relationships/hyperlink" Target="https://lh5.googleusercontent.com/d/1vXs0QUp-xz5e2MBeBbITc7W6bdJ4bxya" TargetMode="External"/><Relationship Id="rId3651" Type="http://schemas.openxmlformats.org/officeDocument/2006/relationships/hyperlink" Target="https://lh5.googleusercontent.com/d/14GGGyeDPTDrF9209-UXeilWtEuN91m4G" TargetMode="External"/><Relationship Id="rId4982" Type="http://schemas.openxmlformats.org/officeDocument/2006/relationships/hyperlink" Target="https://drive.google.com/file/d/1k7XT9Vn_D61ln6LWC5go_f8ffUUywkWo/view?usp=drivesdk" TargetMode="External"/><Relationship Id="rId2322" Type="http://schemas.openxmlformats.org/officeDocument/2006/relationships/hyperlink" Target="https://drive.google.com/file/d/1zrzSO2N8k7IcjqgMOSrBKRuNwW9AVV1H/view?usp=drivesdk" TargetMode="External"/><Relationship Id="rId3654" Type="http://schemas.openxmlformats.org/officeDocument/2006/relationships/hyperlink" Target="https://drive.google.com/file/d/10m0QjXuGergL5ifnE3XkGCTJ1Ty6R9UB/view?usp=drivesdk" TargetMode="External"/><Relationship Id="rId4985" Type="http://schemas.openxmlformats.org/officeDocument/2006/relationships/hyperlink" Target="https://lh5.googleusercontent.com/d/1jdMIyH-7EqrBCHLiFnGIZ3XRIx2Aogzd" TargetMode="External"/><Relationship Id="rId2323" Type="http://schemas.openxmlformats.org/officeDocument/2006/relationships/hyperlink" Target="https://lh5.googleusercontent.com/d/1KFxN-w6CkJ0shJ5C7CKj_oegxMSUmsob" TargetMode="External"/><Relationship Id="rId3653" Type="http://schemas.openxmlformats.org/officeDocument/2006/relationships/hyperlink" Target="https://lh5.googleusercontent.com/d/1dDHFgnjyvlsNcWratZ2Sjoyla8CBCKhH" TargetMode="External"/><Relationship Id="rId4984" Type="http://schemas.openxmlformats.org/officeDocument/2006/relationships/hyperlink" Target="https://drive.google.com/file/d/1KEsUknX4wjQT6hHcbsgdn2ogtZJi6WVn/view?usp=drivesdk" TargetMode="External"/><Relationship Id="rId2313" Type="http://schemas.openxmlformats.org/officeDocument/2006/relationships/hyperlink" Target="https://lh5.googleusercontent.com/d/1JAyAMaD6mKrVObQsUutcbWnoVkiMTtjj" TargetMode="External"/><Relationship Id="rId3645" Type="http://schemas.openxmlformats.org/officeDocument/2006/relationships/hyperlink" Target="https://lh5.googleusercontent.com/d/1GFhiaNQgaZQWytny57zanG0iwRHAWU7L" TargetMode="External"/><Relationship Id="rId4976" Type="http://schemas.openxmlformats.org/officeDocument/2006/relationships/hyperlink" Target="https://drive.google.com/file/d/10_O9LuY1PDga5fwwfZGzNVOkoHZNBnhj/view?usp=drivesdk" TargetMode="External"/><Relationship Id="rId2314" Type="http://schemas.openxmlformats.org/officeDocument/2006/relationships/hyperlink" Target="https://drive.google.com/file/d/1CbdZb0nJ8zxnLhXPaQDZrIZpHED3tRNJ/view?usp=drivesdk" TargetMode="External"/><Relationship Id="rId3644" Type="http://schemas.openxmlformats.org/officeDocument/2006/relationships/hyperlink" Target="https://drive.google.com/file/d/1C8t8ov5FZQhf0VOWUMWLFuy5qsNzw0wG/view?usp=drivesdk" TargetMode="External"/><Relationship Id="rId4975" Type="http://schemas.openxmlformats.org/officeDocument/2006/relationships/hyperlink" Target="https://lh5.googleusercontent.com/d/1u9B6rQ1X2hDZuzZxVtXNjRw9AHN8aYQY" TargetMode="External"/><Relationship Id="rId2315" Type="http://schemas.openxmlformats.org/officeDocument/2006/relationships/hyperlink" Target="https://lh5.googleusercontent.com/d/19-aOiN7cvnBNQJQGGOKMEp3kKLoDRv_X" TargetMode="External"/><Relationship Id="rId3647" Type="http://schemas.openxmlformats.org/officeDocument/2006/relationships/hyperlink" Target="https://lh5.googleusercontent.com/d/167byxzzuAbYHzQcmc_nuBJPSCCBLoqzJ" TargetMode="External"/><Relationship Id="rId4978" Type="http://schemas.openxmlformats.org/officeDocument/2006/relationships/hyperlink" Target="https://drive.google.com/file/d/1FkWIDaW4dnzJzBwFQpqXbC7HVGSOBm_q/view?usp=drivesdk" TargetMode="External"/><Relationship Id="rId2316" Type="http://schemas.openxmlformats.org/officeDocument/2006/relationships/hyperlink" Target="https://drive.google.com/file/d/1bvQZRjiprr1wU_mXdLRpmbko2QUuT4H-/view?usp=drivesdk" TargetMode="External"/><Relationship Id="rId3646" Type="http://schemas.openxmlformats.org/officeDocument/2006/relationships/hyperlink" Target="https://drive.google.com/file/d/1POUXviyRW0I4MJjQwoezp_uK6kGELBYp/view?usp=drivesdk" TargetMode="External"/><Relationship Id="rId4977" Type="http://schemas.openxmlformats.org/officeDocument/2006/relationships/hyperlink" Target="https://lh5.googleusercontent.com/d/1PxOhqWhSaenqorFUPCTh9RZig1i05rOd" TargetMode="External"/><Relationship Id="rId2317" Type="http://schemas.openxmlformats.org/officeDocument/2006/relationships/hyperlink" Target="https://lh5.googleusercontent.com/d/1U1QCOixXz_B2CJPxBBQsnQBDlJUM_tj_" TargetMode="External"/><Relationship Id="rId3649" Type="http://schemas.openxmlformats.org/officeDocument/2006/relationships/hyperlink" Target="https://lh5.googleusercontent.com/d/1DNjvH3RKz1tM83KW70VbDvvqkVPXAbrG" TargetMode="External"/><Relationship Id="rId2318" Type="http://schemas.openxmlformats.org/officeDocument/2006/relationships/hyperlink" Target="https://drive.google.com/file/d/1uabSo9Rx8NMEpiqR2FPUItgDqsaYOSNM/view?usp=drivesdk" TargetMode="External"/><Relationship Id="rId3648" Type="http://schemas.openxmlformats.org/officeDocument/2006/relationships/hyperlink" Target="https://drive.google.com/file/d/1Zv94FaynEJU_ekMTR7H67dT_MZ0AMHtl/view?usp=drivesdk" TargetMode="External"/><Relationship Id="rId4979" Type="http://schemas.openxmlformats.org/officeDocument/2006/relationships/hyperlink" Target="https://lh5.googleusercontent.com/d/11udWMvKfZ5Gz4oYWUXPyxhd1a8clfT2-" TargetMode="External"/><Relationship Id="rId2319" Type="http://schemas.openxmlformats.org/officeDocument/2006/relationships/hyperlink" Target="https://lh5.googleusercontent.com/d/16gds-wfSxwF3bPJc3XW0ym57how3azzW" TargetMode="External"/><Relationship Id="rId4970" Type="http://schemas.openxmlformats.org/officeDocument/2006/relationships/hyperlink" Target="https://drive.google.com/file/d/10D4pssTaatZLGgPkBnkbwRdVl-A4mnlM/view?usp=drivesdk" TargetMode="External"/><Relationship Id="rId3641" Type="http://schemas.openxmlformats.org/officeDocument/2006/relationships/hyperlink" Target="https://lh5.googleusercontent.com/d/1mPpnbgOFma0kMaW06AqEqn8kveJmgf8g" TargetMode="External"/><Relationship Id="rId4972" Type="http://schemas.openxmlformats.org/officeDocument/2006/relationships/hyperlink" Target="https://drive.google.com/file/d/1fDBXKiCKSabG0_K84s8CpGRX13Qn9yrG/view?usp=drivesdk" TargetMode="External"/><Relationship Id="rId2310" Type="http://schemas.openxmlformats.org/officeDocument/2006/relationships/hyperlink" Target="https://drive.google.com/file/d/1_66hxIbB-SaPbaUvzfXrfQ4OMn0-Pk-j/view?usp=drivesdk" TargetMode="External"/><Relationship Id="rId3640" Type="http://schemas.openxmlformats.org/officeDocument/2006/relationships/hyperlink" Target="https://drive.google.com/file/d/1A9FC3yOx-Xd2dR5j8Vrb-5MlbrLUUSnz/view?usp=drivesdk" TargetMode="External"/><Relationship Id="rId4971" Type="http://schemas.openxmlformats.org/officeDocument/2006/relationships/hyperlink" Target="https://lh5.googleusercontent.com/d/1zBKo8ECZmpeZ0jtQMnVe16bKxA_MOm1X" TargetMode="External"/><Relationship Id="rId2311" Type="http://schemas.openxmlformats.org/officeDocument/2006/relationships/hyperlink" Target="https://lh5.googleusercontent.com/d/1K7Og1f-pd5AxovFaHp364FYEN8kOQ2zU" TargetMode="External"/><Relationship Id="rId3643" Type="http://schemas.openxmlformats.org/officeDocument/2006/relationships/hyperlink" Target="https://lh5.googleusercontent.com/d/15QY-vh9NnVJ7wWwDnCjvalkENfm1X1Kl" TargetMode="External"/><Relationship Id="rId4974" Type="http://schemas.openxmlformats.org/officeDocument/2006/relationships/hyperlink" Target="https://drive.google.com/file/d/1mzG8fXzsDFwbFnlXHaFWtqrym8SjptWr/view?usp=drivesdk" TargetMode="External"/><Relationship Id="rId2312" Type="http://schemas.openxmlformats.org/officeDocument/2006/relationships/hyperlink" Target="https://drive.google.com/file/d/1xbkYWbFKA_oMhvCfRDaAOgSZ7PkWInow/view?usp=drivesdk" TargetMode="External"/><Relationship Id="rId3642" Type="http://schemas.openxmlformats.org/officeDocument/2006/relationships/hyperlink" Target="https://drive.google.com/file/d/1vLRWqhbkXwtsDO0NuBy0Lh5dq7UbyUgc/view?usp=drivesdk" TargetMode="External"/><Relationship Id="rId4973" Type="http://schemas.openxmlformats.org/officeDocument/2006/relationships/hyperlink" Target="https://lh5.googleusercontent.com/d/1GXLRSWOw0D7VQz5Zi0NdKCzTLtUYFeYS" TargetMode="External"/><Relationship Id="rId1895" Type="http://schemas.openxmlformats.org/officeDocument/2006/relationships/hyperlink" Target="https://drive.google.com/file/d/1YPbyhBVElz7wfSUO8IEwQH33Tdc6gQfv/view?usp=drivesdk" TargetMode="External"/><Relationship Id="rId4921" Type="http://schemas.openxmlformats.org/officeDocument/2006/relationships/hyperlink" Target="https://lh5.googleusercontent.com/d/1_SDrNh1AzLbbaI5U8o5fFoYindHCQCR2" TargetMode="External"/><Relationship Id="rId1896" Type="http://schemas.openxmlformats.org/officeDocument/2006/relationships/hyperlink" Target="https://lh5.googleusercontent.com/d/1NvbJp6cqJ-GFMyoVTqbyC7XQ4Tb25y1Y" TargetMode="External"/><Relationship Id="rId4920" Type="http://schemas.openxmlformats.org/officeDocument/2006/relationships/hyperlink" Target="https://drive.google.com/file/d/1joy_oDwMRGLbJArS2VYI7WncjMmlCnav/view?usp=drivesdk" TargetMode="External"/><Relationship Id="rId1897" Type="http://schemas.openxmlformats.org/officeDocument/2006/relationships/hyperlink" Target="https://drive.google.com/file/d/1zCGx7nfNluiV3-WXxl0NTslbJY4PoFmK/view?usp=drivesdk" TargetMode="External"/><Relationship Id="rId4923" Type="http://schemas.openxmlformats.org/officeDocument/2006/relationships/hyperlink" Target="https://lh5.googleusercontent.com/d/1T80uOASPtNiAwnEUJdXYubqyK0N0sFlh" TargetMode="External"/><Relationship Id="rId1898" Type="http://schemas.openxmlformats.org/officeDocument/2006/relationships/hyperlink" Target="https://lh5.googleusercontent.com/d/1znKpecB-9e3s5jyNCdz5y6lsFmDgm93f" TargetMode="External"/><Relationship Id="rId4922" Type="http://schemas.openxmlformats.org/officeDocument/2006/relationships/hyperlink" Target="https://drive.google.com/file/d/10sa4W4HXc9zwFYr-Ks1C8-BG-gTLasR-/view?usp=drivesdk" TargetMode="External"/><Relationship Id="rId1899" Type="http://schemas.openxmlformats.org/officeDocument/2006/relationships/hyperlink" Target="https://drive.google.com/file/d/1Tz6ppS1VPwepg47OGPkPnPhXCDXiS7uJ/view?usp=drivesdk" TargetMode="External"/><Relationship Id="rId4925" Type="http://schemas.openxmlformats.org/officeDocument/2006/relationships/hyperlink" Target="https://lh5.googleusercontent.com/d/1-IwuN7_uJ_D4s2QdvPi6ha4Y_odFEXK0" TargetMode="External"/><Relationship Id="rId4924" Type="http://schemas.openxmlformats.org/officeDocument/2006/relationships/hyperlink" Target="https://drive.google.com/file/d/1Al-7ZFTpVXWOLnLlVz5mL593XE3MVZuV/view?usp=drivesdk" TargetMode="External"/><Relationship Id="rId4927" Type="http://schemas.openxmlformats.org/officeDocument/2006/relationships/hyperlink" Target="https://lh5.googleusercontent.com/d/1mz6ush4VmdOOHlaIKSuxO5Y2t-EoKpb2" TargetMode="External"/><Relationship Id="rId4926" Type="http://schemas.openxmlformats.org/officeDocument/2006/relationships/hyperlink" Target="https://drive.google.com/file/d/1o3rskx3a8wJywhBfHkb0q9x3lBXauUVi/view?usp=drivesdk" TargetMode="External"/><Relationship Id="rId4929" Type="http://schemas.openxmlformats.org/officeDocument/2006/relationships/hyperlink" Target="https://lh5.googleusercontent.com/d/1MAHZbSIuVDnk8qspgp4I0w8HztOn0wjh" TargetMode="External"/><Relationship Id="rId4928" Type="http://schemas.openxmlformats.org/officeDocument/2006/relationships/hyperlink" Target="https://drive.google.com/file/d/13Z-npktU5c0x4alogz_WG1gwCRtHij_5/view?usp=drivesdk" TargetMode="External"/><Relationship Id="rId1890" Type="http://schemas.openxmlformats.org/officeDocument/2006/relationships/hyperlink" Target="https://lh5.googleusercontent.com/d/15hX3FiZ6e54vPjw_Jh88pXc0i9t2Owf7" TargetMode="External"/><Relationship Id="rId1891" Type="http://schemas.openxmlformats.org/officeDocument/2006/relationships/hyperlink" Target="https://drive.google.com/file/d/1MP1BJ3DpO0kVl4hFX6V1tYHK1Lu1U-BC/view?usp=drivesdk" TargetMode="External"/><Relationship Id="rId1892" Type="http://schemas.openxmlformats.org/officeDocument/2006/relationships/hyperlink" Target="https://lh5.googleusercontent.com/d/1u_i-6sBK4_1D8n-UkxIDg_JPdV0STGom" TargetMode="External"/><Relationship Id="rId1893" Type="http://schemas.openxmlformats.org/officeDocument/2006/relationships/hyperlink" Target="https://drive.google.com/file/d/17QtH_Osahx9JDJwctHKVuVxBf6eUfjJa/view?usp=drivesdk" TargetMode="External"/><Relationship Id="rId1894" Type="http://schemas.openxmlformats.org/officeDocument/2006/relationships/hyperlink" Target="https://lh5.googleusercontent.com/d/14YVoSX-9GJlPQnvUdG0JctnkkFl5pi1X" TargetMode="External"/><Relationship Id="rId1884" Type="http://schemas.openxmlformats.org/officeDocument/2006/relationships/hyperlink" Target="https://lh5.googleusercontent.com/d/19UjdcrpJ2z60CfxJ7CQe28SwUcLkqIgr" TargetMode="External"/><Relationship Id="rId4910" Type="http://schemas.openxmlformats.org/officeDocument/2006/relationships/hyperlink" Target="https://drive.google.com/file/d/1EdxxEDpYDvNoBGKdq1ScIyzFHPZ_SHiZ/view?usp=drivesdk" TargetMode="External"/><Relationship Id="rId1885" Type="http://schemas.openxmlformats.org/officeDocument/2006/relationships/hyperlink" Target="https://drive.google.com/file/d/1EVJYLEC1Q1NtJA5qTLDsVElBepE-qCaQ/view?usp=drivesdk" TargetMode="External"/><Relationship Id="rId1886" Type="http://schemas.openxmlformats.org/officeDocument/2006/relationships/hyperlink" Target="https://lh5.googleusercontent.com/d/1TIYcJ2N2MYePSc9QnGRlE6Czn2Ie05gO" TargetMode="External"/><Relationship Id="rId4912" Type="http://schemas.openxmlformats.org/officeDocument/2006/relationships/hyperlink" Target="https://drive.google.com/file/d/1MtWm7ac7nHLDSIB9bubgeVNs2aNtD1u6/view?usp=drivesdk" TargetMode="External"/><Relationship Id="rId1887" Type="http://schemas.openxmlformats.org/officeDocument/2006/relationships/hyperlink" Target="https://drive.google.com/file/d/1whrYWCF5e9wojqV2IlLavO4u67iBNSlB/view?usp=drivesdk" TargetMode="External"/><Relationship Id="rId4911" Type="http://schemas.openxmlformats.org/officeDocument/2006/relationships/hyperlink" Target="https://lh5.googleusercontent.com/d/1K-f327no1CKC1BxzgeqGyLXr4A9Vhev_" TargetMode="External"/><Relationship Id="rId1888" Type="http://schemas.openxmlformats.org/officeDocument/2006/relationships/hyperlink" Target="https://lh5.googleusercontent.com/d/1J3G5XVMFQR4CZYmXe7oIYwVokdINhubU" TargetMode="External"/><Relationship Id="rId4914" Type="http://schemas.openxmlformats.org/officeDocument/2006/relationships/hyperlink" Target="https://drive.google.com/file/d/1dLnnIq0Zaz2zMCMn5YhKgULg04_rA_gT/view?usp=drivesdk" TargetMode="External"/><Relationship Id="rId1889" Type="http://schemas.openxmlformats.org/officeDocument/2006/relationships/hyperlink" Target="https://drive.google.com/file/d/1Ihp0UptBPmb0XfXlVZtNSd8oxkHe2L8D/view?usp=drivesdk" TargetMode="External"/><Relationship Id="rId4913" Type="http://schemas.openxmlformats.org/officeDocument/2006/relationships/hyperlink" Target="https://lh5.googleusercontent.com/d/1nPymyMgEWVONZU3HSuvLP9UVNWQBkBjG" TargetMode="External"/><Relationship Id="rId4916" Type="http://schemas.openxmlformats.org/officeDocument/2006/relationships/hyperlink" Target="https://drive.google.com/file/d/1Mc8w-JuS7ZceHVOPTe8nqBbWenjJFX58/view?usp=drivesdk" TargetMode="External"/><Relationship Id="rId4915" Type="http://schemas.openxmlformats.org/officeDocument/2006/relationships/hyperlink" Target="https://lh5.googleusercontent.com/d/1pETx3LL4VHlQx5N893RE6pbdxfBZwkwg" TargetMode="External"/><Relationship Id="rId4918" Type="http://schemas.openxmlformats.org/officeDocument/2006/relationships/hyperlink" Target="https://drive.google.com/file/d/1E1NXcwsf8TyB5awavS2S0HkgHcYmIAe0/view?usp=drivesdk" TargetMode="External"/><Relationship Id="rId4917" Type="http://schemas.openxmlformats.org/officeDocument/2006/relationships/hyperlink" Target="https://lh5.googleusercontent.com/d/1Glnq2r0IJgTbZ2QrYN9aujdGhFQTZjl5" TargetMode="External"/><Relationship Id="rId4919" Type="http://schemas.openxmlformats.org/officeDocument/2006/relationships/hyperlink" Target="https://lh5.googleusercontent.com/d/14TnHPLOqMyz3Z_t4tL_ucmSe0nkxnuOF" TargetMode="External"/><Relationship Id="rId1880" Type="http://schemas.openxmlformats.org/officeDocument/2006/relationships/hyperlink" Target="https://lh5.googleusercontent.com/d/1AmOv5eSOiUnMqXm6ilO8eYxxfEwkr85e" TargetMode="External"/><Relationship Id="rId1881" Type="http://schemas.openxmlformats.org/officeDocument/2006/relationships/hyperlink" Target="https://drive.google.com/file/d/14_gqRnRZg6aiKofsEj8WUWuJcqEiI7Xp/view?usp=drivesdk" TargetMode="External"/><Relationship Id="rId1882" Type="http://schemas.openxmlformats.org/officeDocument/2006/relationships/hyperlink" Target="https://lh5.googleusercontent.com/d/12khODlDjV9fHhvnINe8gSSb2BX_q-qrX" TargetMode="External"/><Relationship Id="rId1883" Type="http://schemas.openxmlformats.org/officeDocument/2006/relationships/hyperlink" Target="https://drive.google.com/file/d/14s56sBA1Ik5qIEYPwXND8m6rsfSYYS6i/view?usp=drivesdk" TargetMode="External"/><Relationship Id="rId3612" Type="http://schemas.openxmlformats.org/officeDocument/2006/relationships/hyperlink" Target="https://drive.google.com/file/d/1OY0D71d2K1_STBBp6E_wrL5Xq_gMzxSa/view?usp=drivesdk" TargetMode="External"/><Relationship Id="rId4943" Type="http://schemas.openxmlformats.org/officeDocument/2006/relationships/hyperlink" Target="https://lh5.googleusercontent.com/d/1HRG-o4dWfhbbwouMQNQKopjDxqQZfhEZ" TargetMode="External"/><Relationship Id="rId3611" Type="http://schemas.openxmlformats.org/officeDocument/2006/relationships/hyperlink" Target="https://lh5.googleusercontent.com/d/1ZhX5Fcgie8rLm5N9Sk2Gy9nlttwvCIlU" TargetMode="External"/><Relationship Id="rId4942" Type="http://schemas.openxmlformats.org/officeDocument/2006/relationships/hyperlink" Target="https://drive.google.com/file/d/1nDxnKRPHK4AsPBZuP655y_j9eheElcPf/view?usp=drivesdk" TargetMode="External"/><Relationship Id="rId3614" Type="http://schemas.openxmlformats.org/officeDocument/2006/relationships/hyperlink" Target="https://drive.google.com/file/d/1ggJGDGdGa8vEljstgGDoIeR986ByQv-j/view?usp=drivesdk" TargetMode="External"/><Relationship Id="rId4945" Type="http://schemas.openxmlformats.org/officeDocument/2006/relationships/hyperlink" Target="https://lh5.googleusercontent.com/d/1qodJqQQ4XRIE0Gh_NYRnZQ2NGjsOnuNv" TargetMode="External"/><Relationship Id="rId3613" Type="http://schemas.openxmlformats.org/officeDocument/2006/relationships/hyperlink" Target="https://lh5.googleusercontent.com/d/15oxdzaMytuCkpIBbYWjKICn_njYt-0is" TargetMode="External"/><Relationship Id="rId4944" Type="http://schemas.openxmlformats.org/officeDocument/2006/relationships/hyperlink" Target="https://drive.google.com/file/d/1XWH9tLPcex0dJWW8znD4770Dbr93mtgF/view?usp=drivesdk" TargetMode="External"/><Relationship Id="rId3616" Type="http://schemas.openxmlformats.org/officeDocument/2006/relationships/hyperlink" Target="https://drive.google.com/file/d/19h_RRhQgFDX0LqnFlQ4f_IihBLuJ4Av1/view?usp=drivesdk" TargetMode="External"/><Relationship Id="rId4947" Type="http://schemas.openxmlformats.org/officeDocument/2006/relationships/hyperlink" Target="https://lh5.googleusercontent.com/d/1D-A96oX9DqtAjyEoujW8e0kshvk02s0a" TargetMode="External"/><Relationship Id="rId3615" Type="http://schemas.openxmlformats.org/officeDocument/2006/relationships/hyperlink" Target="https://lh5.googleusercontent.com/d/1zLdPJbvg9MsGPPPRYiV5ZVhtm9D9_osx" TargetMode="External"/><Relationship Id="rId4946" Type="http://schemas.openxmlformats.org/officeDocument/2006/relationships/hyperlink" Target="https://drive.google.com/file/d/1vtM1edchL2ZdT6uTj-zEQ9RMWs5v3yJd/view?usp=drivesdk" TargetMode="External"/><Relationship Id="rId3618" Type="http://schemas.openxmlformats.org/officeDocument/2006/relationships/hyperlink" Target="https://drive.google.com/file/d/1TuNP1KnJVJe-cT5f8tdYGVnjueIdcQd6/view?usp=drivesdk" TargetMode="External"/><Relationship Id="rId4949" Type="http://schemas.openxmlformats.org/officeDocument/2006/relationships/hyperlink" Target="https://lh5.googleusercontent.com/d/1aycegNn0Y3k_Bbop_xNS5p7lzYjF2M7O" TargetMode="External"/><Relationship Id="rId3617" Type="http://schemas.openxmlformats.org/officeDocument/2006/relationships/hyperlink" Target="https://lh5.googleusercontent.com/d/19ghP2Axuqk7ALSGM9DtzxlZx_5pHwpYV" TargetMode="External"/><Relationship Id="rId4948" Type="http://schemas.openxmlformats.org/officeDocument/2006/relationships/hyperlink" Target="https://drive.google.com/file/d/1Eu0GtJlt22l7LQzWkm67ndUP6bl6G-1h/view?usp=drivesdk" TargetMode="External"/><Relationship Id="rId3619" Type="http://schemas.openxmlformats.org/officeDocument/2006/relationships/hyperlink" Target="https://lh5.googleusercontent.com/d/1WlbP9l1Q4K-BCdiS4OCeGx1_TzBJfs5i" TargetMode="External"/><Relationship Id="rId3610" Type="http://schemas.openxmlformats.org/officeDocument/2006/relationships/hyperlink" Target="https://drive.google.com/file/d/1Bfh8GePfefqV6RDsGD6fz-eQMfbl4z9M/view?usp=drivesdk" TargetMode="External"/><Relationship Id="rId4941" Type="http://schemas.openxmlformats.org/officeDocument/2006/relationships/hyperlink" Target="https://lh5.googleusercontent.com/d/165efb5bZhgXECX_k7l2hwJpk7uzRlMsB" TargetMode="External"/><Relationship Id="rId4940" Type="http://schemas.openxmlformats.org/officeDocument/2006/relationships/hyperlink" Target="https://drive.google.com/file/d/1Fe7U62h1M7N_Pct_vsSKeZXQ7QE01F-k/view?usp=drivesdk" TargetMode="External"/><Relationship Id="rId3601" Type="http://schemas.openxmlformats.org/officeDocument/2006/relationships/hyperlink" Target="https://drive.google.com/file/d/1w7nRfj8bpy8-b1aTJfEecyI-sUw0RyKW/view?usp=drivesdk" TargetMode="External"/><Relationship Id="rId4932" Type="http://schemas.openxmlformats.org/officeDocument/2006/relationships/hyperlink" Target="https://drive.google.com/file/d/1ugmu-390hQ4bw4-tQHLIxCzd5RWu5vJ4/view?usp=drivesdk" TargetMode="External"/><Relationship Id="rId3600" Type="http://schemas.openxmlformats.org/officeDocument/2006/relationships/hyperlink" Target="https://lh5.googleusercontent.com/d/1i6KDKL-kMtMOvKxmILwPf_KNOrhA6-22" TargetMode="External"/><Relationship Id="rId4931" Type="http://schemas.openxmlformats.org/officeDocument/2006/relationships/hyperlink" Target="https://lh5.googleusercontent.com/d/1Cui9syqARPDnZ_YlegMv8kzm6MictsoU" TargetMode="External"/><Relationship Id="rId3603" Type="http://schemas.openxmlformats.org/officeDocument/2006/relationships/hyperlink" Target="https://drive.google.com/file/d/1vMUh-VsYX8CkaKiPjNkqHgcuE1Nys11p/view?usp=drivesdk" TargetMode="External"/><Relationship Id="rId4934" Type="http://schemas.openxmlformats.org/officeDocument/2006/relationships/hyperlink" Target="https://drive.google.com/file/d/1QcpuYDJ89749az7rmwy6bA5XKUribjJS/view?usp=drivesdk" TargetMode="External"/><Relationship Id="rId3602" Type="http://schemas.openxmlformats.org/officeDocument/2006/relationships/hyperlink" Target="https://lh5.googleusercontent.com/d/1NYp6HIwbC7yuXFVGMcvoPxF9Yk8nrEOv" TargetMode="External"/><Relationship Id="rId4933" Type="http://schemas.openxmlformats.org/officeDocument/2006/relationships/hyperlink" Target="https://lh5.googleusercontent.com/d/1BGqfZaRV1yetR2OznHgwoUFAMNyMVwh0" TargetMode="External"/><Relationship Id="rId3605" Type="http://schemas.openxmlformats.org/officeDocument/2006/relationships/hyperlink" Target="https://lh5.googleusercontent.com/d/156gfAcyl6sH1sgmnSII_OSwsVGog-59V" TargetMode="External"/><Relationship Id="rId4936" Type="http://schemas.openxmlformats.org/officeDocument/2006/relationships/hyperlink" Target="https://drive.google.com/file/d/1K_gIv1uFBzQqP0xGgwJLqfvtywh8P7D-/view?usp=drivesdk" TargetMode="External"/><Relationship Id="rId3604" Type="http://schemas.openxmlformats.org/officeDocument/2006/relationships/hyperlink" Target="https://drive.google.com/file/d/17FTtsZvwPp-GRRqeFe875hR08Q7zrU90/view?usp=drivesdk" TargetMode="External"/><Relationship Id="rId4935" Type="http://schemas.openxmlformats.org/officeDocument/2006/relationships/hyperlink" Target="https://lh5.googleusercontent.com/d/1JaldxBrujubL19e6qVQ25kUrrKU-jWDm" TargetMode="External"/><Relationship Id="rId3607" Type="http://schemas.openxmlformats.org/officeDocument/2006/relationships/hyperlink" Target="https://lh5.googleusercontent.com/d/1Grv_OlQkvCXzSWpcZZ3pCB3ZiQZFzofC" TargetMode="External"/><Relationship Id="rId4938" Type="http://schemas.openxmlformats.org/officeDocument/2006/relationships/hyperlink" Target="https://drive.google.com/file/d/1P63SQe9S82ZT2-8C112pfgE4qualypq_/view?usp=drivesdk" TargetMode="External"/><Relationship Id="rId3606" Type="http://schemas.openxmlformats.org/officeDocument/2006/relationships/hyperlink" Target="https://drive.google.com/file/d/1zebGRW1z8XhCxR4-S6fwkR8O_PGg9MlN/view?usp=drivesdk" TargetMode="External"/><Relationship Id="rId4937" Type="http://schemas.openxmlformats.org/officeDocument/2006/relationships/hyperlink" Target="https://lh5.googleusercontent.com/d/1bq1KOU29t00x0aXnjFoeKtTxHZsIUPnr" TargetMode="External"/><Relationship Id="rId3609" Type="http://schemas.openxmlformats.org/officeDocument/2006/relationships/hyperlink" Target="https://lh5.googleusercontent.com/d/1n8DB8zX4nRrmKEut2Fu-r7J47EZra5Za" TargetMode="External"/><Relationship Id="rId3608" Type="http://schemas.openxmlformats.org/officeDocument/2006/relationships/hyperlink" Target="https://drive.google.com/file/d/1tniBpGZzknpIzLDqPiSwMl_4heyeGoaK/view?usp=drivesdk" TargetMode="External"/><Relationship Id="rId4939" Type="http://schemas.openxmlformats.org/officeDocument/2006/relationships/hyperlink" Target="https://lh5.googleusercontent.com/d/1H6KE7gvGbUeZWl2qJLjO5__e6dTocaI4" TargetMode="External"/><Relationship Id="rId4930" Type="http://schemas.openxmlformats.org/officeDocument/2006/relationships/hyperlink" Target="https://drive.google.com/file/d/1yXSQDkNFRllN7z2TJ6UUJYSD7G5o4Zi0/view?usp=drivesdk" TargetMode="External"/><Relationship Id="rId1059" Type="http://schemas.openxmlformats.org/officeDocument/2006/relationships/hyperlink" Target="https://drive.google.com/file/d/10crcLggNn0FXL4KJEv7MdWFCOBu3wKtm/view?usp=drivesdk" TargetMode="External"/><Relationship Id="rId5417" Type="http://schemas.openxmlformats.org/officeDocument/2006/relationships/hyperlink" Target="https://lh5.googleusercontent.com/d/1X-q7BaZeHWASUDF2j6l9VlgjdxyPF8Zq" TargetMode="External"/><Relationship Id="rId5418" Type="http://schemas.openxmlformats.org/officeDocument/2006/relationships/hyperlink" Target="https://drive.google.com/file/d/1jhrHd8pbEDS_bdvIeWm0nzggI_klw8E3/view?usp=drivesdk" TargetMode="External"/><Relationship Id="rId5415" Type="http://schemas.openxmlformats.org/officeDocument/2006/relationships/hyperlink" Target="https://lh5.googleusercontent.com/d/1lgjkqKOsTBqZ4cNbJ2S6vbBJkRHzgpEz" TargetMode="External"/><Relationship Id="rId5416" Type="http://schemas.openxmlformats.org/officeDocument/2006/relationships/hyperlink" Target="https://drive.google.com/file/d/1qQQ5Yt7SBzNHApPWzizAUbLN7OhgxSwK/view?usp=drivesdk" TargetMode="External"/><Relationship Id="rId5419" Type="http://schemas.openxmlformats.org/officeDocument/2006/relationships/hyperlink" Target="https://lh5.googleusercontent.com/d/17jtoqCbTlGGHzV7Wl_31ZQg3B2MgWj16" TargetMode="External"/><Relationship Id="rId228" Type="http://schemas.openxmlformats.org/officeDocument/2006/relationships/hyperlink" Target="https://lh5.googleusercontent.com/d/1uV4tWQn7yn7LmmkoFNA36zkpvL6OeSFL" TargetMode="External"/><Relationship Id="rId227" Type="http://schemas.openxmlformats.org/officeDocument/2006/relationships/hyperlink" Target="https://drive.google.com/file/d/136FQVpyfA-DTBXUKJ3f63JEbjVPkPU1T/view?usp=drivesdk" TargetMode="External"/><Relationship Id="rId226" Type="http://schemas.openxmlformats.org/officeDocument/2006/relationships/hyperlink" Target="https://lh5.googleusercontent.com/d/1VYrQggmWAwNjiBhnTdienE8WJFx9XXPQ" TargetMode="External"/><Relationship Id="rId225" Type="http://schemas.openxmlformats.org/officeDocument/2006/relationships/hyperlink" Target="https://drive.google.com/file/d/15YPef-9-9TiOe5g8fRzOXJJSaiJi_oT7/view?usp=drivesdk" TargetMode="External"/><Relationship Id="rId2380" Type="http://schemas.openxmlformats.org/officeDocument/2006/relationships/hyperlink" Target="https://drive.google.com/file/d/1eB_vWDwr1Zf7fEMXjR64-nh65eP4868W/view?usp=drivesdk" TargetMode="External"/><Relationship Id="rId229" Type="http://schemas.openxmlformats.org/officeDocument/2006/relationships/hyperlink" Target="https://drive.google.com/file/d/1AbfWv-yW2shyRksksaP5l4nh7efJsYBE/view?usp=drivesdk" TargetMode="External"/><Relationship Id="rId1050" Type="http://schemas.openxmlformats.org/officeDocument/2006/relationships/hyperlink" Target="https://lh5.googleusercontent.com/d/1lel4FKYQQOJJBsXk662me0BiBbMYJm1s" TargetMode="External"/><Relationship Id="rId2381" Type="http://schemas.openxmlformats.org/officeDocument/2006/relationships/hyperlink" Target="https://lh5.googleusercontent.com/d/1MKcr4h0dxX-QC9nBdvIrke8Z7AqjqCsA" TargetMode="External"/><Relationship Id="rId220" Type="http://schemas.openxmlformats.org/officeDocument/2006/relationships/hyperlink" Target="https://lh5.googleusercontent.com/d/19PComQvop0HWazjI0YG08PFQVzAptlBR" TargetMode="External"/><Relationship Id="rId1051" Type="http://schemas.openxmlformats.org/officeDocument/2006/relationships/hyperlink" Target="https://drive.google.com/file/d/1g8nTyDHFZ54oM1Iq8bLjMJtOrfzAgONU/view?usp=drivesdk" TargetMode="External"/><Relationship Id="rId2382" Type="http://schemas.openxmlformats.org/officeDocument/2006/relationships/hyperlink" Target="https://drive.google.com/file/d/1NcYj0AAq_3POqQekb5J8-fzE-Gjipd4H/view?usp=drivesdk" TargetMode="External"/><Relationship Id="rId1052" Type="http://schemas.openxmlformats.org/officeDocument/2006/relationships/hyperlink" Target="https://lh5.googleusercontent.com/d/1U0kfm4NqANeNoEjKn2mobZQTn9cL6EUc" TargetMode="External"/><Relationship Id="rId2383" Type="http://schemas.openxmlformats.org/officeDocument/2006/relationships/hyperlink" Target="https://lh5.googleusercontent.com/d/1fJktdXdjqJWIN1Itmf-bG_6DAndPMcbO" TargetMode="External"/><Relationship Id="rId5410" Type="http://schemas.openxmlformats.org/officeDocument/2006/relationships/hyperlink" Target="https://drive.google.com/file/d/1TsWKv4RmwnOIhIO-7c74A7aX8YgnWumQ/view?usp=drivesdk" TargetMode="External"/><Relationship Id="rId1053" Type="http://schemas.openxmlformats.org/officeDocument/2006/relationships/hyperlink" Target="https://drive.google.com/file/d/1YxZZyMQmcApHPL9e05qwM0ged1qXy1Bc/view?usp=drivesdk" TargetMode="External"/><Relationship Id="rId2384" Type="http://schemas.openxmlformats.org/officeDocument/2006/relationships/hyperlink" Target="https://drive.google.com/file/d/1LjxkDlEbdKYqs40gLd_ENZJiy22n1Ol1/view?usp=drivesdk" TargetMode="External"/><Relationship Id="rId1054" Type="http://schemas.openxmlformats.org/officeDocument/2006/relationships/hyperlink" Target="https://lh5.googleusercontent.com/d/1Ll-IJLRpcxUWLwzPXuK2rhOGWFp3J2U1" TargetMode="External"/><Relationship Id="rId2385" Type="http://schemas.openxmlformats.org/officeDocument/2006/relationships/hyperlink" Target="https://lh5.googleusercontent.com/d/1XeiWClHgS_uYTQz4YScVQoR7WqPgMNqa" TargetMode="External"/><Relationship Id="rId224" Type="http://schemas.openxmlformats.org/officeDocument/2006/relationships/hyperlink" Target="https://lh5.googleusercontent.com/d/1QWyRrLbhV7MmlOIGM0FLlWDPeHpKVAEB" TargetMode="External"/><Relationship Id="rId1055" Type="http://schemas.openxmlformats.org/officeDocument/2006/relationships/hyperlink" Target="https://drive.google.com/file/d/1q2ptVKdcyp0MzR5UJek12TTHDIktjVED/view?usp=drivesdk" TargetMode="External"/><Relationship Id="rId2386" Type="http://schemas.openxmlformats.org/officeDocument/2006/relationships/hyperlink" Target="https://drive.google.com/file/d/1te9ghk7Tqfu8vGtLGMhGgyIwmmBQwp3t/view?usp=drivesdk" TargetMode="External"/><Relationship Id="rId5413" Type="http://schemas.openxmlformats.org/officeDocument/2006/relationships/hyperlink" Target="https://lh5.googleusercontent.com/d/1BC7pfQZVKgRyf_p6igIsVriFtID6QUDB" TargetMode="External"/><Relationship Id="rId223" Type="http://schemas.openxmlformats.org/officeDocument/2006/relationships/hyperlink" Target="https://drive.google.com/file/d/1xhS2--XSAtH-7BzoaWXFK0yeIXBVmQ-m/view?usp=drivesdk" TargetMode="External"/><Relationship Id="rId1056" Type="http://schemas.openxmlformats.org/officeDocument/2006/relationships/hyperlink" Target="https://lh5.googleusercontent.com/d/1mumJBI4-eVYtyijGTjXEj4KLJIuibAj8" TargetMode="External"/><Relationship Id="rId2387" Type="http://schemas.openxmlformats.org/officeDocument/2006/relationships/hyperlink" Target="https://lh5.googleusercontent.com/d/1Pk4k4yHMlDpckMoZNNkQPCtkckmt6RYt" TargetMode="External"/><Relationship Id="rId5414" Type="http://schemas.openxmlformats.org/officeDocument/2006/relationships/hyperlink" Target="https://drive.google.com/file/d/1y_oryO6jM5RYFhvbNUlCcWb_Z4cMtSSh/view?usp=drivesdk" TargetMode="External"/><Relationship Id="rId222" Type="http://schemas.openxmlformats.org/officeDocument/2006/relationships/hyperlink" Target="https://lh5.googleusercontent.com/d/1eGxCzu-kkA4Gv5ZC4S4YA6y8epF55ok4" TargetMode="External"/><Relationship Id="rId1057" Type="http://schemas.openxmlformats.org/officeDocument/2006/relationships/hyperlink" Target="https://drive.google.com/file/d/1fisCSZxl1GkHu8HcWQ7VRYybFrfDfcmb/view?usp=drivesdk" TargetMode="External"/><Relationship Id="rId2388" Type="http://schemas.openxmlformats.org/officeDocument/2006/relationships/hyperlink" Target="https://drive.google.com/file/d/1XK8vMc41Y6rN4hSulXlKD5V1ybMBGqsP/view?usp=drivesdk" TargetMode="External"/><Relationship Id="rId5411" Type="http://schemas.openxmlformats.org/officeDocument/2006/relationships/hyperlink" Target="https://lh5.googleusercontent.com/d/1eAVRl84mQ96z8qWuTwndBGQEVvGplvnX" TargetMode="External"/><Relationship Id="rId221" Type="http://schemas.openxmlformats.org/officeDocument/2006/relationships/hyperlink" Target="https://drive.google.com/file/d/1AYIq8KZGlRLfz4khxurDaatjBVFicLiz/view?usp=drivesdk" TargetMode="External"/><Relationship Id="rId1058" Type="http://schemas.openxmlformats.org/officeDocument/2006/relationships/hyperlink" Target="https://lh5.googleusercontent.com/d/1f5RHJV2dduW3voXC1o9awXLx1bDiPoBI" TargetMode="External"/><Relationship Id="rId2389" Type="http://schemas.openxmlformats.org/officeDocument/2006/relationships/hyperlink" Target="https://lh5.googleusercontent.com/d/1a9pFDNAyjtWQQzoRv-8_oatTkcSsdWia" TargetMode="External"/><Relationship Id="rId5412" Type="http://schemas.openxmlformats.org/officeDocument/2006/relationships/hyperlink" Target="https://drive.google.com/file/d/1SSW7kq3PF9gK_TbSaT1byK4oCAL4rKyR/view?usp=drivesdk" TargetMode="External"/><Relationship Id="rId1048" Type="http://schemas.openxmlformats.org/officeDocument/2006/relationships/hyperlink" Target="https://lh5.googleusercontent.com/d/1zfM3CYTWYt5YEvvUYGFl1ucmAvhTE35i" TargetMode="External"/><Relationship Id="rId2379" Type="http://schemas.openxmlformats.org/officeDocument/2006/relationships/hyperlink" Target="https://lh5.googleusercontent.com/d/167vDN-i1azHlyrf662zeuCtKMi0uhxem" TargetMode="External"/><Relationship Id="rId5406" Type="http://schemas.openxmlformats.org/officeDocument/2006/relationships/hyperlink" Target="https://drive.google.com/file/d/1d0rsDZzb0g1yNX-tdaz5av4pmRRCnHpM/view?usp=drivesdk" TargetMode="External"/><Relationship Id="rId1049" Type="http://schemas.openxmlformats.org/officeDocument/2006/relationships/hyperlink" Target="https://drive.google.com/file/d/1tl3qhmaGXwhbiffnc9vBr9kXotlgejc2/view?usp=drivesdk" TargetMode="External"/><Relationship Id="rId5407" Type="http://schemas.openxmlformats.org/officeDocument/2006/relationships/hyperlink" Target="https://lh5.googleusercontent.com/d/1nYFzauoAgOI3e25NlvPRG6BUdbCTpZz7" TargetMode="External"/><Relationship Id="rId5404" Type="http://schemas.openxmlformats.org/officeDocument/2006/relationships/hyperlink" Target="https://drive.google.com/file/d/1ijDKzTujaVG2WHlAS6oeHgl-3BGlxhSm/view?usp=drivesdk" TargetMode="External"/><Relationship Id="rId5405" Type="http://schemas.openxmlformats.org/officeDocument/2006/relationships/hyperlink" Target="https://lh5.googleusercontent.com/d/13O8N3pWYxbm40KrzHqdja713vv4c6Se1" TargetMode="External"/><Relationship Id="rId5408" Type="http://schemas.openxmlformats.org/officeDocument/2006/relationships/hyperlink" Target="https://drive.google.com/file/d/1-c9IEjngNVlelhP9-yTbSh_dY9alfOlO/view?usp=drivesdk" TargetMode="External"/><Relationship Id="rId5409" Type="http://schemas.openxmlformats.org/officeDocument/2006/relationships/hyperlink" Target="https://lh5.googleusercontent.com/d/1_ZayB0tPYTf0gJDUNew-CihwG3MLPARn" TargetMode="External"/><Relationship Id="rId217" Type="http://schemas.openxmlformats.org/officeDocument/2006/relationships/hyperlink" Target="https://drive.google.com/file/d/1cC98N0qr9KZguE79FuFDDjax-iurz12-/view?usp=drivesdk" TargetMode="External"/><Relationship Id="rId216" Type="http://schemas.openxmlformats.org/officeDocument/2006/relationships/hyperlink" Target="https://lh5.googleusercontent.com/d/18X_mufC9nDlWS1MYw9pjjwQ1tiAtmtiP" TargetMode="External"/><Relationship Id="rId215" Type="http://schemas.openxmlformats.org/officeDocument/2006/relationships/hyperlink" Target="https://drive.google.com/file/d/1YYOeJxIG3vQohduX8OYJiE4hjReKJKOw/view?usp=drivesdk" TargetMode="External"/><Relationship Id="rId214" Type="http://schemas.openxmlformats.org/officeDocument/2006/relationships/hyperlink" Target="https://lh5.googleusercontent.com/d/1cJssCxZDnpZQxnVk1YGiSCoS9wzXdO_k" TargetMode="External"/><Relationship Id="rId219" Type="http://schemas.openxmlformats.org/officeDocument/2006/relationships/hyperlink" Target="https://drive.google.com/file/d/1FtdYhnrUVWkIa0ITDozITLQf3GVwtZGi/view?usp=drivesdk" TargetMode="External"/><Relationship Id="rId218" Type="http://schemas.openxmlformats.org/officeDocument/2006/relationships/hyperlink" Target="https://lh5.googleusercontent.com/d/1Ojba8bshx1gNPXW1-C9-HUh8_md7_RCP" TargetMode="External"/><Relationship Id="rId2370" Type="http://schemas.openxmlformats.org/officeDocument/2006/relationships/hyperlink" Target="https://drive.google.com/file/d/1FgguMOXTmhSYYh6B2-9XNO6i4GhFDhrj/view?usp=drivesdk" TargetMode="External"/><Relationship Id="rId1040" Type="http://schemas.openxmlformats.org/officeDocument/2006/relationships/hyperlink" Target="https://lh5.googleusercontent.com/d/1KKMyQNgs1cAmKRfIImMSu1cNv_0W9xLt" TargetMode="External"/><Relationship Id="rId2371" Type="http://schemas.openxmlformats.org/officeDocument/2006/relationships/hyperlink" Target="https://lh5.googleusercontent.com/d/1OMmNxqGVocCP3j8N_rWfgYSK5XW2qZ7p" TargetMode="External"/><Relationship Id="rId1041" Type="http://schemas.openxmlformats.org/officeDocument/2006/relationships/hyperlink" Target="https://drive.google.com/file/d/1gq3HKZbh-pqpcvS9QSPN_E1Kns27lYmO/view?usp=drivesdk" TargetMode="External"/><Relationship Id="rId2372" Type="http://schemas.openxmlformats.org/officeDocument/2006/relationships/hyperlink" Target="https://drive.google.com/file/d/1Nx1IDFvC7e1MtbL85AvjGT-3fyuU9Ls8/view?usp=drivesdk" TargetMode="External"/><Relationship Id="rId1042" Type="http://schemas.openxmlformats.org/officeDocument/2006/relationships/hyperlink" Target="https://lh5.googleusercontent.com/d/1sDqc2SKhiJQsMJ1NAaBHzPH_hkfWgz2n" TargetMode="External"/><Relationship Id="rId2373" Type="http://schemas.openxmlformats.org/officeDocument/2006/relationships/hyperlink" Target="https://lh5.googleusercontent.com/d/1DMXudmbyjx-xLnhCjx9FmnKEHz_3G7Ty" TargetMode="External"/><Relationship Id="rId1043" Type="http://schemas.openxmlformats.org/officeDocument/2006/relationships/hyperlink" Target="https://drive.google.com/file/d/1ouWClIPTeiOG2EDJpZ-ExuVRzGuJwlVS/view?usp=drivesdk" TargetMode="External"/><Relationship Id="rId2374" Type="http://schemas.openxmlformats.org/officeDocument/2006/relationships/hyperlink" Target="https://drive.google.com/file/d/1oR05d6nqos1pfe2Ljw0OeGl9nLGqwTeg/view?usp=drivesdk" TargetMode="External"/><Relationship Id="rId213" Type="http://schemas.openxmlformats.org/officeDocument/2006/relationships/hyperlink" Target="https://drive.google.com/file/d/1jADGy8uuIJyqiOJYLEg44I0qDGLTewYM/view?usp=drivesdk" TargetMode="External"/><Relationship Id="rId1044" Type="http://schemas.openxmlformats.org/officeDocument/2006/relationships/hyperlink" Target="https://lh5.googleusercontent.com/d/1NwF-xyla2xsIVbU3F-9nYBx0mCS0ATqa" TargetMode="External"/><Relationship Id="rId2375" Type="http://schemas.openxmlformats.org/officeDocument/2006/relationships/hyperlink" Target="https://lh5.googleusercontent.com/d/1iMUJBlGSJURijE6uSfT3r2UG_VxWqpVV" TargetMode="External"/><Relationship Id="rId5402" Type="http://schemas.openxmlformats.org/officeDocument/2006/relationships/hyperlink" Target="https://drive.google.com/file/d/1p8-X-BACeYEQQlvZx26vq8UguA0-babV/view?usp=drivesdk" TargetMode="External"/><Relationship Id="rId212" Type="http://schemas.openxmlformats.org/officeDocument/2006/relationships/hyperlink" Target="https://lh5.googleusercontent.com/d/1F0F7migIHa3IgbPoTCw8AOJk2-k2B6L6" TargetMode="External"/><Relationship Id="rId1045" Type="http://schemas.openxmlformats.org/officeDocument/2006/relationships/hyperlink" Target="https://drive.google.com/file/d/1D4TRh4oHA_rfKAYiF-HbohrNdnsrroDM/view?usp=drivesdk" TargetMode="External"/><Relationship Id="rId2376" Type="http://schemas.openxmlformats.org/officeDocument/2006/relationships/hyperlink" Target="https://drive.google.com/file/d/1LmA6ANLmMf8dD-f_uYaAwDHH85Scladh/view?usp=drivesdk" TargetMode="External"/><Relationship Id="rId5403" Type="http://schemas.openxmlformats.org/officeDocument/2006/relationships/hyperlink" Target="https://lh5.googleusercontent.com/d/1ZhTDF4eBjWu5WPl6kicgMC3t7vrBHXsZ" TargetMode="External"/><Relationship Id="rId211" Type="http://schemas.openxmlformats.org/officeDocument/2006/relationships/hyperlink" Target="https://drive.google.com/file/d/1v-x1UgnQSvkRpYTHe22ve_6be0CQUqW5/view?usp=drivesdk" TargetMode="External"/><Relationship Id="rId1046" Type="http://schemas.openxmlformats.org/officeDocument/2006/relationships/hyperlink" Target="https://lh5.googleusercontent.com/d/1fssktThMkk2aJ_GDHlA7nH1k4BoqpehB" TargetMode="External"/><Relationship Id="rId2377" Type="http://schemas.openxmlformats.org/officeDocument/2006/relationships/hyperlink" Target="https://lh5.googleusercontent.com/d/143-LkhTS_DllgTiJI2a5BZT3gGAs9JRY" TargetMode="External"/><Relationship Id="rId5400" Type="http://schemas.openxmlformats.org/officeDocument/2006/relationships/hyperlink" Target="https://drive.google.com/file/d/1SZuLphRcME7GZoT38Gmtwzzn1lXp2Lkd/view?usp=drivesdk" TargetMode="External"/><Relationship Id="rId210" Type="http://schemas.openxmlformats.org/officeDocument/2006/relationships/hyperlink" Target="https://lh5.googleusercontent.com/d/1nvLufvUdlt2EOdrR5vKZbpcIXyzq9lME" TargetMode="External"/><Relationship Id="rId1047" Type="http://schemas.openxmlformats.org/officeDocument/2006/relationships/hyperlink" Target="https://drive.google.com/file/d/1N33T24H456RK7C-E9ke9VDd5sWVmw7Fk/view?usp=drivesdk" TargetMode="External"/><Relationship Id="rId2378" Type="http://schemas.openxmlformats.org/officeDocument/2006/relationships/hyperlink" Target="https://drive.google.com/file/d/1V66PJYb7OtC0VjPreHLEQgEQ6RtN4JXO/view?usp=drivesdk" TargetMode="External"/><Relationship Id="rId5401" Type="http://schemas.openxmlformats.org/officeDocument/2006/relationships/hyperlink" Target="https://lh5.googleusercontent.com/d/1X0w2gBrQyKOil6qNAo0X6j2xUTgcNAq1" TargetMode="External"/><Relationship Id="rId4107" Type="http://schemas.openxmlformats.org/officeDocument/2006/relationships/hyperlink" Target="https://lh5.googleusercontent.com/d/1OcW33k8ZxG7NDcmnSSOrptcuKKNlkTIj" TargetMode="External"/><Relationship Id="rId5439" Type="http://schemas.openxmlformats.org/officeDocument/2006/relationships/hyperlink" Target="https://lh5.googleusercontent.com/d/1tpWXOEwpRBV7_MnQ2Ifx85GKjLgTMX0i" TargetMode="External"/><Relationship Id="rId4106" Type="http://schemas.openxmlformats.org/officeDocument/2006/relationships/hyperlink" Target="https://drive.google.com/file/d/1CvHIAkQzQ8AyS0T5V6bE54UeOqxHFfXW/view?usp=drivesdk" TargetMode="External"/><Relationship Id="rId4109" Type="http://schemas.openxmlformats.org/officeDocument/2006/relationships/hyperlink" Target="https://lh5.googleusercontent.com/d/1VdhaN16_kmWNPby1xuc0Z4HFDyopGHyF" TargetMode="External"/><Relationship Id="rId5437" Type="http://schemas.openxmlformats.org/officeDocument/2006/relationships/hyperlink" Target="https://lh5.googleusercontent.com/d/1J0wqRhl28CQNtuvmranpxnc6WwuOeYr7" TargetMode="External"/><Relationship Id="rId4108" Type="http://schemas.openxmlformats.org/officeDocument/2006/relationships/hyperlink" Target="https://drive.google.com/file/d/1WH7xImY4aB1pLCEtyIf2ZmQhZsyS8XNR/view?usp=drivesdk" TargetMode="External"/><Relationship Id="rId5438" Type="http://schemas.openxmlformats.org/officeDocument/2006/relationships/hyperlink" Target="https://drive.google.com/file/d/1YVgJA3ciRcS1LRAWLI_hwtyq-uamQUkI/view?usp=drivesdk" TargetMode="External"/><Relationship Id="rId249" Type="http://schemas.openxmlformats.org/officeDocument/2006/relationships/hyperlink" Target="https://drive.google.com/file/d/17gO40ap1HAENUDouM2XS4UiTHqvizxuY/view?usp=drivesdk" TargetMode="External"/><Relationship Id="rId248" Type="http://schemas.openxmlformats.org/officeDocument/2006/relationships/hyperlink" Target="https://lh5.googleusercontent.com/d/1wWNX7Oel1bdXyjgck56WtuIn_5qjJn7J" TargetMode="External"/><Relationship Id="rId247" Type="http://schemas.openxmlformats.org/officeDocument/2006/relationships/hyperlink" Target="https://drive.google.com/file/d/1ExSs1QIsSlICeMzBFUh0PzNYTXHPIuaz/view?usp=drivesdk" TargetMode="External"/><Relationship Id="rId1070" Type="http://schemas.openxmlformats.org/officeDocument/2006/relationships/hyperlink" Target="https://lh5.googleusercontent.com/d/1U1jqRChI42p80e9DUalNCQh1wRLjAm8q" TargetMode="External"/><Relationship Id="rId1071" Type="http://schemas.openxmlformats.org/officeDocument/2006/relationships/hyperlink" Target="https://drive.google.com/file/d/16cyo7mEREc0F7XFmVb3rkdixcTRKoZLC/view?usp=drivesdk" TargetMode="External"/><Relationship Id="rId1072" Type="http://schemas.openxmlformats.org/officeDocument/2006/relationships/hyperlink" Target="https://lh5.googleusercontent.com/d/1MUmImOimu_MsQwfQ2MC3mEYHrYxth9UZ" TargetMode="External"/><Relationship Id="rId242" Type="http://schemas.openxmlformats.org/officeDocument/2006/relationships/hyperlink" Target="https://lh5.googleusercontent.com/d/1jAT29FhnY14PJyHRlLwxWTRwA5evp2qf" TargetMode="External"/><Relationship Id="rId1073" Type="http://schemas.openxmlformats.org/officeDocument/2006/relationships/hyperlink" Target="https://drive.google.com/file/d/1EkogE-IBHLNJ2rn9X_RBNUOWabdRsH0U/view?usp=drivesdk" TargetMode="External"/><Relationship Id="rId5431" Type="http://schemas.openxmlformats.org/officeDocument/2006/relationships/hyperlink" Target="https://lh5.googleusercontent.com/d/14ubF5nQHdQFhz0BsZDgFaSvFIlx6kVIE" TargetMode="External"/><Relationship Id="rId241" Type="http://schemas.openxmlformats.org/officeDocument/2006/relationships/hyperlink" Target="https://drive.google.com/file/d/1EUqq_1xpYpk_0XJMfM4OjM1dwou_kYDS/view?usp=drivesdk" TargetMode="External"/><Relationship Id="rId1074" Type="http://schemas.openxmlformats.org/officeDocument/2006/relationships/hyperlink" Target="https://lh5.googleusercontent.com/d/1O5zP2EkdFk6cjTGuk7BeFzkffYLcX40S" TargetMode="External"/><Relationship Id="rId5432" Type="http://schemas.openxmlformats.org/officeDocument/2006/relationships/hyperlink" Target="https://drive.google.com/file/d/1sAIY8UOlQm3uUsL_zTKr7Lvra8RsY0Mu/view?usp=drivesdk" TargetMode="External"/><Relationship Id="rId240" Type="http://schemas.openxmlformats.org/officeDocument/2006/relationships/hyperlink" Target="https://lh5.googleusercontent.com/d/1UML06C6Vcdx8gBGlXMV3UBi57XTdPFQL" TargetMode="External"/><Relationship Id="rId1075" Type="http://schemas.openxmlformats.org/officeDocument/2006/relationships/hyperlink" Target="https://drive.google.com/file/d/1CHlQKOGVeyZQmq8odvDIPEDqT-600JFX/view?usp=drivesdk" TargetMode="External"/><Relationship Id="rId4101" Type="http://schemas.openxmlformats.org/officeDocument/2006/relationships/hyperlink" Target="https://lh5.googleusercontent.com/d/1ow85lzaYyDv_6ez3lptBoueWOhd3yBiB" TargetMode="External"/><Relationship Id="rId1076" Type="http://schemas.openxmlformats.org/officeDocument/2006/relationships/hyperlink" Target="https://lh5.googleusercontent.com/d/15RpLs9_0nr9_AGQi2kawP3dKVUlQn1Mw" TargetMode="External"/><Relationship Id="rId4100" Type="http://schemas.openxmlformats.org/officeDocument/2006/relationships/hyperlink" Target="https://drive.google.com/file/d/1TOGbciHaaxLfiClivT4DzeD1OzBBKMVV/view?usp=drivesdk" TargetMode="External"/><Relationship Id="rId5430" Type="http://schemas.openxmlformats.org/officeDocument/2006/relationships/hyperlink" Target="https://drive.google.com/file/d/1dR6IAb7CBj9hUeItrh73J1he4Bz3AlAf/view?usp=drivesdk" TargetMode="External"/><Relationship Id="rId246" Type="http://schemas.openxmlformats.org/officeDocument/2006/relationships/hyperlink" Target="https://lh5.googleusercontent.com/d/1AaeBpypvU24m3gltm4pbmnPqPZ1dQJzl" TargetMode="External"/><Relationship Id="rId1077" Type="http://schemas.openxmlformats.org/officeDocument/2006/relationships/hyperlink" Target="https://lh5.googleusercontent.com/d/1df7IloN3yMJJ10N5ZGBCngC_Q68yF2_V" TargetMode="External"/><Relationship Id="rId4103" Type="http://schemas.openxmlformats.org/officeDocument/2006/relationships/hyperlink" Target="https://lh5.googleusercontent.com/d/1V73eCsHniyY38NJ4IhYvtSdUHeRfgKT2" TargetMode="External"/><Relationship Id="rId5435" Type="http://schemas.openxmlformats.org/officeDocument/2006/relationships/hyperlink" Target="https://lh5.googleusercontent.com/d/1Rq7-1HEyP7yIhlzjK4o0OvOJX1HhgbYL" TargetMode="External"/><Relationship Id="rId245" Type="http://schemas.openxmlformats.org/officeDocument/2006/relationships/hyperlink" Target="https://drive.google.com/file/d/1nLzg9Q1bI2RupfFXvmwfZjOo4Djo-69u/view?usp=drivesdk" TargetMode="External"/><Relationship Id="rId1078" Type="http://schemas.openxmlformats.org/officeDocument/2006/relationships/hyperlink" Target="https://drive.google.com/file/d/1GN754vox1LmtIWADRIAC7yO_hiblgaim/view?usp=drivesdk" TargetMode="External"/><Relationship Id="rId4102" Type="http://schemas.openxmlformats.org/officeDocument/2006/relationships/hyperlink" Target="https://drive.google.com/file/d/1RgCdhSWx9mC1pkKvjcM9QM8vq0QNrT_F/view?usp=drivesdk" TargetMode="External"/><Relationship Id="rId5436" Type="http://schemas.openxmlformats.org/officeDocument/2006/relationships/hyperlink" Target="https://drive.google.com/file/d/1ZLuEBer-DpZe-hC81PBmt0OcJqO-fyqI/view?usp=drivesdk" TargetMode="External"/><Relationship Id="rId244" Type="http://schemas.openxmlformats.org/officeDocument/2006/relationships/hyperlink" Target="https://lh5.googleusercontent.com/d/1_uGq34VKPxqt0M8jNkJG1MRr9bKO7i1e" TargetMode="External"/><Relationship Id="rId1079" Type="http://schemas.openxmlformats.org/officeDocument/2006/relationships/hyperlink" Target="https://lh5.googleusercontent.com/d/1LJX120gtRCMR1K4AFOM1tI7QB6xgxfI0" TargetMode="External"/><Relationship Id="rId4105" Type="http://schemas.openxmlformats.org/officeDocument/2006/relationships/hyperlink" Target="https://lh5.googleusercontent.com/d/16JGBjtipAfpCRsC8xrDvOtURZUjlNKX-" TargetMode="External"/><Relationship Id="rId5433" Type="http://schemas.openxmlformats.org/officeDocument/2006/relationships/hyperlink" Target="https://lh5.googleusercontent.com/d/1wMVK0jnJkf9PX53wOCqdzrqUfEOWXfpW" TargetMode="External"/><Relationship Id="rId243" Type="http://schemas.openxmlformats.org/officeDocument/2006/relationships/hyperlink" Target="https://drive.google.com/file/d/1Gvqk7d8LYbUi286vw7pDv_Itl8He06xO/view?usp=drivesdk" TargetMode="External"/><Relationship Id="rId4104" Type="http://schemas.openxmlformats.org/officeDocument/2006/relationships/hyperlink" Target="https://drive.google.com/file/d/1Kq05i2uNMjClaB38OFHguRNiiboL7kWf/view?usp=drivesdk" TargetMode="External"/><Relationship Id="rId5434" Type="http://schemas.openxmlformats.org/officeDocument/2006/relationships/hyperlink" Target="https://drive.google.com/file/d/1BdPWVzkH6CaAAC1a0jftT-0QXgHyQ3W7/view?usp=drivesdk" TargetMode="External"/><Relationship Id="rId5428" Type="http://schemas.openxmlformats.org/officeDocument/2006/relationships/hyperlink" Target="https://drive.google.com/file/d/1kaw0uqhLyOExiFLYJCwDoOYLpXrSL1R2/view?usp=drivesdk" TargetMode="External"/><Relationship Id="rId5429" Type="http://schemas.openxmlformats.org/officeDocument/2006/relationships/hyperlink" Target="https://lh5.googleusercontent.com/d/1CiSi4isflCwwjHgNvAj_LXkWZO2TQGwD" TargetMode="External"/><Relationship Id="rId5426" Type="http://schemas.openxmlformats.org/officeDocument/2006/relationships/hyperlink" Target="https://drive.google.com/file/d/1izoeoEIoSQv5UxmYLy2pKX-YXghdl_1S/view?usp=drivesdk" TargetMode="External"/><Relationship Id="rId5427" Type="http://schemas.openxmlformats.org/officeDocument/2006/relationships/hyperlink" Target="https://lh5.googleusercontent.com/d/1arb7kZ5XfzMCTv6GXNmEtcbmofy-vvDc" TargetMode="External"/><Relationship Id="rId239" Type="http://schemas.openxmlformats.org/officeDocument/2006/relationships/hyperlink" Target="https://drive.google.com/file/d/1plkBc6vQgD6Zmeax1rQ4DcmBJ09OS3bP/view?usp=drivesdk" TargetMode="External"/><Relationship Id="rId238" Type="http://schemas.openxmlformats.org/officeDocument/2006/relationships/hyperlink" Target="https://lh5.googleusercontent.com/d/1qaUmt0VVBSLlFe29SUjiNBoKtlIc1Zzd" TargetMode="External"/><Relationship Id="rId237" Type="http://schemas.openxmlformats.org/officeDocument/2006/relationships/hyperlink" Target="https://drive.google.com/file/d/109SL04-w6uYuzaguYV1oTsW7Q0jWJgQL/view?usp=drivesdk" TargetMode="External"/><Relationship Id="rId236" Type="http://schemas.openxmlformats.org/officeDocument/2006/relationships/hyperlink" Target="https://lh5.googleusercontent.com/d/1jl9sgoYDDnJSjSTZvSBWXXr3RL2st578" TargetMode="External"/><Relationship Id="rId2390" Type="http://schemas.openxmlformats.org/officeDocument/2006/relationships/hyperlink" Target="https://drive.google.com/file/d/14mu88IceMNovzRYw4ag6VzMMIxqUl36W/view?usp=drivesdk" TargetMode="External"/><Relationship Id="rId1060" Type="http://schemas.openxmlformats.org/officeDocument/2006/relationships/hyperlink" Target="https://lh5.googleusercontent.com/d/1FyWZ7-srPBvFoIy--VXiSMyqVbLNoe1d" TargetMode="External"/><Relationship Id="rId2391" Type="http://schemas.openxmlformats.org/officeDocument/2006/relationships/hyperlink" Target="https://lh5.googleusercontent.com/d/1cr4QYR9lfNF2-tRdEyoMaH0TgBoSDKiI" TargetMode="External"/><Relationship Id="rId1061" Type="http://schemas.openxmlformats.org/officeDocument/2006/relationships/hyperlink" Target="https://drive.google.com/file/d/1mUACHonNeLiX5aPpON7sGkW346G0p0QG/view?usp=drivesdk" TargetMode="External"/><Relationship Id="rId2392" Type="http://schemas.openxmlformats.org/officeDocument/2006/relationships/hyperlink" Target="https://lh5.googleusercontent.com/d/1NNLtKjchLWuihRp0sh5IhBs8cK9cx6G1" TargetMode="External"/><Relationship Id="rId231" Type="http://schemas.openxmlformats.org/officeDocument/2006/relationships/hyperlink" Target="https://drive.google.com/file/d/1zj9bjURn8JhLMzOp1CQ_nrtnW4fCGlm6/view?usp=drivesdk" TargetMode="External"/><Relationship Id="rId1062" Type="http://schemas.openxmlformats.org/officeDocument/2006/relationships/hyperlink" Target="https://lh5.googleusercontent.com/d/1dM7caV8pQz0sipWGUPu9WCvlgY5ZeWvX" TargetMode="External"/><Relationship Id="rId2393" Type="http://schemas.openxmlformats.org/officeDocument/2006/relationships/hyperlink" Target="https://drive.google.com/file/d/1KfIAZtxxFFmZlH5YNeNwVD0QT8HGRyyJ/view?usp=drivesdk" TargetMode="External"/><Relationship Id="rId5420" Type="http://schemas.openxmlformats.org/officeDocument/2006/relationships/hyperlink" Target="https://drive.google.com/file/d/1tBH5dftsQS7OcoKsfKWJz_vWfbf0PDTF/view?usp=drivesdk" TargetMode="External"/><Relationship Id="rId230" Type="http://schemas.openxmlformats.org/officeDocument/2006/relationships/hyperlink" Target="https://lh5.googleusercontent.com/d/1TN6K1_XYHUd98jRjP_JhEa_A8iaZsURE" TargetMode="External"/><Relationship Id="rId1063" Type="http://schemas.openxmlformats.org/officeDocument/2006/relationships/hyperlink" Target="https://drive.google.com/file/d/1V9tH12n2dkGUPNwNI1n08sXmW5o2XBQa/view?usp=drivesdk" TargetMode="External"/><Relationship Id="rId2394" Type="http://schemas.openxmlformats.org/officeDocument/2006/relationships/hyperlink" Target="https://lh5.googleusercontent.com/d/1a6gd_Gm_Od08HmRurDZEUpzPZ-w2a5rH" TargetMode="External"/><Relationship Id="rId5421" Type="http://schemas.openxmlformats.org/officeDocument/2006/relationships/hyperlink" Target="https://lh5.googleusercontent.com/d/1CHUs8wgjWrW-Ph1myI13OSk87Q3X5gwt" TargetMode="External"/><Relationship Id="rId1064" Type="http://schemas.openxmlformats.org/officeDocument/2006/relationships/hyperlink" Target="https://lh5.googleusercontent.com/d/1vPPwWaeEwKhAcM2iYms7okSOiD3NMMhA" TargetMode="External"/><Relationship Id="rId2395" Type="http://schemas.openxmlformats.org/officeDocument/2006/relationships/hyperlink" Target="https://drive.google.com/file/d/1C5M7zIDBGFS3e374eKJW_HAabhVPdr1H/view?usp=drivesdk" TargetMode="External"/><Relationship Id="rId1065" Type="http://schemas.openxmlformats.org/officeDocument/2006/relationships/hyperlink" Target="https://drive.google.com/file/d/1Vna4sMQd4xn5mNCD2pMt2ykEVPp5ZMbc/view?usp=drivesdk" TargetMode="External"/><Relationship Id="rId2396" Type="http://schemas.openxmlformats.org/officeDocument/2006/relationships/hyperlink" Target="https://lh5.googleusercontent.com/d/1zN9JE-nlVIfho3Psixj_zsnn3mqyiKQR" TargetMode="External"/><Relationship Id="rId235" Type="http://schemas.openxmlformats.org/officeDocument/2006/relationships/hyperlink" Target="https://drive.google.com/file/d/1DhN7pEhH-YVw6cnnt5INjdUHLmyVNbpj/view?usp=drivesdk" TargetMode="External"/><Relationship Id="rId1066" Type="http://schemas.openxmlformats.org/officeDocument/2006/relationships/hyperlink" Target="https://lh5.googleusercontent.com/d/1Plxo_NlOxjoZcJMkyQMOYjoLr7RhCrS5" TargetMode="External"/><Relationship Id="rId2397" Type="http://schemas.openxmlformats.org/officeDocument/2006/relationships/hyperlink" Target="https://drive.google.com/file/d/1RYqq3QfCh0D9Jaq2wHyWks1_tz0PBy02/view?usp=drivesdk" TargetMode="External"/><Relationship Id="rId5424" Type="http://schemas.openxmlformats.org/officeDocument/2006/relationships/hyperlink" Target="https://drive.google.com/file/d/1wL2XDWEeEiW55K4lSklFt1l2z9fPsIGt/view?usp=drivesdk" TargetMode="External"/><Relationship Id="rId234" Type="http://schemas.openxmlformats.org/officeDocument/2006/relationships/hyperlink" Target="https://lh5.googleusercontent.com/d/11zT66xuvQ9a7_GsEGW-ENiaGTkqPk2Gt" TargetMode="External"/><Relationship Id="rId1067" Type="http://schemas.openxmlformats.org/officeDocument/2006/relationships/hyperlink" Target="https://drive.google.com/file/d/10qifHhROCtjkqzKu4HsaPPIP0n44luLU/view?usp=drivesdk" TargetMode="External"/><Relationship Id="rId2398" Type="http://schemas.openxmlformats.org/officeDocument/2006/relationships/hyperlink" Target="https://lh5.googleusercontent.com/d/15lx11neY3heUsPCNoAVAcU9X85qOsbQK" TargetMode="External"/><Relationship Id="rId5425" Type="http://schemas.openxmlformats.org/officeDocument/2006/relationships/hyperlink" Target="https://lh5.googleusercontent.com/d/1yyIXoaRsDAuA7eo0PPNag_FTLX_oZK4p" TargetMode="External"/><Relationship Id="rId233" Type="http://schemas.openxmlformats.org/officeDocument/2006/relationships/hyperlink" Target="https://drive.google.com/file/d/1N9ylHNIUON31jBOs_D65Jcc6-T0N1AR8/view?usp=drivesdk" TargetMode="External"/><Relationship Id="rId1068" Type="http://schemas.openxmlformats.org/officeDocument/2006/relationships/hyperlink" Target="https://lh5.googleusercontent.com/d/1E7RYRbzYcWHeSXI4l8uezGKuHxiGAB8T" TargetMode="External"/><Relationship Id="rId2399" Type="http://schemas.openxmlformats.org/officeDocument/2006/relationships/hyperlink" Target="https://drive.google.com/file/d/1KDZ4OY-FBAYE3o0u63GhUhS-Y4ViZNgp/view?usp=drivesdk" TargetMode="External"/><Relationship Id="rId5422" Type="http://schemas.openxmlformats.org/officeDocument/2006/relationships/hyperlink" Target="https://drive.google.com/file/d/1ouqO-3Mq55QsBsFmwB9w2NCJmFrqp_TZ/view?usp=drivesdk" TargetMode="External"/><Relationship Id="rId232" Type="http://schemas.openxmlformats.org/officeDocument/2006/relationships/hyperlink" Target="https://lh5.googleusercontent.com/d/1zkFsSiySfXhJHAXLTFMLP4CQalXNmK6p" TargetMode="External"/><Relationship Id="rId1069" Type="http://schemas.openxmlformats.org/officeDocument/2006/relationships/hyperlink" Target="https://drive.google.com/file/d/10iDnYbR8Y01hEZ8DZCjgz2QovAgIZof1/view?usp=drivesdk" TargetMode="External"/><Relationship Id="rId5423" Type="http://schemas.openxmlformats.org/officeDocument/2006/relationships/hyperlink" Target="https://lh5.googleusercontent.com/d/1u_6huERRaqCxN1fUcDErjuZODbJEp6np" TargetMode="External"/><Relationship Id="rId1015" Type="http://schemas.openxmlformats.org/officeDocument/2006/relationships/hyperlink" Target="https://drive.google.com/file/d/1eKgf40TLe0BPJOWasu968urBU2lRAx3e/view?usp=drivesdk" TargetMode="External"/><Relationship Id="rId2346" Type="http://schemas.openxmlformats.org/officeDocument/2006/relationships/hyperlink" Target="https://lh5.googleusercontent.com/d/1zMV6P7NhDkYUOXHMi51nmVBKCQckny0O" TargetMode="External"/><Relationship Id="rId3678" Type="http://schemas.openxmlformats.org/officeDocument/2006/relationships/hyperlink" Target="https://drive.google.com/file/d/1Kwgsf79wwO_X3-nxdidiTvWl1SqAyshg/view?usp=drivesdk" TargetMode="External"/><Relationship Id="rId1016" Type="http://schemas.openxmlformats.org/officeDocument/2006/relationships/hyperlink" Target="https://lh5.googleusercontent.com/d/1JljuT7vrDxgqlyABh_Ea1cw8UVBtP8qu" TargetMode="External"/><Relationship Id="rId2347" Type="http://schemas.openxmlformats.org/officeDocument/2006/relationships/hyperlink" Target="https://drive.google.com/file/d/1XXVtZelHttw-IiD5DFe5RwsG_eWy4K6d/view?usp=drivesdk" TargetMode="External"/><Relationship Id="rId3677" Type="http://schemas.openxmlformats.org/officeDocument/2006/relationships/hyperlink" Target="https://lh5.googleusercontent.com/d/1OoV5z2bpg4ZeK6oa0VIXEIEjBXaMICpO" TargetMode="External"/><Relationship Id="rId1017" Type="http://schemas.openxmlformats.org/officeDocument/2006/relationships/hyperlink" Target="https://drive.google.com/file/d/1D_jgPiGWAAvJgTl_HPK3UdEPCUTYv8oo/view?usp=drivesdk" TargetMode="External"/><Relationship Id="rId2348" Type="http://schemas.openxmlformats.org/officeDocument/2006/relationships/hyperlink" Target="https://lh5.googleusercontent.com/d/1lo1Dta7pUIHrXtyrwoeZECXPynazejX2" TargetMode="External"/><Relationship Id="rId1018" Type="http://schemas.openxmlformats.org/officeDocument/2006/relationships/hyperlink" Target="https://lh5.googleusercontent.com/d/1Amssjz0ol6Z93hk08-xfldY-IgHDXf6Q" TargetMode="External"/><Relationship Id="rId2349" Type="http://schemas.openxmlformats.org/officeDocument/2006/relationships/hyperlink" Target="https://drive.google.com/file/d/149JwWnurV9l78OVL0o5PPdy8w4TUclMC/view?usp=drivesdk" TargetMode="External"/><Relationship Id="rId3679" Type="http://schemas.openxmlformats.org/officeDocument/2006/relationships/hyperlink" Target="https://lh5.googleusercontent.com/d/1dPSpbStqxu_r04oDTChS1_6H8n5YxIzc" TargetMode="External"/><Relationship Id="rId1019" Type="http://schemas.openxmlformats.org/officeDocument/2006/relationships/hyperlink" Target="https://drive.google.com/file/d/16fzXVtDdk3TLG93X9g02WH4YMDY_anTb/view?usp=drivesdk" TargetMode="External"/><Relationship Id="rId3670" Type="http://schemas.openxmlformats.org/officeDocument/2006/relationships/hyperlink" Target="https://drive.google.com/file/d/1C9cOWd8nsB2B-MIrRQpsXX08ddx0fEzj/view?usp=drivesdk" TargetMode="External"/><Relationship Id="rId2340" Type="http://schemas.openxmlformats.org/officeDocument/2006/relationships/hyperlink" Target="https://lh5.googleusercontent.com/d/1u8w439Ly98_49nS5NzXOebffA4pKp77i" TargetMode="External"/><Relationship Id="rId3672" Type="http://schemas.openxmlformats.org/officeDocument/2006/relationships/hyperlink" Target="https://drive.google.com/file/d/1IiL0-UhJxd_YORoYfs2687Yu9Dmc7Gr5/view?usp=drivesdk" TargetMode="External"/><Relationship Id="rId1010" Type="http://schemas.openxmlformats.org/officeDocument/2006/relationships/hyperlink" Target="https://lh5.googleusercontent.com/d/1vKAla8P2_1y590xueVzdtK9h7qyODldS" TargetMode="External"/><Relationship Id="rId2341" Type="http://schemas.openxmlformats.org/officeDocument/2006/relationships/hyperlink" Target="https://drive.google.com/file/d/1J9Y5jWTYvff97lb6QNKCoAHpp4U3AGO_/view?usp=drivesdk" TargetMode="External"/><Relationship Id="rId3671" Type="http://schemas.openxmlformats.org/officeDocument/2006/relationships/hyperlink" Target="https://lh5.googleusercontent.com/d/1cnrERN9NXvLyRpU9WkvWu640o4pwgHQp" TargetMode="External"/><Relationship Id="rId1011" Type="http://schemas.openxmlformats.org/officeDocument/2006/relationships/hyperlink" Target="https://drive.google.com/file/d/1TSDTYmC9HTlGZCr-BX_54SuEoAcWxa_M/view?usp=drivesdk" TargetMode="External"/><Relationship Id="rId2342" Type="http://schemas.openxmlformats.org/officeDocument/2006/relationships/hyperlink" Target="https://lh5.googleusercontent.com/d/1Tc1XEPqB-2pUvt2rY4Atm9vvWdwim4j7" TargetMode="External"/><Relationship Id="rId3674" Type="http://schemas.openxmlformats.org/officeDocument/2006/relationships/hyperlink" Target="https://drive.google.com/file/d/1-Wpb3PoQ5FIwaDMii1dsECoVokUxzAJU/view?usp=drivesdk" TargetMode="External"/><Relationship Id="rId1012" Type="http://schemas.openxmlformats.org/officeDocument/2006/relationships/hyperlink" Target="https://lh5.googleusercontent.com/d/1dfLj-I-RrrYTEVDAFBRGfJZxLbD_iRSl" TargetMode="External"/><Relationship Id="rId2343" Type="http://schemas.openxmlformats.org/officeDocument/2006/relationships/hyperlink" Target="https://drive.google.com/file/d/1bQWTIb-2OUsGmWFtokIXqbdqm0Tzu5M1/view?usp=drivesdk" TargetMode="External"/><Relationship Id="rId3673" Type="http://schemas.openxmlformats.org/officeDocument/2006/relationships/hyperlink" Target="https://lh5.googleusercontent.com/d/1HvSQmbeASkaYgT9jIsNShHp2EzHV374r" TargetMode="External"/><Relationship Id="rId1013" Type="http://schemas.openxmlformats.org/officeDocument/2006/relationships/hyperlink" Target="https://drive.google.com/file/d/1VNMp-I_lK-c7USEu0kSpg1pWDKddAhh5/view?usp=drivesdk" TargetMode="External"/><Relationship Id="rId2344" Type="http://schemas.openxmlformats.org/officeDocument/2006/relationships/hyperlink" Target="https://lh5.googleusercontent.com/d/1AaXQhFlJb1JWVtoXU0yoeIPLSAldKGis" TargetMode="External"/><Relationship Id="rId3676" Type="http://schemas.openxmlformats.org/officeDocument/2006/relationships/hyperlink" Target="https://drive.google.com/file/d/1TOgXpPsX_uw7X6ttOGSbZloP9cYtRGSB/view?usp=drivesdk" TargetMode="External"/><Relationship Id="rId1014" Type="http://schemas.openxmlformats.org/officeDocument/2006/relationships/hyperlink" Target="https://lh5.googleusercontent.com/d/1eZquCjJ-hy_RvSzHRsQf7FWarksIuRrW" TargetMode="External"/><Relationship Id="rId2345" Type="http://schemas.openxmlformats.org/officeDocument/2006/relationships/hyperlink" Target="https://drive.google.com/file/d/1L89fwlx_LG7EY8eOAJuIPbEQyuiVxX4N/view?usp=drivesdk" TargetMode="External"/><Relationship Id="rId3675" Type="http://schemas.openxmlformats.org/officeDocument/2006/relationships/hyperlink" Target="https://lh5.googleusercontent.com/d/1bo2l5Vem9X5M6oU06ecLuT2R7urBibPn" TargetMode="External"/><Relationship Id="rId1004" Type="http://schemas.openxmlformats.org/officeDocument/2006/relationships/hyperlink" Target="https://drive.google.com/file/d/1Uwjh048yEr1XHVUY2fQyMV49_Nnvu5qg/view?usp=drivesdk" TargetMode="External"/><Relationship Id="rId2335" Type="http://schemas.openxmlformats.org/officeDocument/2006/relationships/hyperlink" Target="https://lh5.googleusercontent.com/d/1Mf4ohmYuPgivD7n03FigAd-pny14Y4SM" TargetMode="External"/><Relationship Id="rId3667" Type="http://schemas.openxmlformats.org/officeDocument/2006/relationships/hyperlink" Target="https://lh5.googleusercontent.com/d/1xnTNw0vgcvXR8ehYD7usDh6Ro8PrB-B2" TargetMode="External"/><Relationship Id="rId4998" Type="http://schemas.openxmlformats.org/officeDocument/2006/relationships/hyperlink" Target="https://lh5.googleusercontent.com/d/1LFEnYfaRkViYyNtcgtkJBYgR92k7eMhZ" TargetMode="External"/><Relationship Id="rId1005" Type="http://schemas.openxmlformats.org/officeDocument/2006/relationships/hyperlink" Target="https://lh5.googleusercontent.com/d/1ZzVYzs789r_UtsdVOCGLS4b6KkIwL76J" TargetMode="External"/><Relationship Id="rId2336" Type="http://schemas.openxmlformats.org/officeDocument/2006/relationships/hyperlink" Target="https://lh5.googleusercontent.com/d/1k9WhfBIsLZEkEQZQJQKC-cd98iGCYsSl" TargetMode="External"/><Relationship Id="rId3666" Type="http://schemas.openxmlformats.org/officeDocument/2006/relationships/hyperlink" Target="https://drive.google.com/file/d/1_uOmcrXO_oejslrnCOCeEp-eAJrfeRQF/view?usp=drivesdk" TargetMode="External"/><Relationship Id="rId4997" Type="http://schemas.openxmlformats.org/officeDocument/2006/relationships/hyperlink" Target="https://drive.google.com/file/d/1HzfF3E5H-EuEh7FOLp_dVSUui4EybXln/view?usp=drivesdk" TargetMode="External"/><Relationship Id="rId1006" Type="http://schemas.openxmlformats.org/officeDocument/2006/relationships/hyperlink" Target="https://drive.google.com/file/d/1UkGaws8dOCWVzK8fOkYQSUo2pDMJnrwf/view?usp=drivesdk" TargetMode="External"/><Relationship Id="rId2337" Type="http://schemas.openxmlformats.org/officeDocument/2006/relationships/hyperlink" Target="https://drive.google.com/file/d/19xPqBrGlHX52SbuaiVe2HpR45OnX9HEs/view?usp=drivesdk" TargetMode="External"/><Relationship Id="rId3669" Type="http://schemas.openxmlformats.org/officeDocument/2006/relationships/hyperlink" Target="https://lh5.googleusercontent.com/d/14RZMbFPThBDkG3e1q2nLGhh11UNGEXca" TargetMode="External"/><Relationship Id="rId1007" Type="http://schemas.openxmlformats.org/officeDocument/2006/relationships/hyperlink" Target="https://lh5.googleusercontent.com/d/12Bl_KI155m3rX38hBBCvwmxnQlOQeJ1u" TargetMode="External"/><Relationship Id="rId2338" Type="http://schemas.openxmlformats.org/officeDocument/2006/relationships/hyperlink" Target="https://lh5.googleusercontent.com/d/1lkt_7YMtuVARmrR2tSJZN8zguqw9rD3c" TargetMode="External"/><Relationship Id="rId3668" Type="http://schemas.openxmlformats.org/officeDocument/2006/relationships/hyperlink" Target="https://drive.google.com/file/d/1huA9jEDLRDO7lZaYQ0cIJotDFDcPDACS/view?usp=drivesdk" TargetMode="External"/><Relationship Id="rId4999" Type="http://schemas.openxmlformats.org/officeDocument/2006/relationships/hyperlink" Target="https://drive.google.com/file/d/1A-q7SoVRA6gZpAoa4ZTW0gXYoOFrv_kL/view?usp=drivesdk" TargetMode="External"/><Relationship Id="rId1008" Type="http://schemas.openxmlformats.org/officeDocument/2006/relationships/hyperlink" Target="https://lh5.googleusercontent.com/d/1J249vehdxxmwxGtUoQMg91MhZxA0IaKb" TargetMode="External"/><Relationship Id="rId2339" Type="http://schemas.openxmlformats.org/officeDocument/2006/relationships/hyperlink" Target="https://drive.google.com/file/d/1eSR-60_Q3AKN_s2k4QXJcTm_o7YewcwM/view?usp=drivesdk" TargetMode="External"/><Relationship Id="rId1009" Type="http://schemas.openxmlformats.org/officeDocument/2006/relationships/hyperlink" Target="https://drive.google.com/file/d/16TQ4wztodjZbOehNIdquXY5vRu5IcaKp/view?usp=drivesdk" TargetMode="External"/><Relationship Id="rId4990" Type="http://schemas.openxmlformats.org/officeDocument/2006/relationships/hyperlink" Target="https://lh5.googleusercontent.com/d/1d4bc2I-hUHRIA2vDw_FpX5HHn1DPSFT1" TargetMode="External"/><Relationship Id="rId3661" Type="http://schemas.openxmlformats.org/officeDocument/2006/relationships/hyperlink" Target="https://lh5.googleusercontent.com/d/1wHs44O5-xHbM2xKuN9Iu48RsmXIHUraa" TargetMode="External"/><Relationship Id="rId4992" Type="http://schemas.openxmlformats.org/officeDocument/2006/relationships/hyperlink" Target="https://lh5.googleusercontent.com/d/1ycDMNqoL_lA0sVF41LCwWD0VJIRuxjM9" TargetMode="External"/><Relationship Id="rId2330" Type="http://schemas.openxmlformats.org/officeDocument/2006/relationships/hyperlink" Target="https://drive.google.com/file/d/1nh9zuh0ayolAiZiwzcgTLnEzGH4bS8q-/view?usp=drivesdk" TargetMode="External"/><Relationship Id="rId3660" Type="http://schemas.openxmlformats.org/officeDocument/2006/relationships/hyperlink" Target="https://drive.google.com/file/d/1P4x4tQuVX86Oq4uF7WVdK0kpqH8HRZPE/view?usp=drivesdk" TargetMode="External"/><Relationship Id="rId4991" Type="http://schemas.openxmlformats.org/officeDocument/2006/relationships/hyperlink" Target="https://drive.google.com/file/d/1SrmzxBeC98sLYSx4c4nSjBd1_tfucLoj/view?usp=drivesdk" TargetMode="External"/><Relationship Id="rId1000" Type="http://schemas.openxmlformats.org/officeDocument/2006/relationships/hyperlink" Target="https://drive.google.com/file/d/14OrvdJ7BEeaTxLT9PUNu9SNvi1XoSBMM/view?usp=drivesdk" TargetMode="External"/><Relationship Id="rId2331" Type="http://schemas.openxmlformats.org/officeDocument/2006/relationships/hyperlink" Target="https://lh5.googleusercontent.com/d/1twL9zUrxzW5a3OkTHdcubnI9LVL6zb1_" TargetMode="External"/><Relationship Id="rId3663" Type="http://schemas.openxmlformats.org/officeDocument/2006/relationships/hyperlink" Target="https://lh5.googleusercontent.com/d/10ByQkQ3Ak-0q0hE-kvrxVJ8ZgsK0EBCF" TargetMode="External"/><Relationship Id="rId4994" Type="http://schemas.openxmlformats.org/officeDocument/2006/relationships/hyperlink" Target="https://lh5.googleusercontent.com/d/1JfZRarC2Z0cpL7xLxOMLy8T1cxYmd5Lr" TargetMode="External"/><Relationship Id="rId1001" Type="http://schemas.openxmlformats.org/officeDocument/2006/relationships/hyperlink" Target="https://lh5.googleusercontent.com/d/1Fb3AnquxieFF41B3M9DHX9RX5o2gXSKb" TargetMode="External"/><Relationship Id="rId2332" Type="http://schemas.openxmlformats.org/officeDocument/2006/relationships/hyperlink" Target="https://drive.google.com/file/d/11KZLu2lMm_g4-Rs2suSjL5UjRl-HyHSi/view?usp=drivesdk" TargetMode="External"/><Relationship Id="rId3662" Type="http://schemas.openxmlformats.org/officeDocument/2006/relationships/hyperlink" Target="https://drive.google.com/file/d/1KXwTxdmJ9f_mskLzd0d-NmDegXTFPCEB/view?usp=drivesdk" TargetMode="External"/><Relationship Id="rId4993" Type="http://schemas.openxmlformats.org/officeDocument/2006/relationships/hyperlink" Target="https://drive.google.com/file/d/12drPzuuqRdRZ60-KcDpPL2GkhXwdZs9F/view?usp=drivesdk" TargetMode="External"/><Relationship Id="rId1002" Type="http://schemas.openxmlformats.org/officeDocument/2006/relationships/hyperlink" Target="https://drive.google.com/file/d/16NDr5SPt6Oqv7mlOPiu0wopbN7kjf8Pt/view?usp=drivesdk" TargetMode="External"/><Relationship Id="rId2333" Type="http://schemas.openxmlformats.org/officeDocument/2006/relationships/hyperlink" Target="https://lh5.googleusercontent.com/d/1hOPSLVxe7Q0Sb3-S5aODwwcaDdPSr84d" TargetMode="External"/><Relationship Id="rId3665" Type="http://schemas.openxmlformats.org/officeDocument/2006/relationships/hyperlink" Target="https://lh5.googleusercontent.com/d/1yzPz0ajR6SpC0uB4tF_t9qRtQrADAaM_" TargetMode="External"/><Relationship Id="rId4996" Type="http://schemas.openxmlformats.org/officeDocument/2006/relationships/hyperlink" Target="https://lh5.googleusercontent.com/d/1izceB2xAQLJaxHY4hYQlTlGUSntCQZMN" TargetMode="External"/><Relationship Id="rId1003" Type="http://schemas.openxmlformats.org/officeDocument/2006/relationships/hyperlink" Target="https://lh5.googleusercontent.com/d/1RmspRPAd7WGRZnajAryYfChSChOhBWam" TargetMode="External"/><Relationship Id="rId2334" Type="http://schemas.openxmlformats.org/officeDocument/2006/relationships/hyperlink" Target="https://drive.google.com/file/d/1yND17BCSjf3ALMLL_ElmcBRRWSqs0kyw/view?usp=drivesdk" TargetMode="External"/><Relationship Id="rId3664" Type="http://schemas.openxmlformats.org/officeDocument/2006/relationships/hyperlink" Target="https://drive.google.com/file/d/1uY_-d37GXO1HxPbmETL_kJL76HHFQUM_/view?usp=drivesdk" TargetMode="External"/><Relationship Id="rId4995" Type="http://schemas.openxmlformats.org/officeDocument/2006/relationships/hyperlink" Target="https://drive.google.com/file/d/1JjH8EzAhDaTjvMEWtPkKmVDl5gz8iide/view?usp=drivesdk" TargetMode="External"/><Relationship Id="rId1037" Type="http://schemas.openxmlformats.org/officeDocument/2006/relationships/hyperlink" Target="https://drive.google.com/file/d/1tjW0OhKJvwJsD4gsPSqzMn7rkUeqgZIa/view?usp=drivesdk" TargetMode="External"/><Relationship Id="rId2368" Type="http://schemas.openxmlformats.org/officeDocument/2006/relationships/hyperlink" Target="https://drive.google.com/file/d/1hM_1TjJN3jCu_V-dczXjF4ReJCzPGJnU/view?usp=drivesdk" TargetMode="External"/><Relationship Id="rId1038" Type="http://schemas.openxmlformats.org/officeDocument/2006/relationships/hyperlink" Target="https://lh5.googleusercontent.com/d/1OODxrl7SaOgrOoe0RfR50xvuK1MYVVyw" TargetMode="External"/><Relationship Id="rId2369" Type="http://schemas.openxmlformats.org/officeDocument/2006/relationships/hyperlink" Target="https://lh5.googleusercontent.com/d/1pu9M0bMbPu7zHKhaUjqnBKSsLCrDI5w3" TargetMode="External"/><Relationship Id="rId3699" Type="http://schemas.openxmlformats.org/officeDocument/2006/relationships/hyperlink" Target="https://lh5.googleusercontent.com/d/1YhEaYSzEG_yBznlM0RIRZNnr9nEVPMgg" TargetMode="External"/><Relationship Id="rId1039" Type="http://schemas.openxmlformats.org/officeDocument/2006/relationships/hyperlink" Target="https://drive.google.com/file/d/1Udkeh1u2IQ7fRG43GIUFe7mwG6t23uGY/view?usp=drivesdk" TargetMode="External"/><Relationship Id="rId206" Type="http://schemas.openxmlformats.org/officeDocument/2006/relationships/hyperlink" Target="https://lh5.googleusercontent.com/d/1CUiD0X6GEsTIo7gJvzdm1KcZOU5pofe9" TargetMode="External"/><Relationship Id="rId205" Type="http://schemas.openxmlformats.org/officeDocument/2006/relationships/hyperlink" Target="https://drive.google.com/file/d/1l-0HXBZxwxCQ4s65WojWTkLoFWwKqdKm/view?usp=drivesdk" TargetMode="External"/><Relationship Id="rId204" Type="http://schemas.openxmlformats.org/officeDocument/2006/relationships/hyperlink" Target="https://lh5.googleusercontent.com/d/1_3aqcPVeinqjAVCsNfB3zIqHXP8qZ4Hl" TargetMode="External"/><Relationship Id="rId203" Type="http://schemas.openxmlformats.org/officeDocument/2006/relationships/hyperlink" Target="https://drive.google.com/file/d/1CaSd0Qal2dDxXB8xtf4D3CKEvOFa9LBN/view?usp=drivesdk" TargetMode="External"/><Relationship Id="rId209" Type="http://schemas.openxmlformats.org/officeDocument/2006/relationships/hyperlink" Target="https://drive.google.com/file/d/1Rml9Wa-DXmwLnJFnTEs6mROQYYpwCeN4/view?usp=drivesdk" TargetMode="External"/><Relationship Id="rId208" Type="http://schemas.openxmlformats.org/officeDocument/2006/relationships/hyperlink" Target="https://lh5.googleusercontent.com/d/1FjBdBW79qIKDG1JtIfTDkY6QmaEQqVK_" TargetMode="External"/><Relationship Id="rId3690" Type="http://schemas.openxmlformats.org/officeDocument/2006/relationships/hyperlink" Target="https://drive.google.com/file/d/1z5RAWTiNPOvZBsxeEvNaFwkWXAd-hx-z/view?usp=drivesdk" TargetMode="External"/><Relationship Id="rId207" Type="http://schemas.openxmlformats.org/officeDocument/2006/relationships/hyperlink" Target="https://drive.google.com/file/d/1kMRpD1IhfKuXqkye_LoC4zZ0ZA9Y8s84/view?usp=drivesdk" TargetMode="External"/><Relationship Id="rId2360" Type="http://schemas.openxmlformats.org/officeDocument/2006/relationships/hyperlink" Target="https://drive.google.com/file/d/1xNG3LYSrCjogAAl6B1_fHYmHf6dPjZbe/view?usp=drivesdk" TargetMode="External"/><Relationship Id="rId3692" Type="http://schemas.openxmlformats.org/officeDocument/2006/relationships/hyperlink" Target="https://drive.google.com/file/d/1yWRSCtBV5NBT9dThANc5Rf4IAqeOWVDj/view?usp=drivesdk" TargetMode="External"/><Relationship Id="rId1030" Type="http://schemas.openxmlformats.org/officeDocument/2006/relationships/hyperlink" Target="https://lh5.googleusercontent.com/d/1jPYCRWOC5_glZe1iYbd6paP3CEjvXim1" TargetMode="External"/><Relationship Id="rId2361" Type="http://schemas.openxmlformats.org/officeDocument/2006/relationships/hyperlink" Target="https://lh5.googleusercontent.com/d/1xrNT5LGUc6wECp9v27lyWEqAwcYyzki7" TargetMode="External"/><Relationship Id="rId3691" Type="http://schemas.openxmlformats.org/officeDocument/2006/relationships/hyperlink" Target="https://lh5.googleusercontent.com/d/1jpJNdFDau87rTnLPRgGFN4XfwL52Xy19" TargetMode="External"/><Relationship Id="rId1031" Type="http://schemas.openxmlformats.org/officeDocument/2006/relationships/hyperlink" Target="https://drive.google.com/file/d/1nlxjNBLxm82E1C3dF2gtLrzYR52bmuPH/view?usp=drivesdk" TargetMode="External"/><Relationship Id="rId2362" Type="http://schemas.openxmlformats.org/officeDocument/2006/relationships/hyperlink" Target="https://drive.google.com/file/d/1MBdJoX1aDe3At6M77KZeLOWLFfKlNJrS/view?usp=drivesdk" TargetMode="External"/><Relationship Id="rId3694" Type="http://schemas.openxmlformats.org/officeDocument/2006/relationships/hyperlink" Target="https://drive.google.com/file/d/1jYANO_YO0TZejbg2-H9JG23mldcXBdYD/view?usp=drivesdk" TargetMode="External"/><Relationship Id="rId1032" Type="http://schemas.openxmlformats.org/officeDocument/2006/relationships/hyperlink" Target="https://lh5.googleusercontent.com/d/1wJAKzf96KzgHfD2eJWWnuAXo0SvGB0wC" TargetMode="External"/><Relationship Id="rId2363" Type="http://schemas.openxmlformats.org/officeDocument/2006/relationships/hyperlink" Target="https://lh5.googleusercontent.com/d/1w7c9esaY07zySdVDomC4A3wtQymHMXpR" TargetMode="External"/><Relationship Id="rId3693" Type="http://schemas.openxmlformats.org/officeDocument/2006/relationships/hyperlink" Target="https://lh5.googleusercontent.com/d/1uOaVkCz_jZLVR7XXPzwALXr0s9DrFSKs" TargetMode="External"/><Relationship Id="rId202" Type="http://schemas.openxmlformats.org/officeDocument/2006/relationships/hyperlink" Target="https://lh5.googleusercontent.com/d/1YV16oS-jvU3k-8eSPD_6WsXae0xlxmap" TargetMode="External"/><Relationship Id="rId1033" Type="http://schemas.openxmlformats.org/officeDocument/2006/relationships/hyperlink" Target="https://drive.google.com/file/d/1s-m2yuxVTtdoNwtWyTB6gYwcLmUN5vp8/view?usp=drivesdk" TargetMode="External"/><Relationship Id="rId2364" Type="http://schemas.openxmlformats.org/officeDocument/2006/relationships/hyperlink" Target="https://drive.google.com/file/d/1zfut_iYxlh0mqakzmoBToc8gmr9qFENN/view?usp=drivesdk" TargetMode="External"/><Relationship Id="rId3696" Type="http://schemas.openxmlformats.org/officeDocument/2006/relationships/hyperlink" Target="https://drive.google.com/file/d/1kzkbWMkQ2toxOGHldcTdXQtcgDd19Eyq/view?usp=drivesdk" TargetMode="External"/><Relationship Id="rId201" Type="http://schemas.openxmlformats.org/officeDocument/2006/relationships/hyperlink" Target="https://drive.google.com/file/d/1Hi7HrmmbkW9swminfonNE2nmlB8k16OO/view?usp=drivesdk" TargetMode="External"/><Relationship Id="rId1034" Type="http://schemas.openxmlformats.org/officeDocument/2006/relationships/hyperlink" Target="https://lh5.googleusercontent.com/d/1gkNmst57XiHEbEwgQMwxUZRfzKIKx4hg" TargetMode="External"/><Relationship Id="rId2365" Type="http://schemas.openxmlformats.org/officeDocument/2006/relationships/hyperlink" Target="https://lh5.googleusercontent.com/d/1QNG8YJeXWGlNlUJ3p221NOFbk8Z8l3Dq" TargetMode="External"/><Relationship Id="rId3695" Type="http://schemas.openxmlformats.org/officeDocument/2006/relationships/hyperlink" Target="https://lh5.googleusercontent.com/d/17zqHcExxC33YW9SOsEWu59YKoNU8SGXK" TargetMode="External"/><Relationship Id="rId200" Type="http://schemas.openxmlformats.org/officeDocument/2006/relationships/hyperlink" Target="https://lh5.googleusercontent.com/d/1JcObjO7cCvaXXhe7cEvrHj6wEECNQSX2" TargetMode="External"/><Relationship Id="rId1035" Type="http://schemas.openxmlformats.org/officeDocument/2006/relationships/hyperlink" Target="https://drive.google.com/file/d/1zWBlcA7XW3ZSiiLzj7LwU2K8ScLWVC3c/view?usp=drivesdk" TargetMode="External"/><Relationship Id="rId2366" Type="http://schemas.openxmlformats.org/officeDocument/2006/relationships/hyperlink" Target="https://drive.google.com/file/d/1GGy3Hz4-TRNT9H132IWjmSfZbO8OWFv9/view?usp=drivesdk" TargetMode="External"/><Relationship Id="rId3698" Type="http://schemas.openxmlformats.org/officeDocument/2006/relationships/hyperlink" Target="https://drive.google.com/file/d/1y4-3_HvwVy62WnWVMBWBCuJYQuNAIIHx/view?usp=drivesdk" TargetMode="External"/><Relationship Id="rId1036" Type="http://schemas.openxmlformats.org/officeDocument/2006/relationships/hyperlink" Target="https://lh5.googleusercontent.com/d/15ZikLWqewi0XCQi-oidT_DnR8Z6lpFY1" TargetMode="External"/><Relationship Id="rId2367" Type="http://schemas.openxmlformats.org/officeDocument/2006/relationships/hyperlink" Target="https://lh5.googleusercontent.com/d/1yuRNcZqinyFXBhUekBwe2qVKwGJDvPtT" TargetMode="External"/><Relationship Id="rId3697" Type="http://schemas.openxmlformats.org/officeDocument/2006/relationships/hyperlink" Target="https://lh5.googleusercontent.com/d/17ISfzTGqPcC4LbrGXroJ5_DSNeJ1f74p" TargetMode="External"/><Relationship Id="rId1026" Type="http://schemas.openxmlformats.org/officeDocument/2006/relationships/hyperlink" Target="https://lh5.googleusercontent.com/d/1tEfe0fNbu3NI7INKkwqOpJS5VsoF_hD7" TargetMode="External"/><Relationship Id="rId2357" Type="http://schemas.openxmlformats.org/officeDocument/2006/relationships/hyperlink" Target="https://lh5.googleusercontent.com/d/1b5k366d3fnAQNEXlqa_lrenmmzhJ0CTI" TargetMode="External"/><Relationship Id="rId3689" Type="http://schemas.openxmlformats.org/officeDocument/2006/relationships/hyperlink" Target="https://lh5.googleusercontent.com/d/1EuZ6IyBGPqSiakozwu5Nh0xqZosbRxCK" TargetMode="External"/><Relationship Id="rId1027" Type="http://schemas.openxmlformats.org/officeDocument/2006/relationships/hyperlink" Target="https://drive.google.com/file/d/1ybGZkLIb-nF3TxZ19biociasamVBgU9x/view?usp=drivesdk" TargetMode="External"/><Relationship Id="rId2358" Type="http://schemas.openxmlformats.org/officeDocument/2006/relationships/hyperlink" Target="https://drive.google.com/file/d/1l1wHyVP8GuXzECU3v5Ey7mte6m0E8Nms/view?usp=drivesdk" TargetMode="External"/><Relationship Id="rId3688" Type="http://schemas.openxmlformats.org/officeDocument/2006/relationships/hyperlink" Target="https://drive.google.com/file/d/1USXgJBrItlkXHL6EtnyOI0aTGNJY62pu/view?usp=drivesdk" TargetMode="External"/><Relationship Id="rId1028" Type="http://schemas.openxmlformats.org/officeDocument/2006/relationships/hyperlink" Target="https://lh5.googleusercontent.com/d/1VWKWHPfpIIDeIxxHtCkOlALHjlcF1-tg" TargetMode="External"/><Relationship Id="rId2359" Type="http://schemas.openxmlformats.org/officeDocument/2006/relationships/hyperlink" Target="https://lh5.googleusercontent.com/d/1HZzQ_9WjKMmKWU-aJNazDUNsdn6K4nGz" TargetMode="External"/><Relationship Id="rId1029" Type="http://schemas.openxmlformats.org/officeDocument/2006/relationships/hyperlink" Target="https://drive.google.com/file/d/1B-soZzESpcpPbKhU-_0xJu1ofAfxDcf-/view?usp=drivesdk" TargetMode="External"/><Relationship Id="rId3681" Type="http://schemas.openxmlformats.org/officeDocument/2006/relationships/hyperlink" Target="https://lh5.googleusercontent.com/d/1Wlmj29okGpVIsLt8mik5YBWthhrI-ByI" TargetMode="External"/><Relationship Id="rId2350" Type="http://schemas.openxmlformats.org/officeDocument/2006/relationships/hyperlink" Target="https://lh5.googleusercontent.com/d/1uKQUUJ-c4k436kzZj72-eGjTZek51Tg2" TargetMode="External"/><Relationship Id="rId3680" Type="http://schemas.openxmlformats.org/officeDocument/2006/relationships/hyperlink" Target="https://drive.google.com/file/d/1naLzNI1InC7tDj2VO6-VILq_gIgu-_C7/view?usp=drivesdk" TargetMode="External"/><Relationship Id="rId1020" Type="http://schemas.openxmlformats.org/officeDocument/2006/relationships/hyperlink" Target="https://lh5.googleusercontent.com/d/1I4f7iFbfAEEfZGP8wy-EjTGvhgeHc97i" TargetMode="External"/><Relationship Id="rId2351" Type="http://schemas.openxmlformats.org/officeDocument/2006/relationships/hyperlink" Target="https://drive.google.com/file/d/1ykU8oR-NPEzUDTWAYohCc0oiYFiU9wvp/view?usp=drivesdk" TargetMode="External"/><Relationship Id="rId3683" Type="http://schemas.openxmlformats.org/officeDocument/2006/relationships/hyperlink" Target="https://lh5.googleusercontent.com/d/1cr3jGRBeJ4P53aj0KQTxPtnxjITb2SAd" TargetMode="External"/><Relationship Id="rId1021" Type="http://schemas.openxmlformats.org/officeDocument/2006/relationships/hyperlink" Target="https://drive.google.com/file/d/1Bz4LJ1YEGRrOcPSL8nAvBDJXrDgojTTV/view?usp=drivesdk" TargetMode="External"/><Relationship Id="rId2352" Type="http://schemas.openxmlformats.org/officeDocument/2006/relationships/hyperlink" Target="https://lh5.googleusercontent.com/d/18YGzImQdxq7qj5lIquHlYZ1XRT1YfOZd" TargetMode="External"/><Relationship Id="rId3682" Type="http://schemas.openxmlformats.org/officeDocument/2006/relationships/hyperlink" Target="https://drive.google.com/file/d/1ya4gqRN9Ty9HBhlLrPqpgS4oyxCcOMFE/view?usp=drivesdk" TargetMode="External"/><Relationship Id="rId1022" Type="http://schemas.openxmlformats.org/officeDocument/2006/relationships/hyperlink" Target="https://lh5.googleusercontent.com/d/1uFdwwzMGJbCJKphGjrjUWLngFR1Gt-Vw" TargetMode="External"/><Relationship Id="rId2353" Type="http://schemas.openxmlformats.org/officeDocument/2006/relationships/hyperlink" Target="https://drive.google.com/file/d/1WkEQpbd7_l-As8gqyLBpaJlO90Hb3b3a/view?usp=drivesdk" TargetMode="External"/><Relationship Id="rId3685" Type="http://schemas.openxmlformats.org/officeDocument/2006/relationships/hyperlink" Target="https://lh5.googleusercontent.com/d/1o4hr01soXH66m66PkjlQl5nyg6xVJZi6" TargetMode="External"/><Relationship Id="rId1023" Type="http://schemas.openxmlformats.org/officeDocument/2006/relationships/hyperlink" Target="https://drive.google.com/file/d/1zV0FVX_nFggMOnQc13NSMt-_XU-lkuty/view?usp=drivesdk" TargetMode="External"/><Relationship Id="rId2354" Type="http://schemas.openxmlformats.org/officeDocument/2006/relationships/hyperlink" Target="https://lh5.googleusercontent.com/d/1FK6SbTAsbBNDoqAbABWICf_WWBWvohwa" TargetMode="External"/><Relationship Id="rId3684" Type="http://schemas.openxmlformats.org/officeDocument/2006/relationships/hyperlink" Target="https://drive.google.com/file/d/1wH2FFVhFPVfrYYGEhbwF4vI1iaCPRtLB/view?usp=drivesdk" TargetMode="External"/><Relationship Id="rId1024" Type="http://schemas.openxmlformats.org/officeDocument/2006/relationships/hyperlink" Target="https://lh5.googleusercontent.com/d/1WjRJnF66bAGME67L0Kzchb2EPN05DhsN" TargetMode="External"/><Relationship Id="rId2355" Type="http://schemas.openxmlformats.org/officeDocument/2006/relationships/hyperlink" Target="https://lh5.googleusercontent.com/d/14K0jqTyU6n8kUePlIN1U6qUWCQDVZLho" TargetMode="External"/><Relationship Id="rId3687" Type="http://schemas.openxmlformats.org/officeDocument/2006/relationships/hyperlink" Target="https://lh5.googleusercontent.com/d/1vBnMkoi5wbuU0Wq0e0bQoZQWt53C0Duj" TargetMode="External"/><Relationship Id="rId1025" Type="http://schemas.openxmlformats.org/officeDocument/2006/relationships/hyperlink" Target="https://drive.google.com/file/d/14mDFHbeBXy94_g7mKHjNgH2mkhck1EiX/view?usp=drivesdk" TargetMode="External"/><Relationship Id="rId2356" Type="http://schemas.openxmlformats.org/officeDocument/2006/relationships/hyperlink" Target="https://drive.google.com/file/d/1vHO3NwTea5dEylYhzatHr_AH0pPuQGvY/view?usp=drivesdk" TargetMode="External"/><Relationship Id="rId3686" Type="http://schemas.openxmlformats.org/officeDocument/2006/relationships/hyperlink" Target="https://drive.google.com/file/d/16PJ23trrJe3ahgZw8SUSLV45EgeGZgMK/view?usp=drivesdk" TargetMode="External"/><Relationship Id="rId5490" Type="http://schemas.openxmlformats.org/officeDocument/2006/relationships/hyperlink" Target="https://drive.google.com/file/d/13cQ8ybeurI0nxSEmMYbwLhnMSH_f6lJT/view?usp=drivesdk" TargetMode="External"/><Relationship Id="rId4161" Type="http://schemas.openxmlformats.org/officeDocument/2006/relationships/hyperlink" Target="https://lh5.googleusercontent.com/d/1Zos12RK_3Rw_NOS5RncvXZLIiu1JEmLh" TargetMode="External"/><Relationship Id="rId5493" Type="http://schemas.openxmlformats.org/officeDocument/2006/relationships/hyperlink" Target="https://lh5.googleusercontent.com/d/1Ngj6oHaRUPIgzYAYlFh9XN_Y3twZ2a_d" TargetMode="External"/><Relationship Id="rId4160" Type="http://schemas.openxmlformats.org/officeDocument/2006/relationships/hyperlink" Target="https://drive.google.com/file/d/1vuaF5O0WsCQ2ft0C6R2Ig-OYYUNbegwI/view?usp=drivesdk" TargetMode="External"/><Relationship Id="rId5494" Type="http://schemas.openxmlformats.org/officeDocument/2006/relationships/hyperlink" Target="https://drive.google.com/file/d/16TvT0wOSyoG9-zZ1W7i4euzabG0a1IFH/view?usp=drivesdk" TargetMode="External"/><Relationship Id="rId4163" Type="http://schemas.openxmlformats.org/officeDocument/2006/relationships/hyperlink" Target="https://lh5.googleusercontent.com/d/1G5ncu98oN4c9XI_WL8ScuyXt0ynHh-Xi" TargetMode="External"/><Relationship Id="rId5491" Type="http://schemas.openxmlformats.org/officeDocument/2006/relationships/hyperlink" Target="https://lh5.googleusercontent.com/d/1YJGCuZkHFZ5TDrPwwfp8zl2FGSCQp0rZ" TargetMode="External"/><Relationship Id="rId4162" Type="http://schemas.openxmlformats.org/officeDocument/2006/relationships/hyperlink" Target="https://drive.google.com/file/d/18QhkiK54vndkgCDepqG3Igj8nnEkCHi2/view?usp=drivesdk" TargetMode="External"/><Relationship Id="rId5492" Type="http://schemas.openxmlformats.org/officeDocument/2006/relationships/hyperlink" Target="https://drive.google.com/file/d/1bPc_TqzUHyWcwVgJhyw17MIaOixOPhX7/view?usp=drivesdk" TargetMode="External"/><Relationship Id="rId4165" Type="http://schemas.openxmlformats.org/officeDocument/2006/relationships/hyperlink" Target="https://lh5.googleusercontent.com/d/1-YyE3zxns5bOb9uf1_IrIhCYU6ChR58b" TargetMode="External"/><Relationship Id="rId5497" Type="http://schemas.openxmlformats.org/officeDocument/2006/relationships/hyperlink" Target="https://lh5.googleusercontent.com/d/1FT9EFdBQJo6dF3uaOGormYLjg11zmV1j" TargetMode="External"/><Relationship Id="rId4164" Type="http://schemas.openxmlformats.org/officeDocument/2006/relationships/hyperlink" Target="https://drive.google.com/file/d/1KYowGAxMWDXFwUvRf-kC94Y87fz6y7Ce/view?usp=drivesdk" TargetMode="External"/><Relationship Id="rId5498" Type="http://schemas.openxmlformats.org/officeDocument/2006/relationships/hyperlink" Target="https://drive.google.com/file/d/1sj1ZLybk5VRD6CkzIV1MQL5tS6FtLL6y/view?usp=drivesdk" TargetMode="External"/><Relationship Id="rId4167" Type="http://schemas.openxmlformats.org/officeDocument/2006/relationships/hyperlink" Target="https://lh5.googleusercontent.com/d/1pgtXiMPYOVOS4LEZQY0MvOglXpdV-92f" TargetMode="External"/><Relationship Id="rId5495" Type="http://schemas.openxmlformats.org/officeDocument/2006/relationships/hyperlink" Target="https://lh5.googleusercontent.com/d/13-XCoFajQOiqkxOb5MtjNVSsXbTI39SW" TargetMode="External"/><Relationship Id="rId4166" Type="http://schemas.openxmlformats.org/officeDocument/2006/relationships/hyperlink" Target="https://drive.google.com/file/d/1ACd2uUp2Zmr16WsTF6rhuI6eOQxxoe7l/view?usp=drivesdk" TargetMode="External"/><Relationship Id="rId5496" Type="http://schemas.openxmlformats.org/officeDocument/2006/relationships/hyperlink" Target="https://drive.google.com/file/d/1MCU1qI7XcEqkNIAKtqIO3U_IvE3sp9SZ/view?usp=drivesdk" TargetMode="External"/><Relationship Id="rId4169" Type="http://schemas.openxmlformats.org/officeDocument/2006/relationships/hyperlink" Target="https://lh5.googleusercontent.com/d/1Bt26tyh-KrQmrOHNk9GMUcorP5lOtkPa" TargetMode="External"/><Relationship Id="rId4168" Type="http://schemas.openxmlformats.org/officeDocument/2006/relationships/hyperlink" Target="https://drive.google.com/file/d/1iUTMug6lLELg5QPeWydH8wtGt-AeCala/view?usp=drivesdk" TargetMode="External"/><Relationship Id="rId5499" Type="http://schemas.openxmlformats.org/officeDocument/2006/relationships/hyperlink" Target="https://lh5.googleusercontent.com/d/19b3CGoIwyEG3Ll5fPITkvAEDBADQ5S2F" TargetMode="External"/><Relationship Id="rId4150" Type="http://schemas.openxmlformats.org/officeDocument/2006/relationships/hyperlink" Target="https://drive.google.com/file/d/1BUrF9zBpo9oaJbRwK7kKRz-uPzpykOZW/view?usp=drivesdk" TargetMode="External"/><Relationship Id="rId5482" Type="http://schemas.openxmlformats.org/officeDocument/2006/relationships/hyperlink" Target="https://drive.google.com/file/d/14C3HCqtQ4j-4rt32KJkD-MnM-xylZCEd/view?usp=drivesdk" TargetMode="External"/><Relationship Id="rId5483" Type="http://schemas.openxmlformats.org/officeDocument/2006/relationships/hyperlink" Target="https://lh5.googleusercontent.com/d/1D5JzRdlVjlzI1jPs-ZCsgXAM3FFG5HE9" TargetMode="External"/><Relationship Id="rId4152" Type="http://schemas.openxmlformats.org/officeDocument/2006/relationships/hyperlink" Target="https://drive.google.com/file/d/13m5aGr-RbPqCIBPD0uOTJ4oLlvaRZ8Oh/view?usp=drivesdk" TargetMode="External"/><Relationship Id="rId5480" Type="http://schemas.openxmlformats.org/officeDocument/2006/relationships/hyperlink" Target="https://drive.google.com/file/d/1v6Fe4jjQ98nreUSDz_Sv8fhf-qPE9Cvj/view?usp=drivesdk" TargetMode="External"/><Relationship Id="rId4151" Type="http://schemas.openxmlformats.org/officeDocument/2006/relationships/hyperlink" Target="https://lh5.googleusercontent.com/d/19WM_Pa4VFfuUvCHra16rAGr-k0vjEQxB" TargetMode="External"/><Relationship Id="rId5481" Type="http://schemas.openxmlformats.org/officeDocument/2006/relationships/hyperlink" Target="https://lh5.googleusercontent.com/d/1NpNgBNMJHZpW9_uaWTwDat_Q4GgY3Zek" TargetMode="External"/><Relationship Id="rId4154" Type="http://schemas.openxmlformats.org/officeDocument/2006/relationships/hyperlink" Target="https://drive.google.com/file/d/1gNnDknQkROYkqPCO4yw5aW2cfPeaKVL5/view?usp=drivesdk" TargetMode="External"/><Relationship Id="rId5486" Type="http://schemas.openxmlformats.org/officeDocument/2006/relationships/hyperlink" Target="https://drive.google.com/file/d/1lWzkxGeU5aEkkDDpf8pgzNulzpx13pM3/view?usp=drivesdk" TargetMode="External"/><Relationship Id="rId4153" Type="http://schemas.openxmlformats.org/officeDocument/2006/relationships/hyperlink" Target="https://lh5.googleusercontent.com/d/1iQ8hioj3MUMEOPGIvAmfrjNMEH1s4B9s" TargetMode="External"/><Relationship Id="rId5487" Type="http://schemas.openxmlformats.org/officeDocument/2006/relationships/hyperlink" Target="https://lh5.googleusercontent.com/d/17QgpKDm3dHXgC5YdJ2VG7lkkgYfd7sxy" TargetMode="External"/><Relationship Id="rId4156" Type="http://schemas.openxmlformats.org/officeDocument/2006/relationships/hyperlink" Target="https://drive.google.com/file/d/19Ft1vzQtztPt7QQvBbs_mTUEGxAQBu2V/view?usp=drivesdk" TargetMode="External"/><Relationship Id="rId5484" Type="http://schemas.openxmlformats.org/officeDocument/2006/relationships/hyperlink" Target="https://drive.google.com/file/d/1_PmbxnYljaOxnuGtUFp4KMSDh50PNufc/view?usp=drivesdk" TargetMode="External"/><Relationship Id="rId4155" Type="http://schemas.openxmlformats.org/officeDocument/2006/relationships/hyperlink" Target="https://lh5.googleusercontent.com/d/1vCJjOYwZ4LeFLMrFNhdY6LwVmAwF1TiG" TargetMode="External"/><Relationship Id="rId5485" Type="http://schemas.openxmlformats.org/officeDocument/2006/relationships/hyperlink" Target="https://lh5.googleusercontent.com/d/1-ffdJ0msISUOcO1YIVDnyRxZOLs3ySlD" TargetMode="External"/><Relationship Id="rId4158" Type="http://schemas.openxmlformats.org/officeDocument/2006/relationships/hyperlink" Target="https://drive.google.com/file/d/1-Eudx4Vr1K66--bHrgVslO7RRWPe8wqm/view?usp=drivesdk" TargetMode="External"/><Relationship Id="rId4157" Type="http://schemas.openxmlformats.org/officeDocument/2006/relationships/hyperlink" Target="https://lh5.googleusercontent.com/d/1QTKbnp8qHhEmQGpbpHo5Wmp_FsffnHD-" TargetMode="External"/><Relationship Id="rId5488" Type="http://schemas.openxmlformats.org/officeDocument/2006/relationships/hyperlink" Target="https://drive.google.com/file/d/1ndkEGdBCsNOB0yR7RL6KA8Yb8YH9fBwb/view?usp=drivesdk" TargetMode="External"/><Relationship Id="rId4159" Type="http://schemas.openxmlformats.org/officeDocument/2006/relationships/hyperlink" Target="https://lh5.googleusercontent.com/d/1rjjxlCMihWC5P0VflY3Q5FVghaSgSLuN" TargetMode="External"/><Relationship Id="rId5489" Type="http://schemas.openxmlformats.org/officeDocument/2006/relationships/hyperlink" Target="https://lh5.googleusercontent.com/d/1V2cUPzTXU_SnLzr-ysBH3NzlxA28A7C4" TargetMode="External"/><Relationship Id="rId1910" Type="http://schemas.openxmlformats.org/officeDocument/2006/relationships/hyperlink" Target="https://drive.google.com/file/d/1OC93x11Yu65iHu1Sp0sGhNSlabOQx8qO/view?usp=drivesdk" TargetMode="External"/><Relationship Id="rId1911" Type="http://schemas.openxmlformats.org/officeDocument/2006/relationships/hyperlink" Target="https://lh5.googleusercontent.com/d/1ZJe7-ei9_pwCHyjmAf7nG8LPknRLE5Y0" TargetMode="External"/><Relationship Id="rId1912" Type="http://schemas.openxmlformats.org/officeDocument/2006/relationships/hyperlink" Target="https://drive.google.com/file/d/1ABGQBRlCxvUQEWiDONipdAuJqM4RQXdI/view?usp=drivesdk" TargetMode="External"/><Relationship Id="rId1913" Type="http://schemas.openxmlformats.org/officeDocument/2006/relationships/hyperlink" Target="https://lh5.googleusercontent.com/d/1A-x2tKJBFoAtGX3s3oKsk_64iebbm3eO" TargetMode="External"/><Relationship Id="rId1914" Type="http://schemas.openxmlformats.org/officeDocument/2006/relationships/hyperlink" Target="https://drive.google.com/file/d/1up71TJMTEPmFljyUOVkHjibSiasUTkwW/view?usp=drivesdk" TargetMode="External"/><Relationship Id="rId1915" Type="http://schemas.openxmlformats.org/officeDocument/2006/relationships/hyperlink" Target="https://lh5.googleusercontent.com/d/1BlPzwFyn4qyUfi7644YmQkLLMSpJxdHX" TargetMode="External"/><Relationship Id="rId1916" Type="http://schemas.openxmlformats.org/officeDocument/2006/relationships/hyperlink" Target="https://drive.google.com/file/d/1liS4RN8yD9vzM3TTyzAtgDt-Fw9dkHep/view?usp=drivesdk" TargetMode="External"/><Relationship Id="rId1917" Type="http://schemas.openxmlformats.org/officeDocument/2006/relationships/hyperlink" Target="https://lh5.googleusercontent.com/d/1UB-VM6h1knv7bMfPBHY7TszRx0nKVlSD" TargetMode="External"/><Relationship Id="rId1918" Type="http://schemas.openxmlformats.org/officeDocument/2006/relationships/hyperlink" Target="https://drive.google.com/file/d/1Il5rlMKp_A3u8SbzasC8VzYbb2wWIP_3/view?usp=drivesdk" TargetMode="External"/><Relationship Id="rId1919" Type="http://schemas.openxmlformats.org/officeDocument/2006/relationships/hyperlink" Target="https://lh5.googleusercontent.com/d/1rao4q1Ptut86cWf8kXN9YmfD7tIKYi8m" TargetMode="External"/><Relationship Id="rId4181" Type="http://schemas.openxmlformats.org/officeDocument/2006/relationships/hyperlink" Target="https://lh5.googleusercontent.com/d/1HpvlxjX3mX50Mwgs0QEaShP-lbkQPL1a" TargetMode="External"/><Relationship Id="rId4180" Type="http://schemas.openxmlformats.org/officeDocument/2006/relationships/hyperlink" Target="https://drive.google.com/file/d/1we0fYCZcwEiRejskll03cfxMD0iwKDLB/view?usp=drivesdk" TargetMode="External"/><Relationship Id="rId4183" Type="http://schemas.openxmlformats.org/officeDocument/2006/relationships/hyperlink" Target="https://lh5.googleusercontent.com/d/1XHKqSezDX0cjkd3mUoY_JOlCP-f0pvqq" TargetMode="External"/><Relationship Id="rId4182" Type="http://schemas.openxmlformats.org/officeDocument/2006/relationships/hyperlink" Target="https://drive.google.com/file/d/1kSWxE86Z2qSgSCmCRNnsX0_BiXB7MX8j/view?usp=drivesdk" TargetMode="External"/><Relationship Id="rId4185" Type="http://schemas.openxmlformats.org/officeDocument/2006/relationships/hyperlink" Target="https://lh5.googleusercontent.com/d/1LLcFgL8vC7X_OQsYNwkpx1zAG3EoClXv" TargetMode="External"/><Relationship Id="rId4184" Type="http://schemas.openxmlformats.org/officeDocument/2006/relationships/hyperlink" Target="https://drive.google.com/file/d/1Ezhl9tHrcG6Uxyb1p9Y6TlrMR7SJ_UsY/view?usp=drivesdk" TargetMode="External"/><Relationship Id="rId4187" Type="http://schemas.openxmlformats.org/officeDocument/2006/relationships/hyperlink" Target="https://lh5.googleusercontent.com/d/1aGmcrckuYf4GviVmhvaEDpH7nnsFoJbF" TargetMode="External"/><Relationship Id="rId4186" Type="http://schemas.openxmlformats.org/officeDocument/2006/relationships/hyperlink" Target="https://drive.google.com/file/d/1z74pm7URrEOIjuGV83HcxQm3moreSgTW/view?usp=drivesdk" TargetMode="External"/><Relationship Id="rId4189" Type="http://schemas.openxmlformats.org/officeDocument/2006/relationships/hyperlink" Target="https://lh5.googleusercontent.com/d/1T1YKh-zRGkMp1pRT7jBD5u3BrvrqRu_s" TargetMode="External"/><Relationship Id="rId4188" Type="http://schemas.openxmlformats.org/officeDocument/2006/relationships/hyperlink" Target="https://drive.google.com/file/d/1iVFRWKO5Nw0W7eHqiqio9T7cl8Us8wuu/view?usp=drivesdk" TargetMode="External"/><Relationship Id="rId1900" Type="http://schemas.openxmlformats.org/officeDocument/2006/relationships/hyperlink" Target="https://lh5.googleusercontent.com/d/1pEXsNgbKlUDktQXTpa1Swj_4uemtqzzt" TargetMode="External"/><Relationship Id="rId1901" Type="http://schemas.openxmlformats.org/officeDocument/2006/relationships/hyperlink" Target="https://drive.google.com/file/d/1c_eWHF9BsFoY4HKOZnl_zv9TQWBLiPU8/view?usp=drivesdk" TargetMode="External"/><Relationship Id="rId1902" Type="http://schemas.openxmlformats.org/officeDocument/2006/relationships/hyperlink" Target="https://lh5.googleusercontent.com/d/1Q7ZaIwMLJdhsoA8BK55yZKJd0uZfKsnC" TargetMode="External"/><Relationship Id="rId1903" Type="http://schemas.openxmlformats.org/officeDocument/2006/relationships/hyperlink" Target="https://lh5.googleusercontent.com/d/1zIo1nr17fB0vz0UR6fXb1Vca-yYKUqpn" TargetMode="External"/><Relationship Id="rId1904" Type="http://schemas.openxmlformats.org/officeDocument/2006/relationships/hyperlink" Target="https://drive.google.com/file/d/1tNFrMx88XfYbj2cpUEHzDqwIrz2WROLj/view?usp=drivesdk" TargetMode="External"/><Relationship Id="rId1905" Type="http://schemas.openxmlformats.org/officeDocument/2006/relationships/hyperlink" Target="https://lh5.googleusercontent.com/d/1JS1eQ5c5lrxucngCACYGm-50potG-WYc" TargetMode="External"/><Relationship Id="rId1906" Type="http://schemas.openxmlformats.org/officeDocument/2006/relationships/hyperlink" Target="https://drive.google.com/file/d/1CSRBe2n8GR9hRU2rb6eY0B1VO8HBAFuE/view?usp=drivesdk" TargetMode="External"/><Relationship Id="rId1907" Type="http://schemas.openxmlformats.org/officeDocument/2006/relationships/hyperlink" Target="https://lh5.googleusercontent.com/d/1AODN05hXD1dIkmMCbLWCoifFsCXSsO2l" TargetMode="External"/><Relationship Id="rId1908" Type="http://schemas.openxmlformats.org/officeDocument/2006/relationships/hyperlink" Target="https://drive.google.com/file/d/1ec1iJTbU9HOyCsUdwCdlF3jKFLBaqQJa/view?usp=drivesdk" TargetMode="External"/><Relationship Id="rId1909" Type="http://schemas.openxmlformats.org/officeDocument/2006/relationships/hyperlink" Target="https://lh5.googleusercontent.com/d/1XI1_TrdMIzIGGmbc1A0bmAcE-MOYTRju" TargetMode="External"/><Relationship Id="rId4170" Type="http://schemas.openxmlformats.org/officeDocument/2006/relationships/hyperlink" Target="https://drive.google.com/file/d/19-7uW9_ig_Yv1GQDIeo3s8b7AL0mT1xw/view?usp=drivesdk" TargetMode="External"/><Relationship Id="rId4172" Type="http://schemas.openxmlformats.org/officeDocument/2006/relationships/hyperlink" Target="https://drive.google.com/file/d/1alprVD2L0RZg2fX4XxBcAREIgRFVBe-u/view?usp=drivesdk" TargetMode="External"/><Relationship Id="rId4171" Type="http://schemas.openxmlformats.org/officeDocument/2006/relationships/hyperlink" Target="https://lh5.googleusercontent.com/d/1DBxJkh_4NrTsD7bG9ND7S6HQ7jN7Zo7-" TargetMode="External"/><Relationship Id="rId4174" Type="http://schemas.openxmlformats.org/officeDocument/2006/relationships/hyperlink" Target="https://drive.google.com/file/d/11maVx-VnBJ7rOXonC1NORy8LHw8W5OQz/view?usp=drivesdk" TargetMode="External"/><Relationship Id="rId4173" Type="http://schemas.openxmlformats.org/officeDocument/2006/relationships/hyperlink" Target="https://lh5.googleusercontent.com/d/1RaIH_xjp5bXw7oBy-dOKxYBpDowEsETn" TargetMode="External"/><Relationship Id="rId4176" Type="http://schemas.openxmlformats.org/officeDocument/2006/relationships/hyperlink" Target="https://drive.google.com/file/d/1HQxapq_7GidVrRYFIzy3ugwlRlOSzB0D/view?usp=drivesdk" TargetMode="External"/><Relationship Id="rId4175" Type="http://schemas.openxmlformats.org/officeDocument/2006/relationships/hyperlink" Target="https://lh5.googleusercontent.com/d/1kucYZwcAeJXwRbHFE0HBPaPkn8b6gxXn" TargetMode="External"/><Relationship Id="rId4178" Type="http://schemas.openxmlformats.org/officeDocument/2006/relationships/hyperlink" Target="https://drive.google.com/file/d/1IZW38ByAdDl-FX2A58oty4UzFxthVMhh/view?usp=drivesdk" TargetMode="External"/><Relationship Id="rId4177" Type="http://schemas.openxmlformats.org/officeDocument/2006/relationships/hyperlink" Target="https://lh5.googleusercontent.com/d/1lhtq1CLTDWg1N2Dnr5_5ailcyw_UYF66" TargetMode="External"/><Relationship Id="rId4179" Type="http://schemas.openxmlformats.org/officeDocument/2006/relationships/hyperlink" Target="https://lh5.googleusercontent.com/d/1FQPsGHFZeHgg4ajfk-bWcToMNjUzL4IM" TargetMode="External"/><Relationship Id="rId4129" Type="http://schemas.openxmlformats.org/officeDocument/2006/relationships/hyperlink" Target="https://lh5.googleusercontent.com/d/1V6RqE4lRA75_SPmPGC_0R1HhLi6fa--O" TargetMode="External"/><Relationship Id="rId4128" Type="http://schemas.openxmlformats.org/officeDocument/2006/relationships/hyperlink" Target="https://drive.google.com/file/d/10TzAIB5JwxIX5pOaxvqvquY_AuFCGEHW/view?usp=drivesdk" TargetMode="External"/><Relationship Id="rId5459" Type="http://schemas.openxmlformats.org/officeDocument/2006/relationships/hyperlink" Target="https://lh5.googleusercontent.com/d/1FmigK8S_9qp4xYV7FdF7DsBChJnt28_8" TargetMode="External"/><Relationship Id="rId1090" Type="http://schemas.openxmlformats.org/officeDocument/2006/relationships/hyperlink" Target="https://drive.google.com/file/d/160t0XhyNnQb1CZ713xblfy5Fbf9aooSW/view?usp=drivesdk" TargetMode="External"/><Relationship Id="rId1091" Type="http://schemas.openxmlformats.org/officeDocument/2006/relationships/hyperlink" Target="https://lh5.googleusercontent.com/d/16indojgoSyW4PYIpO8V50d8PPS4yrokD" TargetMode="External"/><Relationship Id="rId1092" Type="http://schemas.openxmlformats.org/officeDocument/2006/relationships/hyperlink" Target="https://drive.google.com/file/d/1ibeET9GxSJefEIcx_8ZuY9FhCGCkpQUg/view?usp=drivesdk" TargetMode="External"/><Relationship Id="rId5450" Type="http://schemas.openxmlformats.org/officeDocument/2006/relationships/hyperlink" Target="https://drive.google.com/file/d/18hJzTuWMt6znRgIj6xB_eA4I1WmpxMWg/view?usp=drivesdk" TargetMode="External"/><Relationship Id="rId1093" Type="http://schemas.openxmlformats.org/officeDocument/2006/relationships/hyperlink" Target="https://lh5.googleusercontent.com/d/1h6VT4A5NLZAjGNnmFIAB_i38Argy9N6X" TargetMode="External"/><Relationship Id="rId1094" Type="http://schemas.openxmlformats.org/officeDocument/2006/relationships/hyperlink" Target="https://drive.google.com/file/d/1qbjU0-vuoar7WWrsxFmuIxqNaT0lYxvV/view?usp=drivesdk" TargetMode="External"/><Relationship Id="rId1095" Type="http://schemas.openxmlformats.org/officeDocument/2006/relationships/hyperlink" Target="https://lh5.googleusercontent.com/d/1SeSs0To9omyx8w2uCXWD1ObvMYkYGHt6" TargetMode="External"/><Relationship Id="rId4121" Type="http://schemas.openxmlformats.org/officeDocument/2006/relationships/hyperlink" Target="https://drive.google.com/file/d/1rQ4urrT_Q-beh1m9OcXh1QLza9q--znJ/view?usp=drivesdk" TargetMode="External"/><Relationship Id="rId5453" Type="http://schemas.openxmlformats.org/officeDocument/2006/relationships/hyperlink" Target="https://lh5.googleusercontent.com/d/1HbjmUEQ4kLD-lZ0W_zlyKJkqb6CVuF7Q" TargetMode="External"/><Relationship Id="rId1096" Type="http://schemas.openxmlformats.org/officeDocument/2006/relationships/hyperlink" Target="https://drive.google.com/file/d/1ooGq2srmucWe6O0G_kdG7LcoJD4sdw6v/view?usp=drivesdk" TargetMode="External"/><Relationship Id="rId4120" Type="http://schemas.openxmlformats.org/officeDocument/2006/relationships/hyperlink" Target="https://lh5.googleusercontent.com/d/1g4BAzY6MliJiAecUNJ9Rx6GoZ8-SUXX4" TargetMode="External"/><Relationship Id="rId5454" Type="http://schemas.openxmlformats.org/officeDocument/2006/relationships/hyperlink" Target="https://drive.google.com/file/d/1Ht36vfhT336_c_FazUX1nSQ38s_9SCUq/view?usp=drivesdk" TargetMode="External"/><Relationship Id="rId1097" Type="http://schemas.openxmlformats.org/officeDocument/2006/relationships/hyperlink" Target="https://lh5.googleusercontent.com/d/1WuOo1sxbu0h1vXD-WBc8sw1i2BhLOJOO" TargetMode="External"/><Relationship Id="rId4123" Type="http://schemas.openxmlformats.org/officeDocument/2006/relationships/hyperlink" Target="https://drive.google.com/file/d/1o5LO45HA51tAldRA5QSIOA5JC_N4r7HW/view?usp=drivesdk" TargetMode="External"/><Relationship Id="rId5451" Type="http://schemas.openxmlformats.org/officeDocument/2006/relationships/hyperlink" Target="https://lh5.googleusercontent.com/d/1v4XZMPMJurEAAirDH1LUBBmefYfibrFM" TargetMode="External"/><Relationship Id="rId1098" Type="http://schemas.openxmlformats.org/officeDocument/2006/relationships/hyperlink" Target="https://drive.google.com/file/d/11Y7lXPuKgjMeFz9g5haFjVs4-sLqqsAf/view?usp=drivesdk" TargetMode="External"/><Relationship Id="rId4122" Type="http://schemas.openxmlformats.org/officeDocument/2006/relationships/hyperlink" Target="https://lh5.googleusercontent.com/d/1C5RVnWVELFSfVZPcD732-rFp3KHTEWmF" TargetMode="External"/><Relationship Id="rId5452" Type="http://schemas.openxmlformats.org/officeDocument/2006/relationships/hyperlink" Target="https://drive.google.com/file/d/1yFTUoxq47vpESKDjib-Y56M1S5CQ8P8M/view?usp=drivesdk" TargetMode="External"/><Relationship Id="rId1099" Type="http://schemas.openxmlformats.org/officeDocument/2006/relationships/hyperlink" Target="https://lh5.googleusercontent.com/d/1d0XUQ9ovK2pvDGvMFloGS89VCiHmbAFy" TargetMode="External"/><Relationship Id="rId4125" Type="http://schemas.openxmlformats.org/officeDocument/2006/relationships/hyperlink" Target="https://lh5.googleusercontent.com/d/1edctAb6-hNmTdlbhBIII69dZsDKXxH_H" TargetMode="External"/><Relationship Id="rId5457" Type="http://schemas.openxmlformats.org/officeDocument/2006/relationships/hyperlink" Target="https://lh5.googleusercontent.com/d/1ByBHdysIfUpBWtqHe5OdFti_DxRLgvPk" TargetMode="External"/><Relationship Id="rId4124" Type="http://schemas.openxmlformats.org/officeDocument/2006/relationships/hyperlink" Target="https://lh5.googleusercontent.com/d/1edctAb6-hNmTdlbhBIII69dZsDKXxH_H" TargetMode="External"/><Relationship Id="rId5458" Type="http://schemas.openxmlformats.org/officeDocument/2006/relationships/hyperlink" Target="https://drive.google.com/file/d/1XZOkkwn-vFpEUMtZg0qNgha8t_w0oxD9/view?usp=drivesdk" TargetMode="External"/><Relationship Id="rId4127" Type="http://schemas.openxmlformats.org/officeDocument/2006/relationships/hyperlink" Target="https://lh5.googleusercontent.com/d/1i9Eq-R7V8Ygmd-EgtsYF94cYyinfe6YQ" TargetMode="External"/><Relationship Id="rId5455" Type="http://schemas.openxmlformats.org/officeDocument/2006/relationships/hyperlink" Target="https://lh5.googleusercontent.com/d/14RxUPV4RZyGvzpFLNMfBLUw4ZWatu7YI" TargetMode="External"/><Relationship Id="rId4126" Type="http://schemas.openxmlformats.org/officeDocument/2006/relationships/hyperlink" Target="https://drive.google.com/file/d/1ELH9a8lkdQjcrgnuiuSFQAY1DM3q-pcg/view?usp=drivesdk" TargetMode="External"/><Relationship Id="rId5456" Type="http://schemas.openxmlformats.org/officeDocument/2006/relationships/hyperlink" Target="https://drive.google.com/file/d/12t_mccDxXheeaZkTYDToAa2EmO7b-qwI/view?usp=drivesdk" TargetMode="External"/><Relationship Id="rId4118" Type="http://schemas.openxmlformats.org/officeDocument/2006/relationships/hyperlink" Target="https://drive.google.com/file/d/1g443WE-GCO7sdCNObf4fhJ2eJDZhTFMX/view?usp=drivesdk" TargetMode="External"/><Relationship Id="rId4117" Type="http://schemas.openxmlformats.org/officeDocument/2006/relationships/hyperlink" Target="https://lh5.googleusercontent.com/d/16uSTgTdlvzTI0Ca5UAyQs0x-2u70BUWz" TargetMode="External"/><Relationship Id="rId5448" Type="http://schemas.openxmlformats.org/officeDocument/2006/relationships/hyperlink" Target="https://drive.google.com/file/d/11C4UH-0nf-EulmEEsxMXUQ-0nQUHM9yg/view?usp=drivesdk" TargetMode="External"/><Relationship Id="rId4119" Type="http://schemas.openxmlformats.org/officeDocument/2006/relationships/hyperlink" Target="https://lh5.googleusercontent.com/d/1g4BAzY6MliJiAecUNJ9Rx6GoZ8-SUXX4" TargetMode="External"/><Relationship Id="rId5449" Type="http://schemas.openxmlformats.org/officeDocument/2006/relationships/hyperlink" Target="https://lh5.googleusercontent.com/d/1VUdJBOCLDwLpCkat5kfEwhGgO_9l7H63" TargetMode="External"/><Relationship Id="rId1080" Type="http://schemas.openxmlformats.org/officeDocument/2006/relationships/hyperlink" Target="https://drive.google.com/file/d/1YNW2XlvknbvNwNQmaXO8BwtERSqNuMvT/view?usp=drivesdk" TargetMode="External"/><Relationship Id="rId1081" Type="http://schemas.openxmlformats.org/officeDocument/2006/relationships/hyperlink" Target="https://lh5.googleusercontent.com/d/1bXC1oXN8lveLLH5_PTtSNsSqFzwVulGL" TargetMode="External"/><Relationship Id="rId1082" Type="http://schemas.openxmlformats.org/officeDocument/2006/relationships/hyperlink" Target="https://drive.google.com/file/d/16WgCOKg_WNKuRsNG9a8LrQu6eTuih5jx/view?usp=drivesdk" TargetMode="External"/><Relationship Id="rId1083" Type="http://schemas.openxmlformats.org/officeDocument/2006/relationships/hyperlink" Target="https://lh5.googleusercontent.com/d/1xtGzteATjE-_xTl5YghOdhN1StgVtffT" TargetMode="External"/><Relationship Id="rId1084" Type="http://schemas.openxmlformats.org/officeDocument/2006/relationships/hyperlink" Target="https://drive.google.com/file/d/1yAErEn1vt-OG9CzirmaUG6E3PdkKjb0z/view?usp=drivesdk" TargetMode="External"/><Relationship Id="rId4110" Type="http://schemas.openxmlformats.org/officeDocument/2006/relationships/hyperlink" Target="https://drive.google.com/file/d/1BMnRHetrnb4KQ0EmXR6Bs7b56dvs7TR_/view?usp=drivesdk" TargetMode="External"/><Relationship Id="rId5442" Type="http://schemas.openxmlformats.org/officeDocument/2006/relationships/hyperlink" Target="https://drive.google.com/file/d/1kYdQalaaKloaP7q7DUPw-VfobiCb8suP/view?usp=drivesdk" TargetMode="External"/><Relationship Id="rId1085" Type="http://schemas.openxmlformats.org/officeDocument/2006/relationships/hyperlink" Target="https://lh5.googleusercontent.com/d/1CT69p5bnVDXV78xjmX-C8Wef8yJlLAjv" TargetMode="External"/><Relationship Id="rId5443" Type="http://schemas.openxmlformats.org/officeDocument/2006/relationships/hyperlink" Target="https://lh5.googleusercontent.com/d/1Jcvsx8HTEIU9AyaPf79IZXCHWCkkdt9g" TargetMode="External"/><Relationship Id="rId1086" Type="http://schemas.openxmlformats.org/officeDocument/2006/relationships/hyperlink" Target="https://drive.google.com/file/d/1LAA5y1L0Osyii5u8q4gJWK32285dlniL/view?usp=drivesdk" TargetMode="External"/><Relationship Id="rId4112" Type="http://schemas.openxmlformats.org/officeDocument/2006/relationships/hyperlink" Target="https://drive.google.com/file/d/180LLEXqE0C3WcPNXhZS-P51XzKzSCB_y/view?usp=drivesdk" TargetMode="External"/><Relationship Id="rId5440" Type="http://schemas.openxmlformats.org/officeDocument/2006/relationships/hyperlink" Target="https://drive.google.com/file/d/1HoCfIyk8iDrHyqmcVC5PO28HNsLR_uc2/view?usp=drivesdk" TargetMode="External"/><Relationship Id="rId1087" Type="http://schemas.openxmlformats.org/officeDocument/2006/relationships/hyperlink" Target="https://lh5.googleusercontent.com/d/1MROnDXGBwEBH7NmbliOkVedWnEoAvHpt" TargetMode="External"/><Relationship Id="rId4111" Type="http://schemas.openxmlformats.org/officeDocument/2006/relationships/hyperlink" Target="https://lh5.googleusercontent.com/d/1eQpfXmODwY04XDeLMX9PyxnoG9J9ZSyt" TargetMode="External"/><Relationship Id="rId5441" Type="http://schemas.openxmlformats.org/officeDocument/2006/relationships/hyperlink" Target="https://lh5.googleusercontent.com/d/1kCIWYDBtH1ZrKKJQCk427c308Ye6nJIT" TargetMode="External"/><Relationship Id="rId1088" Type="http://schemas.openxmlformats.org/officeDocument/2006/relationships/hyperlink" Target="https://drive.google.com/file/d/1ZZ0Q7hrCt22OG2MEeNjLich_R8NkN6B-/view?usp=drivesdk" TargetMode="External"/><Relationship Id="rId4114" Type="http://schemas.openxmlformats.org/officeDocument/2006/relationships/hyperlink" Target="https://drive.google.com/file/d/18TU9BZWn5vu7R3O3qC9ipAup3fkqqXuE/view?usp=drivesdk" TargetMode="External"/><Relationship Id="rId5446" Type="http://schemas.openxmlformats.org/officeDocument/2006/relationships/hyperlink" Target="https://drive.google.com/file/d/1GG_fz0ezf1Jr8Hxa3A_DmJ2Eg5DGBKdN/view?usp=drivesdk" TargetMode="External"/><Relationship Id="rId1089" Type="http://schemas.openxmlformats.org/officeDocument/2006/relationships/hyperlink" Target="https://lh5.googleusercontent.com/d/1OZTU1Ww9ssDqhYy8tbADYpg0u-m8R20M" TargetMode="External"/><Relationship Id="rId4113" Type="http://schemas.openxmlformats.org/officeDocument/2006/relationships/hyperlink" Target="https://lh5.googleusercontent.com/d/1KbPUpyDNYeA6_A8KgjgIxEM0uWJwb54v" TargetMode="External"/><Relationship Id="rId5447" Type="http://schemas.openxmlformats.org/officeDocument/2006/relationships/hyperlink" Target="https://lh5.googleusercontent.com/d/1YB1Fo8Ac3HAufxavPCN1xmDLTEKplsG6" TargetMode="External"/><Relationship Id="rId4116" Type="http://schemas.openxmlformats.org/officeDocument/2006/relationships/hyperlink" Target="https://drive.google.com/file/d/1lUEwKn0u81j8xtQZZNHJKNgvH-YT6Jtt/view?usp=drivesdk" TargetMode="External"/><Relationship Id="rId5444" Type="http://schemas.openxmlformats.org/officeDocument/2006/relationships/hyperlink" Target="https://drive.google.com/file/d/1F9wpap_DbFTPNVKbURAjTNXwCmx0bJmF/view?usp=drivesdk" TargetMode="External"/><Relationship Id="rId4115" Type="http://schemas.openxmlformats.org/officeDocument/2006/relationships/hyperlink" Target="https://lh5.googleusercontent.com/d/17hfZ5PkdJu_40sZSB_baskW_wHeVRkjn" TargetMode="External"/><Relationship Id="rId5445" Type="http://schemas.openxmlformats.org/officeDocument/2006/relationships/hyperlink" Target="https://lh5.googleusercontent.com/d/1DHjVkMBADJvDn_pxnILFwCgsr9QxhrKF" TargetMode="External"/><Relationship Id="rId5471" Type="http://schemas.openxmlformats.org/officeDocument/2006/relationships/hyperlink" Target="https://lh5.googleusercontent.com/d/13wcd4EBMvU2r3DqG0hscQlG7dXOqUBgA" TargetMode="External"/><Relationship Id="rId5472" Type="http://schemas.openxmlformats.org/officeDocument/2006/relationships/hyperlink" Target="https://drive.google.com/file/d/1aU-juckRzta7TtGeYiZO0iZHk0Zc0bnA/view?usp=drivesdk" TargetMode="External"/><Relationship Id="rId4141" Type="http://schemas.openxmlformats.org/officeDocument/2006/relationships/hyperlink" Target="https://lh5.googleusercontent.com/d/1shPAsMeVwAGEWKchDM-olj0PvPPhLJJL" TargetMode="External"/><Relationship Id="rId4140" Type="http://schemas.openxmlformats.org/officeDocument/2006/relationships/hyperlink" Target="https://drive.google.com/file/d/1eQk8Mu2FWEVynoeoDryv0DTiKNcwrm9S/view?usp=drivesdk" TargetMode="External"/><Relationship Id="rId5470" Type="http://schemas.openxmlformats.org/officeDocument/2006/relationships/hyperlink" Target="https://drive.google.com/file/d/1EEx0tC4XpBFeCiqzcXx5At-OtbLDHRbA/view?usp=drivesdk" TargetMode="External"/><Relationship Id="rId4143" Type="http://schemas.openxmlformats.org/officeDocument/2006/relationships/hyperlink" Target="https://lh5.googleusercontent.com/d/1kj6SEXXoP7uBoL2qcfhmktX_NQmUCw3o" TargetMode="External"/><Relationship Id="rId5475" Type="http://schemas.openxmlformats.org/officeDocument/2006/relationships/hyperlink" Target="https://lh5.googleusercontent.com/d/1IPw0Vzp9CFvTSkF6yiIub5lHL0LaIrdL" TargetMode="External"/><Relationship Id="rId4142" Type="http://schemas.openxmlformats.org/officeDocument/2006/relationships/hyperlink" Target="https://drive.google.com/file/d/1WnxgPuqY8xI_XQMRAq10C6por-me4ZpF/view?usp=drivesdk" TargetMode="External"/><Relationship Id="rId5476" Type="http://schemas.openxmlformats.org/officeDocument/2006/relationships/hyperlink" Target="https://drive.google.com/file/d/1F7JZDEb9Jy_yYFz9PbidE_un9Q74sYgA/view?usp=drivesdk" TargetMode="External"/><Relationship Id="rId4145" Type="http://schemas.openxmlformats.org/officeDocument/2006/relationships/hyperlink" Target="https://lh5.googleusercontent.com/d/1f1UBUmLveMpWNFBQ4L3cz1isLFKUTQMO" TargetMode="External"/><Relationship Id="rId5473" Type="http://schemas.openxmlformats.org/officeDocument/2006/relationships/hyperlink" Target="https://lh5.googleusercontent.com/d/1gYaPYG6gD8QUvL5z_dr6B66V1IT4xZUm" TargetMode="External"/><Relationship Id="rId4144" Type="http://schemas.openxmlformats.org/officeDocument/2006/relationships/hyperlink" Target="https://drive.google.com/file/d/1YZTpTDqPfDmIE38O7fbjQ6pOzwV2Aw5o/view?usp=drivesdk" TargetMode="External"/><Relationship Id="rId5474" Type="http://schemas.openxmlformats.org/officeDocument/2006/relationships/hyperlink" Target="https://drive.google.com/file/d/197M8K-QSnPJXX0-3Ok6i7SSS0zpi5_SW/view?usp=drivesdk" TargetMode="External"/><Relationship Id="rId4147" Type="http://schemas.openxmlformats.org/officeDocument/2006/relationships/hyperlink" Target="https://lh5.googleusercontent.com/d/1NO3uUpf9gdsowfv5Z3gAiWls5nBQy1H_" TargetMode="External"/><Relationship Id="rId5479" Type="http://schemas.openxmlformats.org/officeDocument/2006/relationships/hyperlink" Target="https://lh5.googleusercontent.com/d/14YCqJmT2-EZVRPwcml9h3-A-umxHPGs7" TargetMode="External"/><Relationship Id="rId4146" Type="http://schemas.openxmlformats.org/officeDocument/2006/relationships/hyperlink" Target="https://drive.google.com/file/d/1x82SFaE3IaOiFSIu4uX30slIT7m2RzJ2/view?usp=drivesdk" TargetMode="External"/><Relationship Id="rId4149" Type="http://schemas.openxmlformats.org/officeDocument/2006/relationships/hyperlink" Target="https://lh5.googleusercontent.com/d/1mIBwNYkHd1loPHuACFdWAqFP5ASBD-Hx" TargetMode="External"/><Relationship Id="rId5477" Type="http://schemas.openxmlformats.org/officeDocument/2006/relationships/hyperlink" Target="https://lh5.googleusercontent.com/d/1GDsIjgUfU-MBttkQeRCSM90KVGThQct6" TargetMode="External"/><Relationship Id="rId4148" Type="http://schemas.openxmlformats.org/officeDocument/2006/relationships/hyperlink" Target="https://drive.google.com/file/d/1HolFD1zhiAm-IQ5oCTHxO_s1l2GhgITD/view?usp=drivesdk" TargetMode="External"/><Relationship Id="rId5478" Type="http://schemas.openxmlformats.org/officeDocument/2006/relationships/hyperlink" Target="https://drive.google.com/file/d/1MtiXL8SzSDOvZ-B9J3qKcSuxf1XD4Xa6/view?usp=drivesdk" TargetMode="External"/><Relationship Id="rId4139" Type="http://schemas.openxmlformats.org/officeDocument/2006/relationships/hyperlink" Target="https://lh5.googleusercontent.com/d/1oJQLkxajA8ALxEktFgy_uqF868Q5xF8J" TargetMode="External"/><Relationship Id="rId5460" Type="http://schemas.openxmlformats.org/officeDocument/2006/relationships/hyperlink" Target="https://drive.google.com/file/d/1_93cE-Sd2RYQdEIMg6gV7ufbsRXqYn_G/view?usp=drivesdk" TargetMode="External"/><Relationship Id="rId5461" Type="http://schemas.openxmlformats.org/officeDocument/2006/relationships/hyperlink" Target="https://lh5.googleusercontent.com/d/143cXZZjblTSksiIGGacG2loeUoB_9Hjr" TargetMode="External"/><Relationship Id="rId4130" Type="http://schemas.openxmlformats.org/officeDocument/2006/relationships/hyperlink" Target="https://drive.google.com/file/d/1Yp6whLvVhmUZmbyJ7d5H3XrszqPacGFR/view?usp=drivesdk" TargetMode="External"/><Relationship Id="rId4132" Type="http://schemas.openxmlformats.org/officeDocument/2006/relationships/hyperlink" Target="https://drive.google.com/file/d/18ZWKGDQYdfOuu1ZbRViPAeRFs_oLtjpC/view?usp=drivesdk" TargetMode="External"/><Relationship Id="rId5464" Type="http://schemas.openxmlformats.org/officeDocument/2006/relationships/hyperlink" Target="https://drive.google.com/file/d/1Afy-QaJCByaRgcfLXUUaVz0snYM_El9C/view?usp=drivesdk" TargetMode="External"/><Relationship Id="rId4131" Type="http://schemas.openxmlformats.org/officeDocument/2006/relationships/hyperlink" Target="https://lh5.googleusercontent.com/d/1qKa4aDQFNzzh9Q-JfPLZbCY84yLNUX35" TargetMode="External"/><Relationship Id="rId5465" Type="http://schemas.openxmlformats.org/officeDocument/2006/relationships/hyperlink" Target="https://lh5.googleusercontent.com/d/1FUcKBnSf5voqvm71GaCL_FzJfRuuiXfr" TargetMode="External"/><Relationship Id="rId4134" Type="http://schemas.openxmlformats.org/officeDocument/2006/relationships/hyperlink" Target="https://drive.google.com/file/d/1A4zKC8T_UbOTUJEwaLrxCwOsHavq81i1/view?usp=drivesdk" TargetMode="External"/><Relationship Id="rId5462" Type="http://schemas.openxmlformats.org/officeDocument/2006/relationships/hyperlink" Target="https://drive.google.com/file/d/1fcYi47LhWb87o4GLUj3ovUet5kgQZXlQ/view?usp=drivesdk" TargetMode="External"/><Relationship Id="rId4133" Type="http://schemas.openxmlformats.org/officeDocument/2006/relationships/hyperlink" Target="https://lh5.googleusercontent.com/d/1mkUrW-MGHj-smz_2jTRri_hUGJxdp4GL" TargetMode="External"/><Relationship Id="rId5463" Type="http://schemas.openxmlformats.org/officeDocument/2006/relationships/hyperlink" Target="https://lh5.googleusercontent.com/d/1XaDaihtEjMO169i3A6jJCwBLAWOntUVl" TargetMode="External"/><Relationship Id="rId4136" Type="http://schemas.openxmlformats.org/officeDocument/2006/relationships/hyperlink" Target="https://drive.google.com/file/d/1aYVMFZ923_stFwdBFKwlePAAKTMEvf94/view?usp=drivesdk" TargetMode="External"/><Relationship Id="rId5468" Type="http://schemas.openxmlformats.org/officeDocument/2006/relationships/hyperlink" Target="https://drive.google.com/file/d/1hmE2cCwt8Dd2EgeKxGpjxSk15b7uf8TS/view?usp=drivesdk" TargetMode="External"/><Relationship Id="rId4135" Type="http://schemas.openxmlformats.org/officeDocument/2006/relationships/hyperlink" Target="https://lh5.googleusercontent.com/d/1MhzpExeDRGfEQ0vF2Hwq01UgbecGS_nj" TargetMode="External"/><Relationship Id="rId5469" Type="http://schemas.openxmlformats.org/officeDocument/2006/relationships/hyperlink" Target="https://lh5.googleusercontent.com/d/1z-xNDLLC590QqJ5P7zdz4rYOA2ZhLthP" TargetMode="External"/><Relationship Id="rId4138" Type="http://schemas.openxmlformats.org/officeDocument/2006/relationships/hyperlink" Target="https://drive.google.com/file/d/15erAajGT7wbhQ8MOkV9u9_7_0zpFR6s9/view?usp=drivesdk" TargetMode="External"/><Relationship Id="rId5466" Type="http://schemas.openxmlformats.org/officeDocument/2006/relationships/hyperlink" Target="https://drive.google.com/file/d/1NCR5lZ79amZEfU1OngROCh1JLOgLNkiX/view?usp=drivesdk" TargetMode="External"/><Relationship Id="rId4137" Type="http://schemas.openxmlformats.org/officeDocument/2006/relationships/hyperlink" Target="https://lh5.googleusercontent.com/d/1D5JBKhCWXQohNnejEAlAhyNDuxDOpqtt" TargetMode="External"/><Relationship Id="rId5467" Type="http://schemas.openxmlformats.org/officeDocument/2006/relationships/hyperlink" Target="https://lh5.googleusercontent.com/d/12XByPXPlKJIONuf-Xb07xNild9Dd2U6H" TargetMode="External"/><Relationship Id="rId1972" Type="http://schemas.openxmlformats.org/officeDocument/2006/relationships/hyperlink" Target="https://lh5.googleusercontent.com/d/1jGxNPSqdAMr1DOHbUONexnjrup6c85s9" TargetMode="External"/><Relationship Id="rId1973" Type="http://schemas.openxmlformats.org/officeDocument/2006/relationships/hyperlink" Target="https://drive.google.com/file/d/1HbxuyBKZ0h6ZdDGN7-EWvUnVElfjEBvE/view?usp=drivesdk" TargetMode="External"/><Relationship Id="rId1974" Type="http://schemas.openxmlformats.org/officeDocument/2006/relationships/hyperlink" Target="https://lh5.googleusercontent.com/d/1y8TMuVn6_Fh4V4Jl2Tz9WVoD9TqUXXCz" TargetMode="External"/><Relationship Id="rId1975" Type="http://schemas.openxmlformats.org/officeDocument/2006/relationships/hyperlink" Target="https://drive.google.com/file/d/1fVNOcchTvrnmIl6x6ihqG1ocC1r11KeC/view?usp=drivesdk" TargetMode="External"/><Relationship Id="rId1976" Type="http://schemas.openxmlformats.org/officeDocument/2006/relationships/hyperlink" Target="https://lh5.googleusercontent.com/d/1EV_WPzyReNI6CIv5nVEinutHiXTqOOHP" TargetMode="External"/><Relationship Id="rId1977" Type="http://schemas.openxmlformats.org/officeDocument/2006/relationships/hyperlink" Target="https://drive.google.com/file/d/1q-trBdjPlvTdWPhkhUz9SmGbWrHeCg-w/view?usp=drivesdk" TargetMode="External"/><Relationship Id="rId1978" Type="http://schemas.openxmlformats.org/officeDocument/2006/relationships/hyperlink" Target="https://lh5.googleusercontent.com/d/1rzKUPHfe1F46Q6EAzt8M3o1oLSfaC55x" TargetMode="External"/><Relationship Id="rId1979" Type="http://schemas.openxmlformats.org/officeDocument/2006/relationships/hyperlink" Target="https://drive.google.com/file/d/12uXXOmjV3LgSrtssk01b5mhSynUsaSVX/view?usp=drivesdk" TargetMode="External"/><Relationship Id="rId1970" Type="http://schemas.openxmlformats.org/officeDocument/2006/relationships/hyperlink" Target="https://lh5.googleusercontent.com/d/1VyWdC50RZAuQeYO4EeYG6K58UZtCm--a" TargetMode="External"/><Relationship Id="rId1971" Type="http://schemas.openxmlformats.org/officeDocument/2006/relationships/hyperlink" Target="https://drive.google.com/file/d/1uCW6RScPSYqKti0xldSiG-BON93FbsEa/view?usp=drivesdk" TargetMode="External"/><Relationship Id="rId1961" Type="http://schemas.openxmlformats.org/officeDocument/2006/relationships/hyperlink" Target="https://drive.google.com/file/d/1cgJlh8ruk1Bju20m3xhqbnSBtkh6KqhT/view?usp=drivesdk" TargetMode="External"/><Relationship Id="rId1962" Type="http://schemas.openxmlformats.org/officeDocument/2006/relationships/hyperlink" Target="https://lh5.googleusercontent.com/d/1792W67X1MU-MYtMB1a6iFbzf169B8Epc" TargetMode="External"/><Relationship Id="rId1963" Type="http://schemas.openxmlformats.org/officeDocument/2006/relationships/hyperlink" Target="https://drive.google.com/file/d/1M-PLQH0DHSOasxhGZevuZIYhijYuXz3y/view?usp=drivesdk" TargetMode="External"/><Relationship Id="rId1964" Type="http://schemas.openxmlformats.org/officeDocument/2006/relationships/hyperlink" Target="https://lh5.googleusercontent.com/d/1Mm0S-QHboaa6ioV5gnBL5trXCLVb5Nbk" TargetMode="External"/><Relationship Id="rId1965" Type="http://schemas.openxmlformats.org/officeDocument/2006/relationships/hyperlink" Target="https://drive.google.com/file/d/1M5wNxMf8I4e5uKT4aZ_PMGuDR8C9Of3S/view?usp=drivesdk" TargetMode="External"/><Relationship Id="rId1966" Type="http://schemas.openxmlformats.org/officeDocument/2006/relationships/hyperlink" Target="https://lh5.googleusercontent.com/d/11lnxowgVDIa2-H1IvPes-JCrEKfNb94k" TargetMode="External"/><Relationship Id="rId1967" Type="http://schemas.openxmlformats.org/officeDocument/2006/relationships/hyperlink" Target="https://drive.google.com/file/d/15DfXqOawocw2N0v3q3uY7d4HyD7hAllL/view?usp=drivesdk" TargetMode="External"/><Relationship Id="rId1968" Type="http://schemas.openxmlformats.org/officeDocument/2006/relationships/hyperlink" Target="https://lh5.googleusercontent.com/d/1BVSD5YICOyLrWNibutun_j2rubwsW8nK" TargetMode="External"/><Relationship Id="rId1969" Type="http://schemas.openxmlformats.org/officeDocument/2006/relationships/hyperlink" Target="https://drive.google.com/file/d/1oHL06dBa772e2iwEWgpd_F-fsNtwzeEf/view?usp=drivesdk" TargetMode="External"/><Relationship Id="rId1960" Type="http://schemas.openxmlformats.org/officeDocument/2006/relationships/hyperlink" Target="https://lh5.googleusercontent.com/d/12-9iibOUnzbaV4rLE5haOvUmPT4Uphad" TargetMode="External"/><Relationship Id="rId1994" Type="http://schemas.openxmlformats.org/officeDocument/2006/relationships/hyperlink" Target="https://lh5.googleusercontent.com/d/1CjfYm-4aO8i0PIjTRBoNy7v6SL7vbBo9" TargetMode="External"/><Relationship Id="rId1995" Type="http://schemas.openxmlformats.org/officeDocument/2006/relationships/hyperlink" Target="https://drive.google.com/file/d/1NR98Q7FkpXK68z-Q5mYrNFFwxxpzVZdC/view?usp=drivesdk" TargetMode="External"/><Relationship Id="rId1996" Type="http://schemas.openxmlformats.org/officeDocument/2006/relationships/hyperlink" Target="https://lh5.googleusercontent.com/d/1c2Xk_NkQfBVQno_a4trTeEqBBj_4Ad6Y" TargetMode="External"/><Relationship Id="rId1997" Type="http://schemas.openxmlformats.org/officeDocument/2006/relationships/hyperlink" Target="https://drive.google.com/file/d/1uSSJIRSM8EfE1KoB8M2cmz7ZdHjcWd3w/view?usp=drivesdk" TargetMode="External"/><Relationship Id="rId1998" Type="http://schemas.openxmlformats.org/officeDocument/2006/relationships/hyperlink" Target="https://lh5.googleusercontent.com/d/1JhN_r95P2YoMRdPvJoFrxu2GCamGHTnM" TargetMode="External"/><Relationship Id="rId1999" Type="http://schemas.openxmlformats.org/officeDocument/2006/relationships/hyperlink" Target="https://drive.google.com/file/d/1ByHT40YJQofSNDVTIvWuC9eLfpbCifkb/view?usp=drivesdk" TargetMode="External"/><Relationship Id="rId1990" Type="http://schemas.openxmlformats.org/officeDocument/2006/relationships/hyperlink" Target="https://lh5.googleusercontent.com/d/1xVxQ8lk3phtqjSrj7CuCQ4uU5dj8iCey" TargetMode="External"/><Relationship Id="rId1991" Type="http://schemas.openxmlformats.org/officeDocument/2006/relationships/hyperlink" Target="https://drive.google.com/file/d/1rb4MWMj-Gzm2bAqYnAVfHWzFrfMTfAny/view?usp=drivesdk" TargetMode="External"/><Relationship Id="rId1992" Type="http://schemas.openxmlformats.org/officeDocument/2006/relationships/hyperlink" Target="https://lh5.googleusercontent.com/d/1DhciN0wK1U4SI2CNAvsEIx6Cnl2OOX0R" TargetMode="External"/><Relationship Id="rId1993" Type="http://schemas.openxmlformats.org/officeDocument/2006/relationships/hyperlink" Target="https://drive.google.com/file/d/1P4GVn0mLgYehZM0m-Xrl2yTP-2B3GXSp/view?usp=drivesdk" TargetMode="External"/><Relationship Id="rId1983" Type="http://schemas.openxmlformats.org/officeDocument/2006/relationships/hyperlink" Target="https://drive.google.com/file/d/1d8jQUMsDuM2qLMm7uRjrP2s1AMBkTBxO/view?usp=drivesdk" TargetMode="External"/><Relationship Id="rId1984" Type="http://schemas.openxmlformats.org/officeDocument/2006/relationships/hyperlink" Target="https://lh5.googleusercontent.com/d/1_4m-JBk_r4ErZ1xE_pYQoMhWtKjzeDs1" TargetMode="External"/><Relationship Id="rId1985" Type="http://schemas.openxmlformats.org/officeDocument/2006/relationships/hyperlink" Target="https://drive.google.com/file/d/1P25g1ugrx5AI0XAGS1kefOYkEpFxyhn9/view?usp=drivesdk" TargetMode="External"/><Relationship Id="rId1986" Type="http://schemas.openxmlformats.org/officeDocument/2006/relationships/hyperlink" Target="https://lh5.googleusercontent.com/d/1Gj6MgHoZorXpaaZZf_XAtDAOKWeB5Df1" TargetMode="External"/><Relationship Id="rId1987" Type="http://schemas.openxmlformats.org/officeDocument/2006/relationships/hyperlink" Target="https://drive.google.com/file/d/1Qd8weISwgwf2vXty5xq1RGEuwZ4VHMde/view?usp=drivesdk" TargetMode="External"/><Relationship Id="rId1988" Type="http://schemas.openxmlformats.org/officeDocument/2006/relationships/hyperlink" Target="https://lh5.googleusercontent.com/d/1_o-3q3YP3X3TLMVv-r_uXyWB6hw0iBKW" TargetMode="External"/><Relationship Id="rId1989" Type="http://schemas.openxmlformats.org/officeDocument/2006/relationships/hyperlink" Target="https://drive.google.com/file/d/1KCzz5WiddY9KKXVA3eIuRhY9sTvfb-l_/view?usp=drivesdk" TargetMode="External"/><Relationship Id="rId1980" Type="http://schemas.openxmlformats.org/officeDocument/2006/relationships/hyperlink" Target="https://lh5.googleusercontent.com/d/1GbdSD_wF2vyVzleLm9xjjjoP7De37Aah" TargetMode="External"/><Relationship Id="rId1981" Type="http://schemas.openxmlformats.org/officeDocument/2006/relationships/hyperlink" Target="https://drive.google.com/file/d/1D-DGgZ5ALTrNJod49bWmmZXzxsF3T6nv/view?usp=drivesdk" TargetMode="External"/><Relationship Id="rId1982" Type="http://schemas.openxmlformats.org/officeDocument/2006/relationships/hyperlink" Target="https://lh5.googleusercontent.com/d/1eocvNaxhTB9oQbrvzqbeWPVUE0fVRjdc" TargetMode="External"/><Relationship Id="rId1930" Type="http://schemas.openxmlformats.org/officeDocument/2006/relationships/hyperlink" Target="https://lh5.googleusercontent.com/d/1OUzmuXxU2G2bkx9ItItXtRINzzlLbMhX" TargetMode="External"/><Relationship Id="rId1931" Type="http://schemas.openxmlformats.org/officeDocument/2006/relationships/hyperlink" Target="https://drive.google.com/file/d/1BseONDlyE3hRCYWG5dlt5Fa7DlqnY04X/view?usp=drivesdk" TargetMode="External"/><Relationship Id="rId1932" Type="http://schemas.openxmlformats.org/officeDocument/2006/relationships/hyperlink" Target="https://lh5.googleusercontent.com/d/10n6WH0toNF4mdckLAOiIcg5A8nWTAjvP" TargetMode="External"/><Relationship Id="rId1933" Type="http://schemas.openxmlformats.org/officeDocument/2006/relationships/hyperlink" Target="https://drive.google.com/file/d/1TgBVy7X73A7KPj9AQdsRG9totkTRjyBi/view?usp=drivesdk" TargetMode="External"/><Relationship Id="rId1934" Type="http://schemas.openxmlformats.org/officeDocument/2006/relationships/hyperlink" Target="https://lh5.googleusercontent.com/d/1znxR8Hjq18Mp8oi54wtdbmtLv2wW5fWH" TargetMode="External"/><Relationship Id="rId1935" Type="http://schemas.openxmlformats.org/officeDocument/2006/relationships/hyperlink" Target="https://drive.google.com/file/d/1yD0Ohrg80TecfBIHD6eJYJbypNLh_PHu/view?usp=drivesdk" TargetMode="External"/><Relationship Id="rId1936" Type="http://schemas.openxmlformats.org/officeDocument/2006/relationships/hyperlink" Target="https://lh5.googleusercontent.com/d/1eGQ5CAtjziGQim3s2Ue8xlfLz7SRQD7q" TargetMode="External"/><Relationship Id="rId1937" Type="http://schemas.openxmlformats.org/officeDocument/2006/relationships/hyperlink" Target="https://drive.google.com/file/d/1fuO_l9nsDpZuhIv59Cbq1wrpr8KR3Lhz/view?usp=drivesdk" TargetMode="External"/><Relationship Id="rId1938" Type="http://schemas.openxmlformats.org/officeDocument/2006/relationships/hyperlink" Target="https://lh5.googleusercontent.com/d/1AURERdOwFeP6h_XwISkHQz67rRpafgsj" TargetMode="External"/><Relationship Id="rId1939" Type="http://schemas.openxmlformats.org/officeDocument/2006/relationships/hyperlink" Target="https://drive.google.com/file/d/1ANGgjWJjvMwLcTSLZkIfMZW_yfIAHANh/view?usp=drivesdk" TargetMode="External"/><Relationship Id="rId1920" Type="http://schemas.openxmlformats.org/officeDocument/2006/relationships/hyperlink" Target="https://drive.google.com/file/d/1IfNTgNP-ttE3TL52YA4i0ZWWzZUZkUwu/view?usp=drivesdk" TargetMode="External"/><Relationship Id="rId1921" Type="http://schemas.openxmlformats.org/officeDocument/2006/relationships/hyperlink" Target="https://lh5.googleusercontent.com/d/1NEYmg9UEUsyDlWU39yYbuoVZarmkZ0Vh" TargetMode="External"/><Relationship Id="rId1922" Type="http://schemas.openxmlformats.org/officeDocument/2006/relationships/hyperlink" Target="https://drive.google.com/file/d/1OiIaxjekkQHARQoxXzH8BFCf_a8WrkB3/view?usp=drivesdk" TargetMode="External"/><Relationship Id="rId1923" Type="http://schemas.openxmlformats.org/officeDocument/2006/relationships/hyperlink" Target="https://lh5.googleusercontent.com/d/15Wu-8UlOPdOjK5rTdadUpg6k3VXcLxXM" TargetMode="External"/><Relationship Id="rId1924" Type="http://schemas.openxmlformats.org/officeDocument/2006/relationships/hyperlink" Target="https://drive.google.com/file/d/1wa98BO2BUehuWs0iQWN9L8jIDl3373Pw/view?usp=drivesdk" TargetMode="External"/><Relationship Id="rId1925" Type="http://schemas.openxmlformats.org/officeDocument/2006/relationships/hyperlink" Target="https://lh5.googleusercontent.com/d/1MDsWq-_QNME0f6hVfyz26ghTPJLuWgs5" TargetMode="External"/><Relationship Id="rId1926" Type="http://schemas.openxmlformats.org/officeDocument/2006/relationships/hyperlink" Target="https://drive.google.com/file/d/1QJWjHyDVdgAHLoN0tovGBY47waVQmX3p/view?usp=drivesdk" TargetMode="External"/><Relationship Id="rId1927" Type="http://schemas.openxmlformats.org/officeDocument/2006/relationships/hyperlink" Target="https://lh5.googleusercontent.com/d/1Dx7TVZUzKVFoZBpD0KH-cdlVn1Qi8bMV" TargetMode="External"/><Relationship Id="rId1928" Type="http://schemas.openxmlformats.org/officeDocument/2006/relationships/hyperlink" Target="https://lh5.googleusercontent.com/d/1N7zEHogITp1hBnR6MI-uQA5tSSAeOeOq" TargetMode="External"/><Relationship Id="rId1929" Type="http://schemas.openxmlformats.org/officeDocument/2006/relationships/hyperlink" Target="https://drive.google.com/file/d/1ZKSTa1v7PUlzKP1JNTS9UpqQ5Qk9bTl2/view?usp=drivesdk" TargetMode="External"/><Relationship Id="rId4190" Type="http://schemas.openxmlformats.org/officeDocument/2006/relationships/hyperlink" Target="https://drive.google.com/file/d/19MK7dgraEI9T44Ulfu_jh_Syzj-z6J-s/view?usp=drivesdk" TargetMode="External"/><Relationship Id="rId4192" Type="http://schemas.openxmlformats.org/officeDocument/2006/relationships/hyperlink" Target="https://drive.google.com/file/d/1bC4QDE3rIyj5Br3yoJwE2rDbo51mYdGI/view?usp=drivesdk" TargetMode="External"/><Relationship Id="rId4191" Type="http://schemas.openxmlformats.org/officeDocument/2006/relationships/hyperlink" Target="https://lh5.googleusercontent.com/d/1K14lJPiU8_15hEbYtnaamQypm0C___It" TargetMode="External"/><Relationship Id="rId4194" Type="http://schemas.openxmlformats.org/officeDocument/2006/relationships/hyperlink" Target="https://lh5.googleusercontent.com/d/1XCu2ARgNfjlmvBTgNkjAGFyKOPrrfONx" TargetMode="External"/><Relationship Id="rId4193" Type="http://schemas.openxmlformats.org/officeDocument/2006/relationships/hyperlink" Target="https://lh5.googleusercontent.com/d/1_TnqQfV7uJiYJjngPwcP0mZ_fgSPTKpM" TargetMode="External"/><Relationship Id="rId4196" Type="http://schemas.openxmlformats.org/officeDocument/2006/relationships/hyperlink" Target="https://lh5.googleusercontent.com/d/1tbE2mFWHmrjPkMZCTZDAR496edfBzHI4" TargetMode="External"/><Relationship Id="rId4195" Type="http://schemas.openxmlformats.org/officeDocument/2006/relationships/hyperlink" Target="https://drive.google.com/file/d/1ONSgLwit3TcettiqDL7NitaZKg7TV_Xp/view?usp=drivesdk" TargetMode="External"/><Relationship Id="rId4198" Type="http://schemas.openxmlformats.org/officeDocument/2006/relationships/hyperlink" Target="https://lh5.googleusercontent.com/d/1JpA4sost2BpFsv4Ys5rAw5Ka1GOzX8r-" TargetMode="External"/><Relationship Id="rId4197" Type="http://schemas.openxmlformats.org/officeDocument/2006/relationships/hyperlink" Target="https://drive.google.com/file/d/1m3AnxfR-MEybcM12Vn0myNB92wk9R29q/view?usp=drivesdk" TargetMode="External"/><Relationship Id="rId4199" Type="http://schemas.openxmlformats.org/officeDocument/2006/relationships/hyperlink" Target="https://drive.google.com/file/d/1GTnHMPhLKEC1iUuKge-FwpKIoOdfNi-W/view?usp=drivesdk" TargetMode="External"/><Relationship Id="rId1950" Type="http://schemas.openxmlformats.org/officeDocument/2006/relationships/hyperlink" Target="https://lh5.googleusercontent.com/d/1v5G0cYBGm4bxO8EomeKZoHm74g57zRqY" TargetMode="External"/><Relationship Id="rId1951" Type="http://schemas.openxmlformats.org/officeDocument/2006/relationships/hyperlink" Target="https://drive.google.com/file/d/1Xxw-Pz_dyE60flDYj56LfaNLIiadah6y/view?usp=drivesdk" TargetMode="External"/><Relationship Id="rId1952" Type="http://schemas.openxmlformats.org/officeDocument/2006/relationships/hyperlink" Target="https://lh5.googleusercontent.com/d/1yxYAiKWONgd2IKc7w0HX7dXxfu5IJYlE" TargetMode="External"/><Relationship Id="rId1953" Type="http://schemas.openxmlformats.org/officeDocument/2006/relationships/hyperlink" Target="https://drive.google.com/file/d/1NLZwU4x0oZKN6UEQwY5I1gXQeSWBPvpu/view?usp=drivesdk" TargetMode="External"/><Relationship Id="rId1954" Type="http://schemas.openxmlformats.org/officeDocument/2006/relationships/hyperlink" Target="https://lh5.googleusercontent.com/d/1Y5PO4O6z__zrjmM-fcT5gDksmZNpAkfs" TargetMode="External"/><Relationship Id="rId1955" Type="http://schemas.openxmlformats.org/officeDocument/2006/relationships/hyperlink" Target="https://drive.google.com/file/d/1YAXHRDz3XSHd2FO8wPfqeVwnS39_v8OY/view?usp=drivesdk" TargetMode="External"/><Relationship Id="rId1956" Type="http://schemas.openxmlformats.org/officeDocument/2006/relationships/hyperlink" Target="https://lh5.googleusercontent.com/d/14V1Acam2iryBmpAkE4_L2TTgMyiJquBz" TargetMode="External"/><Relationship Id="rId1957" Type="http://schemas.openxmlformats.org/officeDocument/2006/relationships/hyperlink" Target="https://drive.google.com/file/d/1fyYYGh6SlEgYJWcikxALIN-DcMd_tcYw/view?usp=drivesdk" TargetMode="External"/><Relationship Id="rId1958" Type="http://schemas.openxmlformats.org/officeDocument/2006/relationships/hyperlink" Target="https://lh5.googleusercontent.com/d/1y0ltyHAO_jWoswSqFIt_hoD_VXKvgpgj" TargetMode="External"/><Relationship Id="rId1959" Type="http://schemas.openxmlformats.org/officeDocument/2006/relationships/hyperlink" Target="https://drive.google.com/file/d/1kVEvxHPJh9pRIbr_6zR5KlLZ88QJ9Qht/view?usp=drivesdk" TargetMode="External"/><Relationship Id="rId1940" Type="http://schemas.openxmlformats.org/officeDocument/2006/relationships/hyperlink" Target="https://lh5.googleusercontent.com/d/1XgyOKBTxYbUr707xCFM9wnzS-OZV9A7W" TargetMode="External"/><Relationship Id="rId1941" Type="http://schemas.openxmlformats.org/officeDocument/2006/relationships/hyperlink" Target="https://drive.google.com/file/d/1VluueX1eVMJSAs3ZZ7orsuZ5sblWnd_a/view?usp=drivesdk" TargetMode="External"/><Relationship Id="rId1942" Type="http://schemas.openxmlformats.org/officeDocument/2006/relationships/hyperlink" Target="https://lh5.googleusercontent.com/d/1ox9aUISmKn-4VmXE5Uzc9edK4BfaT1bI" TargetMode="External"/><Relationship Id="rId1943" Type="http://schemas.openxmlformats.org/officeDocument/2006/relationships/hyperlink" Target="https://drive.google.com/file/d/1RlcMYFnPSGHdr0mhRjIkE54vOM7nI8Zy/view?usp=drivesdk" TargetMode="External"/><Relationship Id="rId1944" Type="http://schemas.openxmlformats.org/officeDocument/2006/relationships/hyperlink" Target="https://lh5.googleusercontent.com/d/1VhVZLZP-AKiOfAaRppA2kmefKV-V_W9Q" TargetMode="External"/><Relationship Id="rId1945" Type="http://schemas.openxmlformats.org/officeDocument/2006/relationships/hyperlink" Target="https://drive.google.com/file/d/1H6IcODm2oL5X6DFmaTrhCsH0RPxtDoQR/view?usp=drivesdk" TargetMode="External"/><Relationship Id="rId1946" Type="http://schemas.openxmlformats.org/officeDocument/2006/relationships/hyperlink" Target="https://lh5.googleusercontent.com/d/1xbRUF2rGbB3FV0gGM_-P6GPicrZLFDoc" TargetMode="External"/><Relationship Id="rId1947" Type="http://schemas.openxmlformats.org/officeDocument/2006/relationships/hyperlink" Target="https://drive.google.com/file/d/1cX_dKJ3U6p7MUuDW0vN7L1YParxuy92z/view?usp=drivesdk" TargetMode="External"/><Relationship Id="rId1948" Type="http://schemas.openxmlformats.org/officeDocument/2006/relationships/hyperlink" Target="https://lh5.googleusercontent.com/d/1oimbKveejCVYq53zwJP7UTVbWKW-IUak" TargetMode="External"/><Relationship Id="rId1949" Type="http://schemas.openxmlformats.org/officeDocument/2006/relationships/hyperlink" Target="https://drive.google.com/file/d/1uSEqEeBUoXMQ1TInVkkxaIaqvBxNo428/view?usp=drivesdk" TargetMode="External"/><Relationship Id="rId2423" Type="http://schemas.openxmlformats.org/officeDocument/2006/relationships/hyperlink" Target="https://drive.google.com/file/d/1iv_0g_Uxatfxa7Ds4YJeBkX92w5XXQ35/view?usp=drivesdk" TargetMode="External"/><Relationship Id="rId3755" Type="http://schemas.openxmlformats.org/officeDocument/2006/relationships/hyperlink" Target="https://lh5.googleusercontent.com/d/1XRGS7Bn4RBXb_hwAtB9AwwBa1DeZE7gw" TargetMode="External"/><Relationship Id="rId2424" Type="http://schemas.openxmlformats.org/officeDocument/2006/relationships/hyperlink" Target="https://lh5.googleusercontent.com/d/1M-U_h399N7IJ7GFH11eashTjCU-KldLG" TargetMode="External"/><Relationship Id="rId3754" Type="http://schemas.openxmlformats.org/officeDocument/2006/relationships/hyperlink" Target="https://drive.google.com/file/d/1ykSbrwXnxKYhKqrPDY-K4grmOn2089oM/view?usp=drivesdk" TargetMode="External"/><Relationship Id="rId2425" Type="http://schemas.openxmlformats.org/officeDocument/2006/relationships/hyperlink" Target="https://drive.google.com/file/d/1xcEFVnsD1D1c0UmG-VCdyHB1qFDQwvmj/view?usp=drivesdk" TargetMode="External"/><Relationship Id="rId3757" Type="http://schemas.openxmlformats.org/officeDocument/2006/relationships/hyperlink" Target="https://lh5.googleusercontent.com/d/19UwtO5cg6VJvf-XwszrB9UkfstH4SBqL" TargetMode="External"/><Relationship Id="rId2426" Type="http://schemas.openxmlformats.org/officeDocument/2006/relationships/hyperlink" Target="https://lh5.googleusercontent.com/d/128b6wnZwMakcRIuuKCuWsS1DwHBNO0K4" TargetMode="External"/><Relationship Id="rId3756" Type="http://schemas.openxmlformats.org/officeDocument/2006/relationships/hyperlink" Target="https://drive.google.com/file/d/1C8CzDYJNTHLkbQ3SFLgDDEEHL58cwjpl/view?usp=drivesdk" TargetMode="External"/><Relationship Id="rId2427" Type="http://schemas.openxmlformats.org/officeDocument/2006/relationships/hyperlink" Target="https://drive.google.com/file/d/1R4Zg09bdZHl9LQBa9QdDDeSR68UnUv7M/view?usp=drivesdk" TargetMode="External"/><Relationship Id="rId3759" Type="http://schemas.openxmlformats.org/officeDocument/2006/relationships/hyperlink" Target="https://lh5.googleusercontent.com/d/11YymM3PR1MFiNF_L40XW9x_xkQLXCR5W" TargetMode="External"/><Relationship Id="rId2428" Type="http://schemas.openxmlformats.org/officeDocument/2006/relationships/hyperlink" Target="https://lh5.googleusercontent.com/d/1sjD8jpykkg_sdfcjbLp_PFOo9N34Ek1i" TargetMode="External"/><Relationship Id="rId3758" Type="http://schemas.openxmlformats.org/officeDocument/2006/relationships/hyperlink" Target="https://drive.google.com/file/d/1ViHLaOWHzyNQWQodbzc04EJdaMnjgrMX/view?usp=drivesdk" TargetMode="External"/><Relationship Id="rId2429" Type="http://schemas.openxmlformats.org/officeDocument/2006/relationships/hyperlink" Target="https://drive.google.com/file/d/1jRAgUIchQtFP3Xzl7Lz2UCh4d66M6U6t/view?usp=drivesdk" TargetMode="External"/><Relationship Id="rId509" Type="http://schemas.openxmlformats.org/officeDocument/2006/relationships/hyperlink" Target="https://drive.google.com/file/d/1s0SRQBQ_fD68RAKbfUT-zwcWNYu5MwUe/view?usp=drivesdk" TargetMode="External"/><Relationship Id="rId508" Type="http://schemas.openxmlformats.org/officeDocument/2006/relationships/hyperlink" Target="https://lh5.googleusercontent.com/d/1MipQSOQKkFzqokUIRwtB25dmOOrx0Ln5" TargetMode="External"/><Relationship Id="rId503" Type="http://schemas.openxmlformats.org/officeDocument/2006/relationships/hyperlink" Target="https://drive.google.com/file/d/1nv9XNu_ck6R9O_GGSL8tjwc3caCaNqSi/view?usp=drivesdk" TargetMode="External"/><Relationship Id="rId502" Type="http://schemas.openxmlformats.org/officeDocument/2006/relationships/hyperlink" Target="https://lh5.googleusercontent.com/d/1_mxj32Jm4xmG1c5ayOmPHoYrhr7AnQLm" TargetMode="External"/><Relationship Id="rId501" Type="http://schemas.openxmlformats.org/officeDocument/2006/relationships/hyperlink" Target="https://drive.google.com/file/d/1LqLN1FVz418-zHedMMbBJ4Wn575V8Z-y/view?usp=drivesdk" TargetMode="External"/><Relationship Id="rId500" Type="http://schemas.openxmlformats.org/officeDocument/2006/relationships/hyperlink" Target="https://lh5.googleusercontent.com/d/1PWqrYmjcTehFLcvYhd69apNGIriavupq" TargetMode="External"/><Relationship Id="rId507" Type="http://schemas.openxmlformats.org/officeDocument/2006/relationships/hyperlink" Target="https://drive.google.com/file/d/1W-orsE1FqXpW09CyKvZqyuQTr8gXlZEU/view?usp=drivesdk" TargetMode="External"/><Relationship Id="rId506" Type="http://schemas.openxmlformats.org/officeDocument/2006/relationships/hyperlink" Target="https://lh5.googleusercontent.com/d/1jFGsSIDqI_1oWoONxyM66rY_ZdNXxcDD" TargetMode="External"/><Relationship Id="rId505" Type="http://schemas.openxmlformats.org/officeDocument/2006/relationships/hyperlink" Target="https://drive.google.com/file/d/1TU3y9zFE_RBujSqSXjZetbjPlkp-Zoj2/view?usp=drivesdk" TargetMode="External"/><Relationship Id="rId504" Type="http://schemas.openxmlformats.org/officeDocument/2006/relationships/hyperlink" Target="https://lh5.googleusercontent.com/d/17OysKuSguYbZJNdJCw0iGHyw0lqWAMX3" TargetMode="External"/><Relationship Id="rId3751" Type="http://schemas.openxmlformats.org/officeDocument/2006/relationships/hyperlink" Target="https://lh5.googleusercontent.com/d/1PzIKWcyLQn8oSlVx2ycPdDv8LMwLg2cl" TargetMode="External"/><Relationship Id="rId2420" Type="http://schemas.openxmlformats.org/officeDocument/2006/relationships/hyperlink" Target="https://lh5.googleusercontent.com/d/1bl4PHdzu91fXwS_mH4vojH_ulZ56uljJ" TargetMode="External"/><Relationship Id="rId3750" Type="http://schemas.openxmlformats.org/officeDocument/2006/relationships/hyperlink" Target="https://drive.google.com/file/d/1xyiLgHajiWDshl2v4TpnrOyNs1b6Evfc/view?usp=drivesdk" TargetMode="External"/><Relationship Id="rId2421" Type="http://schemas.openxmlformats.org/officeDocument/2006/relationships/hyperlink" Target="https://drive.google.com/file/d/1JY-49Hgsl0yNWLFdXUzHkpFCXcOY8Zqu/view?usp=drivesdk" TargetMode="External"/><Relationship Id="rId3753" Type="http://schemas.openxmlformats.org/officeDocument/2006/relationships/hyperlink" Target="https://lh5.googleusercontent.com/d/1KvUBU2oDirHp-AV35tGFy8e_xj3zWnHe" TargetMode="External"/><Relationship Id="rId2422" Type="http://schemas.openxmlformats.org/officeDocument/2006/relationships/hyperlink" Target="https://lh5.googleusercontent.com/d/1HLVTUkEl5Z33OD0ghwlUuuv8rgdA3C2n" TargetMode="External"/><Relationship Id="rId3752" Type="http://schemas.openxmlformats.org/officeDocument/2006/relationships/hyperlink" Target="https://drive.google.com/file/d/1eTdXtgtms7cFYX1TeeiWICgrLWOplpQu/view?usp=drivesdk" TargetMode="External"/><Relationship Id="rId2412" Type="http://schemas.openxmlformats.org/officeDocument/2006/relationships/hyperlink" Target="https://lh5.googleusercontent.com/d/10mHdUa_1Y_XAg02msq2nXBobPdgoC6bI" TargetMode="External"/><Relationship Id="rId3744" Type="http://schemas.openxmlformats.org/officeDocument/2006/relationships/hyperlink" Target="https://drive.google.com/file/d/1RZXPKV971TymVwLQO2YeTwHOBKnVn1Qe/view?usp=drivesdk" TargetMode="External"/><Relationship Id="rId2413" Type="http://schemas.openxmlformats.org/officeDocument/2006/relationships/hyperlink" Target="https://drive.google.com/file/d/1eFsbZTH1XeS1keFniveoN7OnyiAJ_LIg/view?usp=drivesdk" TargetMode="External"/><Relationship Id="rId3743" Type="http://schemas.openxmlformats.org/officeDocument/2006/relationships/hyperlink" Target="https://lh5.googleusercontent.com/d/19QFvV6kWDEmUUljjxtLsCs_CQ6rbHn0h" TargetMode="External"/><Relationship Id="rId2414" Type="http://schemas.openxmlformats.org/officeDocument/2006/relationships/hyperlink" Target="https://lh5.googleusercontent.com/d/1DtpOKNpK4tbIWVzKcx5av8cW_iaQESnv" TargetMode="External"/><Relationship Id="rId3746" Type="http://schemas.openxmlformats.org/officeDocument/2006/relationships/hyperlink" Target="https://drive.google.com/file/d/1gKv9O9cuWtfGvQVTsbD-c-qtjCA7BA7z/view?usp=drivesdk" TargetMode="External"/><Relationship Id="rId2415" Type="http://schemas.openxmlformats.org/officeDocument/2006/relationships/hyperlink" Target="https://drive.google.com/file/d/1iU_BICwOJ7bQT2rP3AzE_i1tZIwvM-ez/view?usp=drivesdk" TargetMode="External"/><Relationship Id="rId3745" Type="http://schemas.openxmlformats.org/officeDocument/2006/relationships/hyperlink" Target="https://lh5.googleusercontent.com/d/1p2mwxVF6wWmnFKtNSJNfiU5E7jTsITgG" TargetMode="External"/><Relationship Id="rId2416" Type="http://schemas.openxmlformats.org/officeDocument/2006/relationships/hyperlink" Target="https://lh5.googleusercontent.com/d/1FtLXNhcZx6J0mUnGUcMjk3AoSF4Z2yOp" TargetMode="External"/><Relationship Id="rId3748" Type="http://schemas.openxmlformats.org/officeDocument/2006/relationships/hyperlink" Target="https://drive.google.com/file/d/1a63IUdZx5VW6dKKT9dYakCVjdZpFFRrx/view?usp=drivesdk" TargetMode="External"/><Relationship Id="rId2417" Type="http://schemas.openxmlformats.org/officeDocument/2006/relationships/hyperlink" Target="https://drive.google.com/file/d/1UBT45eWA47Y1DbWlTEyeQ-FL8zSEDe_R/view?usp=drivesdk" TargetMode="External"/><Relationship Id="rId3747" Type="http://schemas.openxmlformats.org/officeDocument/2006/relationships/hyperlink" Target="https://lh5.googleusercontent.com/d/1il7TnyNGLOO2XlM5c6x4L1taKlci8B5Y" TargetMode="External"/><Relationship Id="rId2418" Type="http://schemas.openxmlformats.org/officeDocument/2006/relationships/hyperlink" Target="https://lh5.googleusercontent.com/d/1n6UF7HA55tP2_LjGoMMzc_x9Cwsk6YEd" TargetMode="External"/><Relationship Id="rId2419" Type="http://schemas.openxmlformats.org/officeDocument/2006/relationships/hyperlink" Target="https://drive.google.com/file/d/1Ttz8CP0m9nJnqsVe68cw0mvB5SglSH8s/view?usp=drivesdk" TargetMode="External"/><Relationship Id="rId3749" Type="http://schemas.openxmlformats.org/officeDocument/2006/relationships/hyperlink" Target="https://lh5.googleusercontent.com/d/1Za74XXjgETQeC2zyb9g-LcNffc9rnFgE" TargetMode="External"/><Relationship Id="rId3740" Type="http://schemas.openxmlformats.org/officeDocument/2006/relationships/hyperlink" Target="https://drive.google.com/file/d/182xxxv7pOzB6UJXDWQVsHSbGAXFHu65B/view?usp=drivesdk" TargetMode="External"/><Relationship Id="rId2410" Type="http://schemas.openxmlformats.org/officeDocument/2006/relationships/hyperlink" Target="https://lh5.googleusercontent.com/d/1G6eb-WptWDUDLVXiZZp6UfmOEviwkyrS" TargetMode="External"/><Relationship Id="rId3742" Type="http://schemas.openxmlformats.org/officeDocument/2006/relationships/hyperlink" Target="https://drive.google.com/file/d/1gH9qhBydMajBUKaK9-wc7yQRhd4iV4RN/view?usp=drivesdk" TargetMode="External"/><Relationship Id="rId2411" Type="http://schemas.openxmlformats.org/officeDocument/2006/relationships/hyperlink" Target="https://drive.google.com/file/d/1QPktD7IIT-JaV1FJiQgS5L2cOuGD8FXX/view?usp=drivesdk" TargetMode="External"/><Relationship Id="rId3741" Type="http://schemas.openxmlformats.org/officeDocument/2006/relationships/hyperlink" Target="https://lh5.googleusercontent.com/d/11uhbUOwlw25K2Bv8WuiX89rKnvSP20uo" TargetMode="External"/><Relationship Id="rId1114" Type="http://schemas.openxmlformats.org/officeDocument/2006/relationships/hyperlink" Target="https://lh5.googleusercontent.com/d/1cCBsTe7tA9RCzvIhsczxq0XyijmwYwmu" TargetMode="External"/><Relationship Id="rId2445" Type="http://schemas.openxmlformats.org/officeDocument/2006/relationships/hyperlink" Target="https://drive.google.com/file/d/1uvPY0NMitAm9xa3RcRJtiJouDMMi57zI/view?usp=drivesdk" TargetMode="External"/><Relationship Id="rId3777" Type="http://schemas.openxmlformats.org/officeDocument/2006/relationships/hyperlink" Target="https://lh5.googleusercontent.com/d/1WkCcoktIN6CzICnmNqbJuPDWRyrgnIV4" TargetMode="External"/><Relationship Id="rId1115" Type="http://schemas.openxmlformats.org/officeDocument/2006/relationships/hyperlink" Target="https://drive.google.com/file/d/1b6agFwx7jfWX8nbZKs7OLG0G6sPypPsC/view?usp=drivesdk" TargetMode="External"/><Relationship Id="rId2446" Type="http://schemas.openxmlformats.org/officeDocument/2006/relationships/hyperlink" Target="https://lh5.googleusercontent.com/d/1-E1s9uJYeEZX3si6hnARKwXuJIToA4rG" TargetMode="External"/><Relationship Id="rId3776" Type="http://schemas.openxmlformats.org/officeDocument/2006/relationships/hyperlink" Target="https://drive.google.com/file/d/1ftePTOZLZxDFC-Nt6TgmS9cm6_XKAjz8/view?usp=drivesdk" TargetMode="External"/><Relationship Id="rId1116" Type="http://schemas.openxmlformats.org/officeDocument/2006/relationships/hyperlink" Target="https://lh5.googleusercontent.com/d/1MYgWFHQ5Qo3MWwDwW4US8pYTsPD58CfT" TargetMode="External"/><Relationship Id="rId2447" Type="http://schemas.openxmlformats.org/officeDocument/2006/relationships/hyperlink" Target="https://drive.google.com/file/d/1wa5qXDbfsGbEufM0liw35JRHN7Z_1Rws/view?usp=drivesdk" TargetMode="External"/><Relationship Id="rId3779" Type="http://schemas.openxmlformats.org/officeDocument/2006/relationships/hyperlink" Target="https://lh5.googleusercontent.com/d/1quReMVEx7JRrzsN4MDdGv1gN0d146Q_U" TargetMode="External"/><Relationship Id="rId1117" Type="http://schemas.openxmlformats.org/officeDocument/2006/relationships/hyperlink" Target="https://drive.google.com/file/d/1d96hf2M23SRXDYy9V9mmPOz9gkIIa1--/view?usp=drivesdk" TargetMode="External"/><Relationship Id="rId2448" Type="http://schemas.openxmlformats.org/officeDocument/2006/relationships/hyperlink" Target="https://lh5.googleusercontent.com/d/1bAdqK1xDtK4UlfEzmINVjGY2F88wUpf8" TargetMode="External"/><Relationship Id="rId3778" Type="http://schemas.openxmlformats.org/officeDocument/2006/relationships/hyperlink" Target="https://drive.google.com/file/d/15ovOYpJzFgvck-u_UX8wRflZ7EKYJWfQ/view?usp=drivesdk" TargetMode="External"/><Relationship Id="rId1118" Type="http://schemas.openxmlformats.org/officeDocument/2006/relationships/hyperlink" Target="https://lh5.googleusercontent.com/d/1TYRCkvJ6gKoxOLCnz3tpyZLhvP1Lzvqt" TargetMode="External"/><Relationship Id="rId2449" Type="http://schemas.openxmlformats.org/officeDocument/2006/relationships/hyperlink" Target="https://drive.google.com/file/d/11WUZhld8Am4sn_3_Daim7w7GZJXHPGKf/view?usp=drivesdk" TargetMode="External"/><Relationship Id="rId1119" Type="http://schemas.openxmlformats.org/officeDocument/2006/relationships/hyperlink" Target="https://lh5.googleusercontent.com/d/1Z8D9Jywgootc7pDAgEVuHGgaCJnnFMYL" TargetMode="External"/><Relationship Id="rId525" Type="http://schemas.openxmlformats.org/officeDocument/2006/relationships/hyperlink" Target="https://drive.google.com/file/d/11NxfGIof_fguEzJIzMuYDewOBfkxTMaV/view?usp=drivesdk" TargetMode="External"/><Relationship Id="rId524" Type="http://schemas.openxmlformats.org/officeDocument/2006/relationships/hyperlink" Target="https://lh5.googleusercontent.com/d/1IJYecPzSdLija5m7F7EJhR7jVmnqEqTD" TargetMode="External"/><Relationship Id="rId523" Type="http://schemas.openxmlformats.org/officeDocument/2006/relationships/hyperlink" Target="https://drive.google.com/file/d/1EphmQpDq5_AFtyIV8qq5cowPRcrrD3mh/view?usp=drivesdk" TargetMode="External"/><Relationship Id="rId522" Type="http://schemas.openxmlformats.org/officeDocument/2006/relationships/hyperlink" Target="https://lh5.googleusercontent.com/d/1ywd9Zpv6Z_LHEth2KBGIvII7m1Xx3oOP" TargetMode="External"/><Relationship Id="rId529" Type="http://schemas.openxmlformats.org/officeDocument/2006/relationships/hyperlink" Target="https://drive.google.com/file/d/1Qnh1KJsms0vfC1I2DdlzIBZ1E3RxFEBn/view?usp=drivesdk" TargetMode="External"/><Relationship Id="rId528" Type="http://schemas.openxmlformats.org/officeDocument/2006/relationships/hyperlink" Target="https://lh5.googleusercontent.com/d/1tMoW8VVky7qmMxGx13ycy-4z4BJoOkyK" TargetMode="External"/><Relationship Id="rId527" Type="http://schemas.openxmlformats.org/officeDocument/2006/relationships/hyperlink" Target="https://drive.google.com/file/d/1kpUJiCLvXkd9cdb0esIhkjgMtFu0Fsv8/view?usp=drivesdk" TargetMode="External"/><Relationship Id="rId526" Type="http://schemas.openxmlformats.org/officeDocument/2006/relationships/hyperlink" Target="https://lh5.googleusercontent.com/d/1OFBmMMuXVyme0pFkC1LpZQTe_G6j_R1I" TargetMode="External"/><Relationship Id="rId3771" Type="http://schemas.openxmlformats.org/officeDocument/2006/relationships/hyperlink" Target="https://lh5.googleusercontent.com/d/1WuHtLjg0psvrpFWDW8CHk0KTOkqYHhln" TargetMode="External"/><Relationship Id="rId2440" Type="http://schemas.openxmlformats.org/officeDocument/2006/relationships/hyperlink" Target="https://lh5.googleusercontent.com/d/1nlbe9JkWwW8IB7LltMkE4jaEsqwFcQzP" TargetMode="External"/><Relationship Id="rId3770" Type="http://schemas.openxmlformats.org/officeDocument/2006/relationships/hyperlink" Target="https://drive.google.com/file/d/1AZln4ymoCKKkbaJ-xDAYg6ptor_ijRY3/view?usp=drivesdk" TargetMode="External"/><Relationship Id="rId521" Type="http://schemas.openxmlformats.org/officeDocument/2006/relationships/hyperlink" Target="https://drive.google.com/file/d/1Z4WB_CkSSI0OoAUbRIkFJxkzd9N998Cl/view?usp=drivesdk" TargetMode="External"/><Relationship Id="rId1110" Type="http://schemas.openxmlformats.org/officeDocument/2006/relationships/hyperlink" Target="https://drive.google.com/file/d/1AKBWpy9FmsY6DmTRJBv9UaSWWlpx4RzQ/view?usp=drivesdk" TargetMode="External"/><Relationship Id="rId2441" Type="http://schemas.openxmlformats.org/officeDocument/2006/relationships/hyperlink" Target="https://drive.google.com/file/d/1Xt88P5pOeuqtFITXa7H7lQND1tyEStCp/view?usp=drivesdk" TargetMode="External"/><Relationship Id="rId3773" Type="http://schemas.openxmlformats.org/officeDocument/2006/relationships/hyperlink" Target="https://lh5.googleusercontent.com/d/1UgmuIBGpELR4l0Cd_lE0_qvPIp4iQFDv" TargetMode="External"/><Relationship Id="rId520" Type="http://schemas.openxmlformats.org/officeDocument/2006/relationships/hyperlink" Target="https://lh5.googleusercontent.com/d/1Jev_8ezmKEuAynw-kMjLtc_CcD3c3702" TargetMode="External"/><Relationship Id="rId1111" Type="http://schemas.openxmlformats.org/officeDocument/2006/relationships/hyperlink" Target="https://lh5.googleusercontent.com/d/1tKgexD_7hljzDHWmwcs5eHVCQKRqK34D" TargetMode="External"/><Relationship Id="rId2442" Type="http://schemas.openxmlformats.org/officeDocument/2006/relationships/hyperlink" Target="https://lh5.googleusercontent.com/d/1WP-nRLHZLcMdfLLqFf_xrPFv8wn4O1Vw" TargetMode="External"/><Relationship Id="rId3772" Type="http://schemas.openxmlformats.org/officeDocument/2006/relationships/hyperlink" Target="https://drive.google.com/file/d/13QL1WBQm0DARZSPoQqPp0rCIPjL0F8ud/view?usp=drivesdk" TargetMode="External"/><Relationship Id="rId1112" Type="http://schemas.openxmlformats.org/officeDocument/2006/relationships/hyperlink" Target="https://lh5.googleusercontent.com/d/1cJBQU5Yg5iTc0IquAaWQ9JDkVM7ZjoiR" TargetMode="External"/><Relationship Id="rId2443" Type="http://schemas.openxmlformats.org/officeDocument/2006/relationships/hyperlink" Target="https://drive.google.com/file/d/1kF9Kl1pVvkigwgQ0GFYYmMnS2W99qQCm/view?usp=drivesdk" TargetMode="External"/><Relationship Id="rId3775" Type="http://schemas.openxmlformats.org/officeDocument/2006/relationships/hyperlink" Target="https://lh5.googleusercontent.com/d/1Lxsq-xqlAamO1DmQXLJbHoSHhD4nmBhx" TargetMode="External"/><Relationship Id="rId1113" Type="http://schemas.openxmlformats.org/officeDocument/2006/relationships/hyperlink" Target="https://drive.google.com/file/d/1akWNdnDfJx4MmqFPnMHt7qFHsnUQNsJJ/view?usp=drivesdk" TargetMode="External"/><Relationship Id="rId2444" Type="http://schemas.openxmlformats.org/officeDocument/2006/relationships/hyperlink" Target="https://lh5.googleusercontent.com/d/1j3WKrbLKZ5MZxTvmql8oxWXCDyDoXkVx" TargetMode="External"/><Relationship Id="rId3774" Type="http://schemas.openxmlformats.org/officeDocument/2006/relationships/hyperlink" Target="https://drive.google.com/file/d/1s-hfgjHp797XCsbhzqeZIOuBP408Qjen/view?usp=drivesdk" TargetMode="External"/><Relationship Id="rId1103" Type="http://schemas.openxmlformats.org/officeDocument/2006/relationships/hyperlink" Target="https://lh5.googleusercontent.com/d/1TqkOAic7aSnCNCDKCliIiPlKvFW_c2rz" TargetMode="External"/><Relationship Id="rId2434" Type="http://schemas.openxmlformats.org/officeDocument/2006/relationships/hyperlink" Target="https://lh5.googleusercontent.com/d/1BmW1OUKJ7a26T82sPhQns8Y9s93Aztgu" TargetMode="External"/><Relationship Id="rId3766" Type="http://schemas.openxmlformats.org/officeDocument/2006/relationships/hyperlink" Target="https://drive.google.com/file/d/1pv9DBVIrixj_r56Q14ooVl7gz0-QEDns/view?usp=drivesdk" TargetMode="External"/><Relationship Id="rId1104" Type="http://schemas.openxmlformats.org/officeDocument/2006/relationships/hyperlink" Target="https://drive.google.com/file/d/1Xshz2Pjucim-dhO5v7ApwHMQke5RQQMP/view?usp=drivesdk" TargetMode="External"/><Relationship Id="rId2435" Type="http://schemas.openxmlformats.org/officeDocument/2006/relationships/hyperlink" Target="https://drive.google.com/file/d/1g05Uitnpn2pVHGQbzyHvGxsN-IMuSeiO/view?usp=drivesdk" TargetMode="External"/><Relationship Id="rId3765" Type="http://schemas.openxmlformats.org/officeDocument/2006/relationships/hyperlink" Target="https://lh5.googleusercontent.com/d/11yEthjBa9lMs9u7gO8Ks2sy7p1TkN0h-" TargetMode="External"/><Relationship Id="rId1105" Type="http://schemas.openxmlformats.org/officeDocument/2006/relationships/hyperlink" Target="https://lh5.googleusercontent.com/d/1-q91GLMugmzpzJpFLZBG6ItLEyi1k7yy" TargetMode="External"/><Relationship Id="rId2436" Type="http://schemas.openxmlformats.org/officeDocument/2006/relationships/hyperlink" Target="https://lh5.googleusercontent.com/d/1bHDLXAVrpWXDZ3-ecFCasv2TjLmCo3l3" TargetMode="External"/><Relationship Id="rId3768" Type="http://schemas.openxmlformats.org/officeDocument/2006/relationships/hyperlink" Target="https://drive.google.com/file/d/1JmYgSBU6aiD4q1xK2rxSuGG1xxxdvIb6/view?usp=drivesdk" TargetMode="External"/><Relationship Id="rId1106" Type="http://schemas.openxmlformats.org/officeDocument/2006/relationships/hyperlink" Target="https://drive.google.com/file/d/1I9TpQcP60hshX_iUSwoE0oK_OOYf0jeM/view?usp=drivesdk" TargetMode="External"/><Relationship Id="rId2437" Type="http://schemas.openxmlformats.org/officeDocument/2006/relationships/hyperlink" Target="https://drive.google.com/file/d/1v1eB7pkh0hekBKma9DT-h8tE2Rbp5_Zi/view?usp=drivesdk" TargetMode="External"/><Relationship Id="rId3767" Type="http://schemas.openxmlformats.org/officeDocument/2006/relationships/hyperlink" Target="https://lh5.googleusercontent.com/d/1W1D3ICLsJ6Z4sdcwv590mEde0xQM7zXv" TargetMode="External"/><Relationship Id="rId1107" Type="http://schemas.openxmlformats.org/officeDocument/2006/relationships/hyperlink" Target="https://lh5.googleusercontent.com/d/1nOs6_exOsYO4eJDkM1B3UOH-yrSb8u7-" TargetMode="External"/><Relationship Id="rId2438" Type="http://schemas.openxmlformats.org/officeDocument/2006/relationships/hyperlink" Target="https://lh5.googleusercontent.com/d/1EcAjV4ArKxSB5iuH3sV0RMPt-VTvX2vW" TargetMode="External"/><Relationship Id="rId1108" Type="http://schemas.openxmlformats.org/officeDocument/2006/relationships/hyperlink" Target="https://drive.google.com/file/d/1pckvYX9VmbWhYx5DMgBNHIBLNx7Y1f_c/view?usp=drivesdk" TargetMode="External"/><Relationship Id="rId2439" Type="http://schemas.openxmlformats.org/officeDocument/2006/relationships/hyperlink" Target="https://drive.google.com/file/d/1AqbCI-P8i7qUpiFrwi9J3kKLy1IAMbkI/view?usp=drivesdk" TargetMode="External"/><Relationship Id="rId3769" Type="http://schemas.openxmlformats.org/officeDocument/2006/relationships/hyperlink" Target="https://lh5.googleusercontent.com/d/1fTUh8eiVAjvKTXS_LVsvFXW568phk91I" TargetMode="External"/><Relationship Id="rId1109" Type="http://schemas.openxmlformats.org/officeDocument/2006/relationships/hyperlink" Target="https://lh5.googleusercontent.com/d/16nbQFAaNl0VoZW9KkDLDSvVagu0JYvjO" TargetMode="External"/><Relationship Id="rId519" Type="http://schemas.openxmlformats.org/officeDocument/2006/relationships/hyperlink" Target="https://drive.google.com/file/d/10iP926qvHZlg7hhkxjaKnrf0mMQ3ILMO/view?usp=drivesdk" TargetMode="External"/><Relationship Id="rId514" Type="http://schemas.openxmlformats.org/officeDocument/2006/relationships/hyperlink" Target="https://lh5.googleusercontent.com/d/1l7ouAJCTytsOvXSBMGZgonFjvLEwp9zn" TargetMode="External"/><Relationship Id="rId513" Type="http://schemas.openxmlformats.org/officeDocument/2006/relationships/hyperlink" Target="https://drive.google.com/file/d/1vBYbjiL77isNonqVD_XKdjnDR2HvZiLr/view?usp=drivesdk" TargetMode="External"/><Relationship Id="rId512" Type="http://schemas.openxmlformats.org/officeDocument/2006/relationships/hyperlink" Target="https://lh5.googleusercontent.com/d/1oVSneZjaRC1KOZcv545sccUSJ7H2n8Vw" TargetMode="External"/><Relationship Id="rId511" Type="http://schemas.openxmlformats.org/officeDocument/2006/relationships/hyperlink" Target="https://drive.google.com/file/d/1XBF5ZYZFEeo3GFhbDWt8r2zvdBNC7kSs/view?usp=drivesdk" TargetMode="External"/><Relationship Id="rId518" Type="http://schemas.openxmlformats.org/officeDocument/2006/relationships/hyperlink" Target="https://lh5.googleusercontent.com/d/1xJzMEsOc8jVebEEsIgkLNEbFEHN1PXwE" TargetMode="External"/><Relationship Id="rId517" Type="http://schemas.openxmlformats.org/officeDocument/2006/relationships/hyperlink" Target="https://drive.google.com/file/d/12dMskcCTzmuFl2pP5-KY88FYm3ki4HuE/view?usp=drivesdk" TargetMode="External"/><Relationship Id="rId516" Type="http://schemas.openxmlformats.org/officeDocument/2006/relationships/hyperlink" Target="https://lh5.googleusercontent.com/d/134R51EsJkPP7SEtpLfOkfJuYl1aebC8P" TargetMode="External"/><Relationship Id="rId515" Type="http://schemas.openxmlformats.org/officeDocument/2006/relationships/hyperlink" Target="https://drive.google.com/file/d/1etMm_yWJjoDfXu6sfx5COmstgOVhd35s/view?usp=drivesdk" TargetMode="External"/><Relationship Id="rId3760" Type="http://schemas.openxmlformats.org/officeDocument/2006/relationships/hyperlink" Target="https://drive.google.com/file/d/17ejOAEldgmSa326dKM_A3bpnNBaXT3IS/view?usp=drivesdk" TargetMode="External"/><Relationship Id="rId510" Type="http://schemas.openxmlformats.org/officeDocument/2006/relationships/hyperlink" Target="https://lh5.googleusercontent.com/d/1v-1zpEA7Dq2K42kctXFiZFtKXPb6jQGr" TargetMode="External"/><Relationship Id="rId2430" Type="http://schemas.openxmlformats.org/officeDocument/2006/relationships/hyperlink" Target="https://lh5.googleusercontent.com/d/1AnI0g6u-5fpM_zL2VF8_7U6SoF5E1bm4" TargetMode="External"/><Relationship Id="rId3762" Type="http://schemas.openxmlformats.org/officeDocument/2006/relationships/hyperlink" Target="https://drive.google.com/file/d/153Y8vZ8AwOWYtOjpcAyTkRQjH7BLv2I4/view?usp=drivesdk" TargetMode="External"/><Relationship Id="rId1100" Type="http://schemas.openxmlformats.org/officeDocument/2006/relationships/hyperlink" Target="https://drive.google.com/file/d/1xRCuP4u7iMlcxBxnScC-bQneWtSN7yPB/view?usp=drivesdk" TargetMode="External"/><Relationship Id="rId2431" Type="http://schemas.openxmlformats.org/officeDocument/2006/relationships/hyperlink" Target="https://drive.google.com/file/d/1Pv0CAYDmkRFL6VJnpK3IlEdKKFXNUoZj/view?usp=drivesdk" TargetMode="External"/><Relationship Id="rId3761" Type="http://schemas.openxmlformats.org/officeDocument/2006/relationships/hyperlink" Target="https://lh5.googleusercontent.com/d/1Xif7yibYXzy41C5KslgNU__CeC2JT-Yx" TargetMode="External"/><Relationship Id="rId1101" Type="http://schemas.openxmlformats.org/officeDocument/2006/relationships/hyperlink" Target="https://lh5.googleusercontent.com/d/1fcdiwyWz2toknXDilD6wdLENHg7SR1SV" TargetMode="External"/><Relationship Id="rId2432" Type="http://schemas.openxmlformats.org/officeDocument/2006/relationships/hyperlink" Target="https://lh5.googleusercontent.com/d/16rTYCooOPZB72-Ocm4u4Wpx-psRWMH2A" TargetMode="External"/><Relationship Id="rId3764" Type="http://schemas.openxmlformats.org/officeDocument/2006/relationships/hyperlink" Target="https://drive.google.com/file/d/12FQ3xJDUG-h71-SdGcu4ZzAlMoQ_AdQN/view?usp=drivesdk" TargetMode="External"/><Relationship Id="rId1102" Type="http://schemas.openxmlformats.org/officeDocument/2006/relationships/hyperlink" Target="https://drive.google.com/file/d/1KG-JUPGHRZsTF2JpFzri00oWlor0V7uk/view?usp=drivesdk" TargetMode="External"/><Relationship Id="rId2433" Type="http://schemas.openxmlformats.org/officeDocument/2006/relationships/hyperlink" Target="https://drive.google.com/file/d/1MrKgs5ilKp6Fbii7FF21gXdWaJ2v_8ao/view?usp=drivesdk" TargetMode="External"/><Relationship Id="rId3763" Type="http://schemas.openxmlformats.org/officeDocument/2006/relationships/hyperlink" Target="https://lh5.googleusercontent.com/d/1NDUhnXBNq2cP5PxUgc3D22mqRikRRXbK" TargetMode="External"/><Relationship Id="rId3711" Type="http://schemas.openxmlformats.org/officeDocument/2006/relationships/hyperlink" Target="https://lh5.googleusercontent.com/d/1WQgoaKkeG5dKklqczQyc1BM_ZB5GDjez" TargetMode="External"/><Relationship Id="rId3710" Type="http://schemas.openxmlformats.org/officeDocument/2006/relationships/hyperlink" Target="https://drive.google.com/file/d/1u-j1JYdnfn-_gCtD-twE8uIQg-opZeV4/view?usp=drivesdk" TargetMode="External"/><Relationship Id="rId3713" Type="http://schemas.openxmlformats.org/officeDocument/2006/relationships/hyperlink" Target="https://lh5.googleusercontent.com/d/1WJR_cIkG9DM75V1SUKVRxHnX6BItqNXh" TargetMode="External"/><Relationship Id="rId3712" Type="http://schemas.openxmlformats.org/officeDocument/2006/relationships/hyperlink" Target="https://drive.google.com/file/d/1v7UqjShWNZz0pnyWlZdIgVoc5UfEUzdb/view?usp=drivesdk" TargetMode="External"/><Relationship Id="rId3715" Type="http://schemas.openxmlformats.org/officeDocument/2006/relationships/hyperlink" Target="https://lh5.googleusercontent.com/d/1Kl6Y7LSXuLWMQckjhpizzJZujJ6AA8iN" TargetMode="External"/><Relationship Id="rId3714" Type="http://schemas.openxmlformats.org/officeDocument/2006/relationships/hyperlink" Target="https://drive.google.com/file/d/1LDlzMSqAtb3rbTykf1vQDNYsJQazF3ju/view?usp=drivesdk" TargetMode="External"/><Relationship Id="rId3717" Type="http://schemas.openxmlformats.org/officeDocument/2006/relationships/hyperlink" Target="https://lh5.googleusercontent.com/d/1zdT-dgbQnKIGfV7JYrFy3TLyQ-4d8FD0" TargetMode="External"/><Relationship Id="rId3716" Type="http://schemas.openxmlformats.org/officeDocument/2006/relationships/hyperlink" Target="https://drive.google.com/file/d/1CgPbs2yvlE9YgsoxtngPRCSabFDr8tH4/view?usp=drivesdk" TargetMode="External"/><Relationship Id="rId3719" Type="http://schemas.openxmlformats.org/officeDocument/2006/relationships/hyperlink" Target="https://lh5.googleusercontent.com/d/10Pl7cbGpaqBBJw1KXKGjnykM-JEcfYvL" TargetMode="External"/><Relationship Id="rId3718" Type="http://schemas.openxmlformats.org/officeDocument/2006/relationships/hyperlink" Target="https://drive.google.com/file/d/1ajKFijZLQx_TUeiSB2KxRc84gMi_zTV6/view?usp=drivesdk" TargetMode="External"/><Relationship Id="rId3700" Type="http://schemas.openxmlformats.org/officeDocument/2006/relationships/hyperlink" Target="https://drive.google.com/file/d/1ql1OYdGZbqImI_4MsluFzDf6EbGpzT8V/view?usp=drivesdk" TargetMode="External"/><Relationship Id="rId3702" Type="http://schemas.openxmlformats.org/officeDocument/2006/relationships/hyperlink" Target="https://drive.google.com/file/d/1INz_TAAKbMxmrScE97SoWJ5i4_9CRJBr/view?usp=drivesdk" TargetMode="External"/><Relationship Id="rId3701" Type="http://schemas.openxmlformats.org/officeDocument/2006/relationships/hyperlink" Target="https://lh5.googleusercontent.com/d/1abdAzmAqvlMIp55xmB-GdmcxCppJRAip" TargetMode="External"/><Relationship Id="rId3704" Type="http://schemas.openxmlformats.org/officeDocument/2006/relationships/hyperlink" Target="https://drive.google.com/file/d/1aYrwtsCYdPZMTv6It8Jyg361unUEGTQa/view?usp=drivesdk" TargetMode="External"/><Relationship Id="rId3703" Type="http://schemas.openxmlformats.org/officeDocument/2006/relationships/hyperlink" Target="https://lh5.googleusercontent.com/d/1hm-6ecbV2ZX0oE27DCPmx2o_eqessE08" TargetMode="External"/><Relationship Id="rId3706" Type="http://schemas.openxmlformats.org/officeDocument/2006/relationships/hyperlink" Target="https://drive.google.com/file/d/1Nbw9ehqc-mWDHrsCKLYUMr6tG80wN853/view?usp=drivesdk" TargetMode="External"/><Relationship Id="rId3705" Type="http://schemas.openxmlformats.org/officeDocument/2006/relationships/hyperlink" Target="https://lh5.googleusercontent.com/d/1zTYIUTQPMhzzkjvHaPM3rJVUR1AOBOoe" TargetMode="External"/><Relationship Id="rId3708" Type="http://schemas.openxmlformats.org/officeDocument/2006/relationships/hyperlink" Target="https://drive.google.com/file/d/1DWc9cHY56nyr8U0WGAmGcbqwNNtUXIPQ/view?usp=drivesdk" TargetMode="External"/><Relationship Id="rId3707" Type="http://schemas.openxmlformats.org/officeDocument/2006/relationships/hyperlink" Target="https://lh5.googleusercontent.com/d/1iJRNjq7gObYpjyNLlnDIYQu94FV8q1NQ" TargetMode="External"/><Relationship Id="rId3709" Type="http://schemas.openxmlformats.org/officeDocument/2006/relationships/hyperlink" Target="https://lh5.googleusercontent.com/d/1Glml7vfDwP0OnSDvydKM9OgSdXO-qcp3" TargetMode="External"/><Relationship Id="rId2401" Type="http://schemas.openxmlformats.org/officeDocument/2006/relationships/hyperlink" Target="https://drive.google.com/file/d/1YA7gF0wEsxbGKXrOIoe2io5QVdHmzeBZ/view?usp=drivesdk" TargetMode="External"/><Relationship Id="rId3733" Type="http://schemas.openxmlformats.org/officeDocument/2006/relationships/hyperlink" Target="https://lh5.googleusercontent.com/d/1fKB5i4VTY6xaBcO3feC4LEQ5GQZ7d4cO" TargetMode="External"/><Relationship Id="rId2402" Type="http://schemas.openxmlformats.org/officeDocument/2006/relationships/hyperlink" Target="https://lh5.googleusercontent.com/d/1shMt8uCJHV8e1GZkRtBCkgz09zPX9T_T" TargetMode="External"/><Relationship Id="rId3732" Type="http://schemas.openxmlformats.org/officeDocument/2006/relationships/hyperlink" Target="https://drive.google.com/file/d/1jgiXweM2qaJDIk16WKrql-8ZMM67crzW/view?usp=drivesdk" TargetMode="External"/><Relationship Id="rId2403" Type="http://schemas.openxmlformats.org/officeDocument/2006/relationships/hyperlink" Target="https://drive.google.com/file/d/1_OOLVFBNC5yax6EQwpkxud1UXB8O6oLe/view?usp=drivesdk" TargetMode="External"/><Relationship Id="rId3735" Type="http://schemas.openxmlformats.org/officeDocument/2006/relationships/hyperlink" Target="https://lh5.googleusercontent.com/d/1QOm-rEBuiA63ZKEDWfnbpqsbCq__GyL6" TargetMode="External"/><Relationship Id="rId2404" Type="http://schemas.openxmlformats.org/officeDocument/2006/relationships/hyperlink" Target="https://lh5.googleusercontent.com/d/1ekgBZ34yy4KgPGTOJIaLfP-WaDEpuwJP" TargetMode="External"/><Relationship Id="rId3734" Type="http://schemas.openxmlformats.org/officeDocument/2006/relationships/hyperlink" Target="https://drive.google.com/file/d/1xYoeSzcuS3-vGcy3lJFgP1v1CSpOSFiS/view?usp=drivesdk" TargetMode="External"/><Relationship Id="rId2405" Type="http://schemas.openxmlformats.org/officeDocument/2006/relationships/hyperlink" Target="https://drive.google.com/file/d/1xBqtnR04mbIZ8gKh53hf7-DILBmN0HIc/view?usp=drivesdk" TargetMode="External"/><Relationship Id="rId3737" Type="http://schemas.openxmlformats.org/officeDocument/2006/relationships/hyperlink" Target="https://lh5.googleusercontent.com/d/1meH1kPxMyoxYQMRsB0mxwvX87XRq0qC6" TargetMode="External"/><Relationship Id="rId2406" Type="http://schemas.openxmlformats.org/officeDocument/2006/relationships/hyperlink" Target="https://lh5.googleusercontent.com/d/1hZ2QWcVS6AsPXqx5K0ni0iddl-nHapw5" TargetMode="External"/><Relationship Id="rId3736" Type="http://schemas.openxmlformats.org/officeDocument/2006/relationships/hyperlink" Target="https://drive.google.com/file/d/1kYh219Zer6A6ddh5qbWi3M6s0iwszquz/view?usp=drivesdk" TargetMode="External"/><Relationship Id="rId2407" Type="http://schemas.openxmlformats.org/officeDocument/2006/relationships/hyperlink" Target="https://drive.google.com/file/d/13HSzxwuRHAJOJVYbgWE230pr2NIKKHYG/view?usp=drivesdk" TargetMode="External"/><Relationship Id="rId3739" Type="http://schemas.openxmlformats.org/officeDocument/2006/relationships/hyperlink" Target="https://lh5.googleusercontent.com/d/11MFEVSkUMgAmFjeLW-O861yxDHU0tKu3" TargetMode="External"/><Relationship Id="rId2408" Type="http://schemas.openxmlformats.org/officeDocument/2006/relationships/hyperlink" Target="https://lh5.googleusercontent.com/d/1OGk9q04VX-nkOXY68C-g7GWHFDQQ-uoT" TargetMode="External"/><Relationship Id="rId3738" Type="http://schemas.openxmlformats.org/officeDocument/2006/relationships/hyperlink" Target="https://drive.google.com/file/d/1ZdAqmW1e4UshHQtubPnyRiQ8F-uVQO0x/view?usp=drivesdk" TargetMode="External"/><Relationship Id="rId2409" Type="http://schemas.openxmlformats.org/officeDocument/2006/relationships/hyperlink" Target="https://drive.google.com/file/d/186Qvhc6LWSHlboTo-jOsttdSjispDYCX/view?usp=drivesdk" TargetMode="External"/><Relationship Id="rId3731" Type="http://schemas.openxmlformats.org/officeDocument/2006/relationships/hyperlink" Target="https://lh5.googleusercontent.com/d/1uo6TyGRhUyvfEJnJTN9zZUNcGm2MG45k" TargetMode="External"/><Relationship Id="rId2400" Type="http://schemas.openxmlformats.org/officeDocument/2006/relationships/hyperlink" Target="https://lh5.googleusercontent.com/d/1S7HW8WIv1Feepttct6_3gI_RDYeHr4bg" TargetMode="External"/><Relationship Id="rId3730" Type="http://schemas.openxmlformats.org/officeDocument/2006/relationships/hyperlink" Target="https://drive.google.com/file/d/1XQ2_VJkD0EhzMbTbStXha2LIamVot4ZX/view?usp=drivesdk" TargetMode="External"/><Relationship Id="rId3722" Type="http://schemas.openxmlformats.org/officeDocument/2006/relationships/hyperlink" Target="https://drive.google.com/file/d/1jyoH1odGfZHj5HZ8P3HUcKJxvu67JqoT/view?usp=drivesdk" TargetMode="External"/><Relationship Id="rId3721" Type="http://schemas.openxmlformats.org/officeDocument/2006/relationships/hyperlink" Target="https://lh5.googleusercontent.com/d/12qcjZkTObOfTIaqh2KfgujNQAWrw-go_" TargetMode="External"/><Relationship Id="rId3724" Type="http://schemas.openxmlformats.org/officeDocument/2006/relationships/hyperlink" Target="https://drive.google.com/file/d/1U9jLg4yKCMWjGHmW8qUB9iElGHKRo4fn/view?usp=drivesdk" TargetMode="External"/><Relationship Id="rId3723" Type="http://schemas.openxmlformats.org/officeDocument/2006/relationships/hyperlink" Target="https://lh5.googleusercontent.com/d/1hpr-mXyhroFGVLO5jeUycYDwx_wdHGLg" TargetMode="External"/><Relationship Id="rId3726" Type="http://schemas.openxmlformats.org/officeDocument/2006/relationships/hyperlink" Target="https://drive.google.com/file/d/198ixtCVqBk7BEMNuBK3M9YHux1dGN1lr/view?usp=drivesdk" TargetMode="External"/><Relationship Id="rId3725" Type="http://schemas.openxmlformats.org/officeDocument/2006/relationships/hyperlink" Target="https://lh5.googleusercontent.com/d/1A9h-NXJAON_xl9rbkwiFbdZS7r1yEHkh" TargetMode="External"/><Relationship Id="rId3728" Type="http://schemas.openxmlformats.org/officeDocument/2006/relationships/hyperlink" Target="https://drive.google.com/file/d/1zAJx8OxtWXFThIKhsZv_clsVXW9u-iYS/view?usp=drivesdk" TargetMode="External"/><Relationship Id="rId3727" Type="http://schemas.openxmlformats.org/officeDocument/2006/relationships/hyperlink" Target="https://lh5.googleusercontent.com/d/1pr-PHd3raRL50_tmgseseb-Om4mqmduq" TargetMode="External"/><Relationship Id="rId3729" Type="http://schemas.openxmlformats.org/officeDocument/2006/relationships/hyperlink" Target="https://lh5.googleusercontent.com/d/1ytB9VqvFGmztn_0RKrKS9qdsC-OVOlov" TargetMode="External"/><Relationship Id="rId3720" Type="http://schemas.openxmlformats.org/officeDocument/2006/relationships/hyperlink" Target="https://drive.google.com/file/d/1i2FawhirRDkPy_-yVlgZNWeYcO3mrPvF/view?usp=drivesdk" TargetMode="External"/><Relationship Id="rId4206" Type="http://schemas.openxmlformats.org/officeDocument/2006/relationships/hyperlink" Target="https://lh5.googleusercontent.com/d/1_qGJEaWHBC-6ybh-gcWNllX4rE22fyyK" TargetMode="External"/><Relationship Id="rId5538" Type="http://schemas.openxmlformats.org/officeDocument/2006/relationships/hyperlink" Target="https://drive.google.com/file/d/1za05zNuwSm7T2MxCmJ4Jv_WROB_Dast1/view?usp=drivesdk" TargetMode="External"/><Relationship Id="rId4205" Type="http://schemas.openxmlformats.org/officeDocument/2006/relationships/hyperlink" Target="https://drive.google.com/file/d/1zl9SCnBViNoDcSRQWzxIKtJqsqFcGdj5/view?usp=drivesdk" TargetMode="External"/><Relationship Id="rId5539" Type="http://schemas.openxmlformats.org/officeDocument/2006/relationships/hyperlink" Target="https://lh5.googleusercontent.com/d/1J8PSa6putNwK4oaMVMszMngjkP1TI00F" TargetMode="External"/><Relationship Id="rId4208" Type="http://schemas.openxmlformats.org/officeDocument/2006/relationships/hyperlink" Target="https://lh5.googleusercontent.com/d/1sDs8jYFq2J6WW4VUpqjc__UmP2dHWAyZ" TargetMode="External"/><Relationship Id="rId5536" Type="http://schemas.openxmlformats.org/officeDocument/2006/relationships/hyperlink" Target="https://drive.google.com/file/d/13hcM_7NE0yD4taoLkavbwycNI8KqjGZh/view?usp=drivesdk" TargetMode="External"/><Relationship Id="rId4207" Type="http://schemas.openxmlformats.org/officeDocument/2006/relationships/hyperlink" Target="https://drive.google.com/file/d/1Ji3yLrCe8yeyCyROcf9_ugQEofjiam-m/view?usp=drivesdk" TargetMode="External"/><Relationship Id="rId5537" Type="http://schemas.openxmlformats.org/officeDocument/2006/relationships/hyperlink" Target="https://lh5.googleusercontent.com/d/1K13iYlforADUSI-hdDohp30VnUA3vp_A" TargetMode="External"/><Relationship Id="rId590" Type="http://schemas.openxmlformats.org/officeDocument/2006/relationships/hyperlink" Target="https://lh5.googleusercontent.com/d/1f0ArCIHHcPvN-Gb2PA_iUTn5pvfq0OYe" TargetMode="External"/><Relationship Id="rId4209" Type="http://schemas.openxmlformats.org/officeDocument/2006/relationships/hyperlink" Target="https://drive.google.com/file/d/1RwV9HsLB8ycuNRRAOXR-Q0JZZdIX-8KE/view?usp=drivesdk" TargetMode="External"/><Relationship Id="rId589" Type="http://schemas.openxmlformats.org/officeDocument/2006/relationships/hyperlink" Target="https://drive.google.com/file/d/14ma_6XYiBLjim9sZCSb8qssES5_NKYzN/view?usp=drivesdk" TargetMode="External"/><Relationship Id="rId588" Type="http://schemas.openxmlformats.org/officeDocument/2006/relationships/hyperlink" Target="https://lh5.googleusercontent.com/d/1P3GHimpu4ok9jQP9Xd_gv52bhGFCBFGs" TargetMode="External"/><Relationship Id="rId1170" Type="http://schemas.openxmlformats.org/officeDocument/2006/relationships/hyperlink" Target="https://lh5.googleusercontent.com/d/1GR-CtrqVFVletXmeHssIYA_bJvFOk-SV" TargetMode="External"/><Relationship Id="rId1171" Type="http://schemas.openxmlformats.org/officeDocument/2006/relationships/hyperlink" Target="https://drive.google.com/file/d/1OquBF3hKV9teI0yRZ9RZ-QP7u_C1sfDU/view?usp=drivesdk" TargetMode="External"/><Relationship Id="rId583" Type="http://schemas.openxmlformats.org/officeDocument/2006/relationships/hyperlink" Target="https://drive.google.com/file/d/1d8b5mMsgxpJBeh37b4mMKQcs941q0GN4/view?usp=drivesdk" TargetMode="External"/><Relationship Id="rId1172" Type="http://schemas.openxmlformats.org/officeDocument/2006/relationships/hyperlink" Target="https://lh5.googleusercontent.com/d/1gtVhuJhsa9Ll-ybZqFiAzm68m6vS2aTS" TargetMode="External"/><Relationship Id="rId5530" Type="http://schemas.openxmlformats.org/officeDocument/2006/relationships/hyperlink" Target="https://drive.google.com/file/d/1VYe9BCgJKDJTZT7mpuJwIXuaJvXvrjXU/view?usp=drivesdk" TargetMode="External"/><Relationship Id="rId582" Type="http://schemas.openxmlformats.org/officeDocument/2006/relationships/hyperlink" Target="https://lh5.googleusercontent.com/d/1BXU9DIoMC7e1RXbfOwi2RapJLo2uC-0E" TargetMode="External"/><Relationship Id="rId1173" Type="http://schemas.openxmlformats.org/officeDocument/2006/relationships/hyperlink" Target="https://drive.google.com/file/d/1BDl_GFTp-1epUh_mcACR7Z5DCAnCXtKS/view?usp=drivesdk" TargetMode="External"/><Relationship Id="rId5531" Type="http://schemas.openxmlformats.org/officeDocument/2006/relationships/hyperlink" Target="https://lh5.googleusercontent.com/d/18EYETK0TBXon6MLKDLKa-3u1HbQvQz31" TargetMode="External"/><Relationship Id="rId581" Type="http://schemas.openxmlformats.org/officeDocument/2006/relationships/hyperlink" Target="https://drive.google.com/file/d/1CeHqjV7aDWOTK6ztncWtZ6NTs2qxnL-d/view?usp=drivesdk" TargetMode="External"/><Relationship Id="rId1174" Type="http://schemas.openxmlformats.org/officeDocument/2006/relationships/hyperlink" Target="https://lh5.googleusercontent.com/d/1yHUJLvvzycsEIKUudV2d_AY-qqwGd709" TargetMode="External"/><Relationship Id="rId4200" Type="http://schemas.openxmlformats.org/officeDocument/2006/relationships/hyperlink" Target="https://lh5.googleusercontent.com/d/1IWHX3MJU6NS_L6H2JMFqROtbjt_xCFVm" TargetMode="External"/><Relationship Id="rId580" Type="http://schemas.openxmlformats.org/officeDocument/2006/relationships/hyperlink" Target="https://lh5.googleusercontent.com/d/17EgZKQoDDI7s-OaGugNr79z5iSyFiCbL" TargetMode="External"/><Relationship Id="rId1175" Type="http://schemas.openxmlformats.org/officeDocument/2006/relationships/hyperlink" Target="https://drive.google.com/file/d/1T9fyMZ2aVqCwymxRBfoG2FUUA7IYNP5M/view?usp=drivesdk" TargetMode="External"/><Relationship Id="rId587" Type="http://schemas.openxmlformats.org/officeDocument/2006/relationships/hyperlink" Target="https://drive.google.com/file/d/1MFVWG3_u18G55wmbCysXAlTZg2Qswx6p/view?usp=drivesdk" TargetMode="External"/><Relationship Id="rId1176" Type="http://schemas.openxmlformats.org/officeDocument/2006/relationships/hyperlink" Target="https://lh5.googleusercontent.com/d/1UmvjLPIZvQwt6Mv0qvWNWl36Jx5QKw7i" TargetMode="External"/><Relationship Id="rId4202" Type="http://schemas.openxmlformats.org/officeDocument/2006/relationships/hyperlink" Target="https://lh5.googleusercontent.com/d/1zTLJwZuFT2jGjV1g6whx3skKZarURvRf" TargetMode="External"/><Relationship Id="rId5534" Type="http://schemas.openxmlformats.org/officeDocument/2006/relationships/hyperlink" Target="https://drive.google.com/file/d/1VSnI5mO3jNyUvyqGEB3FUPWHOfsZibjI/view?usp=drivesdk" TargetMode="External"/><Relationship Id="rId586" Type="http://schemas.openxmlformats.org/officeDocument/2006/relationships/hyperlink" Target="https://lh5.googleusercontent.com/d/1ySwxfodx8DX0BC1BJZtO0heSYopZWV4r" TargetMode="External"/><Relationship Id="rId1177" Type="http://schemas.openxmlformats.org/officeDocument/2006/relationships/hyperlink" Target="https://drive.google.com/file/d/1ScUz9uQSj8QGt6_aFylX6jDLVNFHqc7e/view?usp=drivesdk" TargetMode="External"/><Relationship Id="rId4201" Type="http://schemas.openxmlformats.org/officeDocument/2006/relationships/hyperlink" Target="https://drive.google.com/file/d/16T8JFsFOJ9oFj1_cFEACWBHC5Cf4TTkQ/view?usp=drivesdk" TargetMode="External"/><Relationship Id="rId5535" Type="http://schemas.openxmlformats.org/officeDocument/2006/relationships/hyperlink" Target="https://lh5.googleusercontent.com/d/1KkVNlwBHy-FJ3EecjVJvUdb9aZER0TXk" TargetMode="External"/><Relationship Id="rId585" Type="http://schemas.openxmlformats.org/officeDocument/2006/relationships/hyperlink" Target="https://drive.google.com/file/d/1ML3f_y24uOGylVrkO_wcFrKKfFs1IFG-/view?usp=drivesdk" TargetMode="External"/><Relationship Id="rId1178" Type="http://schemas.openxmlformats.org/officeDocument/2006/relationships/hyperlink" Target="https://lh5.googleusercontent.com/d/1OZ16xRv6uu_TEObt9UzmjEddHnS5aonI" TargetMode="External"/><Relationship Id="rId4204" Type="http://schemas.openxmlformats.org/officeDocument/2006/relationships/hyperlink" Target="https://lh5.googleusercontent.com/d/13JDwn0spOWGGAxiTJJBYPeh2lVjaoFN_" TargetMode="External"/><Relationship Id="rId5532" Type="http://schemas.openxmlformats.org/officeDocument/2006/relationships/hyperlink" Target="https://drive.google.com/file/d/1ieAasWdqO6vTpneADtRxcV_h6fkFI_JJ/view?usp=drivesdk" TargetMode="External"/><Relationship Id="rId584" Type="http://schemas.openxmlformats.org/officeDocument/2006/relationships/hyperlink" Target="https://lh5.googleusercontent.com/d/16vRoi4HgXgJ1UnKNloqc-cHuszsjlHsg" TargetMode="External"/><Relationship Id="rId1179" Type="http://schemas.openxmlformats.org/officeDocument/2006/relationships/hyperlink" Target="https://drive.google.com/file/d/14hSBG8NpuOLBhRDudsADGX4njawWy-dl/view?usp=drivesdk" TargetMode="External"/><Relationship Id="rId4203" Type="http://schemas.openxmlformats.org/officeDocument/2006/relationships/hyperlink" Target="https://drive.google.com/file/d/1J6EM5yRMHCsDQ0jeuhvdHntRg1qQSNIX/view?usp=drivesdk" TargetMode="External"/><Relationship Id="rId5533" Type="http://schemas.openxmlformats.org/officeDocument/2006/relationships/hyperlink" Target="https://lh5.googleusercontent.com/d/1Mg9SiEHs8D3rFZPytKuMvhUl_RyI1bbi" TargetMode="External"/><Relationship Id="rId1169" Type="http://schemas.openxmlformats.org/officeDocument/2006/relationships/hyperlink" Target="https://drive.google.com/file/d/16GWhE0K3X0bN4f9BlhDtK9Q4a4ZOj2Hm/view?usp=drivesdk" TargetMode="External"/><Relationship Id="rId5527" Type="http://schemas.openxmlformats.org/officeDocument/2006/relationships/hyperlink" Target="https://lh5.googleusercontent.com/d/1_ZpTEeM8zoRQAW-nhxj7xPmORlAw_Hnm" TargetMode="External"/><Relationship Id="rId5528" Type="http://schemas.openxmlformats.org/officeDocument/2006/relationships/hyperlink" Target="https://drive.google.com/file/d/1Z46_nmEl4gxz4poLROwFMtCF5ogE23Ui/view?usp=drivesdk" TargetMode="External"/><Relationship Id="rId5525" Type="http://schemas.openxmlformats.org/officeDocument/2006/relationships/hyperlink" Target="https://lh5.googleusercontent.com/d/133J-wQap_gohiC-kBZ8fd0ILDKJF2LkG" TargetMode="External"/><Relationship Id="rId5526" Type="http://schemas.openxmlformats.org/officeDocument/2006/relationships/hyperlink" Target="https://drive.google.com/file/d/15ewiDcxI_6ykV-YjaADyjqzC7VrltbNX/view?usp=drivesdk" TargetMode="External"/><Relationship Id="rId5529" Type="http://schemas.openxmlformats.org/officeDocument/2006/relationships/hyperlink" Target="https://lh5.googleusercontent.com/d/1MPK3J1eyZG1mru4FmTUux-t8gnrjns_4" TargetMode="External"/><Relationship Id="rId579" Type="http://schemas.openxmlformats.org/officeDocument/2006/relationships/hyperlink" Target="https://drive.google.com/file/d/1HpeKf2XLu7kY8zocc2yRzGQhwNtjTvt7/view?usp=drivesdk" TargetMode="External"/><Relationship Id="rId578" Type="http://schemas.openxmlformats.org/officeDocument/2006/relationships/hyperlink" Target="https://lh5.googleusercontent.com/d/15ajr7kJEswHOAO1e2ULmhMUb62Ppy5gU" TargetMode="External"/><Relationship Id="rId577" Type="http://schemas.openxmlformats.org/officeDocument/2006/relationships/hyperlink" Target="https://drive.google.com/file/d/1000eHcsL3OQXMqA78patmKJRXeOlmUho/view?usp=drivesdk" TargetMode="External"/><Relationship Id="rId2490" Type="http://schemas.openxmlformats.org/officeDocument/2006/relationships/hyperlink" Target="https://drive.google.com/file/d/1VtwDxmUCNR59J53TANDClV4p7tPhwDfZ/view?usp=drivesdk" TargetMode="External"/><Relationship Id="rId1160" Type="http://schemas.openxmlformats.org/officeDocument/2006/relationships/hyperlink" Target="https://lh5.googleusercontent.com/d/1sjPdD5yDEkMeoTZ1DNYhmyik8-lwtmDz" TargetMode="External"/><Relationship Id="rId2491" Type="http://schemas.openxmlformats.org/officeDocument/2006/relationships/hyperlink" Target="https://lh5.googleusercontent.com/d/14Lc5huX-ltbMxqnzEgRuqvsUcAf8JbP2" TargetMode="External"/><Relationship Id="rId572" Type="http://schemas.openxmlformats.org/officeDocument/2006/relationships/hyperlink" Target="https://lh5.googleusercontent.com/d/1zqRFmmufDDpQ86PqQ6IYRP8WigrqTGnz" TargetMode="External"/><Relationship Id="rId1161" Type="http://schemas.openxmlformats.org/officeDocument/2006/relationships/hyperlink" Target="https://drive.google.com/file/d/1_AR_cQPj9R_4joYk-KggVwzosfRb6mcJ/view?usp=drivesdk" TargetMode="External"/><Relationship Id="rId2492" Type="http://schemas.openxmlformats.org/officeDocument/2006/relationships/hyperlink" Target="https://drive.google.com/file/d/1fj38zQ4JFiFmCk3jens_nxCW_ozyaZhC/view?usp=drivesdk" TargetMode="External"/><Relationship Id="rId571" Type="http://schemas.openxmlformats.org/officeDocument/2006/relationships/hyperlink" Target="https://drive.google.com/file/d/184OzNZjKcAbNX-D57INH2xXFFrDbB3hI/view?usp=drivesdk" TargetMode="External"/><Relationship Id="rId1162" Type="http://schemas.openxmlformats.org/officeDocument/2006/relationships/hyperlink" Target="https://lh5.googleusercontent.com/d/19lMgWN_kl_O5t6n2p2yPHU2Bghi1gv6j" TargetMode="External"/><Relationship Id="rId2493" Type="http://schemas.openxmlformats.org/officeDocument/2006/relationships/hyperlink" Target="https://lh5.googleusercontent.com/d/1Ys39rQH_sal5HG-qLBFyHupaS_xDyegz" TargetMode="External"/><Relationship Id="rId5520" Type="http://schemas.openxmlformats.org/officeDocument/2006/relationships/hyperlink" Target="https://drive.google.com/file/d/14ub6BmSoKSUFceSh8ULGQDcNEUH29BC7/view?usp=drivesdk" TargetMode="External"/><Relationship Id="rId570" Type="http://schemas.openxmlformats.org/officeDocument/2006/relationships/hyperlink" Target="https://lh5.googleusercontent.com/d/1CdT_KPYsEtTtS455VZ3VHvNuIVdUlYAb" TargetMode="External"/><Relationship Id="rId1163" Type="http://schemas.openxmlformats.org/officeDocument/2006/relationships/hyperlink" Target="https://drive.google.com/file/d/1_5WzeAJyK_YQMwABn3hN4VgkRGG59i4E/view?usp=drivesdk" TargetMode="External"/><Relationship Id="rId2494" Type="http://schemas.openxmlformats.org/officeDocument/2006/relationships/hyperlink" Target="https://drive.google.com/file/d/18gqpd2KlAw7P-BWwtn_opS3NYn4ZRnBy/view?usp=drivesdk" TargetMode="External"/><Relationship Id="rId1164" Type="http://schemas.openxmlformats.org/officeDocument/2006/relationships/hyperlink" Target="https://lh5.googleusercontent.com/d/1eF12A8QNe5cljzPKcSXTKdxiT0fJgK8d" TargetMode="External"/><Relationship Id="rId2495" Type="http://schemas.openxmlformats.org/officeDocument/2006/relationships/hyperlink" Target="https://lh5.googleusercontent.com/d/1T01N-kr3CUG4G8442iE3PEMRyl6oVKXH" TargetMode="External"/><Relationship Id="rId576" Type="http://schemas.openxmlformats.org/officeDocument/2006/relationships/hyperlink" Target="https://lh5.googleusercontent.com/d/1ukECXl3pSBa2AV1nemISXT8sDCS6tgAz" TargetMode="External"/><Relationship Id="rId1165" Type="http://schemas.openxmlformats.org/officeDocument/2006/relationships/hyperlink" Target="https://drive.google.com/file/d/11cyr_qkh7-Q6dLp5Bz6pW1iccGKA1c8f/view?usp=drivesdk" TargetMode="External"/><Relationship Id="rId2496" Type="http://schemas.openxmlformats.org/officeDocument/2006/relationships/hyperlink" Target="https://drive.google.com/file/d/1EgxyS0P6YZRQIvOwEwVNvzUlBkwkpdnm/view?usp=drivesdk" TargetMode="External"/><Relationship Id="rId5523" Type="http://schemas.openxmlformats.org/officeDocument/2006/relationships/hyperlink" Target="https://lh5.googleusercontent.com/d/1lPS2VkORip8e6aw4GjnqzvLq_DtK_5pD" TargetMode="External"/><Relationship Id="rId575" Type="http://schemas.openxmlformats.org/officeDocument/2006/relationships/hyperlink" Target="https://drive.google.com/file/d/1R5k__b4d3WCs026Lo1R3uHrI3kN6xPy_/view?usp=drivesdk" TargetMode="External"/><Relationship Id="rId1166" Type="http://schemas.openxmlformats.org/officeDocument/2006/relationships/hyperlink" Target="https://lh5.googleusercontent.com/d/1oy39dl8s_wQyICOZSNQXx-uWYIAFVYZr" TargetMode="External"/><Relationship Id="rId2497" Type="http://schemas.openxmlformats.org/officeDocument/2006/relationships/hyperlink" Target="https://lh5.googleusercontent.com/d/1KtPewRyRBTXKnOix90ASW6LMoD7qzVPb" TargetMode="External"/><Relationship Id="rId5524" Type="http://schemas.openxmlformats.org/officeDocument/2006/relationships/hyperlink" Target="https://drive.google.com/file/d/1yMj5emZgujmzSD8Y6wvZQR7lgi6HMKeB/view?usp=drivesdk" TargetMode="External"/><Relationship Id="rId574" Type="http://schemas.openxmlformats.org/officeDocument/2006/relationships/hyperlink" Target="https://lh5.googleusercontent.com/d/1QaEQFXGhkGPUjjc-YX2DCc-kU4pUzAbi" TargetMode="External"/><Relationship Id="rId1167" Type="http://schemas.openxmlformats.org/officeDocument/2006/relationships/hyperlink" Target="https://drive.google.com/file/d/1qm3maHnDcNqDrTVcTaCIXjk3ae7290pO/view?usp=drivesdk" TargetMode="External"/><Relationship Id="rId2498" Type="http://schemas.openxmlformats.org/officeDocument/2006/relationships/hyperlink" Target="https://drive.google.com/file/d/1SOn7VfIadThHwv0z-QyfDnOBZpsN7SLW/view?usp=drivesdk" TargetMode="External"/><Relationship Id="rId5521" Type="http://schemas.openxmlformats.org/officeDocument/2006/relationships/hyperlink" Target="https://lh5.googleusercontent.com/d/1gYdxPdm9sa3aeaNW3wq6Dh5GfJ_VDTwE" TargetMode="External"/><Relationship Id="rId573" Type="http://schemas.openxmlformats.org/officeDocument/2006/relationships/hyperlink" Target="https://drive.google.com/file/d/1t-OZrfJXNug7s-mZDzFawjmzcr1fuYxR/view?usp=drivesdk" TargetMode="External"/><Relationship Id="rId1168" Type="http://schemas.openxmlformats.org/officeDocument/2006/relationships/hyperlink" Target="https://lh5.googleusercontent.com/d/1fSuNME3Za0HueiRrDII_QqaGbH8LCdic" TargetMode="External"/><Relationship Id="rId2499" Type="http://schemas.openxmlformats.org/officeDocument/2006/relationships/hyperlink" Target="https://lh5.googleusercontent.com/d/1P7tBUd9-Z0xseZmXMs8wQETgIMzg5dcU" TargetMode="External"/><Relationship Id="rId5522" Type="http://schemas.openxmlformats.org/officeDocument/2006/relationships/hyperlink" Target="https://drive.google.com/file/d/1FtJRveiLTNjhtX9mhc0iIj2yElUjXogc/view?usp=drivesdk" TargetMode="External"/><Relationship Id="rId4228" Type="http://schemas.openxmlformats.org/officeDocument/2006/relationships/hyperlink" Target="https://lh5.googleusercontent.com/d/16-NuhY3kNnhRTYiY588OMb23-HN1M7YD" TargetMode="External"/><Relationship Id="rId4227" Type="http://schemas.openxmlformats.org/officeDocument/2006/relationships/hyperlink" Target="https://drive.google.com/file/d/1S1IznFWYIJZRAsOFrpwQeDAijcy8Tde6/view?usp=drivesdk" TargetMode="External"/><Relationship Id="rId5558" Type="http://schemas.openxmlformats.org/officeDocument/2006/relationships/hyperlink" Target="https://drive.google.com/file/d/1t8sGVXmZeneys-IjXChFnyf4KVeDsNIT/view?usp=drivesdk" TargetMode="External"/><Relationship Id="rId4229" Type="http://schemas.openxmlformats.org/officeDocument/2006/relationships/hyperlink" Target="https://drive.google.com/file/d/1mdpyzCfFLNlOhPLi6_T9hQ-75b64XK0B/view?usp=drivesdk" TargetMode="External"/><Relationship Id="rId5559" Type="http://schemas.openxmlformats.org/officeDocument/2006/relationships/hyperlink" Target="https://lh5.googleusercontent.com/d/1Ls95WRccRWnvhy9TSib3vGqws2pvt0lS" TargetMode="External"/><Relationship Id="rId1190" Type="http://schemas.openxmlformats.org/officeDocument/2006/relationships/hyperlink" Target="https://lh5.googleusercontent.com/d/1Mw84FPRFN29juk__6QeAXcOd31hgytVN" TargetMode="External"/><Relationship Id="rId1191" Type="http://schemas.openxmlformats.org/officeDocument/2006/relationships/hyperlink" Target="https://lh5.googleusercontent.com/d/1gBCvLXPhjH3TwRKV9ErLn0cz-0Zt83gd" TargetMode="External"/><Relationship Id="rId1192" Type="http://schemas.openxmlformats.org/officeDocument/2006/relationships/hyperlink" Target="https://drive.google.com/file/d/1P6N_pC728K3qhLfEdmRo6QeVQPUeOLTt/view?usp=drivesdk" TargetMode="External"/><Relationship Id="rId1193" Type="http://schemas.openxmlformats.org/officeDocument/2006/relationships/hyperlink" Target="https://lh5.googleusercontent.com/d/16v0_3jaw3Kk5oK1gFessCR5Np_VZYfZO" TargetMode="External"/><Relationship Id="rId1194" Type="http://schemas.openxmlformats.org/officeDocument/2006/relationships/hyperlink" Target="https://drive.google.com/file/d/1ZfMt1SK0OPUt_DwZiH4O6lz5dL55jBtW/view?usp=drivesdk" TargetMode="External"/><Relationship Id="rId4220" Type="http://schemas.openxmlformats.org/officeDocument/2006/relationships/hyperlink" Target="https://lh5.googleusercontent.com/d/1LMOW8SedSx-OZ3BlDK2nBtuQRzgO4dDY" TargetMode="External"/><Relationship Id="rId5552" Type="http://schemas.openxmlformats.org/officeDocument/2006/relationships/hyperlink" Target="https://drive.google.com/file/d/1ajQzTqluur1dfdQCePKNcSE3wHuJoc3Q/view?usp=drivesdk" TargetMode="External"/><Relationship Id="rId1195" Type="http://schemas.openxmlformats.org/officeDocument/2006/relationships/hyperlink" Target="https://lh5.googleusercontent.com/d/1Whk7LuYr38eSB_SalevS-EnagDZnvDvu" TargetMode="External"/><Relationship Id="rId5553" Type="http://schemas.openxmlformats.org/officeDocument/2006/relationships/hyperlink" Target="https://lh5.googleusercontent.com/d/15Ok1FzzN0rGETWdq0yfQP8gmRszaiRjN" TargetMode="External"/><Relationship Id="rId1196" Type="http://schemas.openxmlformats.org/officeDocument/2006/relationships/hyperlink" Target="https://drive.google.com/file/d/1QHfKbbUzFJ0ajsWpbvPLLvQ6tp8_iWxJ/view?usp=drivesdk" TargetMode="External"/><Relationship Id="rId4222" Type="http://schemas.openxmlformats.org/officeDocument/2006/relationships/hyperlink" Target="https://lh5.googleusercontent.com/d/1MCTATd1BhNm6oUFGQbOxHVhg8YdI_2KL" TargetMode="External"/><Relationship Id="rId5550" Type="http://schemas.openxmlformats.org/officeDocument/2006/relationships/hyperlink" Target="https://drive.google.com/file/d/1rP2QjGPskJO_coVZirDMS7C4LifpsAxl/view?usp=drivesdk" TargetMode="External"/><Relationship Id="rId1197" Type="http://schemas.openxmlformats.org/officeDocument/2006/relationships/hyperlink" Target="https://lh5.googleusercontent.com/d/1H0vyhgGqCFT_Ov0bmfOE6xLwG2JECZda" TargetMode="External"/><Relationship Id="rId4221" Type="http://schemas.openxmlformats.org/officeDocument/2006/relationships/hyperlink" Target="https://drive.google.com/file/d/1dc5MHNsPXo2pXYZIq3kflnjmFV9WOK3M/view?usp=drivesdk" TargetMode="External"/><Relationship Id="rId5551" Type="http://schemas.openxmlformats.org/officeDocument/2006/relationships/hyperlink" Target="https://lh5.googleusercontent.com/d/1LpPKRXUvmKLZMVLSbSERVNnPY1XZc0-O" TargetMode="External"/><Relationship Id="rId1198" Type="http://schemas.openxmlformats.org/officeDocument/2006/relationships/hyperlink" Target="https://drive.google.com/file/d/1T3yc4xzyNhkYt6ISElWikpWiw1kXOAkQ/view?usp=drivesdk" TargetMode="External"/><Relationship Id="rId4224" Type="http://schemas.openxmlformats.org/officeDocument/2006/relationships/hyperlink" Target="https://lh5.googleusercontent.com/d/13tTeWS7e6X-obD1igkzpGvqI8AvD0NsT" TargetMode="External"/><Relationship Id="rId5556" Type="http://schemas.openxmlformats.org/officeDocument/2006/relationships/hyperlink" Target="https://drive.google.com/file/d/1qPBVX6BDakCoKokRUPh6oqRkXTiQa1j6/view?usp=drivesdk" TargetMode="External"/><Relationship Id="rId1199" Type="http://schemas.openxmlformats.org/officeDocument/2006/relationships/hyperlink" Target="https://lh5.googleusercontent.com/d/1k11l9UfQGzsjgEpx6jujDRslm_DJF1Y5" TargetMode="External"/><Relationship Id="rId4223" Type="http://schemas.openxmlformats.org/officeDocument/2006/relationships/hyperlink" Target="https://drive.google.com/file/d/1wPc3MC6ZO0LaNfChQ9_UW-QtcCRDbK7F/view?usp=drivesdk" TargetMode="External"/><Relationship Id="rId5557" Type="http://schemas.openxmlformats.org/officeDocument/2006/relationships/hyperlink" Target="https://lh5.googleusercontent.com/d/1EkViikp8qnOhy2fCbMSYQznN4wzkZ5dq" TargetMode="External"/><Relationship Id="rId4226" Type="http://schemas.openxmlformats.org/officeDocument/2006/relationships/hyperlink" Target="https://lh5.googleusercontent.com/d/1jTOcc5sPghj_YcCYWn86eQ9YicsZpUay" TargetMode="External"/><Relationship Id="rId5554" Type="http://schemas.openxmlformats.org/officeDocument/2006/relationships/hyperlink" Target="https://drive.google.com/file/d/1pCD4XyZ8d0tXD2ap-D1-DSqDxDhbLEfG/view?usp=drivesdk" TargetMode="External"/><Relationship Id="rId4225" Type="http://schemas.openxmlformats.org/officeDocument/2006/relationships/hyperlink" Target="https://drive.google.com/file/d/1vtvrOFOuaakyjPpWMZhP89K8Wi8P5_cA/view?usp=drivesdk" TargetMode="External"/><Relationship Id="rId5555" Type="http://schemas.openxmlformats.org/officeDocument/2006/relationships/hyperlink" Target="https://lh5.googleusercontent.com/d/1agqO4t7nsPDoaw7ssLkNOU5HBJu9Wu3D" TargetMode="External"/><Relationship Id="rId4217" Type="http://schemas.openxmlformats.org/officeDocument/2006/relationships/hyperlink" Target="https://drive.google.com/file/d/1rWMfUuhiVyZm9LFQIFRkEHlfIv_9v_bg/view?usp=drivesdk" TargetMode="External"/><Relationship Id="rId5549" Type="http://schemas.openxmlformats.org/officeDocument/2006/relationships/hyperlink" Target="https://lh5.googleusercontent.com/d/1SCSLMaxVBMNA3rnrO82sWAfeNxC5XlM-" TargetMode="External"/><Relationship Id="rId4216" Type="http://schemas.openxmlformats.org/officeDocument/2006/relationships/hyperlink" Target="https://lh5.googleusercontent.com/d/1eYI7qj-FnxmPuWIyOFry3ZxJZBfjd853" TargetMode="External"/><Relationship Id="rId4219" Type="http://schemas.openxmlformats.org/officeDocument/2006/relationships/hyperlink" Target="https://drive.google.com/file/d/1w2IIz_b_NwdvcWzSGY6UDRlx8OoyQy8R/view?usp=drivesdk" TargetMode="External"/><Relationship Id="rId5547" Type="http://schemas.openxmlformats.org/officeDocument/2006/relationships/hyperlink" Target="https://lh5.googleusercontent.com/d/1vAeG2YPnImTDreof6wWPYH7D6bSb7dcw" TargetMode="External"/><Relationship Id="rId4218" Type="http://schemas.openxmlformats.org/officeDocument/2006/relationships/hyperlink" Target="https://lh5.googleusercontent.com/d/1ilo2lEbgwta_hH-0x9oBobhRs4vQXtp1" TargetMode="External"/><Relationship Id="rId5548" Type="http://schemas.openxmlformats.org/officeDocument/2006/relationships/hyperlink" Target="https://drive.google.com/file/d/16UahvJWekbQkl_u6aYTPV_rVjeZ51vB5/view?usp=drivesdk" TargetMode="External"/><Relationship Id="rId599" Type="http://schemas.openxmlformats.org/officeDocument/2006/relationships/hyperlink" Target="https://lh5.googleusercontent.com/d/18nM3bQoGh7YqZ7MmhIX3hdhdVy1bGnQX" TargetMode="External"/><Relationship Id="rId1180" Type="http://schemas.openxmlformats.org/officeDocument/2006/relationships/hyperlink" Target="https://lh5.googleusercontent.com/d/1pSX2Tg9iaFArkPiYPFNmPK9hkeBDpGEF" TargetMode="External"/><Relationship Id="rId1181" Type="http://schemas.openxmlformats.org/officeDocument/2006/relationships/hyperlink" Target="https://drive.google.com/file/d/15Njt8mUGcL4lO9Kgebaoxv6EnwU6lSRn/view?usp=drivesdk" TargetMode="External"/><Relationship Id="rId1182" Type="http://schemas.openxmlformats.org/officeDocument/2006/relationships/hyperlink" Target="https://lh5.googleusercontent.com/d/1oLm_l711UexsNikDawferS4GrVUMfO8F" TargetMode="External"/><Relationship Id="rId594" Type="http://schemas.openxmlformats.org/officeDocument/2006/relationships/hyperlink" Target="https://lh5.googleusercontent.com/d/1d1Bjp2Q4TABNMK6b86Ky2bJ7aR85l5kM" TargetMode="External"/><Relationship Id="rId1183" Type="http://schemas.openxmlformats.org/officeDocument/2006/relationships/hyperlink" Target="https://drive.google.com/file/d/1ZDHIexpxNRGjLHUUGZZCHKGSSymESCcH/view?usp=drivesdk" TargetMode="External"/><Relationship Id="rId5541" Type="http://schemas.openxmlformats.org/officeDocument/2006/relationships/hyperlink" Target="https://lh5.googleusercontent.com/d/1hsfVzjmdXCVliOOLfm-QzPqjgE_TxcS0" TargetMode="External"/><Relationship Id="rId593" Type="http://schemas.openxmlformats.org/officeDocument/2006/relationships/hyperlink" Target="https://drive.google.com/file/d/1OyRcyGF5tPYSwoGLpo9EGKjN1Jp_XDWR/view?usp=drivesdk" TargetMode="External"/><Relationship Id="rId1184" Type="http://schemas.openxmlformats.org/officeDocument/2006/relationships/hyperlink" Target="https://lh5.googleusercontent.com/d/15a6VJt6DFmW3fx194CUqyNorXuY98rmT" TargetMode="External"/><Relationship Id="rId5542" Type="http://schemas.openxmlformats.org/officeDocument/2006/relationships/hyperlink" Target="https://drive.google.com/file/d/1GQG7iaQQHZ9ojQ9AP3aZtHt_F_y7zVC1/view?usp=drivesdk" TargetMode="External"/><Relationship Id="rId592" Type="http://schemas.openxmlformats.org/officeDocument/2006/relationships/hyperlink" Target="https://lh5.googleusercontent.com/d/155Ej3nvULoZSIogQx6zc0PX0jlFtoCHy" TargetMode="External"/><Relationship Id="rId1185" Type="http://schemas.openxmlformats.org/officeDocument/2006/relationships/hyperlink" Target="https://drive.google.com/file/d/1-KReA1MLL5drrRtpLEY3kZBNDya2nEwq/view?usp=drivesdk" TargetMode="External"/><Relationship Id="rId4211" Type="http://schemas.openxmlformats.org/officeDocument/2006/relationships/hyperlink" Target="https://drive.google.com/file/d/11MEb_y2Vx82l0SX4bkSyKdNZaWBsCko8/view?usp=drivesdk" TargetMode="External"/><Relationship Id="rId591" Type="http://schemas.openxmlformats.org/officeDocument/2006/relationships/hyperlink" Target="https://drive.google.com/file/d/1ZE9Gti52tTqOYV0vZWJxf9pB8ms1tIBv/view?usp=drivesdk" TargetMode="External"/><Relationship Id="rId1186" Type="http://schemas.openxmlformats.org/officeDocument/2006/relationships/hyperlink" Target="https://lh5.googleusercontent.com/d/1AqW07G33OoSFuWjZ4Gf1xAl7TsBy3eQt" TargetMode="External"/><Relationship Id="rId4210" Type="http://schemas.openxmlformats.org/officeDocument/2006/relationships/hyperlink" Target="https://lh5.googleusercontent.com/d/1rpF9HbnOgjFmqh0o-eH2DBj0yrO2HbuH" TargetMode="External"/><Relationship Id="rId5540" Type="http://schemas.openxmlformats.org/officeDocument/2006/relationships/hyperlink" Target="https://drive.google.com/file/d/1ZYG97TEVe_LFI4YKrBdddnVBN4XWO4lC/view?usp=drivesdk" TargetMode="External"/><Relationship Id="rId598" Type="http://schemas.openxmlformats.org/officeDocument/2006/relationships/hyperlink" Target="https://drive.google.com/file/d/1ppigfG_uvsAui-38e3utF5CdZWBowi4_/view?usp=drivesdk" TargetMode="External"/><Relationship Id="rId1187" Type="http://schemas.openxmlformats.org/officeDocument/2006/relationships/hyperlink" Target="https://drive.google.com/file/d/1-83unL6VRF-EerXOdTKn8hOKuEXv6fN9/view?usp=drivesdk" TargetMode="External"/><Relationship Id="rId4213" Type="http://schemas.openxmlformats.org/officeDocument/2006/relationships/hyperlink" Target="https://drive.google.com/file/d/1LL8cmDZ6GeTy2DjtScXpGMhBtznXCjG5/view?usp=drivesdk" TargetMode="External"/><Relationship Id="rId5545" Type="http://schemas.openxmlformats.org/officeDocument/2006/relationships/hyperlink" Target="https://lh5.googleusercontent.com/d/1xbF18QY5fRlK76FTZHTPC0f2TSyC6exW" TargetMode="External"/><Relationship Id="rId597" Type="http://schemas.openxmlformats.org/officeDocument/2006/relationships/hyperlink" Target="https://lh5.googleusercontent.com/d/10AvAsF3oINfe9THRihPTowaWs6rC4A3a" TargetMode="External"/><Relationship Id="rId1188" Type="http://schemas.openxmlformats.org/officeDocument/2006/relationships/hyperlink" Target="https://lh5.googleusercontent.com/d/1n0GmVGowzzhZWKC605vAR84EYfX9PdkL" TargetMode="External"/><Relationship Id="rId4212" Type="http://schemas.openxmlformats.org/officeDocument/2006/relationships/hyperlink" Target="https://lh5.googleusercontent.com/d/12imeSC-mi0EcogvyKlUIRmp6qSsp4rZq" TargetMode="External"/><Relationship Id="rId5546" Type="http://schemas.openxmlformats.org/officeDocument/2006/relationships/hyperlink" Target="https://drive.google.com/file/d/1OKHp73AbUK-VphQ9IUSwoKGwYK4MAwEH/view?usp=drivesdk" TargetMode="External"/><Relationship Id="rId596" Type="http://schemas.openxmlformats.org/officeDocument/2006/relationships/hyperlink" Target="https://drive.google.com/file/d/1vRwNK69JSG8qmBXwf60jSQu6-ylnF8u0/view?usp=drivesdk" TargetMode="External"/><Relationship Id="rId1189" Type="http://schemas.openxmlformats.org/officeDocument/2006/relationships/hyperlink" Target="https://drive.google.com/file/d/1ToKopPa3I277pwUKWWzezWpYInU0ecic/view?usp=drivesdk" TargetMode="External"/><Relationship Id="rId4215" Type="http://schemas.openxmlformats.org/officeDocument/2006/relationships/hyperlink" Target="https://drive.google.com/file/d/1VtYhmuMQoWUgi-m-ANHtyHrUS0B126_t/view?usp=drivesdk" TargetMode="External"/><Relationship Id="rId5543" Type="http://schemas.openxmlformats.org/officeDocument/2006/relationships/hyperlink" Target="https://lh5.googleusercontent.com/d/1O2uw4w1nXQA0IiQJeU0AAKBras3ZaHdg" TargetMode="External"/><Relationship Id="rId595" Type="http://schemas.openxmlformats.org/officeDocument/2006/relationships/hyperlink" Target="https://lh5.googleusercontent.com/d/1d1Bjp2Q4TABNMK6b86Ky2bJ7aR85l5kM" TargetMode="External"/><Relationship Id="rId4214" Type="http://schemas.openxmlformats.org/officeDocument/2006/relationships/hyperlink" Target="https://lh5.googleusercontent.com/d/1od_eT-C2K7ayjP2ufjHFCg3ODuQiSW-e" TargetMode="External"/><Relationship Id="rId5544" Type="http://schemas.openxmlformats.org/officeDocument/2006/relationships/hyperlink" Target="https://drive.google.com/file/d/1ddnDai1S8bSKFVl2iddA3_PXBgsTB-Cz/view?usp=drivesdk" TargetMode="External"/><Relationship Id="rId1136" Type="http://schemas.openxmlformats.org/officeDocument/2006/relationships/hyperlink" Target="https://lh5.googleusercontent.com/d/1B62GNPMty4Xt0hG4KW36CljatBIGvssT" TargetMode="External"/><Relationship Id="rId2467" Type="http://schemas.openxmlformats.org/officeDocument/2006/relationships/hyperlink" Target="https://lh5.googleusercontent.com/d/1bgsuL6cJGqhExPGXm3PDkp-JHnNu70Jm" TargetMode="External"/><Relationship Id="rId3799" Type="http://schemas.openxmlformats.org/officeDocument/2006/relationships/hyperlink" Target="https://lh5.googleusercontent.com/d/1D58Gm7c0nzkJN1ZvFVIhXpmHNdxvq1yp" TargetMode="External"/><Relationship Id="rId1137" Type="http://schemas.openxmlformats.org/officeDocument/2006/relationships/hyperlink" Target="https://drive.google.com/file/d/1UciqDnRKkHTIm9U2K2d6c4DygZ0XMoCA/view?usp=drivesdk" TargetMode="External"/><Relationship Id="rId2468" Type="http://schemas.openxmlformats.org/officeDocument/2006/relationships/hyperlink" Target="https://drive.google.com/file/d/1tA6fCgZa4L0PDpGe7qf3YTLgm4l7dni7/view?usp=drivesdk" TargetMode="External"/><Relationship Id="rId3798" Type="http://schemas.openxmlformats.org/officeDocument/2006/relationships/hyperlink" Target="https://drive.google.com/file/d/1Gj1QDHiW19pjJl4DzZ728_bLnHwl-8Rq/view?usp=drivesdk" TargetMode="External"/><Relationship Id="rId1138" Type="http://schemas.openxmlformats.org/officeDocument/2006/relationships/hyperlink" Target="https://lh5.googleusercontent.com/d/1h1DafnDmc9PcDKbN3AbZ1Tyvx6gAOdE0" TargetMode="External"/><Relationship Id="rId2469" Type="http://schemas.openxmlformats.org/officeDocument/2006/relationships/hyperlink" Target="https://lh5.googleusercontent.com/d/1XSClSjDm8gL9NJOwunB2u4vR1krB-I1d" TargetMode="External"/><Relationship Id="rId1139" Type="http://schemas.openxmlformats.org/officeDocument/2006/relationships/hyperlink" Target="https://drive.google.com/file/d/1XsCg6c6h3bURxF1uDwaP570miL4n91l6/view?usp=drivesdk" TargetMode="External"/><Relationship Id="rId547" Type="http://schemas.openxmlformats.org/officeDocument/2006/relationships/hyperlink" Target="https://drive.google.com/file/d/1AYZWJdZlDuFi3wKvohKuUENhV5-oRJg3/view?usp=drivesdk" TargetMode="External"/><Relationship Id="rId546" Type="http://schemas.openxmlformats.org/officeDocument/2006/relationships/hyperlink" Target="https://lh5.googleusercontent.com/d/1D9s5L785LiAEswtRLVWnVKOgqY064I9S" TargetMode="External"/><Relationship Id="rId545" Type="http://schemas.openxmlformats.org/officeDocument/2006/relationships/hyperlink" Target="https://drive.google.com/file/d/1W_Ratw_SvQjryyYxOtWIH2m_LypDhXLi/view?usp=drivesdk" TargetMode="External"/><Relationship Id="rId544" Type="http://schemas.openxmlformats.org/officeDocument/2006/relationships/hyperlink" Target="https://lh5.googleusercontent.com/d/1yzOoEn39Taw0rhxyTRNG9n-zrnD1MtWm" TargetMode="External"/><Relationship Id="rId549" Type="http://schemas.openxmlformats.org/officeDocument/2006/relationships/hyperlink" Target="https://drive.google.com/file/d/1pJ1JOs4_SLrJulyUYYJEtgMIYTt1nWk0/view?usp=drivesdk" TargetMode="External"/><Relationship Id="rId548" Type="http://schemas.openxmlformats.org/officeDocument/2006/relationships/hyperlink" Target="https://lh5.googleusercontent.com/d/1N1ipAs0nrKh1x-PeIc3s9LmsSpPxN9BQ" TargetMode="External"/><Relationship Id="rId3791" Type="http://schemas.openxmlformats.org/officeDocument/2006/relationships/hyperlink" Target="https://lh5.googleusercontent.com/d/1WskCqSBALPgwKi6wN9GOrV5fa7FEgdil" TargetMode="External"/><Relationship Id="rId2460" Type="http://schemas.openxmlformats.org/officeDocument/2006/relationships/hyperlink" Target="https://drive.google.com/file/d/1N5FzNQrpSW8OCYMX3zMRC-MFC_8t5CGi/view?usp=drivesdk" TargetMode="External"/><Relationship Id="rId3790" Type="http://schemas.openxmlformats.org/officeDocument/2006/relationships/hyperlink" Target="https://drive.google.com/file/d/14cb0TaHSoElJqW9MyLHr4O83en0YJfOs/view?usp=drivesdk" TargetMode="External"/><Relationship Id="rId1130" Type="http://schemas.openxmlformats.org/officeDocument/2006/relationships/hyperlink" Target="https://lh5.googleusercontent.com/d/10r6Dku1HzDwaI6COqqAF7NJSHXlaHQAA" TargetMode="External"/><Relationship Id="rId2461" Type="http://schemas.openxmlformats.org/officeDocument/2006/relationships/hyperlink" Target="https://lh5.googleusercontent.com/d/1eeypyGnENZ1RO97mVPHpNAEF6viH1yBi" TargetMode="External"/><Relationship Id="rId3793" Type="http://schemas.openxmlformats.org/officeDocument/2006/relationships/hyperlink" Target="https://lh5.googleusercontent.com/d/1UkNDXJ6_QKvRDBvZQ5aIk-20qr4jGOnX" TargetMode="External"/><Relationship Id="rId1131" Type="http://schemas.openxmlformats.org/officeDocument/2006/relationships/hyperlink" Target="https://drive.google.com/file/d/1FkwUFB646T5Gzn4Nx7gxZCKDtiYN6Ud-/view?usp=drivesdk" TargetMode="External"/><Relationship Id="rId2462" Type="http://schemas.openxmlformats.org/officeDocument/2006/relationships/hyperlink" Target="https://drive.google.com/file/d/1QO6V9mINY73NUHV7It37kMb9EA0LBt-C/view?usp=drivesdk" TargetMode="External"/><Relationship Id="rId3792" Type="http://schemas.openxmlformats.org/officeDocument/2006/relationships/hyperlink" Target="https://drive.google.com/file/d/17X3Wy3PCVEV0cQpJSbv4CV75NftvUAOp/view?usp=drivesdk" TargetMode="External"/><Relationship Id="rId543" Type="http://schemas.openxmlformats.org/officeDocument/2006/relationships/hyperlink" Target="https://drive.google.com/file/d/1599I7cXyMwl_h9Zsw5P8s_kkBd1szpsN/view?usp=drivesdk" TargetMode="External"/><Relationship Id="rId1132" Type="http://schemas.openxmlformats.org/officeDocument/2006/relationships/hyperlink" Target="https://lh5.googleusercontent.com/d/1mL6b03wKwDGYZ0RDC-i2Z3yz9ybbFi7r" TargetMode="External"/><Relationship Id="rId2463" Type="http://schemas.openxmlformats.org/officeDocument/2006/relationships/hyperlink" Target="https://lh5.googleusercontent.com/d/1pPVwKCoTDRBPzQHtin2X4skSrnCHBCak" TargetMode="External"/><Relationship Id="rId3795" Type="http://schemas.openxmlformats.org/officeDocument/2006/relationships/hyperlink" Target="https://lh5.googleusercontent.com/d/1teyqqNl0Uwwrj_SX6oJVD1QWxwg-v9Ua" TargetMode="External"/><Relationship Id="rId542" Type="http://schemas.openxmlformats.org/officeDocument/2006/relationships/hyperlink" Target="https://lh5.googleusercontent.com/d/1M7k8Yr8VmwyQinWvzUpmkvwsSfAmhSpN" TargetMode="External"/><Relationship Id="rId1133" Type="http://schemas.openxmlformats.org/officeDocument/2006/relationships/hyperlink" Target="https://drive.google.com/file/d/1svOfDYoCG4sU5OchXM77BeJt5No6rUd0/view?usp=drivesdk" TargetMode="External"/><Relationship Id="rId2464" Type="http://schemas.openxmlformats.org/officeDocument/2006/relationships/hyperlink" Target="https://drive.google.com/file/d/1mfXnj2P-0r2nlfubmhStVAl2PAERYydv/view?usp=drivesdk" TargetMode="External"/><Relationship Id="rId3794" Type="http://schemas.openxmlformats.org/officeDocument/2006/relationships/hyperlink" Target="https://drive.google.com/file/d/1O1-ysZaxeCyg49DwJQy4B6UKNoJAWBSA/view?usp=drivesdk" TargetMode="External"/><Relationship Id="rId541" Type="http://schemas.openxmlformats.org/officeDocument/2006/relationships/hyperlink" Target="https://drive.google.com/file/d/1JV1cucEeHeXgnjYPT1fkWNb0-g5LHel-/view?usp=drivesdk" TargetMode="External"/><Relationship Id="rId1134" Type="http://schemas.openxmlformats.org/officeDocument/2006/relationships/hyperlink" Target="https://lh5.googleusercontent.com/d/1JXwD0vyXQ6ZVCF3vpjkNU_LBGc-Lg8pJ" TargetMode="External"/><Relationship Id="rId2465" Type="http://schemas.openxmlformats.org/officeDocument/2006/relationships/hyperlink" Target="https://lh5.googleusercontent.com/d/1MUus3dbbQqewHSvU-XlNsWsu3g6RYkoM" TargetMode="External"/><Relationship Id="rId3797" Type="http://schemas.openxmlformats.org/officeDocument/2006/relationships/hyperlink" Target="https://lh5.googleusercontent.com/d/156wY-X6dvfuDClnqxJLh7K7gWwM0jCNv" TargetMode="External"/><Relationship Id="rId540" Type="http://schemas.openxmlformats.org/officeDocument/2006/relationships/hyperlink" Target="https://lh5.googleusercontent.com/d/1jD2FxmTYV5b-jYnkQQ7RfxgBjqjSxB5B" TargetMode="External"/><Relationship Id="rId1135" Type="http://schemas.openxmlformats.org/officeDocument/2006/relationships/hyperlink" Target="https://drive.google.com/file/d/1Qk-UQbyTghIS8qQiixESFplWXQLWrfIR/view?usp=drivesdk" TargetMode="External"/><Relationship Id="rId2466" Type="http://schemas.openxmlformats.org/officeDocument/2006/relationships/hyperlink" Target="https://drive.google.com/file/d/1VrCVTOXph25_yrApKBTUN6Pet_ZNnpWk/view?usp=drivesdk" TargetMode="External"/><Relationship Id="rId3796" Type="http://schemas.openxmlformats.org/officeDocument/2006/relationships/hyperlink" Target="https://drive.google.com/file/d/1eFttlC3fYl5uQngLZJJihDXEPoh7Oc4H/view?usp=drivesdk" TargetMode="External"/><Relationship Id="rId1125" Type="http://schemas.openxmlformats.org/officeDocument/2006/relationships/hyperlink" Target="https://drive.google.com/file/d/1PrYt-KdXsihzAKv3vJznYHHIqKb-cC4d/view?usp=drivesdk" TargetMode="External"/><Relationship Id="rId2456" Type="http://schemas.openxmlformats.org/officeDocument/2006/relationships/hyperlink" Target="https://lh5.googleusercontent.com/d/10x0WKBZRm9o8OuHS3Q0li3dluUWIjkeu" TargetMode="External"/><Relationship Id="rId3788" Type="http://schemas.openxmlformats.org/officeDocument/2006/relationships/hyperlink" Target="https://drive.google.com/file/d/1iqNElQ4NDZEbeESYhraTlN3GuuWQcbAL/view?usp=drivesdk" TargetMode="External"/><Relationship Id="rId1126" Type="http://schemas.openxmlformats.org/officeDocument/2006/relationships/hyperlink" Target="https://lh5.googleusercontent.com/d/1ntaS2whOCNZ86MlLtqJ6bX8RBPB9H2BP" TargetMode="External"/><Relationship Id="rId2457" Type="http://schemas.openxmlformats.org/officeDocument/2006/relationships/hyperlink" Target="https://drive.google.com/file/d/1m5co3CqI9PsaqrSw3uxYz1LbcOhM03yD/view?usp=drivesdk" TargetMode="External"/><Relationship Id="rId3787" Type="http://schemas.openxmlformats.org/officeDocument/2006/relationships/hyperlink" Target="https://lh5.googleusercontent.com/d/18Uao6Nrkm5yNoy4FEVr1NoVEKySVFIbE" TargetMode="External"/><Relationship Id="rId1127" Type="http://schemas.openxmlformats.org/officeDocument/2006/relationships/hyperlink" Target="https://drive.google.com/file/d/1_lf-_B4hRi5Kz9H7IGbI-QieFAWHp_WN/view?usp=drivesdk" TargetMode="External"/><Relationship Id="rId2458" Type="http://schemas.openxmlformats.org/officeDocument/2006/relationships/hyperlink" Target="https://lh5.googleusercontent.com/d/181Q-gFnMJDnBSaPquvCa7tsVyDuoUwen" TargetMode="External"/><Relationship Id="rId1128" Type="http://schemas.openxmlformats.org/officeDocument/2006/relationships/hyperlink" Target="https://lh5.googleusercontent.com/d/19e17jDjvZbxkB3uoQewT6CWz9sITkx7R" TargetMode="External"/><Relationship Id="rId2459" Type="http://schemas.openxmlformats.org/officeDocument/2006/relationships/hyperlink" Target="https://lh5.googleusercontent.com/d/1THsUuFRRF-6GEXQOUwBzJy1Ill1Gmq9h" TargetMode="External"/><Relationship Id="rId3789" Type="http://schemas.openxmlformats.org/officeDocument/2006/relationships/hyperlink" Target="https://lh5.googleusercontent.com/d/1YWz3dl-nw8pciokeXL00woOoow0gwUvs" TargetMode="External"/><Relationship Id="rId1129" Type="http://schemas.openxmlformats.org/officeDocument/2006/relationships/hyperlink" Target="https://drive.google.com/file/d/1rp5A71Aj7FmD-8tv0CRVhWFWetgnIFN5/view?usp=drivesdk" TargetMode="External"/><Relationship Id="rId536" Type="http://schemas.openxmlformats.org/officeDocument/2006/relationships/hyperlink" Target="https://lh5.googleusercontent.com/d/1geQH2WOXBe5a8lzcdbOEP6_jVb7XQCby" TargetMode="External"/><Relationship Id="rId535" Type="http://schemas.openxmlformats.org/officeDocument/2006/relationships/hyperlink" Target="https://drive.google.com/file/d/1fPRhmMH4d83x4fEex26wn9xitkq9PfPk/view?usp=drivesdk" TargetMode="External"/><Relationship Id="rId534" Type="http://schemas.openxmlformats.org/officeDocument/2006/relationships/hyperlink" Target="https://lh5.googleusercontent.com/d/1-weo10BHEFD4BmAl6nyaDODtegAWeIKF" TargetMode="External"/><Relationship Id="rId533" Type="http://schemas.openxmlformats.org/officeDocument/2006/relationships/hyperlink" Target="https://drive.google.com/file/d/16cxqNHmK5rdfFYTYLMJuR9STqe9cRwj7/view?usp=drivesdk" TargetMode="External"/><Relationship Id="rId539" Type="http://schemas.openxmlformats.org/officeDocument/2006/relationships/hyperlink" Target="https://drive.google.com/file/d/1tTLRWfoBxhRCqqlJ10trnzT855Vrrlj0/view?usp=drivesdk" TargetMode="External"/><Relationship Id="rId538" Type="http://schemas.openxmlformats.org/officeDocument/2006/relationships/hyperlink" Target="https://lh5.googleusercontent.com/d/1rMo5JN80P-StmTVLXMFG2YxJrA1XqRrk" TargetMode="External"/><Relationship Id="rId537" Type="http://schemas.openxmlformats.org/officeDocument/2006/relationships/hyperlink" Target="https://drive.google.com/file/d/1VuRpSgyJi9jrdRzPwB37sP4swu6ngayu/view?usp=drivesdk" TargetMode="External"/><Relationship Id="rId3780" Type="http://schemas.openxmlformats.org/officeDocument/2006/relationships/hyperlink" Target="https://drive.google.com/file/d/12Uss0QTb1bHuoGdX7m3jR-puevATKa1D/view?usp=drivesdk" TargetMode="External"/><Relationship Id="rId2450" Type="http://schemas.openxmlformats.org/officeDocument/2006/relationships/hyperlink" Target="https://lh5.googleusercontent.com/d/1nJbRbB6BCHKAw53bNM8EW4iBHGjiPGtt" TargetMode="External"/><Relationship Id="rId3782" Type="http://schemas.openxmlformats.org/officeDocument/2006/relationships/hyperlink" Target="https://drive.google.com/file/d/1BEnFxpyJ1ljQpIHuexEO_2skI39IcSKU/view?usp=drivesdk" TargetMode="External"/><Relationship Id="rId1120" Type="http://schemas.openxmlformats.org/officeDocument/2006/relationships/hyperlink" Target="https://lh5.googleusercontent.com/d/1cM26XX4U29VUPoA8pLdYzYYosak1qSRU" TargetMode="External"/><Relationship Id="rId2451" Type="http://schemas.openxmlformats.org/officeDocument/2006/relationships/hyperlink" Target="https://drive.google.com/file/d/1OXBMFusmTPdgGTvxF8YFAuqAOmk-h-RH/view?usp=drivesdk" TargetMode="External"/><Relationship Id="rId3781" Type="http://schemas.openxmlformats.org/officeDocument/2006/relationships/hyperlink" Target="https://lh5.googleusercontent.com/d/1RMRXT1py9gJiEeYB9g6rADFr3QHkOR7I" TargetMode="External"/><Relationship Id="rId532" Type="http://schemas.openxmlformats.org/officeDocument/2006/relationships/hyperlink" Target="https://lh5.googleusercontent.com/d/1O_h8g2DeNtkZRu904d09NS4AIYKZNFcL" TargetMode="External"/><Relationship Id="rId1121" Type="http://schemas.openxmlformats.org/officeDocument/2006/relationships/hyperlink" Target="https://drive.google.com/file/d/1aRdMd0AZOdvvgDfFZ8hXBHu0b3N3jrPs/view?usp=drivesdk" TargetMode="External"/><Relationship Id="rId2452" Type="http://schemas.openxmlformats.org/officeDocument/2006/relationships/hyperlink" Target="https://lh5.googleusercontent.com/d/1FqZLpFD61aQVI_Ys7XgHqw920VURsylG" TargetMode="External"/><Relationship Id="rId3784" Type="http://schemas.openxmlformats.org/officeDocument/2006/relationships/hyperlink" Target="https://drive.google.com/file/d/1nrrlDRFdg3jJAE8AuJzvnAPCZl7w8z4o/view?usp=drivesdk" TargetMode="External"/><Relationship Id="rId531" Type="http://schemas.openxmlformats.org/officeDocument/2006/relationships/hyperlink" Target="https://drive.google.com/file/d/15meJyRmipg8mYEXfJMczdR6uYmvX1p5h/view?usp=drivesdk" TargetMode="External"/><Relationship Id="rId1122" Type="http://schemas.openxmlformats.org/officeDocument/2006/relationships/hyperlink" Target="https://lh5.googleusercontent.com/d/1hu1sCbSeVWUMD1SJobirmVIELNeFlu2P" TargetMode="External"/><Relationship Id="rId2453" Type="http://schemas.openxmlformats.org/officeDocument/2006/relationships/hyperlink" Target="https://drive.google.com/file/d/1ixns3eiRy7Igp1t3i9w65mA1BvfGqzKr/view?usp=drivesdk" TargetMode="External"/><Relationship Id="rId3783" Type="http://schemas.openxmlformats.org/officeDocument/2006/relationships/hyperlink" Target="https://lh5.googleusercontent.com/d/1a24obhat_8kPCA4VNmf5uJzcfJ2jMMhU" TargetMode="External"/><Relationship Id="rId530" Type="http://schemas.openxmlformats.org/officeDocument/2006/relationships/hyperlink" Target="https://lh5.googleusercontent.com/d/1B7e2lKEQg_rkZtBmJ5dpodhy0Jy8UFuZ" TargetMode="External"/><Relationship Id="rId1123" Type="http://schemas.openxmlformats.org/officeDocument/2006/relationships/hyperlink" Target="https://drive.google.com/file/d/1r_l5GGhG7zmQCpTfqmlrGWTmjNK07IB-/view?usp=drivesdk" TargetMode="External"/><Relationship Id="rId2454" Type="http://schemas.openxmlformats.org/officeDocument/2006/relationships/hyperlink" Target="https://lh5.googleusercontent.com/d/1w8Iz6ETKFQbjouP7ExKdXNYyGTUqs_fk" TargetMode="External"/><Relationship Id="rId3786" Type="http://schemas.openxmlformats.org/officeDocument/2006/relationships/hyperlink" Target="https://drive.google.com/file/d/15_HzQeAc3ec0Bo9XTTZHfH82WUDTCFBl/view?usp=drivesdk" TargetMode="External"/><Relationship Id="rId1124" Type="http://schemas.openxmlformats.org/officeDocument/2006/relationships/hyperlink" Target="https://lh5.googleusercontent.com/d/142pLKNZxFDJ3WKLqd0dgA2GqM8a-Ksl_" TargetMode="External"/><Relationship Id="rId2455" Type="http://schemas.openxmlformats.org/officeDocument/2006/relationships/hyperlink" Target="https://drive.google.com/file/d/1sr8W7vWUi_dep8n2_j2kDUmbrR6XZ4pd/view?usp=drivesdk" TargetMode="External"/><Relationship Id="rId3785" Type="http://schemas.openxmlformats.org/officeDocument/2006/relationships/hyperlink" Target="https://lh5.googleusercontent.com/d/1lyVubiEKRSR6NIeFW8EdtQBia2RJyXWW" TargetMode="External"/><Relationship Id="rId1158" Type="http://schemas.openxmlformats.org/officeDocument/2006/relationships/hyperlink" Target="https://lh5.googleusercontent.com/d/1C476f0sJSF5_LgpnEn8HlStQ6NLQnrpX" TargetMode="External"/><Relationship Id="rId2489" Type="http://schemas.openxmlformats.org/officeDocument/2006/relationships/hyperlink" Target="https://lh5.googleusercontent.com/d/13ORRcORJuQGJTP_4iVX3TU3RE6UhFK3j" TargetMode="External"/><Relationship Id="rId5516" Type="http://schemas.openxmlformats.org/officeDocument/2006/relationships/hyperlink" Target="https://drive.google.com/file/d/1ET4HkuoWZ37zxiRxxrA1kyFI-5a-vtPN/view?usp=drivesdk" TargetMode="External"/><Relationship Id="rId1159" Type="http://schemas.openxmlformats.org/officeDocument/2006/relationships/hyperlink" Target="https://drive.google.com/file/d/1tdZ3epM-gXEPi8r4-N2UUWAWD2xxyoPv/view?usp=drivesdk" TargetMode="External"/><Relationship Id="rId5517" Type="http://schemas.openxmlformats.org/officeDocument/2006/relationships/hyperlink" Target="https://lh5.googleusercontent.com/d/1xmgKLSAZ6Ha5T6iyAVuk2rPt8ryNEuEg" TargetMode="External"/><Relationship Id="rId5514" Type="http://schemas.openxmlformats.org/officeDocument/2006/relationships/hyperlink" Target="https://drive.google.com/file/d/139467fnMr7vgogrzN6lcl8L2Di1Cnxp5/view?usp=drivesdk" TargetMode="External"/><Relationship Id="rId5515" Type="http://schemas.openxmlformats.org/officeDocument/2006/relationships/hyperlink" Target="https://lh5.googleusercontent.com/d/1jhEjxKcKu5b7eWN6G5QhNmbfU1ToynzW" TargetMode="External"/><Relationship Id="rId5518" Type="http://schemas.openxmlformats.org/officeDocument/2006/relationships/hyperlink" Target="https://drive.google.com/file/d/1BhR5S8eXQPO7yDsw-DS7zx2P_SIe8oke/view?usp=drivesdk" TargetMode="External"/><Relationship Id="rId5519" Type="http://schemas.openxmlformats.org/officeDocument/2006/relationships/hyperlink" Target="https://lh5.googleusercontent.com/d/1y_WN-QPCn_J5LLSwy8-EErnTTncPQ7qK" TargetMode="External"/><Relationship Id="rId569" Type="http://schemas.openxmlformats.org/officeDocument/2006/relationships/hyperlink" Target="https://drive.google.com/file/d/1oy9jR5UlTkf17kQtnyUO9QSpHuLV48Ru/view?usp=drivesdk" TargetMode="External"/><Relationship Id="rId568" Type="http://schemas.openxmlformats.org/officeDocument/2006/relationships/hyperlink" Target="https://lh5.googleusercontent.com/d/1jGH5JwuG5C6O7h5gFWgWTRtkVQreR9af" TargetMode="External"/><Relationship Id="rId567" Type="http://schemas.openxmlformats.org/officeDocument/2006/relationships/hyperlink" Target="https://drive.google.com/file/d/1WClkqkszsatKqd4qPV4wSQYnfw9divM-/view?usp=drivesdk" TargetMode="External"/><Relationship Id="rId566" Type="http://schemas.openxmlformats.org/officeDocument/2006/relationships/hyperlink" Target="https://lh5.googleusercontent.com/d/1qND4YlDS2SfJXDt6z5vjVi7FmWta0b-2" TargetMode="External"/><Relationship Id="rId2480" Type="http://schemas.openxmlformats.org/officeDocument/2006/relationships/hyperlink" Target="https://drive.google.com/file/d/1EfIw_Cr3P5ZqbPy_-137P17jRClwGDK2/view?usp=drivesdk" TargetMode="External"/><Relationship Id="rId561" Type="http://schemas.openxmlformats.org/officeDocument/2006/relationships/hyperlink" Target="https://drive.google.com/file/d/1rvVpxpWQ39IA2tFCLN44fQ2-_LK4HMHM/view?usp=drivesdk" TargetMode="External"/><Relationship Id="rId1150" Type="http://schemas.openxmlformats.org/officeDocument/2006/relationships/hyperlink" Target="https://lh5.googleusercontent.com/d/1OvizXkf-CTCTEdjmGOjTx_sjmX11ZGVU" TargetMode="External"/><Relationship Id="rId2481" Type="http://schemas.openxmlformats.org/officeDocument/2006/relationships/hyperlink" Target="https://lh5.googleusercontent.com/d/157Wnd6P4Ppnbkv_LJD6aAdbx-ro3kLRI" TargetMode="External"/><Relationship Id="rId560" Type="http://schemas.openxmlformats.org/officeDocument/2006/relationships/hyperlink" Target="https://lh5.googleusercontent.com/d/1jxitZpMygwhK18TU1fJ8NaGaV-gHZanf" TargetMode="External"/><Relationship Id="rId1151" Type="http://schemas.openxmlformats.org/officeDocument/2006/relationships/hyperlink" Target="https://drive.google.com/file/d/1kufY5mq6DToGVfvzRlXIqUflOezVx3ak/view?usp=drivesdk" TargetMode="External"/><Relationship Id="rId2482" Type="http://schemas.openxmlformats.org/officeDocument/2006/relationships/hyperlink" Target="https://drive.google.com/file/d/1cWM7kEpkSxavTdMA6q4390kArUv_unnQ/view?usp=drivesdk" TargetMode="External"/><Relationship Id="rId1152" Type="http://schemas.openxmlformats.org/officeDocument/2006/relationships/hyperlink" Target="https://lh5.googleusercontent.com/d/1VTdRfTCw12JhJETLNL-ZUl1snG-NMYw7" TargetMode="External"/><Relationship Id="rId2483" Type="http://schemas.openxmlformats.org/officeDocument/2006/relationships/hyperlink" Target="https://lh5.googleusercontent.com/d/1eW4GuWZabukFApEDSFSTzf9axhrtA4V0" TargetMode="External"/><Relationship Id="rId1153" Type="http://schemas.openxmlformats.org/officeDocument/2006/relationships/hyperlink" Target="https://drive.google.com/file/d/1SRHcfO19c_O2335R1FrqpyhFHJ_ExyBN/view?usp=drivesdk" TargetMode="External"/><Relationship Id="rId2484" Type="http://schemas.openxmlformats.org/officeDocument/2006/relationships/hyperlink" Target="https://drive.google.com/file/d/1VCPZhDRh_dCStpu7C3-03FYVCNs5aq4M/view?usp=drivesdk" TargetMode="External"/><Relationship Id="rId565" Type="http://schemas.openxmlformats.org/officeDocument/2006/relationships/hyperlink" Target="https://drive.google.com/file/d/142VQnlW4ZMm2FwnKpMJNrzkk8v0SPJJA/view?usp=drivesdk" TargetMode="External"/><Relationship Id="rId1154" Type="http://schemas.openxmlformats.org/officeDocument/2006/relationships/hyperlink" Target="https://lh5.googleusercontent.com/d/1Y9QP3XPorZvSHVDGqA40w0lTWDwejRGq" TargetMode="External"/><Relationship Id="rId2485" Type="http://schemas.openxmlformats.org/officeDocument/2006/relationships/hyperlink" Target="https://lh5.googleusercontent.com/d/1ok8Pe1dSm7vBlfuXUfiOR0H6ofCik5Bv" TargetMode="External"/><Relationship Id="rId5512" Type="http://schemas.openxmlformats.org/officeDocument/2006/relationships/hyperlink" Target="https://drive.google.com/file/d/19NRE2_spCCK0BJMkz2xAVaVDXD9W0MiZ/view?usp=drivesdk" TargetMode="External"/><Relationship Id="rId564" Type="http://schemas.openxmlformats.org/officeDocument/2006/relationships/hyperlink" Target="https://lh5.googleusercontent.com/d/1wkzjQyi9Vm5SPS91aU2nY2KPadC0PeMZ" TargetMode="External"/><Relationship Id="rId1155" Type="http://schemas.openxmlformats.org/officeDocument/2006/relationships/hyperlink" Target="https://drive.google.com/file/d/1QrMIL2ytHrvaHo_JTOXJJ9SMukLBoiMt/view?usp=drivesdk" TargetMode="External"/><Relationship Id="rId2486" Type="http://schemas.openxmlformats.org/officeDocument/2006/relationships/hyperlink" Target="https://drive.google.com/file/d/1luzVCq_79IjwcSfwwu_ldSTetFt_7jw3/view?usp=drivesdk" TargetMode="External"/><Relationship Id="rId5513" Type="http://schemas.openxmlformats.org/officeDocument/2006/relationships/hyperlink" Target="https://lh5.googleusercontent.com/d/1STDXwQ4ewwIe1zT3-b972c2-fmwMZGub" TargetMode="External"/><Relationship Id="rId563" Type="http://schemas.openxmlformats.org/officeDocument/2006/relationships/hyperlink" Target="https://drive.google.com/file/d/1RH3jlI0VxOoUsry5lmTXkVwD2alxlyFr/view?usp=drivesdk" TargetMode="External"/><Relationship Id="rId1156" Type="http://schemas.openxmlformats.org/officeDocument/2006/relationships/hyperlink" Target="https://lh5.googleusercontent.com/d/115ODnIL2MSYY9bMEeTbdDvm8ckbkO8TC" TargetMode="External"/><Relationship Id="rId2487" Type="http://schemas.openxmlformats.org/officeDocument/2006/relationships/hyperlink" Target="https://lh5.googleusercontent.com/d/1LDs6P4jdPLO4eCRTgd2Rcx3I0NcyAN7e" TargetMode="External"/><Relationship Id="rId5510" Type="http://schemas.openxmlformats.org/officeDocument/2006/relationships/hyperlink" Target="https://drive.google.com/file/d/1hd7UBAHKWQvwmV8vGaZhUWSnyOJ4l_FR/view?usp=drivesdk" TargetMode="External"/><Relationship Id="rId562" Type="http://schemas.openxmlformats.org/officeDocument/2006/relationships/hyperlink" Target="https://lh5.googleusercontent.com/d/1ZUImgKU99YyrOM06GR1zgpPNAO-fTSCQ" TargetMode="External"/><Relationship Id="rId1157" Type="http://schemas.openxmlformats.org/officeDocument/2006/relationships/hyperlink" Target="https://drive.google.com/file/d/1pkgfGY1aAw2IxC8pGqg52I-bkSEng_i3/view?usp=drivesdk" TargetMode="External"/><Relationship Id="rId2488" Type="http://schemas.openxmlformats.org/officeDocument/2006/relationships/hyperlink" Target="https://drive.google.com/file/d/14VbweoCBuv7HeOfI51n_J5PdVtPbFZ_c/view?usp=drivesdk" TargetMode="External"/><Relationship Id="rId5511" Type="http://schemas.openxmlformats.org/officeDocument/2006/relationships/hyperlink" Target="https://lh5.googleusercontent.com/d/1FNsO6oDyHWRoUJEcKR-S4BS40BF6jl6_" TargetMode="External"/><Relationship Id="rId1147" Type="http://schemas.openxmlformats.org/officeDocument/2006/relationships/hyperlink" Target="https://drive.google.com/file/d/10FY48x-MoIEf6Pmu0YJLYGhsBPS7MpBX/view?usp=drivesdk" TargetMode="External"/><Relationship Id="rId2478" Type="http://schemas.openxmlformats.org/officeDocument/2006/relationships/hyperlink" Target="https://drive.google.com/file/d/1-X4H_aqIabXBL_whqgJaOKpEi5Zzeg9a/view?usp=drivesdk" TargetMode="External"/><Relationship Id="rId5505" Type="http://schemas.openxmlformats.org/officeDocument/2006/relationships/hyperlink" Target="https://lh5.googleusercontent.com/d/1LZ5SEZ9CqJvOQlm271sGX-bhKVlNboNh" TargetMode="External"/><Relationship Id="rId1148" Type="http://schemas.openxmlformats.org/officeDocument/2006/relationships/hyperlink" Target="https://lh5.googleusercontent.com/d/12tN49i_jpLyEXg50IgkojdtLH_KdGjjM" TargetMode="External"/><Relationship Id="rId2479" Type="http://schemas.openxmlformats.org/officeDocument/2006/relationships/hyperlink" Target="https://lh5.googleusercontent.com/d/19WSr8Z5FpDYMwWI5i6BqtkeDRdB9Ov-X" TargetMode="External"/><Relationship Id="rId5506" Type="http://schemas.openxmlformats.org/officeDocument/2006/relationships/hyperlink" Target="https://drive.google.com/file/d/19FDcrW-64E_DU1PVzFh56D-wWB81KRxU/view?usp=drivesdk" TargetMode="External"/><Relationship Id="rId1149" Type="http://schemas.openxmlformats.org/officeDocument/2006/relationships/hyperlink" Target="https://drive.google.com/file/d/1dRngk6dG4bZjs-IU4x_bBYJh82Lpc64G/view?usp=drivesdk" TargetMode="External"/><Relationship Id="rId5503" Type="http://schemas.openxmlformats.org/officeDocument/2006/relationships/hyperlink" Target="https://lh5.googleusercontent.com/d/12_r8MouoLAz39GrUa9XoBsKdTrOz2lrt" TargetMode="External"/><Relationship Id="rId5504" Type="http://schemas.openxmlformats.org/officeDocument/2006/relationships/hyperlink" Target="https://drive.google.com/file/d/1EMnS4Ok8JPD4dEUN2bz2y_ooIXqpQS9B/view?usp=drivesdk" TargetMode="External"/><Relationship Id="rId5509" Type="http://schemas.openxmlformats.org/officeDocument/2006/relationships/hyperlink" Target="https://lh5.googleusercontent.com/d/1Cls_5rogqy_ZAGNcIR6bAiKHl-j9EcYE" TargetMode="External"/><Relationship Id="rId5507" Type="http://schemas.openxmlformats.org/officeDocument/2006/relationships/hyperlink" Target="https://lh5.googleusercontent.com/d/1YGq-6_FVXtMoQGmq7G_FlWuTAEAWr0y5" TargetMode="External"/><Relationship Id="rId5508" Type="http://schemas.openxmlformats.org/officeDocument/2006/relationships/hyperlink" Target="https://drive.google.com/file/d/1OYI5vBZhSJmnzqZlcp2YjzLyx6TBBOCw/view?usp=drivesdk" TargetMode="External"/><Relationship Id="rId558" Type="http://schemas.openxmlformats.org/officeDocument/2006/relationships/hyperlink" Target="https://lh5.googleusercontent.com/d/1_7SNE6Tp3uUQE77hbRaKa2kgWBZh7UMo" TargetMode="External"/><Relationship Id="rId557" Type="http://schemas.openxmlformats.org/officeDocument/2006/relationships/hyperlink" Target="https://drive.google.com/file/d/15R76Sr8tzug918z48yMTWAXR-WWi_kao/view?usp=drivesdk" TargetMode="External"/><Relationship Id="rId556" Type="http://schemas.openxmlformats.org/officeDocument/2006/relationships/hyperlink" Target="https://lh5.googleusercontent.com/d/1peJWBf50O3Sktf6qjrgy3Dq2TjLCdWOB" TargetMode="External"/><Relationship Id="rId555" Type="http://schemas.openxmlformats.org/officeDocument/2006/relationships/hyperlink" Target="https://drive.google.com/file/d/1Vdxci1qWNYxiBZkh72OouI20l3JRfzic/view?usp=drivesdk" TargetMode="External"/><Relationship Id="rId559" Type="http://schemas.openxmlformats.org/officeDocument/2006/relationships/hyperlink" Target="https://drive.google.com/file/d/19pV4GFzysKyR3aX22BxN1KEAwE9K4lwe/view?usp=drivesdk" TargetMode="External"/><Relationship Id="rId550" Type="http://schemas.openxmlformats.org/officeDocument/2006/relationships/hyperlink" Target="https://lh5.googleusercontent.com/d/1aAQe9q0myFBSi8fob49Suntfy0GRZq9N" TargetMode="External"/><Relationship Id="rId2470" Type="http://schemas.openxmlformats.org/officeDocument/2006/relationships/hyperlink" Target="https://drive.google.com/file/d/1UipOfl3vS3moxy9yUo6rDTgolEpVGyKJ/view?usp=drivesdk" TargetMode="External"/><Relationship Id="rId1140" Type="http://schemas.openxmlformats.org/officeDocument/2006/relationships/hyperlink" Target="https://lh5.googleusercontent.com/d/19Sip8O1q0P5bPffMyEbrUJc96Tnl2_y5" TargetMode="External"/><Relationship Id="rId2471" Type="http://schemas.openxmlformats.org/officeDocument/2006/relationships/hyperlink" Target="https://lh5.googleusercontent.com/d/1WWT2zznuB6rFO66wTI5yOsPT-H_JmVeq" TargetMode="External"/><Relationship Id="rId1141" Type="http://schemas.openxmlformats.org/officeDocument/2006/relationships/hyperlink" Target="https://drive.google.com/file/d/1T__x_n3lfY26rvYGsnab6tRbodCvaq1g/view?usp=drivesdk" TargetMode="External"/><Relationship Id="rId2472" Type="http://schemas.openxmlformats.org/officeDocument/2006/relationships/hyperlink" Target="https://drive.google.com/file/d/1-9gJ6Rf-h64SUj8uxK4wWnKZrv_vhJ9N/view?usp=drivesdk" TargetMode="External"/><Relationship Id="rId1142" Type="http://schemas.openxmlformats.org/officeDocument/2006/relationships/hyperlink" Target="https://lh5.googleusercontent.com/d/1dzo7nG5ciryz2AAioAc7OGP2OtLFEapd" TargetMode="External"/><Relationship Id="rId2473" Type="http://schemas.openxmlformats.org/officeDocument/2006/relationships/hyperlink" Target="https://lh5.googleusercontent.com/d/1WQGDP1rfO1Yrg2sfNTe1yaRKfhnm_QtD" TargetMode="External"/><Relationship Id="rId554" Type="http://schemas.openxmlformats.org/officeDocument/2006/relationships/hyperlink" Target="https://lh5.googleusercontent.com/d/1AfCPfx3AhPkyGF6V0-s8pC86USCvMWX9" TargetMode="External"/><Relationship Id="rId1143" Type="http://schemas.openxmlformats.org/officeDocument/2006/relationships/hyperlink" Target="https://drive.google.com/file/d/1fDK-Dbd6kEay9RUivUP7QFxX6xXFENBR/view?usp=drivesdk" TargetMode="External"/><Relationship Id="rId2474" Type="http://schemas.openxmlformats.org/officeDocument/2006/relationships/hyperlink" Target="https://drive.google.com/file/d/1V-DUxuJ6cBYqYYxGs3naSdxt2pDaCjsW/view?usp=drivesdk" TargetMode="External"/><Relationship Id="rId5501" Type="http://schemas.openxmlformats.org/officeDocument/2006/relationships/hyperlink" Target="https://lh5.googleusercontent.com/d/1O-lKknwJcUf8uIfqftApcaHwD5z_tGzt" TargetMode="External"/><Relationship Id="rId553" Type="http://schemas.openxmlformats.org/officeDocument/2006/relationships/hyperlink" Target="https://drive.google.com/file/d/1yC5YFqDR91k9r3lIoGXDJnF0z2kkg-KW/view?usp=drivesdk" TargetMode="External"/><Relationship Id="rId1144" Type="http://schemas.openxmlformats.org/officeDocument/2006/relationships/hyperlink" Target="https://lh5.googleusercontent.com/d/1Yk6EAGcs3Usnc5Gsz62OPE09YiX80jqB" TargetMode="External"/><Relationship Id="rId2475" Type="http://schemas.openxmlformats.org/officeDocument/2006/relationships/hyperlink" Target="https://lh5.googleusercontent.com/d/1-p7LZOE-RuK7LVpcQYZa5kWjt01oklaz" TargetMode="External"/><Relationship Id="rId5502" Type="http://schemas.openxmlformats.org/officeDocument/2006/relationships/hyperlink" Target="https://drive.google.com/file/d/14lrEHE4sdHzS5o7KM4AX2jIfBbCUUWwG/view?usp=drivesdk" TargetMode="External"/><Relationship Id="rId552" Type="http://schemas.openxmlformats.org/officeDocument/2006/relationships/hyperlink" Target="https://lh5.googleusercontent.com/d/1WKS0-fY_Wi3Po2qWeWz42_AE8gAjpS__" TargetMode="External"/><Relationship Id="rId1145" Type="http://schemas.openxmlformats.org/officeDocument/2006/relationships/hyperlink" Target="https://drive.google.com/file/d/1sdgdF1GVZAblMBG8xRPqy0CKp8Ka7H2w/view?usp=drivesdk" TargetMode="External"/><Relationship Id="rId2476" Type="http://schemas.openxmlformats.org/officeDocument/2006/relationships/hyperlink" Target="https://drive.google.com/file/d/1_nhRhyKf2eeUYqTtB6pGQoyFQW0U2Q75/view?usp=drivesdk" TargetMode="External"/><Relationship Id="rId551" Type="http://schemas.openxmlformats.org/officeDocument/2006/relationships/hyperlink" Target="https://drive.google.com/file/d/1EfAbV91aXq-pugbAt9U2HHq6WVmQKEEf/view?usp=drivesdk" TargetMode="External"/><Relationship Id="rId1146" Type="http://schemas.openxmlformats.org/officeDocument/2006/relationships/hyperlink" Target="https://lh5.googleusercontent.com/d/1Ao_W2sRczPGUEMEhFNWuIFwu36a1VaCC" TargetMode="External"/><Relationship Id="rId2477" Type="http://schemas.openxmlformats.org/officeDocument/2006/relationships/hyperlink" Target="https://lh5.googleusercontent.com/d/1WCWgQtTZsLiZZmUu0veKWBHi5zT3QIs8" TargetMode="External"/><Relationship Id="rId5500" Type="http://schemas.openxmlformats.org/officeDocument/2006/relationships/hyperlink" Target="https://drive.google.com/file/d/1FpZOWMX6YflARDVVGGvPiL2EnZMFyINh/view?usp=drivesdk" TargetMode="External"/><Relationship Id="rId4280" Type="http://schemas.openxmlformats.org/officeDocument/2006/relationships/hyperlink" Target="https://lh5.googleusercontent.com/d/1mSVSWmrXzjlNhaL-R8xTOsMAcXO51rKJ" TargetMode="External"/><Relationship Id="rId4282" Type="http://schemas.openxmlformats.org/officeDocument/2006/relationships/hyperlink" Target="https://lh5.googleusercontent.com/d/14PqarxJQjRd0ONcNKHKt7uTvza23Uxi3" TargetMode="External"/><Relationship Id="rId4281" Type="http://schemas.openxmlformats.org/officeDocument/2006/relationships/hyperlink" Target="https://drive.google.com/file/d/1On5Px61ALLDu4KYK0oJRD3UeMk3KRSt9/view?usp=drivesdk" TargetMode="External"/><Relationship Id="rId4284" Type="http://schemas.openxmlformats.org/officeDocument/2006/relationships/hyperlink" Target="https://lh5.googleusercontent.com/d/1wlF-juwpoSa-_QJgg__QOzvxb9zP2-i_" TargetMode="External"/><Relationship Id="rId4283" Type="http://schemas.openxmlformats.org/officeDocument/2006/relationships/hyperlink" Target="https://drive.google.com/file/d/1uZX9_AXvPrOOVZ-UZVGBlgnbpC9aGNT3/view?usp=drivesdk" TargetMode="External"/><Relationship Id="rId4286" Type="http://schemas.openxmlformats.org/officeDocument/2006/relationships/hyperlink" Target="https://lh5.googleusercontent.com/d/1mLIrwg4-3Xnig7S_nFZ2g8EqIcOJaYod" TargetMode="External"/><Relationship Id="rId4285" Type="http://schemas.openxmlformats.org/officeDocument/2006/relationships/hyperlink" Target="https://drive.google.com/file/d/1tfvwSCGpDRwxWZJN-OtH_K_-g2_BjIFh/view?usp=drivesdk" TargetMode="External"/><Relationship Id="rId4288" Type="http://schemas.openxmlformats.org/officeDocument/2006/relationships/hyperlink" Target="https://lh5.googleusercontent.com/d/1N7JXLBuGZAgdCSA4MHqw-CEImfOyYWl_" TargetMode="External"/><Relationship Id="rId4287" Type="http://schemas.openxmlformats.org/officeDocument/2006/relationships/hyperlink" Target="https://drive.google.com/file/d/1VEcm7I0RYeCUzp3LLB1KtpvEGAmhDeAc/view?usp=drivesdk" TargetMode="External"/><Relationship Id="rId4289" Type="http://schemas.openxmlformats.org/officeDocument/2006/relationships/hyperlink" Target="https://drive.google.com/file/d/1EVYrO7sE-udZWUFJqL-1_jSpeU9UzgrR/view?usp=drivesdk" TargetMode="External"/><Relationship Id="rId4271" Type="http://schemas.openxmlformats.org/officeDocument/2006/relationships/hyperlink" Target="https://drive.google.com/file/d/1XzCc5UgUSl8wC0EFBWtHzSU0cL8_78oR/view?usp=drivesdk" TargetMode="External"/><Relationship Id="rId4270" Type="http://schemas.openxmlformats.org/officeDocument/2006/relationships/hyperlink" Target="https://lh5.googleusercontent.com/d/1HvPH90hl4He2dq2GyTlJK_HnK4Zx8ush" TargetMode="External"/><Relationship Id="rId4273" Type="http://schemas.openxmlformats.org/officeDocument/2006/relationships/hyperlink" Target="https://drive.google.com/file/d/1UUVYk-CegwyGuIfL3LTEfj0gIPl9X26W/view?usp=drivesdk" TargetMode="External"/><Relationship Id="rId4272" Type="http://schemas.openxmlformats.org/officeDocument/2006/relationships/hyperlink" Target="https://lh5.googleusercontent.com/d/1nFS_ogeZFqEyUZE5vSq2uJfLmDMLLZRJ" TargetMode="External"/><Relationship Id="rId4275" Type="http://schemas.openxmlformats.org/officeDocument/2006/relationships/hyperlink" Target="https://drive.google.com/file/d/1N9xwBCFLLgSroBKsj0IFNHbk6NYH7t3a/view?usp=drivesdk" TargetMode="External"/><Relationship Id="rId4274" Type="http://schemas.openxmlformats.org/officeDocument/2006/relationships/hyperlink" Target="https://lh5.googleusercontent.com/d/1gbXFToQzTnuzACxlKN1I8UKLryWoixUI" TargetMode="External"/><Relationship Id="rId4277" Type="http://schemas.openxmlformats.org/officeDocument/2006/relationships/hyperlink" Target="https://drive.google.com/file/d/1oLGW6ljHykpOu9s4p-Ru2v2Zyg9eXk4t/view?usp=drivesdk" TargetMode="External"/><Relationship Id="rId4276" Type="http://schemas.openxmlformats.org/officeDocument/2006/relationships/hyperlink" Target="https://lh5.googleusercontent.com/d/1tCoQJEGamPKlmo2QU7cbsWIYOdMsDOVR" TargetMode="External"/><Relationship Id="rId4279" Type="http://schemas.openxmlformats.org/officeDocument/2006/relationships/hyperlink" Target="https://drive.google.com/file/d/1-zW2-dFQGQtQiV9ACQmyob7TYQIC-2HU/view?usp=drivesdk" TargetMode="External"/><Relationship Id="rId4278" Type="http://schemas.openxmlformats.org/officeDocument/2006/relationships/hyperlink" Target="https://lh5.googleusercontent.com/d/1FPAO0fwF8He3c9FYB6P1RSFuFtBpjPhy" TargetMode="External"/><Relationship Id="rId6000" Type="http://schemas.openxmlformats.org/officeDocument/2006/relationships/hyperlink" Target="https://lh5.googleusercontent.com/d/1EbiOse5qeeT8kFLnZ22FDuumThbqOUZa" TargetMode="External"/><Relationship Id="rId6001" Type="http://schemas.openxmlformats.org/officeDocument/2006/relationships/hyperlink" Target="https://drive.google.com/file/d/1A54doF8uE4D72AIdXJrQN2Uu3Ins-Nxn/view?usp=drivesdk" TargetMode="External"/><Relationship Id="rId6002" Type="http://schemas.openxmlformats.org/officeDocument/2006/relationships/drawing" Target="../drawings/drawing1.xml"/><Relationship Id="rId4291" Type="http://schemas.openxmlformats.org/officeDocument/2006/relationships/hyperlink" Target="https://drive.google.com/file/d/1zdXSpPf2nf7CGtT10EE42zfXKe519Hob/view?usp=drivesdk" TargetMode="External"/><Relationship Id="rId4290" Type="http://schemas.openxmlformats.org/officeDocument/2006/relationships/hyperlink" Target="https://lh5.googleusercontent.com/d/1JvDrY9RQ7u-luqEisd19XWvKcP1VJ8LG" TargetMode="External"/><Relationship Id="rId4293" Type="http://schemas.openxmlformats.org/officeDocument/2006/relationships/hyperlink" Target="https://drive.google.com/file/d/1EcoQ6pu5eEFNm_dJ_z8dodiqpcNdeer-/view?usp=drivesdk" TargetMode="External"/><Relationship Id="rId4292" Type="http://schemas.openxmlformats.org/officeDocument/2006/relationships/hyperlink" Target="https://lh5.googleusercontent.com/d/1dHjqw89UYWxM_s5jWKnpC4RR8SiiCZS0" TargetMode="External"/><Relationship Id="rId4295" Type="http://schemas.openxmlformats.org/officeDocument/2006/relationships/hyperlink" Target="https://drive.google.com/file/d/1DEdPnjkByZXW-fCSfeHdMuPg5k-0mb35/view?usp=drivesdk" TargetMode="External"/><Relationship Id="rId4294" Type="http://schemas.openxmlformats.org/officeDocument/2006/relationships/hyperlink" Target="https://lh5.googleusercontent.com/d/1f07Q9e7nSvmX5wI3rfbPvjXNKYTmb6P-" TargetMode="External"/><Relationship Id="rId4297" Type="http://schemas.openxmlformats.org/officeDocument/2006/relationships/hyperlink" Target="https://drive.google.com/file/d/1qfg5T5s-AduRAXqFeZkcr9JnzsF7bjcl/view?usp=drivesdk" TargetMode="External"/><Relationship Id="rId4296" Type="http://schemas.openxmlformats.org/officeDocument/2006/relationships/hyperlink" Target="https://lh5.googleusercontent.com/d/1e20eohcurqSovVVjFZlEcllNy8zyVQ_E" TargetMode="External"/><Relationship Id="rId4299" Type="http://schemas.openxmlformats.org/officeDocument/2006/relationships/hyperlink" Target="https://drive.google.com/file/d/1Y5bCZzJoshr4vLYLFNe1xBqdSwysRdY6/view?usp=drivesdk" TargetMode="External"/><Relationship Id="rId4298" Type="http://schemas.openxmlformats.org/officeDocument/2006/relationships/hyperlink" Target="https://lh5.googleusercontent.com/d/1po_htnjzoYwu3BkqvYYkfPI-UcNhVzoB" TargetMode="External"/><Relationship Id="rId4249" Type="http://schemas.openxmlformats.org/officeDocument/2006/relationships/hyperlink" Target="https://drive.google.com/file/d/1dqeekviR4_xS4KIgbc3uh7gs2b2XvGIw/view?usp=drivesdk" TargetMode="External"/><Relationship Id="rId5570" Type="http://schemas.openxmlformats.org/officeDocument/2006/relationships/hyperlink" Target="https://drive.google.com/file/d/1PHBRQyPammGSXG4097MbAkJjT28DYEJK/view?usp=drivesdk" TargetMode="External"/><Relationship Id="rId5571" Type="http://schemas.openxmlformats.org/officeDocument/2006/relationships/hyperlink" Target="https://lh5.googleusercontent.com/d/1yUkoQf6eOGH19vhCX3kvnf0w2G1atz1T" TargetMode="External"/><Relationship Id="rId4240" Type="http://schemas.openxmlformats.org/officeDocument/2006/relationships/hyperlink" Target="https://lh5.googleusercontent.com/d/1fwQPTLFmdS2i-VZAJqA9okX1oXLhOtN9" TargetMode="External"/><Relationship Id="rId4242" Type="http://schemas.openxmlformats.org/officeDocument/2006/relationships/hyperlink" Target="https://lh5.googleusercontent.com/d/1XZxn0uv_t3ULARSSEDTpKnJrmUxzu08m" TargetMode="External"/><Relationship Id="rId5574" Type="http://schemas.openxmlformats.org/officeDocument/2006/relationships/hyperlink" Target="https://drive.google.com/file/d/1jS7ft5J8SuTqGd9KvWYexnKTJVw5vroL/view?usp=drivesdk" TargetMode="External"/><Relationship Id="rId4241" Type="http://schemas.openxmlformats.org/officeDocument/2006/relationships/hyperlink" Target="https://drive.google.com/file/d/14o-BImYmGXGYBesAZU7TAoBNpVmmrOZR/view?usp=drivesdk" TargetMode="External"/><Relationship Id="rId5575" Type="http://schemas.openxmlformats.org/officeDocument/2006/relationships/hyperlink" Target="https://lh5.googleusercontent.com/d/1_hyGjDSMbPD7fz_3ctSnT1W670sML8q9" TargetMode="External"/><Relationship Id="rId4244" Type="http://schemas.openxmlformats.org/officeDocument/2006/relationships/hyperlink" Target="https://lh5.googleusercontent.com/d/1j6LT1iBKy8v962Ts71itPuxuzs0Pm9pb" TargetMode="External"/><Relationship Id="rId5572" Type="http://schemas.openxmlformats.org/officeDocument/2006/relationships/hyperlink" Target="https://drive.google.com/file/d/1aU2497CLzl_3WcmKUMVp8awnu5fcR1g5/view?usp=drivesdk" TargetMode="External"/><Relationship Id="rId4243" Type="http://schemas.openxmlformats.org/officeDocument/2006/relationships/hyperlink" Target="https://drive.google.com/file/d/1V6Cu_1U4lWvVLqiD7szGJfTPq7WdF5cF/view?usp=drivesdk" TargetMode="External"/><Relationship Id="rId5573" Type="http://schemas.openxmlformats.org/officeDocument/2006/relationships/hyperlink" Target="https://lh5.googleusercontent.com/d/1KLbZ-HKnq7JJSva8n-5ghQzNp_KAK3zY" TargetMode="External"/><Relationship Id="rId4246" Type="http://schemas.openxmlformats.org/officeDocument/2006/relationships/hyperlink" Target="https://lh5.googleusercontent.com/d/1jEV1zn_w5vJo3H1XkIvu0FSUrbM55Idz" TargetMode="External"/><Relationship Id="rId5578" Type="http://schemas.openxmlformats.org/officeDocument/2006/relationships/hyperlink" Target="https://drive.google.com/file/d/15vSeXhMBLxTFSg1md1y1-I9s-ZMR4qrM/view?usp=drivesdk" TargetMode="External"/><Relationship Id="rId4245" Type="http://schemas.openxmlformats.org/officeDocument/2006/relationships/hyperlink" Target="https://drive.google.com/file/d/1IGW8iF3sybqTyNN5OCREasxXsHfbAxyC/view?usp=drivesdk" TargetMode="External"/><Relationship Id="rId5579" Type="http://schemas.openxmlformats.org/officeDocument/2006/relationships/hyperlink" Target="https://lh5.googleusercontent.com/d/1eL7rhoZIT9C7_bFnGWGxVB_UYtYo8_m3" TargetMode="External"/><Relationship Id="rId4248" Type="http://schemas.openxmlformats.org/officeDocument/2006/relationships/hyperlink" Target="https://lh5.googleusercontent.com/d/1k7-by9mUojKk9EdcXB_xFaMlLGq2UJCL" TargetMode="External"/><Relationship Id="rId5576" Type="http://schemas.openxmlformats.org/officeDocument/2006/relationships/hyperlink" Target="https://drive.google.com/file/d/10CzkWUZBpWvvcwpANuW90IjAxrwH7xbe/view?usp=drivesdk" TargetMode="External"/><Relationship Id="rId4247" Type="http://schemas.openxmlformats.org/officeDocument/2006/relationships/hyperlink" Target="https://drive.google.com/file/d/18jCNvy4qo3fgs3V5yRZV4j4Hckvvk8BS/view?usp=drivesdk" TargetMode="External"/><Relationship Id="rId5577" Type="http://schemas.openxmlformats.org/officeDocument/2006/relationships/hyperlink" Target="https://lh5.googleusercontent.com/d/1lJQPMW3PL00sxbLWpY2sk-SMqHIREA2u" TargetMode="External"/><Relationship Id="rId4239" Type="http://schemas.openxmlformats.org/officeDocument/2006/relationships/hyperlink" Target="https://drive.google.com/file/d/1Qqq-Pg-7UG1zoMFwVjaCZKYUvOcSB5fw/view?usp=drivesdk" TargetMode="External"/><Relationship Id="rId4238" Type="http://schemas.openxmlformats.org/officeDocument/2006/relationships/hyperlink" Target="https://lh5.googleusercontent.com/d/1kd_LEGoa8xgpNRc2EJho5v386EX6aTRn" TargetMode="External"/><Relationship Id="rId5569" Type="http://schemas.openxmlformats.org/officeDocument/2006/relationships/hyperlink" Target="https://lh5.googleusercontent.com/d/1TRQE7cwKzag2xo-p3hegcSY7vjwy63Qp" TargetMode="External"/><Relationship Id="rId5560" Type="http://schemas.openxmlformats.org/officeDocument/2006/relationships/hyperlink" Target="https://drive.google.com/file/d/1jqFpby85v0oExX5zTBCBeKrtS6g0_byw/view?usp=drivesdk" TargetMode="External"/><Relationship Id="rId495" Type="http://schemas.openxmlformats.org/officeDocument/2006/relationships/hyperlink" Target="https://drive.google.com/file/d/1nHIkLOYG1sa0iJpT3kMlae5Y_y6pikph/view?usp=drivesdk" TargetMode="External"/><Relationship Id="rId4231" Type="http://schemas.openxmlformats.org/officeDocument/2006/relationships/hyperlink" Target="https://drive.google.com/file/d/1kBUq8qXGNzaAA-X1fxg_vyeJhzklJkzJ/view?usp=drivesdk" TargetMode="External"/><Relationship Id="rId5563" Type="http://schemas.openxmlformats.org/officeDocument/2006/relationships/hyperlink" Target="https://lh5.googleusercontent.com/d/1ahQGXr2ht744WEFCAfKd1ZyhWMz9cAvO" TargetMode="External"/><Relationship Id="rId494" Type="http://schemas.openxmlformats.org/officeDocument/2006/relationships/hyperlink" Target="https://lh5.googleusercontent.com/d/1oHzSQOuhL85x4WRIWp1NNMHM6QCsrbMs" TargetMode="External"/><Relationship Id="rId4230" Type="http://schemas.openxmlformats.org/officeDocument/2006/relationships/hyperlink" Target="https://lh5.googleusercontent.com/d/1zmCvbCSKltybFJliWJYDUtPuTjndwvlB" TargetMode="External"/><Relationship Id="rId5564" Type="http://schemas.openxmlformats.org/officeDocument/2006/relationships/hyperlink" Target="https://drive.google.com/file/d/1aUEb7gDbCwo-MckvT2e6XU6qntF3iKuz/view?usp=drivesdk" TargetMode="External"/><Relationship Id="rId493" Type="http://schemas.openxmlformats.org/officeDocument/2006/relationships/hyperlink" Target="https://drive.google.com/file/d/1BR7dzp2bJK2MlI5rSsesKPdCDGlOt3PP/view?usp=drivesdk" TargetMode="External"/><Relationship Id="rId4233" Type="http://schemas.openxmlformats.org/officeDocument/2006/relationships/hyperlink" Target="https://drive.google.com/file/d/1Z14gMGeFypeLoS73st3e68oN5ifMRWKs/view?usp=drivesdk" TargetMode="External"/><Relationship Id="rId5561" Type="http://schemas.openxmlformats.org/officeDocument/2006/relationships/hyperlink" Target="https://lh5.googleusercontent.com/d/1znQs38TiTeDAfax_MZu3EVV2vi0QlHX-" TargetMode="External"/><Relationship Id="rId492" Type="http://schemas.openxmlformats.org/officeDocument/2006/relationships/hyperlink" Target="https://lh5.googleusercontent.com/d/1dI6uPn3xEoLCLhUcZLjeuFMom0kn_fTi" TargetMode="External"/><Relationship Id="rId4232" Type="http://schemas.openxmlformats.org/officeDocument/2006/relationships/hyperlink" Target="https://lh5.googleusercontent.com/d/1hz9yoQfdixLvUfh9C_-Y0jAMEMZmQUQ2" TargetMode="External"/><Relationship Id="rId5562" Type="http://schemas.openxmlformats.org/officeDocument/2006/relationships/hyperlink" Target="https://drive.google.com/file/d/1E3dGQR_jQkRF9aF43nKZp6KFAOuNb4LV/view?usp=drivesdk" TargetMode="External"/><Relationship Id="rId499" Type="http://schemas.openxmlformats.org/officeDocument/2006/relationships/hyperlink" Target="https://drive.google.com/file/d/1HHB3sVQKEhYs0YZeK-VxdpVRRhnmdfA0/view?usp=drivesdk" TargetMode="External"/><Relationship Id="rId4235" Type="http://schemas.openxmlformats.org/officeDocument/2006/relationships/hyperlink" Target="https://drive.google.com/file/d/1ADEjcKRDSYS96Tc3GCr7rf38TRrlRquP/view?usp=drivesdk" TargetMode="External"/><Relationship Id="rId5567" Type="http://schemas.openxmlformats.org/officeDocument/2006/relationships/hyperlink" Target="https://lh5.googleusercontent.com/d/1xwH3F8xagsCv3e6HO7We6kDYcc6HR1Mj" TargetMode="External"/><Relationship Id="rId498" Type="http://schemas.openxmlformats.org/officeDocument/2006/relationships/hyperlink" Target="https://lh5.googleusercontent.com/d/1ZTPOnqsXPlYv0o7SoX1Ip2Wg4ltHa8fc" TargetMode="External"/><Relationship Id="rId4234" Type="http://schemas.openxmlformats.org/officeDocument/2006/relationships/hyperlink" Target="https://lh5.googleusercontent.com/d/1PHut-9rG2UUg3HBU2oyyYXapAgTA6kky" TargetMode="External"/><Relationship Id="rId5568" Type="http://schemas.openxmlformats.org/officeDocument/2006/relationships/hyperlink" Target="https://drive.google.com/file/d/1CCCFNjLBgsDAIVbiLYD4zjZkkWgpzttZ/view?usp=drivesdk" TargetMode="External"/><Relationship Id="rId497" Type="http://schemas.openxmlformats.org/officeDocument/2006/relationships/hyperlink" Target="https://drive.google.com/file/d/1zn6IL3HZ3_71ACNzy1IcQBqpZqkpvdwK/view?usp=drivesdk" TargetMode="External"/><Relationship Id="rId4237" Type="http://schemas.openxmlformats.org/officeDocument/2006/relationships/hyperlink" Target="https://drive.google.com/file/d/1qUKvGpDxhMm4zSaKzZUU-7423JO3U2fa/view?usp=drivesdk" TargetMode="External"/><Relationship Id="rId5565" Type="http://schemas.openxmlformats.org/officeDocument/2006/relationships/hyperlink" Target="https://lh5.googleusercontent.com/d/1GFBOhOLJJ7odtKm8N1McXsg6Ox0q8MHJ" TargetMode="External"/><Relationship Id="rId496" Type="http://schemas.openxmlformats.org/officeDocument/2006/relationships/hyperlink" Target="https://lh5.googleusercontent.com/d/1X_kJtJ7FKYo1kPtWxaPtLQ3ZuHZLH5r8" TargetMode="External"/><Relationship Id="rId4236" Type="http://schemas.openxmlformats.org/officeDocument/2006/relationships/hyperlink" Target="https://lh5.googleusercontent.com/d/1N5AX1Z5XnfCvYkjVet20fAhASidnJJ6i" TargetMode="External"/><Relationship Id="rId5566" Type="http://schemas.openxmlformats.org/officeDocument/2006/relationships/hyperlink" Target="https://drive.google.com/file/d/1yFjk0iYcU-TE2sK4gUe819n5sqygQwag/view?usp=drivesdk" TargetMode="External"/><Relationship Id="rId4260" Type="http://schemas.openxmlformats.org/officeDocument/2006/relationships/hyperlink" Target="https://lh5.googleusercontent.com/d/153HXDRnpllrCUUJno9cUrHSKIG6QtFfY" TargetMode="External"/><Relationship Id="rId5592" Type="http://schemas.openxmlformats.org/officeDocument/2006/relationships/hyperlink" Target="https://drive.google.com/file/d/1Ej_qzD77iwvM_fJb8lU_cXSiEXj_lcwu/view?usp=drivesdk" TargetMode="External"/><Relationship Id="rId5593" Type="http://schemas.openxmlformats.org/officeDocument/2006/relationships/hyperlink" Target="https://lh5.googleusercontent.com/d/18DS52U8RWR1EshaxsG1ov-LrGx_InCXG" TargetMode="External"/><Relationship Id="rId4262" Type="http://schemas.openxmlformats.org/officeDocument/2006/relationships/hyperlink" Target="https://lh5.googleusercontent.com/d/12rYsePBAhOOczyl1OzGOxpiRtd8Gxl7T" TargetMode="External"/><Relationship Id="rId5590" Type="http://schemas.openxmlformats.org/officeDocument/2006/relationships/hyperlink" Target="https://drive.google.com/file/d/1jWzrAKOS2-TaN4UBZe1imYseC-hb8B0_/view?usp=drivesdk" TargetMode="External"/><Relationship Id="rId4261" Type="http://schemas.openxmlformats.org/officeDocument/2006/relationships/hyperlink" Target="https://drive.google.com/file/d/1MbVPIqASTFM2b7e8qkGYfuemxCN_UgNA/view?usp=drivesdk" TargetMode="External"/><Relationship Id="rId5591" Type="http://schemas.openxmlformats.org/officeDocument/2006/relationships/hyperlink" Target="https://lh5.googleusercontent.com/d/1IbdRoPJ2pKfzFVl0Jzg6TB_H_0-p4_Es" TargetMode="External"/><Relationship Id="rId4264" Type="http://schemas.openxmlformats.org/officeDocument/2006/relationships/hyperlink" Target="https://lh5.googleusercontent.com/d/1DK2HbYDRiOQ9lRpCsKAfEJNK0TrpEqQB" TargetMode="External"/><Relationship Id="rId5596" Type="http://schemas.openxmlformats.org/officeDocument/2006/relationships/hyperlink" Target="https://drive.google.com/file/d/1FNYI0AHpE5l1iWNvEDvakKQEN02gH7W8/view?usp=drivesdk" TargetMode="External"/><Relationship Id="rId4263" Type="http://schemas.openxmlformats.org/officeDocument/2006/relationships/hyperlink" Target="https://drive.google.com/file/d/1W2OdFDwytRzAAezRwhu4sGNOqxwvdlme/view?usp=drivesdk" TargetMode="External"/><Relationship Id="rId5597" Type="http://schemas.openxmlformats.org/officeDocument/2006/relationships/hyperlink" Target="https://lh5.googleusercontent.com/d/1HcsqSP9xP5jIDKdvHj2VMecquhKCvpr6" TargetMode="External"/><Relationship Id="rId4266" Type="http://schemas.openxmlformats.org/officeDocument/2006/relationships/hyperlink" Target="https://lh5.googleusercontent.com/d/1K-3_cGFdqAzhmO7vzeC1j5wxoCbzbp-q" TargetMode="External"/><Relationship Id="rId5594" Type="http://schemas.openxmlformats.org/officeDocument/2006/relationships/hyperlink" Target="https://drive.google.com/file/d/1b0RHOAERATScqg7LDV8ndvlKOxIbFR6g/view?usp=drivesdk" TargetMode="External"/><Relationship Id="rId4265" Type="http://schemas.openxmlformats.org/officeDocument/2006/relationships/hyperlink" Target="https://drive.google.com/file/d/1W1ikJp-mTYNgSHoW0T7m6_d-RJuZntHy/view?usp=drivesdk" TargetMode="External"/><Relationship Id="rId5595" Type="http://schemas.openxmlformats.org/officeDocument/2006/relationships/hyperlink" Target="https://lh5.googleusercontent.com/d/17JvcNzJmrmpIikgmnQWzDla16Xdu0upR" TargetMode="External"/><Relationship Id="rId4268" Type="http://schemas.openxmlformats.org/officeDocument/2006/relationships/hyperlink" Target="https://lh5.googleusercontent.com/d/1rLwQuw5ZVTf6Q0x24qN1We0DVZYfHlO8" TargetMode="External"/><Relationship Id="rId4267" Type="http://schemas.openxmlformats.org/officeDocument/2006/relationships/hyperlink" Target="https://drive.google.com/file/d/1oLWQNORZHPLLcOD2ymoqPPDcbR-HjxlM/view?usp=drivesdk" TargetMode="External"/><Relationship Id="rId5598" Type="http://schemas.openxmlformats.org/officeDocument/2006/relationships/hyperlink" Target="https://drive.google.com/file/d/1M1qADP5TdDs6T7JTCuVdM6tyJ_alg8ZG/view?usp=drivesdk" TargetMode="External"/><Relationship Id="rId4269" Type="http://schemas.openxmlformats.org/officeDocument/2006/relationships/hyperlink" Target="https://drive.google.com/file/d/1obE38KvLLvCvX2as5ho8ICUuOZaqBYqG/view?usp=drivesdk" TargetMode="External"/><Relationship Id="rId5599" Type="http://schemas.openxmlformats.org/officeDocument/2006/relationships/hyperlink" Target="https://lh5.googleusercontent.com/d/1zpZqARrKAenTQao7wbHqvmzF8ySy1oTk" TargetMode="External"/><Relationship Id="rId5581" Type="http://schemas.openxmlformats.org/officeDocument/2006/relationships/hyperlink" Target="https://lh5.googleusercontent.com/d/1Iob-JH5GrAzxglvbceQLPCLa5fQ0IxuV" TargetMode="External"/><Relationship Id="rId5582" Type="http://schemas.openxmlformats.org/officeDocument/2006/relationships/hyperlink" Target="https://drive.google.com/file/d/1eXc-ZRDV6sQ4VgDNJu9A_u9-gI-T0lMA/view?usp=drivesdk" TargetMode="External"/><Relationship Id="rId4251" Type="http://schemas.openxmlformats.org/officeDocument/2006/relationships/hyperlink" Target="https://drive.google.com/file/d/1X_JGLNlXi4McGPXgQ8Q21zSqdXgBhYiL/view?usp=drivesdk" TargetMode="External"/><Relationship Id="rId4250" Type="http://schemas.openxmlformats.org/officeDocument/2006/relationships/hyperlink" Target="https://lh5.googleusercontent.com/d/1rPeTkO7Fl4-t83-9kVtoW4Cx1uM-YFe-" TargetMode="External"/><Relationship Id="rId5580" Type="http://schemas.openxmlformats.org/officeDocument/2006/relationships/hyperlink" Target="https://drive.google.com/file/d/1E1dm4I2tPBeRoat4D54CPIeSy8uvyitd/view?usp=drivesdk" TargetMode="External"/><Relationship Id="rId4253" Type="http://schemas.openxmlformats.org/officeDocument/2006/relationships/hyperlink" Target="https://drive.google.com/file/d/1dC8P_Ot976iq7mKojz8hAzFMUsvENzsJ/view?usp=drivesdk" TargetMode="External"/><Relationship Id="rId5585" Type="http://schemas.openxmlformats.org/officeDocument/2006/relationships/hyperlink" Target="https://lh5.googleusercontent.com/d/1uT56qFkrubhnDlWbA6HykGPsJaG6v8zA" TargetMode="External"/><Relationship Id="rId4252" Type="http://schemas.openxmlformats.org/officeDocument/2006/relationships/hyperlink" Target="https://lh5.googleusercontent.com/d/1vYf-B4zfY4FYwMDFBQ2V5wOKhZdcI5PL" TargetMode="External"/><Relationship Id="rId5586" Type="http://schemas.openxmlformats.org/officeDocument/2006/relationships/hyperlink" Target="https://drive.google.com/file/d/1hVdR5TkhH5hbTTQSGPIYYOY3BodFzb7g/view?usp=drivesdk" TargetMode="External"/><Relationship Id="rId4255" Type="http://schemas.openxmlformats.org/officeDocument/2006/relationships/hyperlink" Target="https://drive.google.com/file/d/1kgBJRiOvQle3c-qAOwT18CLWh4Ek7t3d/view?usp=drivesdk" TargetMode="External"/><Relationship Id="rId5583" Type="http://schemas.openxmlformats.org/officeDocument/2006/relationships/hyperlink" Target="https://lh5.googleusercontent.com/d/1O99x6S8B15poTDTc7SDn-B6VO6Gj3lvl" TargetMode="External"/><Relationship Id="rId4254" Type="http://schemas.openxmlformats.org/officeDocument/2006/relationships/hyperlink" Target="https://lh5.googleusercontent.com/d/1NWbl-wZqPk-4YoSKeivILE1G6h0OWRW8" TargetMode="External"/><Relationship Id="rId5584" Type="http://schemas.openxmlformats.org/officeDocument/2006/relationships/hyperlink" Target="https://drive.google.com/file/d/1ZobZjCXnDNxUJJI7mTvhNV5119khnYw4/view?usp=drivesdk" TargetMode="External"/><Relationship Id="rId4257" Type="http://schemas.openxmlformats.org/officeDocument/2006/relationships/hyperlink" Target="https://drive.google.com/file/d/1KbB0XtyqajRJyeO-d9bo32PMrv6HtmaH/view?usp=drivesdk" TargetMode="External"/><Relationship Id="rId5589" Type="http://schemas.openxmlformats.org/officeDocument/2006/relationships/hyperlink" Target="https://lh5.googleusercontent.com/d/1B_MdTFwOBTxEHF7QbuXzc9T_hSUReFvN" TargetMode="External"/><Relationship Id="rId4256" Type="http://schemas.openxmlformats.org/officeDocument/2006/relationships/hyperlink" Target="https://lh5.googleusercontent.com/d/1jKF79xOWAJnLZOxh52jJ00Zffu1f2AnB" TargetMode="External"/><Relationship Id="rId4259" Type="http://schemas.openxmlformats.org/officeDocument/2006/relationships/hyperlink" Target="https://drive.google.com/file/d/1bwZv-4t_L2upUXFt4k5piE-JQBxO6BRW/view?usp=drivesdk" TargetMode="External"/><Relationship Id="rId5587" Type="http://schemas.openxmlformats.org/officeDocument/2006/relationships/hyperlink" Target="https://lh5.googleusercontent.com/d/12gaQKAtxV9kEZSN21fE5VxomBItLyH_0" TargetMode="External"/><Relationship Id="rId4258" Type="http://schemas.openxmlformats.org/officeDocument/2006/relationships/hyperlink" Target="https://lh5.googleusercontent.com/d/16E6hEDg95lEO_PfIscGPb_xxBkUPN5RP" TargetMode="External"/><Relationship Id="rId5588" Type="http://schemas.openxmlformats.org/officeDocument/2006/relationships/hyperlink" Target="https://drive.google.com/file/d/1jwq1_tGiGDI1Fddsqd9cUl0kI8zaBdDo/view?usp=drivesdk" TargetMode="External"/><Relationship Id="rId3810" Type="http://schemas.openxmlformats.org/officeDocument/2006/relationships/hyperlink" Target="https://drive.google.com/file/d/1ONtIkuBaavByTDw-Zdh5a-fX_aHZq6-i/view?usp=drivesdk" TargetMode="External"/><Relationship Id="rId3812" Type="http://schemas.openxmlformats.org/officeDocument/2006/relationships/hyperlink" Target="https://drive.google.com/file/d/1HNGY4RIOZHl3D2qE130Z9TCFWCXIjVI-/view?usp=drivesdk" TargetMode="External"/><Relationship Id="rId3811" Type="http://schemas.openxmlformats.org/officeDocument/2006/relationships/hyperlink" Target="https://lh5.googleusercontent.com/d/1ZjFvaaNG7_2fAK2TluuBM46Rh8Za3Axp" TargetMode="External"/><Relationship Id="rId3814" Type="http://schemas.openxmlformats.org/officeDocument/2006/relationships/hyperlink" Target="https://drive.google.com/file/d/1neMSG3z6bL6MJBG9CboAjnHTHWP5C3ik/view?usp=drivesdk" TargetMode="External"/><Relationship Id="rId3813" Type="http://schemas.openxmlformats.org/officeDocument/2006/relationships/hyperlink" Target="https://lh5.googleusercontent.com/d/1p2NgZAI2IIbk3MUU7dEFTq6Q__BAYUv7" TargetMode="External"/><Relationship Id="rId3816" Type="http://schemas.openxmlformats.org/officeDocument/2006/relationships/hyperlink" Target="https://drive.google.com/file/d/1CcM7cejAOO8j7WBsHy_n5y5wRpA4KYuT/view?usp=drivesdk" TargetMode="External"/><Relationship Id="rId3815" Type="http://schemas.openxmlformats.org/officeDocument/2006/relationships/hyperlink" Target="https://lh5.googleusercontent.com/d/1oxAbLc_mZufunVRyXhny-s4vuMubIW1a" TargetMode="External"/><Relationship Id="rId3818" Type="http://schemas.openxmlformats.org/officeDocument/2006/relationships/hyperlink" Target="https://drive.google.com/file/d/15LuU8bu9NuJaBtGUn91oiKWdlP9XjQ6P/view?usp=drivesdk" TargetMode="External"/><Relationship Id="rId3817" Type="http://schemas.openxmlformats.org/officeDocument/2006/relationships/hyperlink" Target="https://lh5.googleusercontent.com/d/1H3b2JqYPrCDZnzFi7Gb2lWYXeEYK8DNQ" TargetMode="External"/><Relationship Id="rId3819" Type="http://schemas.openxmlformats.org/officeDocument/2006/relationships/hyperlink" Target="https://lh5.googleusercontent.com/d/1I0CyJDMKnqlsBRvk1jATV9F3LCqiwHux" TargetMode="External"/><Relationship Id="rId3801" Type="http://schemas.openxmlformats.org/officeDocument/2006/relationships/hyperlink" Target="https://lh5.googleusercontent.com/d/1cI_QyOIAS868KWut8IPZdoDEHqKUCNGi" TargetMode="External"/><Relationship Id="rId3800" Type="http://schemas.openxmlformats.org/officeDocument/2006/relationships/hyperlink" Target="https://drive.google.com/file/d/1MNkX3rW0mCWdzMIoIdZ3U8ezwtXxiJMj/view?usp=drivesdk" TargetMode="External"/><Relationship Id="rId3803" Type="http://schemas.openxmlformats.org/officeDocument/2006/relationships/hyperlink" Target="https://lh5.googleusercontent.com/d/1-szYcfPiK0tip1iklqd0lqX6BDfOWXS4" TargetMode="External"/><Relationship Id="rId3802" Type="http://schemas.openxmlformats.org/officeDocument/2006/relationships/hyperlink" Target="https://drive.google.com/file/d/1I5ycZPIt3uFhzazHnPlbP0u0aXV0UXZT/view?usp=drivesdk" TargetMode="External"/><Relationship Id="rId3805" Type="http://schemas.openxmlformats.org/officeDocument/2006/relationships/hyperlink" Target="https://lh5.googleusercontent.com/d/1CvhFqpwDhhiW1_bsUWVMvQZcHsjZh5G3" TargetMode="External"/><Relationship Id="rId3804" Type="http://schemas.openxmlformats.org/officeDocument/2006/relationships/hyperlink" Target="https://drive.google.com/file/d/1vWIeA7NSuqPuP3eCMencTmhMn8BfwWDd/view?usp=drivesdk" TargetMode="External"/><Relationship Id="rId3807" Type="http://schemas.openxmlformats.org/officeDocument/2006/relationships/hyperlink" Target="https://lh5.googleusercontent.com/d/1iHe_w7YdP5mykPXFLBA3A7m5todcq_DK" TargetMode="External"/><Relationship Id="rId3806" Type="http://schemas.openxmlformats.org/officeDocument/2006/relationships/hyperlink" Target="https://drive.google.com/file/d/1KvCiLPEs0qF2mAXqIznvcwBpFc8bkoFR/view?usp=drivesdk" TargetMode="External"/><Relationship Id="rId3809" Type="http://schemas.openxmlformats.org/officeDocument/2006/relationships/hyperlink" Target="https://lh5.googleusercontent.com/d/1nrpVVs-U2wy3U9je5eZMkOJgJV51PV0C" TargetMode="External"/><Relationship Id="rId3808" Type="http://schemas.openxmlformats.org/officeDocument/2006/relationships/hyperlink" Target="https://drive.google.com/file/d/1NMH3_KuvmgQgqyRqpLE8FAu1cDyA_A_g/view?usp=drivesdk" TargetMode="External"/><Relationship Id="rId1213" Type="http://schemas.openxmlformats.org/officeDocument/2006/relationships/hyperlink" Target="https://lh5.googleusercontent.com/d/1UaAugIkn42julk9RmMDRJzqWYX16mbLl" TargetMode="External"/><Relationship Id="rId2544" Type="http://schemas.openxmlformats.org/officeDocument/2006/relationships/hyperlink" Target="https://drive.google.com/file/d/1xyerAmuaEMelu0aZCGaLPya4WXv4dLSC/view?usp=drivesdk" TargetMode="External"/><Relationship Id="rId3876" Type="http://schemas.openxmlformats.org/officeDocument/2006/relationships/hyperlink" Target="https://lh5.googleusercontent.com/d/1lXX3vJdvMD_V0C1axTE5aPbTz3hQD7N1" TargetMode="External"/><Relationship Id="rId1214" Type="http://schemas.openxmlformats.org/officeDocument/2006/relationships/hyperlink" Target="https://drive.google.com/file/d/11dTOfWRfPKz6VzIBp8bNNsRFVMau_KWo/view?usp=drivesdk" TargetMode="External"/><Relationship Id="rId2545" Type="http://schemas.openxmlformats.org/officeDocument/2006/relationships/hyperlink" Target="https://lh5.googleusercontent.com/d/1ugHbb2R_DDyiAb4xTV-3gWQmIPXh_tFt" TargetMode="External"/><Relationship Id="rId3875" Type="http://schemas.openxmlformats.org/officeDocument/2006/relationships/hyperlink" Target="https://drive.google.com/file/d/15YoBsoysZfe-tIoUWHsKA0tE_QrpjIeJ/view?usp=drivesdk" TargetMode="External"/><Relationship Id="rId1215" Type="http://schemas.openxmlformats.org/officeDocument/2006/relationships/hyperlink" Target="https://lh5.googleusercontent.com/d/1scr_19zRbwZyZ3vXBHntw3hGpNe-LTdv" TargetMode="External"/><Relationship Id="rId2546" Type="http://schemas.openxmlformats.org/officeDocument/2006/relationships/hyperlink" Target="https://drive.google.com/file/d/1hmEPyRNyaur5ariTLszQJdL7Ychiovhu/view?usp=drivesdk" TargetMode="External"/><Relationship Id="rId3878" Type="http://schemas.openxmlformats.org/officeDocument/2006/relationships/hyperlink" Target="https://lh5.googleusercontent.com/d/196GZY-1F-XJKV4XpVNpT_N6nkF8Yvpwh" TargetMode="External"/><Relationship Id="rId1216" Type="http://schemas.openxmlformats.org/officeDocument/2006/relationships/hyperlink" Target="https://drive.google.com/file/d/1JZHZXNxW9IckaqMlXIm3v2hiNDP58VmK/view?usp=drivesdk" TargetMode="External"/><Relationship Id="rId2547" Type="http://schemas.openxmlformats.org/officeDocument/2006/relationships/hyperlink" Target="https://lh5.googleusercontent.com/d/1R2j63sWQIv--GSqneWD1eoEVfeo8yQpd" TargetMode="External"/><Relationship Id="rId3877" Type="http://schemas.openxmlformats.org/officeDocument/2006/relationships/hyperlink" Target="https://drive.google.com/file/d/1WFnKgJkqIyvKuSVDSXEC3tA03435NUwX/view?usp=drivesdk" TargetMode="External"/><Relationship Id="rId1217" Type="http://schemas.openxmlformats.org/officeDocument/2006/relationships/hyperlink" Target="https://lh5.googleusercontent.com/d/1Fxrn6Y6somEyTIlTlwY7IscRu4lar6-o" TargetMode="External"/><Relationship Id="rId2548" Type="http://schemas.openxmlformats.org/officeDocument/2006/relationships/hyperlink" Target="https://drive.google.com/file/d/1DehDfmU8cdNBUbSCn-_lRRSB1QwrpE2C/view?usp=drivesdk" TargetMode="External"/><Relationship Id="rId1218" Type="http://schemas.openxmlformats.org/officeDocument/2006/relationships/hyperlink" Target="https://drive.google.com/file/d/1YdMQCro4TiFyIESAF3oxTOJsOvMVqF_2/view?usp=drivesdk" TargetMode="External"/><Relationship Id="rId2549" Type="http://schemas.openxmlformats.org/officeDocument/2006/relationships/hyperlink" Target="https://lh5.googleusercontent.com/d/1Rl-aezzxwbv7wO1c8LcEPII4uugnnHdg" TargetMode="External"/><Relationship Id="rId3879" Type="http://schemas.openxmlformats.org/officeDocument/2006/relationships/hyperlink" Target="https://drive.google.com/file/d/14sTyK10KklAXkCGSc_GVsx8oKm9crT5W/view?usp=drivesdk" TargetMode="External"/><Relationship Id="rId1219" Type="http://schemas.openxmlformats.org/officeDocument/2006/relationships/hyperlink" Target="https://lh5.googleusercontent.com/d/1N1_Fq3pPhJTD1t7aDDebrxzonPe_hwO1" TargetMode="External"/><Relationship Id="rId3870" Type="http://schemas.openxmlformats.org/officeDocument/2006/relationships/hyperlink" Target="https://lh5.googleusercontent.com/d/1UjBfXRD-5u6u7Sx01vlw9NvaqUaEE4P3" TargetMode="External"/><Relationship Id="rId2540" Type="http://schemas.openxmlformats.org/officeDocument/2006/relationships/hyperlink" Target="https://drive.google.com/file/d/1l8G_uOIbizDKjvVxZdWFLi8fblAvYw6a/view?usp=drivesdk" TargetMode="External"/><Relationship Id="rId3872" Type="http://schemas.openxmlformats.org/officeDocument/2006/relationships/hyperlink" Target="https://lh5.googleusercontent.com/d/1Lh7DisozVixwwRrSvBnXAXUwtvgo7zgX" TargetMode="External"/><Relationship Id="rId1210" Type="http://schemas.openxmlformats.org/officeDocument/2006/relationships/hyperlink" Target="https://drive.google.com/file/d/1u88FiXtHFtKLubtj_p-8XqhJYXu7qB1A/view?usp=drivesdk" TargetMode="External"/><Relationship Id="rId2541" Type="http://schemas.openxmlformats.org/officeDocument/2006/relationships/hyperlink" Target="https://lh5.googleusercontent.com/d/1BWcGHppYhTJ-lS6y1hYjOnASc_6_VVyh" TargetMode="External"/><Relationship Id="rId3871" Type="http://schemas.openxmlformats.org/officeDocument/2006/relationships/hyperlink" Target="https://drive.google.com/file/d/171ZOqkqGcTh_-4L-QTuGJ3IcW9l4Jwk6/view?usp=drivesdk" TargetMode="External"/><Relationship Id="rId1211" Type="http://schemas.openxmlformats.org/officeDocument/2006/relationships/hyperlink" Target="https://lh5.googleusercontent.com/d/1qGUJ0NexKGIvOsvjvMdbT2DilqwfjiqQ" TargetMode="External"/><Relationship Id="rId2542" Type="http://schemas.openxmlformats.org/officeDocument/2006/relationships/hyperlink" Target="https://drive.google.com/file/d/1GcyHEzhCQc-VinIKD3zHnjr2DyS7xe70/view?usp=drivesdk" TargetMode="External"/><Relationship Id="rId3874" Type="http://schemas.openxmlformats.org/officeDocument/2006/relationships/hyperlink" Target="https://lh5.googleusercontent.com/d/1ectly9BwGQKXWhAC50fHK7I-boGDjnmJ" TargetMode="External"/><Relationship Id="rId1212" Type="http://schemas.openxmlformats.org/officeDocument/2006/relationships/hyperlink" Target="https://drive.google.com/file/d/172uMt0Ev_fmXxsp5g_pYvKM_S_QYe_vw/view?usp=drivesdk" TargetMode="External"/><Relationship Id="rId2543" Type="http://schemas.openxmlformats.org/officeDocument/2006/relationships/hyperlink" Target="https://lh5.googleusercontent.com/d/1SrKOe_L2BclaXgXfVaCLwhcFv-z_sN-L" TargetMode="External"/><Relationship Id="rId3873" Type="http://schemas.openxmlformats.org/officeDocument/2006/relationships/hyperlink" Target="https://drive.google.com/file/d/18aNEYaP1tIKTGBN2rI6Ieqi1bJHjcuqN/view?usp=drivesdk" TargetMode="External"/><Relationship Id="rId1202" Type="http://schemas.openxmlformats.org/officeDocument/2006/relationships/hyperlink" Target="https://drive.google.com/file/d/19UenIB7x7jk9ciQKStVYjMbje3D74jWT/view?usp=drivesdk" TargetMode="External"/><Relationship Id="rId2533" Type="http://schemas.openxmlformats.org/officeDocument/2006/relationships/hyperlink" Target="https://lh5.googleusercontent.com/d/1zl59eaAKw3YlDduYhwWVnDQc7GMRDsUW" TargetMode="External"/><Relationship Id="rId3865" Type="http://schemas.openxmlformats.org/officeDocument/2006/relationships/hyperlink" Target="https://drive.google.com/file/d/1A0pRzeDktZMGr4x3pdeMNf_g1VaQb4B_/view?usp=drivesdk" TargetMode="External"/><Relationship Id="rId1203" Type="http://schemas.openxmlformats.org/officeDocument/2006/relationships/hyperlink" Target="https://lh5.googleusercontent.com/d/1AfwVfGkb412DySdZJUcYd3sg17tNE-Lx" TargetMode="External"/><Relationship Id="rId2534" Type="http://schemas.openxmlformats.org/officeDocument/2006/relationships/hyperlink" Target="https://drive.google.com/file/d/1BY_5Z64W285SZ6CWmj5rUY_qXpIVofRb/view?usp=drivesdk" TargetMode="External"/><Relationship Id="rId3864" Type="http://schemas.openxmlformats.org/officeDocument/2006/relationships/hyperlink" Target="https://lh5.googleusercontent.com/d/1pwrMFDPaF_cha5VwaZ4G0WgrvVQjMpCE" TargetMode="External"/><Relationship Id="rId1204" Type="http://schemas.openxmlformats.org/officeDocument/2006/relationships/hyperlink" Target="https://drive.google.com/file/d/1gBTWhsVO3VLyV97oK0PaEQo3D_khN4yx/view?usp=drivesdk" TargetMode="External"/><Relationship Id="rId2535" Type="http://schemas.openxmlformats.org/officeDocument/2006/relationships/hyperlink" Target="https://lh5.googleusercontent.com/d/1zRlypSOK-mIZekahNo_OSkS7QGe1hiex" TargetMode="External"/><Relationship Id="rId3867" Type="http://schemas.openxmlformats.org/officeDocument/2006/relationships/hyperlink" Target="https://drive.google.com/file/d/1C5OYlK8CVYB_LDTNnv2bc9DPlJTh_wUr/view?usp=drivesdk" TargetMode="External"/><Relationship Id="rId1205" Type="http://schemas.openxmlformats.org/officeDocument/2006/relationships/hyperlink" Target="https://lh5.googleusercontent.com/d/1bNhZ-rBmRjQHlO0eT1QuN-2kqngbrMqg" TargetMode="External"/><Relationship Id="rId2536" Type="http://schemas.openxmlformats.org/officeDocument/2006/relationships/hyperlink" Target="https://drive.google.com/file/d/1ugCaYHS6Z2jrkd7pTlFgz-RFuIKkBbvv/view?usp=drivesdk" TargetMode="External"/><Relationship Id="rId3866" Type="http://schemas.openxmlformats.org/officeDocument/2006/relationships/hyperlink" Target="https://lh5.googleusercontent.com/d/1804OQdd8JLi0Fm0bm6lr2GtAM6wO80VL" TargetMode="External"/><Relationship Id="rId1206" Type="http://schemas.openxmlformats.org/officeDocument/2006/relationships/hyperlink" Target="https://drive.google.com/file/d/19OsgI8qKhBocBPognHXe6ve655dUdPA2/view?usp=drivesdk" TargetMode="External"/><Relationship Id="rId2537" Type="http://schemas.openxmlformats.org/officeDocument/2006/relationships/hyperlink" Target="https://lh5.googleusercontent.com/d/1UROj0wAcCquf6t2HDvWroNyw7GJ0T5kq" TargetMode="External"/><Relationship Id="rId3869" Type="http://schemas.openxmlformats.org/officeDocument/2006/relationships/hyperlink" Target="https://drive.google.com/file/d/1o40hUytV96geVFE1yl7-Xs_CU5fAufGN/view?usp=drivesdk" TargetMode="External"/><Relationship Id="rId1207" Type="http://schemas.openxmlformats.org/officeDocument/2006/relationships/hyperlink" Target="https://lh5.googleusercontent.com/d/1xOXmTa_alj9tCfyHP9kPX6W6Uul1FXwa" TargetMode="External"/><Relationship Id="rId2538" Type="http://schemas.openxmlformats.org/officeDocument/2006/relationships/hyperlink" Target="https://drive.google.com/file/d/1ZvgTJ9b_yfNW-cJEBJOT_D2ox6f1mKeC/view?usp=drivesdk" TargetMode="External"/><Relationship Id="rId3868" Type="http://schemas.openxmlformats.org/officeDocument/2006/relationships/hyperlink" Target="https://lh5.googleusercontent.com/d/1iSXS8b8zWueB1glruy1j79Ahj7qceH_O" TargetMode="External"/><Relationship Id="rId1208" Type="http://schemas.openxmlformats.org/officeDocument/2006/relationships/hyperlink" Target="https://drive.google.com/file/d/1sOSj0O9sLNsXedlP8nQyIMve6W3RU2vS/view?usp=drivesdk" TargetMode="External"/><Relationship Id="rId2539" Type="http://schemas.openxmlformats.org/officeDocument/2006/relationships/hyperlink" Target="https://lh5.googleusercontent.com/d/1jT04_LxCyEd-D8gG8hwTgPMdSnroxlVj" TargetMode="External"/><Relationship Id="rId1209" Type="http://schemas.openxmlformats.org/officeDocument/2006/relationships/hyperlink" Target="https://lh5.googleusercontent.com/d/1NYCq0B4UDTJL919pRamoT5oJBKU7bqDN" TargetMode="External"/><Relationship Id="rId3861" Type="http://schemas.openxmlformats.org/officeDocument/2006/relationships/hyperlink" Target="https://drive.google.com/file/d/1kkIgRpE3qYzvsUC7avb-v4GyFADg7XXq/view?usp=drivesdk" TargetMode="External"/><Relationship Id="rId2530" Type="http://schemas.openxmlformats.org/officeDocument/2006/relationships/hyperlink" Target="https://drive.google.com/file/d/1CSQQ-Ah9zHQDhsauByADjuhPE8JRYJff/view?usp=drivesdk" TargetMode="External"/><Relationship Id="rId3860" Type="http://schemas.openxmlformats.org/officeDocument/2006/relationships/hyperlink" Target="https://lh5.googleusercontent.com/d/1KmRUBssfolDHdEq4T9A5eJg1_1y_wwgb" TargetMode="External"/><Relationship Id="rId1200" Type="http://schemas.openxmlformats.org/officeDocument/2006/relationships/hyperlink" Target="https://drive.google.com/file/d/1zZhU4W1YDm8LRigF-DfePkZFJ5DxMmLZ/view?usp=drivesdk" TargetMode="External"/><Relationship Id="rId2531" Type="http://schemas.openxmlformats.org/officeDocument/2006/relationships/hyperlink" Target="https://lh5.googleusercontent.com/d/1XAf_5lKXg7mCs4ebXgnIUpYMXDbrTsq2" TargetMode="External"/><Relationship Id="rId3863" Type="http://schemas.openxmlformats.org/officeDocument/2006/relationships/hyperlink" Target="https://drive.google.com/file/d/1S3ftKuE30f6iOWAXQDIy7b4o-GRjgYUp/view?usp=drivesdk" TargetMode="External"/><Relationship Id="rId1201" Type="http://schemas.openxmlformats.org/officeDocument/2006/relationships/hyperlink" Target="https://lh5.googleusercontent.com/d/1_YSB7T1bkZqoqL1s8ADQU2-CDeKaor6P" TargetMode="External"/><Relationship Id="rId2532" Type="http://schemas.openxmlformats.org/officeDocument/2006/relationships/hyperlink" Target="https://drive.google.com/file/d/1f9o1AV32KgnojGvVFAAe6Fx4h9F1v4Y_/view?usp=drivesdk" TargetMode="External"/><Relationship Id="rId3862" Type="http://schemas.openxmlformats.org/officeDocument/2006/relationships/hyperlink" Target="https://lh5.googleusercontent.com/d/1-Q0I-kfGBsm0FXj4XLjBaf6H4DAO9VDC" TargetMode="External"/><Relationship Id="rId1235" Type="http://schemas.openxmlformats.org/officeDocument/2006/relationships/hyperlink" Target="https://drive.google.com/file/d/1HIFfpAJlp-F__xjleXe9pacuBttn6oaH/view?usp=drivesdk" TargetMode="External"/><Relationship Id="rId2566" Type="http://schemas.openxmlformats.org/officeDocument/2006/relationships/hyperlink" Target="https://drive.google.com/file/d/1wPspcLBFUotCgmfMZESuLJKtv50ghqZ9/view?usp=drivesdk" TargetMode="External"/><Relationship Id="rId3898" Type="http://schemas.openxmlformats.org/officeDocument/2006/relationships/hyperlink" Target="https://lh5.googleusercontent.com/d/1jeJzB2dR1z_0i960ESPKGjgeC4byeLEi" TargetMode="External"/><Relationship Id="rId1236" Type="http://schemas.openxmlformats.org/officeDocument/2006/relationships/hyperlink" Target="https://lh5.googleusercontent.com/d/1XZgJa0BWACnXPlxLki3edMpRuO09sVhw" TargetMode="External"/><Relationship Id="rId2567" Type="http://schemas.openxmlformats.org/officeDocument/2006/relationships/hyperlink" Target="https://lh5.googleusercontent.com/d/1U_iqrBcohHSL9tzAOhn5XlTN5HgxvfSN" TargetMode="External"/><Relationship Id="rId3897" Type="http://schemas.openxmlformats.org/officeDocument/2006/relationships/hyperlink" Target="https://drive.google.com/file/d/1sn7N01imi2uz_TmS5eP4ZMRw470A8WwV/view?usp=drivesdk" TargetMode="External"/><Relationship Id="rId1237" Type="http://schemas.openxmlformats.org/officeDocument/2006/relationships/hyperlink" Target="https://lh5.googleusercontent.com/d/1rcxoreCDgP0Y41NOGK-Jpvlpxnfr2KxD" TargetMode="External"/><Relationship Id="rId2568" Type="http://schemas.openxmlformats.org/officeDocument/2006/relationships/hyperlink" Target="https://drive.google.com/file/d/1jWLZtf029Y7XUZPC1HFG5GiY2HAeXput/view?usp=drivesdk" TargetMode="External"/><Relationship Id="rId1238" Type="http://schemas.openxmlformats.org/officeDocument/2006/relationships/hyperlink" Target="https://drive.google.com/file/d/1OwN7IhXM0uev7oFqi7HljwwY_EbSpfuV/view?usp=drivesdk" TargetMode="External"/><Relationship Id="rId2569" Type="http://schemas.openxmlformats.org/officeDocument/2006/relationships/hyperlink" Target="https://lh5.googleusercontent.com/d/1Fli1w-SQsVfL_23ouDrEdVpdJmS3il9r" TargetMode="External"/><Relationship Id="rId3899" Type="http://schemas.openxmlformats.org/officeDocument/2006/relationships/hyperlink" Target="https://drive.google.com/file/d/1NlzMZrww57Rnfqexl3VVOJKtTuXGbm9R/view?usp=drivesdk" TargetMode="External"/><Relationship Id="rId1239" Type="http://schemas.openxmlformats.org/officeDocument/2006/relationships/hyperlink" Target="https://lh5.googleusercontent.com/d/1MxlechmLRL11aNUfgm4OtK15ek3PZXId" TargetMode="External"/><Relationship Id="rId409" Type="http://schemas.openxmlformats.org/officeDocument/2006/relationships/hyperlink" Target="https://drive.google.com/file/d/1GwDec_2-4Rp3lBOaHdXBwQ7matrf6gIL/view?usp=drivesdk" TargetMode="External"/><Relationship Id="rId404" Type="http://schemas.openxmlformats.org/officeDocument/2006/relationships/hyperlink" Target="https://lh5.googleusercontent.com/d/1eiTXyBY_tShmrKKZuhcWZiV1who-ohhn" TargetMode="External"/><Relationship Id="rId403" Type="http://schemas.openxmlformats.org/officeDocument/2006/relationships/hyperlink" Target="https://drive.google.com/file/d/1VK_rLZgjaELde-gxAZU39vunAtfctSC6/view?usp=drivesdk" TargetMode="External"/><Relationship Id="rId402" Type="http://schemas.openxmlformats.org/officeDocument/2006/relationships/hyperlink" Target="https://lh5.googleusercontent.com/d/1bAUsELwTXJzGgeA-3XNnNzCuQPJptps3" TargetMode="External"/><Relationship Id="rId401" Type="http://schemas.openxmlformats.org/officeDocument/2006/relationships/hyperlink" Target="https://drive.google.com/file/d/13ZTzMLg6gT77C3T9-F5q6A7tapiVK7Lp/view?usp=drivesdk" TargetMode="External"/><Relationship Id="rId408" Type="http://schemas.openxmlformats.org/officeDocument/2006/relationships/hyperlink" Target="https://lh5.googleusercontent.com/d/1WhoLv0TM3ANhqyFjL6O0XbX9rrj110Br" TargetMode="External"/><Relationship Id="rId407" Type="http://schemas.openxmlformats.org/officeDocument/2006/relationships/hyperlink" Target="https://drive.google.com/file/d/1wRl_6xgZCzmr61eq_B_gDtAJ5mIj4KoQ/view?usp=drivesdk" TargetMode="External"/><Relationship Id="rId406" Type="http://schemas.openxmlformats.org/officeDocument/2006/relationships/hyperlink" Target="https://lh5.googleusercontent.com/d/1Od-TEfkwnVRM1qhO9Cot-JNvmUvM8Y_d" TargetMode="External"/><Relationship Id="rId405" Type="http://schemas.openxmlformats.org/officeDocument/2006/relationships/hyperlink" Target="https://drive.google.com/file/d/1LSZymh4fJTnriYZ9TwHVPSk9gHhVcg0M/view?usp=drivesdk" TargetMode="External"/><Relationship Id="rId3890" Type="http://schemas.openxmlformats.org/officeDocument/2006/relationships/hyperlink" Target="https://lh5.googleusercontent.com/d/1Kv62_HS2H06kJon26d6Mr4eMTUYaKFz0" TargetMode="External"/><Relationship Id="rId2560" Type="http://schemas.openxmlformats.org/officeDocument/2006/relationships/hyperlink" Target="https://drive.google.com/file/d/1k7TgVLv3gdGSm0sBZRWlZrXoxOzjrcQr/view?usp=drivesdk" TargetMode="External"/><Relationship Id="rId3892" Type="http://schemas.openxmlformats.org/officeDocument/2006/relationships/hyperlink" Target="https://lh5.googleusercontent.com/d/1DAVUCdbL7wwxmrhJIdQ52wJBKi0VOsHb" TargetMode="External"/><Relationship Id="rId1230" Type="http://schemas.openxmlformats.org/officeDocument/2006/relationships/hyperlink" Target="https://lh5.googleusercontent.com/d/1ppEKADooHlADNeXS-Jod9QHam793ElHC" TargetMode="External"/><Relationship Id="rId2561" Type="http://schemas.openxmlformats.org/officeDocument/2006/relationships/hyperlink" Target="https://lh5.googleusercontent.com/d/1VqIRyKfusVB8E7Oh4qx3OpVuuBT-rJ_8" TargetMode="External"/><Relationship Id="rId3891" Type="http://schemas.openxmlformats.org/officeDocument/2006/relationships/hyperlink" Target="https://drive.google.com/file/d/1goVAjXAji_subElHr3a53irQejOZSJ8J/view?usp=drivesdk" TargetMode="External"/><Relationship Id="rId400" Type="http://schemas.openxmlformats.org/officeDocument/2006/relationships/hyperlink" Target="https://lh5.googleusercontent.com/d/1mU5EiMrG0BF7K9dpsyh8HnwtVSKvXWGW" TargetMode="External"/><Relationship Id="rId1231" Type="http://schemas.openxmlformats.org/officeDocument/2006/relationships/hyperlink" Target="https://drive.google.com/file/d/1ms4vfMKvobkDelyeHFwWODXs3eLLtZXY/view?usp=drivesdk" TargetMode="External"/><Relationship Id="rId2562" Type="http://schemas.openxmlformats.org/officeDocument/2006/relationships/hyperlink" Target="https://drive.google.com/file/d/1Qm_qC5eAr3SxqnhvUJvjK4vNn6E7_jOR/view?usp=drivesdk" TargetMode="External"/><Relationship Id="rId3894" Type="http://schemas.openxmlformats.org/officeDocument/2006/relationships/hyperlink" Target="https://lh5.googleusercontent.com/d/1Ruuj-JvHcOeiRrqSeDXPJLzRcWTlehYM" TargetMode="External"/><Relationship Id="rId1232" Type="http://schemas.openxmlformats.org/officeDocument/2006/relationships/hyperlink" Target="https://lh5.googleusercontent.com/d/19OEE2OZiO6xqkR0kXi3TE9Qiwo4zr38j" TargetMode="External"/><Relationship Id="rId2563" Type="http://schemas.openxmlformats.org/officeDocument/2006/relationships/hyperlink" Target="https://lh5.googleusercontent.com/d/1iLpR9D3kligbjgdfLP5vrGYScUsEnkUq" TargetMode="External"/><Relationship Id="rId3893" Type="http://schemas.openxmlformats.org/officeDocument/2006/relationships/hyperlink" Target="https://drive.google.com/file/d/1Ri2DlIyDVsYQQyVWO02FrPJZALjjNR3_/view?usp=drivesdk" TargetMode="External"/><Relationship Id="rId1233" Type="http://schemas.openxmlformats.org/officeDocument/2006/relationships/hyperlink" Target="https://drive.google.com/file/d/1FxBuEM0fyp0Ri3Ht1bY4dXi2i9IJLIQt/view?usp=drivesdk" TargetMode="External"/><Relationship Id="rId2564" Type="http://schemas.openxmlformats.org/officeDocument/2006/relationships/hyperlink" Target="https://drive.google.com/file/d/1YVUxdLlc4fFnB1Ubq6Kt8VbECT6VkBZi/view?usp=drivesdk" TargetMode="External"/><Relationship Id="rId3896" Type="http://schemas.openxmlformats.org/officeDocument/2006/relationships/hyperlink" Target="https://lh5.googleusercontent.com/d/1Ybtbs37FuHELp0HuWD1yHrHfSJD_IYoi" TargetMode="External"/><Relationship Id="rId1234" Type="http://schemas.openxmlformats.org/officeDocument/2006/relationships/hyperlink" Target="https://lh5.googleusercontent.com/d/10OEt-FknEfPtIVgN4bmlTfzWbCrDWhPF" TargetMode="External"/><Relationship Id="rId2565" Type="http://schemas.openxmlformats.org/officeDocument/2006/relationships/hyperlink" Target="https://lh5.googleusercontent.com/d/1I5WNu6w_H_srlZgXwxy4sTrqpXFDsiDo" TargetMode="External"/><Relationship Id="rId3895" Type="http://schemas.openxmlformats.org/officeDocument/2006/relationships/hyperlink" Target="https://drive.google.com/file/d/1dJV7TOrX6__QHDjK3PvFc0aBDvRXUlhl/view?usp=drivesdk" TargetMode="External"/><Relationship Id="rId1224" Type="http://schemas.openxmlformats.org/officeDocument/2006/relationships/hyperlink" Target="https://lh5.googleusercontent.com/d/1f8uidhLJ9RFdCKjqDHkNH48iGqjnS9FN" TargetMode="External"/><Relationship Id="rId2555" Type="http://schemas.openxmlformats.org/officeDocument/2006/relationships/hyperlink" Target="https://lh5.googleusercontent.com/d/1ZmtS5-l9zUcANO9YZ0R7G5tUteE-MuFO" TargetMode="External"/><Relationship Id="rId3887" Type="http://schemas.openxmlformats.org/officeDocument/2006/relationships/hyperlink" Target="https://drive.google.com/file/d/1pLYmROd-5rFh1_FLwskG0cwGpJY_-yAL/view?usp=drivesdk" TargetMode="External"/><Relationship Id="rId1225" Type="http://schemas.openxmlformats.org/officeDocument/2006/relationships/hyperlink" Target="https://drive.google.com/file/d/1r_ETGbFvqIrPbmXtmpAA_8v3VRivdd5N/view?usp=drivesdk" TargetMode="External"/><Relationship Id="rId2556" Type="http://schemas.openxmlformats.org/officeDocument/2006/relationships/hyperlink" Target="https://drive.google.com/file/d/1Eap10EPgI6yBoSJjVUJeMLJBUn_vKjFz/view?usp=drivesdk" TargetMode="External"/><Relationship Id="rId3886" Type="http://schemas.openxmlformats.org/officeDocument/2006/relationships/hyperlink" Target="https://lh5.googleusercontent.com/d/18DPSsgWfHXxGGZuoBoU78OhVDqRbzE-4" TargetMode="External"/><Relationship Id="rId1226" Type="http://schemas.openxmlformats.org/officeDocument/2006/relationships/hyperlink" Target="https://lh5.googleusercontent.com/d/1UpPZPg8K3SJVWNXrGg-jkIexHwTVtqBM" TargetMode="External"/><Relationship Id="rId2557" Type="http://schemas.openxmlformats.org/officeDocument/2006/relationships/hyperlink" Target="https://lh5.googleusercontent.com/d/1bQxv0Kic-r0rxVb8Wgo81Hywc3ctd307" TargetMode="External"/><Relationship Id="rId3889" Type="http://schemas.openxmlformats.org/officeDocument/2006/relationships/hyperlink" Target="https://drive.google.com/file/d/1xcQqKnNW8QnpgU2HAhi6mnhZi8X3uypV/view?usp=drivesdk" TargetMode="External"/><Relationship Id="rId1227" Type="http://schemas.openxmlformats.org/officeDocument/2006/relationships/hyperlink" Target="https://drive.google.com/file/d/13T-C2LplNrWFsSOF4hYe4CoiFtqvYCL3/view?usp=drivesdk" TargetMode="External"/><Relationship Id="rId2558" Type="http://schemas.openxmlformats.org/officeDocument/2006/relationships/hyperlink" Target="https://drive.google.com/file/d/11-aEeKMmB7HE5b5JATy5nY7qXrcs_M7d/view?usp=drivesdk" TargetMode="External"/><Relationship Id="rId3888" Type="http://schemas.openxmlformats.org/officeDocument/2006/relationships/hyperlink" Target="https://lh5.googleusercontent.com/d/18blsgPyb5Q1ZOb-hB0UwcJKHIb1v-Huj" TargetMode="External"/><Relationship Id="rId1228" Type="http://schemas.openxmlformats.org/officeDocument/2006/relationships/hyperlink" Target="https://lh5.googleusercontent.com/d/1JUgvBt0Lee-y4FS5Hhetiji4_MVjuduQ" TargetMode="External"/><Relationship Id="rId2559" Type="http://schemas.openxmlformats.org/officeDocument/2006/relationships/hyperlink" Target="https://lh5.googleusercontent.com/d/1XISlZQgfpFxfPxTBDhbMtfHS9JI1GU5b" TargetMode="External"/><Relationship Id="rId1229" Type="http://schemas.openxmlformats.org/officeDocument/2006/relationships/hyperlink" Target="https://drive.google.com/file/d/17Db5JLnSlBgnLcQ5l24Vq_ISAuPbKqbr/view?usp=drivesdk" TargetMode="External"/><Relationship Id="rId3881" Type="http://schemas.openxmlformats.org/officeDocument/2006/relationships/hyperlink" Target="https://drive.google.com/file/d/1RhzPVzA-hI5NB_C0G8f2pxitLIl7Bvmr/view?usp=drivesdk" TargetMode="External"/><Relationship Id="rId2550" Type="http://schemas.openxmlformats.org/officeDocument/2006/relationships/hyperlink" Target="https://drive.google.com/file/d/1mwAV6zI4nbxZyWn65po6BkwQoDjPut89/view?usp=drivesdk" TargetMode="External"/><Relationship Id="rId3880" Type="http://schemas.openxmlformats.org/officeDocument/2006/relationships/hyperlink" Target="https://lh5.googleusercontent.com/d/1R4_F8kbWj_cD2GAM6ggqhODMOE-m32zL" TargetMode="External"/><Relationship Id="rId1220" Type="http://schemas.openxmlformats.org/officeDocument/2006/relationships/hyperlink" Target="https://lh5.googleusercontent.com/d/1t9ArfUCNRb0682U8uu789b4HrnIgyYAw" TargetMode="External"/><Relationship Id="rId2551" Type="http://schemas.openxmlformats.org/officeDocument/2006/relationships/hyperlink" Target="https://lh5.googleusercontent.com/d/1aQtPtbAY61Xa21QwO3ly-dn6pixm8FN1" TargetMode="External"/><Relationship Id="rId3883" Type="http://schemas.openxmlformats.org/officeDocument/2006/relationships/hyperlink" Target="https://drive.google.com/file/d/1nsWG3qVU65GOkJHU-Sh2C9INZdOm1v2-/view?usp=drivesdk" TargetMode="External"/><Relationship Id="rId1221" Type="http://schemas.openxmlformats.org/officeDocument/2006/relationships/hyperlink" Target="https://drive.google.com/file/d/1hUO1dto7zL0UiLQAW12FSVX9EsXarLZx/view?usp=drivesdk" TargetMode="External"/><Relationship Id="rId2552" Type="http://schemas.openxmlformats.org/officeDocument/2006/relationships/hyperlink" Target="https://drive.google.com/file/d/1xPRyxPfpz3ss5KMMqO2fVSPaTiaBdDWJ/view?usp=drivesdk" TargetMode="External"/><Relationship Id="rId3882" Type="http://schemas.openxmlformats.org/officeDocument/2006/relationships/hyperlink" Target="https://lh5.googleusercontent.com/d/1fiH6gVhb2f12DWoXpv3kNsRRv8xkiGje" TargetMode="External"/><Relationship Id="rId1222" Type="http://schemas.openxmlformats.org/officeDocument/2006/relationships/hyperlink" Target="https://lh5.googleusercontent.com/d/143RV2Th3bwM1OgSVmSWnq5JhrkksQcZj" TargetMode="External"/><Relationship Id="rId2553" Type="http://schemas.openxmlformats.org/officeDocument/2006/relationships/hyperlink" Target="https://lh5.googleusercontent.com/d/1hzyM5ZI3VyYtselARUbr1h9DfCB7Vkd4" TargetMode="External"/><Relationship Id="rId3885" Type="http://schemas.openxmlformats.org/officeDocument/2006/relationships/hyperlink" Target="https://drive.google.com/file/d/15vjxfIpcFTYwgMvE98CNciDu6QzZtcf5/view?usp=drivesdk" TargetMode="External"/><Relationship Id="rId1223" Type="http://schemas.openxmlformats.org/officeDocument/2006/relationships/hyperlink" Target="https://drive.google.com/file/d/1RPZUScr_9IzFMyWOoa6dIvpfJb2WiNUV/view?usp=drivesdk" TargetMode="External"/><Relationship Id="rId2554" Type="http://schemas.openxmlformats.org/officeDocument/2006/relationships/hyperlink" Target="https://drive.google.com/file/d/1E2k9VLhKncGN8nPWwlrto2ajksRUZmOO/view?usp=drivesdk" TargetMode="External"/><Relationship Id="rId3884" Type="http://schemas.openxmlformats.org/officeDocument/2006/relationships/hyperlink" Target="https://lh5.googleusercontent.com/d/1j9sWMrL7qhb1bPZRh6ne4naAZvSFyrNn" TargetMode="External"/><Relationship Id="rId2500" Type="http://schemas.openxmlformats.org/officeDocument/2006/relationships/hyperlink" Target="https://drive.google.com/file/d/1wMshq5SsBM18TU0SWNSf5EflIIpUN8bX/view?usp=drivesdk" TargetMode="External"/><Relationship Id="rId3832" Type="http://schemas.openxmlformats.org/officeDocument/2006/relationships/hyperlink" Target="https://drive.google.com/file/d/1JK2waOUiBxKXF-BnIqGm77C36bxcyVjG/view?usp=drivesdk" TargetMode="External"/><Relationship Id="rId2501" Type="http://schemas.openxmlformats.org/officeDocument/2006/relationships/hyperlink" Target="https://lh5.googleusercontent.com/d/1akCO02fnft8S0SC0YJ-PPof-mFqtYsgd" TargetMode="External"/><Relationship Id="rId3831" Type="http://schemas.openxmlformats.org/officeDocument/2006/relationships/hyperlink" Target="https://lh5.googleusercontent.com/d/1klJX95m9dWqxy5PWW6ewUeJW9v9HHvAx" TargetMode="External"/><Relationship Id="rId2502" Type="http://schemas.openxmlformats.org/officeDocument/2006/relationships/hyperlink" Target="https://drive.google.com/file/d/17ogM1w_MCBJVvEe8fRMBWsjTYbiP9G9z/view?usp=drivesdk" TargetMode="External"/><Relationship Id="rId3834" Type="http://schemas.openxmlformats.org/officeDocument/2006/relationships/hyperlink" Target="https://drive.google.com/file/d/1SWI1T4o4FS23VvXAbu3E-Zij9goCX6zr/view?usp=drivesdk" TargetMode="External"/><Relationship Id="rId2503" Type="http://schemas.openxmlformats.org/officeDocument/2006/relationships/hyperlink" Target="https://lh5.googleusercontent.com/d/19Q7l8wNnF-7nmxOkcUydODdofoxKChBo" TargetMode="External"/><Relationship Id="rId3833" Type="http://schemas.openxmlformats.org/officeDocument/2006/relationships/hyperlink" Target="https://lh5.googleusercontent.com/d/1nyX3Cj96Mfa76OqTr1sepSiAOdxwRecC" TargetMode="External"/><Relationship Id="rId2504" Type="http://schemas.openxmlformats.org/officeDocument/2006/relationships/hyperlink" Target="https://drive.google.com/file/d/17VdavaEX1kGC5Bjysdlfn_fgVepHUg9h/view?usp=drivesdk" TargetMode="External"/><Relationship Id="rId3836" Type="http://schemas.openxmlformats.org/officeDocument/2006/relationships/hyperlink" Target="https://lh5.googleusercontent.com/d/15dqt3Y9sjXesnh3V0qsINGv8etw5kXIl" TargetMode="External"/><Relationship Id="rId2505" Type="http://schemas.openxmlformats.org/officeDocument/2006/relationships/hyperlink" Target="https://lh5.googleusercontent.com/d/1s1osZyt6_vukgzY4gvKgoqir2YVgmxsu" TargetMode="External"/><Relationship Id="rId3835" Type="http://schemas.openxmlformats.org/officeDocument/2006/relationships/hyperlink" Target="https://drive.google.com/file/d/1hV8iqC0YFG8id8xgy2Ga_MFE2JcD8FNA/view?usp=drivesdk" TargetMode="External"/><Relationship Id="rId2506" Type="http://schemas.openxmlformats.org/officeDocument/2006/relationships/hyperlink" Target="https://drive.google.com/file/d/1rWY_jy-MxY4YxQiT7ZLXIRCc9xy56eQf/view?usp=drivesdk" TargetMode="External"/><Relationship Id="rId3838" Type="http://schemas.openxmlformats.org/officeDocument/2006/relationships/hyperlink" Target="https://lh5.googleusercontent.com/d/123ioYwLWEg5FgllWQ8-ZZ2cbmBKcdnoO" TargetMode="External"/><Relationship Id="rId2507" Type="http://schemas.openxmlformats.org/officeDocument/2006/relationships/hyperlink" Target="https://lh5.googleusercontent.com/d/1RWtPoHmy35cRsi_q2t3S23zEFCjS1WdB" TargetMode="External"/><Relationship Id="rId3837" Type="http://schemas.openxmlformats.org/officeDocument/2006/relationships/hyperlink" Target="https://drive.google.com/file/d/1uc64SJzUiWiaAQDRqEHe-V8HBoJdmpfk/view?usp=drivesdk" TargetMode="External"/><Relationship Id="rId2508" Type="http://schemas.openxmlformats.org/officeDocument/2006/relationships/hyperlink" Target="https://drive.google.com/file/d/1aQF0KMpEnlELePKe9RudawRn5p5ucZBK/view?usp=drivesdk" TargetMode="External"/><Relationship Id="rId2509" Type="http://schemas.openxmlformats.org/officeDocument/2006/relationships/hyperlink" Target="https://lh5.googleusercontent.com/d/17t2c38KULfy5VAsRd9zFUfr4ujRtstDa" TargetMode="External"/><Relationship Id="rId3839" Type="http://schemas.openxmlformats.org/officeDocument/2006/relationships/hyperlink" Target="https://drive.google.com/file/d/1svZMYzriqglNG7ZeLgJ_UMI_TFr3O7xr/view?usp=drivesdk" TargetMode="External"/><Relationship Id="rId3830" Type="http://schemas.openxmlformats.org/officeDocument/2006/relationships/hyperlink" Target="https://drive.google.com/file/d/1YAJ_W-ym_nItg9y_zdsAdfcngpAnNsa8/view?usp=drivesdk" TargetMode="External"/><Relationship Id="rId3821" Type="http://schemas.openxmlformats.org/officeDocument/2006/relationships/hyperlink" Target="https://lh5.googleusercontent.com/d/1MDHHyiFmZXKnzz78YYL1aBGsizrMH3H8" TargetMode="External"/><Relationship Id="rId3820" Type="http://schemas.openxmlformats.org/officeDocument/2006/relationships/hyperlink" Target="https://drive.google.com/file/d/1fhvfeOv3yWEe2VjXtZ9sjS37I5BeIp3N/view?usp=drivesdk" TargetMode="External"/><Relationship Id="rId3823" Type="http://schemas.openxmlformats.org/officeDocument/2006/relationships/hyperlink" Target="https://lh5.googleusercontent.com/d/1jP7PHb_ae4NlQ1WmpIqnQrpmBvnbsI5G" TargetMode="External"/><Relationship Id="rId3822" Type="http://schemas.openxmlformats.org/officeDocument/2006/relationships/hyperlink" Target="https://drive.google.com/file/d/1qzkmbRpfz1fmaUqDm5AX0YGHa__td0Qh/view?usp=drivesdk" TargetMode="External"/><Relationship Id="rId3825" Type="http://schemas.openxmlformats.org/officeDocument/2006/relationships/hyperlink" Target="https://lh5.googleusercontent.com/d/1xObmFucL69gdJSQFQVOhD1qcmLBfCU1i" TargetMode="External"/><Relationship Id="rId3824" Type="http://schemas.openxmlformats.org/officeDocument/2006/relationships/hyperlink" Target="https://drive.google.com/file/d/11fKA91VjFMZunqAqkaM8ff7mvrJPTqHp/view?usp=drivesdk" TargetMode="External"/><Relationship Id="rId3827" Type="http://schemas.openxmlformats.org/officeDocument/2006/relationships/hyperlink" Target="https://lh5.googleusercontent.com/d/1ezxcegwsds2dCEvgGGnysTlA5HWkZI8v" TargetMode="External"/><Relationship Id="rId3826" Type="http://schemas.openxmlformats.org/officeDocument/2006/relationships/hyperlink" Target="https://drive.google.com/file/d/1N-cOiSZmLjXzSTU90GcJwiMnHLJe3sjz/view?usp=drivesdk" TargetMode="External"/><Relationship Id="rId3829" Type="http://schemas.openxmlformats.org/officeDocument/2006/relationships/hyperlink" Target="https://lh5.googleusercontent.com/d/1kSwWIJQmxCmMXYkfqWXRr3ok1Sod9UXD" TargetMode="External"/><Relationship Id="rId3828" Type="http://schemas.openxmlformats.org/officeDocument/2006/relationships/hyperlink" Target="https://drive.google.com/file/d/1GnsCxQc7wIRxyDyjkjEg-MZ4X4pITufE/view?usp=drivesdk" TargetMode="External"/><Relationship Id="rId2522" Type="http://schemas.openxmlformats.org/officeDocument/2006/relationships/hyperlink" Target="https://drive.google.com/file/d/16ktnIIeeydvCbChw2Xmtib9tyFLl1ja4/view?usp=drivesdk" TargetMode="External"/><Relationship Id="rId3854" Type="http://schemas.openxmlformats.org/officeDocument/2006/relationships/hyperlink" Target="https://lh5.googleusercontent.com/d/1U_HgWC74-W8FJGUt3eTYNOsYOWtJWi_Z" TargetMode="External"/><Relationship Id="rId2523" Type="http://schemas.openxmlformats.org/officeDocument/2006/relationships/hyperlink" Target="https://lh5.googleusercontent.com/d/18eRZHnDcFPbfcpglFmdjFc0dfsXyPMva" TargetMode="External"/><Relationship Id="rId3853" Type="http://schemas.openxmlformats.org/officeDocument/2006/relationships/hyperlink" Target="https://drive.google.com/file/d/1VAqhdeOxmi1YV2mPf6WjAcGVKiJ79f68/view?usp=drivesdk" TargetMode="External"/><Relationship Id="rId2524" Type="http://schemas.openxmlformats.org/officeDocument/2006/relationships/hyperlink" Target="https://drive.google.com/file/d/16Y90WUnAoNM-yYL_ZS0mR8KOi0cHLtuh/view?usp=drivesdk" TargetMode="External"/><Relationship Id="rId3856" Type="http://schemas.openxmlformats.org/officeDocument/2006/relationships/hyperlink" Target="https://lh5.googleusercontent.com/d/1iaXOoSlvPdYgKEK6TrrrU9Nyan9-Y9mc" TargetMode="External"/><Relationship Id="rId2525" Type="http://schemas.openxmlformats.org/officeDocument/2006/relationships/hyperlink" Target="https://lh5.googleusercontent.com/d/1gZNjpY9oy905s2Ggz0yMK1-U3exVfbU1" TargetMode="External"/><Relationship Id="rId3855" Type="http://schemas.openxmlformats.org/officeDocument/2006/relationships/hyperlink" Target="https://drive.google.com/file/d/1s7iLbxncjElML6by9s6RcH7pni8kZTEt/view?usp=drivesdk" TargetMode="External"/><Relationship Id="rId2526" Type="http://schemas.openxmlformats.org/officeDocument/2006/relationships/hyperlink" Target="https://drive.google.com/file/d/1mZr3xlq35_s9qgWJW-Ge0FhT6eCC3zsj/view?usp=drivesdk" TargetMode="External"/><Relationship Id="rId3858" Type="http://schemas.openxmlformats.org/officeDocument/2006/relationships/hyperlink" Target="https://lh5.googleusercontent.com/d/161s1ea513L_lI4zmGNQ7XKzObdMUYOJb" TargetMode="External"/><Relationship Id="rId2527" Type="http://schemas.openxmlformats.org/officeDocument/2006/relationships/hyperlink" Target="https://lh5.googleusercontent.com/d/14Nz4kfPk4mTElLIVNCeYKgdymHO_mLje" TargetMode="External"/><Relationship Id="rId3857" Type="http://schemas.openxmlformats.org/officeDocument/2006/relationships/hyperlink" Target="https://drive.google.com/file/d/1dHse-QzfDXgoWgb7qaBjYIY9fPlhmX8B/view?usp=drivesdk" TargetMode="External"/><Relationship Id="rId2528" Type="http://schemas.openxmlformats.org/officeDocument/2006/relationships/hyperlink" Target="https://drive.google.com/file/d/1Lpl7BlwadlOrAg2w4rqN3zwGenLsnnnq/view?usp=drivesdk" TargetMode="External"/><Relationship Id="rId2529" Type="http://schemas.openxmlformats.org/officeDocument/2006/relationships/hyperlink" Target="https://lh5.googleusercontent.com/d/1unuqbBwXC19f4pErgVUOpoxF2ETRljDm" TargetMode="External"/><Relationship Id="rId3859" Type="http://schemas.openxmlformats.org/officeDocument/2006/relationships/hyperlink" Target="https://drive.google.com/file/d/1fxPnAFqP7RxzK5yehJjRPXJlnRakOoWd/view?usp=drivesdk" TargetMode="External"/><Relationship Id="rId3850" Type="http://schemas.openxmlformats.org/officeDocument/2006/relationships/hyperlink" Target="https://lh5.googleusercontent.com/d/15E66z8CrtytXMJ6nhgpT_H0HpSizjnpn" TargetMode="External"/><Relationship Id="rId2520" Type="http://schemas.openxmlformats.org/officeDocument/2006/relationships/hyperlink" Target="https://drive.google.com/file/d/1zJD5gReJ2WxKfZlkQt08vRNbTUejHZ68/view?usp=drivesdk" TargetMode="External"/><Relationship Id="rId3852" Type="http://schemas.openxmlformats.org/officeDocument/2006/relationships/hyperlink" Target="https://lh5.googleusercontent.com/d/1U0Je_h7nRZtQ50TuQLGvMsf_yYRZ_XFe" TargetMode="External"/><Relationship Id="rId2521" Type="http://schemas.openxmlformats.org/officeDocument/2006/relationships/hyperlink" Target="https://lh5.googleusercontent.com/d/1yDOXJTG04_CBk56sqDBi-T4fwdVokie2" TargetMode="External"/><Relationship Id="rId3851" Type="http://schemas.openxmlformats.org/officeDocument/2006/relationships/hyperlink" Target="https://drive.google.com/file/d/1E4Vmrewy2-XirzU874sRttPqVGZlfkMv/view?usp=drivesdk" TargetMode="External"/><Relationship Id="rId2511" Type="http://schemas.openxmlformats.org/officeDocument/2006/relationships/hyperlink" Target="https://lh5.googleusercontent.com/d/1DO_2siQQXdyKKjsT3SepfTYsX8wlecbW" TargetMode="External"/><Relationship Id="rId3843" Type="http://schemas.openxmlformats.org/officeDocument/2006/relationships/hyperlink" Target="https://drive.google.com/file/d/1LoGmmUxqFQExnvA4ddNHjQliee6Xks5E/view?usp=drivesdk" TargetMode="External"/><Relationship Id="rId2512" Type="http://schemas.openxmlformats.org/officeDocument/2006/relationships/hyperlink" Target="https://drive.google.com/file/d/1iaYg-bS80ejiY_x0JH9KU3uvIHeY9N_z/view?usp=drivesdk" TargetMode="External"/><Relationship Id="rId3842" Type="http://schemas.openxmlformats.org/officeDocument/2006/relationships/hyperlink" Target="https://lh5.googleusercontent.com/d/1IOlFCZ3j2adKkql8WiPO-8Wu_JN5Bv5m" TargetMode="External"/><Relationship Id="rId2513" Type="http://schemas.openxmlformats.org/officeDocument/2006/relationships/hyperlink" Target="https://lh5.googleusercontent.com/d/1drQMyhHZeKrRm9JC9ihxkSzN2x-PBhsH" TargetMode="External"/><Relationship Id="rId3845" Type="http://schemas.openxmlformats.org/officeDocument/2006/relationships/hyperlink" Target="https://drive.google.com/file/d/1mmuE3DVoH8hnTVcRTbJhMgcfscAFniAs/view?usp=drivesdk" TargetMode="External"/><Relationship Id="rId2514" Type="http://schemas.openxmlformats.org/officeDocument/2006/relationships/hyperlink" Target="https://drive.google.com/file/d/1XwvNg3AdNzP2vr6LmoGJA14JN2ZbIXB7/view?usp=drivesdk" TargetMode="External"/><Relationship Id="rId3844" Type="http://schemas.openxmlformats.org/officeDocument/2006/relationships/hyperlink" Target="https://lh5.googleusercontent.com/d/1g6lykO5qSnVUulvsYeeSwy6RZ6N2wICX" TargetMode="External"/><Relationship Id="rId2515" Type="http://schemas.openxmlformats.org/officeDocument/2006/relationships/hyperlink" Target="https://lh5.googleusercontent.com/d/1KQbOaQtklkZ_CAn6L4HSTC19MdGvul4D" TargetMode="External"/><Relationship Id="rId3847" Type="http://schemas.openxmlformats.org/officeDocument/2006/relationships/hyperlink" Target="https://drive.google.com/file/d/1xIEmMPb8wd0Oe5Rrs-1ivkAPA_bC9dCZ/view?usp=drivesdk" TargetMode="External"/><Relationship Id="rId2516" Type="http://schemas.openxmlformats.org/officeDocument/2006/relationships/hyperlink" Target="https://drive.google.com/file/d/1KjtzkvPUDifSCB2cxMQBZFKzJxin_isV/view?usp=drivesdk" TargetMode="External"/><Relationship Id="rId3846" Type="http://schemas.openxmlformats.org/officeDocument/2006/relationships/hyperlink" Target="https://lh5.googleusercontent.com/d/1duFY4oW6T5F4MisL21mJKC-PnWmn7qyz" TargetMode="External"/><Relationship Id="rId2517" Type="http://schemas.openxmlformats.org/officeDocument/2006/relationships/hyperlink" Target="https://lh5.googleusercontent.com/d/1ynNFJXG1umWj_U_IkCxsroNv7uz9XRhd" TargetMode="External"/><Relationship Id="rId3849" Type="http://schemas.openxmlformats.org/officeDocument/2006/relationships/hyperlink" Target="https://drive.google.com/file/d/1D4iKdXirvLKo4xVucbFuacclKCLk5vww/view?usp=drivesdk" TargetMode="External"/><Relationship Id="rId2518" Type="http://schemas.openxmlformats.org/officeDocument/2006/relationships/hyperlink" Target="https://drive.google.com/file/d/1auskKs8Ljb1mZJkvGv7KXgnV-HZYjNFi/view?usp=drivesdk" TargetMode="External"/><Relationship Id="rId3848" Type="http://schemas.openxmlformats.org/officeDocument/2006/relationships/hyperlink" Target="https://lh5.googleusercontent.com/d/1KFMzXr8Q7TDv1AWXpP34Yfeoiu9qw0Qo" TargetMode="External"/><Relationship Id="rId2519" Type="http://schemas.openxmlformats.org/officeDocument/2006/relationships/hyperlink" Target="https://lh5.googleusercontent.com/d/1xzLmr0i4iLDazPFoAulyepGDq2CyHQ5e" TargetMode="External"/><Relationship Id="rId3841" Type="http://schemas.openxmlformats.org/officeDocument/2006/relationships/hyperlink" Target="https://drive.google.com/file/d/1S5xgFjZ7H3o8AsNpIsX-QVAamBTlH-O2/view?usp=drivesdk" TargetMode="External"/><Relationship Id="rId2510" Type="http://schemas.openxmlformats.org/officeDocument/2006/relationships/hyperlink" Target="https://drive.google.com/file/d/1lYD5ShlTm1AY3rdOv3zBsCDI_fGc_bic/view?usp=drivesdk" TargetMode="External"/><Relationship Id="rId3840" Type="http://schemas.openxmlformats.org/officeDocument/2006/relationships/hyperlink" Target="https://lh5.googleusercontent.com/d/1MMbs7ajgp6yMl_cA3E3UOzWAQJ5bpiVJ" TargetMode="External"/><Relationship Id="rId4327" Type="http://schemas.openxmlformats.org/officeDocument/2006/relationships/hyperlink" Target="https://drive.google.com/file/d/1DFBmc_nMGXD1IhIunoURcXv4Ev6_oGKG/view?usp=drivesdk" TargetMode="External"/><Relationship Id="rId5659" Type="http://schemas.openxmlformats.org/officeDocument/2006/relationships/hyperlink" Target="https://lh5.googleusercontent.com/d/1dNB4RdTsPXWtaqYwuw4eLsggBnrC5WAn" TargetMode="External"/><Relationship Id="rId4326" Type="http://schemas.openxmlformats.org/officeDocument/2006/relationships/hyperlink" Target="https://lh5.googleusercontent.com/d/1CEj_Om6SXaxTcWay2FOSinHTSubL01La" TargetMode="External"/><Relationship Id="rId4329" Type="http://schemas.openxmlformats.org/officeDocument/2006/relationships/hyperlink" Target="https://drive.google.com/file/d/1P7JDrxMmnPR1K7pGENG9hmOUiA0YNB8Y/view?usp=drivesdk" TargetMode="External"/><Relationship Id="rId5657" Type="http://schemas.openxmlformats.org/officeDocument/2006/relationships/hyperlink" Target="https://lh5.googleusercontent.com/d/10BnMoLIANeJy0WI6CjGzPAWLUp1dNMB8" TargetMode="External"/><Relationship Id="rId4328" Type="http://schemas.openxmlformats.org/officeDocument/2006/relationships/hyperlink" Target="https://lh5.googleusercontent.com/d/1qygOC5r53g74n8jttPq4V1dqn1gy39WG" TargetMode="External"/><Relationship Id="rId5658" Type="http://schemas.openxmlformats.org/officeDocument/2006/relationships/hyperlink" Target="https://drive.google.com/file/d/124aCZvE5o5srqjK6eSVY-1IMtP8PScOy/view?usp=drivesdk" TargetMode="External"/><Relationship Id="rId469" Type="http://schemas.openxmlformats.org/officeDocument/2006/relationships/hyperlink" Target="https://drive.google.com/file/d/15VgShAi78Aw2fDKP3U9mZYDAeZTrJNHt/view?usp=drivesdk" TargetMode="External"/><Relationship Id="rId468" Type="http://schemas.openxmlformats.org/officeDocument/2006/relationships/hyperlink" Target="https://lh5.googleusercontent.com/d/1gSliQxxhFOJ73fzYMzp3FIgZlKSRCjle" TargetMode="External"/><Relationship Id="rId467" Type="http://schemas.openxmlformats.org/officeDocument/2006/relationships/hyperlink" Target="https://drive.google.com/file/d/1gj2T1qSfHnxT4l58I5q9eS5sChkwBRjV/view?usp=drivesdk" TargetMode="External"/><Relationship Id="rId1290" Type="http://schemas.openxmlformats.org/officeDocument/2006/relationships/hyperlink" Target="https://lh5.googleusercontent.com/d/1xQNTE9ITNXeBjQJcFr1ekMCoR7dHQEbO" TargetMode="External"/><Relationship Id="rId1291" Type="http://schemas.openxmlformats.org/officeDocument/2006/relationships/hyperlink" Target="https://drive.google.com/file/d/1K8Hk5Ox25-bi2bYlYVFXLQ_ViA6qyLtX/view?usp=drivesdk" TargetMode="External"/><Relationship Id="rId1292" Type="http://schemas.openxmlformats.org/officeDocument/2006/relationships/hyperlink" Target="https://lh5.googleusercontent.com/d/12YDZStQ7tlCL-eOyd6B-liixj-O_lreQ" TargetMode="External"/><Relationship Id="rId462" Type="http://schemas.openxmlformats.org/officeDocument/2006/relationships/hyperlink" Target="https://lh5.googleusercontent.com/d/1S8tYAavtLb0O1HkJxowho_oIZN_zo1g7" TargetMode="External"/><Relationship Id="rId1293" Type="http://schemas.openxmlformats.org/officeDocument/2006/relationships/hyperlink" Target="https://drive.google.com/file/d/1A6F-uNCMKilqaFrum6CUuE1RGqzX7mWD/view?usp=drivesdk" TargetMode="External"/><Relationship Id="rId5651" Type="http://schemas.openxmlformats.org/officeDocument/2006/relationships/hyperlink" Target="https://lh5.googleusercontent.com/d/1GI9BO82yGIybKBc6W4_dHtETlFbo4zPr" TargetMode="External"/><Relationship Id="rId461" Type="http://schemas.openxmlformats.org/officeDocument/2006/relationships/hyperlink" Target="https://drive.google.com/file/d/1R0gnrIePDwfsfBdWp7n1Y8CipWuyY3JI/view?usp=drivesdk" TargetMode="External"/><Relationship Id="rId1294" Type="http://schemas.openxmlformats.org/officeDocument/2006/relationships/hyperlink" Target="https://lh5.googleusercontent.com/d/1aXWoTCycAGX1whA-v0raF8gySbr4urIH" TargetMode="External"/><Relationship Id="rId5652" Type="http://schemas.openxmlformats.org/officeDocument/2006/relationships/hyperlink" Target="https://drive.google.com/file/d/1tocSovzW987nvUo1fTznxPxEFUUpovws/view?usp=drivesdk" TargetMode="External"/><Relationship Id="rId460" Type="http://schemas.openxmlformats.org/officeDocument/2006/relationships/hyperlink" Target="https://lh5.googleusercontent.com/d/1jw9duj5RsezNsaJV8cTvyojJuMsD-JCD" TargetMode="External"/><Relationship Id="rId1295" Type="http://schemas.openxmlformats.org/officeDocument/2006/relationships/hyperlink" Target="https://lh5.googleusercontent.com/d/1oQeZbL8ZQsWBdZlPla2-WsWKYtJytfL7" TargetMode="External"/><Relationship Id="rId4321" Type="http://schemas.openxmlformats.org/officeDocument/2006/relationships/hyperlink" Target="https://drive.google.com/file/d/1qxYJ8_Mx_WbuzLWhPAF4L1OKmgfd-vhW/view?usp=drivesdk" TargetMode="External"/><Relationship Id="rId1296" Type="http://schemas.openxmlformats.org/officeDocument/2006/relationships/hyperlink" Target="https://drive.google.com/file/d/1h0I-epW3VMwyhrRpazJj_8Qx-19gjEkP/view?usp=drivesdk" TargetMode="External"/><Relationship Id="rId4320" Type="http://schemas.openxmlformats.org/officeDocument/2006/relationships/hyperlink" Target="https://lh5.googleusercontent.com/d/1yB0sCDZ2Mxw-qnLLOleehv_vtfSONQUk" TargetMode="External"/><Relationship Id="rId5650" Type="http://schemas.openxmlformats.org/officeDocument/2006/relationships/hyperlink" Target="https://drive.google.com/file/d/1qENIhlJRQCOh2aG8I7NCZEKpnPFg1HWw/view?usp=drivesdk" TargetMode="External"/><Relationship Id="rId466" Type="http://schemas.openxmlformats.org/officeDocument/2006/relationships/hyperlink" Target="https://lh5.googleusercontent.com/d/1eR0KcWMf-5_7POszNn61dSZF7tN_2Dwp" TargetMode="External"/><Relationship Id="rId1297" Type="http://schemas.openxmlformats.org/officeDocument/2006/relationships/hyperlink" Target="https://lh5.googleusercontent.com/d/1-Pp_azjNYsGP6rjkew3ORke4kCJxbATt" TargetMode="External"/><Relationship Id="rId4323" Type="http://schemas.openxmlformats.org/officeDocument/2006/relationships/hyperlink" Target="https://drive.google.com/file/d/1S9YhAhIWP7Wu90uNvdg5bNSiDfajdjXG/view?usp=drivesdk" TargetMode="External"/><Relationship Id="rId5655" Type="http://schemas.openxmlformats.org/officeDocument/2006/relationships/hyperlink" Target="https://lh5.googleusercontent.com/d/1wGNToNZsTGQuGbF1kX0prEW_VKHrUcPu" TargetMode="External"/><Relationship Id="rId465" Type="http://schemas.openxmlformats.org/officeDocument/2006/relationships/hyperlink" Target="https://drive.google.com/file/d/1QpTgAmrNKqe8e7gE-_QNaenRFzXqHBU2/view?usp=drivesdk" TargetMode="External"/><Relationship Id="rId1298" Type="http://schemas.openxmlformats.org/officeDocument/2006/relationships/hyperlink" Target="https://drive.google.com/file/d/1JqiA6wJrpCLOcGCFR0i3ScJlPZuMU3IS/view?usp=drivesdk" TargetMode="External"/><Relationship Id="rId4322" Type="http://schemas.openxmlformats.org/officeDocument/2006/relationships/hyperlink" Target="https://lh5.googleusercontent.com/d/1sZaqqYAM2JrhZLLI8XZZcpf-sZTsZL4z" TargetMode="External"/><Relationship Id="rId5656" Type="http://schemas.openxmlformats.org/officeDocument/2006/relationships/hyperlink" Target="https://drive.google.com/file/d/1EUBogCq8hMW62Y7NpXZFoHN5nnLWDFNn/view?usp=drivesdk" TargetMode="External"/><Relationship Id="rId464" Type="http://schemas.openxmlformats.org/officeDocument/2006/relationships/hyperlink" Target="https://lh5.googleusercontent.com/d/1LpjjGtLjmIPeMZRiof0kGsZ06w40RynL" TargetMode="External"/><Relationship Id="rId1299" Type="http://schemas.openxmlformats.org/officeDocument/2006/relationships/hyperlink" Target="https://lh5.googleusercontent.com/d/1ykjOsDyTbS9p4VsJiT-xZJoxzipGO_zY" TargetMode="External"/><Relationship Id="rId4325" Type="http://schemas.openxmlformats.org/officeDocument/2006/relationships/hyperlink" Target="https://drive.google.com/file/d/1ynQcYrqWggbjGk1sMriIt7mseBqK5vIG/view?usp=drivesdk" TargetMode="External"/><Relationship Id="rId5653" Type="http://schemas.openxmlformats.org/officeDocument/2006/relationships/hyperlink" Target="https://lh5.googleusercontent.com/d/1Qu_PwUsGy8sxeVHMAgWuZVk9bvBdjWEv" TargetMode="External"/><Relationship Id="rId463" Type="http://schemas.openxmlformats.org/officeDocument/2006/relationships/hyperlink" Target="https://drive.google.com/file/d/1KkIGK7XBKQqslYUtRNnADSC0weUTL4k0/view?usp=drivesdk" TargetMode="External"/><Relationship Id="rId4324" Type="http://schemas.openxmlformats.org/officeDocument/2006/relationships/hyperlink" Target="https://lh5.googleusercontent.com/d/12C61VAyycwahVEs5WXVJ8eZTVD268VMu" TargetMode="External"/><Relationship Id="rId5654" Type="http://schemas.openxmlformats.org/officeDocument/2006/relationships/hyperlink" Target="https://drive.google.com/file/d/11cn0WXE0kI4j8wxiyPLu6LaCIbe1eOgv/view?usp=drivesdk" TargetMode="External"/><Relationship Id="rId4316" Type="http://schemas.openxmlformats.org/officeDocument/2006/relationships/hyperlink" Target="https://lh5.googleusercontent.com/d/1p-Rtf_bADfKA_dki0Bb_FDlyZ8x8xAFt" TargetMode="External"/><Relationship Id="rId5648" Type="http://schemas.openxmlformats.org/officeDocument/2006/relationships/hyperlink" Target="https://drive.google.com/file/d/13D54MhcB8IkewrhgByXjP-T8lKeAZuMw/view?usp=drivesdk" TargetMode="External"/><Relationship Id="rId4315" Type="http://schemas.openxmlformats.org/officeDocument/2006/relationships/hyperlink" Target="https://drive.google.com/file/d/1L1130I0Oxl6t9nEyun6u9YlSgw-G-B73/view?usp=drivesdk" TargetMode="External"/><Relationship Id="rId5649" Type="http://schemas.openxmlformats.org/officeDocument/2006/relationships/hyperlink" Target="https://lh5.googleusercontent.com/d/1FEitf3mVXK9pqA8Rv7uPHJxTjWPQ7Aec" TargetMode="External"/><Relationship Id="rId4318" Type="http://schemas.openxmlformats.org/officeDocument/2006/relationships/hyperlink" Target="https://lh5.googleusercontent.com/d/1tj6HqJjp2BoZZ2HaUx3ell5ghtrGOyWl" TargetMode="External"/><Relationship Id="rId5646" Type="http://schemas.openxmlformats.org/officeDocument/2006/relationships/hyperlink" Target="https://drive.google.com/file/d/1cl85HRG1HXqiCUrVa_vk3AZenHUstoUp/view?usp=drivesdk" TargetMode="External"/><Relationship Id="rId4317" Type="http://schemas.openxmlformats.org/officeDocument/2006/relationships/hyperlink" Target="https://drive.google.com/file/d/1iQwSR3YvaWKtzKbXYZ060qFnM0IN2b1b/view?usp=drivesdk" TargetMode="External"/><Relationship Id="rId5647" Type="http://schemas.openxmlformats.org/officeDocument/2006/relationships/hyperlink" Target="https://lh5.googleusercontent.com/d/1n1iPSgLowXZqONzi9N1Eu9N8SvVCeICY" TargetMode="External"/><Relationship Id="rId4319" Type="http://schemas.openxmlformats.org/officeDocument/2006/relationships/hyperlink" Target="https://drive.google.com/file/d/18NDbBxUW1FaKr1ffUrGBrD6qX1IARBEY/view?usp=drivesdk" TargetMode="External"/><Relationship Id="rId459" Type="http://schemas.openxmlformats.org/officeDocument/2006/relationships/hyperlink" Target="https://drive.google.com/file/d/1nFC8DeSWQ2y8klhYgCcYGReXQIBAPilS/view?usp=drivesdk" TargetMode="External"/><Relationship Id="rId458" Type="http://schemas.openxmlformats.org/officeDocument/2006/relationships/hyperlink" Target="https://lh5.googleusercontent.com/d/1UoRPq1cidPbh9zWHjUrB9gvJBfek82WW" TargetMode="External"/><Relationship Id="rId457" Type="http://schemas.openxmlformats.org/officeDocument/2006/relationships/hyperlink" Target="https://drive.google.com/file/d/1uCyuuBHHYfamg6yQ2NagRMZj_U4HoTkI/view?usp=drivesdk" TargetMode="External"/><Relationship Id="rId456" Type="http://schemas.openxmlformats.org/officeDocument/2006/relationships/hyperlink" Target="https://lh5.googleusercontent.com/d/1sNDqUYfzzaF4Nt2DS0yRi17qzRbZa0Ma" TargetMode="External"/><Relationship Id="rId1280" Type="http://schemas.openxmlformats.org/officeDocument/2006/relationships/hyperlink" Target="https://drive.google.com/file/d/1lwdcGxCFpMxwQaG5tTifIwKVHvxJbEdH/view?usp=drivesdk" TargetMode="External"/><Relationship Id="rId1281" Type="http://schemas.openxmlformats.org/officeDocument/2006/relationships/hyperlink" Target="https://lh5.googleusercontent.com/d/157PL87ebi_XQG5DiqOoTjxrieGOT5CAI" TargetMode="External"/><Relationship Id="rId451" Type="http://schemas.openxmlformats.org/officeDocument/2006/relationships/hyperlink" Target="https://drive.google.com/file/d/1xE6rhesLCkQDb1gjBX9OmsDLXhbQ0DKR/view?usp=drivesdk" TargetMode="External"/><Relationship Id="rId1282" Type="http://schemas.openxmlformats.org/officeDocument/2006/relationships/hyperlink" Target="https://lh5.googleusercontent.com/d/1RqRsu0_zbcM9HgoWftIFUQ-NTcpIFs_q" TargetMode="External"/><Relationship Id="rId5640" Type="http://schemas.openxmlformats.org/officeDocument/2006/relationships/hyperlink" Target="https://drive.google.com/file/d/1G2VeaUb9ehU0tOu8dQLy8-7hbewvhIl8/view?usp=drivesdk" TargetMode="External"/><Relationship Id="rId450" Type="http://schemas.openxmlformats.org/officeDocument/2006/relationships/hyperlink" Target="https://lh5.googleusercontent.com/d/1eMZ9m29qWHq43t2dJb_syatkiVqq70Ad" TargetMode="External"/><Relationship Id="rId1283" Type="http://schemas.openxmlformats.org/officeDocument/2006/relationships/hyperlink" Target="https://drive.google.com/file/d/1QIR5Kt9gQFj6AS2TDiWlY4UzSy4e9RnJ/view?usp=drivesdk" TargetMode="External"/><Relationship Id="rId5641" Type="http://schemas.openxmlformats.org/officeDocument/2006/relationships/hyperlink" Target="https://lh5.googleusercontent.com/d/1eeyowrzxTg1NBFXpyIPWByIuLtyIxQea" TargetMode="External"/><Relationship Id="rId1284" Type="http://schemas.openxmlformats.org/officeDocument/2006/relationships/hyperlink" Target="https://lh5.googleusercontent.com/d/1rZM5c_IOY2ahrKl152vQfBgcCegV4TPr" TargetMode="External"/><Relationship Id="rId4310" Type="http://schemas.openxmlformats.org/officeDocument/2006/relationships/hyperlink" Target="https://lh5.googleusercontent.com/d/1oEOe5_iB99h_xkxaUUToR25Tjmr5CwC1" TargetMode="External"/><Relationship Id="rId1285" Type="http://schemas.openxmlformats.org/officeDocument/2006/relationships/hyperlink" Target="https://drive.google.com/file/d/1yX2zboT8wXdvKCIaHqhRgnWgo3MhQPcP/view?usp=drivesdk" TargetMode="External"/><Relationship Id="rId455" Type="http://schemas.openxmlformats.org/officeDocument/2006/relationships/hyperlink" Target="https://drive.google.com/file/d/1wOZCOaEKLumyXoUts7uyb5wM-J2e1F7R/view?usp=drivesdk" TargetMode="External"/><Relationship Id="rId1286" Type="http://schemas.openxmlformats.org/officeDocument/2006/relationships/hyperlink" Target="https://lh5.googleusercontent.com/d/1RzyfQSbBNiu0wmaJEzeSHCFPkRHNuQXp" TargetMode="External"/><Relationship Id="rId4312" Type="http://schemas.openxmlformats.org/officeDocument/2006/relationships/hyperlink" Target="https://lh5.googleusercontent.com/d/1E9EnG1965O1aZuqobxjEThkKNZw78No6" TargetMode="External"/><Relationship Id="rId5644" Type="http://schemas.openxmlformats.org/officeDocument/2006/relationships/hyperlink" Target="https://drive.google.com/file/d/1L5Of5zOVLEDaz9ZztQ5uWN254LJ9tzqH/view?usp=drivesdk" TargetMode="External"/><Relationship Id="rId454" Type="http://schemas.openxmlformats.org/officeDocument/2006/relationships/hyperlink" Target="https://lh5.googleusercontent.com/d/1VXIxtvEs9X06yL7uoxWjBczxlEvpwPUx" TargetMode="External"/><Relationship Id="rId1287" Type="http://schemas.openxmlformats.org/officeDocument/2006/relationships/hyperlink" Target="https://drive.google.com/file/d/1wmgK0vEXOC756aHr5KVHcJFDhqaWjOTk/view?usp=drivesdk" TargetMode="External"/><Relationship Id="rId4311" Type="http://schemas.openxmlformats.org/officeDocument/2006/relationships/hyperlink" Target="https://drive.google.com/file/d/1B3D9NXWfP7m2m_al_ylKlqf6tJ3vF5Yb/view?usp=drivesdk" TargetMode="External"/><Relationship Id="rId5645" Type="http://schemas.openxmlformats.org/officeDocument/2006/relationships/hyperlink" Target="https://lh5.googleusercontent.com/d/1TWxmgt6nLPPhNoCH0hfPssGFk1DDBQzn" TargetMode="External"/><Relationship Id="rId453" Type="http://schemas.openxmlformats.org/officeDocument/2006/relationships/hyperlink" Target="https://drive.google.com/file/d/1m1nVBV1JnD08hHiHscjEUilyks-XEr_t/view?usp=drivesdk" TargetMode="External"/><Relationship Id="rId1288" Type="http://schemas.openxmlformats.org/officeDocument/2006/relationships/hyperlink" Target="https://lh5.googleusercontent.com/d/1oTyc5IKO7RZYjaFg-4ia0CcGwz2Ntrk8" TargetMode="External"/><Relationship Id="rId4314" Type="http://schemas.openxmlformats.org/officeDocument/2006/relationships/hyperlink" Target="https://lh5.googleusercontent.com/d/18di8zGQbaG9-KTMt8-kEOZq4NZRWHG91" TargetMode="External"/><Relationship Id="rId5642" Type="http://schemas.openxmlformats.org/officeDocument/2006/relationships/hyperlink" Target="https://drive.google.com/file/d/1_hUW2KfcmWYitybgv8gFGc8m_21O8uWy/view?usp=drivesdk" TargetMode="External"/><Relationship Id="rId452" Type="http://schemas.openxmlformats.org/officeDocument/2006/relationships/hyperlink" Target="https://lh5.googleusercontent.com/d/1SRJxw67XZMfMCedAObvNgzdfN6hfi0kH" TargetMode="External"/><Relationship Id="rId1289" Type="http://schemas.openxmlformats.org/officeDocument/2006/relationships/hyperlink" Target="https://drive.google.com/file/d/1d933l3LJpqD6aGXZlpdqAn0REbyfQHUf/view?usp=drivesdk" TargetMode="External"/><Relationship Id="rId4313" Type="http://schemas.openxmlformats.org/officeDocument/2006/relationships/hyperlink" Target="https://drive.google.com/file/d/1Tuiwa1y3gPPCJbhdYaDoX1J1VJVanXDb/view?usp=drivesdk" TargetMode="External"/><Relationship Id="rId5643" Type="http://schemas.openxmlformats.org/officeDocument/2006/relationships/hyperlink" Target="https://lh5.googleusercontent.com/d/1enFWmHk7hM9Ry-Wj7eh82hcA8iqHFMu4" TargetMode="External"/><Relationship Id="rId3018" Type="http://schemas.openxmlformats.org/officeDocument/2006/relationships/hyperlink" Target="https://lh5.googleusercontent.com/d/1QZpM4uqTSHCIkgFkZpr9LPflsaHFgwB3" TargetMode="External"/><Relationship Id="rId4349" Type="http://schemas.openxmlformats.org/officeDocument/2006/relationships/hyperlink" Target="https://drive.google.com/file/d/1NbWFF45kMhEHD4NETPpYPwqAktVSbtSs/view?usp=drivesdk" TargetMode="External"/><Relationship Id="rId3017" Type="http://schemas.openxmlformats.org/officeDocument/2006/relationships/hyperlink" Target="https://drive.google.com/file/d/1Z5_0B2i-7xwz7U2o-ry8DVQ3wMfSeLRl/view?usp=drivesdk" TargetMode="External"/><Relationship Id="rId4348" Type="http://schemas.openxmlformats.org/officeDocument/2006/relationships/hyperlink" Target="https://lh5.googleusercontent.com/d/1CWmgOoppE8Z1oDZQ0AWqsef33ay1g8bj" TargetMode="External"/><Relationship Id="rId5679" Type="http://schemas.openxmlformats.org/officeDocument/2006/relationships/hyperlink" Target="https://lh5.googleusercontent.com/d/1TwlHXx8IvrYLzPrjIahIpiruw0eUiZN5" TargetMode="External"/><Relationship Id="rId3019" Type="http://schemas.openxmlformats.org/officeDocument/2006/relationships/hyperlink" Target="https://drive.google.com/file/d/1lFKiZzCwitSv4TRdta4pOBDkYx88TX2T/view?usp=drivesdk" TargetMode="External"/><Relationship Id="rId491" Type="http://schemas.openxmlformats.org/officeDocument/2006/relationships/hyperlink" Target="https://drive.google.com/file/d/15Ndc6Zp3Uu2gymbYN1dfbYIwfJp2cYO0/view?usp=drivesdk" TargetMode="External"/><Relationship Id="rId490" Type="http://schemas.openxmlformats.org/officeDocument/2006/relationships/hyperlink" Target="https://lh5.googleusercontent.com/d/1PKvsM3vZ9wEhSrK440dXALACFHSQc3Ui" TargetMode="External"/><Relationship Id="rId489" Type="http://schemas.openxmlformats.org/officeDocument/2006/relationships/hyperlink" Target="https://drive.google.com/file/d/13GKuWDhHLfQXPECLJD7T5PafPqD3LxfW/view?usp=drivesdk" TargetMode="External"/><Relationship Id="rId5670" Type="http://schemas.openxmlformats.org/officeDocument/2006/relationships/hyperlink" Target="https://drive.google.com/file/d/1jsBG5wC1fjMKZI6FoXmRXa4EHirw1ILk/view?usp=drivesdk" TargetMode="External"/><Relationship Id="rId484" Type="http://schemas.openxmlformats.org/officeDocument/2006/relationships/hyperlink" Target="https://lh5.googleusercontent.com/d/1Dq4Cawgqh2NtUVAuUODS4epyO787FyNG" TargetMode="External"/><Relationship Id="rId3010" Type="http://schemas.openxmlformats.org/officeDocument/2006/relationships/hyperlink" Target="https://drive.google.com/file/d/1iwNXbnZ6a94CCUmRan5YIyQwTVVktf5_/view?usp=drivesdk" TargetMode="External"/><Relationship Id="rId4341" Type="http://schemas.openxmlformats.org/officeDocument/2006/relationships/hyperlink" Target="https://lh5.googleusercontent.com/d/1bdDbuaQXfDRuf-nNCWHmjCRi3D4mzd40" TargetMode="External"/><Relationship Id="rId5673" Type="http://schemas.openxmlformats.org/officeDocument/2006/relationships/hyperlink" Target="https://lh5.googleusercontent.com/d/1B4C4cknsTZdupoXnGImFiJ8Q3hI4XkfP" TargetMode="External"/><Relationship Id="rId483" Type="http://schemas.openxmlformats.org/officeDocument/2006/relationships/hyperlink" Target="https://drive.google.com/file/d/1j0EKnFtUMEg_vbc3vOtK1QsjKdl5mbTB/view?usp=drivesdk" TargetMode="External"/><Relationship Id="rId4340" Type="http://schemas.openxmlformats.org/officeDocument/2006/relationships/hyperlink" Target="https://drive.google.com/file/d/1AucO896ldesCCVjKPC78_N7hB3jnWfvy/view?usp=drivesdk" TargetMode="External"/><Relationship Id="rId5674" Type="http://schemas.openxmlformats.org/officeDocument/2006/relationships/hyperlink" Target="https://drive.google.com/file/d/1w4CXWudjUCDjr6phfweNYwTr2w-Ga9lu/view?usp=drivesdk" TargetMode="External"/><Relationship Id="rId482" Type="http://schemas.openxmlformats.org/officeDocument/2006/relationships/hyperlink" Target="https://lh5.googleusercontent.com/d/1-gaSA-j7sAw7U9nBjQNXBPH4JzHAZ8a_" TargetMode="External"/><Relationship Id="rId3012" Type="http://schemas.openxmlformats.org/officeDocument/2006/relationships/hyperlink" Target="https://lh5.googleusercontent.com/d/1VdXXyuclGistUXn6aAjDdazO40Gp-v8C" TargetMode="External"/><Relationship Id="rId4343" Type="http://schemas.openxmlformats.org/officeDocument/2006/relationships/hyperlink" Target="https://lh5.googleusercontent.com/d/155tqHi3lHE8gPsyS6b5Ubpp6I7eRSet9" TargetMode="External"/><Relationship Id="rId5671" Type="http://schemas.openxmlformats.org/officeDocument/2006/relationships/hyperlink" Target="https://lh5.googleusercontent.com/d/1CGkgafxeseXjdfht583QYZ6zQTKDMUbg" TargetMode="External"/><Relationship Id="rId481" Type="http://schemas.openxmlformats.org/officeDocument/2006/relationships/hyperlink" Target="https://drive.google.com/file/d/1bw7VKg9uFn-nnnlin9EPmCMok159MPsZ/view?usp=drivesdk" TargetMode="External"/><Relationship Id="rId3011" Type="http://schemas.openxmlformats.org/officeDocument/2006/relationships/hyperlink" Target="https://lh5.googleusercontent.com/d/1W2CD6RGSoouqfobz2yKrSH1BopgH27F8" TargetMode="External"/><Relationship Id="rId4342" Type="http://schemas.openxmlformats.org/officeDocument/2006/relationships/hyperlink" Target="https://drive.google.com/file/d/1KKA7fVNDqrDvWLecMEW-YGONpqB6eCh5/view?usp=drivesdk" TargetMode="External"/><Relationship Id="rId5672" Type="http://schemas.openxmlformats.org/officeDocument/2006/relationships/hyperlink" Target="https://drive.google.com/file/d/1ePo99TIbSZX19DrXvOvVx-OpHCz77c_s/view?usp=drivesdk" TargetMode="External"/><Relationship Id="rId488" Type="http://schemas.openxmlformats.org/officeDocument/2006/relationships/hyperlink" Target="https://lh5.googleusercontent.com/d/1tq1-lf0paYVzuGbp00MlZ2Th1YsQoGjO" TargetMode="External"/><Relationship Id="rId3014" Type="http://schemas.openxmlformats.org/officeDocument/2006/relationships/hyperlink" Target="https://lh5.googleusercontent.com/d/1y-I7lHbp62bwv1MTRf48CAJvKD-Y2CBV" TargetMode="External"/><Relationship Id="rId4345" Type="http://schemas.openxmlformats.org/officeDocument/2006/relationships/hyperlink" Target="https://drive.google.com/file/d/1l5bAaR6ytFyiLqd6XsQJL8k4fcLfTVIf/view?usp=drivesdk" TargetMode="External"/><Relationship Id="rId5677" Type="http://schemas.openxmlformats.org/officeDocument/2006/relationships/hyperlink" Target="https://lh5.googleusercontent.com/d/1ZwwcC7SPcsL9k69TnLmJVgoDOfCCcH1g" TargetMode="External"/><Relationship Id="rId487" Type="http://schemas.openxmlformats.org/officeDocument/2006/relationships/hyperlink" Target="https://drive.google.com/file/d/1QvnbneaEnzymqp8wGTlSjpxPwakKm5lm/view?usp=drivesdk" TargetMode="External"/><Relationship Id="rId3013" Type="http://schemas.openxmlformats.org/officeDocument/2006/relationships/hyperlink" Target="https://drive.google.com/file/d/1-VijzVzp_kqdfOsVT1c4qSX53m0FmG5u/view?usp=drivesdk" TargetMode="External"/><Relationship Id="rId4344" Type="http://schemas.openxmlformats.org/officeDocument/2006/relationships/hyperlink" Target="https://lh5.googleusercontent.com/d/1D8xGJCivGEG_HYs-YaClRl-TPprWF6zO" TargetMode="External"/><Relationship Id="rId5678" Type="http://schemas.openxmlformats.org/officeDocument/2006/relationships/hyperlink" Target="https://drive.google.com/file/d/1RYmksBzCDKdQ5ruqPFXzheIZC9xZ82Wt/view?usp=drivesdk" TargetMode="External"/><Relationship Id="rId486" Type="http://schemas.openxmlformats.org/officeDocument/2006/relationships/hyperlink" Target="https://lh5.googleusercontent.com/d/164Cr5gQ-a_8gZRyiXZw5w7SZeOqCyaam" TargetMode="External"/><Relationship Id="rId3016" Type="http://schemas.openxmlformats.org/officeDocument/2006/relationships/hyperlink" Target="https://lh5.googleusercontent.com/d/128HJQpmp7lMSE1iw-osw9Dk76uZlXY2K" TargetMode="External"/><Relationship Id="rId4347" Type="http://schemas.openxmlformats.org/officeDocument/2006/relationships/hyperlink" Target="https://drive.google.com/file/d/1QbiDeJLVJ51PjVPVbferhS_hF4U_0d_o/view?usp=drivesdk" TargetMode="External"/><Relationship Id="rId5675" Type="http://schemas.openxmlformats.org/officeDocument/2006/relationships/hyperlink" Target="https://lh5.googleusercontent.com/d/1IYjH9nmnJVthHMwcD2N6YHE2rabMryhM" TargetMode="External"/><Relationship Id="rId485" Type="http://schemas.openxmlformats.org/officeDocument/2006/relationships/hyperlink" Target="https://drive.google.com/file/d/11SJ5Kf4G29SEzuPjd9k5OUI7LKoMkSoS/view?usp=drivesdk" TargetMode="External"/><Relationship Id="rId3015" Type="http://schemas.openxmlformats.org/officeDocument/2006/relationships/hyperlink" Target="https://drive.google.com/file/d/1nalTEenRgI-DaGwt5tVyN3-xdb5ee4NQ/view?usp=drivesdk" TargetMode="External"/><Relationship Id="rId4346" Type="http://schemas.openxmlformats.org/officeDocument/2006/relationships/hyperlink" Target="https://lh5.googleusercontent.com/d/1rANkYCQ1icUznCs9wBcz5HsEdDH0Kwq9" TargetMode="External"/><Relationship Id="rId5676" Type="http://schemas.openxmlformats.org/officeDocument/2006/relationships/hyperlink" Target="https://drive.google.com/file/d/1EwqPW7lUvgwYGfjrbXvNMVBR9PJZVLk8/view?usp=drivesdk" TargetMode="External"/><Relationship Id="rId3007" Type="http://schemas.openxmlformats.org/officeDocument/2006/relationships/hyperlink" Target="https://lh5.googleusercontent.com/d/1Uddnvp1G6BnIUz62DNMb7YohIErXY4-l" TargetMode="External"/><Relationship Id="rId4338" Type="http://schemas.openxmlformats.org/officeDocument/2006/relationships/hyperlink" Target="https://lh5.googleusercontent.com/d/1f7Vs15oUYjc-6c-DThPixBb3xZIx_D-h" TargetMode="External"/><Relationship Id="rId3006" Type="http://schemas.openxmlformats.org/officeDocument/2006/relationships/hyperlink" Target="https://drive.google.com/file/d/19KrpkAWZ1ROhzAf4Z8896DzTkMF3ac0-/view?usp=drivesdk" TargetMode="External"/><Relationship Id="rId4337" Type="http://schemas.openxmlformats.org/officeDocument/2006/relationships/hyperlink" Target="https://drive.google.com/file/d/1i5eBRTOR3kkPVWcwWTsMDsOJtxf0YMA2/view?usp=drivesdk" TargetMode="External"/><Relationship Id="rId3009" Type="http://schemas.openxmlformats.org/officeDocument/2006/relationships/hyperlink" Target="https://lh5.googleusercontent.com/d/1GuHrpFxg5WvxswJ6W6NyvSoermOgMdDm" TargetMode="External"/><Relationship Id="rId5668" Type="http://schemas.openxmlformats.org/officeDocument/2006/relationships/hyperlink" Target="https://drive.google.com/file/d/1UQGO-UYe0Udor3HqWb8i-Mf-KdL0o_Xw/view?usp=drivesdk" TargetMode="External"/><Relationship Id="rId3008" Type="http://schemas.openxmlformats.org/officeDocument/2006/relationships/hyperlink" Target="https://drive.google.com/file/d/1dgqoyArVMKHPHn3BFqGj97WlcddQdIPc/view?usp=drivesdk" TargetMode="External"/><Relationship Id="rId4339" Type="http://schemas.openxmlformats.org/officeDocument/2006/relationships/hyperlink" Target="https://lh5.googleusercontent.com/d/1OQ8QSsb8H4yq6FggzsbUyGjjdzCuScls" TargetMode="External"/><Relationship Id="rId5669" Type="http://schemas.openxmlformats.org/officeDocument/2006/relationships/hyperlink" Target="https://lh5.googleusercontent.com/d/1P3dxongsFvR6x9Mq6RRvJT1NgDIw9vIS" TargetMode="External"/><Relationship Id="rId480" Type="http://schemas.openxmlformats.org/officeDocument/2006/relationships/hyperlink" Target="https://lh5.googleusercontent.com/d/15tpIlc1dAnh948a9gmZzm0WYGHK3BZpm" TargetMode="External"/><Relationship Id="rId479" Type="http://schemas.openxmlformats.org/officeDocument/2006/relationships/hyperlink" Target="https://drive.google.com/file/d/10pnXjAnfREeVw0-be_AgwSd1hPyMs8ID/view?usp=drivesdk" TargetMode="External"/><Relationship Id="rId478" Type="http://schemas.openxmlformats.org/officeDocument/2006/relationships/hyperlink" Target="https://lh5.googleusercontent.com/d/12gf30F7vxCC9iY6Xled3SRDv8_W7RyEp" TargetMode="External"/><Relationship Id="rId473" Type="http://schemas.openxmlformats.org/officeDocument/2006/relationships/hyperlink" Target="https://drive.google.com/file/d/1QbvWryDe7XiIOvNf2t_ckIdQ77inrNTa/view?usp=drivesdk" TargetMode="External"/><Relationship Id="rId4330" Type="http://schemas.openxmlformats.org/officeDocument/2006/relationships/hyperlink" Target="https://lh5.googleusercontent.com/d/1I1FFvhKk2uF9B0-E5ebrsoZeO_pDvIb6" TargetMode="External"/><Relationship Id="rId5662" Type="http://schemas.openxmlformats.org/officeDocument/2006/relationships/hyperlink" Target="https://drive.google.com/file/d/1nm_DUyKqUjdLkX86AOkyaEjixdAc4SHh/view?usp=drivesdk" TargetMode="External"/><Relationship Id="rId472" Type="http://schemas.openxmlformats.org/officeDocument/2006/relationships/hyperlink" Target="https://lh5.googleusercontent.com/d/1FsmBGfWWBxCg_mhfYNFCRIwa_3G-RDOs" TargetMode="External"/><Relationship Id="rId5663" Type="http://schemas.openxmlformats.org/officeDocument/2006/relationships/hyperlink" Target="https://lh5.googleusercontent.com/d/1RQolqh9ttOp4Ric3L6yPcXaZDxgP8aHb" TargetMode="External"/><Relationship Id="rId471" Type="http://schemas.openxmlformats.org/officeDocument/2006/relationships/hyperlink" Target="https://drive.google.com/file/d/1DqRG6D3VbMRjtyQR59ncRQa9KTt_yfw-/view?usp=drivesdk" TargetMode="External"/><Relationship Id="rId3001" Type="http://schemas.openxmlformats.org/officeDocument/2006/relationships/hyperlink" Target="https://lh5.googleusercontent.com/d/1pj0JXXX4Jwmu_RZolymMx6egwE5-_41Q" TargetMode="External"/><Relationship Id="rId4332" Type="http://schemas.openxmlformats.org/officeDocument/2006/relationships/hyperlink" Target="https://lh5.googleusercontent.com/d/1RpIpGVvK8ec0rSQgwkFHuRWV5ffUBxC2" TargetMode="External"/><Relationship Id="rId5660" Type="http://schemas.openxmlformats.org/officeDocument/2006/relationships/hyperlink" Target="https://drive.google.com/file/d/19ySFH0nxLAPs90EoR15QwXvLzck2HmXt/view?usp=drivesdk" TargetMode="External"/><Relationship Id="rId470" Type="http://schemas.openxmlformats.org/officeDocument/2006/relationships/hyperlink" Target="https://lh5.googleusercontent.com/d/1VY-kJ3XU1xSO9A9NTFJDLnL-trEHkXF7" TargetMode="External"/><Relationship Id="rId3000" Type="http://schemas.openxmlformats.org/officeDocument/2006/relationships/hyperlink" Target="https://drive.google.com/file/d/1_CnLEwKu4svqIQVlC0f7zCTjiL_8nOSf/view?usp=drivesdk" TargetMode="External"/><Relationship Id="rId4331" Type="http://schemas.openxmlformats.org/officeDocument/2006/relationships/hyperlink" Target="https://drive.google.com/file/d/1tykojL__JsqG1uw5JJHVQny9NbTVtouG/view?usp=drivesdk" TargetMode="External"/><Relationship Id="rId5661" Type="http://schemas.openxmlformats.org/officeDocument/2006/relationships/hyperlink" Target="https://lh5.googleusercontent.com/d/1-jwj9h563XcrgC1hc8sCUYVS_uLWcTep" TargetMode="External"/><Relationship Id="rId477" Type="http://schemas.openxmlformats.org/officeDocument/2006/relationships/hyperlink" Target="https://drive.google.com/file/d/1_ZGGy13Wuhk7kTkhCx4v0Mwq9lcdic4t/view?usp=drivesdk" TargetMode="External"/><Relationship Id="rId3003" Type="http://schemas.openxmlformats.org/officeDocument/2006/relationships/hyperlink" Target="https://lh5.googleusercontent.com/d/1xTxuuQ5N4hI5QQ77Ya5IKPjkfHbGdmPQ" TargetMode="External"/><Relationship Id="rId4334" Type="http://schemas.openxmlformats.org/officeDocument/2006/relationships/hyperlink" Target="https://lh5.googleusercontent.com/d/1kDJaZTzD3QYTlvVtWs_Bs5BMnvoDOi_s" TargetMode="External"/><Relationship Id="rId5666" Type="http://schemas.openxmlformats.org/officeDocument/2006/relationships/hyperlink" Target="https://drive.google.com/file/d/1dKLpBUBP3vyt_nyIwePGtPU95em2J6Dv/view?usp=drivesdk" TargetMode="External"/><Relationship Id="rId476" Type="http://schemas.openxmlformats.org/officeDocument/2006/relationships/hyperlink" Target="https://lh5.googleusercontent.com/d/1OpBc9MTwTMg58thwbi2-saGbDtf9Qmbp" TargetMode="External"/><Relationship Id="rId3002" Type="http://schemas.openxmlformats.org/officeDocument/2006/relationships/hyperlink" Target="https://drive.google.com/file/d/1eVMiOJmqgvbBsY142qiX5CdUkv0pBJGA/view?usp=drivesdk" TargetMode="External"/><Relationship Id="rId4333" Type="http://schemas.openxmlformats.org/officeDocument/2006/relationships/hyperlink" Target="https://drive.google.com/file/d/1mwsGC1e1wNvYTehgoXOw6xqIUc1toFIW/view?usp=drivesdk" TargetMode="External"/><Relationship Id="rId5667" Type="http://schemas.openxmlformats.org/officeDocument/2006/relationships/hyperlink" Target="https://lh5.googleusercontent.com/d/1j0cNCSJS4_Vtd2O6FOF05b6s6tzrY32D" TargetMode="External"/><Relationship Id="rId475" Type="http://schemas.openxmlformats.org/officeDocument/2006/relationships/hyperlink" Target="https://drive.google.com/file/d/1N0Uuup2cVnVsSiuYKfmWkafeNoYttgKU/view?usp=drivesdk" TargetMode="External"/><Relationship Id="rId3005" Type="http://schemas.openxmlformats.org/officeDocument/2006/relationships/hyperlink" Target="https://lh5.googleusercontent.com/d/1g0qSboLerEKYQA9q8wwmwnDPSMQiiF6A" TargetMode="External"/><Relationship Id="rId4336" Type="http://schemas.openxmlformats.org/officeDocument/2006/relationships/hyperlink" Target="https://lh5.googleusercontent.com/d/1hmaLllWDwk7a_7ZS_gY1LRO6YVhVSseB" TargetMode="External"/><Relationship Id="rId5664" Type="http://schemas.openxmlformats.org/officeDocument/2006/relationships/hyperlink" Target="https://drive.google.com/file/d/1xp4FldFms6waaxLfKb5inpLIb7yBAOMB/view?usp=drivesdk" TargetMode="External"/><Relationship Id="rId474" Type="http://schemas.openxmlformats.org/officeDocument/2006/relationships/hyperlink" Target="https://lh5.googleusercontent.com/d/11TU6lv94hZovJRiyHxK7moyp1J7SFJxM" TargetMode="External"/><Relationship Id="rId3004" Type="http://schemas.openxmlformats.org/officeDocument/2006/relationships/hyperlink" Target="https://drive.google.com/file/d/1DpxYe6NuzJU6Ei6hrI7n8RVeYkZ2NKpv/view?usp=drivesdk" TargetMode="External"/><Relationship Id="rId4335" Type="http://schemas.openxmlformats.org/officeDocument/2006/relationships/hyperlink" Target="https://drive.google.com/file/d/1XWMEQ4bsWrlnBTlvjVOIR-YR5nT4OTko/view?usp=drivesdk" TargetMode="External"/><Relationship Id="rId5665" Type="http://schemas.openxmlformats.org/officeDocument/2006/relationships/hyperlink" Target="https://lh5.googleusercontent.com/d/1NihbDRUE9uWMzz9UQaAfu4wBZi1zQHsg" TargetMode="External"/><Relationship Id="rId1257" Type="http://schemas.openxmlformats.org/officeDocument/2006/relationships/hyperlink" Target="https://lh5.googleusercontent.com/d/15bIXnwC0bvQw89fWckS3UWkvGxucKvso" TargetMode="External"/><Relationship Id="rId2588" Type="http://schemas.openxmlformats.org/officeDocument/2006/relationships/hyperlink" Target="https://drive.google.com/file/d/1jHRKCyR0mgwUnl2WMvEbpNxs5f7t1iLv/view?usp=drivesdk" TargetMode="External"/><Relationship Id="rId5615" Type="http://schemas.openxmlformats.org/officeDocument/2006/relationships/hyperlink" Target="https://lh5.googleusercontent.com/d/1ziypGe_MJzoWS-w0qrmyxHDfaOGe_gjr" TargetMode="External"/><Relationship Id="rId1258" Type="http://schemas.openxmlformats.org/officeDocument/2006/relationships/hyperlink" Target="https://drive.google.com/file/d/1sb6fx80QuM63ZzrRv5z9chhZk9iUuqgN/view?usp=drivesdk" TargetMode="External"/><Relationship Id="rId2589" Type="http://schemas.openxmlformats.org/officeDocument/2006/relationships/hyperlink" Target="https://lh5.googleusercontent.com/d/1DM7tbOya2r1hMyR2hqX7TbihGGCQB62O" TargetMode="External"/><Relationship Id="rId5616" Type="http://schemas.openxmlformats.org/officeDocument/2006/relationships/hyperlink" Target="https://drive.google.com/file/d/1k9pyUga9yVwJwGEBy636uH_b_44p_ydh/view?usp=drivesdk" TargetMode="External"/><Relationship Id="rId1259" Type="http://schemas.openxmlformats.org/officeDocument/2006/relationships/hyperlink" Target="https://lh5.googleusercontent.com/d/1vihV5G1cwOZvCiqH1uqO9_71lsroDB8v" TargetMode="External"/><Relationship Id="rId5613" Type="http://schemas.openxmlformats.org/officeDocument/2006/relationships/hyperlink" Target="https://lh5.googleusercontent.com/d/1foXA0g0xDYrhKJbjOy7qWp62TYARevfJ" TargetMode="External"/><Relationship Id="rId5614" Type="http://schemas.openxmlformats.org/officeDocument/2006/relationships/hyperlink" Target="https://drive.google.com/file/d/1hn6JKZbNTM2oTqOSm258suNUCbIB3K-W/view?usp=drivesdk" TargetMode="External"/><Relationship Id="rId5619" Type="http://schemas.openxmlformats.org/officeDocument/2006/relationships/hyperlink" Target="https://lh5.googleusercontent.com/d/1nVQ3eXdRnpLw9ssQ0BhcJlJTdEfwrxwX" TargetMode="External"/><Relationship Id="rId5617" Type="http://schemas.openxmlformats.org/officeDocument/2006/relationships/hyperlink" Target="https://lh5.googleusercontent.com/d/1saTCK3H0zKduuZXCGWVk32aua-2uWnal" TargetMode="External"/><Relationship Id="rId5618" Type="http://schemas.openxmlformats.org/officeDocument/2006/relationships/hyperlink" Target="https://drive.google.com/file/d/17D4sHLLjyAwKLuWMQFkgndpuihBmnO83/view?usp=drivesdk" TargetMode="External"/><Relationship Id="rId426" Type="http://schemas.openxmlformats.org/officeDocument/2006/relationships/hyperlink" Target="https://lh5.googleusercontent.com/d/1qlnzS8GE4XV9R_9leWQLQQAM-lR1drGp" TargetMode="External"/><Relationship Id="rId425" Type="http://schemas.openxmlformats.org/officeDocument/2006/relationships/hyperlink" Target="https://drive.google.com/file/d/10d2n-SjYqsjI-WeG9jbVuXwXH1Kdth3P/view?usp=drivesdk" TargetMode="External"/><Relationship Id="rId424" Type="http://schemas.openxmlformats.org/officeDocument/2006/relationships/hyperlink" Target="https://lh5.googleusercontent.com/d/1yEr1pjzRbiLTEuj36oXMNg5QaTxA1hFi" TargetMode="External"/><Relationship Id="rId423" Type="http://schemas.openxmlformats.org/officeDocument/2006/relationships/hyperlink" Target="https://drive.google.com/file/d/1b_rOAkLyT1yPzIm4JHI5sZjJ6YdwiqFD/view?usp=drivesdk" TargetMode="External"/><Relationship Id="rId429" Type="http://schemas.openxmlformats.org/officeDocument/2006/relationships/hyperlink" Target="https://drive.google.com/file/d/11-xuRsKv9dBB2GTNG5YkgBgBefBqWXvg/view?usp=drivesdk" TargetMode="External"/><Relationship Id="rId428" Type="http://schemas.openxmlformats.org/officeDocument/2006/relationships/hyperlink" Target="https://lh5.googleusercontent.com/d/17kvzUJpMklJsRB4Yut4Sk-ylXHRaTpi6" TargetMode="External"/><Relationship Id="rId427" Type="http://schemas.openxmlformats.org/officeDocument/2006/relationships/hyperlink" Target="https://drive.google.com/file/d/1gQt3wdHcYOU3RjGMrj1-NmxYxEcUDmUr/view?usp=drivesdk" TargetMode="External"/><Relationship Id="rId2580" Type="http://schemas.openxmlformats.org/officeDocument/2006/relationships/hyperlink" Target="https://drive.google.com/file/d/12gF70yEGn2Unkc5E0sHb1Jg0NgmwKSsT/view?usp=drivesdk" TargetMode="External"/><Relationship Id="rId1250" Type="http://schemas.openxmlformats.org/officeDocument/2006/relationships/hyperlink" Target="https://drive.google.com/file/d/1MIPlYQoODosELH0NxDu4Qog5zoVnXu5n/view?usp=drivesdk" TargetMode="External"/><Relationship Id="rId2581" Type="http://schemas.openxmlformats.org/officeDocument/2006/relationships/hyperlink" Target="https://lh5.googleusercontent.com/d/1-_Xcz6aZuOIQUxIXZgeTU2Q9E7COTlE3" TargetMode="External"/><Relationship Id="rId1251" Type="http://schemas.openxmlformats.org/officeDocument/2006/relationships/hyperlink" Target="https://lh5.googleusercontent.com/d/1jZmXsZnfqiPRUasQw9priRMw4NjUwB_L" TargetMode="External"/><Relationship Id="rId2582" Type="http://schemas.openxmlformats.org/officeDocument/2006/relationships/hyperlink" Target="https://drive.google.com/file/d/1qiTbsCfHSQ3lE-sa9BjQQoJbwCNfLadO/view?usp=drivesdk" TargetMode="External"/><Relationship Id="rId1252" Type="http://schemas.openxmlformats.org/officeDocument/2006/relationships/hyperlink" Target="https://drive.google.com/file/d/1IgiT1Z8j-MARrkBXS6fgYLfEp-XDOFbb/view?usp=drivesdk" TargetMode="External"/><Relationship Id="rId2583" Type="http://schemas.openxmlformats.org/officeDocument/2006/relationships/hyperlink" Target="https://lh5.googleusercontent.com/d/1DNf6PUVr0oEpMddmV2eX93vA5V99QKP0" TargetMode="External"/><Relationship Id="rId422" Type="http://schemas.openxmlformats.org/officeDocument/2006/relationships/hyperlink" Target="https://lh5.googleusercontent.com/d/1ZY9HupRCUed7mPNoG_H20O26fEMRjaBM" TargetMode="External"/><Relationship Id="rId1253" Type="http://schemas.openxmlformats.org/officeDocument/2006/relationships/hyperlink" Target="https://lh5.googleusercontent.com/d/1DJIJlGndpIix3vMsNpcRkCaj7imSXd15" TargetMode="External"/><Relationship Id="rId2584" Type="http://schemas.openxmlformats.org/officeDocument/2006/relationships/hyperlink" Target="https://drive.google.com/file/d/1SVQVP9KxSxzf5HahgnbzXeU2pXSeftPQ/view?usp=drivesdk" TargetMode="External"/><Relationship Id="rId5611" Type="http://schemas.openxmlformats.org/officeDocument/2006/relationships/hyperlink" Target="https://lh5.googleusercontent.com/d/1Yky3bHUzStg6ArdpA0XPE1AX8QRYJXAA" TargetMode="External"/><Relationship Id="rId421" Type="http://schemas.openxmlformats.org/officeDocument/2006/relationships/hyperlink" Target="https://drive.google.com/file/d/11oCbIcQv4JcZ7OyRLM0t6ZRd72m5WZKc/view?usp=drivesdk" TargetMode="External"/><Relationship Id="rId1254" Type="http://schemas.openxmlformats.org/officeDocument/2006/relationships/hyperlink" Target="https://drive.google.com/file/d/1sUei27xAbNQhne3R1N1qgpAUdRReh7TF/view?usp=drivesdk" TargetMode="External"/><Relationship Id="rId2585" Type="http://schemas.openxmlformats.org/officeDocument/2006/relationships/hyperlink" Target="https://lh5.googleusercontent.com/d/1c6lrGGvHqOFjVArRF-FvsPhfLTgAZqEU" TargetMode="External"/><Relationship Id="rId5612" Type="http://schemas.openxmlformats.org/officeDocument/2006/relationships/hyperlink" Target="https://drive.google.com/file/d/1hgA1IRNlm9XXqHj3PlhccyJU4nXweAeK/view?usp=drivesdk" TargetMode="External"/><Relationship Id="rId420" Type="http://schemas.openxmlformats.org/officeDocument/2006/relationships/hyperlink" Target="https://lh5.googleusercontent.com/d/1iPaGZQKJ0rC7BEDx-c1UN0Xm7ynzVVRk" TargetMode="External"/><Relationship Id="rId1255" Type="http://schemas.openxmlformats.org/officeDocument/2006/relationships/hyperlink" Target="https://lh5.googleusercontent.com/d/1GI_pcD5sv1G72D61ikU9x6srkEmnDD-x" TargetMode="External"/><Relationship Id="rId2586" Type="http://schemas.openxmlformats.org/officeDocument/2006/relationships/hyperlink" Target="https://drive.google.com/file/d/1uCZUWHBi4nusETdEIPLhF8Ve2Ncv_7VS/view?usp=drivesdk" TargetMode="External"/><Relationship Id="rId1256" Type="http://schemas.openxmlformats.org/officeDocument/2006/relationships/hyperlink" Target="https://drive.google.com/file/d/1zHBzPwZOAGD6Z5jhlGOg95eVTiPcJVuG/view?usp=drivesdk" TargetMode="External"/><Relationship Id="rId2587" Type="http://schemas.openxmlformats.org/officeDocument/2006/relationships/hyperlink" Target="https://lh5.googleusercontent.com/d/1OTvKqvqncb351-LkB-r2HM2ffo7I7_ew" TargetMode="External"/><Relationship Id="rId5610" Type="http://schemas.openxmlformats.org/officeDocument/2006/relationships/hyperlink" Target="https://drive.google.com/file/d/1VgPsdWWn93ESzeS5Mibhwug28S1gz2rk/view?usp=drivesdk" TargetMode="External"/><Relationship Id="rId1246" Type="http://schemas.openxmlformats.org/officeDocument/2006/relationships/hyperlink" Target="https://drive.google.com/file/d/1pb5k-9HPwiHz7Dx7c-lOC9VnNkZijzPF/view?usp=drivesdk" TargetMode="External"/><Relationship Id="rId2577" Type="http://schemas.openxmlformats.org/officeDocument/2006/relationships/hyperlink" Target="https://lh5.googleusercontent.com/d/1lSfJlv3pCr14oFa8TaD0r0mM2_nA2c9u" TargetMode="External"/><Relationship Id="rId5604" Type="http://schemas.openxmlformats.org/officeDocument/2006/relationships/hyperlink" Target="https://drive.google.com/file/d/1Dp7pWBg7Ue8JpiGXCGZoTwBEbtenEKdb/view?usp=drivesdk" TargetMode="External"/><Relationship Id="rId1247" Type="http://schemas.openxmlformats.org/officeDocument/2006/relationships/hyperlink" Target="https://lh5.googleusercontent.com/d/10mlBgByESESDzr4PHoj7yOP2JE2zowdv" TargetMode="External"/><Relationship Id="rId2578" Type="http://schemas.openxmlformats.org/officeDocument/2006/relationships/hyperlink" Target="https://drive.google.com/file/d/1pYVZEUxr6rRv38Rz9lDaVrWlNcJoqdU3/view?usp=drivesdk" TargetMode="External"/><Relationship Id="rId5605" Type="http://schemas.openxmlformats.org/officeDocument/2006/relationships/hyperlink" Target="https://lh5.googleusercontent.com/d/1a2yzJaqkHJa9NEQfGdniZ0AwciwohVMd" TargetMode="External"/><Relationship Id="rId1248" Type="http://schemas.openxmlformats.org/officeDocument/2006/relationships/hyperlink" Target="https://drive.google.com/file/d/1dCAcXLNlk2XMBXCKgwvrk0n6XtvL7dNb/view?usp=drivesdk" TargetMode="External"/><Relationship Id="rId2579" Type="http://schemas.openxmlformats.org/officeDocument/2006/relationships/hyperlink" Target="https://lh5.googleusercontent.com/d/1OVwJxOMc48wl9Y9K8YO3p5IYL2fc0aLY" TargetMode="External"/><Relationship Id="rId5602" Type="http://schemas.openxmlformats.org/officeDocument/2006/relationships/hyperlink" Target="https://drive.google.com/file/d/1eT5yzF-MJY5HAfOAKJsI50salN_OQBmq/view?usp=drivesdk" TargetMode="External"/><Relationship Id="rId1249" Type="http://schemas.openxmlformats.org/officeDocument/2006/relationships/hyperlink" Target="https://lh5.googleusercontent.com/d/1HacrSWot8CEbjidcfLzUJZcYFV7MUDW4" TargetMode="External"/><Relationship Id="rId5603" Type="http://schemas.openxmlformats.org/officeDocument/2006/relationships/hyperlink" Target="https://lh5.googleusercontent.com/d/1OLvRey4vvr698vzwZwlD0_qwl57bAKJF" TargetMode="External"/><Relationship Id="rId5608" Type="http://schemas.openxmlformats.org/officeDocument/2006/relationships/hyperlink" Target="https://drive.google.com/file/d/1b-yh8K_d-BNMMCjZMOt-kbVHfQ7cnPfe/view?usp=drivesdk" TargetMode="External"/><Relationship Id="rId5609" Type="http://schemas.openxmlformats.org/officeDocument/2006/relationships/hyperlink" Target="https://lh5.googleusercontent.com/d/1uOcbMB-YPYV7SI1WntQLet_M1DeFOoM_" TargetMode="External"/><Relationship Id="rId5606" Type="http://schemas.openxmlformats.org/officeDocument/2006/relationships/hyperlink" Target="https://drive.google.com/file/d/1QkC4VG_968I7iAevxvdnhfhwXgMxQNR6/view?usp=drivesdk" TargetMode="External"/><Relationship Id="rId5607" Type="http://schemas.openxmlformats.org/officeDocument/2006/relationships/hyperlink" Target="https://lh5.googleusercontent.com/d/1dgtAV2F4CfBIUG6fPPg31t25TGGkVoGZ" TargetMode="External"/><Relationship Id="rId415" Type="http://schemas.openxmlformats.org/officeDocument/2006/relationships/hyperlink" Target="https://drive.google.com/file/d/1ZU8yaAzWdYKDFlWBXc3vOldfdIGY712H/view?usp=drivesdk" TargetMode="External"/><Relationship Id="rId414" Type="http://schemas.openxmlformats.org/officeDocument/2006/relationships/hyperlink" Target="https://lh5.googleusercontent.com/d/1M6FN_lD7nXm86vPI2LDGkmMIVzBcgSS3" TargetMode="External"/><Relationship Id="rId413" Type="http://schemas.openxmlformats.org/officeDocument/2006/relationships/hyperlink" Target="https://drive.google.com/file/d/14E1pvAxCl3iopbID66BSfK3lh7kQmha-/view?usp=drivesdk" TargetMode="External"/><Relationship Id="rId412" Type="http://schemas.openxmlformats.org/officeDocument/2006/relationships/hyperlink" Target="https://lh5.googleusercontent.com/d/1w5jQg4Nyatq3YP8IGaUC6SeVPbchbHqA" TargetMode="External"/><Relationship Id="rId419" Type="http://schemas.openxmlformats.org/officeDocument/2006/relationships/hyperlink" Target="https://drive.google.com/file/d/1dKo1GCnsxAJjY3Yq2E3-YO6F_9w97R95/view?usp=drivesdk" TargetMode="External"/><Relationship Id="rId418" Type="http://schemas.openxmlformats.org/officeDocument/2006/relationships/hyperlink" Target="https://lh5.googleusercontent.com/d/1vwoeNewFegKldQBP-jXZCjAXUzlf5-oz" TargetMode="External"/><Relationship Id="rId417" Type="http://schemas.openxmlformats.org/officeDocument/2006/relationships/hyperlink" Target="https://drive.google.com/file/d/14VCFI5iVr2fRcL1zPgtUtL5MMdirtBBK/view?usp=drivesdk" TargetMode="External"/><Relationship Id="rId416" Type="http://schemas.openxmlformats.org/officeDocument/2006/relationships/hyperlink" Target="https://lh5.googleusercontent.com/d/1_JS8W0xqb0Q2x8iMkMRjnpfgdMv96cCp" TargetMode="External"/><Relationship Id="rId2570" Type="http://schemas.openxmlformats.org/officeDocument/2006/relationships/hyperlink" Target="https://drive.google.com/file/d/1Ju3Wir8KgBut4UHbX3Aly6rbpR4o_5Pm/view?usp=drivesdk" TargetMode="External"/><Relationship Id="rId1240" Type="http://schemas.openxmlformats.org/officeDocument/2006/relationships/hyperlink" Target="https://drive.google.com/file/d/15NL7TFfehX_DmFlfQaYmesZfYqNEWAYT/view?usp=drivesdk" TargetMode="External"/><Relationship Id="rId2571" Type="http://schemas.openxmlformats.org/officeDocument/2006/relationships/hyperlink" Target="https://lh5.googleusercontent.com/d/11OpGpCnYS3_6NxErZnLShg-BPF_A-Tou" TargetMode="External"/><Relationship Id="rId1241" Type="http://schemas.openxmlformats.org/officeDocument/2006/relationships/hyperlink" Target="https://lh5.googleusercontent.com/d/1NpOGa8WuJEXc4RX7m5_tSOaBMYcdpPsZ" TargetMode="External"/><Relationship Id="rId2572" Type="http://schemas.openxmlformats.org/officeDocument/2006/relationships/hyperlink" Target="https://drive.google.com/file/d/1En0me2x6arXMk7ThvSgjIFr8aUIrgqI4/view?usp=drivesdk" TargetMode="External"/><Relationship Id="rId411" Type="http://schemas.openxmlformats.org/officeDocument/2006/relationships/hyperlink" Target="https://drive.google.com/file/d/1Gv_FKgQNt6DXF-EDTp13v8jYQnq4z6Qr/view?usp=drivesdk" TargetMode="External"/><Relationship Id="rId1242" Type="http://schemas.openxmlformats.org/officeDocument/2006/relationships/hyperlink" Target="https://drive.google.com/file/d/18VC3K-YDmmE1SNaJ581ehREhTHLbrBCu/view?usp=drivesdk" TargetMode="External"/><Relationship Id="rId2573" Type="http://schemas.openxmlformats.org/officeDocument/2006/relationships/hyperlink" Target="https://lh5.googleusercontent.com/d/1F2jfmgT3vd7qP5vznfUmdgqm8862fCKC" TargetMode="External"/><Relationship Id="rId5600" Type="http://schemas.openxmlformats.org/officeDocument/2006/relationships/hyperlink" Target="https://drive.google.com/file/d/1RVSLhUWwE-u_Zu6Y8rSR-sGMCk06damh/view?usp=drivesdk" TargetMode="External"/><Relationship Id="rId410" Type="http://schemas.openxmlformats.org/officeDocument/2006/relationships/hyperlink" Target="https://lh5.googleusercontent.com/d/1l0b_6PTobj5qUfeZpTBWoPiCMcGrk7K7" TargetMode="External"/><Relationship Id="rId1243" Type="http://schemas.openxmlformats.org/officeDocument/2006/relationships/hyperlink" Target="https://lh5.googleusercontent.com/d/1j4LpR3Xu8BFTPix-MGjFoHl8-J6O0TEK" TargetMode="External"/><Relationship Id="rId2574" Type="http://schemas.openxmlformats.org/officeDocument/2006/relationships/hyperlink" Target="https://drive.google.com/file/d/1R5KqYhLPJg3CUkvhubJrYOFPjWfneR0Q/view?usp=drivesdk" TargetMode="External"/><Relationship Id="rId5601" Type="http://schemas.openxmlformats.org/officeDocument/2006/relationships/hyperlink" Target="https://lh5.googleusercontent.com/d/1sID3y-JqxD9NmDrQfWDEsFhbp6mfEL3S" TargetMode="External"/><Relationship Id="rId1244" Type="http://schemas.openxmlformats.org/officeDocument/2006/relationships/hyperlink" Target="https://drive.google.com/file/d/1uy9E5Hlom1wWutBObTpf82HCl0pLvYPi/view?usp=drivesdk" TargetMode="External"/><Relationship Id="rId2575" Type="http://schemas.openxmlformats.org/officeDocument/2006/relationships/hyperlink" Target="https://lh5.googleusercontent.com/d/1BBaBUu3ChjHgysKlzCcfj1bFUewcecfl" TargetMode="External"/><Relationship Id="rId1245" Type="http://schemas.openxmlformats.org/officeDocument/2006/relationships/hyperlink" Target="https://lh5.googleusercontent.com/d/1TnBx7gIs-m1rLMoG9co3c3tjVi9Xzc1O" TargetMode="External"/><Relationship Id="rId2576" Type="http://schemas.openxmlformats.org/officeDocument/2006/relationships/hyperlink" Target="https://drive.google.com/file/d/1m8KW8XM5Zl887U5l3vKa3ceJ9YwBAJV0/view?usp=drivesdk" TargetMode="External"/><Relationship Id="rId1279" Type="http://schemas.openxmlformats.org/officeDocument/2006/relationships/hyperlink" Target="https://lh5.googleusercontent.com/d/1sDxbIzQr0_TmKga9YMy3PX0d9lhX1-P1" TargetMode="External"/><Relationship Id="rId4305" Type="http://schemas.openxmlformats.org/officeDocument/2006/relationships/hyperlink" Target="https://drive.google.com/file/d/1c3POBTxhRse6gXYnfH3D3VD43quoFGs3/view?usp=drivesdk" TargetMode="External"/><Relationship Id="rId5637" Type="http://schemas.openxmlformats.org/officeDocument/2006/relationships/hyperlink" Target="https://lh5.googleusercontent.com/d/1WYOJ56RR-AJ5xOYfqEUXdKXBi-6dtvME" TargetMode="External"/><Relationship Id="rId4304" Type="http://schemas.openxmlformats.org/officeDocument/2006/relationships/hyperlink" Target="https://lh5.googleusercontent.com/d/15srlvaRLm3WgcBBZgLqZWv2DEUpSwRiB" TargetMode="External"/><Relationship Id="rId5638" Type="http://schemas.openxmlformats.org/officeDocument/2006/relationships/hyperlink" Target="https://drive.google.com/file/d/1a4TtmncoylglkibdXn-zFkrR6gv6Hk4i/view?usp=drivesdk" TargetMode="External"/><Relationship Id="rId4307" Type="http://schemas.openxmlformats.org/officeDocument/2006/relationships/hyperlink" Target="https://drive.google.com/file/d/19ptaXW6MtDmpiLDGT9QvSXzEmGTvw9P1/view?usp=drivesdk" TargetMode="External"/><Relationship Id="rId5635" Type="http://schemas.openxmlformats.org/officeDocument/2006/relationships/hyperlink" Target="https://lh5.googleusercontent.com/d/15OiuoMvjsB9sPhBhuWbJ-R7bSBRFyjQ7" TargetMode="External"/><Relationship Id="rId4306" Type="http://schemas.openxmlformats.org/officeDocument/2006/relationships/hyperlink" Target="https://lh5.googleusercontent.com/d/1MlzFTVRQ3ZAf7u62QLB4sriIJnf08WHL" TargetMode="External"/><Relationship Id="rId5636" Type="http://schemas.openxmlformats.org/officeDocument/2006/relationships/hyperlink" Target="https://drive.google.com/file/d/14_t3Q7eHQ67rGzc6NQCXB2xn70WYP34E/view?usp=drivesdk" TargetMode="External"/><Relationship Id="rId4309" Type="http://schemas.openxmlformats.org/officeDocument/2006/relationships/hyperlink" Target="https://drive.google.com/file/d/1vDjtzOjxYDrebBOI3tsxd8qI1RHIovR8/view?usp=drivesdk" TargetMode="External"/><Relationship Id="rId4308" Type="http://schemas.openxmlformats.org/officeDocument/2006/relationships/hyperlink" Target="https://lh5.googleusercontent.com/d/1AWg0Y3P6Q9RCbeKkUowpBAPoViEBPkfH" TargetMode="External"/><Relationship Id="rId5639" Type="http://schemas.openxmlformats.org/officeDocument/2006/relationships/hyperlink" Target="https://lh5.googleusercontent.com/d/1Y4rh-LCnRo4Lwbbrups7qImJ48rw-Cm3" TargetMode="External"/><Relationship Id="rId448" Type="http://schemas.openxmlformats.org/officeDocument/2006/relationships/hyperlink" Target="https://lh5.googleusercontent.com/d/1W1KjKgERilyOhmjCvTW5WXWzAriV9FV7" TargetMode="External"/><Relationship Id="rId447" Type="http://schemas.openxmlformats.org/officeDocument/2006/relationships/hyperlink" Target="https://drive.google.com/file/d/1Z3Naoc44ufA86pEZcM2Xcf_ADv-JjbAn/view?usp=drivesdk" TargetMode="External"/><Relationship Id="rId446" Type="http://schemas.openxmlformats.org/officeDocument/2006/relationships/hyperlink" Target="https://lh5.googleusercontent.com/d/1ybh2wDJbNgFskXIqIuqzk1tkoGg8T7SY" TargetMode="External"/><Relationship Id="rId445" Type="http://schemas.openxmlformats.org/officeDocument/2006/relationships/hyperlink" Target="https://drive.google.com/file/d/1QyLbM3Xzdx3iX75TD5amJThpPIZ-E9HK/view?usp=drivesdk" TargetMode="External"/><Relationship Id="rId449" Type="http://schemas.openxmlformats.org/officeDocument/2006/relationships/hyperlink" Target="https://drive.google.com/file/d/1WpoiCX0kE286Y72TyJHw3nAPE77lPYXA/view?usp=drivesdk" TargetMode="External"/><Relationship Id="rId1270" Type="http://schemas.openxmlformats.org/officeDocument/2006/relationships/hyperlink" Target="https://drive.google.com/file/d/1sVu0ciGG1BRVTJcE7WqJqW-TCq9-8Jc9/view?usp=drivesdk" TargetMode="External"/><Relationship Id="rId440" Type="http://schemas.openxmlformats.org/officeDocument/2006/relationships/hyperlink" Target="https://lh5.googleusercontent.com/d/1ehZH4b-AA8sF9Vsq4SdIV6GRKkSmgP6U" TargetMode="External"/><Relationship Id="rId1271" Type="http://schemas.openxmlformats.org/officeDocument/2006/relationships/hyperlink" Target="https://lh5.googleusercontent.com/d/13JU3akCSz9SG7OUUoi4E-reRrIq7NoxS" TargetMode="External"/><Relationship Id="rId1272" Type="http://schemas.openxmlformats.org/officeDocument/2006/relationships/hyperlink" Target="https://drive.google.com/file/d/1doZi7R1RJv-i9hN3k0XvHPsqTwHBX9Re/view?usp=drivesdk" TargetMode="External"/><Relationship Id="rId5630" Type="http://schemas.openxmlformats.org/officeDocument/2006/relationships/hyperlink" Target="https://drive.google.com/file/d/1uHkqzCQoIaazODEzjdbp8h9qewgm3qBe/view?usp=drivesdk" TargetMode="External"/><Relationship Id="rId1273" Type="http://schemas.openxmlformats.org/officeDocument/2006/relationships/hyperlink" Target="https://lh5.googleusercontent.com/d/1NP9tpXjBVjjoouOoSHgcr5oTcdDSLP5a" TargetMode="External"/><Relationship Id="rId1274" Type="http://schemas.openxmlformats.org/officeDocument/2006/relationships/hyperlink" Target="https://drive.google.com/file/d/13Xd02WRUOJORhV_-dDntWbve3JSpqxcK/view?usp=drivesdk" TargetMode="External"/><Relationship Id="rId444" Type="http://schemas.openxmlformats.org/officeDocument/2006/relationships/hyperlink" Target="https://lh5.googleusercontent.com/d/1Tzl9W2v0R7r1512Z3RL7Ul_YurlAFkVr" TargetMode="External"/><Relationship Id="rId1275" Type="http://schemas.openxmlformats.org/officeDocument/2006/relationships/hyperlink" Target="https://lh5.googleusercontent.com/d/1qCEihLDuHpPQkJoHYIna9QrqjSG7lDCC" TargetMode="External"/><Relationship Id="rId4301" Type="http://schemas.openxmlformats.org/officeDocument/2006/relationships/hyperlink" Target="https://drive.google.com/file/d/1U0ZNWCijG4CEvW6ELdq7zzwjijx-lUp6/view?usp=drivesdk" TargetMode="External"/><Relationship Id="rId5633" Type="http://schemas.openxmlformats.org/officeDocument/2006/relationships/hyperlink" Target="https://lh5.googleusercontent.com/d/10FaiJ6z1njV9HXuHmUyeED5mfE63ojfN" TargetMode="External"/><Relationship Id="rId443" Type="http://schemas.openxmlformats.org/officeDocument/2006/relationships/hyperlink" Target="https://drive.google.com/file/d/1-kYbScVJ2ECKbwvwh2bFPv4c6u99y1rl/view?usp=drivesdk" TargetMode="External"/><Relationship Id="rId1276" Type="http://schemas.openxmlformats.org/officeDocument/2006/relationships/hyperlink" Target="https://drive.google.com/file/d/1LYuFzgUPp2xy-EZbUzRu0NTyENdf-JZo/view?usp=drivesdk" TargetMode="External"/><Relationship Id="rId4300" Type="http://schemas.openxmlformats.org/officeDocument/2006/relationships/hyperlink" Target="https://lh5.googleusercontent.com/d/1VkuT3goB1oArpADOhmF8ElePTSCtB1Yh" TargetMode="External"/><Relationship Id="rId5634" Type="http://schemas.openxmlformats.org/officeDocument/2006/relationships/hyperlink" Target="https://drive.google.com/file/d/1yAfBgKh4L9RiADrieXyaUBgFEBOsz0hT/view?usp=drivesdk" TargetMode="External"/><Relationship Id="rId442" Type="http://schemas.openxmlformats.org/officeDocument/2006/relationships/hyperlink" Target="https://lh5.googleusercontent.com/d/1Tc8ENbmb2ObkWAlEuwNzhwOYP3lwDSZC" TargetMode="External"/><Relationship Id="rId1277" Type="http://schemas.openxmlformats.org/officeDocument/2006/relationships/hyperlink" Target="https://lh5.googleusercontent.com/d/1MiqEloKy8vusVFBQke8ubn0GPxeO4wt5" TargetMode="External"/><Relationship Id="rId4303" Type="http://schemas.openxmlformats.org/officeDocument/2006/relationships/hyperlink" Target="https://drive.google.com/file/d/1dTKDVpFvkG_H0D42FZCTuKNBxKl4eI9Z/view?usp=drivesdk" TargetMode="External"/><Relationship Id="rId5631" Type="http://schemas.openxmlformats.org/officeDocument/2006/relationships/hyperlink" Target="https://lh5.googleusercontent.com/d/1tZJknu6OAZ00Pp14o9gaOf20JmTyKYo5" TargetMode="External"/><Relationship Id="rId441" Type="http://schemas.openxmlformats.org/officeDocument/2006/relationships/hyperlink" Target="https://drive.google.com/file/d/1T1DvGkRwCuxphxmjMMtDDTPeB4QO1Cbr/view?usp=drivesdk" TargetMode="External"/><Relationship Id="rId1278" Type="http://schemas.openxmlformats.org/officeDocument/2006/relationships/hyperlink" Target="https://drive.google.com/file/d/1MviE6huDJ8UrYRZonqHKF9cnF0gSUv9A/view?usp=drivesdk" TargetMode="External"/><Relationship Id="rId4302" Type="http://schemas.openxmlformats.org/officeDocument/2006/relationships/hyperlink" Target="https://lh5.googleusercontent.com/d/1jKkqmD8SAVQuqmFJF27uLirky6KUmUYX" TargetMode="External"/><Relationship Id="rId5632" Type="http://schemas.openxmlformats.org/officeDocument/2006/relationships/hyperlink" Target="https://drive.google.com/file/d/1S5h-B5Tje7NFlgRkwlf9-SDyIW-fzK5L/view?usp=drivesdk" TargetMode="External"/><Relationship Id="rId1268" Type="http://schemas.openxmlformats.org/officeDocument/2006/relationships/hyperlink" Target="https://drive.google.com/file/d/1BXkeYvUQHUNFBq8tx4PLZNXWdaPPFWni/view?usp=drivesdk" TargetMode="External"/><Relationship Id="rId2599" Type="http://schemas.openxmlformats.org/officeDocument/2006/relationships/hyperlink" Target="https://lh5.googleusercontent.com/d/11PUoegeY1fFvy3hE0fft3ZcFH0pIxnYL" TargetMode="External"/><Relationship Id="rId5626" Type="http://schemas.openxmlformats.org/officeDocument/2006/relationships/hyperlink" Target="https://drive.google.com/file/d/165GErTD6epHDuIRZEPF8vmufAzbY4oJ_/view?usp=drivesdk" TargetMode="External"/><Relationship Id="rId1269" Type="http://schemas.openxmlformats.org/officeDocument/2006/relationships/hyperlink" Target="https://lh5.googleusercontent.com/d/1_Mjim1n2dmRQli6kwTg3SwNHGfNTq0_l" TargetMode="External"/><Relationship Id="rId5627" Type="http://schemas.openxmlformats.org/officeDocument/2006/relationships/hyperlink" Target="https://lh5.googleusercontent.com/d/1GVzc4L5DIskNgJGnLeMxBCKtd2bS5OeM" TargetMode="External"/><Relationship Id="rId5624" Type="http://schemas.openxmlformats.org/officeDocument/2006/relationships/hyperlink" Target="https://drive.google.com/file/d/1w3zDDFAVAKjKXptUe9T62RsbBXUjBadc/view?usp=drivesdk" TargetMode="External"/><Relationship Id="rId5625" Type="http://schemas.openxmlformats.org/officeDocument/2006/relationships/hyperlink" Target="https://lh5.googleusercontent.com/d/1BIbhRuKnykm2tMwyIFwoBtoCWw0gDAcm" TargetMode="External"/><Relationship Id="rId5628" Type="http://schemas.openxmlformats.org/officeDocument/2006/relationships/hyperlink" Target="https://drive.google.com/file/d/1CGadJVxl_Yiqblu2_pvI3yJFgA6gfsqV/view?usp=drivesdk" TargetMode="External"/><Relationship Id="rId5629" Type="http://schemas.openxmlformats.org/officeDocument/2006/relationships/hyperlink" Target="https://lh5.googleusercontent.com/d/1X2B8fUslirzI2SEeFsA0Eo0qxFTHlPmG" TargetMode="External"/><Relationship Id="rId437" Type="http://schemas.openxmlformats.org/officeDocument/2006/relationships/hyperlink" Target="https://drive.google.com/file/d/1Nz4g2eVenTCfZuE2MVQ79086bdK3AlYz/view?usp=drivesdk" TargetMode="External"/><Relationship Id="rId436" Type="http://schemas.openxmlformats.org/officeDocument/2006/relationships/hyperlink" Target="https://lh5.googleusercontent.com/d/1YFvb4HAqi0se-G3NZsMW8oos83wOJ02A" TargetMode="External"/><Relationship Id="rId435" Type="http://schemas.openxmlformats.org/officeDocument/2006/relationships/hyperlink" Target="https://drive.google.com/file/d/14Co082o2_xTVxJ7TtAjI7T5JhTz1TRju/view?usp=drivesdk" TargetMode="External"/><Relationship Id="rId434" Type="http://schemas.openxmlformats.org/officeDocument/2006/relationships/hyperlink" Target="https://lh5.googleusercontent.com/d/1eFQ-7RhICLbRMoahXBkrZRQYCzw5yUBe" TargetMode="External"/><Relationship Id="rId439" Type="http://schemas.openxmlformats.org/officeDocument/2006/relationships/hyperlink" Target="https://drive.google.com/file/d/1UKNEZvg-jNVCP4T7VjfwaeJuFSysFBYo/view?usp=drivesdk" TargetMode="External"/><Relationship Id="rId438" Type="http://schemas.openxmlformats.org/officeDocument/2006/relationships/hyperlink" Target="https://lh5.googleusercontent.com/d/1ZstqOJfX9PkZYJJoGQMM0fK46oPJISwF" TargetMode="External"/><Relationship Id="rId2590" Type="http://schemas.openxmlformats.org/officeDocument/2006/relationships/hyperlink" Target="https://drive.google.com/file/d/1r8jYDJHXInwvOb4bG6jBi0mDWw970sp7/view?usp=drivesdk" TargetMode="External"/><Relationship Id="rId1260" Type="http://schemas.openxmlformats.org/officeDocument/2006/relationships/hyperlink" Target="https://drive.google.com/file/d/1Mnqqx7AS_XqLJ7XnsHbRNRFlMlP7Dd5n/view?usp=drivesdk" TargetMode="External"/><Relationship Id="rId2591" Type="http://schemas.openxmlformats.org/officeDocument/2006/relationships/hyperlink" Target="https://lh5.googleusercontent.com/d/1R29uFzY6wMns68evv9MAqqWL_66eBdnN" TargetMode="External"/><Relationship Id="rId1261" Type="http://schemas.openxmlformats.org/officeDocument/2006/relationships/hyperlink" Target="https://lh5.googleusercontent.com/d/1mM2tuKyf8nkjEsyVgzR-pZDhPf8CD5y5" TargetMode="External"/><Relationship Id="rId2592" Type="http://schemas.openxmlformats.org/officeDocument/2006/relationships/hyperlink" Target="https://drive.google.com/file/d/1PEctnh5p76Mhi1R_GLyeCzVNXYf88z4t/view?usp=drivesdk" TargetMode="External"/><Relationship Id="rId1262" Type="http://schemas.openxmlformats.org/officeDocument/2006/relationships/hyperlink" Target="https://drive.google.com/file/d/15JpJrnoZeJvYPS_0PvX1eWXFOQfqJWgu/view?usp=drivesdk" TargetMode="External"/><Relationship Id="rId2593" Type="http://schemas.openxmlformats.org/officeDocument/2006/relationships/hyperlink" Target="https://lh5.googleusercontent.com/d/1XkNewolfLJJTDXKvbbvv62hRbJnjEbyM" TargetMode="External"/><Relationship Id="rId1263" Type="http://schemas.openxmlformats.org/officeDocument/2006/relationships/hyperlink" Target="https://lh5.googleusercontent.com/d/1WF3bkDFCidrWLs_BuAvxUP0qoLy_tzyw" TargetMode="External"/><Relationship Id="rId2594" Type="http://schemas.openxmlformats.org/officeDocument/2006/relationships/hyperlink" Target="https://drive.google.com/file/d/1jhIrF0qFLC0EpxrBYwX4Ppt7V4NsACPe/view?usp=drivesdk" TargetMode="External"/><Relationship Id="rId433" Type="http://schemas.openxmlformats.org/officeDocument/2006/relationships/hyperlink" Target="https://drive.google.com/file/d/1a1PrnX2xasaL24lQ2i5-_15_4hjxv2qj/view?usp=drivesdk" TargetMode="External"/><Relationship Id="rId1264" Type="http://schemas.openxmlformats.org/officeDocument/2006/relationships/hyperlink" Target="https://drive.google.com/file/d/1qJI33S2wOfIfpO78Xez_xY6Vlxtpxuk9/view?usp=drivesdk" TargetMode="External"/><Relationship Id="rId2595" Type="http://schemas.openxmlformats.org/officeDocument/2006/relationships/hyperlink" Target="https://lh5.googleusercontent.com/d/1Bwy42yQCzVnp-WOSjs3_fcjvmY-cGGE0" TargetMode="External"/><Relationship Id="rId5622" Type="http://schemas.openxmlformats.org/officeDocument/2006/relationships/hyperlink" Target="https://drive.google.com/file/d/1o_sPNnEM5jiodIEGMVxh_h46r23SWje_/view?usp=drivesdk" TargetMode="External"/><Relationship Id="rId432" Type="http://schemas.openxmlformats.org/officeDocument/2006/relationships/hyperlink" Target="https://lh5.googleusercontent.com/d/1uNqc58zoutPauwHrzVVTIhhrAa0SxpKM" TargetMode="External"/><Relationship Id="rId1265" Type="http://schemas.openxmlformats.org/officeDocument/2006/relationships/hyperlink" Target="https://lh5.googleusercontent.com/d/1rY5MU_nyBERbTsYN1AAb93aGq-vJN1F2" TargetMode="External"/><Relationship Id="rId2596" Type="http://schemas.openxmlformats.org/officeDocument/2006/relationships/hyperlink" Target="https://drive.google.com/file/d/1bg6lH5rrJMzpikfuGoUOgG3qHoKxusz7/view?usp=drivesdk" TargetMode="External"/><Relationship Id="rId5623" Type="http://schemas.openxmlformats.org/officeDocument/2006/relationships/hyperlink" Target="https://lh5.googleusercontent.com/d/1jXYTUvDXgqBKvkJv5r66aeYs-rFdUyPF" TargetMode="External"/><Relationship Id="rId431" Type="http://schemas.openxmlformats.org/officeDocument/2006/relationships/hyperlink" Target="https://drive.google.com/file/d/1Nco-qP6Kj2K0jkbaArg3rhzJgu6Y9vRy/view?usp=drivesdk" TargetMode="External"/><Relationship Id="rId1266" Type="http://schemas.openxmlformats.org/officeDocument/2006/relationships/hyperlink" Target="https://drive.google.com/file/d/1_w1Y1VvdpkilXK-iUtHxCy6jx9YqLeZO/view?usp=drivesdk" TargetMode="External"/><Relationship Id="rId2597" Type="http://schemas.openxmlformats.org/officeDocument/2006/relationships/hyperlink" Target="https://lh5.googleusercontent.com/d/18Me8qvgP63L-30ucWYheq3dYk7RXV4g5" TargetMode="External"/><Relationship Id="rId5620" Type="http://schemas.openxmlformats.org/officeDocument/2006/relationships/hyperlink" Target="https://drive.google.com/file/d/1HJSKOUjhD4oSu6pK2BW4NPSsWRNpZM7D/view?usp=drivesdk" TargetMode="External"/><Relationship Id="rId430" Type="http://schemas.openxmlformats.org/officeDocument/2006/relationships/hyperlink" Target="https://lh5.googleusercontent.com/d/11UAV36c6haTZi96p_qVcFummNfvwPHJq" TargetMode="External"/><Relationship Id="rId1267" Type="http://schemas.openxmlformats.org/officeDocument/2006/relationships/hyperlink" Target="https://lh5.googleusercontent.com/d/1PQSAuX2naHhZZieupker8qDbF58cehq1" TargetMode="External"/><Relationship Id="rId2598" Type="http://schemas.openxmlformats.org/officeDocument/2006/relationships/hyperlink" Target="https://drive.google.com/file/d/1tsH4GWKDAbwhvkkcxJSgv6SxRv3bGxDa/view?usp=drivesdk" TargetMode="External"/><Relationship Id="rId5621" Type="http://schemas.openxmlformats.org/officeDocument/2006/relationships/hyperlink" Target="https://lh5.googleusercontent.com/d/1-BOkYxxoZQsYd358NPaR7Q1eBy79akOo" TargetMode="External"/><Relationship Id="rId3070" Type="http://schemas.openxmlformats.org/officeDocument/2006/relationships/hyperlink" Target="https://drive.google.com/file/d/1v0Uu0F9mrJwI6AKQQ_EPOrbbV1CDv2iC/view?usp=drivesdk" TargetMode="External"/><Relationship Id="rId3072" Type="http://schemas.openxmlformats.org/officeDocument/2006/relationships/hyperlink" Target="https://drive.google.com/file/d/1n0sUT8Sra2BXpLhQBGMxSS3ihjeiMbDj/view?usp=drivesdk" TargetMode="External"/><Relationship Id="rId3071" Type="http://schemas.openxmlformats.org/officeDocument/2006/relationships/hyperlink" Target="https://lh5.googleusercontent.com/d/1EaXV38ERgdHUA5zq2ogNuJmBZOI9gw0X" TargetMode="External"/><Relationship Id="rId3074" Type="http://schemas.openxmlformats.org/officeDocument/2006/relationships/hyperlink" Target="https://drive.google.com/file/d/1LX3BdDpTqms5iJ5CNLFGBvxYzBXKoi6G/view?usp=drivesdk" TargetMode="External"/><Relationship Id="rId3073" Type="http://schemas.openxmlformats.org/officeDocument/2006/relationships/hyperlink" Target="https://lh5.googleusercontent.com/d/1GEDQrJdwHDGR8bQligZzjljmqg19kgG2" TargetMode="External"/><Relationship Id="rId3076" Type="http://schemas.openxmlformats.org/officeDocument/2006/relationships/hyperlink" Target="https://drive.google.com/file/d/1JygJbShDdm4cEjvHzzWhpvOaOr__8FBs/view?usp=drivesdk" TargetMode="External"/><Relationship Id="rId3075" Type="http://schemas.openxmlformats.org/officeDocument/2006/relationships/hyperlink" Target="https://lh5.googleusercontent.com/d/1uDl_4xBlbw5eT2rGoQWnhKu7zzPSfyIE" TargetMode="External"/><Relationship Id="rId3078" Type="http://schemas.openxmlformats.org/officeDocument/2006/relationships/hyperlink" Target="https://drive.google.com/file/d/1j9FR5to3ZN0p7uHKKE5QhcrHUrGSHErC/view?usp=drivesdk" TargetMode="External"/><Relationship Id="rId3077" Type="http://schemas.openxmlformats.org/officeDocument/2006/relationships/hyperlink" Target="https://lh5.googleusercontent.com/d/1t_ZljHDwIpGfhTsJnDtXmXd4-jiKatV7" TargetMode="External"/><Relationship Id="rId3079" Type="http://schemas.openxmlformats.org/officeDocument/2006/relationships/hyperlink" Target="https://lh5.googleusercontent.com/d/1jXNs2gLT_CTwnRHVtmsHaZry7pf-OW3T" TargetMode="External"/><Relationship Id="rId4390" Type="http://schemas.openxmlformats.org/officeDocument/2006/relationships/hyperlink" Target="https://drive.google.com/file/d/114rEjPUTm5IssEGNCDwJXGKIWWTvxKQa/view?usp=drivesdk" TargetMode="External"/><Relationship Id="rId3061" Type="http://schemas.openxmlformats.org/officeDocument/2006/relationships/hyperlink" Target="https://lh5.googleusercontent.com/d/1o8AUImExe_zAqHsP-vnaG6WsIMB694X8" TargetMode="External"/><Relationship Id="rId4392" Type="http://schemas.openxmlformats.org/officeDocument/2006/relationships/hyperlink" Target="https://lh5.googleusercontent.com/d/1OjwMUUdZMmvuMn0i0JM0fGVTKfso8UFi" TargetMode="External"/><Relationship Id="rId3060" Type="http://schemas.openxmlformats.org/officeDocument/2006/relationships/hyperlink" Target="https://drive.google.com/file/d/1yyPeIYzSbmokpVZgEA5pNNZIzJ977d6y/view?usp=drivesdk" TargetMode="External"/><Relationship Id="rId4391" Type="http://schemas.openxmlformats.org/officeDocument/2006/relationships/hyperlink" Target="https://lh5.googleusercontent.com/d/1AIQUPRymncxw7vDzZz4oe_2xS3LIE3Ji" TargetMode="External"/><Relationship Id="rId3063" Type="http://schemas.openxmlformats.org/officeDocument/2006/relationships/hyperlink" Target="https://lh5.googleusercontent.com/d/1Yit5_F2voODjTurAH7EmHrqHl2rgFsCE" TargetMode="External"/><Relationship Id="rId4394" Type="http://schemas.openxmlformats.org/officeDocument/2006/relationships/hyperlink" Target="https://lh5.googleusercontent.com/d/15EcKAMVi-SLh3T-NVZ0DbXeiVuqXlaBy" TargetMode="External"/><Relationship Id="rId3062" Type="http://schemas.openxmlformats.org/officeDocument/2006/relationships/hyperlink" Target="https://drive.google.com/file/d/1A05zLdtoROi1PpNz6fWWs9I28ygkYywN/view?usp=drivesdk" TargetMode="External"/><Relationship Id="rId4393" Type="http://schemas.openxmlformats.org/officeDocument/2006/relationships/hyperlink" Target="https://drive.google.com/file/d/12SbUl1-JZ09o5_qy_eDsi44AwSH3uWLA/view?usp=drivesdk" TargetMode="External"/><Relationship Id="rId3065" Type="http://schemas.openxmlformats.org/officeDocument/2006/relationships/hyperlink" Target="https://lh5.googleusercontent.com/d/1mdrLz0LysCmtH7JP3-7gOtEkkMc8MPky" TargetMode="External"/><Relationship Id="rId4396" Type="http://schemas.openxmlformats.org/officeDocument/2006/relationships/hyperlink" Target="https://lh5.googleusercontent.com/d/1Gxn37TNKhXKSf4i--OtRm0sDfk5gqOuw" TargetMode="External"/><Relationship Id="rId3064" Type="http://schemas.openxmlformats.org/officeDocument/2006/relationships/hyperlink" Target="https://drive.google.com/file/d/1RvyDngcJlfGSpa_kXLBIGEP-drc4zRC8/view?usp=drivesdk" TargetMode="External"/><Relationship Id="rId4395" Type="http://schemas.openxmlformats.org/officeDocument/2006/relationships/hyperlink" Target="https://drive.google.com/file/d/1I0Zvcq9MSXgVlTjWilDRPu1cfJJxuWCW/view?usp=drivesdk" TargetMode="External"/><Relationship Id="rId3067" Type="http://schemas.openxmlformats.org/officeDocument/2006/relationships/hyperlink" Target="https://lh5.googleusercontent.com/d/15e5564DD-rU4aNB_lkFjZfwP9opFJBXE" TargetMode="External"/><Relationship Id="rId4398" Type="http://schemas.openxmlformats.org/officeDocument/2006/relationships/hyperlink" Target="https://lh5.googleusercontent.com/d/1mYAFvfRquQba1B3IA02duF96_rY4Mjil" TargetMode="External"/><Relationship Id="rId3066" Type="http://schemas.openxmlformats.org/officeDocument/2006/relationships/hyperlink" Target="https://drive.google.com/file/d/165vPT5R70LAeVJGjtz78d25WPjuBnIek/view?usp=drivesdk" TargetMode="External"/><Relationship Id="rId4397" Type="http://schemas.openxmlformats.org/officeDocument/2006/relationships/hyperlink" Target="https://drive.google.com/file/d/1NwVJ8kAMQUouDasreE_6RWid1MSeVThg/view?usp=drivesdk" TargetMode="External"/><Relationship Id="rId3069" Type="http://schemas.openxmlformats.org/officeDocument/2006/relationships/hyperlink" Target="https://lh5.googleusercontent.com/d/1GYaLMojEt6yenmghgyXkliQPjmk0Ps7c" TargetMode="External"/><Relationship Id="rId3068" Type="http://schemas.openxmlformats.org/officeDocument/2006/relationships/hyperlink" Target="https://drive.google.com/file/d/1KscPxItsNnVkuABCEVCBgzDzSh3l66Gl/view?usp=drivesdk" TargetMode="External"/><Relationship Id="rId4399" Type="http://schemas.openxmlformats.org/officeDocument/2006/relationships/hyperlink" Target="https://drive.google.com/file/d/1tNZ25iUQ-8KyqHXIWUj6WveqjCTGt36u/view?usp=drivesdk" TargetMode="External"/><Relationship Id="rId3090" Type="http://schemas.openxmlformats.org/officeDocument/2006/relationships/hyperlink" Target="https://drive.google.com/file/d/1nGh3G0a0qkPQPGbQKG-57wkG6NVlMTPb/view?usp=drivesdk" TargetMode="External"/><Relationship Id="rId3092" Type="http://schemas.openxmlformats.org/officeDocument/2006/relationships/hyperlink" Target="https://drive.google.com/file/d/1eNZhwjVzFWTChSCILHUNJcxww8mrhk80/view?usp=drivesdk" TargetMode="External"/><Relationship Id="rId3091" Type="http://schemas.openxmlformats.org/officeDocument/2006/relationships/hyperlink" Target="https://lh5.googleusercontent.com/d/1F1DCb9ofCSQ6y-xDz_D78Nw5I6Sr6qHq" TargetMode="External"/><Relationship Id="rId3094" Type="http://schemas.openxmlformats.org/officeDocument/2006/relationships/hyperlink" Target="https://drive.google.com/file/d/1EePW7zQpYEArnfsMCixYjamvI7gU3GjD/view?usp=drivesdk" TargetMode="External"/><Relationship Id="rId3093" Type="http://schemas.openxmlformats.org/officeDocument/2006/relationships/hyperlink" Target="https://lh5.googleusercontent.com/d/1--2uV5Lap1aFuC6lC-9YGOBD9-GtmYjS" TargetMode="External"/><Relationship Id="rId3096" Type="http://schemas.openxmlformats.org/officeDocument/2006/relationships/hyperlink" Target="https://drive.google.com/file/d/1DVJTTUiTJIgeTa3uKUEccErO7nGi49tP/view?usp=drivesdk" TargetMode="External"/><Relationship Id="rId3095" Type="http://schemas.openxmlformats.org/officeDocument/2006/relationships/hyperlink" Target="https://lh5.googleusercontent.com/d/1mLQmi69Uci6gfWuGiovGRcKVbsmGtEQu" TargetMode="External"/><Relationship Id="rId3098" Type="http://schemas.openxmlformats.org/officeDocument/2006/relationships/hyperlink" Target="https://drive.google.com/file/d/1ovL5Xl0Dclrd_GBxLILf0JCMAQY1gMJb/view?usp=drivesdk" TargetMode="External"/><Relationship Id="rId3097" Type="http://schemas.openxmlformats.org/officeDocument/2006/relationships/hyperlink" Target="https://lh5.googleusercontent.com/d/1Hi6VBnt6sAc_rFyyn_R5KQLVyv-1VQ8g" TargetMode="External"/><Relationship Id="rId3099" Type="http://schemas.openxmlformats.org/officeDocument/2006/relationships/hyperlink" Target="https://lh5.googleusercontent.com/d/1SdzKjrIEEp0oQUsDCrzTVZMTCJod-qyi" TargetMode="External"/><Relationship Id="rId3081" Type="http://schemas.openxmlformats.org/officeDocument/2006/relationships/hyperlink" Target="https://lh5.googleusercontent.com/d/17StTP_lIP9JIZjcm16ekJnxopFkUapOu" TargetMode="External"/><Relationship Id="rId3080" Type="http://schemas.openxmlformats.org/officeDocument/2006/relationships/hyperlink" Target="https://drive.google.com/file/d/1MVVU5Z4f-3QmmCE_rncmDRA8P037KfH2/view?usp=drivesdk" TargetMode="External"/><Relationship Id="rId3083" Type="http://schemas.openxmlformats.org/officeDocument/2006/relationships/hyperlink" Target="https://lh5.googleusercontent.com/d/1rhXsTPcq3hEd7H1whnqGjhGldRElh3_c" TargetMode="External"/><Relationship Id="rId3082" Type="http://schemas.openxmlformats.org/officeDocument/2006/relationships/hyperlink" Target="https://drive.google.com/file/d/1FhEKk5HybXJEY_vak0zlJhTUnh8LnWAl/view?usp=drivesdk" TargetMode="External"/><Relationship Id="rId3085" Type="http://schemas.openxmlformats.org/officeDocument/2006/relationships/hyperlink" Target="https://lh5.googleusercontent.com/d/1XI6CJT_xeSPDdMJ2LLeyRTUoH-sjGU5Q" TargetMode="External"/><Relationship Id="rId3084" Type="http://schemas.openxmlformats.org/officeDocument/2006/relationships/hyperlink" Target="https://drive.google.com/file/d/1rL30dFN6jwcA498Q-y47SnwAQTp7AP3t/view?usp=drivesdk" TargetMode="External"/><Relationship Id="rId3087" Type="http://schemas.openxmlformats.org/officeDocument/2006/relationships/hyperlink" Target="https://lh5.googleusercontent.com/d/1TJQOw7c4aeTEj3vaeE_AnZZjl3RyWxY9" TargetMode="External"/><Relationship Id="rId3086" Type="http://schemas.openxmlformats.org/officeDocument/2006/relationships/hyperlink" Target="https://drive.google.com/file/d/1djpZffRQ38vTWaU0BmlHpMgVfkOLAu-m/view?usp=drivesdk" TargetMode="External"/><Relationship Id="rId3089" Type="http://schemas.openxmlformats.org/officeDocument/2006/relationships/hyperlink" Target="https://lh5.googleusercontent.com/d/1tDb-0z4XGNDh5rgVvZJSsBwD4Mm5kOVv" TargetMode="External"/><Relationship Id="rId3088" Type="http://schemas.openxmlformats.org/officeDocument/2006/relationships/hyperlink" Target="https://drive.google.com/file/d/1bL2cztyHDTkd1rzzNO8xyBMp-MSqQwT5/view?usp=drivesdk" TargetMode="External"/><Relationship Id="rId3039" Type="http://schemas.openxmlformats.org/officeDocument/2006/relationships/hyperlink" Target="https://lh5.googleusercontent.com/d/1w6yGppmITFtqIiN1-uZwxoVYSq3WuI83" TargetMode="External"/><Relationship Id="rId1" Type="http://schemas.openxmlformats.org/officeDocument/2006/relationships/hyperlink" Target="https://lh5.googleusercontent.com/d/18-lbP1-Wos582ONhKWf1fNdWsOwMspox" TargetMode="External"/><Relationship Id="rId2" Type="http://schemas.openxmlformats.org/officeDocument/2006/relationships/hyperlink" Target="https://drive.google.com/file/d/18HXnOcN2owWyM5ZRojVVLwYRRhWurUhr/view?usp=drivesdk" TargetMode="External"/><Relationship Id="rId3" Type="http://schemas.openxmlformats.org/officeDocument/2006/relationships/hyperlink" Target="https://lh5.googleusercontent.com/d/1OCZ183nrqKPKTQv9QdOX_5Mo3ALegEjh" TargetMode="External"/><Relationship Id="rId4" Type="http://schemas.openxmlformats.org/officeDocument/2006/relationships/hyperlink" Target="https://drive.google.com/file/d/1lTxcaP2F56eglcC9Yl7kvaTeIEg-H66S/view?usp=drivesdk" TargetMode="External"/><Relationship Id="rId5691" Type="http://schemas.openxmlformats.org/officeDocument/2006/relationships/hyperlink" Target="https://lh5.googleusercontent.com/d/1ebsYPICFJZ-q8LGRLZn2E-Rsgcrs9msA" TargetMode="External"/><Relationship Id="rId5692" Type="http://schemas.openxmlformats.org/officeDocument/2006/relationships/hyperlink" Target="https://drive.google.com/file/d/1ne9iKb0wJuwimwa6oM-kQv6NP0DUncW4/view?usp=drivesdk" TargetMode="External"/><Relationship Id="rId3030" Type="http://schemas.openxmlformats.org/officeDocument/2006/relationships/hyperlink" Target="https://drive.google.com/file/d/1CH1WahlVueECc9khVl4ID8G4GfVIXpVr/view?usp=drivesdk" TargetMode="External"/><Relationship Id="rId4361" Type="http://schemas.openxmlformats.org/officeDocument/2006/relationships/hyperlink" Target="https://drive.google.com/file/d/1dJDRtaKhydQnd5xrMEi8_z7dPBZz5_1F/view?usp=drivesdk" TargetMode="External"/><Relationship Id="rId4360" Type="http://schemas.openxmlformats.org/officeDocument/2006/relationships/hyperlink" Target="https://lh5.googleusercontent.com/d/1on8wiZ_Y-UaJIaTamT0mcRMwpTVORA3O" TargetMode="External"/><Relationship Id="rId5690" Type="http://schemas.openxmlformats.org/officeDocument/2006/relationships/hyperlink" Target="https://drive.google.com/file/d/1mgWP-uUtrzMX_kowhfbBZnkCQCHJWzd4/view?usp=drivesdk" TargetMode="External"/><Relationship Id="rId9" Type="http://schemas.openxmlformats.org/officeDocument/2006/relationships/hyperlink" Target="https://lh5.googleusercontent.com/d/1x7_Dy5B30CyK0eTf4Jm1AoFkLHpiSP_T" TargetMode="External"/><Relationship Id="rId3032" Type="http://schemas.openxmlformats.org/officeDocument/2006/relationships/hyperlink" Target="https://drive.google.com/file/d/1oxWqf_IWMfTbz4hbTzx46-f9eBRGyQSB/view?usp=drivesdk" TargetMode="External"/><Relationship Id="rId4363" Type="http://schemas.openxmlformats.org/officeDocument/2006/relationships/hyperlink" Target="https://drive.google.com/file/d/1zJOFomyMh0C9abhR57SZEgkiKkmAf141/view?usp=drivesdk" TargetMode="External"/><Relationship Id="rId5695" Type="http://schemas.openxmlformats.org/officeDocument/2006/relationships/hyperlink" Target="https://lh5.googleusercontent.com/d/1n9C9iijmO0u54yiu4BTG1sfZ5mp1t9Qf" TargetMode="External"/><Relationship Id="rId3031" Type="http://schemas.openxmlformats.org/officeDocument/2006/relationships/hyperlink" Target="https://lh5.googleusercontent.com/d/1ofZVEmtQIQ-ntb6EYFiyCFGP3aNBrRhi" TargetMode="External"/><Relationship Id="rId4362" Type="http://schemas.openxmlformats.org/officeDocument/2006/relationships/hyperlink" Target="https://lh5.googleusercontent.com/d/1giP9swpnwXlmitzbcGeuEujpzzG0ijeK" TargetMode="External"/><Relationship Id="rId5696" Type="http://schemas.openxmlformats.org/officeDocument/2006/relationships/hyperlink" Target="https://drive.google.com/file/d/1gCzfIReZvJUDkhQiMX5VuIT-PcCvX0J4/view?usp=drivesdk" TargetMode="External"/><Relationship Id="rId3034" Type="http://schemas.openxmlformats.org/officeDocument/2006/relationships/hyperlink" Target="https://drive.google.com/file/d/1hapIfRxUFv-sKortnX1GCb47L8fHKHpN/view?usp=drivesdk" TargetMode="External"/><Relationship Id="rId4365" Type="http://schemas.openxmlformats.org/officeDocument/2006/relationships/hyperlink" Target="https://drive.google.com/file/d/1g3LR7ZXeU6NMQYNe_TU6WIuVlvPyBQ-O/view?usp=drivesdk" TargetMode="External"/><Relationship Id="rId5693" Type="http://schemas.openxmlformats.org/officeDocument/2006/relationships/hyperlink" Target="https://lh5.googleusercontent.com/d/1DP-YVVDbbRg-VW438mhsDooVoSkV-AF3" TargetMode="External"/><Relationship Id="rId3033" Type="http://schemas.openxmlformats.org/officeDocument/2006/relationships/hyperlink" Target="https://lh5.googleusercontent.com/d/1u9vhDhuAWmXPq7XkIactKtXLS2bjviBD" TargetMode="External"/><Relationship Id="rId4364" Type="http://schemas.openxmlformats.org/officeDocument/2006/relationships/hyperlink" Target="https://lh5.googleusercontent.com/d/1etURJWANQv2q02nPZyu-QWex-qbXO0bh" TargetMode="External"/><Relationship Id="rId5694" Type="http://schemas.openxmlformats.org/officeDocument/2006/relationships/hyperlink" Target="https://drive.google.com/file/d/1J_lHIjLVScnvbnlFes38W1UkOAaQmUcp/view?usp=drivesdk" TargetMode="External"/><Relationship Id="rId5" Type="http://schemas.openxmlformats.org/officeDocument/2006/relationships/hyperlink" Target="https://lh5.googleusercontent.com/d/1TAO9uWwrnR9jceqAGDWc29HtHOt02J_I" TargetMode="External"/><Relationship Id="rId3036" Type="http://schemas.openxmlformats.org/officeDocument/2006/relationships/hyperlink" Target="https://drive.google.com/file/d/1wnguZxsd1r039Np6nU1jzYNB2gnY1t54/view?usp=drivesdk" TargetMode="External"/><Relationship Id="rId4367" Type="http://schemas.openxmlformats.org/officeDocument/2006/relationships/hyperlink" Target="https://drive.google.com/file/d/1ymyK67XuTSiZL3fd1IwP-tFhdGJJIfB4/view?usp=drivesdk" TargetMode="External"/><Relationship Id="rId5699" Type="http://schemas.openxmlformats.org/officeDocument/2006/relationships/hyperlink" Target="https://lh5.googleusercontent.com/d/1mhzwD76GYBo4ZJt6EVDIOGhrDcAz0uGI" TargetMode="External"/><Relationship Id="rId6" Type="http://schemas.openxmlformats.org/officeDocument/2006/relationships/hyperlink" Target="https://drive.google.com/file/d/1eyakFcLPIBb0g05fLGOHVO8XCxEBB1Fr/view?usp=drivesdk" TargetMode="External"/><Relationship Id="rId3035" Type="http://schemas.openxmlformats.org/officeDocument/2006/relationships/hyperlink" Target="https://lh5.googleusercontent.com/d/1irviaXPE8ySLzfqAqeQlOrexnJOq5Gb5" TargetMode="External"/><Relationship Id="rId4366" Type="http://schemas.openxmlformats.org/officeDocument/2006/relationships/hyperlink" Target="https://lh5.googleusercontent.com/d/15JYC_iVvBXirjx87I0Mq0ssiB4CoREl4" TargetMode="External"/><Relationship Id="rId7" Type="http://schemas.openxmlformats.org/officeDocument/2006/relationships/hyperlink" Target="https://lh5.googleusercontent.com/d/1wmJuP8tCj9_MZNcoLMQYIFliF3D74Bqy" TargetMode="External"/><Relationship Id="rId3038" Type="http://schemas.openxmlformats.org/officeDocument/2006/relationships/hyperlink" Target="https://drive.google.com/file/d/1JPSR-yICLoN8GZaPwv-GHXVlqDia_mgb/view?usp=drivesdk" TargetMode="External"/><Relationship Id="rId4369" Type="http://schemas.openxmlformats.org/officeDocument/2006/relationships/hyperlink" Target="https://drive.google.com/file/d/1z4DgWClg8lR5J2s-IvRrWMqHkllQAyxV/view?usp=drivesdk" TargetMode="External"/><Relationship Id="rId5697" Type="http://schemas.openxmlformats.org/officeDocument/2006/relationships/hyperlink" Target="https://lh5.googleusercontent.com/d/1KcZ-1OajRVD1WMXOmtHAtO4a0JERXrvf" TargetMode="External"/><Relationship Id="rId8" Type="http://schemas.openxmlformats.org/officeDocument/2006/relationships/hyperlink" Target="https://drive.google.com/file/d/1Me8-YdFm_i4pl6MCVcHRVmzDMcn0joU1/view?usp=drivesdk" TargetMode="External"/><Relationship Id="rId3037" Type="http://schemas.openxmlformats.org/officeDocument/2006/relationships/hyperlink" Target="https://lh5.googleusercontent.com/d/1j7xDymleUeqLfoR5nWLSHCopkI9X7aKl" TargetMode="External"/><Relationship Id="rId4368" Type="http://schemas.openxmlformats.org/officeDocument/2006/relationships/hyperlink" Target="https://lh5.googleusercontent.com/d/1Kb2J9XSeY0IWFN5TEtqCXmfEJPP2nA8b" TargetMode="External"/><Relationship Id="rId5698" Type="http://schemas.openxmlformats.org/officeDocument/2006/relationships/hyperlink" Target="https://drive.google.com/file/d/1_V1858Tq5QhiEjfQofktCJt-VSlD_siP/view?usp=drivesdk" TargetMode="External"/><Relationship Id="rId3029" Type="http://schemas.openxmlformats.org/officeDocument/2006/relationships/hyperlink" Target="https://lh5.googleusercontent.com/d/1FNYDqkfUpYJBOuhXDLRD0iQ4TF-pzg9A" TargetMode="External"/><Relationship Id="rId3028" Type="http://schemas.openxmlformats.org/officeDocument/2006/relationships/hyperlink" Target="https://drive.google.com/file/d/1miUjxCivYVmiFAzBytkkniMVyu5C9il3/view?usp=drivesdk" TargetMode="External"/><Relationship Id="rId4359" Type="http://schemas.openxmlformats.org/officeDocument/2006/relationships/hyperlink" Target="https://drive.google.com/file/d/1LhbVBFAh0qa7HeVzMsO_3D_-lwpGbLn7/view?usp=drivesdk" TargetMode="External"/><Relationship Id="rId5680" Type="http://schemas.openxmlformats.org/officeDocument/2006/relationships/hyperlink" Target="https://drive.google.com/file/d/1bqtZ5FAs7wsPggS0YP6aAyAiwzOHN3Xr/view?usp=drivesdk" TargetMode="External"/><Relationship Id="rId5681" Type="http://schemas.openxmlformats.org/officeDocument/2006/relationships/hyperlink" Target="https://lh5.googleusercontent.com/d/1oz5vEWlCBiNFYSBWSjxloHDeuqerpmLk" TargetMode="External"/><Relationship Id="rId4350" Type="http://schemas.openxmlformats.org/officeDocument/2006/relationships/hyperlink" Target="https://lh5.googleusercontent.com/d/1lcLqITs32VK1ihy1wMy1wKul0rc1HZmG" TargetMode="External"/><Relationship Id="rId3021" Type="http://schemas.openxmlformats.org/officeDocument/2006/relationships/hyperlink" Target="https://lh5.googleusercontent.com/d/1SFDjFBlcdM30RmHRvzaMCb8PY5i0oMFW" TargetMode="External"/><Relationship Id="rId4352" Type="http://schemas.openxmlformats.org/officeDocument/2006/relationships/hyperlink" Target="https://lh5.googleusercontent.com/d/1HrL9l0wVuBuO7fNyZEF1m4ykZ9ydkk6k" TargetMode="External"/><Relationship Id="rId5684" Type="http://schemas.openxmlformats.org/officeDocument/2006/relationships/hyperlink" Target="https://drive.google.com/file/d/1qZwiEjnATYkjJjq1vmFVWFwWC6uBHuch/view?usp=drivesdk" TargetMode="External"/><Relationship Id="rId3020" Type="http://schemas.openxmlformats.org/officeDocument/2006/relationships/hyperlink" Target="https://lh5.googleusercontent.com/d/1CPT3cbROLy4nYp5nWDfRgnP3JY5gL-F0" TargetMode="External"/><Relationship Id="rId4351" Type="http://schemas.openxmlformats.org/officeDocument/2006/relationships/hyperlink" Target="https://drive.google.com/file/d/1kP-ga7gZsID43Y4VeENo6ZAYZ77-YXY8/view?usp=drivesdk" TargetMode="External"/><Relationship Id="rId5685" Type="http://schemas.openxmlformats.org/officeDocument/2006/relationships/hyperlink" Target="https://lh5.googleusercontent.com/d/1jZ-gCjxlDCJdrYPmD5k9HFUOHTVN3SaD" TargetMode="External"/><Relationship Id="rId3023" Type="http://schemas.openxmlformats.org/officeDocument/2006/relationships/hyperlink" Target="https://lh5.googleusercontent.com/d/1W-zZcHIdZ4VAZhMKKyjTuBMiP7_LsnD0" TargetMode="External"/><Relationship Id="rId4354" Type="http://schemas.openxmlformats.org/officeDocument/2006/relationships/hyperlink" Target="https://lh5.googleusercontent.com/d/1QnAArVacq9mme4DpwzdHU_ejuk5F3lwq" TargetMode="External"/><Relationship Id="rId5682" Type="http://schemas.openxmlformats.org/officeDocument/2006/relationships/hyperlink" Target="https://drive.google.com/file/d/1aNlQt5ERQAbpWZojbg5tpEHZxZA6O1Lv/view?usp=drivesdk" TargetMode="External"/><Relationship Id="rId3022" Type="http://schemas.openxmlformats.org/officeDocument/2006/relationships/hyperlink" Target="https://drive.google.com/file/d/1ZBzWVGNFZfyAEWxjEi-vvDOO_xuJSVNU/view?usp=drivesdk" TargetMode="External"/><Relationship Id="rId4353" Type="http://schemas.openxmlformats.org/officeDocument/2006/relationships/hyperlink" Target="https://drive.google.com/file/d/1wxfQkeOxZWoO7z40TF2Jd_fmyj8u6fht/view?usp=drivesdk" TargetMode="External"/><Relationship Id="rId5683" Type="http://schemas.openxmlformats.org/officeDocument/2006/relationships/hyperlink" Target="https://lh5.googleusercontent.com/d/1pAtsb78eHNrTQ2T3VQ0rLugGLpbxsY5O" TargetMode="External"/><Relationship Id="rId3025" Type="http://schemas.openxmlformats.org/officeDocument/2006/relationships/hyperlink" Target="https://lh5.googleusercontent.com/d/13zrckcgkG7tIq-Jn67BjVj7BdcxQ_zHM" TargetMode="External"/><Relationship Id="rId4356" Type="http://schemas.openxmlformats.org/officeDocument/2006/relationships/hyperlink" Target="https://lh5.googleusercontent.com/d/1_imt5bS0sGma9h5gU-VgdtS_iqOf3wlY" TargetMode="External"/><Relationship Id="rId5688" Type="http://schemas.openxmlformats.org/officeDocument/2006/relationships/hyperlink" Target="https://drive.google.com/file/d/1BiJXgWEF508r-bAlaSu04zdDTUmsapXN/view?usp=drivesdk" TargetMode="External"/><Relationship Id="rId3024" Type="http://schemas.openxmlformats.org/officeDocument/2006/relationships/hyperlink" Target="https://drive.google.com/file/d/1jsHUeyGBDcmVnSHMAAFmlmO79o_43VpV/view?usp=drivesdk" TargetMode="External"/><Relationship Id="rId4355" Type="http://schemas.openxmlformats.org/officeDocument/2006/relationships/hyperlink" Target="https://drive.google.com/file/d/1O_iRCUQk0F3kQlXHf1xlMM1moShfU9ir/view?usp=drivesdk" TargetMode="External"/><Relationship Id="rId5689" Type="http://schemas.openxmlformats.org/officeDocument/2006/relationships/hyperlink" Target="https://lh5.googleusercontent.com/d/1xS5Q7rlLxSnSjdLtAIUsYEA4VhbX-ZsQ" TargetMode="External"/><Relationship Id="rId3027" Type="http://schemas.openxmlformats.org/officeDocument/2006/relationships/hyperlink" Target="https://lh5.googleusercontent.com/d/1e2OEx3SBEtcBv-ZHU7IXwDIEPFGYrtU9" TargetMode="External"/><Relationship Id="rId4358" Type="http://schemas.openxmlformats.org/officeDocument/2006/relationships/hyperlink" Target="https://lh5.googleusercontent.com/d/1nNiLnE9cpGG_bCQJwHjaMIou-MxY2Jjj" TargetMode="External"/><Relationship Id="rId5686" Type="http://schemas.openxmlformats.org/officeDocument/2006/relationships/hyperlink" Target="https://drive.google.com/file/d/1oSr7rO9xVbqU1Jm_Fo2ZgFozikJ790QN/view?usp=drivesdk" TargetMode="External"/><Relationship Id="rId3026" Type="http://schemas.openxmlformats.org/officeDocument/2006/relationships/hyperlink" Target="https://drive.google.com/file/d/1us0cWapxlxy-7E6O7Nf8iaWxyD2r8rQO/view?usp=drivesdk" TargetMode="External"/><Relationship Id="rId4357" Type="http://schemas.openxmlformats.org/officeDocument/2006/relationships/hyperlink" Target="https://drive.google.com/file/d/1DNVGsLbwddhK4S2iLsYHxWvo7QYgXZ4o/view?usp=drivesdk" TargetMode="External"/><Relationship Id="rId5687" Type="http://schemas.openxmlformats.org/officeDocument/2006/relationships/hyperlink" Target="https://lh5.googleusercontent.com/d/1YiHcad_9nyMJhWrPmOxhw9-M13X6at8E" TargetMode="External"/><Relationship Id="rId3050" Type="http://schemas.openxmlformats.org/officeDocument/2006/relationships/hyperlink" Target="https://drive.google.com/file/d/1TCxsvXYtRLxLjNNsaEX84Cs3JMbc5ZTE/view?usp=drivesdk" TargetMode="External"/><Relationship Id="rId4381" Type="http://schemas.openxmlformats.org/officeDocument/2006/relationships/hyperlink" Target="https://drive.google.com/file/d/1HVhUr-HmM9vKIIYbrKyNcbfgAxiUZ57k/view?usp=drivesdk" TargetMode="External"/><Relationship Id="rId4380" Type="http://schemas.openxmlformats.org/officeDocument/2006/relationships/hyperlink" Target="https://lh5.googleusercontent.com/d/1I1_3k3tjf82nj3txR-zXaAtVemq5YiOh" TargetMode="External"/><Relationship Id="rId3052" Type="http://schemas.openxmlformats.org/officeDocument/2006/relationships/hyperlink" Target="https://drive.google.com/file/d/1HAlS8CLjN-Em7_lZjFK6KnwHW2Hf4Yky/view?usp=drivesdk" TargetMode="External"/><Relationship Id="rId4383" Type="http://schemas.openxmlformats.org/officeDocument/2006/relationships/hyperlink" Target="https://drive.google.com/file/d/1bwM3XVV7S28ryrlz64LiwIccYbjTDrlA/view?usp=drivesdk" TargetMode="External"/><Relationship Id="rId3051" Type="http://schemas.openxmlformats.org/officeDocument/2006/relationships/hyperlink" Target="https://lh5.googleusercontent.com/d/1DhscnPte0z_LFiqgtpvezdhZGkVnF3vU" TargetMode="External"/><Relationship Id="rId4382" Type="http://schemas.openxmlformats.org/officeDocument/2006/relationships/hyperlink" Target="https://lh5.googleusercontent.com/d/1YZa4DzF_W7K7UOvdRjmdzmMyI5JvMOGS" TargetMode="External"/><Relationship Id="rId3054" Type="http://schemas.openxmlformats.org/officeDocument/2006/relationships/hyperlink" Target="https://drive.google.com/file/d/1TDy5rPoMLzXZCdyjTNNdGMyFeKWaLT60/view?usp=drivesdk" TargetMode="External"/><Relationship Id="rId4385" Type="http://schemas.openxmlformats.org/officeDocument/2006/relationships/hyperlink" Target="https://drive.google.com/file/d/1Aw9VRkJ_kkE04_fsaiJyKMwFiu04DKE2/view?usp=drivesdk" TargetMode="External"/><Relationship Id="rId3053" Type="http://schemas.openxmlformats.org/officeDocument/2006/relationships/hyperlink" Target="https://lh5.googleusercontent.com/d/1ppmKmqzuRas5916LavsbsKMokDJ0-EKG" TargetMode="External"/><Relationship Id="rId4384" Type="http://schemas.openxmlformats.org/officeDocument/2006/relationships/hyperlink" Target="https://lh5.googleusercontent.com/d/10VzmPn6w-Fw6Ne2I4gHNDUf1BjpwqMdI" TargetMode="External"/><Relationship Id="rId3056" Type="http://schemas.openxmlformats.org/officeDocument/2006/relationships/hyperlink" Target="https://drive.google.com/file/d/1rEsAzAu8E-nUu1tyW6wOoVg2rylUrRGP/view?usp=drivesdk" TargetMode="External"/><Relationship Id="rId4387" Type="http://schemas.openxmlformats.org/officeDocument/2006/relationships/hyperlink" Target="https://drive.google.com/file/d/1ZzyJwLHDubK4ra8y1_R-IrRadUyb945_/view?usp=drivesdk" TargetMode="External"/><Relationship Id="rId3055" Type="http://schemas.openxmlformats.org/officeDocument/2006/relationships/hyperlink" Target="https://lh5.googleusercontent.com/d/1s6b64kQXQk18bJH0zCdVU857MSdIU2nM" TargetMode="External"/><Relationship Id="rId4386" Type="http://schemas.openxmlformats.org/officeDocument/2006/relationships/hyperlink" Target="https://lh5.googleusercontent.com/d/1GmGToX6kiH0TttXyWgb6eVyZMKetIaKv" TargetMode="External"/><Relationship Id="rId3058" Type="http://schemas.openxmlformats.org/officeDocument/2006/relationships/hyperlink" Target="https://drive.google.com/file/d/18DD24L60qRxtBOb2NN-Ut7KXqs_Z3kDh/view?usp=drivesdk" TargetMode="External"/><Relationship Id="rId4389" Type="http://schemas.openxmlformats.org/officeDocument/2006/relationships/hyperlink" Target="https://lh5.googleusercontent.com/d/1TE4FFmwDpUGrGGxCPsoC6zjQYH3q7Ce9" TargetMode="External"/><Relationship Id="rId3057" Type="http://schemas.openxmlformats.org/officeDocument/2006/relationships/hyperlink" Target="https://lh5.googleusercontent.com/d/1klo6btKImPZqUj_vnkTUIR00-MBBZnHX" TargetMode="External"/><Relationship Id="rId4388" Type="http://schemas.openxmlformats.org/officeDocument/2006/relationships/hyperlink" Target="https://lh5.googleusercontent.com/d/1CM31RjiYxEQ0FN9X-2vHDOV9z8k2-5ml" TargetMode="External"/><Relationship Id="rId3059" Type="http://schemas.openxmlformats.org/officeDocument/2006/relationships/hyperlink" Target="https://lh5.googleusercontent.com/d/16A5jvBTS157yqIPglBZMNDl9Z9__eS11" TargetMode="External"/><Relationship Id="rId4370" Type="http://schemas.openxmlformats.org/officeDocument/2006/relationships/hyperlink" Target="https://lh5.googleusercontent.com/d/1InLQv2VMi9TC8lylI7Xt9KUs0SfJsOtL" TargetMode="External"/><Relationship Id="rId3041" Type="http://schemas.openxmlformats.org/officeDocument/2006/relationships/hyperlink" Target="https://lh5.googleusercontent.com/d/1T2ieo669tsymowQFZDtkHBc1buc5wfDv" TargetMode="External"/><Relationship Id="rId4372" Type="http://schemas.openxmlformats.org/officeDocument/2006/relationships/hyperlink" Target="https://lh5.googleusercontent.com/d/1n2FWFfmPQZJ0klI3sbBZU7xYR9GnUCFk" TargetMode="External"/><Relationship Id="rId3040" Type="http://schemas.openxmlformats.org/officeDocument/2006/relationships/hyperlink" Target="https://drive.google.com/file/d/1EqPHgovQ413qiUBgKUSEi9o-4sYs6loD/view?usp=drivesdk" TargetMode="External"/><Relationship Id="rId4371" Type="http://schemas.openxmlformats.org/officeDocument/2006/relationships/hyperlink" Target="https://drive.google.com/file/d/1IIPiD0JVtElZYP8A9Gp2EIMPvrKRNaJy/view?usp=drivesdk" TargetMode="External"/><Relationship Id="rId3043" Type="http://schemas.openxmlformats.org/officeDocument/2006/relationships/hyperlink" Target="https://lh5.googleusercontent.com/d/1mO0vBQ1jrb-gsSwYxkcSXdT9d6TrZiXW" TargetMode="External"/><Relationship Id="rId4374" Type="http://schemas.openxmlformats.org/officeDocument/2006/relationships/hyperlink" Target="https://lh5.googleusercontent.com/d/1mlOn0Acgojb4oDQmxG0UIPu0ktbkAbbc" TargetMode="External"/><Relationship Id="rId3042" Type="http://schemas.openxmlformats.org/officeDocument/2006/relationships/hyperlink" Target="https://drive.google.com/file/d/1JvOGo4rlQagr3TpHdQ6nPe9q8Nt9mpot/view?usp=drivesdk" TargetMode="External"/><Relationship Id="rId4373" Type="http://schemas.openxmlformats.org/officeDocument/2006/relationships/hyperlink" Target="https://drive.google.com/file/d/1gzHoNMcYupjl57zXZcrR8BIoGrJWFDCr/view?usp=drivesdk" TargetMode="External"/><Relationship Id="rId3045" Type="http://schemas.openxmlformats.org/officeDocument/2006/relationships/hyperlink" Target="https://lh5.googleusercontent.com/d/16_s9p_zJZAHnZgQNzkB8M4oKY-tu-_oO" TargetMode="External"/><Relationship Id="rId4376" Type="http://schemas.openxmlformats.org/officeDocument/2006/relationships/hyperlink" Target="https://lh5.googleusercontent.com/d/1-Gusb68gcalFYXsux-ukvC9FkUIz7w6_" TargetMode="External"/><Relationship Id="rId3044" Type="http://schemas.openxmlformats.org/officeDocument/2006/relationships/hyperlink" Target="https://drive.google.com/file/d/1mQUnD26DV1j9hb4mbTJCkLhxHI282u6j/view?usp=drivesdk" TargetMode="External"/><Relationship Id="rId4375" Type="http://schemas.openxmlformats.org/officeDocument/2006/relationships/hyperlink" Target="https://drive.google.com/file/d/14hRy9bNB33tWf5x0miCN0ZbvEZcI-CJo/view?usp=drivesdk" TargetMode="External"/><Relationship Id="rId3047" Type="http://schemas.openxmlformats.org/officeDocument/2006/relationships/hyperlink" Target="https://lh5.googleusercontent.com/d/1BVpyxa6T7y1mjyRlUOFCQSGO6FO1MuNs" TargetMode="External"/><Relationship Id="rId4378" Type="http://schemas.openxmlformats.org/officeDocument/2006/relationships/hyperlink" Target="https://lh5.googleusercontent.com/d/1x-MhyD041LBY2fThjRvFvaQrqvibnLDA" TargetMode="External"/><Relationship Id="rId3046" Type="http://schemas.openxmlformats.org/officeDocument/2006/relationships/hyperlink" Target="https://drive.google.com/file/d/1q6M2GUrC0xoo04w7EQOcfba5sXNOlkxM/view?usp=drivesdk" TargetMode="External"/><Relationship Id="rId4377" Type="http://schemas.openxmlformats.org/officeDocument/2006/relationships/hyperlink" Target="https://drive.google.com/file/d/15ztBM0Yhu0IkIFXsHYRBEotgWZDFK2gi/view?usp=drivesdk" TargetMode="External"/><Relationship Id="rId3049" Type="http://schemas.openxmlformats.org/officeDocument/2006/relationships/hyperlink" Target="https://lh5.googleusercontent.com/d/1ygMDWsnUxcPtRQZLUXyVkdNMAJfCCR9I" TargetMode="External"/><Relationship Id="rId3048" Type="http://schemas.openxmlformats.org/officeDocument/2006/relationships/hyperlink" Target="https://drive.google.com/file/d/1ypxRQgRwwjZLOM3JMiEQntXucKDGb04e/view?usp=drivesdk" TargetMode="External"/><Relationship Id="rId4379" Type="http://schemas.openxmlformats.org/officeDocument/2006/relationships/hyperlink" Target="https://drive.google.com/file/d/12rsNOZYmUvfjmGqMjwIycgO8uZr576f3/view?usp=drivesdk" TargetMode="External"/><Relationship Id="rId3911" Type="http://schemas.openxmlformats.org/officeDocument/2006/relationships/hyperlink" Target="https://drive.google.com/file/d/1t3QzSlfVeha7Nb_ZhnRIzLlwtsB8JC0-/view?usp=drivesdk" TargetMode="External"/><Relationship Id="rId3910" Type="http://schemas.openxmlformats.org/officeDocument/2006/relationships/hyperlink" Target="https://lh5.googleusercontent.com/d/1rlrXT_1qbuidw4Hk-5r6rISv-D8qn34q" TargetMode="External"/><Relationship Id="rId3913" Type="http://schemas.openxmlformats.org/officeDocument/2006/relationships/hyperlink" Target="https://drive.google.com/file/d/13ak3w5VQdTE7mduMZyEszs3eARnbnlQJ/view?usp=drivesdk" TargetMode="External"/><Relationship Id="rId3912" Type="http://schemas.openxmlformats.org/officeDocument/2006/relationships/hyperlink" Target="https://lh5.googleusercontent.com/d/1z3NfVN0rFh3hfiiyfy2DQmR5bJPrahQw" TargetMode="External"/><Relationship Id="rId3915" Type="http://schemas.openxmlformats.org/officeDocument/2006/relationships/hyperlink" Target="https://drive.google.com/file/d/1UQc4CMcwsNwNKSUn29hTkviosKz7b2qW/view?usp=drivesdk" TargetMode="External"/><Relationship Id="rId3914" Type="http://schemas.openxmlformats.org/officeDocument/2006/relationships/hyperlink" Target="https://lh5.googleusercontent.com/d/173oWD4QhbP9nfUzZ1yA9w00X1cdlfs7U" TargetMode="External"/><Relationship Id="rId3917" Type="http://schemas.openxmlformats.org/officeDocument/2006/relationships/hyperlink" Target="https://drive.google.com/file/d/12siZbS7TcWsryem8piOquhJL0geq-kM_/view?usp=drivesdk" TargetMode="External"/><Relationship Id="rId3916" Type="http://schemas.openxmlformats.org/officeDocument/2006/relationships/hyperlink" Target="https://lh5.googleusercontent.com/d/1b0u0_AMMrl9FGkBRUVbdFBSZJHp9XbJS" TargetMode="External"/><Relationship Id="rId3919" Type="http://schemas.openxmlformats.org/officeDocument/2006/relationships/hyperlink" Target="https://drive.google.com/file/d/1-yYQZBj_tcjrJSTIfAuqJ6qEeVivfpDX/view?usp=drivesdk" TargetMode="External"/><Relationship Id="rId3918" Type="http://schemas.openxmlformats.org/officeDocument/2006/relationships/hyperlink" Target="https://lh5.googleusercontent.com/d/1ysHb5r6NTyd-fZGhcwl02HFJuxBT-Exy" TargetMode="External"/><Relationship Id="rId3900" Type="http://schemas.openxmlformats.org/officeDocument/2006/relationships/hyperlink" Target="https://lh5.googleusercontent.com/d/1qbs_BQGfQwSoAButLUNHOsLCHdIDXEHm" TargetMode="External"/><Relationship Id="rId3902" Type="http://schemas.openxmlformats.org/officeDocument/2006/relationships/hyperlink" Target="https://lh5.googleusercontent.com/d/1CxBo4ZdbWMXZJjKGyPaOMaFH23MSEfPX" TargetMode="External"/><Relationship Id="rId3901" Type="http://schemas.openxmlformats.org/officeDocument/2006/relationships/hyperlink" Target="https://drive.google.com/file/d/1VyPmM0wNUsUDbivTX2VTJcCyValbh63f/view?usp=drivesdk" TargetMode="External"/><Relationship Id="rId3904" Type="http://schemas.openxmlformats.org/officeDocument/2006/relationships/hyperlink" Target="https://lh5.googleusercontent.com/d/1ini5SR5Wlxp9yqchg6AndRk97T8foX1T" TargetMode="External"/><Relationship Id="rId3903" Type="http://schemas.openxmlformats.org/officeDocument/2006/relationships/hyperlink" Target="https://drive.google.com/file/d/1YftZ9mIYPllxSuB2MFxDtEy1eIiVodtH/view?usp=drivesdk" TargetMode="External"/><Relationship Id="rId3906" Type="http://schemas.openxmlformats.org/officeDocument/2006/relationships/hyperlink" Target="https://lh5.googleusercontent.com/d/1sK98xr3k-5UBhoAggnUdEa4M_sjaesNe" TargetMode="External"/><Relationship Id="rId3905" Type="http://schemas.openxmlformats.org/officeDocument/2006/relationships/hyperlink" Target="https://drive.google.com/file/d/1gIAv33CZZKDZ9UbTpCE09GKIIhcdSIQy/view?usp=drivesdk" TargetMode="External"/><Relationship Id="rId3908" Type="http://schemas.openxmlformats.org/officeDocument/2006/relationships/hyperlink" Target="https://lh5.googleusercontent.com/d/1PRVzzpZroJdtnvWz8aEA_x_FiEzohe-2" TargetMode="External"/><Relationship Id="rId3907" Type="http://schemas.openxmlformats.org/officeDocument/2006/relationships/hyperlink" Target="https://drive.google.com/file/d/1yBw3-a9R5GyEXxznwdgwIIpG_X8v1DN0/view?usp=drivesdk" TargetMode="External"/><Relationship Id="rId3909" Type="http://schemas.openxmlformats.org/officeDocument/2006/relationships/hyperlink" Target="https://drive.google.com/file/d/1zdC0vtdHodhvTkkuI0GqeiKUh0eA7CPO/view?usp=drivesdk" TargetMode="External"/><Relationship Id="rId3931" Type="http://schemas.openxmlformats.org/officeDocument/2006/relationships/hyperlink" Target="https://drive.google.com/file/d/1Ff0WhDLYdmU4_oLgZVci39_pxbBjIIo5/view?usp=drivesdk" TargetMode="External"/><Relationship Id="rId2600" Type="http://schemas.openxmlformats.org/officeDocument/2006/relationships/hyperlink" Target="https://drive.google.com/file/d/17B-FkRpb-lTV_a4Hve9-8rYIjTV7tONz/view?usp=drivesdk" TargetMode="External"/><Relationship Id="rId3930" Type="http://schemas.openxmlformats.org/officeDocument/2006/relationships/hyperlink" Target="https://lh5.googleusercontent.com/d/17P6GFVrR6kRULYzQQQwaQ7hCNCzFKf1c" TargetMode="External"/><Relationship Id="rId2601" Type="http://schemas.openxmlformats.org/officeDocument/2006/relationships/hyperlink" Target="https://lh5.googleusercontent.com/d/1fIsFwZGRW0O09d-x5OaEw1FnhYLmurWd" TargetMode="External"/><Relationship Id="rId3933" Type="http://schemas.openxmlformats.org/officeDocument/2006/relationships/hyperlink" Target="https://drive.google.com/file/d/19jzuClkHKgUVDsgducEPoe7LQnXgfVHV/view?usp=drivesdk" TargetMode="External"/><Relationship Id="rId2602" Type="http://schemas.openxmlformats.org/officeDocument/2006/relationships/hyperlink" Target="https://drive.google.com/file/d/1nFVfzBmk7e9yJ1Gq8_DNzuYEdInFUZT2/view?usp=drivesdk" TargetMode="External"/><Relationship Id="rId3932" Type="http://schemas.openxmlformats.org/officeDocument/2006/relationships/hyperlink" Target="https://lh5.googleusercontent.com/d/1uBe-zDN0ydsISRXFx2JXw6jTRfWNh8nl" TargetMode="External"/><Relationship Id="rId2603" Type="http://schemas.openxmlformats.org/officeDocument/2006/relationships/hyperlink" Target="https://lh5.googleusercontent.com/d/1YaPrS4BfvcAECYu5W3DHuEmcGA9-OoTl" TargetMode="External"/><Relationship Id="rId3935" Type="http://schemas.openxmlformats.org/officeDocument/2006/relationships/hyperlink" Target="https://drive.google.com/file/d/1yZ-03GIYLUIdCuxKnYKH6tfUYdvSkKKe/view?usp=drivesdk" TargetMode="External"/><Relationship Id="rId2604" Type="http://schemas.openxmlformats.org/officeDocument/2006/relationships/hyperlink" Target="https://drive.google.com/file/d/1O-LTYwFtqYqFbignQLxm6lcrpnD3F05P/view?usp=drivesdk" TargetMode="External"/><Relationship Id="rId3934" Type="http://schemas.openxmlformats.org/officeDocument/2006/relationships/hyperlink" Target="https://lh5.googleusercontent.com/d/1CMhCnhX40ocpCart-afNytzg7rel5T-L" TargetMode="External"/><Relationship Id="rId2605" Type="http://schemas.openxmlformats.org/officeDocument/2006/relationships/hyperlink" Target="https://lh5.googleusercontent.com/d/1GiLfkUIPWmp_A0QAjbSBnK-ZFbz650Hx" TargetMode="External"/><Relationship Id="rId3937" Type="http://schemas.openxmlformats.org/officeDocument/2006/relationships/hyperlink" Target="https://drive.google.com/file/d/1L4D-y48FYSxFqg-BYqJrNhp2RBRE1LL1/view?usp=drivesdk" TargetMode="External"/><Relationship Id="rId2606" Type="http://schemas.openxmlformats.org/officeDocument/2006/relationships/hyperlink" Target="https://drive.google.com/file/d/16yFvjOJexPoo11t6OHp8wWy_eagdSzeR/view?usp=drivesdk" TargetMode="External"/><Relationship Id="rId3936" Type="http://schemas.openxmlformats.org/officeDocument/2006/relationships/hyperlink" Target="https://lh5.googleusercontent.com/d/1nuYv4SkzxgEBUle7byAViAsskQ6EOmDf" TargetMode="External"/><Relationship Id="rId808" Type="http://schemas.openxmlformats.org/officeDocument/2006/relationships/hyperlink" Target="https://drive.google.com/file/d/1YOs0siK3HvZkadlFek3AUIajBY3ZRV7v/view?usp=drivesdk" TargetMode="External"/><Relationship Id="rId2607" Type="http://schemas.openxmlformats.org/officeDocument/2006/relationships/hyperlink" Target="https://lh5.googleusercontent.com/d/1SIBVxurUcXgAM1qUTXcmJ5ni7BCopw25" TargetMode="External"/><Relationship Id="rId3939" Type="http://schemas.openxmlformats.org/officeDocument/2006/relationships/hyperlink" Target="https://drive.google.com/file/d/1x0WtdmFrrglPejNWTzl6Ip_hD8tCMjIm/view?usp=drivesdk" TargetMode="External"/><Relationship Id="rId807" Type="http://schemas.openxmlformats.org/officeDocument/2006/relationships/hyperlink" Target="https://lh5.googleusercontent.com/d/1JCp4SwUEFrKBi0ymyxwNLU1LvaThVYSP" TargetMode="External"/><Relationship Id="rId2608" Type="http://schemas.openxmlformats.org/officeDocument/2006/relationships/hyperlink" Target="https://drive.google.com/file/d/1xGmIJXDqv1DSD-aasfUjeNlW1KZ096KX/view?usp=drivesdk" TargetMode="External"/><Relationship Id="rId3938" Type="http://schemas.openxmlformats.org/officeDocument/2006/relationships/hyperlink" Target="https://lh5.googleusercontent.com/d/16q5_ErgFfqz3OMCALKbUmF2MKTRLBY7w" TargetMode="External"/><Relationship Id="rId806" Type="http://schemas.openxmlformats.org/officeDocument/2006/relationships/hyperlink" Target="https://drive.google.com/file/d/1QVoqc4VAwf6aL_fChRdyehn_k8u27H__/view?usp=drivesdk" TargetMode="External"/><Relationship Id="rId2609" Type="http://schemas.openxmlformats.org/officeDocument/2006/relationships/hyperlink" Target="https://lh5.googleusercontent.com/d/1FWqRx5DTuBHBI5FA0Xo1K9S65wHv2Dl7" TargetMode="External"/><Relationship Id="rId805" Type="http://schemas.openxmlformats.org/officeDocument/2006/relationships/hyperlink" Target="https://lh5.googleusercontent.com/d/1Gl82B-4GturVj2_41NSl0_XTrjmdUP6i" TargetMode="External"/><Relationship Id="rId809" Type="http://schemas.openxmlformats.org/officeDocument/2006/relationships/hyperlink" Target="https://lh5.googleusercontent.com/d/1WNOWa-3Ck494Mfgb7Owp-tit4GyAq5Wk" TargetMode="External"/><Relationship Id="rId800" Type="http://schemas.openxmlformats.org/officeDocument/2006/relationships/hyperlink" Target="https://drive.google.com/file/d/1R824vb1W98iDwDZS4L23g56KHChaCINO/view?usp=drivesdk" TargetMode="External"/><Relationship Id="rId804" Type="http://schemas.openxmlformats.org/officeDocument/2006/relationships/hyperlink" Target="https://drive.google.com/file/d/13x04rw6IhaiS9T1jCW3-533kVamUJVcb/view?usp=drivesdk" TargetMode="External"/><Relationship Id="rId803" Type="http://schemas.openxmlformats.org/officeDocument/2006/relationships/hyperlink" Target="https://lh5.googleusercontent.com/d/1BfUm6YK7uBQeC0nfY-RlERY8vFOLnLtF" TargetMode="External"/><Relationship Id="rId802" Type="http://schemas.openxmlformats.org/officeDocument/2006/relationships/hyperlink" Target="https://drive.google.com/file/d/173yKGBUcGokettRRIvZ2pNUTXuC5tBLK/view?usp=drivesdk" TargetMode="External"/><Relationship Id="rId801" Type="http://schemas.openxmlformats.org/officeDocument/2006/relationships/hyperlink" Target="https://lh5.googleusercontent.com/d/1x5x53FXAwenVz3BEd4-w6pApvHjakKmr" TargetMode="External"/><Relationship Id="rId3920" Type="http://schemas.openxmlformats.org/officeDocument/2006/relationships/hyperlink" Target="https://lh5.googleusercontent.com/d/1EH99mmy6pEAC8h_V7yr96GKbLrVLxwah" TargetMode="External"/><Relationship Id="rId3922" Type="http://schemas.openxmlformats.org/officeDocument/2006/relationships/hyperlink" Target="https://lh5.googleusercontent.com/d/1UZpqZmZC1yX3EPGzbQZa56U8BGYMVPXi" TargetMode="External"/><Relationship Id="rId3921" Type="http://schemas.openxmlformats.org/officeDocument/2006/relationships/hyperlink" Target="https://drive.google.com/file/d/1hhcKyQ4Y0DJ7ZCdJ_vVUH0bwcHB99xJV/view?usp=drivesdk" TargetMode="External"/><Relationship Id="rId3924" Type="http://schemas.openxmlformats.org/officeDocument/2006/relationships/hyperlink" Target="https://lh5.googleusercontent.com/d/11-M3uf9yX2MTTaTzH7gq6lK76vDd9qFO" TargetMode="External"/><Relationship Id="rId3923" Type="http://schemas.openxmlformats.org/officeDocument/2006/relationships/hyperlink" Target="https://drive.google.com/file/d/1Hh-ZRT8WxMeoEge2eD716XxI2f1oajMo/view?usp=drivesdk" TargetMode="External"/><Relationship Id="rId3926" Type="http://schemas.openxmlformats.org/officeDocument/2006/relationships/hyperlink" Target="https://lh5.googleusercontent.com/d/1YGPCA9_Z1ICwGODrik6CuQioR26bAeiW" TargetMode="External"/><Relationship Id="rId3925" Type="http://schemas.openxmlformats.org/officeDocument/2006/relationships/hyperlink" Target="https://drive.google.com/file/d/1YOn1U-CISkWDvUe6rkRpz66kbmx_4IAI/view?usp=drivesdk" TargetMode="External"/><Relationship Id="rId3928" Type="http://schemas.openxmlformats.org/officeDocument/2006/relationships/hyperlink" Target="https://lh5.googleusercontent.com/d/17MOTr5f1tstDiPOMepcrTzBkGV7JivHS" TargetMode="External"/><Relationship Id="rId3927" Type="http://schemas.openxmlformats.org/officeDocument/2006/relationships/hyperlink" Target="https://drive.google.com/file/d/1DcNF9riwNYUK1Ol_bMYc1VjMuzYZKSqX/view?usp=drivesdk" TargetMode="External"/><Relationship Id="rId3929" Type="http://schemas.openxmlformats.org/officeDocument/2006/relationships/hyperlink" Target="https://drive.google.com/file/d/1brXTfHzcQtx95N40IkVMSKeEOV23QVKt/view?usp=drivesdk" TargetMode="External"/><Relationship Id="rId1334" Type="http://schemas.openxmlformats.org/officeDocument/2006/relationships/hyperlink" Target="https://lh5.googleusercontent.com/d/1FKC6Z21zSEg1q9s6lBu_SdBqxWI9kIv8" TargetMode="External"/><Relationship Id="rId2665" Type="http://schemas.openxmlformats.org/officeDocument/2006/relationships/hyperlink" Target="https://drive.google.com/file/d/1k_epxbic7rxQXPLHHt-rZDLKmQL5UL8z/view?usp=drivesdk" TargetMode="External"/><Relationship Id="rId3997" Type="http://schemas.openxmlformats.org/officeDocument/2006/relationships/hyperlink" Target="https://drive.google.com/file/d/1LAnTNN926Mq5CJ-G6MDNuVgwZOAjukxG/view?usp=drivesdk" TargetMode="External"/><Relationship Id="rId1335" Type="http://schemas.openxmlformats.org/officeDocument/2006/relationships/hyperlink" Target="https://drive.google.com/file/d/18TfAeATuXK0dy6L_u5Y4MM2VOhwikLPr/view?usp=drivesdk" TargetMode="External"/><Relationship Id="rId2666" Type="http://schemas.openxmlformats.org/officeDocument/2006/relationships/hyperlink" Target="https://lh5.googleusercontent.com/d/1idX39Jz1Nm8298a27Ggf7ggj1lki_6A1" TargetMode="External"/><Relationship Id="rId3996" Type="http://schemas.openxmlformats.org/officeDocument/2006/relationships/hyperlink" Target="https://lh5.googleusercontent.com/d/1qF0q7j86O3MIJBYgaOy5cLdHRh4yRv_T" TargetMode="External"/><Relationship Id="rId1336" Type="http://schemas.openxmlformats.org/officeDocument/2006/relationships/hyperlink" Target="https://lh5.googleusercontent.com/d/1srjwiTW6Q6iQYA5AO3ospLGZYTOD0Vn_" TargetMode="External"/><Relationship Id="rId2667" Type="http://schemas.openxmlformats.org/officeDocument/2006/relationships/hyperlink" Target="https://drive.google.com/file/d/1LW4osDAuWE9Hl6UZrCDpWjZ4NLmySe-i/view?usp=drivesdk" TargetMode="External"/><Relationship Id="rId3999" Type="http://schemas.openxmlformats.org/officeDocument/2006/relationships/hyperlink" Target="https://drive.google.com/file/d/1GW88841ifRp55DGgRltrzAzjaYkK6pFN/view?usp=drivesdk" TargetMode="External"/><Relationship Id="rId1337" Type="http://schemas.openxmlformats.org/officeDocument/2006/relationships/hyperlink" Target="https://drive.google.com/file/d/1Q-8Tr5CZEtCaaoxDteGBmGtHWTOA5U2Y/view?usp=drivesdk" TargetMode="External"/><Relationship Id="rId2668" Type="http://schemas.openxmlformats.org/officeDocument/2006/relationships/hyperlink" Target="https://lh5.googleusercontent.com/d/17Mp3aRCAnxMhau5eZSlpCLkWT4jSibSg" TargetMode="External"/><Relationship Id="rId3998" Type="http://schemas.openxmlformats.org/officeDocument/2006/relationships/hyperlink" Target="https://lh5.googleusercontent.com/d/1tLqQ3_RjLri5gvN0i_O0ilbplb_ZpkAc" TargetMode="External"/><Relationship Id="rId1338" Type="http://schemas.openxmlformats.org/officeDocument/2006/relationships/hyperlink" Target="https://lh5.googleusercontent.com/d/1IuVDCTIv_OeHrtdLl2tVRtXayaaciJXV" TargetMode="External"/><Relationship Id="rId2669" Type="http://schemas.openxmlformats.org/officeDocument/2006/relationships/hyperlink" Target="https://drive.google.com/file/d/15fVAlyfQEjUu2EtrPt55Pb440URe1t41/view?usp=drivesdk" TargetMode="External"/><Relationship Id="rId1339" Type="http://schemas.openxmlformats.org/officeDocument/2006/relationships/hyperlink" Target="https://drive.google.com/file/d/1-ggGh7rXCUvgYWnL49FKmp8RJhBq-i6f/view?usp=drivesdk" TargetMode="External"/><Relationship Id="rId745" Type="http://schemas.openxmlformats.org/officeDocument/2006/relationships/hyperlink" Target="https://lh5.googleusercontent.com/d/1n0uIQFPkHwxhy-tKxT4hCxDv8eKAqmST" TargetMode="External"/><Relationship Id="rId744" Type="http://schemas.openxmlformats.org/officeDocument/2006/relationships/hyperlink" Target="https://drive.google.com/file/d/1Q3VF6NLjOliftnzfWUZ7TFeQIixXSi9_/view?usp=drivesdk" TargetMode="External"/><Relationship Id="rId743" Type="http://schemas.openxmlformats.org/officeDocument/2006/relationships/hyperlink" Target="https://lh5.googleusercontent.com/d/1YgGEyy2XXktxlRC0tvJ9wJhnAvKRfQNX" TargetMode="External"/><Relationship Id="rId742" Type="http://schemas.openxmlformats.org/officeDocument/2006/relationships/hyperlink" Target="https://drive.google.com/file/d/1KUmaurSC8OudglWRoyyxj3NrXFknzczh/view?usp=drivesdk" TargetMode="External"/><Relationship Id="rId749" Type="http://schemas.openxmlformats.org/officeDocument/2006/relationships/hyperlink" Target="https://lh5.googleusercontent.com/d/1QY0K6mCi0-E17q2JFLC4gb7sRsLwhL8T" TargetMode="External"/><Relationship Id="rId748" Type="http://schemas.openxmlformats.org/officeDocument/2006/relationships/hyperlink" Target="https://drive.google.com/file/d/1xrZRVHM0Y41gT6i6FlfqEHC9aBzolUgT/view?usp=drivesdk" TargetMode="External"/><Relationship Id="rId747" Type="http://schemas.openxmlformats.org/officeDocument/2006/relationships/hyperlink" Target="https://lh5.googleusercontent.com/d/1qi_9Eoto5k9xoZ5k4xrzOwny8RKvrgc0" TargetMode="External"/><Relationship Id="rId746" Type="http://schemas.openxmlformats.org/officeDocument/2006/relationships/hyperlink" Target="https://drive.google.com/file/d/1rrGtxo-kCxFo3WoqiJHHGB7pKCYO1Zjc/view?usp=drivesdk" TargetMode="External"/><Relationship Id="rId3991" Type="http://schemas.openxmlformats.org/officeDocument/2006/relationships/hyperlink" Target="https://drive.google.com/file/d/13Da43uBwAq1CSXfRmIsm3BS0rDKq8jHL/view?usp=drivesdk" TargetMode="External"/><Relationship Id="rId2660" Type="http://schemas.openxmlformats.org/officeDocument/2006/relationships/hyperlink" Target="https://lh5.googleusercontent.com/d/1QmZUlWS6ixX6abzkV8QZeFKu7HqmzOkc" TargetMode="External"/><Relationship Id="rId3990" Type="http://schemas.openxmlformats.org/officeDocument/2006/relationships/hyperlink" Target="https://lh5.googleusercontent.com/d/1vNKIrJV4iaZdMza04V8oab9wZFSdmKNY" TargetMode="External"/><Relationship Id="rId741" Type="http://schemas.openxmlformats.org/officeDocument/2006/relationships/hyperlink" Target="https://lh5.googleusercontent.com/d/10ZEOpdOi53_NaqmIGVhHDzT6tOT60ZQI" TargetMode="External"/><Relationship Id="rId1330" Type="http://schemas.openxmlformats.org/officeDocument/2006/relationships/hyperlink" Target="https://lh5.googleusercontent.com/d/1OjwA-kAT4veZc491Z5C7e6s8O81vD1O4" TargetMode="External"/><Relationship Id="rId2661" Type="http://schemas.openxmlformats.org/officeDocument/2006/relationships/hyperlink" Target="https://drive.google.com/file/d/1a_yjnChzfsuViLPgRpL6VMM1MeexiRVG/view?usp=drivesdk" TargetMode="External"/><Relationship Id="rId3993" Type="http://schemas.openxmlformats.org/officeDocument/2006/relationships/hyperlink" Target="https://drive.google.com/file/d/1DOIpK35IVGTMlgiDyzqQVZFpG7mund4t/view?usp=drivesdk" TargetMode="External"/><Relationship Id="rId740" Type="http://schemas.openxmlformats.org/officeDocument/2006/relationships/hyperlink" Target="https://drive.google.com/file/d/1Unk371TPaz0HhA7yYIp7FYeXgZ-FkuJ1/view?usp=drivesdk" TargetMode="External"/><Relationship Id="rId1331" Type="http://schemas.openxmlformats.org/officeDocument/2006/relationships/hyperlink" Target="https://drive.google.com/file/d/1_H3U6Ix684MLMaMLMr1bHQfIoPa75GyU/view?usp=drivesdk" TargetMode="External"/><Relationship Id="rId2662" Type="http://schemas.openxmlformats.org/officeDocument/2006/relationships/hyperlink" Target="https://lh5.googleusercontent.com/d/1mY7ywOMiYaEacD2OVTXKIr_8-kzhcqML" TargetMode="External"/><Relationship Id="rId3992" Type="http://schemas.openxmlformats.org/officeDocument/2006/relationships/hyperlink" Target="https://lh5.googleusercontent.com/d/1B_Ecr2szaYlbzHm0sb4DE74klA34wG6y" TargetMode="External"/><Relationship Id="rId1332" Type="http://schemas.openxmlformats.org/officeDocument/2006/relationships/hyperlink" Target="https://lh5.googleusercontent.com/d/1M0petjnMtySxUsYKPg7U-CZ9GnZZxoGe" TargetMode="External"/><Relationship Id="rId2663" Type="http://schemas.openxmlformats.org/officeDocument/2006/relationships/hyperlink" Target="https://drive.google.com/file/d/1EpZTx3505RsozRkpGriyUhxBwKpQonBW/view?usp=drivesdk" TargetMode="External"/><Relationship Id="rId3995" Type="http://schemas.openxmlformats.org/officeDocument/2006/relationships/hyperlink" Target="https://drive.google.com/file/d/1b2jQ1YFkYOLbS-a_18cGFj01iz4t-DEH/view?usp=drivesdk" TargetMode="External"/><Relationship Id="rId1333" Type="http://schemas.openxmlformats.org/officeDocument/2006/relationships/hyperlink" Target="https://drive.google.com/file/d/10FYAnYXvdKMzTucJXkQG9sznClUGf64h/view?usp=drivesdk" TargetMode="External"/><Relationship Id="rId2664" Type="http://schemas.openxmlformats.org/officeDocument/2006/relationships/hyperlink" Target="https://lh5.googleusercontent.com/d/1-4qogj0UuXKb2NAERw-oxA551L5TsKnd" TargetMode="External"/><Relationship Id="rId3994" Type="http://schemas.openxmlformats.org/officeDocument/2006/relationships/hyperlink" Target="https://lh5.googleusercontent.com/d/11dZvMyMwsz4stFr8hiJO_V4XyEe5MY_x" TargetMode="External"/><Relationship Id="rId1323" Type="http://schemas.openxmlformats.org/officeDocument/2006/relationships/hyperlink" Target="https://lh5.googleusercontent.com/d/17QUViZ__MKTWN28iQkfEW5Nmlq8oPo0f" TargetMode="External"/><Relationship Id="rId2654" Type="http://schemas.openxmlformats.org/officeDocument/2006/relationships/hyperlink" Target="https://lh5.googleusercontent.com/d/187cYe9MGMVov4l35B34fU29DNkcJ9TsS" TargetMode="External"/><Relationship Id="rId3986" Type="http://schemas.openxmlformats.org/officeDocument/2006/relationships/hyperlink" Target="https://lh5.googleusercontent.com/d/1VkexFo1N9wSfbQK_w0AFIOJ1RBDRd7mG" TargetMode="External"/><Relationship Id="rId1324" Type="http://schemas.openxmlformats.org/officeDocument/2006/relationships/hyperlink" Target="https://drive.google.com/file/d/1IWrowdP_qwXEKECT3FDv7BM66oo_2bBZ/view?usp=drivesdk" TargetMode="External"/><Relationship Id="rId2655" Type="http://schemas.openxmlformats.org/officeDocument/2006/relationships/hyperlink" Target="https://drive.google.com/file/d/1Yv9GIegNquupLKnvC7zPCq4QYChy9wE9/view?usp=drivesdk" TargetMode="External"/><Relationship Id="rId3985" Type="http://schemas.openxmlformats.org/officeDocument/2006/relationships/hyperlink" Target="https://drive.google.com/file/d/1Ni2p-A1ZuiY1HYlEEjQJ2QjnDgZoDA_z/view?usp=drivesdk" TargetMode="External"/><Relationship Id="rId1325" Type="http://schemas.openxmlformats.org/officeDocument/2006/relationships/hyperlink" Target="https://lh5.googleusercontent.com/d/1EWZhmCkAUbFj01IdwShvTfqU2Nd6rbw7" TargetMode="External"/><Relationship Id="rId2656" Type="http://schemas.openxmlformats.org/officeDocument/2006/relationships/hyperlink" Target="https://lh5.googleusercontent.com/d/1YonS7XgykYTPObu2k-ubF9lBWFZMa85o" TargetMode="External"/><Relationship Id="rId3988" Type="http://schemas.openxmlformats.org/officeDocument/2006/relationships/hyperlink" Target="https://lh5.googleusercontent.com/d/1K1XnM6OUzqBKDbE7HiiQn1292zuCh8nq" TargetMode="External"/><Relationship Id="rId1326" Type="http://schemas.openxmlformats.org/officeDocument/2006/relationships/hyperlink" Target="https://lh5.googleusercontent.com/d/1ChVLI7SAwbmqzIF37vuOy9ay4tqTJY7S" TargetMode="External"/><Relationship Id="rId2657" Type="http://schemas.openxmlformats.org/officeDocument/2006/relationships/hyperlink" Target="https://drive.google.com/file/d/1EWp1lB1ZtBr3G2-Mx0ExijvJ97wXJXaQ/view?usp=drivesdk" TargetMode="External"/><Relationship Id="rId3987" Type="http://schemas.openxmlformats.org/officeDocument/2006/relationships/hyperlink" Target="https://drive.google.com/file/d/10V5M7wHBgokpNXDIcMRQZ_DmJSNLJX3M/view?usp=drivesdk" TargetMode="External"/><Relationship Id="rId1327" Type="http://schemas.openxmlformats.org/officeDocument/2006/relationships/hyperlink" Target="https://drive.google.com/file/d/1sdCAE9n4DxgQ5hiP5WPMXeST2KMztU2N/view?usp=drivesdk" TargetMode="External"/><Relationship Id="rId2658" Type="http://schemas.openxmlformats.org/officeDocument/2006/relationships/hyperlink" Target="https://lh5.googleusercontent.com/d/1vj_wtijGwuN6JRGlPn4PKvN_t8fCAsaM" TargetMode="External"/><Relationship Id="rId1328" Type="http://schemas.openxmlformats.org/officeDocument/2006/relationships/hyperlink" Target="https://lh5.googleusercontent.com/d/1aqtGz95pZX_SNPrBJ8UamjtVujfB2BPY" TargetMode="External"/><Relationship Id="rId2659" Type="http://schemas.openxmlformats.org/officeDocument/2006/relationships/hyperlink" Target="https://drive.google.com/file/d/1aSJRIcintQwUF_txk3YfMa6QSHfUIs2X/view?usp=drivesdk" TargetMode="External"/><Relationship Id="rId3989" Type="http://schemas.openxmlformats.org/officeDocument/2006/relationships/hyperlink" Target="https://drive.google.com/file/d/1NIU33jZBcYFpx94UpytW1tsR-bUZ_yIi/view?usp=drivesdk" TargetMode="External"/><Relationship Id="rId1329" Type="http://schemas.openxmlformats.org/officeDocument/2006/relationships/hyperlink" Target="https://drive.google.com/file/d/111SrqqRJRP6T0OIqrsDtKq_NPgPG5Nvk/view?usp=drivesdk" TargetMode="External"/><Relationship Id="rId739" Type="http://schemas.openxmlformats.org/officeDocument/2006/relationships/hyperlink" Target="https://lh5.googleusercontent.com/d/1kpVjfQU1p_46AzinGaokuMJLdSnCc3MR" TargetMode="External"/><Relationship Id="rId734" Type="http://schemas.openxmlformats.org/officeDocument/2006/relationships/hyperlink" Target="https://drive.google.com/file/d/1uD0E9J84H4eOIyJXCuhvN1uXigNl1g5r/view?usp=drivesdk" TargetMode="External"/><Relationship Id="rId733" Type="http://schemas.openxmlformats.org/officeDocument/2006/relationships/hyperlink" Target="https://lh5.googleusercontent.com/d/1fsIkmnMPkQ-f1tjpgjSdHSLAxPDvCgaH" TargetMode="External"/><Relationship Id="rId732" Type="http://schemas.openxmlformats.org/officeDocument/2006/relationships/hyperlink" Target="https://drive.google.com/file/d/1igyhVQt0vb4k62h2XF8pWJgiXnpvb7Ab/view?usp=drivesdk" TargetMode="External"/><Relationship Id="rId731" Type="http://schemas.openxmlformats.org/officeDocument/2006/relationships/hyperlink" Target="https://lh5.googleusercontent.com/d/18Bf02u2wJrvOL2e2abBDiwKsKw-Y1B02" TargetMode="External"/><Relationship Id="rId738" Type="http://schemas.openxmlformats.org/officeDocument/2006/relationships/hyperlink" Target="https://drive.google.com/file/d/1AXc_r8bnsiEw12CHPrfCM35QHMzGRvbG/view?usp=drivesdk" TargetMode="External"/><Relationship Id="rId737" Type="http://schemas.openxmlformats.org/officeDocument/2006/relationships/hyperlink" Target="https://lh5.googleusercontent.com/d/1JyW1T1ELwpYMpZkxYsH9DQrENeyw9XA2" TargetMode="External"/><Relationship Id="rId736" Type="http://schemas.openxmlformats.org/officeDocument/2006/relationships/hyperlink" Target="https://drive.google.com/file/d/1md5Y3Jf3g_kyYATqEr-qyLV2kUZsIJ9z/view?usp=drivesdk" TargetMode="External"/><Relationship Id="rId735" Type="http://schemas.openxmlformats.org/officeDocument/2006/relationships/hyperlink" Target="https://lh5.googleusercontent.com/d/1340uADwZN53fBb5vZU9yU6W1EUuOAFNL" TargetMode="External"/><Relationship Id="rId3980" Type="http://schemas.openxmlformats.org/officeDocument/2006/relationships/hyperlink" Target="https://lh5.googleusercontent.com/d/1tXjuyVvu6_tn2ZtPMddk1snWAcK3099_" TargetMode="External"/><Relationship Id="rId730" Type="http://schemas.openxmlformats.org/officeDocument/2006/relationships/hyperlink" Target="https://drive.google.com/file/d/1IhE4Fgc7-rWmPZtLxoQh5D84tTd8nRN4/view?usp=drivesdk" TargetMode="External"/><Relationship Id="rId2650" Type="http://schemas.openxmlformats.org/officeDocument/2006/relationships/hyperlink" Target="https://lh5.googleusercontent.com/d/1aAoSV3zRQRYsnr0gP09zwMl7YkyE45Dj" TargetMode="External"/><Relationship Id="rId3982" Type="http://schemas.openxmlformats.org/officeDocument/2006/relationships/hyperlink" Target="https://lh5.googleusercontent.com/d/1AF4MuANSC3UPGbwkx86Ednt3qD7EqU13" TargetMode="External"/><Relationship Id="rId1320" Type="http://schemas.openxmlformats.org/officeDocument/2006/relationships/hyperlink" Target="https://drive.google.com/file/d/16hFpc52CELLxk9caA5oxiOI9cOGWW94i/view?usp=drivesdk" TargetMode="External"/><Relationship Id="rId2651" Type="http://schemas.openxmlformats.org/officeDocument/2006/relationships/hyperlink" Target="https://drive.google.com/file/d/151qq083Cy9QkL3orPvAsP7awA_OCnh3h/view?usp=drivesdk" TargetMode="External"/><Relationship Id="rId3981" Type="http://schemas.openxmlformats.org/officeDocument/2006/relationships/hyperlink" Target="https://drive.google.com/file/d/1OfcnU0XfRVaRxYBIBB4J0_FzZBXeQBmK/view?usp=drivesdk" TargetMode="External"/><Relationship Id="rId1321" Type="http://schemas.openxmlformats.org/officeDocument/2006/relationships/hyperlink" Target="https://lh5.googleusercontent.com/d/1Q5yIEv4YPpzw8tE3RSsL975mN7iJcxwp" TargetMode="External"/><Relationship Id="rId2652" Type="http://schemas.openxmlformats.org/officeDocument/2006/relationships/hyperlink" Target="https://lh5.googleusercontent.com/d/1_RSeizpLRxkgWhAVi-WkkHN2lS8TutAQ" TargetMode="External"/><Relationship Id="rId3984" Type="http://schemas.openxmlformats.org/officeDocument/2006/relationships/hyperlink" Target="https://lh5.googleusercontent.com/d/1ZVEv3CEi2vbDv1u7cf3ztWF0lSqzOZVr" TargetMode="External"/><Relationship Id="rId1322" Type="http://schemas.openxmlformats.org/officeDocument/2006/relationships/hyperlink" Target="https://lh5.googleusercontent.com/d/1UPgtPe9hKHu4sanGh_QLt6FRj4lczhIN" TargetMode="External"/><Relationship Id="rId2653" Type="http://schemas.openxmlformats.org/officeDocument/2006/relationships/hyperlink" Target="https://drive.google.com/file/d/1tjVDsVS_dVW1S6dMqiT9WtmrKFHhhwOR/view?usp=drivesdk" TargetMode="External"/><Relationship Id="rId3983" Type="http://schemas.openxmlformats.org/officeDocument/2006/relationships/hyperlink" Target="https://drive.google.com/file/d/1f2Q09khQqcofgmz0MLwIkC0hzwJtcGgz/view?usp=drivesdk" TargetMode="External"/><Relationship Id="rId1356" Type="http://schemas.openxmlformats.org/officeDocument/2006/relationships/hyperlink" Target="https://lh5.googleusercontent.com/d/1lCvVNtvoQlxtpFoytLqBsXCkn2pSHGle" TargetMode="External"/><Relationship Id="rId2687" Type="http://schemas.openxmlformats.org/officeDocument/2006/relationships/hyperlink" Target="https://drive.google.com/file/d/1oD9CYzrLDWzLt3Et57FXRaQigpWSRnap/view?usp=drivesdk" TargetMode="External"/><Relationship Id="rId5714" Type="http://schemas.openxmlformats.org/officeDocument/2006/relationships/hyperlink" Target="https://drive.google.com/file/d/1a4GN4QuVOP9aiUOl64LPfARmDr2PZ2tm/view?usp=drivesdk" TargetMode="External"/><Relationship Id="rId1357" Type="http://schemas.openxmlformats.org/officeDocument/2006/relationships/hyperlink" Target="https://drive.google.com/file/d/1Z6DifrnPkyckl2CqnMlVvsXjpOBxGPRM/view?usp=drivesdk" TargetMode="External"/><Relationship Id="rId2688" Type="http://schemas.openxmlformats.org/officeDocument/2006/relationships/hyperlink" Target="https://lh5.googleusercontent.com/d/10WAW_5urqk8s9Bn8EpUgw3dzfQqvVif5" TargetMode="External"/><Relationship Id="rId5715" Type="http://schemas.openxmlformats.org/officeDocument/2006/relationships/hyperlink" Target="https://lh5.googleusercontent.com/d/1zdhBJN6t13VbJhz_jqj7lnEwWiLZjC5Q" TargetMode="External"/><Relationship Id="rId1358" Type="http://schemas.openxmlformats.org/officeDocument/2006/relationships/hyperlink" Target="https://lh5.googleusercontent.com/d/17zl-gG1UwiqWcbKOT9hj7mdSf3QUy_gl" TargetMode="External"/><Relationship Id="rId2689" Type="http://schemas.openxmlformats.org/officeDocument/2006/relationships/hyperlink" Target="https://drive.google.com/file/d/1eujj9WyG8Hudmai9_3NB_u4D9vGlhV04/view?usp=drivesdk" TargetMode="External"/><Relationship Id="rId5712" Type="http://schemas.openxmlformats.org/officeDocument/2006/relationships/hyperlink" Target="https://drive.google.com/file/d/1eTbA72Jn4yz5j7Ewo5b3RtgPCZ09C_D0/view?usp=drivesdk" TargetMode="External"/><Relationship Id="rId1359" Type="http://schemas.openxmlformats.org/officeDocument/2006/relationships/hyperlink" Target="https://drive.google.com/file/d/1D7HObYAU6_oicz4FhrHVusHhUDypaCfi/view?usp=drivesdk" TargetMode="External"/><Relationship Id="rId5713" Type="http://schemas.openxmlformats.org/officeDocument/2006/relationships/hyperlink" Target="https://lh5.googleusercontent.com/d/1PuCDnxEArvuIObr3ZqIAqs4cyljr8TkV" TargetMode="External"/><Relationship Id="rId5718" Type="http://schemas.openxmlformats.org/officeDocument/2006/relationships/hyperlink" Target="https://drive.google.com/file/d/1aS8eiTsZzOKNyDHFDyOWpbafuQQ4xSmn/view?usp=drivesdk" TargetMode="External"/><Relationship Id="rId5719" Type="http://schemas.openxmlformats.org/officeDocument/2006/relationships/hyperlink" Target="https://lh5.googleusercontent.com/d/1j7kF_Fkv4R0oom6iNiFEMqy8n5C60ffB" TargetMode="External"/><Relationship Id="rId5716" Type="http://schemas.openxmlformats.org/officeDocument/2006/relationships/hyperlink" Target="https://drive.google.com/file/d/18qM9Nn0UtFrD2-LKDRcaKNU6AkddkMn2/view?usp=drivesdk" TargetMode="External"/><Relationship Id="rId5717" Type="http://schemas.openxmlformats.org/officeDocument/2006/relationships/hyperlink" Target="https://lh5.googleusercontent.com/d/1vNJir2RrvjeCMJXD-idRBYS8bw4SokyH" TargetMode="External"/><Relationship Id="rId767" Type="http://schemas.openxmlformats.org/officeDocument/2006/relationships/hyperlink" Target="https://lh5.googleusercontent.com/d/1DWWwS7e0nIF3lvvTGXx-f0kZkQUdJvRa" TargetMode="External"/><Relationship Id="rId766" Type="http://schemas.openxmlformats.org/officeDocument/2006/relationships/hyperlink" Target="https://drive.google.com/file/d/1uat3Q0OveUqIU4cB-muMZ1oDFGHnNCKj/view?usp=drivesdk" TargetMode="External"/><Relationship Id="rId765" Type="http://schemas.openxmlformats.org/officeDocument/2006/relationships/hyperlink" Target="https://lh5.googleusercontent.com/d/1lCeFnO1VJTga-qisUh7HX7RpUJP52_pn" TargetMode="External"/><Relationship Id="rId764" Type="http://schemas.openxmlformats.org/officeDocument/2006/relationships/hyperlink" Target="https://drive.google.com/file/d/1WU-lYm-NUgIFuAiGzhvRqXY0uWh9qIMh/view?usp=drivesdk" TargetMode="External"/><Relationship Id="rId769" Type="http://schemas.openxmlformats.org/officeDocument/2006/relationships/hyperlink" Target="https://lh5.googleusercontent.com/d/1q-HYJqj0OXIOyLO3d0DukO6AiyjUK99g" TargetMode="External"/><Relationship Id="rId768" Type="http://schemas.openxmlformats.org/officeDocument/2006/relationships/hyperlink" Target="https://drive.google.com/file/d/1YIaYzNiqo6lDrX2qwTkyQKbCpQ8PeyF8/view?usp=drivesdk" TargetMode="External"/><Relationship Id="rId2680" Type="http://schemas.openxmlformats.org/officeDocument/2006/relationships/hyperlink" Target="https://lh5.googleusercontent.com/d/1MEU_KrXgqIeByGVwKcrkidJkCOStsy0E" TargetMode="External"/><Relationship Id="rId1350" Type="http://schemas.openxmlformats.org/officeDocument/2006/relationships/hyperlink" Target="https://lh5.googleusercontent.com/d/16OQjHZ-fNeqrUXeRsZ_weIcVlrkUw0NT" TargetMode="External"/><Relationship Id="rId2681" Type="http://schemas.openxmlformats.org/officeDocument/2006/relationships/hyperlink" Target="https://drive.google.com/file/d/1BzKEbt6bNYXy6sUfR9xTZK7htZVTAvEc/view?usp=drivesdk" TargetMode="External"/><Relationship Id="rId1351" Type="http://schemas.openxmlformats.org/officeDocument/2006/relationships/hyperlink" Target="https://drive.google.com/file/d/1vJ960eI-f5FmSi4IqeJZUldM29MyDEPJ/view?usp=drivesdk" TargetMode="External"/><Relationship Id="rId2682" Type="http://schemas.openxmlformats.org/officeDocument/2006/relationships/hyperlink" Target="https://lh5.googleusercontent.com/d/1hM-o0T6TaO-YLuOIbvqS8M0M0noZ-SgU" TargetMode="External"/><Relationship Id="rId763" Type="http://schemas.openxmlformats.org/officeDocument/2006/relationships/hyperlink" Target="https://lh5.googleusercontent.com/d/1LVp1pReFjndnfgkVYCWJ04_8Kdwv185R" TargetMode="External"/><Relationship Id="rId1352" Type="http://schemas.openxmlformats.org/officeDocument/2006/relationships/hyperlink" Target="https://lh5.googleusercontent.com/d/19A4pYXk8fN4yQ8uwzmvn-XbVW9XW_-dc" TargetMode="External"/><Relationship Id="rId2683" Type="http://schemas.openxmlformats.org/officeDocument/2006/relationships/hyperlink" Target="https://drive.google.com/file/d/1jsrLuZgWxjXDC3TeUasLWyo9N-ri4VTn/view?usp=drivesdk" TargetMode="External"/><Relationship Id="rId5710" Type="http://schemas.openxmlformats.org/officeDocument/2006/relationships/hyperlink" Target="https://drive.google.com/file/d/1p3klAYn4RA1DQ9Eb4zjJ8o6VpdK6M0r0/view?usp=drivesdk" TargetMode="External"/><Relationship Id="rId762" Type="http://schemas.openxmlformats.org/officeDocument/2006/relationships/hyperlink" Target="https://drive.google.com/file/d/1rXnjFbVi121LLfQMyWsJLEkGR-WLz1NF/view?usp=drivesdk" TargetMode="External"/><Relationship Id="rId1353" Type="http://schemas.openxmlformats.org/officeDocument/2006/relationships/hyperlink" Target="https://lh5.googleusercontent.com/d/1FRcCa3k4J1RtN6DWUFfNshIXgsgwZ220" TargetMode="External"/><Relationship Id="rId2684" Type="http://schemas.openxmlformats.org/officeDocument/2006/relationships/hyperlink" Target="https://lh5.googleusercontent.com/d/1FQDIZisbo8V7k2-Y4TJLwiGcG-XgeZ4h" TargetMode="External"/><Relationship Id="rId5711" Type="http://schemas.openxmlformats.org/officeDocument/2006/relationships/hyperlink" Target="https://lh5.googleusercontent.com/d/1krHcHVC6t4YO_62ADWqqyD7blPKUyLHK" TargetMode="External"/><Relationship Id="rId761" Type="http://schemas.openxmlformats.org/officeDocument/2006/relationships/hyperlink" Target="https://lh5.googleusercontent.com/d/1TbAoMz5_tPEB7oSv6-rUUFaX_Pl-qV6v" TargetMode="External"/><Relationship Id="rId1354" Type="http://schemas.openxmlformats.org/officeDocument/2006/relationships/hyperlink" Target="https://lh5.googleusercontent.com/d/1eBoFTEDJGKoJA3zu3snb2YRaM3CN5XV1" TargetMode="External"/><Relationship Id="rId2685" Type="http://schemas.openxmlformats.org/officeDocument/2006/relationships/hyperlink" Target="https://drive.google.com/file/d/1T1NFuojwvjmpm20YL-jAIUiWgII56vy1/view?usp=drivesdk" TargetMode="External"/><Relationship Id="rId760" Type="http://schemas.openxmlformats.org/officeDocument/2006/relationships/hyperlink" Target="https://drive.google.com/file/d/1mA-AMzsqUR9DP7G3GuCUS0EV_J1xknPs/view?usp=drivesdk" TargetMode="External"/><Relationship Id="rId1355" Type="http://schemas.openxmlformats.org/officeDocument/2006/relationships/hyperlink" Target="https://drive.google.com/file/d/1imc40xEVT8nbLM5HuusXMENX2Y0DLyWP/view?usp=drivesdk" TargetMode="External"/><Relationship Id="rId2686" Type="http://schemas.openxmlformats.org/officeDocument/2006/relationships/hyperlink" Target="https://lh5.googleusercontent.com/d/196-jYLhAY3wNWv_Mt3Jt4TNRUTTZ8w3x" TargetMode="External"/><Relationship Id="rId1345" Type="http://schemas.openxmlformats.org/officeDocument/2006/relationships/hyperlink" Target="https://drive.google.com/file/d/1ePRLDvzvnVy9ywr0Qts9rVwh6IYa718H/view?usp=drivesdk" TargetMode="External"/><Relationship Id="rId2676" Type="http://schemas.openxmlformats.org/officeDocument/2006/relationships/hyperlink" Target="https://lh5.googleusercontent.com/d/1VaVXt8G8C-dx0oNNwtNEzv3W0HTGBDge" TargetMode="External"/><Relationship Id="rId5703" Type="http://schemas.openxmlformats.org/officeDocument/2006/relationships/hyperlink" Target="https://lh5.googleusercontent.com/d/1levfkz2pwW5nKkhYTt1kQxgaZjQzk_70" TargetMode="External"/><Relationship Id="rId1346" Type="http://schemas.openxmlformats.org/officeDocument/2006/relationships/hyperlink" Target="https://lh5.googleusercontent.com/d/1P3NNSemaXQgsCGZp4XngLHtQYB6YB8vy" TargetMode="External"/><Relationship Id="rId2677" Type="http://schemas.openxmlformats.org/officeDocument/2006/relationships/hyperlink" Target="https://drive.google.com/file/d/11HpUR8x-UM8sf8-AlFafd2T4sOFaM7M8/view?usp=drivesdk" TargetMode="External"/><Relationship Id="rId5704" Type="http://schemas.openxmlformats.org/officeDocument/2006/relationships/hyperlink" Target="https://drive.google.com/file/d/19uxdemVqfjYHHZu78MSYV0_p3SzNczzk/view?usp=drivesdk" TargetMode="External"/><Relationship Id="rId1347" Type="http://schemas.openxmlformats.org/officeDocument/2006/relationships/hyperlink" Target="https://drive.google.com/file/d/18AjUxmt9P9KRtTz9W3bih8LFBY7DikGl/view?usp=drivesdk" TargetMode="External"/><Relationship Id="rId2678" Type="http://schemas.openxmlformats.org/officeDocument/2006/relationships/hyperlink" Target="https://lh5.googleusercontent.com/d/1rfuDFmFc1oeKYs3msn9C6LN2I7TVHs2E" TargetMode="External"/><Relationship Id="rId5701" Type="http://schemas.openxmlformats.org/officeDocument/2006/relationships/hyperlink" Target="https://lh5.googleusercontent.com/d/1Zb015rEBTb7zPGUKeFv2L7e2de02u9dz" TargetMode="External"/><Relationship Id="rId1348" Type="http://schemas.openxmlformats.org/officeDocument/2006/relationships/hyperlink" Target="https://lh5.googleusercontent.com/d/1cabRnqiG0p6T2RuR3bvVUSN4WPXtfJb8" TargetMode="External"/><Relationship Id="rId2679" Type="http://schemas.openxmlformats.org/officeDocument/2006/relationships/hyperlink" Target="https://drive.google.com/file/d/1WAdOl7_BnzirPxqpOmJqRzqhOj2w2tTE/view?usp=drivesdk" TargetMode="External"/><Relationship Id="rId5702" Type="http://schemas.openxmlformats.org/officeDocument/2006/relationships/hyperlink" Target="https://drive.google.com/file/d/10cEeGmt5n7G0RD-TwFc-uTUSBuFmAjXv/view?usp=drivesdk" TargetMode="External"/><Relationship Id="rId1349" Type="http://schemas.openxmlformats.org/officeDocument/2006/relationships/hyperlink" Target="https://drive.google.com/file/d/1B2_rtxj9fW6aiFIb28zY6iARtvUcD_cG/view?usp=drivesdk" TargetMode="External"/><Relationship Id="rId5707" Type="http://schemas.openxmlformats.org/officeDocument/2006/relationships/hyperlink" Target="https://lh5.googleusercontent.com/d/18fwDP0wmTO1d_wFNoovkvFKKwJ3whLDO" TargetMode="External"/><Relationship Id="rId5708" Type="http://schemas.openxmlformats.org/officeDocument/2006/relationships/hyperlink" Target="https://drive.google.com/file/d/1iyJOU-wXo7OzDXyA3-xzDazynUwjDKhB/view?usp=drivesdk" TargetMode="External"/><Relationship Id="rId5705" Type="http://schemas.openxmlformats.org/officeDocument/2006/relationships/hyperlink" Target="https://lh5.googleusercontent.com/d/1pQs-DhlA7OZDeFrmYy5k7tofivInOBaO" TargetMode="External"/><Relationship Id="rId5706" Type="http://schemas.openxmlformats.org/officeDocument/2006/relationships/hyperlink" Target="https://drive.google.com/file/d/1C3mKinMXAzaZwdReYiz6B-3WNsU1k2-z/view?usp=drivesdk" TargetMode="External"/><Relationship Id="rId5709" Type="http://schemas.openxmlformats.org/officeDocument/2006/relationships/hyperlink" Target="https://lh5.googleusercontent.com/d/1TrWS5Yyrr_V-nHKXVyAYitFCn_HSLVhU" TargetMode="External"/><Relationship Id="rId756" Type="http://schemas.openxmlformats.org/officeDocument/2006/relationships/hyperlink" Target="https://drive.google.com/file/d/17DSjvdkbecLNTRJKAMhjdM03TOq8wy2b/view?usp=drivesdk" TargetMode="External"/><Relationship Id="rId755" Type="http://schemas.openxmlformats.org/officeDocument/2006/relationships/hyperlink" Target="https://lh5.googleusercontent.com/d/18KyBwdY2nFBkBNMUEhkKRxu7zVl42Icr" TargetMode="External"/><Relationship Id="rId754" Type="http://schemas.openxmlformats.org/officeDocument/2006/relationships/hyperlink" Target="https://drive.google.com/file/d/12yOpT3Ko0pte2TIKO3ygMX7SZGN4vTQm/view?usp=drivesdk" TargetMode="External"/><Relationship Id="rId753" Type="http://schemas.openxmlformats.org/officeDocument/2006/relationships/hyperlink" Target="https://lh5.googleusercontent.com/d/1pucB0q2JWzCNhBuhaFskw7HjcDtKG202" TargetMode="External"/><Relationship Id="rId759" Type="http://schemas.openxmlformats.org/officeDocument/2006/relationships/hyperlink" Target="https://lh5.googleusercontent.com/d/1vmLO-amYNnSwN0X9z-VbcDS46w2G3Uuv" TargetMode="External"/><Relationship Id="rId758" Type="http://schemas.openxmlformats.org/officeDocument/2006/relationships/hyperlink" Target="https://drive.google.com/file/d/1pS095XsnEAeV1neoFtO3PRnjscuh88rm/view?usp=drivesdk" TargetMode="External"/><Relationship Id="rId757" Type="http://schemas.openxmlformats.org/officeDocument/2006/relationships/hyperlink" Target="https://lh5.googleusercontent.com/d/1SpynwLwliYm9CjwmSalcmhF03dAWeVI5" TargetMode="External"/><Relationship Id="rId2670" Type="http://schemas.openxmlformats.org/officeDocument/2006/relationships/hyperlink" Target="https://lh5.googleusercontent.com/d/1jrTVOcXiCefT0FOaFylgnrZ4g7dFyDor" TargetMode="External"/><Relationship Id="rId1340" Type="http://schemas.openxmlformats.org/officeDocument/2006/relationships/hyperlink" Target="https://lh5.googleusercontent.com/d/1AtxGOvFDoXWajG5ivtkwg5ZM5oWGaHAM" TargetMode="External"/><Relationship Id="rId2671" Type="http://schemas.openxmlformats.org/officeDocument/2006/relationships/hyperlink" Target="https://drive.google.com/file/d/1yK0XwP89eahjWwSNN7H2xoN7cayYJaeE/view?usp=drivesdk" TargetMode="External"/><Relationship Id="rId752" Type="http://schemas.openxmlformats.org/officeDocument/2006/relationships/hyperlink" Target="https://drive.google.com/file/d/1FKBJIKKtu5ut1q629YTY3BmEp3ld0MQ1/view?usp=drivesdk" TargetMode="External"/><Relationship Id="rId1341" Type="http://schemas.openxmlformats.org/officeDocument/2006/relationships/hyperlink" Target="https://drive.google.com/file/d/17JeIF5264c831fgU6O1C-m8gf_XevHJj/view?usp=drivesdk" TargetMode="External"/><Relationship Id="rId2672" Type="http://schemas.openxmlformats.org/officeDocument/2006/relationships/hyperlink" Target="https://lh5.googleusercontent.com/d/1NIzTNhYLn9THWWTKctOfEIurcUMB3Eln" TargetMode="External"/><Relationship Id="rId751" Type="http://schemas.openxmlformats.org/officeDocument/2006/relationships/hyperlink" Target="https://lh5.googleusercontent.com/d/1Xf6kzEBWBsnJH3KYW3HTQP5mxgIkND6p" TargetMode="External"/><Relationship Id="rId1342" Type="http://schemas.openxmlformats.org/officeDocument/2006/relationships/hyperlink" Target="https://lh5.googleusercontent.com/d/1OPMhcYFGgNWzC-ZpcfhU1fwmruk82gH0" TargetMode="External"/><Relationship Id="rId2673" Type="http://schemas.openxmlformats.org/officeDocument/2006/relationships/hyperlink" Target="https://drive.google.com/file/d/1uiuX-1L4ub1xag6JrG38qFK8MDOYApBp/view?usp=drivesdk" TargetMode="External"/><Relationship Id="rId5700" Type="http://schemas.openxmlformats.org/officeDocument/2006/relationships/hyperlink" Target="https://drive.google.com/file/d/1h1YN-ifSs_1ghn8p4bVWq9uFMs6YezDK/view?usp=drivesdk" TargetMode="External"/><Relationship Id="rId750" Type="http://schemas.openxmlformats.org/officeDocument/2006/relationships/hyperlink" Target="https://drive.google.com/file/d/1vzddASGG2fjzLwgbxSY8ydSILUllZwhb/view?usp=drivesdk" TargetMode="External"/><Relationship Id="rId1343" Type="http://schemas.openxmlformats.org/officeDocument/2006/relationships/hyperlink" Target="https://drive.google.com/file/d/1ceT9IxxlRXDV-0ePoB5G0Gyw2UZg6Nh7/view?usp=drivesdk" TargetMode="External"/><Relationship Id="rId2674" Type="http://schemas.openxmlformats.org/officeDocument/2006/relationships/hyperlink" Target="https://lh5.googleusercontent.com/d/1Md-eGo1rnY65vEswIu4dXNjTnoJ3-a9F" TargetMode="External"/><Relationship Id="rId1344" Type="http://schemas.openxmlformats.org/officeDocument/2006/relationships/hyperlink" Target="https://lh5.googleusercontent.com/d/1Q64hvSnM2Rk6dBwpPX3XWA8JJqDhTvde" TargetMode="External"/><Relationship Id="rId2675" Type="http://schemas.openxmlformats.org/officeDocument/2006/relationships/hyperlink" Target="https://drive.google.com/file/d/16lmQADj4ae6y2NUUidRT3PcMD79KkBIM/view?usp=drivesdk" TargetMode="External"/><Relationship Id="rId2621" Type="http://schemas.openxmlformats.org/officeDocument/2006/relationships/hyperlink" Target="https://lh5.googleusercontent.com/d/15IeXvNy__ERzf92XfbQzRPqz7cxQmSRg" TargetMode="External"/><Relationship Id="rId3953" Type="http://schemas.openxmlformats.org/officeDocument/2006/relationships/hyperlink" Target="https://lh5.googleusercontent.com/d/1_5WS3VFg0FPMtF9ArxjfzOvhYsScRgUw" TargetMode="External"/><Relationship Id="rId2622" Type="http://schemas.openxmlformats.org/officeDocument/2006/relationships/hyperlink" Target="https://drive.google.com/file/d/1i-2TR0Ak_ZNns691GLpveIwyQFTn4Q38/view?usp=drivesdk" TargetMode="External"/><Relationship Id="rId3952" Type="http://schemas.openxmlformats.org/officeDocument/2006/relationships/hyperlink" Target="https://drive.google.com/file/d/1Ihi8gqjeuoprAYAb8RTbQXuT43-aPyRb/view?usp=drivesdk" TargetMode="External"/><Relationship Id="rId2623" Type="http://schemas.openxmlformats.org/officeDocument/2006/relationships/hyperlink" Target="https://lh5.googleusercontent.com/d/14Bch7I-v9_zG48l4_9Drhlf8GOV8Wgmf" TargetMode="External"/><Relationship Id="rId3955" Type="http://schemas.openxmlformats.org/officeDocument/2006/relationships/hyperlink" Target="https://drive.google.com/file/d/11P2bagfp8i4yOfEZGbs_Le9XWy581VLq/view?usp=drivesdk" TargetMode="External"/><Relationship Id="rId2624" Type="http://schemas.openxmlformats.org/officeDocument/2006/relationships/hyperlink" Target="https://drive.google.com/file/d/1kPki8msZWndMk1-Hh0-7bietdSCg9jKW/view?usp=drivesdk" TargetMode="External"/><Relationship Id="rId3954" Type="http://schemas.openxmlformats.org/officeDocument/2006/relationships/hyperlink" Target="https://drive.google.com/file/d/18vX30DfhFIdKR5iBooYkUcroc06SIFYG/view?usp=drivesdk" TargetMode="External"/><Relationship Id="rId2625" Type="http://schemas.openxmlformats.org/officeDocument/2006/relationships/hyperlink" Target="https://lh5.googleusercontent.com/d/1s3xCAcN_1pNA6E39EOntGP_YvPPx06bp" TargetMode="External"/><Relationship Id="rId3957" Type="http://schemas.openxmlformats.org/officeDocument/2006/relationships/hyperlink" Target="https://drive.google.com/file/d/1Dvp5gmIfH1hTxqOYNfMkhuve6HX6ODfQ/view?usp=drivesdk" TargetMode="External"/><Relationship Id="rId2626" Type="http://schemas.openxmlformats.org/officeDocument/2006/relationships/hyperlink" Target="https://drive.google.com/file/d/1oomn7V4joykSRU_7X6IRsqW3L27QEEtT/view?usp=drivesdk" TargetMode="External"/><Relationship Id="rId3956" Type="http://schemas.openxmlformats.org/officeDocument/2006/relationships/hyperlink" Target="https://lh5.googleusercontent.com/d/1qcnejgPyJEhoItlYaqBXz3y6LKKFJbyH" TargetMode="External"/><Relationship Id="rId2627" Type="http://schemas.openxmlformats.org/officeDocument/2006/relationships/hyperlink" Target="https://lh5.googleusercontent.com/d/1spph5Z4lpnPzepsZnUpGmhZWt7Xz624O" TargetMode="External"/><Relationship Id="rId3959" Type="http://schemas.openxmlformats.org/officeDocument/2006/relationships/hyperlink" Target="https://drive.google.com/file/d/1t-IHaVsYYM0T1ZxJdLTOQOGdWYPw9jKt/view?usp=drivesdk" TargetMode="External"/><Relationship Id="rId2628" Type="http://schemas.openxmlformats.org/officeDocument/2006/relationships/hyperlink" Target="https://drive.google.com/file/d/1I0nqnzpE4zzm8wOthGcIOp4CNbQaUrQO/view?usp=drivesdk" TargetMode="External"/><Relationship Id="rId3958" Type="http://schemas.openxmlformats.org/officeDocument/2006/relationships/hyperlink" Target="https://lh5.googleusercontent.com/d/1GXUfjqNUF_rbQJ3IMv2lMM8RlfYWuqFd" TargetMode="External"/><Relationship Id="rId709" Type="http://schemas.openxmlformats.org/officeDocument/2006/relationships/hyperlink" Target="https://lh5.googleusercontent.com/d/1WodCVKk6Hgy8R-0s35nxwUy9l9fDxMAm" TargetMode="External"/><Relationship Id="rId2629" Type="http://schemas.openxmlformats.org/officeDocument/2006/relationships/hyperlink" Target="https://lh5.googleusercontent.com/d/1t11YuaOB3S3p2FrMOp-4xKkVLHEWiP1t" TargetMode="External"/><Relationship Id="rId708" Type="http://schemas.openxmlformats.org/officeDocument/2006/relationships/hyperlink" Target="https://drive.google.com/file/d/1-Zl1wK2JsDABoFsnhmsKNOFqrXWt5w1M/view?usp=drivesdk" TargetMode="External"/><Relationship Id="rId707" Type="http://schemas.openxmlformats.org/officeDocument/2006/relationships/hyperlink" Target="https://lh5.googleusercontent.com/d/1-qZec--2CAiJzhjW9KZ6_P0dtcMM-FzF" TargetMode="External"/><Relationship Id="rId706" Type="http://schemas.openxmlformats.org/officeDocument/2006/relationships/hyperlink" Target="https://drive.google.com/file/d/132jZD7rRVECietsmxfTjqKFwzxBQeVkd/view?usp=drivesdk" TargetMode="External"/><Relationship Id="rId701" Type="http://schemas.openxmlformats.org/officeDocument/2006/relationships/hyperlink" Target="https://lh5.googleusercontent.com/d/1Iuk80g83sgnXkAYgce_YuM_R4uPHcJRt" TargetMode="External"/><Relationship Id="rId700" Type="http://schemas.openxmlformats.org/officeDocument/2006/relationships/hyperlink" Target="https://drive.google.com/file/d/1fLYlkyzvh4zZd-hk_Fxrf5HKo1kRmTns/view?usp=drivesdk" TargetMode="External"/><Relationship Id="rId705" Type="http://schemas.openxmlformats.org/officeDocument/2006/relationships/hyperlink" Target="https://lh5.googleusercontent.com/d/1tXiFHgeCgo4UJN4aQvMNEa5b-cx-hBGf" TargetMode="External"/><Relationship Id="rId704" Type="http://schemas.openxmlformats.org/officeDocument/2006/relationships/hyperlink" Target="https://drive.google.com/file/d/1IAh7g6jYVi4HE4I2FG5twkmhWU9T66Iu/view?usp=drivesdk" TargetMode="External"/><Relationship Id="rId703" Type="http://schemas.openxmlformats.org/officeDocument/2006/relationships/hyperlink" Target="https://lh5.googleusercontent.com/d/19lPbe-F2VOjEdw1fsSUr6O4KY2hSwD8c" TargetMode="External"/><Relationship Id="rId702" Type="http://schemas.openxmlformats.org/officeDocument/2006/relationships/hyperlink" Target="https://drive.google.com/file/d/1mQuAlomZm6bmiHH9gOWxMQLZdV2n1I7Q/view?usp=drivesdk" TargetMode="External"/><Relationship Id="rId3951" Type="http://schemas.openxmlformats.org/officeDocument/2006/relationships/hyperlink" Target="https://lh5.googleusercontent.com/d/1mFHo8GMzSZO2dDde-LSiD_cCLRYG7NJ1" TargetMode="External"/><Relationship Id="rId2620" Type="http://schemas.openxmlformats.org/officeDocument/2006/relationships/hyperlink" Target="https://drive.google.com/file/d/1_NPLyWRgSF5_mrCXVN3S9yv8gGdqwujl/view?usp=drivesdk" TargetMode="External"/><Relationship Id="rId3950" Type="http://schemas.openxmlformats.org/officeDocument/2006/relationships/hyperlink" Target="https://drive.google.com/file/d/1AWcBoLs01dCqDGNk6ueN4zH4JJef_3c-/view?usp=drivesdk" TargetMode="External"/><Relationship Id="rId2610" Type="http://schemas.openxmlformats.org/officeDocument/2006/relationships/hyperlink" Target="https://drive.google.com/file/d/1ckddMiKRv3rJHIUk8gnG2TVNa1tChVAz/view?usp=drivesdk" TargetMode="External"/><Relationship Id="rId3942" Type="http://schemas.openxmlformats.org/officeDocument/2006/relationships/hyperlink" Target="https://drive.google.com/file/d/11q-Q5gsjwDZ0CJQrUwvej95SjV9jsXhy/view?usp=drivesdk" TargetMode="External"/><Relationship Id="rId2611" Type="http://schemas.openxmlformats.org/officeDocument/2006/relationships/hyperlink" Target="https://lh5.googleusercontent.com/d/1DbIPfQEZVVn_tXudE6-buZfyCwsfaxTJ" TargetMode="External"/><Relationship Id="rId3941" Type="http://schemas.openxmlformats.org/officeDocument/2006/relationships/hyperlink" Target="https://lh5.googleusercontent.com/d/1MElDX4fxCHsqmag9tbHaLMk4zYh7CcT8" TargetMode="External"/><Relationship Id="rId2612" Type="http://schemas.openxmlformats.org/officeDocument/2006/relationships/hyperlink" Target="https://drive.google.com/file/d/1J9zdUzv2KGUm87gR4h9h8Aq-Qg2LkgRX/view?usp=drivesdk" TargetMode="External"/><Relationship Id="rId3944" Type="http://schemas.openxmlformats.org/officeDocument/2006/relationships/hyperlink" Target="https://drive.google.com/file/d/1NnXApQZRmK1Fwxs5xUvIHXzS4293qcgA/view?usp=drivesdk" TargetMode="External"/><Relationship Id="rId2613" Type="http://schemas.openxmlformats.org/officeDocument/2006/relationships/hyperlink" Target="https://lh5.googleusercontent.com/d/1HNVMkliQ8cf2EInjmKR3at7M_7GMEmBr" TargetMode="External"/><Relationship Id="rId3943" Type="http://schemas.openxmlformats.org/officeDocument/2006/relationships/hyperlink" Target="https://lh5.googleusercontent.com/d/1PEV_hOfWTa5tR22GTsXXuRQckQyfyPZZ" TargetMode="External"/><Relationship Id="rId2614" Type="http://schemas.openxmlformats.org/officeDocument/2006/relationships/hyperlink" Target="https://drive.google.com/file/d/1vzRLX4xdLqrq9kcq8-a-PePBM6D1z3gP/view?usp=drivesdk" TargetMode="External"/><Relationship Id="rId3946" Type="http://schemas.openxmlformats.org/officeDocument/2006/relationships/hyperlink" Target="https://drive.google.com/file/d/1IPQx0zq49i_LV9hBu0WATiTqQ5etgjKv/view?usp=drivesdk" TargetMode="External"/><Relationship Id="rId2615" Type="http://schemas.openxmlformats.org/officeDocument/2006/relationships/hyperlink" Target="https://lh5.googleusercontent.com/d/1GlMqzlYRYo0gDa6jLg4T_eFgaG7ejMY1" TargetMode="External"/><Relationship Id="rId3945" Type="http://schemas.openxmlformats.org/officeDocument/2006/relationships/hyperlink" Target="https://lh5.googleusercontent.com/d/1bNwtm-4qK3VhPJd-ETLLFAxjkm02TSkA" TargetMode="External"/><Relationship Id="rId2616" Type="http://schemas.openxmlformats.org/officeDocument/2006/relationships/hyperlink" Target="https://drive.google.com/file/d/1kuVNf4D8Kd4N6_PyQtE4kf3h8QEDc4ye/view?usp=drivesdk" TargetMode="External"/><Relationship Id="rId3948" Type="http://schemas.openxmlformats.org/officeDocument/2006/relationships/hyperlink" Target="https://drive.google.com/file/d/1X0WwI8qGmNAzfIl_3R711D77zLE-LW-3/view?usp=drivesdk" TargetMode="External"/><Relationship Id="rId2617" Type="http://schemas.openxmlformats.org/officeDocument/2006/relationships/hyperlink" Target="https://lh5.googleusercontent.com/d/1DDefk_LNoyj2gxhYGHkrtXJq1LcoQYrg" TargetMode="External"/><Relationship Id="rId3947" Type="http://schemas.openxmlformats.org/officeDocument/2006/relationships/hyperlink" Target="https://lh5.googleusercontent.com/d/1gLWKAtvmHnYg8xeMxdlbxZhjgO6keEge" TargetMode="External"/><Relationship Id="rId2618" Type="http://schemas.openxmlformats.org/officeDocument/2006/relationships/hyperlink" Target="https://drive.google.com/file/d/1mdqy_QknDSbL_05hvJo7TR9P-JmE6yGK/view?usp=drivesdk" TargetMode="External"/><Relationship Id="rId2619" Type="http://schemas.openxmlformats.org/officeDocument/2006/relationships/hyperlink" Target="https://lh5.googleusercontent.com/d/1Vg2y3qs8AUMzThZBCfXLgbeV2CtfuVqr" TargetMode="External"/><Relationship Id="rId3949" Type="http://schemas.openxmlformats.org/officeDocument/2006/relationships/hyperlink" Target="https://lh5.googleusercontent.com/d/1x8fSfYHBPVcOUCfmPs-et91owrtleg_d" TargetMode="External"/><Relationship Id="rId3940" Type="http://schemas.openxmlformats.org/officeDocument/2006/relationships/hyperlink" Target="https://lh5.googleusercontent.com/d/1M_QBPuIJI9sT51pZ_QD5f2EphubCxeqB" TargetMode="External"/><Relationship Id="rId1312" Type="http://schemas.openxmlformats.org/officeDocument/2006/relationships/hyperlink" Target="https://drive.google.com/file/d/1nnA5so0qV1PeQinWhfLmGV9-j4ayEQu7/view?usp=drivesdk" TargetMode="External"/><Relationship Id="rId2643" Type="http://schemas.openxmlformats.org/officeDocument/2006/relationships/hyperlink" Target="https://drive.google.com/file/d/1KWh2jo6fu3LwnIHcVhjb8RObS_NednSj/view?usp=drivesdk" TargetMode="External"/><Relationship Id="rId3975" Type="http://schemas.openxmlformats.org/officeDocument/2006/relationships/hyperlink" Target="https://drive.google.com/file/d/1sBpAzr7Y9lXIc1MfFevJKDSYzUEvJOkP/view?usp=drivesdk" TargetMode="External"/><Relationship Id="rId1313" Type="http://schemas.openxmlformats.org/officeDocument/2006/relationships/hyperlink" Target="https://lh5.googleusercontent.com/d/1FDBB2YZ-BC-5B6jgwiPn6YVEjiR9f7bI" TargetMode="External"/><Relationship Id="rId2644" Type="http://schemas.openxmlformats.org/officeDocument/2006/relationships/hyperlink" Target="https://lh5.googleusercontent.com/d/1wb1ZFD3Hs40SDBAS5UpdPnDrOPTSo4bX" TargetMode="External"/><Relationship Id="rId3974" Type="http://schemas.openxmlformats.org/officeDocument/2006/relationships/hyperlink" Target="https://lh5.googleusercontent.com/d/1Wd7vWHwZPjplfA-QwC7u-NwvFXEqjFiG" TargetMode="External"/><Relationship Id="rId1314" Type="http://schemas.openxmlformats.org/officeDocument/2006/relationships/hyperlink" Target="https://drive.google.com/file/d/1M00OgZlcPlQdn8uUysFudI4GX_DY3QQK/view?usp=drivesdk" TargetMode="External"/><Relationship Id="rId2645" Type="http://schemas.openxmlformats.org/officeDocument/2006/relationships/hyperlink" Target="https://drive.google.com/file/d/1A46i7gnT3ux4cZD-LyK9St9zO0O357VA/view?usp=drivesdk" TargetMode="External"/><Relationship Id="rId3977" Type="http://schemas.openxmlformats.org/officeDocument/2006/relationships/hyperlink" Target="https://drive.google.com/file/d/1k4Y_Ja6-QeThdXTgZZITtQE6w4QhmenT/view?usp=drivesdk" TargetMode="External"/><Relationship Id="rId1315" Type="http://schemas.openxmlformats.org/officeDocument/2006/relationships/hyperlink" Target="https://lh5.googleusercontent.com/d/1hkR3XSMOjAywvLJtwIjlysS7eRBAfvt1" TargetMode="External"/><Relationship Id="rId2646" Type="http://schemas.openxmlformats.org/officeDocument/2006/relationships/hyperlink" Target="https://lh5.googleusercontent.com/d/1D-c9W9Wt3vbBnlXuGfbFBetMOa5jvs3o" TargetMode="External"/><Relationship Id="rId3976" Type="http://schemas.openxmlformats.org/officeDocument/2006/relationships/hyperlink" Target="https://lh5.googleusercontent.com/d/1mbmlZVyrnn1-Vss9QAImq3jjPwhVGVap" TargetMode="External"/><Relationship Id="rId1316" Type="http://schemas.openxmlformats.org/officeDocument/2006/relationships/hyperlink" Target="https://drive.google.com/file/d/1z7kAnhruZn_qSZG8pRTz1_lD33MMsGEj/view?usp=drivesdk" TargetMode="External"/><Relationship Id="rId2647" Type="http://schemas.openxmlformats.org/officeDocument/2006/relationships/hyperlink" Target="https://drive.google.com/file/d/1AZJk8u7ixf-iKbSiaLDtLgHLHDJscZ6n/view?usp=drivesdk" TargetMode="External"/><Relationship Id="rId3979" Type="http://schemas.openxmlformats.org/officeDocument/2006/relationships/hyperlink" Target="https://drive.google.com/file/d/1UBe9e8-ubZL4Xds9xYfzRT8IJ_BoCk20/view?usp=drivesdk" TargetMode="External"/><Relationship Id="rId1317" Type="http://schemas.openxmlformats.org/officeDocument/2006/relationships/hyperlink" Target="https://lh5.googleusercontent.com/d/199g-8wcaHuq31FIJWyto49SVA3hmD59U" TargetMode="External"/><Relationship Id="rId2648" Type="http://schemas.openxmlformats.org/officeDocument/2006/relationships/hyperlink" Target="https://lh5.googleusercontent.com/d/1ryx-lIhP6UCJucuskSwOhoNJXrAZJ62V" TargetMode="External"/><Relationship Id="rId3978" Type="http://schemas.openxmlformats.org/officeDocument/2006/relationships/hyperlink" Target="https://lh5.googleusercontent.com/d/13PFYSMy8w4trOef9riye3zWtqZT8rC_f" TargetMode="External"/><Relationship Id="rId1318" Type="http://schemas.openxmlformats.org/officeDocument/2006/relationships/hyperlink" Target="https://drive.google.com/file/d/10MXYncf-xTI-4Rkkzt0JGLnkU__YlmQ0/view?usp=drivesdk" TargetMode="External"/><Relationship Id="rId2649" Type="http://schemas.openxmlformats.org/officeDocument/2006/relationships/hyperlink" Target="https://drive.google.com/file/d/1hzoZXBIJ-ahiMOiJ-rjKz0KyHdadJszf/view?usp=drivesdk" TargetMode="External"/><Relationship Id="rId1319" Type="http://schemas.openxmlformats.org/officeDocument/2006/relationships/hyperlink" Target="https://lh5.googleusercontent.com/d/1c8uc8a6a7rR9Ys-ygdBOLBEAtJUd0a5W" TargetMode="External"/><Relationship Id="rId729" Type="http://schemas.openxmlformats.org/officeDocument/2006/relationships/hyperlink" Target="https://lh5.googleusercontent.com/d/1mJQOPgOliGSDfcc1klMFArPalfclUj-_" TargetMode="External"/><Relationship Id="rId728" Type="http://schemas.openxmlformats.org/officeDocument/2006/relationships/hyperlink" Target="https://drive.google.com/file/d/13o-w9THqJnb3fhYpwk62VgzMuGzwKf3e/view?usp=drivesdk" TargetMode="External"/><Relationship Id="rId723" Type="http://schemas.openxmlformats.org/officeDocument/2006/relationships/hyperlink" Target="https://lh5.googleusercontent.com/d/1EoXBE6esY4L-5E-p-AF2_7mt-4Tx0mNt" TargetMode="External"/><Relationship Id="rId722" Type="http://schemas.openxmlformats.org/officeDocument/2006/relationships/hyperlink" Target="https://drive.google.com/file/d/17i---RagTryhIOC7ndsQ75NLaUnkR2Hw/view?usp=drivesdk" TargetMode="External"/><Relationship Id="rId721" Type="http://schemas.openxmlformats.org/officeDocument/2006/relationships/hyperlink" Target="https://lh5.googleusercontent.com/d/11IAEItZFqkMdu1FmVrWzulTqha3pmg_M" TargetMode="External"/><Relationship Id="rId720" Type="http://schemas.openxmlformats.org/officeDocument/2006/relationships/hyperlink" Target="https://drive.google.com/file/d/1yhd1fZeWtUxM5vM8da2nCpYYK6_sEPWs/view?usp=drivesdk" TargetMode="External"/><Relationship Id="rId727" Type="http://schemas.openxmlformats.org/officeDocument/2006/relationships/hyperlink" Target="https://lh5.googleusercontent.com/d/1endnzpXzUzZiMex5PQXm8oBW1rM83f2f" TargetMode="External"/><Relationship Id="rId726" Type="http://schemas.openxmlformats.org/officeDocument/2006/relationships/hyperlink" Target="https://drive.google.com/file/d/1JPrDwcTQTCvL8kI8gI57K1XN9DCQQryt/view?usp=drivesdk" TargetMode="External"/><Relationship Id="rId725" Type="http://schemas.openxmlformats.org/officeDocument/2006/relationships/hyperlink" Target="https://lh5.googleusercontent.com/d/1lA1uqZ3cTFXg4bEjBhEgvTeS4NWzP4l-" TargetMode="External"/><Relationship Id="rId724" Type="http://schemas.openxmlformats.org/officeDocument/2006/relationships/hyperlink" Target="https://drive.google.com/file/d/16ORzHzuZfM6Zy4w6OOxhpAIvh49saOIp/view?usp=drivesdk" TargetMode="External"/><Relationship Id="rId3971" Type="http://schemas.openxmlformats.org/officeDocument/2006/relationships/hyperlink" Target="https://drive.google.com/file/d/1ljFvEbdzRL0pcrGwvBF87q5Z0hj6pK7x/view?usp=drivesdk" TargetMode="External"/><Relationship Id="rId2640" Type="http://schemas.openxmlformats.org/officeDocument/2006/relationships/hyperlink" Target="https://drive.google.com/file/d/1YAwCDtkg1rXT6MtHJpl9lAdj5HS7ZQvC/view?usp=drivesdk" TargetMode="External"/><Relationship Id="rId3970" Type="http://schemas.openxmlformats.org/officeDocument/2006/relationships/hyperlink" Target="https://lh5.googleusercontent.com/d/1a1QC6pgOxIEz3gg606hmuxuTCCEWi4By" TargetMode="External"/><Relationship Id="rId1310" Type="http://schemas.openxmlformats.org/officeDocument/2006/relationships/hyperlink" Target="https://drive.google.com/file/d/12H9tWPK25CAn9L3gBZXZs1QOzH-oDfrh/view?usp=drivesdk" TargetMode="External"/><Relationship Id="rId2641" Type="http://schemas.openxmlformats.org/officeDocument/2006/relationships/hyperlink" Target="https://lh5.googleusercontent.com/d/1_6T7TFSd0zwsYloNr2LJzE_RtNLhwLTd" TargetMode="External"/><Relationship Id="rId3973" Type="http://schemas.openxmlformats.org/officeDocument/2006/relationships/hyperlink" Target="https://drive.google.com/file/d/1Mtrw5D3SB-4_FcU1JhD62wAULwEM-AAT/view?usp=drivesdk" TargetMode="External"/><Relationship Id="rId1311" Type="http://schemas.openxmlformats.org/officeDocument/2006/relationships/hyperlink" Target="https://lh5.googleusercontent.com/d/1tIGk5HNcT6LflcpzMcSkXt2dlQqzJoVK" TargetMode="External"/><Relationship Id="rId2642" Type="http://schemas.openxmlformats.org/officeDocument/2006/relationships/hyperlink" Target="https://lh5.googleusercontent.com/d/13j1y5smqKJnOru9fRXFLBm-RNvRsl8t0" TargetMode="External"/><Relationship Id="rId3972" Type="http://schemas.openxmlformats.org/officeDocument/2006/relationships/hyperlink" Target="https://lh5.googleusercontent.com/d/10WzG06UeXUGjVKaHFBuHd-uSN7Uc6_9F" TargetMode="External"/><Relationship Id="rId1301" Type="http://schemas.openxmlformats.org/officeDocument/2006/relationships/hyperlink" Target="https://lh5.googleusercontent.com/d/1LbzNSYowOthVppFhP2r3xdi6PXPTl5XO" TargetMode="External"/><Relationship Id="rId2632" Type="http://schemas.openxmlformats.org/officeDocument/2006/relationships/hyperlink" Target="https://drive.google.com/file/d/1_g2Qdo1ocXMDk6PYD4SwDInIJQeLS6H4/view?usp=drivesdk" TargetMode="External"/><Relationship Id="rId3964" Type="http://schemas.openxmlformats.org/officeDocument/2006/relationships/hyperlink" Target="https://lh5.googleusercontent.com/d/1FREZcCyULT6l_fy-A5eVri_RqSHUJD8E" TargetMode="External"/><Relationship Id="rId1302" Type="http://schemas.openxmlformats.org/officeDocument/2006/relationships/hyperlink" Target="https://drive.google.com/file/d/1fqNcBKiIgC_UNB0CWMwMG1-hoFSymGqC/view?usp=drivesdk" TargetMode="External"/><Relationship Id="rId2633" Type="http://schemas.openxmlformats.org/officeDocument/2006/relationships/hyperlink" Target="https://lh5.googleusercontent.com/d/1voURybcNVW-vcFtVfZBI88cmw93XuLyM" TargetMode="External"/><Relationship Id="rId3963" Type="http://schemas.openxmlformats.org/officeDocument/2006/relationships/hyperlink" Target="https://drive.google.com/file/d/1vl6awoR0QfP-XXVskYtq1YCwX9L7hNia/view?usp=drivesdk" TargetMode="External"/><Relationship Id="rId1303" Type="http://schemas.openxmlformats.org/officeDocument/2006/relationships/hyperlink" Target="https://lh5.googleusercontent.com/d/1mquZkmX_6Hst0fxtb-IGJZ0AzvhAIDaF" TargetMode="External"/><Relationship Id="rId2634" Type="http://schemas.openxmlformats.org/officeDocument/2006/relationships/hyperlink" Target="https://drive.google.com/file/d/1vPk4YsQmsRZUZ6xIBwF5LnBbSN0VBATE/view?usp=drivesdk" TargetMode="External"/><Relationship Id="rId3966" Type="http://schemas.openxmlformats.org/officeDocument/2006/relationships/hyperlink" Target="https://lh5.googleusercontent.com/d/1DmqKs-KEGtlLMAsKEETKlQWbhqkgy5tV" TargetMode="External"/><Relationship Id="rId1304" Type="http://schemas.openxmlformats.org/officeDocument/2006/relationships/hyperlink" Target="https://drive.google.com/file/d/1_HiB9j6a-xgsR3ANHTFFwIWxPqk1_MbY/view?usp=drivesdk" TargetMode="External"/><Relationship Id="rId2635" Type="http://schemas.openxmlformats.org/officeDocument/2006/relationships/hyperlink" Target="https://lh5.googleusercontent.com/d/1Okcj0dOQADdi2xnESH_XEdq5yEz-3zFY" TargetMode="External"/><Relationship Id="rId3965" Type="http://schemas.openxmlformats.org/officeDocument/2006/relationships/hyperlink" Target="https://drive.google.com/file/d/1fGA3_G2VSb_c9GSHbaKeYMvjgJ2sWApj/view?usp=drivesdk" TargetMode="External"/><Relationship Id="rId1305" Type="http://schemas.openxmlformats.org/officeDocument/2006/relationships/hyperlink" Target="https://lh5.googleusercontent.com/d/14a-dJPt6JYhdXeTHZQR4MdchaNE09fER" TargetMode="External"/><Relationship Id="rId2636" Type="http://schemas.openxmlformats.org/officeDocument/2006/relationships/hyperlink" Target="https://drive.google.com/file/d/1cGJgqvKsNgFS5pA5xHecWrJUEdGWcX7h/view?usp=drivesdk" TargetMode="External"/><Relationship Id="rId3968" Type="http://schemas.openxmlformats.org/officeDocument/2006/relationships/hyperlink" Target="https://lh5.googleusercontent.com/d/13WD84IcxruxW4WChHb8m797hTdPyJnx0" TargetMode="External"/><Relationship Id="rId1306" Type="http://schemas.openxmlformats.org/officeDocument/2006/relationships/hyperlink" Target="https://drive.google.com/file/d/1vB_8E836XvckC-ZvUC9lUwA6Gik5EnEP/view?usp=drivesdk" TargetMode="External"/><Relationship Id="rId2637" Type="http://schemas.openxmlformats.org/officeDocument/2006/relationships/hyperlink" Target="https://lh5.googleusercontent.com/d/1RHLO_nM6hlbIgxlf-vRIyLJiiEOKp5JI" TargetMode="External"/><Relationship Id="rId3967" Type="http://schemas.openxmlformats.org/officeDocument/2006/relationships/hyperlink" Target="https://drive.google.com/file/d/1KZVTh__zL8Xqd-rTx6KBD5-NLgTypUEN/view?usp=drivesdk" TargetMode="External"/><Relationship Id="rId1307" Type="http://schemas.openxmlformats.org/officeDocument/2006/relationships/hyperlink" Target="https://lh5.googleusercontent.com/d/1TSt4jsxveiZgOejdd3jFdcHKPeJjCjlh" TargetMode="External"/><Relationship Id="rId2638" Type="http://schemas.openxmlformats.org/officeDocument/2006/relationships/hyperlink" Target="https://drive.google.com/file/d/1tCLUyKpj_2jDMq8l1yUAYW0FEnKNCrjr/view?usp=drivesdk" TargetMode="External"/><Relationship Id="rId1308" Type="http://schemas.openxmlformats.org/officeDocument/2006/relationships/hyperlink" Target="https://drive.google.com/file/d/1FnFWFi_zBcsRJkfL5YK3aNOeSwcPA8YS/view?usp=drivesdk" TargetMode="External"/><Relationship Id="rId2639" Type="http://schemas.openxmlformats.org/officeDocument/2006/relationships/hyperlink" Target="https://lh5.googleusercontent.com/d/1Z2hHYcCWS2jP0WQrv8rO2XMCKYItk3q5" TargetMode="External"/><Relationship Id="rId3969" Type="http://schemas.openxmlformats.org/officeDocument/2006/relationships/hyperlink" Target="https://drive.google.com/file/d/1dVJ8TJ1LTds4VAJ89qBYnU1dRra1M0uo/view?usp=drivesdk" TargetMode="External"/><Relationship Id="rId1309" Type="http://schemas.openxmlformats.org/officeDocument/2006/relationships/hyperlink" Target="https://lh5.googleusercontent.com/d/1In1yHmLgnVL9B--ta-IZQ_8mcgGlUmxK" TargetMode="External"/><Relationship Id="rId719" Type="http://schemas.openxmlformats.org/officeDocument/2006/relationships/hyperlink" Target="https://lh5.googleusercontent.com/d/1sO42SmCbVHwZX1bUP-31yuyg4rqk7LsD" TargetMode="External"/><Relationship Id="rId718" Type="http://schemas.openxmlformats.org/officeDocument/2006/relationships/hyperlink" Target="https://drive.google.com/file/d/1O_6N3NAravtPgdBMezXA8eeqSu3zaukj/view?usp=drivesdk" TargetMode="External"/><Relationship Id="rId717" Type="http://schemas.openxmlformats.org/officeDocument/2006/relationships/hyperlink" Target="https://lh5.googleusercontent.com/d/1-fdEDyZqOWFxRw2LSPuVm2N0L3iF95DC" TargetMode="External"/><Relationship Id="rId712" Type="http://schemas.openxmlformats.org/officeDocument/2006/relationships/hyperlink" Target="https://drive.google.com/file/d/1fMZIRmnFGq1uE9fuKcgnSygD_gxXZbl_/view?usp=drivesdk" TargetMode="External"/><Relationship Id="rId711" Type="http://schemas.openxmlformats.org/officeDocument/2006/relationships/hyperlink" Target="https://lh5.googleusercontent.com/d/1VV4f538XLqbCmeqzKUT3Zi3Vn2Ac0WOM" TargetMode="External"/><Relationship Id="rId710" Type="http://schemas.openxmlformats.org/officeDocument/2006/relationships/hyperlink" Target="https://drive.google.com/file/d/1xoQy5xOwJLga2SMkBJyeMrfD65D_-YRg/view?usp=drivesdk" TargetMode="External"/><Relationship Id="rId716" Type="http://schemas.openxmlformats.org/officeDocument/2006/relationships/hyperlink" Target="https://drive.google.com/file/d/1zhWCLouThwdLs4M5_IjqeC0bBAU3S7h9/view?usp=drivesdk" TargetMode="External"/><Relationship Id="rId715" Type="http://schemas.openxmlformats.org/officeDocument/2006/relationships/hyperlink" Target="https://lh5.googleusercontent.com/d/1lF7PLi7sGn3J2CE11wwvhWk2QhYJpQQR" TargetMode="External"/><Relationship Id="rId714" Type="http://schemas.openxmlformats.org/officeDocument/2006/relationships/hyperlink" Target="https://drive.google.com/file/d/1O3s1XPYr80D-IJSkiMblJWyNpn2LRKVu/view?usp=drivesdk" TargetMode="External"/><Relationship Id="rId713" Type="http://schemas.openxmlformats.org/officeDocument/2006/relationships/hyperlink" Target="https://lh5.googleusercontent.com/d/1a_ovAI_T6yWRrRWJDgtZITCnNxfhWGUT" TargetMode="External"/><Relationship Id="rId3960" Type="http://schemas.openxmlformats.org/officeDocument/2006/relationships/hyperlink" Target="https://lh5.googleusercontent.com/d/1skOXusmg_6TTtNejhgBpjyMhg6kBA_Tt" TargetMode="External"/><Relationship Id="rId2630" Type="http://schemas.openxmlformats.org/officeDocument/2006/relationships/hyperlink" Target="https://drive.google.com/file/d/1S8ZshzNO8zzjdUoDQHYoo6XNkmTlOZbZ/view?usp=drivesdk" TargetMode="External"/><Relationship Id="rId3962" Type="http://schemas.openxmlformats.org/officeDocument/2006/relationships/hyperlink" Target="https://lh5.googleusercontent.com/d/1LANj_8JS0veZTnMajR_v9t6Mx5FsrY8W" TargetMode="External"/><Relationship Id="rId1300" Type="http://schemas.openxmlformats.org/officeDocument/2006/relationships/hyperlink" Target="https://drive.google.com/file/d/1i2_58ysV1fLsiBVeFX5ttke0A9zIuhpu/view?usp=drivesdk" TargetMode="External"/><Relationship Id="rId2631" Type="http://schemas.openxmlformats.org/officeDocument/2006/relationships/hyperlink" Target="https://lh5.googleusercontent.com/d/1nz2yTLE7SalRMFotn87IJFrhSD-TcAnw" TargetMode="External"/><Relationship Id="rId3961" Type="http://schemas.openxmlformats.org/officeDocument/2006/relationships/hyperlink" Target="https://drive.google.com/file/d/16RHYOyAc36BwsZcbVNR7NZ9YWJP4WH-Z/view?usp=drivesdk" TargetMode="External"/><Relationship Id="rId3117" Type="http://schemas.openxmlformats.org/officeDocument/2006/relationships/hyperlink" Target="https://lh5.googleusercontent.com/d/1mjKvBOwCL2pYuXC52Wp6d-SClmYWEQLE" TargetMode="External"/><Relationship Id="rId4448" Type="http://schemas.openxmlformats.org/officeDocument/2006/relationships/hyperlink" Target="https://lh5.googleusercontent.com/d/1EWtNEW5LkjWKj1ghjBrh_K53hFa_G_oI" TargetMode="External"/><Relationship Id="rId3116" Type="http://schemas.openxmlformats.org/officeDocument/2006/relationships/hyperlink" Target="https://drive.google.com/file/d/1Sz89Ip3TP21qK_YUiLpFS67Utqpmf3bN/view?usp=drivesdk" TargetMode="External"/><Relationship Id="rId4447" Type="http://schemas.openxmlformats.org/officeDocument/2006/relationships/hyperlink" Target="https://drive.google.com/file/d/19gV5I2dEhUlscWFUhgLy2llEV-djrPJm/view?usp=drivesdk" TargetMode="External"/><Relationship Id="rId3119" Type="http://schemas.openxmlformats.org/officeDocument/2006/relationships/hyperlink" Target="https://lh5.googleusercontent.com/d/16msDjjd9favWDBun5vPYHXRUwTMUOAS8" TargetMode="External"/><Relationship Id="rId5778" Type="http://schemas.openxmlformats.org/officeDocument/2006/relationships/hyperlink" Target="https://lh5.googleusercontent.com/d/1MjIO5V4ISycV2VLUelSgROnHQMKLpqoQ" TargetMode="External"/><Relationship Id="rId3118" Type="http://schemas.openxmlformats.org/officeDocument/2006/relationships/hyperlink" Target="https://drive.google.com/file/d/1PSV0l4VnpcgHP5hVoSOK9p0bzAOVhjlB/view?usp=drivesdk" TargetMode="External"/><Relationship Id="rId4449" Type="http://schemas.openxmlformats.org/officeDocument/2006/relationships/hyperlink" Target="https://drive.google.com/file/d/1muKhtVe3GPvxyeU9PWFAnDcNmvHMe3Ky/view?usp=drivesdk" TargetMode="External"/><Relationship Id="rId5779" Type="http://schemas.openxmlformats.org/officeDocument/2006/relationships/hyperlink" Target="https://drive.google.com/file/d/11nFj13lzAax305yNimmrxv9g2J73tvmd/view?usp=drivesdk" TargetMode="External"/><Relationship Id="rId4440" Type="http://schemas.openxmlformats.org/officeDocument/2006/relationships/hyperlink" Target="https://lh5.googleusercontent.com/d/1zpn9BQz0PMngmZxYWsTDUfM3_r_5bEFT" TargetMode="External"/><Relationship Id="rId5772" Type="http://schemas.openxmlformats.org/officeDocument/2006/relationships/hyperlink" Target="https://lh5.googleusercontent.com/d/1PrwU482QZenyTgjQ-S7LoYu6Sx_qd5Rc" TargetMode="External"/><Relationship Id="rId5773" Type="http://schemas.openxmlformats.org/officeDocument/2006/relationships/hyperlink" Target="https://drive.google.com/file/d/1JB8oFVFlAJtxetdSHxDM_ADCOPF-ltOS/view?usp=drivesdk" TargetMode="External"/><Relationship Id="rId3111" Type="http://schemas.openxmlformats.org/officeDocument/2006/relationships/hyperlink" Target="https://lh5.googleusercontent.com/d/14pqs431sEj8ify2CZgMxKCesjH5Filsz" TargetMode="External"/><Relationship Id="rId4442" Type="http://schemas.openxmlformats.org/officeDocument/2006/relationships/hyperlink" Target="https://lh5.googleusercontent.com/d/1_PdMWWge33-65brZGz3W9wmKqRYCHSPb" TargetMode="External"/><Relationship Id="rId5770" Type="http://schemas.openxmlformats.org/officeDocument/2006/relationships/hyperlink" Target="https://lh5.googleusercontent.com/d/15GlJJEyiVq-ZrRgA68_fCtqiREO14JhR" TargetMode="External"/><Relationship Id="rId3110" Type="http://schemas.openxmlformats.org/officeDocument/2006/relationships/hyperlink" Target="https://drive.google.com/file/d/1tXGCNh4dzQaXpWkk2Wllza9sGjjKPmtm/view?usp=drivesdk" TargetMode="External"/><Relationship Id="rId4441" Type="http://schemas.openxmlformats.org/officeDocument/2006/relationships/hyperlink" Target="https://drive.google.com/file/d/1lGyYcKb16mqiwhLZsQCfFlggxoRb_14M/view?usp=drivesdk" TargetMode="External"/><Relationship Id="rId5771" Type="http://schemas.openxmlformats.org/officeDocument/2006/relationships/hyperlink" Target="https://drive.google.com/file/d/1i-81NPXEBB-93SQNsrfkLonMgYnC1J0q/view?usp=drivesdk" TargetMode="External"/><Relationship Id="rId3113" Type="http://schemas.openxmlformats.org/officeDocument/2006/relationships/hyperlink" Target="https://lh5.googleusercontent.com/d/1txP0-zWGD_lgIOEEYDvtkHRTSa2uncvs" TargetMode="External"/><Relationship Id="rId4444" Type="http://schemas.openxmlformats.org/officeDocument/2006/relationships/hyperlink" Target="https://lh5.googleusercontent.com/d/160JGvnnFZtAXpU1fDprU8GXZRTybH4iM" TargetMode="External"/><Relationship Id="rId5776" Type="http://schemas.openxmlformats.org/officeDocument/2006/relationships/hyperlink" Target="https://lh5.googleusercontent.com/d/16zKGFe7EjjSlqi7aNo9_g5qFDFvceoWp" TargetMode="External"/><Relationship Id="rId3112" Type="http://schemas.openxmlformats.org/officeDocument/2006/relationships/hyperlink" Target="https://drive.google.com/file/d/1pBnB6MEkCE8lf0HEKTU5_gOrD3YwV_aC/view?usp=drivesdk" TargetMode="External"/><Relationship Id="rId4443" Type="http://schemas.openxmlformats.org/officeDocument/2006/relationships/hyperlink" Target="https://drive.google.com/file/d/1sk0Miuny4xHWyWhMVodF3Wa8mzruCW8B/view?usp=drivesdk" TargetMode="External"/><Relationship Id="rId5777" Type="http://schemas.openxmlformats.org/officeDocument/2006/relationships/hyperlink" Target="https://drive.google.com/file/d/1EiYk6zXpqDg4JNHTtgS1xez3lH26SplY/view?usp=drivesdk" TargetMode="External"/><Relationship Id="rId3115" Type="http://schemas.openxmlformats.org/officeDocument/2006/relationships/hyperlink" Target="https://lh5.googleusercontent.com/d/1jZsw3Obj7zRVfI2ZVJFJv_5XHI9JZx93" TargetMode="External"/><Relationship Id="rId4446" Type="http://schemas.openxmlformats.org/officeDocument/2006/relationships/hyperlink" Target="https://lh5.googleusercontent.com/d/1kzSTSBKwTI4D7nWAFZNUu0RZEUvlLVhn" TargetMode="External"/><Relationship Id="rId5774" Type="http://schemas.openxmlformats.org/officeDocument/2006/relationships/hyperlink" Target="https://lh5.googleusercontent.com/d/1MWZFEMKRlnT3akdR0DOACs8pl4j1QrBi" TargetMode="External"/><Relationship Id="rId3114" Type="http://schemas.openxmlformats.org/officeDocument/2006/relationships/hyperlink" Target="https://drive.google.com/file/d/19IYwIDXLWWtBjH7ksGE5q6UzbvEr8V-M/view?usp=drivesdk" TargetMode="External"/><Relationship Id="rId4445" Type="http://schemas.openxmlformats.org/officeDocument/2006/relationships/hyperlink" Target="https://drive.google.com/file/d/1AHkmwo3sjgk3BgRlp0fbNXvAtIENnEbn/view?usp=drivesdk" TargetMode="External"/><Relationship Id="rId5775" Type="http://schemas.openxmlformats.org/officeDocument/2006/relationships/hyperlink" Target="https://drive.google.com/file/d/1_6OOlNSz18z3NHV5qHs9x1IoGSSyJ9K_/view?usp=drivesdk" TargetMode="External"/><Relationship Id="rId3106" Type="http://schemas.openxmlformats.org/officeDocument/2006/relationships/hyperlink" Target="https://drive.google.com/file/d/1dXuqcYBj4YtoVD-afha9OVwo9MHpOr06/view?usp=drivesdk" TargetMode="External"/><Relationship Id="rId4437" Type="http://schemas.openxmlformats.org/officeDocument/2006/relationships/hyperlink" Target="https://drive.google.com/file/d/1fodf0B5jxPestvuhDBVxvg8D7O-5_Aj9/view?usp=drivesdk" TargetMode="External"/><Relationship Id="rId5769" Type="http://schemas.openxmlformats.org/officeDocument/2006/relationships/hyperlink" Target="https://drive.google.com/file/d/1tT3fUgVYFxnaMLU8_80S8p4x_Qjlmvmi/view?usp=drivesdk" TargetMode="External"/><Relationship Id="rId3105" Type="http://schemas.openxmlformats.org/officeDocument/2006/relationships/hyperlink" Target="https://lh5.googleusercontent.com/d/1E-FAmNzFq4bCaFCDJDEpuQKrv_8xbWPA" TargetMode="External"/><Relationship Id="rId4436" Type="http://schemas.openxmlformats.org/officeDocument/2006/relationships/hyperlink" Target="https://lh5.googleusercontent.com/d/1GDhARqfnBKVFZQ-Lp4Z6isfy2NsICgp0" TargetMode="External"/><Relationship Id="rId3108" Type="http://schemas.openxmlformats.org/officeDocument/2006/relationships/hyperlink" Target="https://drive.google.com/file/d/1F6KhtBUDqEqiTG_SDiEoxLTMZTZ7EVM5/view?usp=drivesdk" TargetMode="External"/><Relationship Id="rId4439" Type="http://schemas.openxmlformats.org/officeDocument/2006/relationships/hyperlink" Target="https://drive.google.com/file/d/1-77dnXd_7IIboHCSZHmFvCaPkZBs3J35/view?usp=drivesdk" TargetMode="External"/><Relationship Id="rId5767" Type="http://schemas.openxmlformats.org/officeDocument/2006/relationships/hyperlink" Target="https://drive.google.com/file/d/1uDvjGqY9c_4N5_DEZvIf_-_GZsP8PHg4/view?usp=drivesdk" TargetMode="External"/><Relationship Id="rId3107" Type="http://schemas.openxmlformats.org/officeDocument/2006/relationships/hyperlink" Target="https://lh5.googleusercontent.com/d/1R4WwJ1u3vOyfSFKWLrUdmDQ6RH791UYa" TargetMode="External"/><Relationship Id="rId4438" Type="http://schemas.openxmlformats.org/officeDocument/2006/relationships/hyperlink" Target="https://lh5.googleusercontent.com/d/1XXW2lZQDrUzhorQ-3Y-radbitjUwuxMq" TargetMode="External"/><Relationship Id="rId5768" Type="http://schemas.openxmlformats.org/officeDocument/2006/relationships/hyperlink" Target="https://lh5.googleusercontent.com/d/1KmgCRh2HM2qd2Sat6Jk-WR4A2QGcFqQs" TargetMode="External"/><Relationship Id="rId3109" Type="http://schemas.openxmlformats.org/officeDocument/2006/relationships/hyperlink" Target="https://lh5.googleusercontent.com/d/1gH4y1uolsmfISPG1eIZzltA51rwSPKAV" TargetMode="External"/><Relationship Id="rId5761" Type="http://schemas.openxmlformats.org/officeDocument/2006/relationships/hyperlink" Target="https://drive.google.com/file/d/1LLfmtreeSXA--N66FNRSWVCn3b7hFgC1/view?usp=drivesdk" TargetMode="External"/><Relationship Id="rId5762" Type="http://schemas.openxmlformats.org/officeDocument/2006/relationships/hyperlink" Target="https://lh5.googleusercontent.com/d/1ZcXH7kwPuE2sgyk6WdZTp4-VnvsUeVcz" TargetMode="External"/><Relationship Id="rId3100" Type="http://schemas.openxmlformats.org/officeDocument/2006/relationships/hyperlink" Target="https://drive.google.com/file/d/1j0L8JdmRID-FId_eo1aXrs_d5VuWMOcd/view?usp=drivesdk" TargetMode="External"/><Relationship Id="rId4431" Type="http://schemas.openxmlformats.org/officeDocument/2006/relationships/hyperlink" Target="https://drive.google.com/file/d/19TL_z3PrZHi8_6fMJqhcak-XV3DUGUSy/view?usp=drivesdk" TargetMode="External"/><Relationship Id="rId4430" Type="http://schemas.openxmlformats.org/officeDocument/2006/relationships/hyperlink" Target="https://lh5.googleusercontent.com/d/1CRRWxq6UBcNDcr8qk3O7-vBXKUsSKDUd" TargetMode="External"/><Relationship Id="rId5760" Type="http://schemas.openxmlformats.org/officeDocument/2006/relationships/hyperlink" Target="https://lh5.googleusercontent.com/d/1VBeLbZrrRVLoRnY-l0BxO_iERPAhCjh2" TargetMode="External"/><Relationship Id="rId3102" Type="http://schemas.openxmlformats.org/officeDocument/2006/relationships/hyperlink" Target="https://drive.google.com/file/d/1hWC9XFoZjBv2IvX7Z-G1jH7fQNzwcOVx/view?usp=drivesdk" TargetMode="External"/><Relationship Id="rId4433" Type="http://schemas.openxmlformats.org/officeDocument/2006/relationships/hyperlink" Target="https://drive.google.com/file/d/1gfrpplAzynOKZnmmU5UA_gqqxndQXGzo/view?usp=drivesdk" TargetMode="External"/><Relationship Id="rId5765" Type="http://schemas.openxmlformats.org/officeDocument/2006/relationships/hyperlink" Target="https://drive.google.com/file/d/1D6xmzThRCwQwXNaSIUHu8lZLWyEu8HBz/view?usp=drivesdk" TargetMode="External"/><Relationship Id="rId3101" Type="http://schemas.openxmlformats.org/officeDocument/2006/relationships/hyperlink" Target="https://lh5.googleusercontent.com/d/161jPSZBUGpYyQT14rcKofTGXbdm0-xYu" TargetMode="External"/><Relationship Id="rId4432" Type="http://schemas.openxmlformats.org/officeDocument/2006/relationships/hyperlink" Target="https://lh5.googleusercontent.com/d/1u4M0y5cPU5WX_88saeXnGPYTf9s-kJt5" TargetMode="External"/><Relationship Id="rId5766" Type="http://schemas.openxmlformats.org/officeDocument/2006/relationships/hyperlink" Target="https://lh5.googleusercontent.com/d/1IgUaXjhpbt7ijvUhg5KmIQjT0Qn32znX" TargetMode="External"/><Relationship Id="rId3104" Type="http://schemas.openxmlformats.org/officeDocument/2006/relationships/hyperlink" Target="https://drive.google.com/file/d/1MVqqLu-PbJ6JG7ZbmHrygYY9JbWxVnj6/view?usp=drivesdk" TargetMode="External"/><Relationship Id="rId4435" Type="http://schemas.openxmlformats.org/officeDocument/2006/relationships/hyperlink" Target="https://drive.google.com/file/d/1qDLXRQJOw23rcr8IvKgLRA-RIcWJ7qkb/view?usp=drivesdk" TargetMode="External"/><Relationship Id="rId5763" Type="http://schemas.openxmlformats.org/officeDocument/2006/relationships/hyperlink" Target="https://drive.google.com/file/d/1TKau83cf8m3MdOE2F_-XLtkuZyqqucwJ/view?usp=drivesdk" TargetMode="External"/><Relationship Id="rId3103" Type="http://schemas.openxmlformats.org/officeDocument/2006/relationships/hyperlink" Target="https://lh5.googleusercontent.com/d/17XWPFqmCwia-N_6wDraHR97EGR8PAIoR" TargetMode="External"/><Relationship Id="rId4434" Type="http://schemas.openxmlformats.org/officeDocument/2006/relationships/hyperlink" Target="https://lh5.googleusercontent.com/d/1IiSc2ieP-8D7hgzBmnk37pGQGAhScVQ4" TargetMode="External"/><Relationship Id="rId5764" Type="http://schemas.openxmlformats.org/officeDocument/2006/relationships/hyperlink" Target="https://lh5.googleusercontent.com/d/1Xr8YNPirpeIcyMwm_qK6js-wm5wTqqSv" TargetMode="External"/><Relationship Id="rId3139" Type="http://schemas.openxmlformats.org/officeDocument/2006/relationships/hyperlink" Target="https://lh5.googleusercontent.com/d/1Wf7_wqK-me0N6f7kr92S9wv5orZ-3KJS" TargetMode="External"/><Relationship Id="rId3138" Type="http://schemas.openxmlformats.org/officeDocument/2006/relationships/hyperlink" Target="https://drive.google.com/file/d/1FA-e2mnHX2vRNekG7CDXpATbpfeWen0W/view?usp=drivesdk" TargetMode="External"/><Relationship Id="rId4469" Type="http://schemas.openxmlformats.org/officeDocument/2006/relationships/hyperlink" Target="https://drive.google.com/file/d/1foO35ta4ogzlR3cGx3QTCSwg3wlriV2r/view?usp=drivesdk" TargetMode="External"/><Relationship Id="rId5790" Type="http://schemas.openxmlformats.org/officeDocument/2006/relationships/hyperlink" Target="https://lh5.googleusercontent.com/d/1zuq6abcHhXBefHCPwRD5qG6eh43UeSPb" TargetMode="External"/><Relationship Id="rId5791" Type="http://schemas.openxmlformats.org/officeDocument/2006/relationships/hyperlink" Target="https://drive.google.com/file/d/1dEw9Cg7L6YrKqjboIPMZv-OoCFgKqjiC/view?usp=drivesdk" TargetMode="External"/><Relationship Id="rId4460" Type="http://schemas.openxmlformats.org/officeDocument/2006/relationships/hyperlink" Target="https://lh5.googleusercontent.com/d/1liEngRYIK5Yb0dQfpCwGEjbizZFhOfnG" TargetMode="External"/><Relationship Id="rId3131" Type="http://schemas.openxmlformats.org/officeDocument/2006/relationships/hyperlink" Target="https://lh5.googleusercontent.com/d/1aJ8NOJQNMbI6MoBBrVwQdOKoZjyHc06o" TargetMode="External"/><Relationship Id="rId4462" Type="http://schemas.openxmlformats.org/officeDocument/2006/relationships/hyperlink" Target="https://lh5.googleusercontent.com/d/1_uucTwerwGZ0dp9okkp3HbIJLAxoldJi" TargetMode="External"/><Relationship Id="rId5794" Type="http://schemas.openxmlformats.org/officeDocument/2006/relationships/hyperlink" Target="https://lh5.googleusercontent.com/d/14F9UNEFjcok-0S2jjmVes6t8XjE_xhgN" TargetMode="External"/><Relationship Id="rId3130" Type="http://schemas.openxmlformats.org/officeDocument/2006/relationships/hyperlink" Target="https://drive.google.com/file/d/1tPTfcKnZ6tvyDi3TlyPLGpBO5d4D5O-i/view?usp=drivesdk" TargetMode="External"/><Relationship Id="rId4461" Type="http://schemas.openxmlformats.org/officeDocument/2006/relationships/hyperlink" Target="https://drive.google.com/file/d/1kFG3ZOPL7Oo13EoYxK8S5mgyQQnxDiKc/view?usp=drivesdk" TargetMode="External"/><Relationship Id="rId5795" Type="http://schemas.openxmlformats.org/officeDocument/2006/relationships/hyperlink" Target="https://drive.google.com/file/d/10GgV373rM6MK4EH6muKl5UAwuwdJlfke/view?usp=drivesdk" TargetMode="External"/><Relationship Id="rId3133" Type="http://schemas.openxmlformats.org/officeDocument/2006/relationships/hyperlink" Target="https://lh5.googleusercontent.com/d/1TnziL85-7hSDnuO4tbllM8GIYOgGj30E" TargetMode="External"/><Relationship Id="rId4464" Type="http://schemas.openxmlformats.org/officeDocument/2006/relationships/hyperlink" Target="https://lh5.googleusercontent.com/d/15CHD7R8U95pGe6IE3PoAqjOMojQkH2ZD" TargetMode="External"/><Relationship Id="rId5792" Type="http://schemas.openxmlformats.org/officeDocument/2006/relationships/hyperlink" Target="https://lh5.googleusercontent.com/d/1m720GlVt-pxIWba1WefSU3N62W9PSXlU" TargetMode="External"/><Relationship Id="rId3132" Type="http://schemas.openxmlformats.org/officeDocument/2006/relationships/hyperlink" Target="https://drive.google.com/file/d/1iReTejlkXojqWT1Vv5Xj3QjydWOfDoWX/view?usp=drivesdk" TargetMode="External"/><Relationship Id="rId4463" Type="http://schemas.openxmlformats.org/officeDocument/2006/relationships/hyperlink" Target="https://drive.google.com/file/d/11eVnHlBm1lB-y6Op9_Q-x6L4Wkz3oES_/view?usp=drivesdk" TargetMode="External"/><Relationship Id="rId5793" Type="http://schemas.openxmlformats.org/officeDocument/2006/relationships/hyperlink" Target="https://drive.google.com/file/d/1S5bSbJhr8RTj6mw4TZTmotNl4lsKQ4X7/view?usp=drivesdk" TargetMode="External"/><Relationship Id="rId3135" Type="http://schemas.openxmlformats.org/officeDocument/2006/relationships/hyperlink" Target="https://lh5.googleusercontent.com/d/18XHRnIlyoiYzeegGZecVGv955EtEX8CO" TargetMode="External"/><Relationship Id="rId4466" Type="http://schemas.openxmlformats.org/officeDocument/2006/relationships/hyperlink" Target="https://lh5.googleusercontent.com/d/1rVzMMp9hr_JZvTMDKwnN8sFjIZaS1Lme" TargetMode="External"/><Relationship Id="rId5798" Type="http://schemas.openxmlformats.org/officeDocument/2006/relationships/hyperlink" Target="https://lh5.googleusercontent.com/d/1UHcUeF3XUf11lPO5uHQ2Ao0jz9i78Sfe" TargetMode="External"/><Relationship Id="rId3134" Type="http://schemas.openxmlformats.org/officeDocument/2006/relationships/hyperlink" Target="https://drive.google.com/file/d/1y7lVJrg-yLmHt16FX51SSh0mfymUVh7b/view?usp=drivesdk" TargetMode="External"/><Relationship Id="rId4465" Type="http://schemas.openxmlformats.org/officeDocument/2006/relationships/hyperlink" Target="https://drive.google.com/file/d/16JiGf3YbUQPCngMwZYTSLjVNbTjAEIFW/view?usp=drivesdk" TargetMode="External"/><Relationship Id="rId5799" Type="http://schemas.openxmlformats.org/officeDocument/2006/relationships/hyperlink" Target="https://drive.google.com/file/d/1UYu8qQwCMvMJfODU4rIkmsfG_VnSB8q-/view?usp=drivesdk" TargetMode="External"/><Relationship Id="rId3137" Type="http://schemas.openxmlformats.org/officeDocument/2006/relationships/hyperlink" Target="https://lh5.googleusercontent.com/d/1mbUb0cPx4ZE7p8vHcv_fNwca3sipn4YD" TargetMode="External"/><Relationship Id="rId4468" Type="http://schemas.openxmlformats.org/officeDocument/2006/relationships/hyperlink" Target="https://lh5.googleusercontent.com/d/1FN6JVQ_LS4fNBr01E7RURws1d95l9IU1" TargetMode="External"/><Relationship Id="rId5796" Type="http://schemas.openxmlformats.org/officeDocument/2006/relationships/hyperlink" Target="https://lh5.googleusercontent.com/d/1BGjZuw1eoMXyZZOpEoZjXHityaQgOT5b" TargetMode="External"/><Relationship Id="rId3136" Type="http://schemas.openxmlformats.org/officeDocument/2006/relationships/hyperlink" Target="https://drive.google.com/file/d/1zoBzUQVZOufeUD5iRyAqcTYm8-EzbjYy/view?usp=drivesdk" TargetMode="External"/><Relationship Id="rId4467" Type="http://schemas.openxmlformats.org/officeDocument/2006/relationships/hyperlink" Target="https://drive.google.com/file/d/1nh1Rsqg-rym38uKg0nmni1XxG5GgZ41K/view?usp=drivesdk" TargetMode="External"/><Relationship Id="rId5797" Type="http://schemas.openxmlformats.org/officeDocument/2006/relationships/hyperlink" Target="https://drive.google.com/file/d/1JpOvDtO6_uMHZm0XxSi_bHvlPB2XX8ik/view?usp=drivesdk" TargetMode="External"/><Relationship Id="rId3128" Type="http://schemas.openxmlformats.org/officeDocument/2006/relationships/hyperlink" Target="https://drive.google.com/file/d/17O0tQyxwonqVP3IBo_5TTc6MPkFVF7ES/view?usp=drivesdk" TargetMode="External"/><Relationship Id="rId4459" Type="http://schemas.openxmlformats.org/officeDocument/2006/relationships/hyperlink" Target="https://drive.google.com/file/d/1YeKRMUQ-JAFkGGay0UgwOTM7we0SOQWo/view?usp=drivesdk" TargetMode="External"/><Relationship Id="rId3127" Type="http://schemas.openxmlformats.org/officeDocument/2006/relationships/hyperlink" Target="https://lh5.googleusercontent.com/d/17pjW9qqkh1-649L_4MfvOZhKr15KJWNS" TargetMode="External"/><Relationship Id="rId4458" Type="http://schemas.openxmlformats.org/officeDocument/2006/relationships/hyperlink" Target="https://lh5.googleusercontent.com/d/1TuDY_7WYgX5gxOiTvAriyx19-yc_lPIl" TargetMode="External"/><Relationship Id="rId5789" Type="http://schemas.openxmlformats.org/officeDocument/2006/relationships/hyperlink" Target="https://drive.google.com/file/d/1waYP_Q-nHaQyE6jgtIMv663RkEsqyUFA/view?usp=drivesdk" TargetMode="External"/><Relationship Id="rId3129" Type="http://schemas.openxmlformats.org/officeDocument/2006/relationships/hyperlink" Target="https://lh5.googleusercontent.com/d/1IWPnfyGVp1ZziRzjHAD2nd8NbEo0nBUP" TargetMode="External"/><Relationship Id="rId5780" Type="http://schemas.openxmlformats.org/officeDocument/2006/relationships/hyperlink" Target="https://lh5.googleusercontent.com/d/1HQs6uNVsIh5IGlB3kHQ2r1GjOJQfF1oV" TargetMode="External"/><Relationship Id="rId3120" Type="http://schemas.openxmlformats.org/officeDocument/2006/relationships/hyperlink" Target="https://drive.google.com/file/d/1bD7mvo00WMKOmxWNZOLCEtVjv4YLH9Ma/view?usp=drivesdk" TargetMode="External"/><Relationship Id="rId4451" Type="http://schemas.openxmlformats.org/officeDocument/2006/relationships/hyperlink" Target="https://drive.google.com/file/d/1Ibz3eifcW4RxnMhWogI8j5bcWTk2idvn/view?usp=drivesdk" TargetMode="External"/><Relationship Id="rId5783" Type="http://schemas.openxmlformats.org/officeDocument/2006/relationships/hyperlink" Target="https://drive.google.com/file/d/1EvBcu-ED0F-yGL4Kp60tRY11kED-QxcV/view?usp=drivesdk" TargetMode="External"/><Relationship Id="rId4450" Type="http://schemas.openxmlformats.org/officeDocument/2006/relationships/hyperlink" Target="https://lh5.googleusercontent.com/d/1dpE_9SPYEz0ASG1wG827FB6yfjKkTumt" TargetMode="External"/><Relationship Id="rId5784" Type="http://schemas.openxmlformats.org/officeDocument/2006/relationships/hyperlink" Target="https://lh5.googleusercontent.com/d/14bZ_lpWB9QGhs4n_guMTJnuBKMiBt7qk" TargetMode="External"/><Relationship Id="rId3122" Type="http://schemas.openxmlformats.org/officeDocument/2006/relationships/hyperlink" Target="https://drive.google.com/file/d/1_mzrWdWLhhBoS1fQuckMI4o1Mo9EL2KT/view?usp=drivesdk" TargetMode="External"/><Relationship Id="rId4453" Type="http://schemas.openxmlformats.org/officeDocument/2006/relationships/hyperlink" Target="https://drive.google.com/file/d/1GCxldfUtLPc8Kx4apsPOpM-pQRot2Rgz/view?usp=drivesdk" TargetMode="External"/><Relationship Id="rId5781" Type="http://schemas.openxmlformats.org/officeDocument/2006/relationships/hyperlink" Target="https://drive.google.com/file/d/1Cg3DxxFTDHwF_TGkw3SlHi3CRQM-Ecae/view?usp=drivesdk" TargetMode="External"/><Relationship Id="rId3121" Type="http://schemas.openxmlformats.org/officeDocument/2006/relationships/hyperlink" Target="https://lh5.googleusercontent.com/d/1_RcUhh7erj4Cverh7W1E4pcgBShJhoYo" TargetMode="External"/><Relationship Id="rId4452" Type="http://schemas.openxmlformats.org/officeDocument/2006/relationships/hyperlink" Target="https://lh5.googleusercontent.com/d/1GxDu7wIDVRNfMGbyXVx5ixDJopN-PwOi" TargetMode="External"/><Relationship Id="rId5782" Type="http://schemas.openxmlformats.org/officeDocument/2006/relationships/hyperlink" Target="https://lh5.googleusercontent.com/d/17sATn5X_O2NkXbkHnydczr1CfUp4R-zH" TargetMode="External"/><Relationship Id="rId3124" Type="http://schemas.openxmlformats.org/officeDocument/2006/relationships/hyperlink" Target="https://drive.google.com/file/d/174P3-QSjZ_kEXbRHm_qqae6CRe51qfnV/view?usp=drivesdk" TargetMode="External"/><Relationship Id="rId4455" Type="http://schemas.openxmlformats.org/officeDocument/2006/relationships/hyperlink" Target="https://drive.google.com/file/d/1MeeeVmJm5ozhP6_qkI4-TC-Uw4drPisV/view?usp=drivesdk" TargetMode="External"/><Relationship Id="rId5787" Type="http://schemas.openxmlformats.org/officeDocument/2006/relationships/hyperlink" Target="https://drive.google.com/file/d/1BuhIFv_piBwn4_YIrRNN6CGetkfxsc0x/view?usp=drivesdk" TargetMode="External"/><Relationship Id="rId3123" Type="http://schemas.openxmlformats.org/officeDocument/2006/relationships/hyperlink" Target="https://lh5.googleusercontent.com/d/1w4vEigpsjTMYIwsrk8gLWlTacpbyf7uB" TargetMode="External"/><Relationship Id="rId4454" Type="http://schemas.openxmlformats.org/officeDocument/2006/relationships/hyperlink" Target="https://lh5.googleusercontent.com/d/1MT0_3KIbRwLh6jDn4nQPqGsjIeY_FsyI" TargetMode="External"/><Relationship Id="rId5788" Type="http://schemas.openxmlformats.org/officeDocument/2006/relationships/hyperlink" Target="https://lh5.googleusercontent.com/d/1sWEk7vo-r3LVfq4w2MrTpEJUszs2YWRh" TargetMode="External"/><Relationship Id="rId3126" Type="http://schemas.openxmlformats.org/officeDocument/2006/relationships/hyperlink" Target="https://drive.google.com/file/d/141dhGFLDlg0hE1RIqMay9X1DWV6MJnnY/view?usp=drivesdk" TargetMode="External"/><Relationship Id="rId4457" Type="http://schemas.openxmlformats.org/officeDocument/2006/relationships/hyperlink" Target="https://drive.google.com/file/d/1ukAVEz4gKvxHoaeO3LYgIuBNKYYPU-Bi/view?usp=drivesdk" TargetMode="External"/><Relationship Id="rId5785" Type="http://schemas.openxmlformats.org/officeDocument/2006/relationships/hyperlink" Target="https://drive.google.com/file/d/1Lu9Zvj2Jn5Oj4PrgfIzgRdq6mOqydfJU/view?usp=drivesdk" TargetMode="External"/><Relationship Id="rId3125" Type="http://schemas.openxmlformats.org/officeDocument/2006/relationships/hyperlink" Target="https://lh5.googleusercontent.com/d/1-gzCIrOIarwbDmv8_8J9qMu_G01p_E0i" TargetMode="External"/><Relationship Id="rId4456" Type="http://schemas.openxmlformats.org/officeDocument/2006/relationships/hyperlink" Target="https://lh5.googleusercontent.com/d/1LcZC4Y2ACySLZ7VeQrBc29uYocmNJlUY" TargetMode="External"/><Relationship Id="rId5786" Type="http://schemas.openxmlformats.org/officeDocument/2006/relationships/hyperlink" Target="https://lh5.googleusercontent.com/d/1H3OmJo5C1498EU_b5vbncy-O8NHcTzZn" TargetMode="External"/><Relationship Id="rId1378" Type="http://schemas.openxmlformats.org/officeDocument/2006/relationships/hyperlink" Target="https://drive.google.com/file/d/1R2uNwbU8zJglRoXpQeG1Orgb7n4e3KdB/view?usp=drivesdk" TargetMode="External"/><Relationship Id="rId4404" Type="http://schemas.openxmlformats.org/officeDocument/2006/relationships/hyperlink" Target="https://lh5.googleusercontent.com/d/1uFEo22WIHmdEfa-wjyfRUebM0YB7f4iG" TargetMode="External"/><Relationship Id="rId5736" Type="http://schemas.openxmlformats.org/officeDocument/2006/relationships/hyperlink" Target="https://drive.google.com/file/d/1f93pwkvDkCk0dXNWCHhBVvuRUk4ExQyi/view?usp=drivesdk" TargetMode="External"/><Relationship Id="rId1379" Type="http://schemas.openxmlformats.org/officeDocument/2006/relationships/hyperlink" Target="https://lh5.googleusercontent.com/d/1WrN8xNdVcqrdZATIK3V3xYRJIWPU1rLL" TargetMode="External"/><Relationship Id="rId4403" Type="http://schemas.openxmlformats.org/officeDocument/2006/relationships/hyperlink" Target="https://drive.google.com/file/d/1E2E4Chqim9SAbBgHTiFovGrv2v_hmLpL/view?usp=drivesdk" TargetMode="External"/><Relationship Id="rId5737" Type="http://schemas.openxmlformats.org/officeDocument/2006/relationships/hyperlink" Target="https://lh5.googleusercontent.com/d/1tg94moAd1WI_FzIWF7ftf9011VTqb4Je" TargetMode="External"/><Relationship Id="rId4406" Type="http://schemas.openxmlformats.org/officeDocument/2006/relationships/hyperlink" Target="https://lh5.googleusercontent.com/d/1NXVWTsXHoX94oJdDBZtc3_Yint-aMQ9c" TargetMode="External"/><Relationship Id="rId5734" Type="http://schemas.openxmlformats.org/officeDocument/2006/relationships/hyperlink" Target="https://drive.google.com/file/d/1Mc4FC90VYGuz5DJJ7RuV5LX0VwUDfA4y/view?usp=drivesdk" TargetMode="External"/><Relationship Id="rId4405" Type="http://schemas.openxmlformats.org/officeDocument/2006/relationships/hyperlink" Target="https://drive.google.com/file/d/1LSn2PrQlq4-nnDZOdycVbGYf1p2CW7C0/view?usp=drivesdk" TargetMode="External"/><Relationship Id="rId5735" Type="http://schemas.openxmlformats.org/officeDocument/2006/relationships/hyperlink" Target="https://lh5.googleusercontent.com/d/1z1qdWp9MEBbyeLs3C7BjaQKe0wl-koMZ" TargetMode="External"/><Relationship Id="rId4408" Type="http://schemas.openxmlformats.org/officeDocument/2006/relationships/hyperlink" Target="https://lh5.googleusercontent.com/d/12unAgULDkoz2wy6gL8NDf6tHAwcm3Jf9" TargetMode="External"/><Relationship Id="rId4407" Type="http://schemas.openxmlformats.org/officeDocument/2006/relationships/hyperlink" Target="https://drive.google.com/file/d/1CsI1WBPHcvTbjbPijIRS6YFpC68eDZ95/view?usp=drivesdk" TargetMode="External"/><Relationship Id="rId5738" Type="http://schemas.openxmlformats.org/officeDocument/2006/relationships/hyperlink" Target="https://drive.google.com/file/d/1TZZ0IRd20jq-qad1gKXNQmMEUSHyQF94/view?usp=drivesdk" TargetMode="External"/><Relationship Id="rId4409" Type="http://schemas.openxmlformats.org/officeDocument/2006/relationships/hyperlink" Target="https://drive.google.com/file/d/1MzlZDGcqDajUm_1f2GdMQrZUHnEUo3ie/view?usp=drivesdk" TargetMode="External"/><Relationship Id="rId5739" Type="http://schemas.openxmlformats.org/officeDocument/2006/relationships/hyperlink" Target="https://lh5.googleusercontent.com/d/1US14LLowPMDtTnEIMh368X2O0T7YlB7T" TargetMode="External"/><Relationship Id="rId789" Type="http://schemas.openxmlformats.org/officeDocument/2006/relationships/hyperlink" Target="https://lh5.googleusercontent.com/d/1KxrrnhOIE0tc_dpMZ2dmsZ_DbNeayLC2" TargetMode="External"/><Relationship Id="rId788" Type="http://schemas.openxmlformats.org/officeDocument/2006/relationships/hyperlink" Target="https://drive.google.com/file/d/10Lo7SX9c0k3bw2KNmJzAsU0x9WFCnl_g/view?usp=drivesdk" TargetMode="External"/><Relationship Id="rId787" Type="http://schemas.openxmlformats.org/officeDocument/2006/relationships/hyperlink" Target="https://lh5.googleusercontent.com/d/1Yn2w7X1WXzJtkWHgQn0mhDgNdkmRBF4g" TargetMode="External"/><Relationship Id="rId786" Type="http://schemas.openxmlformats.org/officeDocument/2006/relationships/hyperlink" Target="https://drive.google.com/file/d/1hEb8cA_083_iWX6okqStHGrR8QB5YLPE/view?usp=drivesdk" TargetMode="External"/><Relationship Id="rId781" Type="http://schemas.openxmlformats.org/officeDocument/2006/relationships/hyperlink" Target="https://lh5.googleusercontent.com/d/17d0Ic-iNqb8xxpREr9D3ka3js28blfxh" TargetMode="External"/><Relationship Id="rId1370" Type="http://schemas.openxmlformats.org/officeDocument/2006/relationships/hyperlink" Target="https://lh5.googleusercontent.com/d/1eT2gWNDTmqx1NkCsLgSyVhcWlHd4vr3w" TargetMode="External"/><Relationship Id="rId780" Type="http://schemas.openxmlformats.org/officeDocument/2006/relationships/hyperlink" Target="https://drive.google.com/file/d/1FvcnE7uo4EB9POaybr6QgenAob35CQPf/view?usp=drivesdk" TargetMode="External"/><Relationship Id="rId1371" Type="http://schemas.openxmlformats.org/officeDocument/2006/relationships/hyperlink" Target="https://drive.google.com/file/d/1_elY1jzXtDS2aWGWrtnHOGMz6_JmDvJD/view?usp=drivesdk" TargetMode="External"/><Relationship Id="rId1372" Type="http://schemas.openxmlformats.org/officeDocument/2006/relationships/hyperlink" Target="https://lh5.googleusercontent.com/d/1ygajz8b5eU5gVcGEPr8gXIsmBU0oIgMf" TargetMode="External"/><Relationship Id="rId1373" Type="http://schemas.openxmlformats.org/officeDocument/2006/relationships/hyperlink" Target="https://drive.google.com/file/d/15IcUrN6JAepZYb7oHhfw4IpOVuR656ue/view?usp=drivesdk" TargetMode="External"/><Relationship Id="rId785" Type="http://schemas.openxmlformats.org/officeDocument/2006/relationships/hyperlink" Target="https://lh5.googleusercontent.com/d/1i_H4THS1r0cClISPtwFd1vG62YEHRhyx" TargetMode="External"/><Relationship Id="rId1374" Type="http://schemas.openxmlformats.org/officeDocument/2006/relationships/hyperlink" Target="https://lh5.googleusercontent.com/d/1Bv7xHWlWN4xKx_Zf1o_EZOPamIgg6gNJ" TargetMode="External"/><Relationship Id="rId4400" Type="http://schemas.openxmlformats.org/officeDocument/2006/relationships/hyperlink" Target="https://lh5.googleusercontent.com/d/1T7MskqBYve6Uf1316h9NNjKHixWx3x5d" TargetMode="External"/><Relationship Id="rId5732" Type="http://schemas.openxmlformats.org/officeDocument/2006/relationships/hyperlink" Target="https://drive.google.com/file/d/11WoPIA9D4fA-9YHkbHm2Q4Qy-4nNbcGP/view?usp=drivesdk" TargetMode="External"/><Relationship Id="rId784" Type="http://schemas.openxmlformats.org/officeDocument/2006/relationships/hyperlink" Target="https://drive.google.com/file/d/1cd4-tZOB8KsggVu0arwqahmF2bKD6qNO/view?usp=drivesdk" TargetMode="External"/><Relationship Id="rId1375" Type="http://schemas.openxmlformats.org/officeDocument/2006/relationships/hyperlink" Target="https://drive.google.com/file/d/16itpzjM9UssELcWIWWQ2KaY_9evm3OLh/view?usp=drivesdk" TargetMode="External"/><Relationship Id="rId5733" Type="http://schemas.openxmlformats.org/officeDocument/2006/relationships/hyperlink" Target="https://lh5.googleusercontent.com/d/1SHgvF6LV4ZtN2JuielUmLRyArMJ8OPTC" TargetMode="External"/><Relationship Id="rId783" Type="http://schemas.openxmlformats.org/officeDocument/2006/relationships/hyperlink" Target="https://lh5.googleusercontent.com/d/1YQqXwOUpU7qO-ekweWmR9DX-rakQXK_f" TargetMode="External"/><Relationship Id="rId1376" Type="http://schemas.openxmlformats.org/officeDocument/2006/relationships/hyperlink" Target="https://lh5.googleusercontent.com/d/1BF5qfpmzExDKNVeAfNmIGrdIxL71zYWc" TargetMode="External"/><Relationship Id="rId4402" Type="http://schemas.openxmlformats.org/officeDocument/2006/relationships/hyperlink" Target="https://lh5.googleusercontent.com/d/1dxhJYAPhGIYCZZL7SAdGosgaIsQW3PkU" TargetMode="External"/><Relationship Id="rId5730" Type="http://schemas.openxmlformats.org/officeDocument/2006/relationships/hyperlink" Target="https://drive.google.com/file/d/1w005a788Mb4KQ-LSfkejSVgfMY9muahZ/view?usp=drivesdk" TargetMode="External"/><Relationship Id="rId782" Type="http://schemas.openxmlformats.org/officeDocument/2006/relationships/hyperlink" Target="https://drive.google.com/file/d/1LsBMy2jjTXwx6ctm2XC9dcRkV8jnfI5B/view?usp=drivesdk" TargetMode="External"/><Relationship Id="rId1377" Type="http://schemas.openxmlformats.org/officeDocument/2006/relationships/hyperlink" Target="https://lh5.googleusercontent.com/d/1F1VfWflL5kC6_gc7lDg3rCBAyewHCK_o" TargetMode="External"/><Relationship Id="rId4401" Type="http://schemas.openxmlformats.org/officeDocument/2006/relationships/hyperlink" Target="https://drive.google.com/file/d/1m8l0GlFZ9dHC4-cScMSaHJT7_TbabhzU/view?usp=drivesdk" TargetMode="External"/><Relationship Id="rId5731" Type="http://schemas.openxmlformats.org/officeDocument/2006/relationships/hyperlink" Target="https://lh5.googleusercontent.com/d/1ahtKA1aarM6VSq2N5N234h61Jli87Xof" TargetMode="External"/><Relationship Id="rId1367" Type="http://schemas.openxmlformats.org/officeDocument/2006/relationships/hyperlink" Target="https://drive.google.com/file/d/19v4Xin6PDj9rYRqv8TYqePJVWAMUin6j/view?usp=drivesdk" TargetMode="External"/><Relationship Id="rId2698" Type="http://schemas.openxmlformats.org/officeDocument/2006/relationships/hyperlink" Target="https://lh5.googleusercontent.com/d/1FIMyjv_5NpVChrYpHi-gvURdFnByKYFw" TargetMode="External"/><Relationship Id="rId5725" Type="http://schemas.openxmlformats.org/officeDocument/2006/relationships/hyperlink" Target="https://lh5.googleusercontent.com/d/1JhZe63NyL8gFTgaH-pUqMDA6b2M38Xfn" TargetMode="External"/><Relationship Id="rId1368" Type="http://schemas.openxmlformats.org/officeDocument/2006/relationships/hyperlink" Target="https://lh5.googleusercontent.com/d/1lRasfwUMkE3l_pjcMCbz7Vkt59T3xs55" TargetMode="External"/><Relationship Id="rId2699" Type="http://schemas.openxmlformats.org/officeDocument/2006/relationships/hyperlink" Target="https://drive.google.com/file/d/1twkTRMTXANFgjbeppdYKxGsCq0KZwmGU/view?usp=drivesdk" TargetMode="External"/><Relationship Id="rId5726" Type="http://schemas.openxmlformats.org/officeDocument/2006/relationships/hyperlink" Target="https://drive.google.com/file/d/1eV_mE3VJul5noWwdcIl4-hCzUX8bBaq0/view?usp=drivesdk" TargetMode="External"/><Relationship Id="rId1369" Type="http://schemas.openxmlformats.org/officeDocument/2006/relationships/hyperlink" Target="https://drive.google.com/file/d/1yB6OADO3bhvBh4jtYfv9pLEZHtYu1OHn/view?usp=drivesdk" TargetMode="External"/><Relationship Id="rId5723" Type="http://schemas.openxmlformats.org/officeDocument/2006/relationships/hyperlink" Target="https://lh5.googleusercontent.com/d/19Dbp4XvcmZZ0hQCY3S1UHMceM_E58XK2" TargetMode="External"/><Relationship Id="rId5724" Type="http://schemas.openxmlformats.org/officeDocument/2006/relationships/hyperlink" Target="https://drive.google.com/file/d/17opHE1EHiFnkTzc39q9vXJyvSu6l0Dap/view?usp=drivesdk" TargetMode="External"/><Relationship Id="rId5729" Type="http://schemas.openxmlformats.org/officeDocument/2006/relationships/hyperlink" Target="https://lh5.googleusercontent.com/d/1wxR4lsJ7_C9eB2hpbTJrUpK0jgzmVJJN" TargetMode="External"/><Relationship Id="rId5727" Type="http://schemas.openxmlformats.org/officeDocument/2006/relationships/hyperlink" Target="https://lh5.googleusercontent.com/d/1APqfsBjmUI50F1Zh428HaAMIeMOPdHCm" TargetMode="External"/><Relationship Id="rId5728" Type="http://schemas.openxmlformats.org/officeDocument/2006/relationships/hyperlink" Target="https://drive.google.com/file/d/16s5MEJxBl1-qDSrjoxkSm-hI67r8FTWF/view?usp=drivesdk" TargetMode="External"/><Relationship Id="rId778" Type="http://schemas.openxmlformats.org/officeDocument/2006/relationships/hyperlink" Target="https://drive.google.com/file/d/1FeSIRYXs-rUaYvJcspFZlVAVnKVio874/view?usp=drivesdk" TargetMode="External"/><Relationship Id="rId777" Type="http://schemas.openxmlformats.org/officeDocument/2006/relationships/hyperlink" Target="https://lh5.googleusercontent.com/d/19Lh-HGoZo8gZalfOBT7EySeLPImExjqZ" TargetMode="External"/><Relationship Id="rId776" Type="http://schemas.openxmlformats.org/officeDocument/2006/relationships/hyperlink" Target="https://drive.google.com/file/d/1o8rJnGuaJ9sDSGDsFjODqScvr-dQVcVT/view?usp=drivesdk" TargetMode="External"/><Relationship Id="rId775" Type="http://schemas.openxmlformats.org/officeDocument/2006/relationships/hyperlink" Target="https://lh5.googleusercontent.com/d/1oUT6oTn5Cpp3HY2pdh6ZptvAjzeuVUbc" TargetMode="External"/><Relationship Id="rId779" Type="http://schemas.openxmlformats.org/officeDocument/2006/relationships/hyperlink" Target="https://lh5.googleusercontent.com/d/1caoHGrE6OQiEBFJzDDdJHNhSw9DrXToT" TargetMode="External"/><Relationship Id="rId770" Type="http://schemas.openxmlformats.org/officeDocument/2006/relationships/hyperlink" Target="https://drive.google.com/file/d/11gKdIYk8Jdya-aR9CEAYWFqWVfkPLAmi/view?usp=drivesdk" TargetMode="External"/><Relationship Id="rId2690" Type="http://schemas.openxmlformats.org/officeDocument/2006/relationships/hyperlink" Target="https://lh5.googleusercontent.com/d/1UOfDiJcurIAtqTeHZntWePpv2kUGVct3" TargetMode="External"/><Relationship Id="rId1360" Type="http://schemas.openxmlformats.org/officeDocument/2006/relationships/hyperlink" Target="https://lh5.googleusercontent.com/d/1CSp5CjvTwU6lAzn8RB4jb0nyKm7_nPSp" TargetMode="External"/><Relationship Id="rId2691" Type="http://schemas.openxmlformats.org/officeDocument/2006/relationships/hyperlink" Target="https://drive.google.com/file/d/1MuwuEUTxai91hoNfNUDATFq4LPzdRMd8/view?usp=drivesdk" TargetMode="External"/><Relationship Id="rId1361" Type="http://schemas.openxmlformats.org/officeDocument/2006/relationships/hyperlink" Target="https://drive.google.com/file/d/1DJ6pb-QzyalMVU1kt0PxzylSvhtXcd-X/view?usp=drivesdk" TargetMode="External"/><Relationship Id="rId2692" Type="http://schemas.openxmlformats.org/officeDocument/2006/relationships/hyperlink" Target="https://lh5.googleusercontent.com/d/1LmHTujFYz794NIBzkEt0_W5AtUuGARd9" TargetMode="External"/><Relationship Id="rId1362" Type="http://schemas.openxmlformats.org/officeDocument/2006/relationships/hyperlink" Target="https://lh5.googleusercontent.com/d/1gsXcY6dYGh9esVPECtp_KeUwZGduGsKJ" TargetMode="External"/><Relationship Id="rId2693" Type="http://schemas.openxmlformats.org/officeDocument/2006/relationships/hyperlink" Target="https://drive.google.com/file/d/1zgrH05B4OrsrcV3X_CTS8WWp0yy-svS_/view?usp=drivesdk" TargetMode="External"/><Relationship Id="rId774" Type="http://schemas.openxmlformats.org/officeDocument/2006/relationships/hyperlink" Target="https://drive.google.com/file/d/16I4gJ-NJdVxFz8cVW6hJufImHANGuC1K/view?usp=drivesdk" TargetMode="External"/><Relationship Id="rId1363" Type="http://schemas.openxmlformats.org/officeDocument/2006/relationships/hyperlink" Target="https://drive.google.com/file/d/11cGZn-hC467Dr7wB5JvmhYdB4tAEe6b_/view?usp=drivesdk" TargetMode="External"/><Relationship Id="rId2694" Type="http://schemas.openxmlformats.org/officeDocument/2006/relationships/hyperlink" Target="https://lh5.googleusercontent.com/d/1RY1ggG81IPEVQGm9k5r-XPVvfSva6kCI" TargetMode="External"/><Relationship Id="rId5721" Type="http://schemas.openxmlformats.org/officeDocument/2006/relationships/hyperlink" Target="https://lh5.googleusercontent.com/d/1Ql4MSRUCdsatHZTx7NxiOyvzbOy501TX" TargetMode="External"/><Relationship Id="rId773" Type="http://schemas.openxmlformats.org/officeDocument/2006/relationships/hyperlink" Target="https://lh5.googleusercontent.com/d/10hwX5qEkQ0HSURlf0aqqEUaVjmLm79Dq" TargetMode="External"/><Relationship Id="rId1364" Type="http://schemas.openxmlformats.org/officeDocument/2006/relationships/hyperlink" Target="https://lh5.googleusercontent.com/d/1_x0Ffc3Jo0_j67x2T3XZejAgkPdkfSmK" TargetMode="External"/><Relationship Id="rId2695" Type="http://schemas.openxmlformats.org/officeDocument/2006/relationships/hyperlink" Target="https://drive.google.com/file/d/1cD9Voi29Aoi6Kz9aSDyZY56wEMsUlK6D/view?usp=drivesdk" TargetMode="External"/><Relationship Id="rId5722" Type="http://schemas.openxmlformats.org/officeDocument/2006/relationships/hyperlink" Target="https://drive.google.com/file/d/1WWoZfBLeKNk9sOgMWFuu-MJ67TIgA99f/view?usp=drivesdk" TargetMode="External"/><Relationship Id="rId772" Type="http://schemas.openxmlformats.org/officeDocument/2006/relationships/hyperlink" Target="https://drive.google.com/file/d/15rH3UoJC2-orXzB1WKzJM8lEEkSkVT3b/view?usp=drivesdk" TargetMode="External"/><Relationship Id="rId1365" Type="http://schemas.openxmlformats.org/officeDocument/2006/relationships/hyperlink" Target="https://drive.google.com/file/d/1dcpTf6jxEq5fZpeu1DOne37LwfbeCIZ0/view?usp=drivesdk" TargetMode="External"/><Relationship Id="rId2696" Type="http://schemas.openxmlformats.org/officeDocument/2006/relationships/hyperlink" Target="https://lh5.googleusercontent.com/d/1YpeIFJYnxIG1DtIOqqbopra45c6CA1uz" TargetMode="External"/><Relationship Id="rId771" Type="http://schemas.openxmlformats.org/officeDocument/2006/relationships/hyperlink" Target="https://lh5.googleusercontent.com/d/1t5EjYOEoDbFdvJQSKlv_onTOeYMqF-xH" TargetMode="External"/><Relationship Id="rId1366" Type="http://schemas.openxmlformats.org/officeDocument/2006/relationships/hyperlink" Target="https://lh5.googleusercontent.com/d/1puyrtH8lOhCyQCAfCmH8YT2SuwsBvt2j" TargetMode="External"/><Relationship Id="rId2697" Type="http://schemas.openxmlformats.org/officeDocument/2006/relationships/hyperlink" Target="https://drive.google.com/file/d/1g2hijqa71lkIjpn-uUutHacuwdDXhLDK/view?usp=drivesdk" TargetMode="External"/><Relationship Id="rId5720" Type="http://schemas.openxmlformats.org/officeDocument/2006/relationships/hyperlink" Target="https://drive.google.com/file/d/1PJYjnO0SJiAPxqfI41IzNlICLJl3okcD/view?usp=drivesdk" TargetMode="External"/><Relationship Id="rId4426" Type="http://schemas.openxmlformats.org/officeDocument/2006/relationships/hyperlink" Target="https://lh5.googleusercontent.com/d/18sqUMF_CmGWG0M2U-zL58C1ajUrT4paR" TargetMode="External"/><Relationship Id="rId5758" Type="http://schemas.openxmlformats.org/officeDocument/2006/relationships/hyperlink" Target="https://lh5.googleusercontent.com/d/1nKZFs7yIWwF1m870tikWfC2bnKAA3v14" TargetMode="External"/><Relationship Id="rId4425" Type="http://schemas.openxmlformats.org/officeDocument/2006/relationships/hyperlink" Target="https://drive.google.com/file/d/1Ckbopr6IZKrnVlIcNgd_qnne-zoxAmAy/view?usp=drivesdk" TargetMode="External"/><Relationship Id="rId5759" Type="http://schemas.openxmlformats.org/officeDocument/2006/relationships/hyperlink" Target="https://drive.google.com/file/d/12rDydYGWMKrMQ0k9nyeQDPs0tlTWW_En/view?usp=drivesdk" TargetMode="External"/><Relationship Id="rId4428" Type="http://schemas.openxmlformats.org/officeDocument/2006/relationships/hyperlink" Target="https://lh5.googleusercontent.com/d/1HoRQLPszKfUCPxv5CCF_LlE1Y03DVxLU" TargetMode="External"/><Relationship Id="rId5756" Type="http://schemas.openxmlformats.org/officeDocument/2006/relationships/hyperlink" Target="https://lh5.googleusercontent.com/d/1_RxKZN4lLT6Fp9HsuGeb7no25NDEsxz_" TargetMode="External"/><Relationship Id="rId4427" Type="http://schemas.openxmlformats.org/officeDocument/2006/relationships/hyperlink" Target="https://drive.google.com/file/d/1NrWZhJZJiB0wJdwtoseLKuwTbzkHzurb/view?usp=drivesdk" TargetMode="External"/><Relationship Id="rId5757" Type="http://schemas.openxmlformats.org/officeDocument/2006/relationships/hyperlink" Target="https://drive.google.com/file/d/1W8CE5_mSSbwzY1r6KAHZN3pMiWFyclHX/view?usp=drivesdk" TargetMode="External"/><Relationship Id="rId4429" Type="http://schemas.openxmlformats.org/officeDocument/2006/relationships/hyperlink" Target="https://drive.google.com/file/d/1QLLLNzs_63Bb8cekDu1l0h6e4lV8SBmz/view?usp=drivesdk" TargetMode="External"/><Relationship Id="rId1390" Type="http://schemas.openxmlformats.org/officeDocument/2006/relationships/hyperlink" Target="https://drive.google.com/file/d/11phOy7NhGZjo-GN0OAKgH6j8c-zHVR4W/view?usp=drivesdk" TargetMode="External"/><Relationship Id="rId1391" Type="http://schemas.openxmlformats.org/officeDocument/2006/relationships/hyperlink" Target="https://lh5.googleusercontent.com/d/1jMKN5zNDsp_uMzcagb4dhjraE4uI1H-P" TargetMode="External"/><Relationship Id="rId1392" Type="http://schemas.openxmlformats.org/officeDocument/2006/relationships/hyperlink" Target="https://drive.google.com/file/d/1TwtXaab7J_aqot6JDXepXbHAt9rFl4A4/view?usp=drivesdk" TargetMode="External"/><Relationship Id="rId5750" Type="http://schemas.openxmlformats.org/officeDocument/2006/relationships/hyperlink" Target="https://lh5.googleusercontent.com/d/1WQfaWT8W2LCNyQL3Z2hndNnH9Rac2789" TargetMode="External"/><Relationship Id="rId1393" Type="http://schemas.openxmlformats.org/officeDocument/2006/relationships/hyperlink" Target="https://lh5.googleusercontent.com/d/10vpIOAIOm45nCy15NjsnK-PkSdoDns07" TargetMode="External"/><Relationship Id="rId5751" Type="http://schemas.openxmlformats.org/officeDocument/2006/relationships/hyperlink" Target="https://drive.google.com/file/d/1-mR9Q_1bHyK71x-K2-2BB2DQuYTKEYdy/view?usp=drivesdk" TargetMode="External"/><Relationship Id="rId1394" Type="http://schemas.openxmlformats.org/officeDocument/2006/relationships/hyperlink" Target="https://drive.google.com/file/d/1E7gery72OUCFC_iTtll6vFTbpE2qN7no/view?usp=drivesdk" TargetMode="External"/><Relationship Id="rId4420" Type="http://schemas.openxmlformats.org/officeDocument/2006/relationships/hyperlink" Target="https://lh5.googleusercontent.com/d/19BHNqa6I4m0cW6FL_JDxxrUf94qEsvWV" TargetMode="External"/><Relationship Id="rId1395" Type="http://schemas.openxmlformats.org/officeDocument/2006/relationships/hyperlink" Target="https://lh5.googleusercontent.com/d/1O_TXeRv0upxrhcNHcy5EtlqI8Y3Dmax9" TargetMode="External"/><Relationship Id="rId1396" Type="http://schemas.openxmlformats.org/officeDocument/2006/relationships/hyperlink" Target="https://drive.google.com/file/d/1FBoEbUfi91seGLCCj8QHJfpIS-FVHjX3/view?usp=drivesdk" TargetMode="External"/><Relationship Id="rId4422" Type="http://schemas.openxmlformats.org/officeDocument/2006/relationships/hyperlink" Target="https://lh5.googleusercontent.com/d/149VpxXVsYiqfNMozTd20qS1_Y4l8Li6A" TargetMode="External"/><Relationship Id="rId5754" Type="http://schemas.openxmlformats.org/officeDocument/2006/relationships/hyperlink" Target="https://lh5.googleusercontent.com/d/1dozsjmY5w2nqpJdO1aySlWOCJBphNcaU" TargetMode="External"/><Relationship Id="rId1397" Type="http://schemas.openxmlformats.org/officeDocument/2006/relationships/hyperlink" Target="https://lh5.googleusercontent.com/d/1jHmsA-38dKxOv6NwWNh2fum1cQ8Rj_gG" TargetMode="External"/><Relationship Id="rId4421" Type="http://schemas.openxmlformats.org/officeDocument/2006/relationships/hyperlink" Target="https://drive.google.com/file/d/1wOPqVZ8fxaGBMqucOoQx7JGjt8-w03O0/view?usp=drivesdk" TargetMode="External"/><Relationship Id="rId5755" Type="http://schemas.openxmlformats.org/officeDocument/2006/relationships/hyperlink" Target="https://drive.google.com/file/d/1BlondYAwuzGuCnITVXanvlbom-k_fVF2/view?usp=drivesdk" TargetMode="External"/><Relationship Id="rId1398" Type="http://schemas.openxmlformats.org/officeDocument/2006/relationships/hyperlink" Target="https://drive.google.com/file/d/1vZwRUzCUMZnwnFXrEA3m5845cgm_vTcR/view?usp=drivesdk" TargetMode="External"/><Relationship Id="rId4424" Type="http://schemas.openxmlformats.org/officeDocument/2006/relationships/hyperlink" Target="https://lh5.googleusercontent.com/d/1MrdRH9tGfN_HUqrdlekaCh2MlzIAgctD" TargetMode="External"/><Relationship Id="rId5752" Type="http://schemas.openxmlformats.org/officeDocument/2006/relationships/hyperlink" Target="https://lh5.googleusercontent.com/d/145vLhk7vfTWrtusaEQEP3dhQRmXzSkP6" TargetMode="External"/><Relationship Id="rId1399" Type="http://schemas.openxmlformats.org/officeDocument/2006/relationships/hyperlink" Target="https://lh5.googleusercontent.com/d/1K-IqZNSjhofYwa78g7noiYr0MTvqajyl" TargetMode="External"/><Relationship Id="rId4423" Type="http://schemas.openxmlformats.org/officeDocument/2006/relationships/hyperlink" Target="https://drive.google.com/file/d/1qAJ_iwvdy7qLU9Ih-1SHh0wgq1PiRJUm/view?usp=drivesdk" TargetMode="External"/><Relationship Id="rId5753" Type="http://schemas.openxmlformats.org/officeDocument/2006/relationships/hyperlink" Target="https://drive.google.com/file/d/1pae5z0CT0i0L7o7bRMMInr1LuPI4P5BY/view?usp=drivesdk" TargetMode="External"/><Relationship Id="rId1389" Type="http://schemas.openxmlformats.org/officeDocument/2006/relationships/hyperlink" Target="https://lh5.googleusercontent.com/d/1kGBgj1scfyj1yIz0f6jHGA0YtFobuc3X" TargetMode="External"/><Relationship Id="rId4415" Type="http://schemas.openxmlformats.org/officeDocument/2006/relationships/hyperlink" Target="https://drive.google.com/file/d/1UL1uUZRja6mm97BXUL--ggeqo3Q5GRvy/view?usp=drivesdk" TargetMode="External"/><Relationship Id="rId5747" Type="http://schemas.openxmlformats.org/officeDocument/2006/relationships/hyperlink" Target="https://drive.google.com/file/d/1DZ4Sd8RCEmVuqvQXgR-_3DBfCQRvg59J/view?usp=drivesdk" TargetMode="External"/><Relationship Id="rId4414" Type="http://schemas.openxmlformats.org/officeDocument/2006/relationships/hyperlink" Target="https://lh5.googleusercontent.com/d/1k3VXtGW1_JjI_86IknVjn4mxLPkRPNRb" TargetMode="External"/><Relationship Id="rId5748" Type="http://schemas.openxmlformats.org/officeDocument/2006/relationships/hyperlink" Target="https://lh5.googleusercontent.com/d/1EtJf5i5TuKxVLDICm7XVANhSdblVrL-u" TargetMode="External"/><Relationship Id="rId4417" Type="http://schemas.openxmlformats.org/officeDocument/2006/relationships/hyperlink" Target="https://drive.google.com/file/d/1sPhB0_sKDYteIfGxvl7w0243HDIpYh7j/view?usp=drivesdk" TargetMode="External"/><Relationship Id="rId5745" Type="http://schemas.openxmlformats.org/officeDocument/2006/relationships/hyperlink" Target="https://drive.google.com/file/d/1nnM_0gGZaW_qPxuL5zKgY8qw6gPKD7_8/view?usp=drivesdk" TargetMode="External"/><Relationship Id="rId4416" Type="http://schemas.openxmlformats.org/officeDocument/2006/relationships/hyperlink" Target="https://lh5.googleusercontent.com/d/1jAgPIMXXrLNgpMAJBYQmd8o9DSAp9KHU" TargetMode="External"/><Relationship Id="rId5746" Type="http://schemas.openxmlformats.org/officeDocument/2006/relationships/hyperlink" Target="https://lh5.googleusercontent.com/d/1TDicQiJak8MGj5UEOzSJqht1EP-9RuN5" TargetMode="External"/><Relationship Id="rId4419" Type="http://schemas.openxmlformats.org/officeDocument/2006/relationships/hyperlink" Target="https://drive.google.com/file/d/1_vjdpl2gUFo3SqhtLJ_je7lz2m9ac2wn/view?usp=drivesdk" TargetMode="External"/><Relationship Id="rId4418" Type="http://schemas.openxmlformats.org/officeDocument/2006/relationships/hyperlink" Target="https://lh5.googleusercontent.com/d/16Q7ylOpo2UEWWwo1R9vAghd84UFLFgxh" TargetMode="External"/><Relationship Id="rId5749" Type="http://schemas.openxmlformats.org/officeDocument/2006/relationships/hyperlink" Target="https://drive.google.com/file/d/11dk-2fuQFg3Jb709T1UKXLfzmZFbgOmA/view?usp=drivesdk" TargetMode="External"/><Relationship Id="rId799" Type="http://schemas.openxmlformats.org/officeDocument/2006/relationships/hyperlink" Target="https://lh5.googleusercontent.com/d/1cNvOx0GOp-W66WXNnebffOx333rd-a3I" TargetMode="External"/><Relationship Id="rId798" Type="http://schemas.openxmlformats.org/officeDocument/2006/relationships/hyperlink" Target="https://drive.google.com/file/d/1QlhzbJ91hQ2tihOO1ahVYAOm24_sECiz/view?usp=drivesdk" TargetMode="External"/><Relationship Id="rId797" Type="http://schemas.openxmlformats.org/officeDocument/2006/relationships/hyperlink" Target="https://lh5.googleusercontent.com/d/1R-SvbdFm78v36Cs1jxYRi-Zz6Xp73V05" TargetMode="External"/><Relationship Id="rId1380" Type="http://schemas.openxmlformats.org/officeDocument/2006/relationships/hyperlink" Target="https://drive.google.com/file/d/1diWJLr2ZgmqBCLB8gJQIAe5Vv7sUl_2D/view?usp=drivesdk" TargetMode="External"/><Relationship Id="rId792" Type="http://schemas.openxmlformats.org/officeDocument/2006/relationships/hyperlink" Target="https://drive.google.com/file/d/179mvYcq_UnzXhqg_9GBvM70ikkTyvSsF/view?usp=drivesdk" TargetMode="External"/><Relationship Id="rId1381" Type="http://schemas.openxmlformats.org/officeDocument/2006/relationships/hyperlink" Target="https://lh5.googleusercontent.com/d/1YmAUDyu_kiY3SHl1iZ8cmoiC6eBzv9Jm" TargetMode="External"/><Relationship Id="rId791" Type="http://schemas.openxmlformats.org/officeDocument/2006/relationships/hyperlink" Target="https://lh5.googleusercontent.com/d/1RufDqyBpSEVkOO16ZlRfEqfKm1wDK8V_" TargetMode="External"/><Relationship Id="rId1382" Type="http://schemas.openxmlformats.org/officeDocument/2006/relationships/hyperlink" Target="https://drive.google.com/file/d/1YdK-UGdT3byRx0Dx3YDnV9tuB83WLH-m/view?usp=drivesdk" TargetMode="External"/><Relationship Id="rId5740" Type="http://schemas.openxmlformats.org/officeDocument/2006/relationships/hyperlink" Target="https://drive.google.com/file/d/1AYPbP-oQxWVqe3_HH1UCY7Ei9fFDgAJv/view?usp=drivesdk" TargetMode="External"/><Relationship Id="rId790" Type="http://schemas.openxmlformats.org/officeDocument/2006/relationships/hyperlink" Target="https://drive.google.com/file/d/15AcohbynR8iKAa68CztLAemu24ytHVRo/view?usp=drivesdk" TargetMode="External"/><Relationship Id="rId1383" Type="http://schemas.openxmlformats.org/officeDocument/2006/relationships/hyperlink" Target="https://lh5.googleusercontent.com/d/1gD96U3yUZTzvBl2nk-wZrNiSeFweIr_x" TargetMode="External"/><Relationship Id="rId1384" Type="http://schemas.openxmlformats.org/officeDocument/2006/relationships/hyperlink" Target="https://drive.google.com/file/d/1WDAzDFaqZwqXR96OcZ38AM9QcYzV-NZq/view?usp=drivesdk" TargetMode="External"/><Relationship Id="rId796" Type="http://schemas.openxmlformats.org/officeDocument/2006/relationships/hyperlink" Target="https://drive.google.com/file/d/1SDh68uaCoYznMaFPOGmDsWfYEGpm1Tlc/view?usp=drivesdk" TargetMode="External"/><Relationship Id="rId1385" Type="http://schemas.openxmlformats.org/officeDocument/2006/relationships/hyperlink" Target="https://lh5.googleusercontent.com/d/1Soley60cPi-TjrNyRzfSMsHPAVGFQvZ5" TargetMode="External"/><Relationship Id="rId4411" Type="http://schemas.openxmlformats.org/officeDocument/2006/relationships/hyperlink" Target="https://drive.google.com/file/d/1RXxfnUNz36j52iJcVYJSs0sxYDYKCra0/view?usp=drivesdk" TargetMode="External"/><Relationship Id="rId5743" Type="http://schemas.openxmlformats.org/officeDocument/2006/relationships/hyperlink" Target="https://lh5.googleusercontent.com/d/1F5XWs1C9jh3hXhM-Y5_5BamJDzAhnFsy" TargetMode="External"/><Relationship Id="rId795" Type="http://schemas.openxmlformats.org/officeDocument/2006/relationships/hyperlink" Target="https://lh5.googleusercontent.com/d/137R_g6eIgMiG88x29PgxZ9Ur2OI2okLd" TargetMode="External"/><Relationship Id="rId1386" Type="http://schemas.openxmlformats.org/officeDocument/2006/relationships/hyperlink" Target="https://drive.google.com/file/d/1ZP53E6a5KVuW8H5FogaeTkxHUgSWPzmI/view?usp=drivesdk" TargetMode="External"/><Relationship Id="rId4410" Type="http://schemas.openxmlformats.org/officeDocument/2006/relationships/hyperlink" Target="https://lh5.googleusercontent.com/d/10oxADqy84lIvBV96T22V_n3OECDOCERa" TargetMode="External"/><Relationship Id="rId5744" Type="http://schemas.openxmlformats.org/officeDocument/2006/relationships/hyperlink" Target="https://lh5.googleusercontent.com/d/1AIo5P6mx4WP7C2sF94aq9sLLqnIr-cUE" TargetMode="External"/><Relationship Id="rId794" Type="http://schemas.openxmlformats.org/officeDocument/2006/relationships/hyperlink" Target="https://drive.google.com/file/d/19WHTP8Q_LoIT4ZQVfDSWZxE_x8yIREbb/view?usp=drivesdk" TargetMode="External"/><Relationship Id="rId1387" Type="http://schemas.openxmlformats.org/officeDocument/2006/relationships/hyperlink" Target="https://lh5.googleusercontent.com/d/11H4_CjBqeol9lXGeyDmfhdBreB5Ok6wd" TargetMode="External"/><Relationship Id="rId4413" Type="http://schemas.openxmlformats.org/officeDocument/2006/relationships/hyperlink" Target="https://drive.google.com/file/d/1bJ-asKsj3wp8lxwkqK1My1rHUvyRljHi/view?usp=drivesdk" TargetMode="External"/><Relationship Id="rId5741" Type="http://schemas.openxmlformats.org/officeDocument/2006/relationships/hyperlink" Target="https://lh5.googleusercontent.com/d/1N8H_VWhWq0YdrkCBeJqEDUZu8Syib3CH" TargetMode="External"/><Relationship Id="rId793" Type="http://schemas.openxmlformats.org/officeDocument/2006/relationships/hyperlink" Target="https://lh5.googleusercontent.com/d/1bYCKbxV02940OJ6cL9L1VU12Vq_UbHZE" TargetMode="External"/><Relationship Id="rId1388" Type="http://schemas.openxmlformats.org/officeDocument/2006/relationships/hyperlink" Target="https://drive.google.com/file/d/1y0JrXh3YZdfMvBsh4fGTDs4Ip618kGGA/view?usp=drivesdk" TargetMode="External"/><Relationship Id="rId4412" Type="http://schemas.openxmlformats.org/officeDocument/2006/relationships/hyperlink" Target="https://lh5.googleusercontent.com/d/1TTVWM837vazPUZZ8ptgiYWMBp4Mb7SCC" TargetMode="External"/><Relationship Id="rId5742" Type="http://schemas.openxmlformats.org/officeDocument/2006/relationships/hyperlink" Target="https://drive.google.com/file/d/1k_yCRX5Ub1BKBCQO5IPouTe18jRdvMu0/view?usp=drivesdk" TargetMode="External"/><Relationship Id="rId3191" Type="http://schemas.openxmlformats.org/officeDocument/2006/relationships/hyperlink" Target="https://lh5.googleusercontent.com/d/1OvzHxXJsfzM2IrXs9KetQXqD9qHe0QgJ" TargetMode="External"/><Relationship Id="rId3190" Type="http://schemas.openxmlformats.org/officeDocument/2006/relationships/hyperlink" Target="https://drive.google.com/file/d/1jS6JRwpfclMelDHacP0n-iCMKI9MR6xn/view?usp=drivesdk" TargetMode="External"/><Relationship Id="rId3193" Type="http://schemas.openxmlformats.org/officeDocument/2006/relationships/hyperlink" Target="https://lh5.googleusercontent.com/d/1U5lyYX9qPZAVN2hJHIQEtHr7vsO3U3wm" TargetMode="External"/><Relationship Id="rId3192" Type="http://schemas.openxmlformats.org/officeDocument/2006/relationships/hyperlink" Target="https://drive.google.com/file/d/1S1WwvpAJNPA0ovMxDmSjNf54iYAEJ2Xr/view?usp=drivesdk" TargetMode="External"/><Relationship Id="rId3195" Type="http://schemas.openxmlformats.org/officeDocument/2006/relationships/hyperlink" Target="https://lh5.googleusercontent.com/d/1aN8XJmuzcAJO-iXKVH0B0qNt_aIH3MJl" TargetMode="External"/><Relationship Id="rId3194" Type="http://schemas.openxmlformats.org/officeDocument/2006/relationships/hyperlink" Target="https://drive.google.com/file/d/1M9zpGhGb205hsNAu73A6n7EkqbTjqR1I/view?usp=drivesdk" TargetMode="External"/><Relationship Id="rId3197" Type="http://schemas.openxmlformats.org/officeDocument/2006/relationships/hyperlink" Target="https://lh5.googleusercontent.com/d/1ASFLw1OD57DdzQK9V3e7dPaqSAlP5TFS" TargetMode="External"/><Relationship Id="rId3196" Type="http://schemas.openxmlformats.org/officeDocument/2006/relationships/hyperlink" Target="https://drive.google.com/file/d/1MWsNLH3bXRhphcY3MztSdnjynAYxLMD1/view?usp=drivesdk" TargetMode="External"/><Relationship Id="rId3199" Type="http://schemas.openxmlformats.org/officeDocument/2006/relationships/hyperlink" Target="https://lh5.googleusercontent.com/d/1dfGDsFt-ovkKJO0ZTW_--B8YcDpUnMWU" TargetMode="External"/><Relationship Id="rId3198" Type="http://schemas.openxmlformats.org/officeDocument/2006/relationships/hyperlink" Target="https://drive.google.com/file/d/18SWgz_1HSfWiZGboEhG5PS5wW4ITclhg/view?usp=drivesdk" TargetMode="External"/><Relationship Id="rId3180" Type="http://schemas.openxmlformats.org/officeDocument/2006/relationships/hyperlink" Target="https://drive.google.com/file/d/1OP0HpxEQvUOHLCJTXWMquBcxTy4NwP9o/view?usp=drivesdk" TargetMode="External"/><Relationship Id="rId3182" Type="http://schemas.openxmlformats.org/officeDocument/2006/relationships/hyperlink" Target="https://drive.google.com/file/d/1yY8-NdaZoFZJEscxx-43O-aPker3Nc7S/view?usp=drivesdk" TargetMode="External"/><Relationship Id="rId3181" Type="http://schemas.openxmlformats.org/officeDocument/2006/relationships/hyperlink" Target="https://lh5.googleusercontent.com/d/1463pBQFpY1uS7MKwbm2lRBsbSQEwCV_k" TargetMode="External"/><Relationship Id="rId3184" Type="http://schemas.openxmlformats.org/officeDocument/2006/relationships/hyperlink" Target="https://drive.google.com/file/d/1aNWO-oiAA6A5qBuWuTU3dlsRwPed_dev/view?usp=drivesdk" TargetMode="External"/><Relationship Id="rId3183" Type="http://schemas.openxmlformats.org/officeDocument/2006/relationships/hyperlink" Target="https://lh5.googleusercontent.com/d/1o34oggZDEPgbet53WFbUsKnQe069s38v" TargetMode="External"/><Relationship Id="rId3186" Type="http://schemas.openxmlformats.org/officeDocument/2006/relationships/hyperlink" Target="https://drive.google.com/file/d/1ajB2HAS3Iu9Py8ZM7ljopVviPd_ZQ1ZQ/view?usp=drivesdk" TargetMode="External"/><Relationship Id="rId3185" Type="http://schemas.openxmlformats.org/officeDocument/2006/relationships/hyperlink" Target="https://lh5.googleusercontent.com/d/1K4AvPEBWahhJSdae5LhBoBPutC_QrLrG" TargetMode="External"/><Relationship Id="rId3188" Type="http://schemas.openxmlformats.org/officeDocument/2006/relationships/hyperlink" Target="https://drive.google.com/file/d/1oGuClWKEa_51feCHKoLfJgZTYrJBrNuy/view?usp=drivesdk" TargetMode="External"/><Relationship Id="rId3187" Type="http://schemas.openxmlformats.org/officeDocument/2006/relationships/hyperlink" Target="https://lh5.googleusercontent.com/d/1XTuz7GqfdTuxh9V-xdvx_QZYoTI5-v56" TargetMode="External"/><Relationship Id="rId3189" Type="http://schemas.openxmlformats.org/officeDocument/2006/relationships/hyperlink" Target="https://lh5.googleusercontent.com/d/1vYbQ9owbgXD37XB8F9F6OMO_j_9xwPjv" TargetMode="External"/><Relationship Id="rId4480" Type="http://schemas.openxmlformats.org/officeDocument/2006/relationships/hyperlink" Target="https://lh5.googleusercontent.com/d/1aJSOPOOjjaW-HbyRLKyJw7_MWHldBOve" TargetMode="External"/><Relationship Id="rId3151" Type="http://schemas.openxmlformats.org/officeDocument/2006/relationships/hyperlink" Target="https://lh5.googleusercontent.com/d/19WqF-fDbXiirL53FDZIfanA7Nr6DvTYP" TargetMode="External"/><Relationship Id="rId4482" Type="http://schemas.openxmlformats.org/officeDocument/2006/relationships/hyperlink" Target="https://lh5.googleusercontent.com/d/1nCnTXaNyfzD3la18Jhyj39yD-7nEOK4y" TargetMode="External"/><Relationship Id="rId3150" Type="http://schemas.openxmlformats.org/officeDocument/2006/relationships/hyperlink" Target="https://drive.google.com/file/d/1ppDbAPCijG4J6ZbE45JKZcatWPQJjodc/view?usp=drivesdk" TargetMode="External"/><Relationship Id="rId4481" Type="http://schemas.openxmlformats.org/officeDocument/2006/relationships/hyperlink" Target="https://drive.google.com/file/d/1rzsEizxgr5BPFCwkPIMD_06cHJOSWS3w/view?usp=drivesdk" TargetMode="External"/><Relationship Id="rId3153" Type="http://schemas.openxmlformats.org/officeDocument/2006/relationships/hyperlink" Target="https://lh5.googleusercontent.com/d/194ES6APKFjf5-9tdZti0K713ey52-g_J" TargetMode="External"/><Relationship Id="rId4484" Type="http://schemas.openxmlformats.org/officeDocument/2006/relationships/hyperlink" Target="https://lh5.googleusercontent.com/d/1G4QzpHSZZ-qlfc7f1wRekSVr5fML1P-2" TargetMode="External"/><Relationship Id="rId3152" Type="http://schemas.openxmlformats.org/officeDocument/2006/relationships/hyperlink" Target="https://drive.google.com/file/d/17X5lUssSdP9JseLoHwjN2SeSQ23XGO1j/view?usp=drivesdk" TargetMode="External"/><Relationship Id="rId4483" Type="http://schemas.openxmlformats.org/officeDocument/2006/relationships/hyperlink" Target="https://drive.google.com/file/d/1X-ENGDkuWat10qOp2ImDR1cnIXoZdY7I/view?usp=drivesdk" TargetMode="External"/><Relationship Id="rId3155" Type="http://schemas.openxmlformats.org/officeDocument/2006/relationships/hyperlink" Target="https://lh5.googleusercontent.com/d/1izgrW5ntCBSxw8dppu6SaGRYcuaLQyTf" TargetMode="External"/><Relationship Id="rId4486" Type="http://schemas.openxmlformats.org/officeDocument/2006/relationships/hyperlink" Target="https://lh5.googleusercontent.com/d/1sRpMzqo_AxSyF8raYQE7Xby6ujsK4Trj" TargetMode="External"/><Relationship Id="rId3154" Type="http://schemas.openxmlformats.org/officeDocument/2006/relationships/hyperlink" Target="https://drive.google.com/file/d/1eZ8xKuwsGV5kC4fWFJBlVhILD502m_hN/view?usp=drivesdk" TargetMode="External"/><Relationship Id="rId4485" Type="http://schemas.openxmlformats.org/officeDocument/2006/relationships/hyperlink" Target="https://drive.google.com/file/d/1N0I2-RSN4z9uQlWwUB2sAlLpaBoJ-AnV/view?usp=drivesdk" TargetMode="External"/><Relationship Id="rId3157" Type="http://schemas.openxmlformats.org/officeDocument/2006/relationships/hyperlink" Target="https://lh5.googleusercontent.com/d/1zDOPVWgR8tsYF-l_VLXIs2Xl9cd_q4AC" TargetMode="External"/><Relationship Id="rId4488" Type="http://schemas.openxmlformats.org/officeDocument/2006/relationships/hyperlink" Target="https://lh5.googleusercontent.com/d/19MT-zKWSry9TAOnx1K_ogfHWE2B1VmPo" TargetMode="External"/><Relationship Id="rId3156" Type="http://schemas.openxmlformats.org/officeDocument/2006/relationships/hyperlink" Target="https://drive.google.com/file/d/19j55_EK9FRXy-4DVSuHufv_5TgmVrg6m/view?usp=drivesdk" TargetMode="External"/><Relationship Id="rId4487" Type="http://schemas.openxmlformats.org/officeDocument/2006/relationships/hyperlink" Target="https://drive.google.com/file/d/1657drX2xtB_vh-v38Wwi-sqPm1rfs56g/view?usp=drivesdk" TargetMode="External"/><Relationship Id="rId3159" Type="http://schemas.openxmlformats.org/officeDocument/2006/relationships/hyperlink" Target="https://lh5.googleusercontent.com/d/1U2DvX32vt-ReyapWQVT7Kdwx_13BsFWS" TargetMode="External"/><Relationship Id="rId3158" Type="http://schemas.openxmlformats.org/officeDocument/2006/relationships/hyperlink" Target="https://drive.google.com/file/d/1kS7f-OQactjgxsppdva6TA96opT1oU2o/view?usp=drivesdk" TargetMode="External"/><Relationship Id="rId4489" Type="http://schemas.openxmlformats.org/officeDocument/2006/relationships/hyperlink" Target="https://drive.google.com/file/d/1bcDZKd_f3GEd_nAp9e8GPqllQ0CpJ0kA/view?usp=drivesdk" TargetMode="External"/><Relationship Id="rId3149" Type="http://schemas.openxmlformats.org/officeDocument/2006/relationships/hyperlink" Target="https://lh5.googleusercontent.com/d/1JkEonLTcLy2RR-mXOvCw9TKNG7db8Gk3" TargetMode="External"/><Relationship Id="rId3140" Type="http://schemas.openxmlformats.org/officeDocument/2006/relationships/hyperlink" Target="https://drive.google.com/file/d/1eowGFKTx64FX3yJm4vv7kef0c-DOurCP/view?usp=drivesdk" TargetMode="External"/><Relationship Id="rId4471" Type="http://schemas.openxmlformats.org/officeDocument/2006/relationships/hyperlink" Target="https://drive.google.com/file/d/1qjY28jpdb9PSEtkyJ7eBmQrJRacTBr0D/view?usp=drivesdk" TargetMode="External"/><Relationship Id="rId4470" Type="http://schemas.openxmlformats.org/officeDocument/2006/relationships/hyperlink" Target="https://lh5.googleusercontent.com/d/1RLbmJo8tqQEDeiq-z-hQlXFHBTwysd0N" TargetMode="External"/><Relationship Id="rId3142" Type="http://schemas.openxmlformats.org/officeDocument/2006/relationships/hyperlink" Target="https://drive.google.com/file/d/1b6Tcmtsjr9W-omHEA1raLSJ3FRzYkFV7/view?usp=drivesdk" TargetMode="External"/><Relationship Id="rId4473" Type="http://schemas.openxmlformats.org/officeDocument/2006/relationships/hyperlink" Target="https://drive.google.com/file/d/1T0p5DTJS8VXP-dNpimCgpGbfviqVb-_d/view?usp=drivesdk" TargetMode="External"/><Relationship Id="rId3141" Type="http://schemas.openxmlformats.org/officeDocument/2006/relationships/hyperlink" Target="https://lh5.googleusercontent.com/d/1LNEuK8ik7i8eV2ZbIIsNWQq5D_NgCCXk" TargetMode="External"/><Relationship Id="rId4472" Type="http://schemas.openxmlformats.org/officeDocument/2006/relationships/hyperlink" Target="https://lh5.googleusercontent.com/d/1hSc9yu76f8RBblyNfQq-1tlNrWIzjx39" TargetMode="External"/><Relationship Id="rId3144" Type="http://schemas.openxmlformats.org/officeDocument/2006/relationships/hyperlink" Target="https://drive.google.com/file/d/10-l5T5_oa0FW73D6FJVKQRgDK-jXgLT9/view?usp=drivesdk" TargetMode="External"/><Relationship Id="rId4475" Type="http://schemas.openxmlformats.org/officeDocument/2006/relationships/hyperlink" Target="https://drive.google.com/file/d/1CZAj9TuLJSClz7h5txCp1KRRaseEOkdu/view?usp=drivesdk" TargetMode="External"/><Relationship Id="rId3143" Type="http://schemas.openxmlformats.org/officeDocument/2006/relationships/hyperlink" Target="https://lh5.googleusercontent.com/d/1BZvja4AzR25YU-jYXhfx-Sx4sc8BPLgT" TargetMode="External"/><Relationship Id="rId4474" Type="http://schemas.openxmlformats.org/officeDocument/2006/relationships/hyperlink" Target="https://lh5.googleusercontent.com/d/17o8ncys5oDkfKiOnjIPnttePvUFINF4U" TargetMode="External"/><Relationship Id="rId3146" Type="http://schemas.openxmlformats.org/officeDocument/2006/relationships/hyperlink" Target="https://drive.google.com/file/d/1wDc2Ks8-NjP-Z6VwUaC66ecomt6mRdfI/view?usp=drivesdk" TargetMode="External"/><Relationship Id="rId4477" Type="http://schemas.openxmlformats.org/officeDocument/2006/relationships/hyperlink" Target="https://drive.google.com/file/d/1MtG74qqrNXu6aqrwyKTiD6IZaLPFLdS8/view?usp=drivesdk" TargetMode="External"/><Relationship Id="rId3145" Type="http://schemas.openxmlformats.org/officeDocument/2006/relationships/hyperlink" Target="https://lh5.googleusercontent.com/d/1dxkpTqCGCWWtZ6daEVlBN156yq46N_w3" TargetMode="External"/><Relationship Id="rId4476" Type="http://schemas.openxmlformats.org/officeDocument/2006/relationships/hyperlink" Target="https://lh5.googleusercontent.com/d/1bBP2_gsTj_7E_32t0R2qMMmb0Yf3i_V8" TargetMode="External"/><Relationship Id="rId3148" Type="http://schemas.openxmlformats.org/officeDocument/2006/relationships/hyperlink" Target="https://drive.google.com/file/d/1rGlxhoHoazNBy6N6sS7Eyw98P9hOddLj/view?usp=drivesdk" TargetMode="External"/><Relationship Id="rId4479" Type="http://schemas.openxmlformats.org/officeDocument/2006/relationships/hyperlink" Target="https://drive.google.com/file/d/1YxRHOhlVoyg2ZywhRAFaZ1DE-Jm1RLym/view?usp=drivesdk" TargetMode="External"/><Relationship Id="rId3147" Type="http://schemas.openxmlformats.org/officeDocument/2006/relationships/hyperlink" Target="https://lh5.googleusercontent.com/d/1EkX3HTA1NWWKI5wt8wzc5jxoNiWXgLXT" TargetMode="External"/><Relationship Id="rId4478" Type="http://schemas.openxmlformats.org/officeDocument/2006/relationships/hyperlink" Target="https://lh5.googleusercontent.com/d/1985N9krAcRFvCZ9PDpieHJDDf_lCvOoA" TargetMode="External"/><Relationship Id="rId3171" Type="http://schemas.openxmlformats.org/officeDocument/2006/relationships/hyperlink" Target="https://lh5.googleusercontent.com/d/1GOYrCrIMJwfbJzIUB5YVFcV6VOb6wIsS" TargetMode="External"/><Relationship Id="rId3170" Type="http://schemas.openxmlformats.org/officeDocument/2006/relationships/hyperlink" Target="https://drive.google.com/file/d/1O0jPlKAZAHCtr2zyErpod0ntm2UW7qY8/view?usp=drivesdk" TargetMode="External"/><Relationship Id="rId3173" Type="http://schemas.openxmlformats.org/officeDocument/2006/relationships/hyperlink" Target="https://lh5.googleusercontent.com/d/13IV3wwm0MgYmClNkAG3yVpeowvvEYaVe" TargetMode="External"/><Relationship Id="rId3172" Type="http://schemas.openxmlformats.org/officeDocument/2006/relationships/hyperlink" Target="https://drive.google.com/file/d/1GaUfm0Eeg-mYKyO4SPVVreqJPYgr-5UW/view?usp=drivesdk" TargetMode="External"/><Relationship Id="rId3175" Type="http://schemas.openxmlformats.org/officeDocument/2006/relationships/hyperlink" Target="https://lh5.googleusercontent.com/d/1KW91nfmSzXhOrKyvULqpi_A7G6huLBCM" TargetMode="External"/><Relationship Id="rId3174" Type="http://schemas.openxmlformats.org/officeDocument/2006/relationships/hyperlink" Target="https://drive.google.com/file/d/1cRbaqsyNFka_bGZQU2RwALFMMkGRFTDF/view?usp=drivesdk" TargetMode="External"/><Relationship Id="rId3177" Type="http://schemas.openxmlformats.org/officeDocument/2006/relationships/hyperlink" Target="https://lh5.googleusercontent.com/d/1dFuZZmKFxhnvNOiAbfDePDdlgxNphUW-" TargetMode="External"/><Relationship Id="rId3176" Type="http://schemas.openxmlformats.org/officeDocument/2006/relationships/hyperlink" Target="https://drive.google.com/file/d/15QH2vO40F2yrF8tnMcBScV6TYOLk4XT6/view?usp=drivesdk" TargetMode="External"/><Relationship Id="rId3179" Type="http://schemas.openxmlformats.org/officeDocument/2006/relationships/hyperlink" Target="https://lh5.googleusercontent.com/d/1_T0k7S7iIPBfZuj4W5KP3FX3Mas3OrrU" TargetMode="External"/><Relationship Id="rId3178" Type="http://schemas.openxmlformats.org/officeDocument/2006/relationships/hyperlink" Target="https://drive.google.com/file/d/1D0NrWFn1o3X4BekcS7Ut50z305VA03vO/view?usp=drivesdk" TargetMode="External"/><Relationship Id="rId3160" Type="http://schemas.openxmlformats.org/officeDocument/2006/relationships/hyperlink" Target="https://drive.google.com/file/d/1qPmVQYIGLq6Wd0B0cbfCCa_xU2y9T_vs/view?usp=drivesdk" TargetMode="External"/><Relationship Id="rId4491" Type="http://schemas.openxmlformats.org/officeDocument/2006/relationships/hyperlink" Target="https://drive.google.com/file/d/1b_vhp3oskUtERgFfJC04DBinu9h7Uhnv/view?usp=drivesdk" TargetMode="External"/><Relationship Id="rId4490" Type="http://schemas.openxmlformats.org/officeDocument/2006/relationships/hyperlink" Target="https://lh5.googleusercontent.com/d/16wAzDb-psMNsrbPxyPc9lF6qAROHMh1K" TargetMode="External"/><Relationship Id="rId3162" Type="http://schemas.openxmlformats.org/officeDocument/2006/relationships/hyperlink" Target="https://drive.google.com/file/d/1UcV77nQQ4CoDTQbTebzEhD1ZEMVvq19I/view?usp=drivesdk" TargetMode="External"/><Relationship Id="rId4493" Type="http://schemas.openxmlformats.org/officeDocument/2006/relationships/hyperlink" Target="https://drive.google.com/file/d/1fB7PRycNq4B9AB1W8XbZ5yrx2UyM-Rvr/view?usp=drivesdk" TargetMode="External"/><Relationship Id="rId3161" Type="http://schemas.openxmlformats.org/officeDocument/2006/relationships/hyperlink" Target="https://lh5.googleusercontent.com/d/1sBEpIXdLu84udRI4fNMPrO0hCFNjSnRq" TargetMode="External"/><Relationship Id="rId4492" Type="http://schemas.openxmlformats.org/officeDocument/2006/relationships/hyperlink" Target="https://lh5.googleusercontent.com/d/1MWxHQ6AIPpBfsIEg_0AByxhqRyKLMe-G" TargetMode="External"/><Relationship Id="rId3164" Type="http://schemas.openxmlformats.org/officeDocument/2006/relationships/hyperlink" Target="https://drive.google.com/file/d/1udXHz2Dcp94ckV8PICay2L1JY8uYoJ9z/view?usp=drivesdk" TargetMode="External"/><Relationship Id="rId4495" Type="http://schemas.openxmlformats.org/officeDocument/2006/relationships/hyperlink" Target="https://drive.google.com/file/d/1fTu_wkX8WTUrl7w_J1EUAZ5Dv_qbBHnK/view?usp=drivesdk" TargetMode="External"/><Relationship Id="rId3163" Type="http://schemas.openxmlformats.org/officeDocument/2006/relationships/hyperlink" Target="https://lh5.googleusercontent.com/d/16Nx8mOZ4uvRbPl6ODXzQXVgjNArgI-9X" TargetMode="External"/><Relationship Id="rId4494" Type="http://schemas.openxmlformats.org/officeDocument/2006/relationships/hyperlink" Target="https://lh5.googleusercontent.com/d/1dMMYR_XI6FNN36C38bDvW_mPo1AWSR6i" TargetMode="External"/><Relationship Id="rId3166" Type="http://schemas.openxmlformats.org/officeDocument/2006/relationships/hyperlink" Target="https://drive.google.com/file/d/1OhywwWDhYkK4Y3-A21-7HIyoEWRAFT1B/view?usp=drivesdk" TargetMode="External"/><Relationship Id="rId4497" Type="http://schemas.openxmlformats.org/officeDocument/2006/relationships/hyperlink" Target="https://drive.google.com/file/d/1RXksrJqmLUNk6GLTe-96ZhR9LegZrL9S/view?usp=drivesdk" TargetMode="External"/><Relationship Id="rId3165" Type="http://schemas.openxmlformats.org/officeDocument/2006/relationships/hyperlink" Target="https://lh5.googleusercontent.com/d/1tHadX-Ou9giPbfcbGtNoVj0rh5JVNCy4" TargetMode="External"/><Relationship Id="rId4496" Type="http://schemas.openxmlformats.org/officeDocument/2006/relationships/hyperlink" Target="https://lh5.googleusercontent.com/d/11viuh4XU5HwgXtAJ2VOdd7UeoKeQYaGD" TargetMode="External"/><Relationship Id="rId3168" Type="http://schemas.openxmlformats.org/officeDocument/2006/relationships/hyperlink" Target="https://drive.google.com/file/d/14VACDHCmV-qhUW2tGJ_eOAQJ0eLp-Gsp/view?usp=drivesdk" TargetMode="External"/><Relationship Id="rId4499" Type="http://schemas.openxmlformats.org/officeDocument/2006/relationships/hyperlink" Target="https://drive.google.com/file/d/1I467_o1Qzmf126xIGZOr0kVJDNLmOwIa/view?usp=drivesdk" TargetMode="External"/><Relationship Id="rId3167" Type="http://schemas.openxmlformats.org/officeDocument/2006/relationships/hyperlink" Target="https://lh5.googleusercontent.com/d/1TQSXVsbs3cuG7GHx1fekHhADWsJPxLhd" TargetMode="External"/><Relationship Id="rId4498" Type="http://schemas.openxmlformats.org/officeDocument/2006/relationships/hyperlink" Target="https://lh5.googleusercontent.com/d/1UY_hFjOlyUy1AlgwKCpPv-lxQNwZLMWi" TargetMode="External"/><Relationship Id="rId3169" Type="http://schemas.openxmlformats.org/officeDocument/2006/relationships/hyperlink" Target="https://lh5.googleusercontent.com/d/17kg6Crkxs3Jd9gkYBYVaKlT8PS2zwsCl" TargetMode="External"/><Relationship Id="rId2700" Type="http://schemas.openxmlformats.org/officeDocument/2006/relationships/hyperlink" Target="https://lh5.googleusercontent.com/d/12Y6M8iYvcBrNQEzgdn_MbvUoC-0d1I47" TargetMode="External"/><Relationship Id="rId2701" Type="http://schemas.openxmlformats.org/officeDocument/2006/relationships/hyperlink" Target="https://drive.google.com/file/d/13XNj82WRcorU_M7slnCIqTUhkTv06cmL/view?usp=drivesdk" TargetMode="External"/><Relationship Id="rId2702" Type="http://schemas.openxmlformats.org/officeDocument/2006/relationships/hyperlink" Target="https://lh5.googleusercontent.com/d/1UttzoQy8_yUVKQYp_mfU5R9CnV6o1HEZ" TargetMode="External"/><Relationship Id="rId2703" Type="http://schemas.openxmlformats.org/officeDocument/2006/relationships/hyperlink" Target="https://drive.google.com/file/d/1xxWqHmlSj2bRbPe1MRyURioiIqp2apKo/view?usp=drivesdk" TargetMode="External"/><Relationship Id="rId2704" Type="http://schemas.openxmlformats.org/officeDocument/2006/relationships/hyperlink" Target="https://lh5.googleusercontent.com/d/1iYGzuJlO9KuOw9FHbrD1WXmYP1h7BK_N" TargetMode="External"/><Relationship Id="rId2705" Type="http://schemas.openxmlformats.org/officeDocument/2006/relationships/hyperlink" Target="https://drive.google.com/file/d/1n5GdyEYgN89rPlYFxB2oDiETkOuAXPKF/view?usp=drivesdk" TargetMode="External"/><Relationship Id="rId2706" Type="http://schemas.openxmlformats.org/officeDocument/2006/relationships/hyperlink" Target="https://lh5.googleusercontent.com/d/1i2lA1vwXXam8tM3t1byRjZFVWml9j1JV" TargetMode="External"/><Relationship Id="rId2707" Type="http://schemas.openxmlformats.org/officeDocument/2006/relationships/hyperlink" Target="https://drive.google.com/file/d/1-WA-mFM8whcGDARxyS6uPkLhKLCJEp8E/view?usp=drivesdk" TargetMode="External"/><Relationship Id="rId2708" Type="http://schemas.openxmlformats.org/officeDocument/2006/relationships/hyperlink" Target="https://lh5.googleusercontent.com/d/1rMluu_ByY1kFBOx6qcmw6o09VL8sPjDg" TargetMode="External"/><Relationship Id="rId2709" Type="http://schemas.openxmlformats.org/officeDocument/2006/relationships/hyperlink" Target="https://drive.google.com/file/d/1Gz5rB9Ovckcxy0Is_MefThMA0kRpZmha/view?usp=drivesdk" TargetMode="External"/><Relationship Id="rId2720" Type="http://schemas.openxmlformats.org/officeDocument/2006/relationships/hyperlink" Target="https://lh5.googleusercontent.com/d/15PB4o5r04w7zPF5ofyu1QdObkt4VwtNK" TargetMode="External"/><Relationship Id="rId2721" Type="http://schemas.openxmlformats.org/officeDocument/2006/relationships/hyperlink" Target="https://lh5.googleusercontent.com/d/1oEWJk8PzXHunRmhBR1mc8v1fD4vvvxJa" TargetMode="External"/><Relationship Id="rId2722" Type="http://schemas.openxmlformats.org/officeDocument/2006/relationships/hyperlink" Target="https://lh5.googleusercontent.com/d/1Dr8jnGwwd7q6SoV_VJ19XJ_LnVQOaCjp" TargetMode="External"/><Relationship Id="rId2723" Type="http://schemas.openxmlformats.org/officeDocument/2006/relationships/hyperlink" Target="https://drive.google.com/file/d/1HuKY0AvlI9MrqNuNq8NpPoDlWyryoAyC/view?usp=drivesdk" TargetMode="External"/><Relationship Id="rId2724" Type="http://schemas.openxmlformats.org/officeDocument/2006/relationships/hyperlink" Target="https://lh5.googleusercontent.com/d/1qDhjesEaygFp5NiaLk5DXqw2SE1RtV9C" TargetMode="External"/><Relationship Id="rId2725" Type="http://schemas.openxmlformats.org/officeDocument/2006/relationships/hyperlink" Target="https://drive.google.com/file/d/1v-d3_2YrV_gc759UL-odr3vywj1Cl0C2/view?usp=drivesdk" TargetMode="External"/><Relationship Id="rId2726" Type="http://schemas.openxmlformats.org/officeDocument/2006/relationships/hyperlink" Target="https://lh5.googleusercontent.com/d/1NxiTW-4CqOKa4tro9i-jShW9gyh_OBLb" TargetMode="External"/><Relationship Id="rId2727" Type="http://schemas.openxmlformats.org/officeDocument/2006/relationships/hyperlink" Target="https://drive.google.com/file/d/1mRJ8xzFJH0RSVKPZXyB-NnB1JO1olz4H/view?usp=drivesdk" TargetMode="External"/><Relationship Id="rId2728" Type="http://schemas.openxmlformats.org/officeDocument/2006/relationships/hyperlink" Target="https://lh5.googleusercontent.com/d/1Sni214xF92rQxmyQxw3BbXEBsFxlGPhJ" TargetMode="External"/><Relationship Id="rId2729" Type="http://schemas.openxmlformats.org/officeDocument/2006/relationships/hyperlink" Target="https://drive.google.com/file/d/1ihOx-CztViN1PKHGFVpUMDzKatsgViG8/view?usp=drivesdk" TargetMode="External"/><Relationship Id="rId2710" Type="http://schemas.openxmlformats.org/officeDocument/2006/relationships/hyperlink" Target="https://lh5.googleusercontent.com/d/1mFmKdtBaD7ru4YNueL7Qd4U1iIohiG1v" TargetMode="External"/><Relationship Id="rId2711" Type="http://schemas.openxmlformats.org/officeDocument/2006/relationships/hyperlink" Target="https://drive.google.com/file/d/1Wk0tBgGDoK_ulTHw2e1zr717MYhmB9b1/view?usp=drivesdk" TargetMode="External"/><Relationship Id="rId2712" Type="http://schemas.openxmlformats.org/officeDocument/2006/relationships/hyperlink" Target="https://lh5.googleusercontent.com/d/1xMW2kM7q-78AiV6ecKZEHajmTi3hvtnb" TargetMode="External"/><Relationship Id="rId2713" Type="http://schemas.openxmlformats.org/officeDocument/2006/relationships/hyperlink" Target="https://drive.google.com/file/d/1nl_B7Pz-xBSnJXSu1RvY4a9Q9sCvUdsS/view?usp=drivesdk" TargetMode="External"/><Relationship Id="rId2714" Type="http://schemas.openxmlformats.org/officeDocument/2006/relationships/hyperlink" Target="https://lh5.googleusercontent.com/d/10nUCTFqTCfO94PCZjjlbwNsbxjWVzwTH" TargetMode="External"/><Relationship Id="rId2715" Type="http://schemas.openxmlformats.org/officeDocument/2006/relationships/hyperlink" Target="https://drive.google.com/file/d/1eMs2Fb1PLNNJ0RkCDTXzPyJreuO7fM9N/view?usp=drivesdk" TargetMode="External"/><Relationship Id="rId2716" Type="http://schemas.openxmlformats.org/officeDocument/2006/relationships/hyperlink" Target="https://lh5.googleusercontent.com/d/1OlvPPlufgV5W_3lhpEna2njkXDC7vb3_" TargetMode="External"/><Relationship Id="rId2717" Type="http://schemas.openxmlformats.org/officeDocument/2006/relationships/hyperlink" Target="https://drive.google.com/file/d/1Mn59vNuAU2nNIlo7ojocDXV-08yPEhi1/view?usp=drivesdk" TargetMode="External"/><Relationship Id="rId2718" Type="http://schemas.openxmlformats.org/officeDocument/2006/relationships/hyperlink" Target="https://lh5.googleusercontent.com/d/19h45UV6cAejvlJvoCX7AJALMRlOI32Ec" TargetMode="External"/><Relationship Id="rId2719" Type="http://schemas.openxmlformats.org/officeDocument/2006/relationships/hyperlink" Target="https://drive.google.com/file/d/1GJnsvJZe6_wVzwQYa_H0bjqwwOAwche7/view?usp=drivesdk" TargetMode="External"/><Relationship Id="rId1455" Type="http://schemas.openxmlformats.org/officeDocument/2006/relationships/hyperlink" Target="https://drive.google.com/file/d/1Ryi_PbtmZSHiQvJx0w4gCSOs-5Sca9lM/view?usp=drivesdk" TargetMode="External"/><Relationship Id="rId2786" Type="http://schemas.openxmlformats.org/officeDocument/2006/relationships/hyperlink" Target="https://drive.google.com/file/d/1uQHv2LCDrq1KIZUGIursTB58HjtRlh-f/view?usp=drivesdk" TargetMode="External"/><Relationship Id="rId5813" Type="http://schemas.openxmlformats.org/officeDocument/2006/relationships/hyperlink" Target="https://drive.google.com/file/d/18Q_3Xev1jvt_UASjO5KjSw1xZQQtFZah/view?usp=drivesdk" TargetMode="External"/><Relationship Id="rId1456" Type="http://schemas.openxmlformats.org/officeDocument/2006/relationships/hyperlink" Target="https://lh5.googleusercontent.com/d/1vegYCBKD1ifU6GhcdWYSLZb2vc5q9kAE" TargetMode="External"/><Relationship Id="rId2787" Type="http://schemas.openxmlformats.org/officeDocument/2006/relationships/hyperlink" Target="https://lh5.googleusercontent.com/d/1U6uAFVVuRSE0vVmn19GZa6uj8V59PIPe" TargetMode="External"/><Relationship Id="rId5814" Type="http://schemas.openxmlformats.org/officeDocument/2006/relationships/hyperlink" Target="https://lh5.googleusercontent.com/d/196qCpuuI0_VGh4GqgPETsrdsOxe6JkAV" TargetMode="External"/><Relationship Id="rId1457" Type="http://schemas.openxmlformats.org/officeDocument/2006/relationships/hyperlink" Target="https://drive.google.com/file/d/12_bzziSrHUf0EVDmYobPx9PauHvo-qkL/view?usp=drivesdk" TargetMode="External"/><Relationship Id="rId2788" Type="http://schemas.openxmlformats.org/officeDocument/2006/relationships/hyperlink" Target="https://drive.google.com/file/d/1t4wbdxx-Nf7E6Lzk3ckbR1tGgy7T2JBQ/view?usp=drivesdk" TargetMode="External"/><Relationship Id="rId5811" Type="http://schemas.openxmlformats.org/officeDocument/2006/relationships/hyperlink" Target="https://drive.google.com/file/d/1hHTBxCKVXfAA1VOxFP-8BkQRwJfc4mls/view?usp=drivesdk" TargetMode="External"/><Relationship Id="rId1458" Type="http://schemas.openxmlformats.org/officeDocument/2006/relationships/hyperlink" Target="https://lh5.googleusercontent.com/d/1sFT7YdMZloBnQJ0tXl1j2DOXdbdZaS7G" TargetMode="External"/><Relationship Id="rId2789" Type="http://schemas.openxmlformats.org/officeDocument/2006/relationships/hyperlink" Target="https://lh5.googleusercontent.com/d/14iS_Fqm-iF4S3VWofQD0eOruIw4uf5Lw" TargetMode="External"/><Relationship Id="rId5812" Type="http://schemas.openxmlformats.org/officeDocument/2006/relationships/hyperlink" Target="https://lh5.googleusercontent.com/d/17y7vZXvDOcUP7suz3q4EkwmmN1SKXhVX" TargetMode="External"/><Relationship Id="rId1459" Type="http://schemas.openxmlformats.org/officeDocument/2006/relationships/hyperlink" Target="https://drive.google.com/file/d/1Gv7BzafzhcaQbAOD4hFwvt5ck6tUiGAD/view?usp=drivesdk" TargetMode="External"/><Relationship Id="rId5817" Type="http://schemas.openxmlformats.org/officeDocument/2006/relationships/hyperlink" Target="https://drive.google.com/file/d/1mf94ECuk-dAjmZAl6CvS4ZOqcvRmf710/view?usp=drivesdk" TargetMode="External"/><Relationship Id="rId5818" Type="http://schemas.openxmlformats.org/officeDocument/2006/relationships/hyperlink" Target="https://lh5.googleusercontent.com/d/1TCX6p78hnJV-bl9ML8jnJJcaQvonyGM4" TargetMode="External"/><Relationship Id="rId5815" Type="http://schemas.openxmlformats.org/officeDocument/2006/relationships/hyperlink" Target="https://drive.google.com/file/d/17iPqTPjJ_LTKHuKvP_rSW4HdIAGa4Dlx/view?usp=drivesdk" TargetMode="External"/><Relationship Id="rId5816" Type="http://schemas.openxmlformats.org/officeDocument/2006/relationships/hyperlink" Target="https://lh5.googleusercontent.com/d/1MugJnfsTqAqAeRjbHnFelVFfblXeQzQz" TargetMode="External"/><Relationship Id="rId5819" Type="http://schemas.openxmlformats.org/officeDocument/2006/relationships/hyperlink" Target="https://drive.google.com/file/d/1ULNFCYEyEen0gobO_fFXjZBQFSFx2PoN/view?usp=drivesdk" TargetMode="External"/><Relationship Id="rId629" Type="http://schemas.openxmlformats.org/officeDocument/2006/relationships/hyperlink" Target="https://lh5.googleusercontent.com/d/1QbJWMhIr9V_XIbNNhvVFHrSPPA70bwuA" TargetMode="External"/><Relationship Id="rId624" Type="http://schemas.openxmlformats.org/officeDocument/2006/relationships/hyperlink" Target="https://drive.google.com/file/d/1EgsXm005bndSMgpqYKcbn9FFGq7m5M3U/view?usp=drivesdk" TargetMode="External"/><Relationship Id="rId623" Type="http://schemas.openxmlformats.org/officeDocument/2006/relationships/hyperlink" Target="https://lh5.googleusercontent.com/d/12pAWQdzRczQERChqM2mq_DJ0kq5ywTir" TargetMode="External"/><Relationship Id="rId622" Type="http://schemas.openxmlformats.org/officeDocument/2006/relationships/hyperlink" Target="https://drive.google.com/file/d/1NpCNB3p0rlyR_M8IMscZDfcrXm-jzX5j/view?usp=drivesdk" TargetMode="External"/><Relationship Id="rId621" Type="http://schemas.openxmlformats.org/officeDocument/2006/relationships/hyperlink" Target="https://lh5.googleusercontent.com/d/1PW-v8KpI_piNdM152ukNebBVQGNntUeh" TargetMode="External"/><Relationship Id="rId628" Type="http://schemas.openxmlformats.org/officeDocument/2006/relationships/hyperlink" Target="https://drive.google.com/file/d/13hmnpVW2_WcOujlTLdFGVSYlcra9XiaK/view?usp=drivesdk" TargetMode="External"/><Relationship Id="rId627" Type="http://schemas.openxmlformats.org/officeDocument/2006/relationships/hyperlink" Target="https://lh5.googleusercontent.com/d/1T-HE71HEwznZiI4F0orqzXwPK6p_eBmn" TargetMode="External"/><Relationship Id="rId626" Type="http://schemas.openxmlformats.org/officeDocument/2006/relationships/hyperlink" Target="https://drive.google.com/file/d/1PGeNR15qemSXCVOZY5i6v98jP_mS7oP3/view?usp=drivesdk" TargetMode="External"/><Relationship Id="rId625" Type="http://schemas.openxmlformats.org/officeDocument/2006/relationships/hyperlink" Target="https://lh5.googleusercontent.com/d/1reZ6DEAWtAPIph9VqoAnYwsxUI_jBaVo" TargetMode="External"/><Relationship Id="rId2780" Type="http://schemas.openxmlformats.org/officeDocument/2006/relationships/hyperlink" Target="https://lh5.googleusercontent.com/d/1j_zNok3YPQcPIhPSgz2mJtd8YsrIsbOw" TargetMode="External"/><Relationship Id="rId1450" Type="http://schemas.openxmlformats.org/officeDocument/2006/relationships/hyperlink" Target="https://lh5.googleusercontent.com/d/1OwDILFeLzKjBNbNNx730pa7T-lJlmRIQ" TargetMode="External"/><Relationship Id="rId2781" Type="http://schemas.openxmlformats.org/officeDocument/2006/relationships/hyperlink" Target="https://drive.google.com/file/d/1NY0MVyy-4L19etYuJ3NcwLBdtwSI7CXr/view?usp=drivesdk" TargetMode="External"/><Relationship Id="rId620" Type="http://schemas.openxmlformats.org/officeDocument/2006/relationships/hyperlink" Target="https://drive.google.com/file/d/1tJxdkdAcGDP_YG-hBdWVSO0CLryV4TIf/view?usp=drivesdk" TargetMode="External"/><Relationship Id="rId1451" Type="http://schemas.openxmlformats.org/officeDocument/2006/relationships/hyperlink" Target="https://drive.google.com/file/d/11o1fh6l6kxYYkXJnqzwOL6MVdLQmKV0z/view?usp=drivesdk" TargetMode="External"/><Relationship Id="rId2782" Type="http://schemas.openxmlformats.org/officeDocument/2006/relationships/hyperlink" Target="https://lh5.googleusercontent.com/d/1imMgmGjEiacTDg8tsPselThCulw3kVGc" TargetMode="External"/><Relationship Id="rId1452" Type="http://schemas.openxmlformats.org/officeDocument/2006/relationships/hyperlink" Target="https://lh5.googleusercontent.com/d/1b_z_7ofbMys2N9YIDQidurUal5ReeigP" TargetMode="External"/><Relationship Id="rId2783" Type="http://schemas.openxmlformats.org/officeDocument/2006/relationships/hyperlink" Target="https://drive.google.com/file/d/1JnZJrvWqz-oEjVNpvdjBTo7oxa8c_JkC/view?usp=drivesdk" TargetMode="External"/><Relationship Id="rId5810" Type="http://schemas.openxmlformats.org/officeDocument/2006/relationships/hyperlink" Target="https://lh5.googleusercontent.com/d/1UlcTnAfpFtmj6Eoo7Z-ehhewbVYnBQL6" TargetMode="External"/><Relationship Id="rId1453" Type="http://schemas.openxmlformats.org/officeDocument/2006/relationships/hyperlink" Target="https://drive.google.com/file/d/179T6tbXzJBJ3wwIbT3VZTEf7mwL2UHds/view?usp=drivesdk" TargetMode="External"/><Relationship Id="rId2784" Type="http://schemas.openxmlformats.org/officeDocument/2006/relationships/hyperlink" Target="https://lh5.googleusercontent.com/d/1fAMuazvu2zrdBAlLT1ON1QLtA5frDMXE" TargetMode="External"/><Relationship Id="rId1454" Type="http://schemas.openxmlformats.org/officeDocument/2006/relationships/hyperlink" Target="https://lh5.googleusercontent.com/d/1eXDq9JXr143lCnEnzCgsBd130qIwBrbz" TargetMode="External"/><Relationship Id="rId2785" Type="http://schemas.openxmlformats.org/officeDocument/2006/relationships/hyperlink" Target="https://lh5.googleusercontent.com/d/1LK1qJFt1PSF8nn6ZlLsZWfEd_HPct1Ug" TargetMode="External"/><Relationship Id="rId1444" Type="http://schemas.openxmlformats.org/officeDocument/2006/relationships/hyperlink" Target="https://lh5.googleusercontent.com/d/1TQB-Eqaau0y76BQFdBrLlRMWhMGz5t5x" TargetMode="External"/><Relationship Id="rId2775" Type="http://schemas.openxmlformats.org/officeDocument/2006/relationships/hyperlink" Target="https://lh5.googleusercontent.com/d/1-GCZDi57FDrtydHpHAomzy_6-5x7dePo" TargetMode="External"/><Relationship Id="rId5802" Type="http://schemas.openxmlformats.org/officeDocument/2006/relationships/hyperlink" Target="https://lh5.googleusercontent.com/d/1uCiZ8QX7DMgOLAa8ynEzyNkMGPNaqLQr" TargetMode="External"/><Relationship Id="rId1445" Type="http://schemas.openxmlformats.org/officeDocument/2006/relationships/hyperlink" Target="https://drive.google.com/file/d/1hVlD1nLkTelJ3ZCoOGOm_SaWk1WfjEZF/view?usp=drivesdk" TargetMode="External"/><Relationship Id="rId2776" Type="http://schemas.openxmlformats.org/officeDocument/2006/relationships/hyperlink" Target="https://lh5.googleusercontent.com/d/1obshGtycTIJ--cfx3oVQwzqZLZJ67fC7" TargetMode="External"/><Relationship Id="rId5803" Type="http://schemas.openxmlformats.org/officeDocument/2006/relationships/hyperlink" Target="https://drive.google.com/file/d/11ontYA8Dm9qwBQAl_h1koqWDYTEBtfHk/view?usp=drivesdk" TargetMode="External"/><Relationship Id="rId1446" Type="http://schemas.openxmlformats.org/officeDocument/2006/relationships/hyperlink" Target="https://lh5.googleusercontent.com/d/1ihp9Qm_G05NPQMNrCcgtKCcBGL1WSpiO" TargetMode="External"/><Relationship Id="rId2777" Type="http://schemas.openxmlformats.org/officeDocument/2006/relationships/hyperlink" Target="https://drive.google.com/file/d/1zrQqfydtcymtX-y4dmWDgKPDmldtwY46/view?usp=drivesdk" TargetMode="External"/><Relationship Id="rId5800" Type="http://schemas.openxmlformats.org/officeDocument/2006/relationships/hyperlink" Target="https://lh5.googleusercontent.com/d/1q3J_LJTl8XpDG-YxbzUNziaV7Q-w7xnI" TargetMode="External"/><Relationship Id="rId1447" Type="http://schemas.openxmlformats.org/officeDocument/2006/relationships/hyperlink" Target="https://drive.google.com/file/d/1u0V62UkLYH9rOjbz3KbTIzX5OqxZZShc/view?usp=drivesdk" TargetMode="External"/><Relationship Id="rId2778" Type="http://schemas.openxmlformats.org/officeDocument/2006/relationships/hyperlink" Target="https://lh5.googleusercontent.com/d/1z0IW9_Hopbf5_mTKJF4_-lkcdP9-PAjs" TargetMode="External"/><Relationship Id="rId5801" Type="http://schemas.openxmlformats.org/officeDocument/2006/relationships/hyperlink" Target="https://drive.google.com/file/d/1-pHHUyctHZC6DDD7_jnCuaH6H-I5amxq/view?usp=drivesdk" TargetMode="External"/><Relationship Id="rId1448" Type="http://schemas.openxmlformats.org/officeDocument/2006/relationships/hyperlink" Target="https://lh5.googleusercontent.com/d/15ctXmL4KiAzxIy7ttcA27Ay4qtOu23AJ" TargetMode="External"/><Relationship Id="rId2779" Type="http://schemas.openxmlformats.org/officeDocument/2006/relationships/hyperlink" Target="https://drive.google.com/file/d/1U-hlZL_Dns91JfFhyjOcj1bDzYt6QEVX/view?usp=drivesdk" TargetMode="External"/><Relationship Id="rId5806" Type="http://schemas.openxmlformats.org/officeDocument/2006/relationships/hyperlink" Target="https://lh5.googleusercontent.com/d/1exBaCBXL0_e7IaD5kII2QNTZZTEZ1koR" TargetMode="External"/><Relationship Id="rId1449" Type="http://schemas.openxmlformats.org/officeDocument/2006/relationships/hyperlink" Target="https://drive.google.com/file/d/1xhwUjGWZBaXhFOH6rwF33OvOWLls8Xes/view?usp=drivesdk" TargetMode="External"/><Relationship Id="rId5807" Type="http://schemas.openxmlformats.org/officeDocument/2006/relationships/hyperlink" Target="https://drive.google.com/file/d/1giHqMElKcJBGI2nnEhKkbSN_cqCXicgX/view?usp=drivesdk" TargetMode="External"/><Relationship Id="rId5804" Type="http://schemas.openxmlformats.org/officeDocument/2006/relationships/hyperlink" Target="https://lh5.googleusercontent.com/d/177uygTfAhMufMqblN4vSTKb8T2wwfpNi" TargetMode="External"/><Relationship Id="rId5805" Type="http://schemas.openxmlformats.org/officeDocument/2006/relationships/hyperlink" Target="https://drive.google.com/file/d/1IiNuyk8cp1guj22fbyxqGJdsaZdZNo4e/view?usp=drivesdk" TargetMode="External"/><Relationship Id="rId619" Type="http://schemas.openxmlformats.org/officeDocument/2006/relationships/hyperlink" Target="https://lh5.googleusercontent.com/d/1mQTMVGfLKZhgIjYN6ApDEBoztffhPKWQ" TargetMode="External"/><Relationship Id="rId5808" Type="http://schemas.openxmlformats.org/officeDocument/2006/relationships/hyperlink" Target="https://lh5.googleusercontent.com/d/1UpU8pYB-5u4Gvem73UbOdebAK1Oo57jy" TargetMode="External"/><Relationship Id="rId618" Type="http://schemas.openxmlformats.org/officeDocument/2006/relationships/hyperlink" Target="https://drive.google.com/file/d/1vN4LqSZdIX6H1rLyrUalY_V4-lXlU9z0/view?usp=drivesdk" TargetMode="External"/><Relationship Id="rId5809" Type="http://schemas.openxmlformats.org/officeDocument/2006/relationships/hyperlink" Target="https://drive.google.com/file/d/19PBCBCnXzKYOXOXdQmw62rTJgpUcK4Bi/view?usp=drivesdk" TargetMode="External"/><Relationship Id="rId613" Type="http://schemas.openxmlformats.org/officeDocument/2006/relationships/hyperlink" Target="https://lh5.googleusercontent.com/d/1vFhQDfi_B4EgdPFlybM_tw4ahZsfsAdM" TargetMode="External"/><Relationship Id="rId612" Type="http://schemas.openxmlformats.org/officeDocument/2006/relationships/hyperlink" Target="https://drive.google.com/file/d/1F4sbrn6hnhQ2jKH5m6K2W3xtntE3S2m7/view?usp=drivesdk" TargetMode="External"/><Relationship Id="rId611" Type="http://schemas.openxmlformats.org/officeDocument/2006/relationships/hyperlink" Target="https://lh5.googleusercontent.com/d/1N5DRWIYtj8CwTUlCQwY6EMDL3IsNf86x" TargetMode="External"/><Relationship Id="rId610" Type="http://schemas.openxmlformats.org/officeDocument/2006/relationships/hyperlink" Target="https://drive.google.com/file/d/1Yb09izuhywrzKGTsbPg31GfQgyNdkdbU/view?usp=drivesdk" TargetMode="External"/><Relationship Id="rId617" Type="http://schemas.openxmlformats.org/officeDocument/2006/relationships/hyperlink" Target="https://lh5.googleusercontent.com/d/160HfOAb27GLAMma2gRPnZXa15zjVP7tS" TargetMode="External"/><Relationship Id="rId616" Type="http://schemas.openxmlformats.org/officeDocument/2006/relationships/hyperlink" Target="https://drive.google.com/file/d/1hOXjIiRihoslvQUzfSa8lREAPSJWbUXY/view?usp=drivesdk" TargetMode="External"/><Relationship Id="rId615" Type="http://schemas.openxmlformats.org/officeDocument/2006/relationships/hyperlink" Target="https://lh5.googleusercontent.com/d/1SAD0r67GkE8B7UZ1V7ZtGyjY1En6gsXS" TargetMode="External"/><Relationship Id="rId614" Type="http://schemas.openxmlformats.org/officeDocument/2006/relationships/hyperlink" Target="https://drive.google.com/file/d/1yqwMzOYx9aGYINcBM1t_FQppUWRT_VCL/view?usp=drivesdk" TargetMode="External"/><Relationship Id="rId2770" Type="http://schemas.openxmlformats.org/officeDocument/2006/relationships/hyperlink" Target="https://drive.google.com/file/d/1A53yZ_x-Zv7B0HW6Nv9bAC7gy1G2TXNT/view?usp=drivesdk" TargetMode="External"/><Relationship Id="rId1440" Type="http://schemas.openxmlformats.org/officeDocument/2006/relationships/hyperlink" Target="https://lh5.googleusercontent.com/d/12emaXuBaAIvj7B_Okq8W_Xqv4wblhZb_" TargetMode="External"/><Relationship Id="rId2771" Type="http://schemas.openxmlformats.org/officeDocument/2006/relationships/hyperlink" Target="https://lh5.googleusercontent.com/d/1bw0PqyWWUE83MbT3vR_ayu8msXOfPUJO" TargetMode="External"/><Relationship Id="rId1441" Type="http://schemas.openxmlformats.org/officeDocument/2006/relationships/hyperlink" Target="https://drive.google.com/file/d/1H26RygabrJuzYBcZ9zWtJBEyC1RMW1Er/view?usp=drivesdk" TargetMode="External"/><Relationship Id="rId2772" Type="http://schemas.openxmlformats.org/officeDocument/2006/relationships/hyperlink" Target="https://drive.google.com/file/d/1riLxHAm3L2zUUxlpRyvQdyrVHwYY4y7v/view?usp=drivesdk" TargetMode="External"/><Relationship Id="rId1442" Type="http://schemas.openxmlformats.org/officeDocument/2006/relationships/hyperlink" Target="https://lh5.googleusercontent.com/d/13YnaMO_Brf4NLOAFSs3phAmxETXGgkKe" TargetMode="External"/><Relationship Id="rId2773" Type="http://schemas.openxmlformats.org/officeDocument/2006/relationships/hyperlink" Target="https://lh5.googleusercontent.com/d/1s-iF-9qa5T_TGte-oyhktStt_kxQeEr9" TargetMode="External"/><Relationship Id="rId1443" Type="http://schemas.openxmlformats.org/officeDocument/2006/relationships/hyperlink" Target="https://drive.google.com/file/d/1m_gXPFpgyqasSxm4tAuBsnzWb5TL1tXx/view?usp=drivesdk" TargetMode="External"/><Relationship Id="rId2774" Type="http://schemas.openxmlformats.org/officeDocument/2006/relationships/hyperlink" Target="https://drive.google.com/file/d/1Wt_4foVcR-EBzlTAKUCSKPvzn3XxRxph/view?usp=drivesdk" TargetMode="External"/><Relationship Id="rId1477" Type="http://schemas.openxmlformats.org/officeDocument/2006/relationships/hyperlink" Target="https://drive.google.com/file/d/1B4XEAZ6HhooIXi2uvyn8D8BFw0vW9hwN/view?usp=drivesdk" TargetMode="External"/><Relationship Id="rId4503" Type="http://schemas.openxmlformats.org/officeDocument/2006/relationships/hyperlink" Target="https://drive.google.com/file/d/1F2-hF9CzwT2-RwCVvWJxJn3RDDwvq3Oj/view?usp=drivesdk" TargetMode="External"/><Relationship Id="rId5835" Type="http://schemas.openxmlformats.org/officeDocument/2006/relationships/hyperlink" Target="https://drive.google.com/file/d/1hphdNs--YPb-5u9TUvj7Vz9MtVgFqmhX/view?usp=drivesdk" TargetMode="External"/><Relationship Id="rId1478" Type="http://schemas.openxmlformats.org/officeDocument/2006/relationships/hyperlink" Target="https://lh5.googleusercontent.com/d/1UMqS3e1fCpq-71825BTsxvpRN1JaXHy7" TargetMode="External"/><Relationship Id="rId4502" Type="http://schemas.openxmlformats.org/officeDocument/2006/relationships/hyperlink" Target="https://lh5.googleusercontent.com/d/1zoXybWfssveoW82DazZr9zfkuIeSjS43" TargetMode="External"/><Relationship Id="rId5836" Type="http://schemas.openxmlformats.org/officeDocument/2006/relationships/hyperlink" Target="https://lh5.googleusercontent.com/d/1ubVjrFpEUgzikRZzdVOAFA4C0qprKmvk" TargetMode="External"/><Relationship Id="rId1479" Type="http://schemas.openxmlformats.org/officeDocument/2006/relationships/hyperlink" Target="https://drive.google.com/file/d/1xNu5FJ1wirRC-tDpIoHkjQDf7eWYnHNj/view?usp=drivesdk" TargetMode="External"/><Relationship Id="rId4505" Type="http://schemas.openxmlformats.org/officeDocument/2006/relationships/hyperlink" Target="https://drive.google.com/file/d/1yFhvj1WGJ3c65ApfmAt5i_E02DiY8aDe/view?usp=drivesdk" TargetMode="External"/><Relationship Id="rId5833" Type="http://schemas.openxmlformats.org/officeDocument/2006/relationships/hyperlink" Target="https://drive.google.com/file/d/1tBnkGHes0sCHkzQSPhnPhN6ESbTamzUV/view?usp=drivesdk" TargetMode="External"/><Relationship Id="rId4504" Type="http://schemas.openxmlformats.org/officeDocument/2006/relationships/hyperlink" Target="https://lh5.googleusercontent.com/d/13q5rs0oOzOhrn3ebHUDtggT0NXdOaXnj" TargetMode="External"/><Relationship Id="rId5834" Type="http://schemas.openxmlformats.org/officeDocument/2006/relationships/hyperlink" Target="https://lh5.googleusercontent.com/d/1l9te9nhDUyaa2Qx3QyGeOpVZP6pETkUl" TargetMode="External"/><Relationship Id="rId4507" Type="http://schemas.openxmlformats.org/officeDocument/2006/relationships/hyperlink" Target="https://drive.google.com/file/d/1xljaYQPTd1YwCarPGyHjTVb0e6mB9TVI/view?usp=drivesdk" TargetMode="External"/><Relationship Id="rId5839" Type="http://schemas.openxmlformats.org/officeDocument/2006/relationships/hyperlink" Target="https://drive.google.com/file/d/1ryRVdTed29sPOoLXMlOj3Bw13GcNneKS/view?usp=drivesdk" TargetMode="External"/><Relationship Id="rId4506" Type="http://schemas.openxmlformats.org/officeDocument/2006/relationships/hyperlink" Target="https://lh5.googleusercontent.com/d/1IMCIEFO-3q_6KXCiqgMvgFEK1zhIcRkF" TargetMode="External"/><Relationship Id="rId4509" Type="http://schemas.openxmlformats.org/officeDocument/2006/relationships/hyperlink" Target="https://drive.google.com/file/d/1U1w2qkTRNucOhdXxaApae9cMJPPDSaSv/view?usp=drivesdk" TargetMode="External"/><Relationship Id="rId5837" Type="http://schemas.openxmlformats.org/officeDocument/2006/relationships/hyperlink" Target="https://drive.google.com/file/d/1wTw2M2OcVPbhIhbifhEfDHHfo6oaamRc/view?usp=drivesdk" TargetMode="External"/><Relationship Id="rId4508" Type="http://schemas.openxmlformats.org/officeDocument/2006/relationships/hyperlink" Target="https://lh5.googleusercontent.com/d/10LusNelGQ3rKz_wFzCe00ntbBYjT2Oif" TargetMode="External"/><Relationship Id="rId5838" Type="http://schemas.openxmlformats.org/officeDocument/2006/relationships/hyperlink" Target="https://lh5.googleusercontent.com/d/1VsHwdb4GH73S9qqIQ_KDEC_rNsNxFQOH" TargetMode="External"/><Relationship Id="rId646" Type="http://schemas.openxmlformats.org/officeDocument/2006/relationships/hyperlink" Target="https://drive.google.com/file/d/1DVkavC91H0nAUbeXxAPXm0b0CupY1gQu/view?usp=drivesdk" TargetMode="External"/><Relationship Id="rId645" Type="http://schemas.openxmlformats.org/officeDocument/2006/relationships/hyperlink" Target="https://lh5.googleusercontent.com/d/1sfKzz0me-cKCKyW9JBqhSjZluNjMXu7B" TargetMode="External"/><Relationship Id="rId644" Type="http://schemas.openxmlformats.org/officeDocument/2006/relationships/hyperlink" Target="https://drive.google.com/file/d/18dg6YpTZdBYt2kcudhKCbWjEUwPoUiRF/view?usp=drivesdk" TargetMode="External"/><Relationship Id="rId643" Type="http://schemas.openxmlformats.org/officeDocument/2006/relationships/hyperlink" Target="https://lh5.googleusercontent.com/d/1nH7WXsTboHpiCYMoFbJDAkVnbt5aW9ro" TargetMode="External"/><Relationship Id="rId649" Type="http://schemas.openxmlformats.org/officeDocument/2006/relationships/hyperlink" Target="https://lh5.googleusercontent.com/d/1aSGhX9KtXGJosCDjwVar-VLWZuO9DRGe" TargetMode="External"/><Relationship Id="rId648" Type="http://schemas.openxmlformats.org/officeDocument/2006/relationships/hyperlink" Target="https://drive.google.com/file/d/1JI37JOlfm_WqCJ4UmEMjy9NtBb8UMILS/view?usp=drivesdk" TargetMode="External"/><Relationship Id="rId647" Type="http://schemas.openxmlformats.org/officeDocument/2006/relationships/hyperlink" Target="https://lh5.googleusercontent.com/d/1Rrxech3HVaFGn7CaxbjGT-SsoiTaq_wK" TargetMode="External"/><Relationship Id="rId1470" Type="http://schemas.openxmlformats.org/officeDocument/2006/relationships/hyperlink" Target="https://lh5.googleusercontent.com/d/1h9mR-MIlVJXdGplEGVnXMlR1EKxApBSD" TargetMode="External"/><Relationship Id="rId1471" Type="http://schemas.openxmlformats.org/officeDocument/2006/relationships/hyperlink" Target="https://drive.google.com/file/d/1I_nS1biHeJQjE8rns_FuQhPkclNepxiN/view?usp=drivesdk" TargetMode="External"/><Relationship Id="rId1472" Type="http://schemas.openxmlformats.org/officeDocument/2006/relationships/hyperlink" Target="https://lh5.googleusercontent.com/d/194tqlEu__fkNPNVuoeTQPOKWw0OCJiRL" TargetMode="External"/><Relationship Id="rId642" Type="http://schemas.openxmlformats.org/officeDocument/2006/relationships/hyperlink" Target="https://drive.google.com/file/d/1GzEOUL1XWyRRF1O-3Ji5j1RNvSWa2Wde/view?usp=drivesdk" TargetMode="External"/><Relationship Id="rId1473" Type="http://schemas.openxmlformats.org/officeDocument/2006/relationships/hyperlink" Target="https://drive.google.com/file/d/1MDyzS1tyAwvd2odhYUw5t42dqfqygWwU/view?usp=drivesdk" TargetMode="External"/><Relationship Id="rId5831" Type="http://schemas.openxmlformats.org/officeDocument/2006/relationships/hyperlink" Target="https://drive.google.com/file/d/1kAaqOtJq3Tl9daKabZKp5SOlpRYd93ko/view?usp=drivesdk" TargetMode="External"/><Relationship Id="rId641" Type="http://schemas.openxmlformats.org/officeDocument/2006/relationships/hyperlink" Target="https://lh5.googleusercontent.com/d/1QXPQCXgADy-nDE6y-kB9TQOcquzSgQeH" TargetMode="External"/><Relationship Id="rId1474" Type="http://schemas.openxmlformats.org/officeDocument/2006/relationships/hyperlink" Target="https://lh5.googleusercontent.com/d/17H22QbLDD786h83N8XaTzLIzNLYkwJMl" TargetMode="External"/><Relationship Id="rId5832" Type="http://schemas.openxmlformats.org/officeDocument/2006/relationships/hyperlink" Target="https://lh5.googleusercontent.com/d/1vrIN9ZXgOL-isTeug2mTlgbp3irKk1yq" TargetMode="External"/><Relationship Id="rId640" Type="http://schemas.openxmlformats.org/officeDocument/2006/relationships/hyperlink" Target="https://drive.google.com/file/d/1WBPjBX2TbtJHxCpWhhv44Cz0xEo5dYEu/view?usp=drivesdk" TargetMode="External"/><Relationship Id="rId1475" Type="http://schemas.openxmlformats.org/officeDocument/2006/relationships/hyperlink" Target="https://drive.google.com/file/d/15Y4Wz_aKURjghaoUif80HEUAJ7wdN9K5/view?usp=drivesdk" TargetMode="External"/><Relationship Id="rId4501" Type="http://schemas.openxmlformats.org/officeDocument/2006/relationships/hyperlink" Target="https://drive.google.com/file/d/1sFE1hysvjM2CLLIfxvxzccyDKM9tZaYt/view?usp=drivesdk" TargetMode="External"/><Relationship Id="rId1476" Type="http://schemas.openxmlformats.org/officeDocument/2006/relationships/hyperlink" Target="https://lh5.googleusercontent.com/d/1mnPsxY_yhG9EoX_A-_aZIhS-SNQM7qLO" TargetMode="External"/><Relationship Id="rId4500" Type="http://schemas.openxmlformats.org/officeDocument/2006/relationships/hyperlink" Target="https://lh5.googleusercontent.com/d/1KJ8t3lj52D8kChysbvewMqndVZUppMdC" TargetMode="External"/><Relationship Id="rId5830" Type="http://schemas.openxmlformats.org/officeDocument/2006/relationships/hyperlink" Target="https://lh5.googleusercontent.com/d/1lFLekmVMitfarDRwu9Oz_u5MPxzR7ZpY" TargetMode="External"/><Relationship Id="rId1466" Type="http://schemas.openxmlformats.org/officeDocument/2006/relationships/hyperlink" Target="https://lh5.googleusercontent.com/d/1paIGFAYv0XfQE1s0mEMeHrVdLNe2m0xF" TargetMode="External"/><Relationship Id="rId2797" Type="http://schemas.openxmlformats.org/officeDocument/2006/relationships/hyperlink" Target="https://lh5.googleusercontent.com/d/1gDFMiVdyY8Wa3S8lxm9wMzpebvp5aOFf" TargetMode="External"/><Relationship Id="rId5824" Type="http://schemas.openxmlformats.org/officeDocument/2006/relationships/hyperlink" Target="https://lh5.googleusercontent.com/d/1EwM7x2_fHXrVSoeqv5-Qargn2ISkUUPU" TargetMode="External"/><Relationship Id="rId1467" Type="http://schemas.openxmlformats.org/officeDocument/2006/relationships/hyperlink" Target="https://drive.google.com/file/d/1JD21mfgSIGuDub35Bui0ai-00Niqwcsa/view?usp=drivesdk" TargetMode="External"/><Relationship Id="rId2798" Type="http://schemas.openxmlformats.org/officeDocument/2006/relationships/hyperlink" Target="https://drive.google.com/file/d/1CWfjs9N0NF3DVhz06db3LKtxfRynP4R3/view?usp=drivesdk" TargetMode="External"/><Relationship Id="rId5825" Type="http://schemas.openxmlformats.org/officeDocument/2006/relationships/hyperlink" Target="https://drive.google.com/file/d/10Ftv0ts-zxCGd21_sX3wiBn7pGeieILK/view?usp=drivesdk" TargetMode="External"/><Relationship Id="rId1468" Type="http://schemas.openxmlformats.org/officeDocument/2006/relationships/hyperlink" Target="https://lh5.googleusercontent.com/d/1Fgd7__bv-L7IesXMSrhyvSKkEw-5wCJH" TargetMode="External"/><Relationship Id="rId2799" Type="http://schemas.openxmlformats.org/officeDocument/2006/relationships/hyperlink" Target="https://lh5.googleusercontent.com/d/1NVGKZjGbl5M-FtF-QWqSec9VrlrTNEmK" TargetMode="External"/><Relationship Id="rId5822" Type="http://schemas.openxmlformats.org/officeDocument/2006/relationships/hyperlink" Target="https://lh5.googleusercontent.com/d/1wblBa9sqZXK34jKYlLKIJey6F3C2uewx" TargetMode="External"/><Relationship Id="rId1469" Type="http://schemas.openxmlformats.org/officeDocument/2006/relationships/hyperlink" Target="https://drive.google.com/file/d/1jPifP-KlAMccm1VArDCSe9Lr0LBWuiIN/view?usp=drivesdk" TargetMode="External"/><Relationship Id="rId5823" Type="http://schemas.openxmlformats.org/officeDocument/2006/relationships/hyperlink" Target="https://drive.google.com/file/d/1WM3ryQc6KjXxkwpzkDqMKei4WFANrfzw/view?usp=drivesdk" TargetMode="External"/><Relationship Id="rId5828" Type="http://schemas.openxmlformats.org/officeDocument/2006/relationships/hyperlink" Target="https://lh5.googleusercontent.com/d/1kpDamePgsch9rb1y6mvNxyuuP2pLJdSh" TargetMode="External"/><Relationship Id="rId5829" Type="http://schemas.openxmlformats.org/officeDocument/2006/relationships/hyperlink" Target="https://drive.google.com/file/d/1i6pFF6hcHJ47sTRMprAJ8N5bAd6WmmuK/view?usp=drivesdk" TargetMode="External"/><Relationship Id="rId5826" Type="http://schemas.openxmlformats.org/officeDocument/2006/relationships/hyperlink" Target="https://lh5.googleusercontent.com/d/1jiNF3kYW91uw9gkVkoPyvqPv5mFl8WiB" TargetMode="External"/><Relationship Id="rId5827" Type="http://schemas.openxmlformats.org/officeDocument/2006/relationships/hyperlink" Target="https://drive.google.com/file/d/1jUL48enp3yW4jE-PGkVulGzRKx7B-RQe/view?usp=drivesdk" TargetMode="External"/><Relationship Id="rId635" Type="http://schemas.openxmlformats.org/officeDocument/2006/relationships/hyperlink" Target="https://lh5.googleusercontent.com/d/1RIat9blajqPeo_6EBqoC8FtiU6GvW1dl" TargetMode="External"/><Relationship Id="rId634" Type="http://schemas.openxmlformats.org/officeDocument/2006/relationships/hyperlink" Target="https://drive.google.com/file/d/1OkL8sGPVcPYO6K9tEpRmB3IbRX-eZqER/view?usp=drivesdk" TargetMode="External"/><Relationship Id="rId633" Type="http://schemas.openxmlformats.org/officeDocument/2006/relationships/hyperlink" Target="https://lh5.googleusercontent.com/d/17kx2ENjcU8A36mNlHYa-XpfiNOruTk4F" TargetMode="External"/><Relationship Id="rId632" Type="http://schemas.openxmlformats.org/officeDocument/2006/relationships/hyperlink" Target="https://drive.google.com/file/d/12B1uPqApQBL6PQ0GezY0bXbi_EvSrS6X/view?usp=drivesdk" TargetMode="External"/><Relationship Id="rId639" Type="http://schemas.openxmlformats.org/officeDocument/2006/relationships/hyperlink" Target="https://lh5.googleusercontent.com/d/1VbPDlsFfwWKV6e5tW87FXik-31AKSRDs" TargetMode="External"/><Relationship Id="rId638" Type="http://schemas.openxmlformats.org/officeDocument/2006/relationships/hyperlink" Target="https://drive.google.com/file/d/1au7FVwheilQFrFjJPzKjgF2QG2lHUedl/view?usp=drivesdk" TargetMode="External"/><Relationship Id="rId637" Type="http://schemas.openxmlformats.org/officeDocument/2006/relationships/hyperlink" Target="https://lh5.googleusercontent.com/d/1imM3BcnUT36OakkRP7pcXUp4LrRQQlFP" TargetMode="External"/><Relationship Id="rId636" Type="http://schemas.openxmlformats.org/officeDocument/2006/relationships/hyperlink" Target="https://drive.google.com/file/d/1Ehc8iJWPjXl3MJO2iCnZNHxWQLTi_5Du/view?usp=drivesdk" TargetMode="External"/><Relationship Id="rId2790" Type="http://schemas.openxmlformats.org/officeDocument/2006/relationships/hyperlink" Target="https://drive.google.com/file/d/1xd7GK-IxF7SUmvgbUOxHIFd_vOac2lh_/view?usp=drivesdk" TargetMode="External"/><Relationship Id="rId1460" Type="http://schemas.openxmlformats.org/officeDocument/2006/relationships/hyperlink" Target="https://lh5.googleusercontent.com/d/1-LhlGyeUS2cpUWVsA2NewPHp_WjBa6DY" TargetMode="External"/><Relationship Id="rId2791" Type="http://schemas.openxmlformats.org/officeDocument/2006/relationships/hyperlink" Target="https://lh5.googleusercontent.com/d/1kn00-mOa5MdxtmEUaRFbqXjGby1DaYmg" TargetMode="External"/><Relationship Id="rId1461" Type="http://schemas.openxmlformats.org/officeDocument/2006/relationships/hyperlink" Target="https://drive.google.com/file/d/1jUs_KG-CphlDfmwnUQMol8mzsjdoxoz2/view?usp=drivesdk" TargetMode="External"/><Relationship Id="rId2792" Type="http://schemas.openxmlformats.org/officeDocument/2006/relationships/hyperlink" Target="https://drive.google.com/file/d/1akdhZ0Sx5YPpIgcJeb2CIKasVSI027sa/view?usp=drivesdk" TargetMode="External"/><Relationship Id="rId631" Type="http://schemas.openxmlformats.org/officeDocument/2006/relationships/hyperlink" Target="https://lh5.googleusercontent.com/d/15JseGFk84fyyNH5m2WK6OmyQNSkwwpho" TargetMode="External"/><Relationship Id="rId1462" Type="http://schemas.openxmlformats.org/officeDocument/2006/relationships/hyperlink" Target="https://lh5.googleusercontent.com/d/1ma6LUXATp8JbF77L48u8H7HR29j0tZ-Y" TargetMode="External"/><Relationship Id="rId2793" Type="http://schemas.openxmlformats.org/officeDocument/2006/relationships/hyperlink" Target="https://lh5.googleusercontent.com/d/1UUC9n59KvFiSvHmosGbInycvNeL41SKG" TargetMode="External"/><Relationship Id="rId5820" Type="http://schemas.openxmlformats.org/officeDocument/2006/relationships/hyperlink" Target="https://lh5.googleusercontent.com/d/1acpv1rMBlwQh2iDfPuHa8bQzIPaJoriR" TargetMode="External"/><Relationship Id="rId630" Type="http://schemas.openxmlformats.org/officeDocument/2006/relationships/hyperlink" Target="https://drive.google.com/file/d/1v3dGfegfrZ0fVnmJuNBVj6UM5FcbNMjF/view?usp=drivesdk" TargetMode="External"/><Relationship Id="rId1463" Type="http://schemas.openxmlformats.org/officeDocument/2006/relationships/hyperlink" Target="https://drive.google.com/file/d/1vzTis4_vgZhkKxWnN5_2f43drnH4eLrB/view?usp=drivesdk" TargetMode="External"/><Relationship Id="rId2794" Type="http://schemas.openxmlformats.org/officeDocument/2006/relationships/hyperlink" Target="https://drive.google.com/file/d/1zjTACY2V_trFlNkbd2bfjf373Sg4dzfj/view?usp=drivesdk" TargetMode="External"/><Relationship Id="rId5821" Type="http://schemas.openxmlformats.org/officeDocument/2006/relationships/hyperlink" Target="https://drive.google.com/file/d/1BVQiqBEE5gfYRhFzY3rzjdCW9XYZBZu9/view?usp=drivesdk" TargetMode="External"/><Relationship Id="rId1464" Type="http://schemas.openxmlformats.org/officeDocument/2006/relationships/hyperlink" Target="https://lh5.googleusercontent.com/d/1aXRrx-u6OQ9DzVeTnulBRotqz_N5dK8w" TargetMode="External"/><Relationship Id="rId2795" Type="http://schemas.openxmlformats.org/officeDocument/2006/relationships/hyperlink" Target="https://lh5.googleusercontent.com/d/1lyDl1sp-NrKXLx017LejgF9QduJLCFkz" TargetMode="External"/><Relationship Id="rId1465" Type="http://schemas.openxmlformats.org/officeDocument/2006/relationships/hyperlink" Target="https://drive.google.com/file/d/1GIzmN-CTdQa2pniICpVAM4hp1bG5Eq4O/view?usp=drivesdk" TargetMode="External"/><Relationship Id="rId2796" Type="http://schemas.openxmlformats.org/officeDocument/2006/relationships/hyperlink" Target="https://drive.google.com/file/d/1f1ovuNlDvjuJGJdpmymovw8kIx83qNhL/view?usp=drivesdk" TargetMode="External"/><Relationship Id="rId1411" Type="http://schemas.openxmlformats.org/officeDocument/2006/relationships/hyperlink" Target="https://drive.google.com/file/d/1RTmwBh9r2mawhBKlJ1TPvXgQDRTPAwv4/view?usp=drivesdk" TargetMode="External"/><Relationship Id="rId2742" Type="http://schemas.openxmlformats.org/officeDocument/2006/relationships/hyperlink" Target="https://lh5.googleusercontent.com/d/1keB2Fn_pqUYObLutA8XJ1hywCzuzXRrT" TargetMode="External"/><Relationship Id="rId1412" Type="http://schemas.openxmlformats.org/officeDocument/2006/relationships/hyperlink" Target="https://lh5.googleusercontent.com/d/1Ac9OXi2a2amY81UouYKPFy7SEwVfzbvU" TargetMode="External"/><Relationship Id="rId2743" Type="http://schemas.openxmlformats.org/officeDocument/2006/relationships/hyperlink" Target="https://drive.google.com/file/d/1WOPmpvGioijxzzusR8HUqld3-w5qSsR_/view?usp=drivesdk" TargetMode="External"/><Relationship Id="rId1413" Type="http://schemas.openxmlformats.org/officeDocument/2006/relationships/hyperlink" Target="https://drive.google.com/file/d/1De7L46ND1L8R5tevaYWN2ANtIEVEtZ7I/view?usp=drivesdk" TargetMode="External"/><Relationship Id="rId2744" Type="http://schemas.openxmlformats.org/officeDocument/2006/relationships/hyperlink" Target="https://lh5.googleusercontent.com/d/1mR2-nm6pIYKhc28j26aHWQ1PH8Borf24" TargetMode="External"/><Relationship Id="rId1414" Type="http://schemas.openxmlformats.org/officeDocument/2006/relationships/hyperlink" Target="https://lh5.googleusercontent.com/d/1U2ecABmy0Ctewnjgn08-4iBxuscoctc1" TargetMode="External"/><Relationship Id="rId2745" Type="http://schemas.openxmlformats.org/officeDocument/2006/relationships/hyperlink" Target="https://drive.google.com/file/d/1OhgJQiNS1vIXwycx2KiAS94PDRoSF6zJ/view?usp=drivesdk" TargetMode="External"/><Relationship Id="rId1415" Type="http://schemas.openxmlformats.org/officeDocument/2006/relationships/hyperlink" Target="https://drive.google.com/file/d/1g87cHJ_LjBuYm7qwylhbXCG5jbb7uXlE/view?usp=drivesdk" TargetMode="External"/><Relationship Id="rId2746" Type="http://schemas.openxmlformats.org/officeDocument/2006/relationships/hyperlink" Target="https://lh5.googleusercontent.com/d/1AZqnOcUDqCfyWgi8mC1JLjbr0sUKTl5-" TargetMode="External"/><Relationship Id="rId1416" Type="http://schemas.openxmlformats.org/officeDocument/2006/relationships/hyperlink" Target="https://lh5.googleusercontent.com/d/1lk2Vd2GN67ODAgoXpO_jtWLz_nvrpTfS" TargetMode="External"/><Relationship Id="rId2747" Type="http://schemas.openxmlformats.org/officeDocument/2006/relationships/hyperlink" Target="https://drive.google.com/file/d/1JA2x6eY0WDn9SRm6O-h1YFkCR6n_l6uf/view?usp=drivesdk" TargetMode="External"/><Relationship Id="rId1417" Type="http://schemas.openxmlformats.org/officeDocument/2006/relationships/hyperlink" Target="https://drive.google.com/file/d/1iDSidqP3l7uJsPXFIBm5K22lsRXjEa44/view?usp=drivesdk" TargetMode="External"/><Relationship Id="rId2748" Type="http://schemas.openxmlformats.org/officeDocument/2006/relationships/hyperlink" Target="https://lh5.googleusercontent.com/d/1l_isRSZ0tSKXpOy8pLAXSKrpA6xjRobE" TargetMode="External"/><Relationship Id="rId1418" Type="http://schemas.openxmlformats.org/officeDocument/2006/relationships/hyperlink" Target="https://lh5.googleusercontent.com/d/1psQeTDbiUx0tD5Y8zXvoMTfC6S_dmJbq" TargetMode="External"/><Relationship Id="rId2749" Type="http://schemas.openxmlformats.org/officeDocument/2006/relationships/hyperlink" Target="https://drive.google.com/file/d/1oMhujXtqc39huJyOK8U4Hyla2qir_hlG/view?usp=drivesdk" TargetMode="External"/><Relationship Id="rId1419" Type="http://schemas.openxmlformats.org/officeDocument/2006/relationships/hyperlink" Target="https://drive.google.com/file/d/1w1NPhuTWByJZkJc0zlAq6yCG6BPoDIo0/view?usp=drivesdk" TargetMode="External"/><Relationship Id="rId2740" Type="http://schemas.openxmlformats.org/officeDocument/2006/relationships/hyperlink" Target="https://lh5.googleusercontent.com/d/1r720xreH8o2loPY_IAg2jd5wES0bhY6i" TargetMode="External"/><Relationship Id="rId1410" Type="http://schemas.openxmlformats.org/officeDocument/2006/relationships/hyperlink" Target="https://lh5.googleusercontent.com/d/1p7lGu7tQJ6pMYyFxn9_d56ON26j1KuJm" TargetMode="External"/><Relationship Id="rId2741" Type="http://schemas.openxmlformats.org/officeDocument/2006/relationships/hyperlink" Target="https://drive.google.com/file/d/1pBhvqWnE9SADkNP9utPMDytBn824Kl9Q/view?usp=drivesdk" TargetMode="External"/><Relationship Id="rId1400" Type="http://schemas.openxmlformats.org/officeDocument/2006/relationships/hyperlink" Target="https://drive.google.com/file/d/1vyplKbyS9S30zcdE8fbUWdQTZWPesK8w/view?usp=drivesdk" TargetMode="External"/><Relationship Id="rId2731" Type="http://schemas.openxmlformats.org/officeDocument/2006/relationships/hyperlink" Target="https://drive.google.com/file/d/1aw1M3pkeoYm_XVNj4RwY1nqgPkVLXb_J/view?usp=drivesdk" TargetMode="External"/><Relationship Id="rId1401" Type="http://schemas.openxmlformats.org/officeDocument/2006/relationships/hyperlink" Target="https://lh5.googleusercontent.com/d/1--y_0WikxCLbQwPPp0kNg8gSYsUveoLj" TargetMode="External"/><Relationship Id="rId2732" Type="http://schemas.openxmlformats.org/officeDocument/2006/relationships/hyperlink" Target="https://lh5.googleusercontent.com/d/1HSJ8cxLBI5ieIvB9LIRBt5Y-DXIwRffG" TargetMode="External"/><Relationship Id="rId1402" Type="http://schemas.openxmlformats.org/officeDocument/2006/relationships/hyperlink" Target="https://drive.google.com/file/d/1Jh3S8OD7b2bwT7JujeJrTuI1z41yu7pG/view?usp=drivesdk" TargetMode="External"/><Relationship Id="rId2733" Type="http://schemas.openxmlformats.org/officeDocument/2006/relationships/hyperlink" Target="https://drive.google.com/file/d/1zntpUs2QqmRYopEqLla6SiWKAtvK5qzl/view?usp=drivesdk" TargetMode="External"/><Relationship Id="rId1403" Type="http://schemas.openxmlformats.org/officeDocument/2006/relationships/hyperlink" Target="https://lh5.googleusercontent.com/d/13NaJCYcay3hptDpOTJ_-1fmZBb40SNuW" TargetMode="External"/><Relationship Id="rId2734" Type="http://schemas.openxmlformats.org/officeDocument/2006/relationships/hyperlink" Target="https://lh5.googleusercontent.com/d/1Uch4sW_KVA4efcwausSpCO7uo0OGgRB_" TargetMode="External"/><Relationship Id="rId1404" Type="http://schemas.openxmlformats.org/officeDocument/2006/relationships/hyperlink" Target="https://drive.google.com/file/d/10MqZYdGoU6Umuc0lWtqmdW2G_OEjkyqF/view?usp=drivesdk" TargetMode="External"/><Relationship Id="rId2735" Type="http://schemas.openxmlformats.org/officeDocument/2006/relationships/hyperlink" Target="https://drive.google.com/file/d/1kDihp6HlKZhe3f_LoOtRnCbwRAfYlvyU/view?usp=drivesdk" TargetMode="External"/><Relationship Id="rId1405" Type="http://schemas.openxmlformats.org/officeDocument/2006/relationships/hyperlink" Target="https://lh5.googleusercontent.com/d/1y110JZCvKYkBbhYpf_474ZUjHAb0IWPR" TargetMode="External"/><Relationship Id="rId2736" Type="http://schemas.openxmlformats.org/officeDocument/2006/relationships/hyperlink" Target="https://lh5.googleusercontent.com/d/1O0l3SstIc-cD-5UyhiRkGgx3XVoyhdxn" TargetMode="External"/><Relationship Id="rId1406" Type="http://schemas.openxmlformats.org/officeDocument/2006/relationships/hyperlink" Target="https://drive.google.com/file/d/1NApDr6yBIwZWoZgpy_1wAe9bLGcm_wGZ/view?usp=drivesdk" TargetMode="External"/><Relationship Id="rId2737" Type="http://schemas.openxmlformats.org/officeDocument/2006/relationships/hyperlink" Target="https://drive.google.com/file/d/1b4tBP9LccCzagxPHiMNTqIoJqeH_Dh-w/view?usp=drivesdk" TargetMode="External"/><Relationship Id="rId1407" Type="http://schemas.openxmlformats.org/officeDocument/2006/relationships/hyperlink" Target="https://lh5.googleusercontent.com/d/1I8HJVON05aAoaXe1a_SbF5LcvyJdpAdX" TargetMode="External"/><Relationship Id="rId2738" Type="http://schemas.openxmlformats.org/officeDocument/2006/relationships/hyperlink" Target="https://lh5.googleusercontent.com/d/1LwKrELpXg3CBzCtTegKQb0PtYJgxako7" TargetMode="External"/><Relationship Id="rId1408" Type="http://schemas.openxmlformats.org/officeDocument/2006/relationships/hyperlink" Target="https://drive.google.com/file/d/10-DJlUXMbSolAJ-bKMvqf6o694zZS_A5/view?usp=drivesdk" TargetMode="External"/><Relationship Id="rId2739" Type="http://schemas.openxmlformats.org/officeDocument/2006/relationships/hyperlink" Target="https://drive.google.com/file/d/1JVWF2QeahazXs-0mV5KgS19AuwVcrO6d/view?usp=drivesdk" TargetMode="External"/><Relationship Id="rId1409" Type="http://schemas.openxmlformats.org/officeDocument/2006/relationships/hyperlink" Target="https://lh5.googleusercontent.com/d/1zOVekVVPIO8YTHXM7hI4j08jFrLFLL_K" TargetMode="External"/><Relationship Id="rId2730" Type="http://schemas.openxmlformats.org/officeDocument/2006/relationships/hyperlink" Target="https://lh5.googleusercontent.com/d/1zklICyIrQxmbbxBlZEjK-cwNaWzj6Em3" TargetMode="External"/><Relationship Id="rId1433" Type="http://schemas.openxmlformats.org/officeDocument/2006/relationships/hyperlink" Target="https://drive.google.com/file/d/1LUO-UGbtcwyPdZPibfDggKwJNYjH13a3/view?usp=drivesdk" TargetMode="External"/><Relationship Id="rId2764" Type="http://schemas.openxmlformats.org/officeDocument/2006/relationships/hyperlink" Target="https://lh5.googleusercontent.com/d/1PfUizG7Jvf6UsRkQY9Jnjja8dD8oK-9w" TargetMode="External"/><Relationship Id="rId1434" Type="http://schemas.openxmlformats.org/officeDocument/2006/relationships/hyperlink" Target="https://lh5.googleusercontent.com/d/1j1Qc76wviLOF6xAuxOp4Ox8vrVxe8DU-" TargetMode="External"/><Relationship Id="rId2765" Type="http://schemas.openxmlformats.org/officeDocument/2006/relationships/hyperlink" Target="https://lh5.googleusercontent.com/d/1yPvQM-aOI0cSXHukW0s_g3GYwlASXrbL" TargetMode="External"/><Relationship Id="rId1435" Type="http://schemas.openxmlformats.org/officeDocument/2006/relationships/hyperlink" Target="https://drive.google.com/file/d/1GBjXCybHwYxREoe0pyUbpmaD43V98yWS/view?usp=drivesdk" TargetMode="External"/><Relationship Id="rId2766" Type="http://schemas.openxmlformats.org/officeDocument/2006/relationships/hyperlink" Target="https://drive.google.com/file/d/18MKrE60w_0lJ-J1mNNQ1EiEq8mPnhJsx/view?usp=drivesdk" TargetMode="External"/><Relationship Id="rId1436" Type="http://schemas.openxmlformats.org/officeDocument/2006/relationships/hyperlink" Target="https://lh5.googleusercontent.com/d/1DF_ZyBFq2v2OBCjp5Dvd_Gq-R40k8CMk" TargetMode="External"/><Relationship Id="rId2767" Type="http://schemas.openxmlformats.org/officeDocument/2006/relationships/hyperlink" Target="https://lh5.googleusercontent.com/d/1ZOAdVMn0dVY4gUfHi0rTDpgFYH53eEmS" TargetMode="External"/><Relationship Id="rId1437" Type="http://schemas.openxmlformats.org/officeDocument/2006/relationships/hyperlink" Target="https://drive.google.com/file/d/1OkslaZJvAi8NfIHcxE0SVOqSr8ty96mU/view?usp=drivesdk" TargetMode="External"/><Relationship Id="rId2768" Type="http://schemas.openxmlformats.org/officeDocument/2006/relationships/hyperlink" Target="https://lh5.googleusercontent.com/d/1gXQP81LTZhgaG7UUEudQ9le6igwKKun1" TargetMode="External"/><Relationship Id="rId1438" Type="http://schemas.openxmlformats.org/officeDocument/2006/relationships/hyperlink" Target="https://lh5.googleusercontent.com/d/1VS0VwOyBXB_HkC5OK9Ind3mcQlXbQJZN" TargetMode="External"/><Relationship Id="rId2769" Type="http://schemas.openxmlformats.org/officeDocument/2006/relationships/hyperlink" Target="https://lh5.googleusercontent.com/d/1sX00C6M5VKDLTjHjHff-zptreXfPsKU2" TargetMode="External"/><Relationship Id="rId1439" Type="http://schemas.openxmlformats.org/officeDocument/2006/relationships/hyperlink" Target="https://drive.google.com/file/d/1aTsWoOIEe5Y557JdBgftcHFtIlfi_y61/view?usp=drivesdk" TargetMode="External"/><Relationship Id="rId609" Type="http://schemas.openxmlformats.org/officeDocument/2006/relationships/hyperlink" Target="https://lh5.googleusercontent.com/d/1Fj2Yg7uMv_PZDmbpLZos6ryZPIvRj5cK" TargetMode="External"/><Relationship Id="rId608" Type="http://schemas.openxmlformats.org/officeDocument/2006/relationships/hyperlink" Target="https://drive.google.com/file/d/1z8Ft7jme8Iuc7zcXSriXekyNG9sPbIQ1/view?usp=drivesdk" TargetMode="External"/><Relationship Id="rId607" Type="http://schemas.openxmlformats.org/officeDocument/2006/relationships/hyperlink" Target="https://lh5.googleusercontent.com/d/1UlskjHfz0lSZXs-A22s2U9sgEEgpZ11g" TargetMode="External"/><Relationship Id="rId602" Type="http://schemas.openxmlformats.org/officeDocument/2006/relationships/hyperlink" Target="https://drive.google.com/file/d/1JGyi_YHwsHTZ2Gv-jO9VHSM7UCVZ0ab_/view?usp=drivesdk" TargetMode="External"/><Relationship Id="rId601" Type="http://schemas.openxmlformats.org/officeDocument/2006/relationships/hyperlink" Target="https://lh5.googleusercontent.com/d/1dLtLDdA6U2FLXJkkXAJTSds97YXTZmXz" TargetMode="External"/><Relationship Id="rId600" Type="http://schemas.openxmlformats.org/officeDocument/2006/relationships/hyperlink" Target="https://drive.google.com/file/d/1F1ZnyA6Yv94kcXF---uxALwR8h1mNBqr/view?usp=drivesdk" TargetMode="External"/><Relationship Id="rId606" Type="http://schemas.openxmlformats.org/officeDocument/2006/relationships/hyperlink" Target="https://drive.google.com/file/d/1b2h7Cxhu3yg8pVFwHLiVnOKOeJQmcVzR/view?usp=drivesdk" TargetMode="External"/><Relationship Id="rId605" Type="http://schemas.openxmlformats.org/officeDocument/2006/relationships/hyperlink" Target="https://lh5.googleusercontent.com/d/1j6CuJppwDVfR2PLtoADTU7lA3gd1V61q" TargetMode="External"/><Relationship Id="rId604" Type="http://schemas.openxmlformats.org/officeDocument/2006/relationships/hyperlink" Target="https://drive.google.com/file/d/1eX8OU-JHzU4n6FkM3orMAkv677vk25ST/view?usp=drivesdk" TargetMode="External"/><Relationship Id="rId603" Type="http://schemas.openxmlformats.org/officeDocument/2006/relationships/hyperlink" Target="https://lh5.googleusercontent.com/d/1fY0xt2vV17WlLrzOYdOpEyywtl7L_aSY" TargetMode="External"/><Relationship Id="rId2760" Type="http://schemas.openxmlformats.org/officeDocument/2006/relationships/hyperlink" Target="https://lh5.googleusercontent.com/d/1YvDENU2VDvrx6ATZuMPjhugElrggxw4S" TargetMode="External"/><Relationship Id="rId1430" Type="http://schemas.openxmlformats.org/officeDocument/2006/relationships/hyperlink" Target="https://lh5.googleusercontent.com/d/1V8lUHqZ0fhAsDjBaPTZCvw_6IRvgc5Ns" TargetMode="External"/><Relationship Id="rId2761" Type="http://schemas.openxmlformats.org/officeDocument/2006/relationships/hyperlink" Target="https://drive.google.com/file/d/1ciOBI549WIVVVl4Rz3WLvup8Kd-tJBJ6/view?usp=drivesdk" TargetMode="External"/><Relationship Id="rId1431" Type="http://schemas.openxmlformats.org/officeDocument/2006/relationships/hyperlink" Target="https://drive.google.com/file/d/1lMGwauSfmA7vcakay0f6-m2Zt3L_rDix/view?usp=drivesdk" TargetMode="External"/><Relationship Id="rId2762" Type="http://schemas.openxmlformats.org/officeDocument/2006/relationships/hyperlink" Target="https://lh5.googleusercontent.com/d/1GSuXVojtRc7MmsNoj78aylcto0W8_S00" TargetMode="External"/><Relationship Id="rId1432" Type="http://schemas.openxmlformats.org/officeDocument/2006/relationships/hyperlink" Target="https://lh5.googleusercontent.com/d/1hGiMsPiZ_YacFI0us6F8LdlQ1CIOvUPq" TargetMode="External"/><Relationship Id="rId2763" Type="http://schemas.openxmlformats.org/officeDocument/2006/relationships/hyperlink" Target="https://lh5.googleusercontent.com/d/1ckQ27KZ_utB_0Ulzbvc-LSpZsBwyfzbo" TargetMode="External"/><Relationship Id="rId1422" Type="http://schemas.openxmlformats.org/officeDocument/2006/relationships/hyperlink" Target="https://lh5.googleusercontent.com/d/1Llt5lEpKDJRCwtRF_93AIw-0WZ0Kd5bt" TargetMode="External"/><Relationship Id="rId2753" Type="http://schemas.openxmlformats.org/officeDocument/2006/relationships/hyperlink" Target="https://drive.google.com/file/d/1Df1J_555mLFVNBElGs6f0x_zT6VEu8C0/view?usp=drivesdk" TargetMode="External"/><Relationship Id="rId1423" Type="http://schemas.openxmlformats.org/officeDocument/2006/relationships/hyperlink" Target="https://drive.google.com/file/d/1gg_ue0pVdyirSRXU9pqMYUF9dD8J1JcZ/view?usp=drivesdk" TargetMode="External"/><Relationship Id="rId2754" Type="http://schemas.openxmlformats.org/officeDocument/2006/relationships/hyperlink" Target="https://lh5.googleusercontent.com/d/1BnHQXR6_YdDoDNxn7gZYNCOOCP-fIudw" TargetMode="External"/><Relationship Id="rId1424" Type="http://schemas.openxmlformats.org/officeDocument/2006/relationships/hyperlink" Target="https://lh5.googleusercontent.com/d/1F5I-trgkKB8NByKa17LMCpnjXk7BvuBF" TargetMode="External"/><Relationship Id="rId2755" Type="http://schemas.openxmlformats.org/officeDocument/2006/relationships/hyperlink" Target="https://drive.google.com/file/d/1pNsgksietA2m4GIRDokxXhAlLh2dIgGB/view?usp=drivesdk" TargetMode="External"/><Relationship Id="rId1425" Type="http://schemas.openxmlformats.org/officeDocument/2006/relationships/hyperlink" Target="https://drive.google.com/file/d/1cbWyo4HuBj0ZhCHsf-fYLntmCklZx2GC/view?usp=drivesdk" TargetMode="External"/><Relationship Id="rId2756" Type="http://schemas.openxmlformats.org/officeDocument/2006/relationships/hyperlink" Target="https://lh5.googleusercontent.com/d/16Sn3-QimvT5sMrdY8nXw-MdfpSZgcG5g" TargetMode="External"/><Relationship Id="rId1426" Type="http://schemas.openxmlformats.org/officeDocument/2006/relationships/hyperlink" Target="https://lh5.googleusercontent.com/d/1HpbWaAHMbqUNXQf4CzWwBsgliDuUxvsr" TargetMode="External"/><Relationship Id="rId2757" Type="http://schemas.openxmlformats.org/officeDocument/2006/relationships/hyperlink" Target="https://drive.google.com/file/d/1ioBAhjCRA3_n-QGnYUgD-jIOUzVx97Fj/view?usp=drivesdk" TargetMode="External"/><Relationship Id="rId1427" Type="http://schemas.openxmlformats.org/officeDocument/2006/relationships/hyperlink" Target="https://drive.google.com/file/d/1WbO6fDL2U1Z4IT3Zy1MJUvO0pwrOOc5M/view?usp=drivesdk" TargetMode="External"/><Relationship Id="rId2758" Type="http://schemas.openxmlformats.org/officeDocument/2006/relationships/hyperlink" Target="https://lh5.googleusercontent.com/d/1RwLkjtFPB50VBF5HjzAg2p8SDlwXUCz3" TargetMode="External"/><Relationship Id="rId1428" Type="http://schemas.openxmlformats.org/officeDocument/2006/relationships/hyperlink" Target="https://lh5.googleusercontent.com/d/1gjmkCmy8Km_Fzmnu3ENDw_PpwWaIz7LA" TargetMode="External"/><Relationship Id="rId2759" Type="http://schemas.openxmlformats.org/officeDocument/2006/relationships/hyperlink" Target="https://drive.google.com/file/d/1bMkeBCDBO9cH6DueQFqmVtBsfq7W0uIi/view?usp=drivesdk" TargetMode="External"/><Relationship Id="rId1429" Type="http://schemas.openxmlformats.org/officeDocument/2006/relationships/hyperlink" Target="https://drive.google.com/file/d/1b2lzt_nFjibb77cyNzyeuIpCwoSk2VLw/view?usp=drivesdk" TargetMode="External"/><Relationship Id="rId2750" Type="http://schemas.openxmlformats.org/officeDocument/2006/relationships/hyperlink" Target="https://lh5.googleusercontent.com/d/1jNiVblYARlxQqYb1VM6bb-j5N5vbv6LX" TargetMode="External"/><Relationship Id="rId1420" Type="http://schemas.openxmlformats.org/officeDocument/2006/relationships/hyperlink" Target="https://lh5.googleusercontent.com/d/1OwjPYS18Vw3KGlPNRZMaHsr9hlrL0wIt" TargetMode="External"/><Relationship Id="rId2751" Type="http://schemas.openxmlformats.org/officeDocument/2006/relationships/hyperlink" Target="https://drive.google.com/file/d/1m28OH715eKe3FKnVDWyeyACuccBKO535/view?usp=drivesdk" TargetMode="External"/><Relationship Id="rId1421" Type="http://schemas.openxmlformats.org/officeDocument/2006/relationships/hyperlink" Target="https://drive.google.com/file/d/1vJlsjMW2vBI0HGqB_W5I1ruCNj17Wej3/view?usp=drivesdk" TargetMode="External"/><Relationship Id="rId2752" Type="http://schemas.openxmlformats.org/officeDocument/2006/relationships/hyperlink" Target="https://lh5.googleusercontent.com/d/1kJXdm2M1c2znXp5p_5kC2a5dEFtpIGPY" TargetMode="External"/><Relationship Id="rId3238" Type="http://schemas.openxmlformats.org/officeDocument/2006/relationships/hyperlink" Target="https://drive.google.com/file/d/11Wvjy3bo3wTV_jg8Tv1rqNU5QN-0DABq/view?usp=drivesdk" TargetMode="External"/><Relationship Id="rId4569" Type="http://schemas.openxmlformats.org/officeDocument/2006/relationships/hyperlink" Target="https://lh5.googleusercontent.com/d/1mAHP9kHc-FRdLH5Pm8AjVfpT58pMx_-H" TargetMode="External"/><Relationship Id="rId3237" Type="http://schemas.openxmlformats.org/officeDocument/2006/relationships/hyperlink" Target="https://lh5.googleusercontent.com/d/189BHCR6NboiPMiIrOGzMeDcV70jqUjfK" TargetMode="External"/><Relationship Id="rId4568" Type="http://schemas.openxmlformats.org/officeDocument/2006/relationships/hyperlink" Target="https://drive.google.com/file/d/1BrZfxC4NjBBWKFNWH-9dANJxbEHb6gs8/view?usp=drivesdk" TargetMode="External"/><Relationship Id="rId5899" Type="http://schemas.openxmlformats.org/officeDocument/2006/relationships/hyperlink" Target="https://drive.google.com/file/d/1bzwXWiyYUnaNOHKvtr1novSOvFIeXReP/view?usp=drivesdk" TargetMode="External"/><Relationship Id="rId3239" Type="http://schemas.openxmlformats.org/officeDocument/2006/relationships/hyperlink" Target="https://lh5.googleusercontent.com/d/1nDfYhNORPkwrHSzmR04oj2yJbMu6alQQ" TargetMode="External"/><Relationship Id="rId5890" Type="http://schemas.openxmlformats.org/officeDocument/2006/relationships/hyperlink" Target="https://lh5.googleusercontent.com/d/1Oy_oenAaWcoE_hCGLS1A7l9yJK2jAPy2" TargetMode="External"/><Relationship Id="rId3230" Type="http://schemas.openxmlformats.org/officeDocument/2006/relationships/hyperlink" Target="https://drive.google.com/file/d/1SGzC32gEZDraKuBNb9r96ZNpxpY-jvB9/view?usp=drivesdk" TargetMode="External"/><Relationship Id="rId4561" Type="http://schemas.openxmlformats.org/officeDocument/2006/relationships/hyperlink" Target="https://lh5.googleusercontent.com/d/1VDpcDz2uuc35xuVaqpOxWfuTx80QcOEb" TargetMode="External"/><Relationship Id="rId5893" Type="http://schemas.openxmlformats.org/officeDocument/2006/relationships/hyperlink" Target="https://drive.google.com/file/d/1CedSgF4wnY3-3dalbpDeiuAd2OiQAeVb/view?usp=drivesdk" TargetMode="External"/><Relationship Id="rId4560" Type="http://schemas.openxmlformats.org/officeDocument/2006/relationships/hyperlink" Target="https://drive.google.com/file/d/1De6N-sO82GZ8fExGk5NfuEn0JaWsYrOy/view?usp=drivesdk" TargetMode="External"/><Relationship Id="rId5894" Type="http://schemas.openxmlformats.org/officeDocument/2006/relationships/hyperlink" Target="https://lh5.googleusercontent.com/d/1PV_3IDoZmC3gOelB9tvGwpsRsUCKQ2JL" TargetMode="External"/><Relationship Id="rId3232" Type="http://schemas.openxmlformats.org/officeDocument/2006/relationships/hyperlink" Target="https://drive.google.com/file/d/1Ods4AUy7jHcKty-OuRLhRmm93_iXaZ-o/view?usp=drivesdk" TargetMode="External"/><Relationship Id="rId4563" Type="http://schemas.openxmlformats.org/officeDocument/2006/relationships/hyperlink" Target="https://lh5.googleusercontent.com/d/1fgnqJqaIjap6G_jzPRlu0WqO4zMNOxFk" TargetMode="External"/><Relationship Id="rId5891" Type="http://schemas.openxmlformats.org/officeDocument/2006/relationships/hyperlink" Target="https://drive.google.com/file/d/1yznu22KoW-q0_-nlngCXYQUt5YSlKxBq/view?usp=drivesdk" TargetMode="External"/><Relationship Id="rId3231" Type="http://schemas.openxmlformats.org/officeDocument/2006/relationships/hyperlink" Target="https://lh5.googleusercontent.com/d/1q91H7FI8Rbq1RS3Lm0r2-EE9uUPTeW0v" TargetMode="External"/><Relationship Id="rId4562" Type="http://schemas.openxmlformats.org/officeDocument/2006/relationships/hyperlink" Target="https://drive.google.com/file/d/1F719UfPC6O82a6TNoUJYU70PHbLcFp7H/view?usp=drivesdk" TargetMode="External"/><Relationship Id="rId5892" Type="http://schemas.openxmlformats.org/officeDocument/2006/relationships/hyperlink" Target="https://lh5.googleusercontent.com/d/1Dv8ZWFT3TZTLdrQH8n8RboTEa4gNwxll" TargetMode="External"/><Relationship Id="rId3234" Type="http://schemas.openxmlformats.org/officeDocument/2006/relationships/hyperlink" Target="https://drive.google.com/file/d/1fdd84H9ZPhlRU84Xt38ysjI5fzZmk1aV/view?usp=drivesdk" TargetMode="External"/><Relationship Id="rId4565" Type="http://schemas.openxmlformats.org/officeDocument/2006/relationships/hyperlink" Target="https://lh5.googleusercontent.com/d/15KDvaGA2iYWg5t14hGKqFnzEBsNcxyKR" TargetMode="External"/><Relationship Id="rId5897" Type="http://schemas.openxmlformats.org/officeDocument/2006/relationships/hyperlink" Target="https://drive.google.com/file/d/138Y8uGP_msVA7r8uNCuFQqAI5lVKad7U/view?usp=drivesdk" TargetMode="External"/><Relationship Id="rId3233" Type="http://schemas.openxmlformats.org/officeDocument/2006/relationships/hyperlink" Target="https://lh5.googleusercontent.com/d/1lKVWF2NovTrzhK3IEIPYeEqp3DxNhJbO" TargetMode="External"/><Relationship Id="rId4564" Type="http://schemas.openxmlformats.org/officeDocument/2006/relationships/hyperlink" Target="https://drive.google.com/file/d/1sYOvbjVf6eJTMHQTGRYB4xmXKRs80idK/view?usp=drivesdk" TargetMode="External"/><Relationship Id="rId5898" Type="http://schemas.openxmlformats.org/officeDocument/2006/relationships/hyperlink" Target="https://lh5.googleusercontent.com/d/1zce41xU3LshSS8EGAHe9Q0D5Q89DFUDK" TargetMode="External"/><Relationship Id="rId3236" Type="http://schemas.openxmlformats.org/officeDocument/2006/relationships/hyperlink" Target="https://drive.google.com/file/d/1wwbW6V7GRDTQ1obSd6NZrZyyW1NrViWt/view?usp=drivesdk" TargetMode="External"/><Relationship Id="rId4567" Type="http://schemas.openxmlformats.org/officeDocument/2006/relationships/hyperlink" Target="https://lh5.googleusercontent.com/d/1l_yTnUjaBxD4CEWNxQGZstv7bc3vBnkH" TargetMode="External"/><Relationship Id="rId5895" Type="http://schemas.openxmlformats.org/officeDocument/2006/relationships/hyperlink" Target="https://drive.google.com/file/d/1ShXbtTMzp2q4D70jIwodOkbLzRcSTksU/view?usp=drivesdk" TargetMode="External"/><Relationship Id="rId3235" Type="http://schemas.openxmlformats.org/officeDocument/2006/relationships/hyperlink" Target="https://lh5.googleusercontent.com/d/1kMkcu8qlHHozARDaEemErGKN0A8wsg5f" TargetMode="External"/><Relationship Id="rId4566" Type="http://schemas.openxmlformats.org/officeDocument/2006/relationships/hyperlink" Target="https://drive.google.com/file/d/1YDEJYRL-LKOkRLu0bDnfnnxy-8uL4goP/view?usp=drivesdk" TargetMode="External"/><Relationship Id="rId5896" Type="http://schemas.openxmlformats.org/officeDocument/2006/relationships/hyperlink" Target="https://lh5.googleusercontent.com/d/16MBy8O7Ino5sOChWjEIvcc9y4zgW9ITz" TargetMode="External"/><Relationship Id="rId3227" Type="http://schemas.openxmlformats.org/officeDocument/2006/relationships/hyperlink" Target="https://lh5.googleusercontent.com/d/1p3kyRoOyDSA5U_ixXP11eoNwnMSFwF2b" TargetMode="External"/><Relationship Id="rId4558" Type="http://schemas.openxmlformats.org/officeDocument/2006/relationships/hyperlink" Target="https://drive.google.com/file/d/1gVOZ8htgrwUP67UA4GplxaEryo2tL0U9/view?usp=drivesdk" TargetMode="External"/><Relationship Id="rId3226" Type="http://schemas.openxmlformats.org/officeDocument/2006/relationships/hyperlink" Target="https://drive.google.com/file/d/15CzCX7bYWp0nYjQGD32Q5y9Hay2Bg9rl/view?usp=drivesdk" TargetMode="External"/><Relationship Id="rId4557" Type="http://schemas.openxmlformats.org/officeDocument/2006/relationships/hyperlink" Target="https://lh5.googleusercontent.com/d/12opZQfPkBRdfq3m0ryyvWj6EHZRkVVvI" TargetMode="External"/><Relationship Id="rId3229" Type="http://schemas.openxmlformats.org/officeDocument/2006/relationships/hyperlink" Target="https://lh5.googleusercontent.com/d/1zcAtBQQ_oAzOMz3Dq_QFYswtvoHm7Bzr" TargetMode="External"/><Relationship Id="rId5888" Type="http://schemas.openxmlformats.org/officeDocument/2006/relationships/hyperlink" Target="https://lh5.googleusercontent.com/d/1hTUb1SmD6H7aCQ-lhyaWhbyvuSQKrY3z" TargetMode="External"/><Relationship Id="rId3228" Type="http://schemas.openxmlformats.org/officeDocument/2006/relationships/hyperlink" Target="https://drive.google.com/file/d/1mYXaQKGLsE8pEifW4qzxNJrG5I_4HqYY/view?usp=drivesdk" TargetMode="External"/><Relationship Id="rId4559" Type="http://schemas.openxmlformats.org/officeDocument/2006/relationships/hyperlink" Target="https://lh5.googleusercontent.com/d/1ho0EX_vayQOBKoqeqziCPpfR9tOPYs_o" TargetMode="External"/><Relationship Id="rId5889" Type="http://schemas.openxmlformats.org/officeDocument/2006/relationships/hyperlink" Target="https://drive.google.com/file/d/12tHOr7hRAksw_i3KkSPSV2tVq6dBitjr/view?usp=drivesdk" TargetMode="External"/><Relationship Id="rId699" Type="http://schemas.openxmlformats.org/officeDocument/2006/relationships/hyperlink" Target="https://lh5.googleusercontent.com/d/1mkw2KuS-pFXttbd3nbtlCw8rmun0ExZI" TargetMode="External"/><Relationship Id="rId698" Type="http://schemas.openxmlformats.org/officeDocument/2006/relationships/hyperlink" Target="https://drive.google.com/file/d/1M6lL8wN7d1huGboOsKW0w4jmt9Q3oOf6/view?usp=drivesdk" TargetMode="External"/><Relationship Id="rId693" Type="http://schemas.openxmlformats.org/officeDocument/2006/relationships/hyperlink" Target="https://lh5.googleusercontent.com/d/1tf00qIMB-87OEVRO_ZJ-m4lRg7iaxUOr" TargetMode="External"/><Relationship Id="rId4550" Type="http://schemas.openxmlformats.org/officeDocument/2006/relationships/hyperlink" Target="https://lh5.googleusercontent.com/d/1S1Rw2W1CM4TASe23TUtyZ3tgYMp4pvwM" TargetMode="External"/><Relationship Id="rId5882" Type="http://schemas.openxmlformats.org/officeDocument/2006/relationships/hyperlink" Target="https://lh5.googleusercontent.com/d/1hcNwjkpDW1DAeFaWDtEx_wotH00Iffyv" TargetMode="External"/><Relationship Id="rId692" Type="http://schemas.openxmlformats.org/officeDocument/2006/relationships/hyperlink" Target="https://drive.google.com/file/d/1Z9kpvIL8aKpY3JpRAR1r-WmBUNtNXXgn/view?usp=drivesdk" TargetMode="External"/><Relationship Id="rId5883" Type="http://schemas.openxmlformats.org/officeDocument/2006/relationships/hyperlink" Target="https://drive.google.com/file/d/1sCyLPWAq3SDg6VW_k1H9JLCUYqlB7NxH/view?usp=drivesdk" TargetMode="External"/><Relationship Id="rId691" Type="http://schemas.openxmlformats.org/officeDocument/2006/relationships/hyperlink" Target="https://lh5.googleusercontent.com/d/1vCJ2VzLSXJpIBrTYnASUK-eX_Nnr-EMD" TargetMode="External"/><Relationship Id="rId3221" Type="http://schemas.openxmlformats.org/officeDocument/2006/relationships/hyperlink" Target="https://lh5.googleusercontent.com/d/1kLMttJo9kxXolqJtHraywFIVUoMDr5Bw" TargetMode="External"/><Relationship Id="rId4552" Type="http://schemas.openxmlformats.org/officeDocument/2006/relationships/hyperlink" Target="https://lh5.googleusercontent.com/d/1lXCrUp0riMHmTANM7D-qhJoUVIc9Agcb" TargetMode="External"/><Relationship Id="rId5880" Type="http://schemas.openxmlformats.org/officeDocument/2006/relationships/hyperlink" Target="https://lh5.googleusercontent.com/d/1INMU_nlGn0QBQPQdPPJemLVnd2-ye7qi" TargetMode="External"/><Relationship Id="rId690" Type="http://schemas.openxmlformats.org/officeDocument/2006/relationships/hyperlink" Target="https://drive.google.com/file/d/1H3wqi4jJ6g-Pe0S14wE2hCedX7UdevEp/view?usp=drivesdk" TargetMode="External"/><Relationship Id="rId3220" Type="http://schemas.openxmlformats.org/officeDocument/2006/relationships/hyperlink" Target="https://drive.google.com/file/d/1ufa9WYZlnMRz4kb1ONzBWdHzobWOq6wu/view?usp=drivesdk" TargetMode="External"/><Relationship Id="rId4551" Type="http://schemas.openxmlformats.org/officeDocument/2006/relationships/hyperlink" Target="https://drive.google.com/file/d/1P0gDsIw6hoCy6raCa01DZoyqxF4eMi4B/view?usp=drivesdk" TargetMode="External"/><Relationship Id="rId5881" Type="http://schemas.openxmlformats.org/officeDocument/2006/relationships/hyperlink" Target="https://drive.google.com/file/d/14sg6QsAFxaA1FXhWQ1OW4BcVAsDdQevW/view?usp=drivesdk" TargetMode="External"/><Relationship Id="rId697" Type="http://schemas.openxmlformats.org/officeDocument/2006/relationships/hyperlink" Target="https://lh5.googleusercontent.com/d/1JurYuvIT0Sgk5auq-jTiegNNICW3u4ss" TargetMode="External"/><Relationship Id="rId3223" Type="http://schemas.openxmlformats.org/officeDocument/2006/relationships/hyperlink" Target="https://lh5.googleusercontent.com/d/1WYe4wBev0mcGOxC-EhhlMqmJM8jzdkZU" TargetMode="External"/><Relationship Id="rId4554" Type="http://schemas.openxmlformats.org/officeDocument/2006/relationships/hyperlink" Target="https://lh5.googleusercontent.com/d/1HXzJTiqrGto9Zi8MIPtJchkDnuDQMLR0" TargetMode="External"/><Relationship Id="rId5886" Type="http://schemas.openxmlformats.org/officeDocument/2006/relationships/hyperlink" Target="https://lh5.googleusercontent.com/d/1YHcC6JhAEdwwEu4TNxXymDE6B3KZhw_T" TargetMode="External"/><Relationship Id="rId696" Type="http://schemas.openxmlformats.org/officeDocument/2006/relationships/hyperlink" Target="https://drive.google.com/file/d/1KdvivLwHQn0mx9sSUa_f8h2RXqZpSOsS/view?usp=drivesdk" TargetMode="External"/><Relationship Id="rId3222" Type="http://schemas.openxmlformats.org/officeDocument/2006/relationships/hyperlink" Target="https://drive.google.com/file/d/1x1nA80rTvsb1zrS2rVwclFEAUvG5npKN/view?usp=drivesdk" TargetMode="External"/><Relationship Id="rId4553" Type="http://schemas.openxmlformats.org/officeDocument/2006/relationships/hyperlink" Target="https://drive.google.com/file/d/1wdC83RT7dk59S-RVpuohHHM-AkNQ7xvV/view?usp=drivesdk" TargetMode="External"/><Relationship Id="rId5887" Type="http://schemas.openxmlformats.org/officeDocument/2006/relationships/hyperlink" Target="https://drive.google.com/file/d/1MFmSeakwaQFf3G7huJTKCQk4hqJuF6AX/view?usp=drivesdk" TargetMode="External"/><Relationship Id="rId695" Type="http://schemas.openxmlformats.org/officeDocument/2006/relationships/hyperlink" Target="https://lh5.googleusercontent.com/d/1bStCedML83ypehPlnERac1aPzSAAIipi" TargetMode="External"/><Relationship Id="rId3225" Type="http://schemas.openxmlformats.org/officeDocument/2006/relationships/hyperlink" Target="https://lh5.googleusercontent.com/d/1z-Ll8YpfdWOtM2SaJpHK9LLUVoyY51PV" TargetMode="External"/><Relationship Id="rId4556" Type="http://schemas.openxmlformats.org/officeDocument/2006/relationships/hyperlink" Target="https://drive.google.com/file/d/1ABTmgAYicFCdLeZ4TM8SyXeyfug50sUj/view?usp=drivesdk" TargetMode="External"/><Relationship Id="rId5884" Type="http://schemas.openxmlformats.org/officeDocument/2006/relationships/hyperlink" Target="https://lh5.googleusercontent.com/d/13RNGWoJQU3P0PhQUXn95u7hMILXMzOjt" TargetMode="External"/><Relationship Id="rId694" Type="http://schemas.openxmlformats.org/officeDocument/2006/relationships/hyperlink" Target="https://drive.google.com/file/d/14OY-tCjHkPY_qIQe9BSDL7PJT54oUsuw/view?usp=drivesdk" TargetMode="External"/><Relationship Id="rId3224" Type="http://schemas.openxmlformats.org/officeDocument/2006/relationships/hyperlink" Target="https://drive.google.com/file/d/1BBhIgb39JIrSbqqaw1pu6MMGLAnKpdhh/view?usp=drivesdk" TargetMode="External"/><Relationship Id="rId4555" Type="http://schemas.openxmlformats.org/officeDocument/2006/relationships/hyperlink" Target="https://lh5.googleusercontent.com/d/1uC1EGuLefAbURSk-JnT9SOUZYkCBFeI5" TargetMode="External"/><Relationship Id="rId5885" Type="http://schemas.openxmlformats.org/officeDocument/2006/relationships/hyperlink" Target="https://drive.google.com/file/d/1LPLt2b8wZ_Kr3UmfyeEYj-c3CW5HqkDf/view?usp=drivesdk" TargetMode="External"/><Relationship Id="rId3259" Type="http://schemas.openxmlformats.org/officeDocument/2006/relationships/hyperlink" Target="https://lh5.googleusercontent.com/d/1BwHlj-TkMH3OQgx4JC-GQMw3JQeRKPa6" TargetMode="External"/><Relationship Id="rId3250" Type="http://schemas.openxmlformats.org/officeDocument/2006/relationships/hyperlink" Target="https://drive.google.com/file/d/1r2kUJQrgzoEX4gSaCE2qCiKrN-7n2kKV/view?usp=drivesdk" TargetMode="External"/><Relationship Id="rId4581" Type="http://schemas.openxmlformats.org/officeDocument/2006/relationships/hyperlink" Target="https://lh5.googleusercontent.com/d/1blGzatDFB4Qpgge1JiawJ0Df8EAPolmN" TargetMode="External"/><Relationship Id="rId4580" Type="http://schemas.openxmlformats.org/officeDocument/2006/relationships/hyperlink" Target="https://drive.google.com/file/d/1tIvPCz87O0Acgd8XjN0PFcERjx-Deem_/view?usp=drivesdk" TargetMode="External"/><Relationship Id="rId3252" Type="http://schemas.openxmlformats.org/officeDocument/2006/relationships/hyperlink" Target="https://drive.google.com/file/d/1lCVZufuu0EXWpW9huWLb0aJUxbSRxMEm/view?usp=drivesdk" TargetMode="External"/><Relationship Id="rId4583" Type="http://schemas.openxmlformats.org/officeDocument/2006/relationships/hyperlink" Target="https://lh5.googleusercontent.com/d/1n4QtJTQHjhX800bb1j61iNSMwmoOdbiE" TargetMode="External"/><Relationship Id="rId3251" Type="http://schemas.openxmlformats.org/officeDocument/2006/relationships/hyperlink" Target="https://lh5.googleusercontent.com/d/1Wtc9Hc8ipiNF6FURmj2frPESqNFhEVeA" TargetMode="External"/><Relationship Id="rId4582" Type="http://schemas.openxmlformats.org/officeDocument/2006/relationships/hyperlink" Target="https://drive.google.com/file/d/1SVjfk60kVWN2TVzNbLTJ_OfYqsZ3EkxW/view?usp=drivesdk" TargetMode="External"/><Relationship Id="rId3254" Type="http://schemas.openxmlformats.org/officeDocument/2006/relationships/hyperlink" Target="https://drive.google.com/file/d/1wyU3Jamst4VTE1v6llmAzRiUhVxtmVjd/view?usp=drivesdk" TargetMode="External"/><Relationship Id="rId4585" Type="http://schemas.openxmlformats.org/officeDocument/2006/relationships/hyperlink" Target="https://lh5.googleusercontent.com/d/1aDz16DC5eoF8BLD76P0ULYaTXC1K7CeW" TargetMode="External"/><Relationship Id="rId3253" Type="http://schemas.openxmlformats.org/officeDocument/2006/relationships/hyperlink" Target="https://lh5.googleusercontent.com/d/16XBhw66Rkx1PatASQGQG7BuUX3GUzqWz" TargetMode="External"/><Relationship Id="rId4584" Type="http://schemas.openxmlformats.org/officeDocument/2006/relationships/hyperlink" Target="https://drive.google.com/file/d/1uHoatkn97lQPOQ_7dwVJkf2VDy3hwP9R/view?usp=drivesdk" TargetMode="External"/><Relationship Id="rId3256" Type="http://schemas.openxmlformats.org/officeDocument/2006/relationships/hyperlink" Target="https://drive.google.com/file/d/1d7IztyruV-PhJiJsUEhNNjI8p3Pr4oTX/view?usp=drivesdk" TargetMode="External"/><Relationship Id="rId4587" Type="http://schemas.openxmlformats.org/officeDocument/2006/relationships/hyperlink" Target="https://lh5.googleusercontent.com/d/1xtFXiNDS_8esjt4ulZyAkU74Ys2FqyW9" TargetMode="External"/><Relationship Id="rId3255" Type="http://schemas.openxmlformats.org/officeDocument/2006/relationships/hyperlink" Target="https://lh5.googleusercontent.com/d/1tcFzLwptO0tPzy5GLlQklkP6N2wTV7-t" TargetMode="External"/><Relationship Id="rId4586" Type="http://schemas.openxmlformats.org/officeDocument/2006/relationships/hyperlink" Target="https://drive.google.com/file/d/1VcAtXdxWNf6Fo1OooefyhyM_HobfiQg6/view?usp=drivesdk" TargetMode="External"/><Relationship Id="rId3258" Type="http://schemas.openxmlformats.org/officeDocument/2006/relationships/hyperlink" Target="https://drive.google.com/file/d/1LzAi_uof3y0hGnC6zfGht6PsBZrxbcbJ/view?usp=drivesdk" TargetMode="External"/><Relationship Id="rId4589" Type="http://schemas.openxmlformats.org/officeDocument/2006/relationships/hyperlink" Target="https://lh5.googleusercontent.com/d/1rkpzd3P0QMlRyHhgmM-VT4wkXRUyQ83A" TargetMode="External"/><Relationship Id="rId3257" Type="http://schemas.openxmlformats.org/officeDocument/2006/relationships/hyperlink" Target="https://lh5.googleusercontent.com/d/11eXP0_1ziSDzE7krrEqQ_G9VDklXSSGx" TargetMode="External"/><Relationship Id="rId4588" Type="http://schemas.openxmlformats.org/officeDocument/2006/relationships/hyperlink" Target="https://drive.google.com/file/d/1LHivqLzyGODOaJt4pdwQrdLKmCEONpvc/view?usp=drivesdk" TargetMode="External"/><Relationship Id="rId3249" Type="http://schemas.openxmlformats.org/officeDocument/2006/relationships/hyperlink" Target="https://lh5.googleusercontent.com/d/10qP1BGZd0L1I59YfH7Rf3h3iRVKFOkFD" TargetMode="External"/><Relationship Id="rId3248" Type="http://schemas.openxmlformats.org/officeDocument/2006/relationships/hyperlink" Target="https://drive.google.com/file/d/1q1Y3AmdlowOB92kTxCiLInhHyFa8_ped/view?usp=drivesdk" TargetMode="External"/><Relationship Id="rId4579" Type="http://schemas.openxmlformats.org/officeDocument/2006/relationships/hyperlink" Target="https://lh5.googleusercontent.com/d/1le1MiZFwJL9w2Lmo4_MjLBgI8y7Gv-EW" TargetMode="External"/><Relationship Id="rId4570" Type="http://schemas.openxmlformats.org/officeDocument/2006/relationships/hyperlink" Target="https://drive.google.com/file/d/1MJ_aM-RDo5wZGkGNRanDxkOM4WIE2BNL/view?usp=drivesdk" TargetMode="External"/><Relationship Id="rId3241" Type="http://schemas.openxmlformats.org/officeDocument/2006/relationships/hyperlink" Target="https://lh5.googleusercontent.com/d/1mRfjEBPiEU5W4_ACL9Shlu5sG5MsBCXV" TargetMode="External"/><Relationship Id="rId4572" Type="http://schemas.openxmlformats.org/officeDocument/2006/relationships/hyperlink" Target="https://drive.google.com/file/d/1U_8KZ3UghI3pEFrjEtiOU0XruYtDnggs/view?usp=drivesdk" TargetMode="External"/><Relationship Id="rId3240" Type="http://schemas.openxmlformats.org/officeDocument/2006/relationships/hyperlink" Target="https://drive.google.com/file/d/1238Nh2kReDgiCMyypVVgUfpHkl_9u1ZD/view?usp=drivesdk" TargetMode="External"/><Relationship Id="rId4571" Type="http://schemas.openxmlformats.org/officeDocument/2006/relationships/hyperlink" Target="https://lh5.googleusercontent.com/d/1s52S3mx9H033-YLCqzxH4AIDI6LMUlw7" TargetMode="External"/><Relationship Id="rId3243" Type="http://schemas.openxmlformats.org/officeDocument/2006/relationships/hyperlink" Target="https://lh5.googleusercontent.com/d/19KD-s_dmbEx71XZTwH-4VodDYN5BKUv_" TargetMode="External"/><Relationship Id="rId4574" Type="http://schemas.openxmlformats.org/officeDocument/2006/relationships/hyperlink" Target="https://drive.google.com/file/d/1uy1KFGEJoSXueYNtWNNGh1bRlLS02N4U/view?usp=drivesdk" TargetMode="External"/><Relationship Id="rId3242" Type="http://schemas.openxmlformats.org/officeDocument/2006/relationships/hyperlink" Target="https://drive.google.com/file/d/1RfsyyQkt17Ld38IBpjAbKsq0is5tJO7t/view?usp=drivesdk" TargetMode="External"/><Relationship Id="rId4573" Type="http://schemas.openxmlformats.org/officeDocument/2006/relationships/hyperlink" Target="https://lh5.googleusercontent.com/d/1ykcqR6tgydPXsee07e-xS03IR6oaBT1d" TargetMode="External"/><Relationship Id="rId3245" Type="http://schemas.openxmlformats.org/officeDocument/2006/relationships/hyperlink" Target="https://lh5.googleusercontent.com/d/1EJzvHufRqAkZ1S2DiUbUjg59UuDaxNiA" TargetMode="External"/><Relationship Id="rId4576" Type="http://schemas.openxmlformats.org/officeDocument/2006/relationships/hyperlink" Target="https://drive.google.com/file/d/1fNPdfigbuUFXJQdQRnW83XN7Kt0LjyJv/view?usp=drivesdk" TargetMode="External"/><Relationship Id="rId3244" Type="http://schemas.openxmlformats.org/officeDocument/2006/relationships/hyperlink" Target="https://drive.google.com/file/d/1yDE-l_XXBkpjc_24oApAcYskO5Yt9SEi/view?usp=drivesdk" TargetMode="External"/><Relationship Id="rId4575" Type="http://schemas.openxmlformats.org/officeDocument/2006/relationships/hyperlink" Target="https://lh5.googleusercontent.com/d/1W2fjZniEDGcVaEN5-cmALm4ghmmpcI9H" TargetMode="External"/><Relationship Id="rId3247" Type="http://schemas.openxmlformats.org/officeDocument/2006/relationships/hyperlink" Target="https://lh5.googleusercontent.com/d/1_kbihRCvVCq4u9qrpdYTV59tNVy5sFip" TargetMode="External"/><Relationship Id="rId4578" Type="http://schemas.openxmlformats.org/officeDocument/2006/relationships/hyperlink" Target="https://drive.google.com/file/d/1tCiNwMSWejqt9ZewmIjsLZaaXFAxZZBg/view?usp=drivesdk" TargetMode="External"/><Relationship Id="rId3246" Type="http://schemas.openxmlformats.org/officeDocument/2006/relationships/hyperlink" Target="https://drive.google.com/file/d/1f2fiPTPp-d2mbJxwImyLldiZOZIpeP4l/view?usp=drivesdk" TargetMode="External"/><Relationship Id="rId4577" Type="http://schemas.openxmlformats.org/officeDocument/2006/relationships/hyperlink" Target="https://lh5.googleusercontent.com/d/1aR4nooX7JWlTSswixEZHKGpQXwTlq-Be" TargetMode="External"/><Relationship Id="rId1499" Type="http://schemas.openxmlformats.org/officeDocument/2006/relationships/hyperlink" Target="https://drive.google.com/file/d/1mxY0Il8YSnIxhNZla7FeMZ982PyjcS7S/view?usp=drivesdk" TargetMode="External"/><Relationship Id="rId4525" Type="http://schemas.openxmlformats.org/officeDocument/2006/relationships/hyperlink" Target="https://drive.google.com/file/d/1p05PNbDdmrOq-fofmXL6J6-KYgn3TTnh/view?usp=drivesdk" TargetMode="External"/><Relationship Id="rId5857" Type="http://schemas.openxmlformats.org/officeDocument/2006/relationships/hyperlink" Target="https://drive.google.com/file/d/1Bh4aYLn_ErajoS-nPqQHFEvgIJpPCyke/view?usp=drivesdk" TargetMode="External"/><Relationship Id="rId4524" Type="http://schemas.openxmlformats.org/officeDocument/2006/relationships/hyperlink" Target="https://lh5.googleusercontent.com/d/1XxFbGhZbnv8l2tR8w1pJPyMnQy7K9Uw3" TargetMode="External"/><Relationship Id="rId5858" Type="http://schemas.openxmlformats.org/officeDocument/2006/relationships/hyperlink" Target="https://lh5.googleusercontent.com/d/1fztYxLCFrDUfFA7UtPT7Af3TsDQ5qwwp" TargetMode="External"/><Relationship Id="rId4527" Type="http://schemas.openxmlformats.org/officeDocument/2006/relationships/hyperlink" Target="https://drive.google.com/file/d/1LxL-88VNuOjSWeHUtCOA7__gPulbPwSL/view?usp=drivesdk" TargetMode="External"/><Relationship Id="rId5855" Type="http://schemas.openxmlformats.org/officeDocument/2006/relationships/hyperlink" Target="https://drive.google.com/file/d/1UhBXKvQaPj_a2XuxvwAEpX_tMFgqAvGQ/view?usp=drivesdk" TargetMode="External"/><Relationship Id="rId4526" Type="http://schemas.openxmlformats.org/officeDocument/2006/relationships/hyperlink" Target="https://lh5.googleusercontent.com/d/16dRyeUXWliZGrhd3RbXfUbfF5oyjC_Kr" TargetMode="External"/><Relationship Id="rId5856" Type="http://schemas.openxmlformats.org/officeDocument/2006/relationships/hyperlink" Target="https://lh5.googleusercontent.com/d/1kSH37P5YoBy_hrxUE-zHmDNvihIrQS3J" TargetMode="External"/><Relationship Id="rId4529" Type="http://schemas.openxmlformats.org/officeDocument/2006/relationships/hyperlink" Target="https://drive.google.com/file/d/1oHmcb1dhhbzwDnB94RjdaoeEWA6jRZYJ/view?usp=drivesdk" TargetMode="External"/><Relationship Id="rId4528" Type="http://schemas.openxmlformats.org/officeDocument/2006/relationships/hyperlink" Target="https://lh5.googleusercontent.com/d/1OlL0tpEz1d-v7pa16wcEjgGu6V_pcdvQ" TargetMode="External"/><Relationship Id="rId5859" Type="http://schemas.openxmlformats.org/officeDocument/2006/relationships/hyperlink" Target="https://drive.google.com/file/d/1Kc-ngMjw4VRgNs45mDJepaqMVFgX3ScR/view?usp=drivesdk" TargetMode="External"/><Relationship Id="rId668" Type="http://schemas.openxmlformats.org/officeDocument/2006/relationships/hyperlink" Target="https://drive.google.com/file/d/1QAmjWTZ-6cEbqXPfV5UowvSZsW6RT3sM/view?usp=drivesdk" TargetMode="External"/><Relationship Id="rId667" Type="http://schemas.openxmlformats.org/officeDocument/2006/relationships/hyperlink" Target="https://lh5.googleusercontent.com/d/1roKTWIXFAw__4Mt4zpF0BepBnxbl-Vgj" TargetMode="External"/><Relationship Id="rId666" Type="http://schemas.openxmlformats.org/officeDocument/2006/relationships/hyperlink" Target="https://drive.google.com/file/d/1V20EZm-5tdCtoqKvbHCdW-b5ZWLR6DtM/view?usp=drivesdk" TargetMode="External"/><Relationship Id="rId665" Type="http://schemas.openxmlformats.org/officeDocument/2006/relationships/hyperlink" Target="https://lh5.googleusercontent.com/d/1ZFoxIwtqrKYdY4WolPukYwiygm5AE8DN" TargetMode="External"/><Relationship Id="rId669" Type="http://schemas.openxmlformats.org/officeDocument/2006/relationships/hyperlink" Target="https://lh5.googleusercontent.com/d/1E-3OwrPFFhjPhjAPUVzfR1ARcGNFlHn9" TargetMode="External"/><Relationship Id="rId1490" Type="http://schemas.openxmlformats.org/officeDocument/2006/relationships/hyperlink" Target="https://lh5.googleusercontent.com/d/1cYOuzAOu0O97G4RXY5EqV3V1znParSMh" TargetMode="External"/><Relationship Id="rId660" Type="http://schemas.openxmlformats.org/officeDocument/2006/relationships/hyperlink" Target="https://drive.google.com/file/d/1ldDu1LxFWbyVLff3E_WJXC_Umhe0856j/view?usp=drivesdk" TargetMode="External"/><Relationship Id="rId1491" Type="http://schemas.openxmlformats.org/officeDocument/2006/relationships/hyperlink" Target="https://drive.google.com/file/d/1OgIiS5KHmnlqCOriZv4Zrosb9YvlBr65/view?usp=drivesdk" TargetMode="External"/><Relationship Id="rId1492" Type="http://schemas.openxmlformats.org/officeDocument/2006/relationships/hyperlink" Target="https://lh5.googleusercontent.com/d/1rl5r_TdNxhMAZm4spPLzzvHDp97q_vFL" TargetMode="External"/><Relationship Id="rId5850" Type="http://schemas.openxmlformats.org/officeDocument/2006/relationships/hyperlink" Target="https://lh5.googleusercontent.com/d/16A2k1zbbomePHZ8sgRBW8malrV7UPZoZ" TargetMode="External"/><Relationship Id="rId1493" Type="http://schemas.openxmlformats.org/officeDocument/2006/relationships/hyperlink" Target="https://drive.google.com/file/d/1_yH6FBoCOo56Tdbf8mB_lxfAj7x4Nb1c/view?usp=drivesdk" TargetMode="External"/><Relationship Id="rId1494" Type="http://schemas.openxmlformats.org/officeDocument/2006/relationships/hyperlink" Target="https://lh5.googleusercontent.com/d/1suBuk7ISoLszH7UKTU86W-TPpxrCOKTu" TargetMode="External"/><Relationship Id="rId664" Type="http://schemas.openxmlformats.org/officeDocument/2006/relationships/hyperlink" Target="https://drive.google.com/file/d/18TeaPDUzrLKO9E8-5Fen7ULACEzscqOf/view?usp=drivesdk" TargetMode="External"/><Relationship Id="rId1495" Type="http://schemas.openxmlformats.org/officeDocument/2006/relationships/hyperlink" Target="https://drive.google.com/file/d/1brgUtXSD4hq979ZWBVg2N8GNWx4xuqKB/view?usp=drivesdk" TargetMode="External"/><Relationship Id="rId4521" Type="http://schemas.openxmlformats.org/officeDocument/2006/relationships/hyperlink" Target="https://drive.google.com/file/d/1xyrkelchbpPGOWgvEnvArtbpWgt9K-Z7/view?usp=drivesdk" TargetMode="External"/><Relationship Id="rId5853" Type="http://schemas.openxmlformats.org/officeDocument/2006/relationships/hyperlink" Target="https://drive.google.com/file/d/1FCYXbrCSfNXMs6BThx_-fBlxht0lTLjB/view?usp=drivesdk" TargetMode="External"/><Relationship Id="rId663" Type="http://schemas.openxmlformats.org/officeDocument/2006/relationships/hyperlink" Target="https://lh5.googleusercontent.com/d/1WnMhCHTnCACz9P02DlsFd_wfeeRBlVh1" TargetMode="External"/><Relationship Id="rId1496" Type="http://schemas.openxmlformats.org/officeDocument/2006/relationships/hyperlink" Target="https://lh5.googleusercontent.com/d/188OZLEQ1eiRs2dIDK1Em7HsjihHgfrwB" TargetMode="External"/><Relationship Id="rId4520" Type="http://schemas.openxmlformats.org/officeDocument/2006/relationships/hyperlink" Target="https://lh5.googleusercontent.com/d/1H-sOoUD1dIJzGlLTb9SBfmrcOzDYEasv" TargetMode="External"/><Relationship Id="rId5854" Type="http://schemas.openxmlformats.org/officeDocument/2006/relationships/hyperlink" Target="https://lh5.googleusercontent.com/d/1i6DTA_cdJR67VIg5wDWlbLORCKDRGENS" TargetMode="External"/><Relationship Id="rId662" Type="http://schemas.openxmlformats.org/officeDocument/2006/relationships/hyperlink" Target="https://drive.google.com/file/d/1B0HFbLL8gPB4nlyoOhN3CsSKMkW1E3dS/view?usp=drivesdk" TargetMode="External"/><Relationship Id="rId1497" Type="http://schemas.openxmlformats.org/officeDocument/2006/relationships/hyperlink" Target="https://drive.google.com/file/d/1-CeRMAO2t8gtg7J0a7Coo951aCRHX1cL/view?usp=drivesdk" TargetMode="External"/><Relationship Id="rId4523" Type="http://schemas.openxmlformats.org/officeDocument/2006/relationships/hyperlink" Target="https://drive.google.com/file/d/1kmfomQ9cMBEukNTKHRM9B69PFulvcUQw/view?usp=drivesdk" TargetMode="External"/><Relationship Id="rId5851" Type="http://schemas.openxmlformats.org/officeDocument/2006/relationships/hyperlink" Target="https://drive.google.com/file/d/1UF34_iPdY9blDEvBzSbJtZgvwW4UaAM5/view?usp=drivesdk" TargetMode="External"/><Relationship Id="rId661" Type="http://schemas.openxmlformats.org/officeDocument/2006/relationships/hyperlink" Target="https://lh5.googleusercontent.com/d/12sVq_uU0ThbrDizaWzULHG3ZskfoGSWT" TargetMode="External"/><Relationship Id="rId1498" Type="http://schemas.openxmlformats.org/officeDocument/2006/relationships/hyperlink" Target="https://lh5.googleusercontent.com/d/1U1XRitG4lz38GnjEUApN_hz0pW6wlu9R" TargetMode="External"/><Relationship Id="rId4522" Type="http://schemas.openxmlformats.org/officeDocument/2006/relationships/hyperlink" Target="https://lh5.googleusercontent.com/d/1ACGoi6NjLjtf9zhQnaf7EQPmjSwgidiU" TargetMode="External"/><Relationship Id="rId5852" Type="http://schemas.openxmlformats.org/officeDocument/2006/relationships/hyperlink" Target="https://lh5.googleusercontent.com/d/1ZBhwNkp0iwwvedvNkiJw6hmi5_WpmPIw" TargetMode="External"/><Relationship Id="rId1488" Type="http://schemas.openxmlformats.org/officeDocument/2006/relationships/hyperlink" Target="https://lh5.googleusercontent.com/d/1pz0AvfocOcjntSMXaQASSPgdI0Fkvm6D" TargetMode="External"/><Relationship Id="rId4514" Type="http://schemas.openxmlformats.org/officeDocument/2006/relationships/hyperlink" Target="https://lh5.googleusercontent.com/d/1Kc-YFk6Oux50SPTC-1kWFhPIruzxcVQ6" TargetMode="External"/><Relationship Id="rId5846" Type="http://schemas.openxmlformats.org/officeDocument/2006/relationships/hyperlink" Target="https://lh5.googleusercontent.com/d/1DJOPnw1oKsH-HjrIt1ghsPENcjhCOvkj" TargetMode="External"/><Relationship Id="rId1489" Type="http://schemas.openxmlformats.org/officeDocument/2006/relationships/hyperlink" Target="https://drive.google.com/file/d/1JIEQt2HyJgApXbymX5h-wPrSkhdCeZe4/view?usp=drivesdk" TargetMode="External"/><Relationship Id="rId4513" Type="http://schemas.openxmlformats.org/officeDocument/2006/relationships/hyperlink" Target="https://drive.google.com/file/d/1zIQtWyJng68FKLd9oB-22CvTeDkZ9hSg/view?usp=drivesdk" TargetMode="External"/><Relationship Id="rId5847" Type="http://schemas.openxmlformats.org/officeDocument/2006/relationships/hyperlink" Target="https://drive.google.com/file/d/1CzXHATb_RchxPUBjtbx0AWZjXgZ0HrL1/view?usp=drivesdk" TargetMode="External"/><Relationship Id="rId4516" Type="http://schemas.openxmlformats.org/officeDocument/2006/relationships/hyperlink" Target="https://lh5.googleusercontent.com/d/1ZU5H_F3sWEg8AZubC_NDsSk7hF4QlkF3" TargetMode="External"/><Relationship Id="rId5844" Type="http://schemas.openxmlformats.org/officeDocument/2006/relationships/hyperlink" Target="https://lh5.googleusercontent.com/d/1pZQrQx95K8JpaiSR9Mc7Tf799yj-7iZw" TargetMode="External"/><Relationship Id="rId4515" Type="http://schemas.openxmlformats.org/officeDocument/2006/relationships/hyperlink" Target="https://drive.google.com/file/d/19zsQAnp2sVbqzBEGKGunkTDgDB7SLISx/view?usp=drivesdk" TargetMode="External"/><Relationship Id="rId5845" Type="http://schemas.openxmlformats.org/officeDocument/2006/relationships/hyperlink" Target="https://drive.google.com/file/d/1oIpJ4JX6POr18exVlEsq_HrJ7ZUGAY8M/view?usp=drivesdk" TargetMode="External"/><Relationship Id="rId4518" Type="http://schemas.openxmlformats.org/officeDocument/2006/relationships/hyperlink" Target="https://lh5.googleusercontent.com/d/1lxyWtrjoi5Rizf7PA_ExKWWlYW4ag2ES" TargetMode="External"/><Relationship Id="rId4517" Type="http://schemas.openxmlformats.org/officeDocument/2006/relationships/hyperlink" Target="https://drive.google.com/file/d/1FTRgoQnLiro3h3OChts87THVC3AqW1a7/view?usp=drivesdk" TargetMode="External"/><Relationship Id="rId5848" Type="http://schemas.openxmlformats.org/officeDocument/2006/relationships/hyperlink" Target="https://lh5.googleusercontent.com/d/1AjE-4lu_yy8V9ATmW21qB7W-qDQ2445U" TargetMode="External"/><Relationship Id="rId4519" Type="http://schemas.openxmlformats.org/officeDocument/2006/relationships/hyperlink" Target="https://drive.google.com/file/d/1h8o8aPAH3rE5fY2GX-rbb19qiJYcs1Zr/view?usp=drivesdk" TargetMode="External"/><Relationship Id="rId5849" Type="http://schemas.openxmlformats.org/officeDocument/2006/relationships/hyperlink" Target="https://drive.google.com/file/d/1lB4C0pQTYVG01dEZCGeK_OT3xwphjg-7/view?usp=drivesdk" TargetMode="External"/><Relationship Id="rId657" Type="http://schemas.openxmlformats.org/officeDocument/2006/relationships/hyperlink" Target="https://lh5.googleusercontent.com/d/1mv2-Dpao_fzSXfNwzqPWs2a3KaoDyGxI" TargetMode="External"/><Relationship Id="rId656" Type="http://schemas.openxmlformats.org/officeDocument/2006/relationships/hyperlink" Target="https://drive.google.com/file/d/1jLPY_sL7D6yLnzsWRLmziE7RO9UkPS06/view?usp=drivesdk" TargetMode="External"/><Relationship Id="rId655" Type="http://schemas.openxmlformats.org/officeDocument/2006/relationships/hyperlink" Target="https://lh5.googleusercontent.com/d/1Z-DHSiMlj2p9R3UDt277NmpyO_rGtaQH" TargetMode="External"/><Relationship Id="rId654" Type="http://schemas.openxmlformats.org/officeDocument/2006/relationships/hyperlink" Target="https://drive.google.com/file/d/1Ad1vrpHd2z91YekxedO0XDtbfiJT6hQk/view?usp=drivesdk" TargetMode="External"/><Relationship Id="rId659" Type="http://schemas.openxmlformats.org/officeDocument/2006/relationships/hyperlink" Target="https://lh5.googleusercontent.com/d/1SxgqyUu_XmFFZYgpN4QrgQKjtmJUskqs" TargetMode="External"/><Relationship Id="rId658" Type="http://schemas.openxmlformats.org/officeDocument/2006/relationships/hyperlink" Target="https://drive.google.com/file/d/1NJKwM7hkvdm_moTdD8BYwSx80r5yTZtV/view?usp=drivesdk" TargetMode="External"/><Relationship Id="rId1480" Type="http://schemas.openxmlformats.org/officeDocument/2006/relationships/hyperlink" Target="https://lh5.googleusercontent.com/d/1-d1yOlAZaYZRSbn1sOWQgcRYqwEIzbSW" TargetMode="External"/><Relationship Id="rId1481" Type="http://schemas.openxmlformats.org/officeDocument/2006/relationships/hyperlink" Target="https://drive.google.com/file/d/1Wkpel19QOnabNbaVwLnaIzncpvIFpbN4/view?usp=drivesdk" TargetMode="External"/><Relationship Id="rId1482" Type="http://schemas.openxmlformats.org/officeDocument/2006/relationships/hyperlink" Target="https://lh5.googleusercontent.com/d/1DGvIV7JI6aFkVSthhtGJkUUqIRsIZcDq" TargetMode="External"/><Relationship Id="rId1483" Type="http://schemas.openxmlformats.org/officeDocument/2006/relationships/hyperlink" Target="https://drive.google.com/file/d/1gICk6-JzgcDUEqbq-V-AE8yUOJUXlOnt/view?usp=drivesdk" TargetMode="External"/><Relationship Id="rId653" Type="http://schemas.openxmlformats.org/officeDocument/2006/relationships/hyperlink" Target="https://lh5.googleusercontent.com/d/1ISVhnz9b-qVw4Bw-KiK6C7KOlNeIDy21" TargetMode="External"/><Relationship Id="rId1484" Type="http://schemas.openxmlformats.org/officeDocument/2006/relationships/hyperlink" Target="https://lh5.googleusercontent.com/d/1-n6wqLKFMQSq9eL02tYqrKP4k80Ey5vr" TargetMode="External"/><Relationship Id="rId4510" Type="http://schemas.openxmlformats.org/officeDocument/2006/relationships/hyperlink" Target="https://lh5.googleusercontent.com/d/1oOUSIu6KXhHmPRlrjOSDo_zEYGvRSxGT" TargetMode="External"/><Relationship Id="rId5842" Type="http://schemas.openxmlformats.org/officeDocument/2006/relationships/hyperlink" Target="https://lh5.googleusercontent.com/d/1BzBBFadqCL57He2xWzBWc7ZfKor-RhXE" TargetMode="External"/><Relationship Id="rId652" Type="http://schemas.openxmlformats.org/officeDocument/2006/relationships/hyperlink" Target="https://drive.google.com/file/d/1iKkcmHHeldIbU5Sv_JB3QGXxnBSvLjxo/view?usp=drivesdk" TargetMode="External"/><Relationship Id="rId1485" Type="http://schemas.openxmlformats.org/officeDocument/2006/relationships/hyperlink" Target="https://drive.google.com/file/d/1VD_UFXN3qTmlm23KNVLo9qUsF5xnLSDp/view?usp=drivesdk" TargetMode="External"/><Relationship Id="rId5843" Type="http://schemas.openxmlformats.org/officeDocument/2006/relationships/hyperlink" Target="https://drive.google.com/file/d/1Iuqb-OFXFpnbfjKwdvtPowgxmMdWHPEp/view?usp=drivesdk" TargetMode="External"/><Relationship Id="rId651" Type="http://schemas.openxmlformats.org/officeDocument/2006/relationships/hyperlink" Target="https://lh5.googleusercontent.com/d/1xNiipbcM52RIhc5VzhO4tbHgIhC5O3Zn" TargetMode="External"/><Relationship Id="rId1486" Type="http://schemas.openxmlformats.org/officeDocument/2006/relationships/hyperlink" Target="https://lh5.googleusercontent.com/d/1S61VYILwIpCgLwdXiD3_7yVB9pFb2K-F" TargetMode="External"/><Relationship Id="rId4512" Type="http://schemas.openxmlformats.org/officeDocument/2006/relationships/hyperlink" Target="https://lh5.googleusercontent.com/d/1Sm2j6WPc9InBjasZmz9f4lc8Hq8YOBjZ" TargetMode="External"/><Relationship Id="rId5840" Type="http://schemas.openxmlformats.org/officeDocument/2006/relationships/hyperlink" Target="https://lh5.googleusercontent.com/d/1hgO5YQJi-S--tBHvKzBDpU3jTmz0eNSp" TargetMode="External"/><Relationship Id="rId650" Type="http://schemas.openxmlformats.org/officeDocument/2006/relationships/hyperlink" Target="https://drive.google.com/file/d/1sIo0-3CJiwQ0m2YyjBboDB1HFDE7YKXn/view?usp=drivesdk" TargetMode="External"/><Relationship Id="rId1487" Type="http://schemas.openxmlformats.org/officeDocument/2006/relationships/hyperlink" Target="https://drive.google.com/file/d/1eulX_IDeQtAerSqS7CXdTo0aklNp5e6j/view?usp=drivesdk" TargetMode="External"/><Relationship Id="rId4511" Type="http://schemas.openxmlformats.org/officeDocument/2006/relationships/hyperlink" Target="https://drive.google.com/file/d/1s-s2rjKB3C4YRJ8wKb1knDhZOk8UaNqO/view?usp=drivesdk" TargetMode="External"/><Relationship Id="rId5841" Type="http://schemas.openxmlformats.org/officeDocument/2006/relationships/hyperlink" Target="https://drive.google.com/file/d/1if6XP-w4G0-9EJK4sNWeIAvfuqUQAWz8/view?usp=drivesdk" TargetMode="External"/><Relationship Id="rId3216" Type="http://schemas.openxmlformats.org/officeDocument/2006/relationships/hyperlink" Target="https://drive.google.com/file/d/1nlb3ln-V7Mhgs6NqyFAcCUKF9PJ51npE/view?usp=drivesdk" TargetMode="External"/><Relationship Id="rId4547" Type="http://schemas.openxmlformats.org/officeDocument/2006/relationships/hyperlink" Target="https://drive.google.com/file/d/1OzaFhMaSxQsyayghdPmce1CHrbYlAqMU/view?usp=drivesdk" TargetMode="External"/><Relationship Id="rId5879" Type="http://schemas.openxmlformats.org/officeDocument/2006/relationships/hyperlink" Target="https://drive.google.com/file/d/1tdaRDJ3zbE6Z1QD2jU5MjeLMIV26nJRT/view?usp=drivesdk" TargetMode="External"/><Relationship Id="rId3215" Type="http://schemas.openxmlformats.org/officeDocument/2006/relationships/hyperlink" Target="https://lh5.googleusercontent.com/d/1jBAZiVP7RP8ISbwF-oZq_1h-rZt6pSbV" TargetMode="External"/><Relationship Id="rId4546" Type="http://schemas.openxmlformats.org/officeDocument/2006/relationships/hyperlink" Target="https://lh5.googleusercontent.com/d/1eybGdKN7tdH13ylDj_VdxfYfKohGXEm8" TargetMode="External"/><Relationship Id="rId3218" Type="http://schemas.openxmlformats.org/officeDocument/2006/relationships/hyperlink" Target="https://drive.google.com/file/d/1V3eO471SRLWQMhudyrrXvRBqqiLsdqQj/view?usp=drivesdk" TargetMode="External"/><Relationship Id="rId4549" Type="http://schemas.openxmlformats.org/officeDocument/2006/relationships/hyperlink" Target="https://drive.google.com/file/d/1G-DD9Aq6IdgquF7UQt2Y-DojfEZfAB_e/view?usp=drivesdk" TargetMode="External"/><Relationship Id="rId5877" Type="http://schemas.openxmlformats.org/officeDocument/2006/relationships/hyperlink" Target="https://drive.google.com/file/d/1SUZfNoL9o_PQdQIipFXmwixvuNrH_sL6/view?usp=drivesdk" TargetMode="External"/><Relationship Id="rId3217" Type="http://schemas.openxmlformats.org/officeDocument/2006/relationships/hyperlink" Target="https://lh5.googleusercontent.com/d/1XHd9KHFHcxH8WF_gyeTcY-UZU-rsbKNm" TargetMode="External"/><Relationship Id="rId4548" Type="http://schemas.openxmlformats.org/officeDocument/2006/relationships/hyperlink" Target="https://lh5.googleusercontent.com/d/1jshFB2u0y2so_QdS8YCtx6ysdrLl0fN7" TargetMode="External"/><Relationship Id="rId5878" Type="http://schemas.openxmlformats.org/officeDocument/2006/relationships/hyperlink" Target="https://lh5.googleusercontent.com/d/1ZkGP8k8_xLQiQfTXoQgd6fUSLEvleJ8e" TargetMode="External"/><Relationship Id="rId3219" Type="http://schemas.openxmlformats.org/officeDocument/2006/relationships/hyperlink" Target="https://lh5.googleusercontent.com/d/1kIRy3YJRUw2flJ8hq90gKaukfxsFFzl3" TargetMode="External"/><Relationship Id="rId689" Type="http://schemas.openxmlformats.org/officeDocument/2006/relationships/hyperlink" Target="https://lh5.googleusercontent.com/d/18L-i0s0N4Vmg--9OBn4JhQlblw7c-Fid" TargetMode="External"/><Relationship Id="rId688" Type="http://schemas.openxmlformats.org/officeDocument/2006/relationships/hyperlink" Target="https://drive.google.com/file/d/1oBSIU4mTg3ADgqHM8315lg4p6yWDTiC_/view?usp=drivesdk" TargetMode="External"/><Relationship Id="rId687" Type="http://schemas.openxmlformats.org/officeDocument/2006/relationships/hyperlink" Target="https://lh5.googleusercontent.com/d/19wrZaf4jTH7cohF8My29od2kyljV5Vx5" TargetMode="External"/><Relationship Id="rId682" Type="http://schemas.openxmlformats.org/officeDocument/2006/relationships/hyperlink" Target="https://drive.google.com/file/d/1Jne6UCSp5il6enuK0JW7gejzeOfMIrUL/view?usp=drivesdk" TargetMode="External"/><Relationship Id="rId5871" Type="http://schemas.openxmlformats.org/officeDocument/2006/relationships/hyperlink" Target="https://drive.google.com/file/d/1HSz2pp4RiwQ3So3iFANHY0vbaMZJ2OOH/view?usp=drivesdk" TargetMode="External"/><Relationship Id="rId681" Type="http://schemas.openxmlformats.org/officeDocument/2006/relationships/hyperlink" Target="https://lh5.googleusercontent.com/d/1E9X1P0aU-4Z_egKlLMQxHecgS4ZrF1HA" TargetMode="External"/><Relationship Id="rId5872" Type="http://schemas.openxmlformats.org/officeDocument/2006/relationships/hyperlink" Target="https://lh5.googleusercontent.com/d/1PqvOgzCvTaOa9XAUvNjaoQUGlSsMb0iI" TargetMode="External"/><Relationship Id="rId680" Type="http://schemas.openxmlformats.org/officeDocument/2006/relationships/hyperlink" Target="https://drive.google.com/file/d/12TEWEwk-gwVVmssLZMI4TEMag0AtWv74/view?usp=drivesdk" TargetMode="External"/><Relationship Id="rId3210" Type="http://schemas.openxmlformats.org/officeDocument/2006/relationships/hyperlink" Target="https://drive.google.com/file/d/1p7Vojk9bErXzw_v6j8ArS5QEriZ71Uka/view?usp=drivesdk" TargetMode="External"/><Relationship Id="rId4541" Type="http://schemas.openxmlformats.org/officeDocument/2006/relationships/hyperlink" Target="https://drive.google.com/file/d/1cuQy_TkcFrLGTDhBe4fRBMEu8ZtmgqMZ/view?usp=drivesdk" TargetMode="External"/><Relationship Id="rId4540" Type="http://schemas.openxmlformats.org/officeDocument/2006/relationships/hyperlink" Target="https://lh5.googleusercontent.com/d/13nVARBII_AsN-Su6UEkQncFbIzqqo2lw" TargetMode="External"/><Relationship Id="rId5870" Type="http://schemas.openxmlformats.org/officeDocument/2006/relationships/hyperlink" Target="https://lh5.googleusercontent.com/d/1TIUX4IMh8v1mSDcz-xvBxgDi6ZVu4z3G" TargetMode="External"/><Relationship Id="rId686" Type="http://schemas.openxmlformats.org/officeDocument/2006/relationships/hyperlink" Target="https://drive.google.com/file/d/1bQ-28KzIy3BRdCghgbUfr9Kz4Oel2PhY/view?usp=drivesdk" TargetMode="External"/><Relationship Id="rId3212" Type="http://schemas.openxmlformats.org/officeDocument/2006/relationships/hyperlink" Target="https://drive.google.com/file/d/1g41mcEtokHrost024OnRxmUPVitIjvdK/view?usp=drivesdk" TargetMode="External"/><Relationship Id="rId4543" Type="http://schemas.openxmlformats.org/officeDocument/2006/relationships/hyperlink" Target="https://drive.google.com/file/d/1dCoBiUHJGm2wsmeUoHOpit4I7wUCqUAZ/view?usp=drivesdk" TargetMode="External"/><Relationship Id="rId5875" Type="http://schemas.openxmlformats.org/officeDocument/2006/relationships/hyperlink" Target="https://drive.google.com/file/d/1vNUs4kTure2yB3wPF1fcTwopimkR2rsK/view?usp=drivesdk" TargetMode="External"/><Relationship Id="rId685" Type="http://schemas.openxmlformats.org/officeDocument/2006/relationships/hyperlink" Target="https://lh5.googleusercontent.com/d/1lX0xz5H0XsoYHr-M5kaOeq6Uokd-B6E7" TargetMode="External"/><Relationship Id="rId3211" Type="http://schemas.openxmlformats.org/officeDocument/2006/relationships/hyperlink" Target="https://lh5.googleusercontent.com/d/1aRzuIyqHGfaSpaaFeBvPU_DDWOMZZDVh" TargetMode="External"/><Relationship Id="rId4542" Type="http://schemas.openxmlformats.org/officeDocument/2006/relationships/hyperlink" Target="https://lh5.googleusercontent.com/d/1T6mLw26lp0Sel2Bm8GvZtLKtmie5QpAy" TargetMode="External"/><Relationship Id="rId5876" Type="http://schemas.openxmlformats.org/officeDocument/2006/relationships/hyperlink" Target="https://lh5.googleusercontent.com/d/1v0gG25ZpvnX1QgQTQtLH0PHu1dA6ShFA" TargetMode="External"/><Relationship Id="rId684" Type="http://schemas.openxmlformats.org/officeDocument/2006/relationships/hyperlink" Target="https://drive.google.com/file/d/1R0Kww1D2rifJMNnQIb8qhkX3Ecf1sUOA/view?usp=drivesdk" TargetMode="External"/><Relationship Id="rId3214" Type="http://schemas.openxmlformats.org/officeDocument/2006/relationships/hyperlink" Target="https://drive.google.com/file/d/15HyMkD0ESgFFHwumL681w-4nUCO6gPvo/view?usp=drivesdk" TargetMode="External"/><Relationship Id="rId4545" Type="http://schemas.openxmlformats.org/officeDocument/2006/relationships/hyperlink" Target="https://drive.google.com/file/d/1KRlrvB8vAo6DHfSdwAOG6xWhNiXR6cyZ/view?usp=drivesdk" TargetMode="External"/><Relationship Id="rId5873" Type="http://schemas.openxmlformats.org/officeDocument/2006/relationships/hyperlink" Target="https://drive.google.com/file/d/1g3xlZeCAMhlKEBd1_cYreOKrGeTslmjE/view?usp=drivesdk" TargetMode="External"/><Relationship Id="rId683" Type="http://schemas.openxmlformats.org/officeDocument/2006/relationships/hyperlink" Target="https://lh5.googleusercontent.com/d/1EWnfSRUOLKR4y6hTO_fNbhDKMZM1VHXc" TargetMode="External"/><Relationship Id="rId3213" Type="http://schemas.openxmlformats.org/officeDocument/2006/relationships/hyperlink" Target="https://lh5.googleusercontent.com/d/1bO-94WBLF-mryGR6BgzdDUR1LE8WIMsS" TargetMode="External"/><Relationship Id="rId4544" Type="http://schemas.openxmlformats.org/officeDocument/2006/relationships/hyperlink" Target="https://lh5.googleusercontent.com/d/1OlPAn8XzPDEBDRSP2Z3Raw6OxTvUxBCA" TargetMode="External"/><Relationship Id="rId5874" Type="http://schemas.openxmlformats.org/officeDocument/2006/relationships/hyperlink" Target="https://lh5.googleusercontent.com/d/1OQGo1BlsCE0QOQZ80i8lJUlRnX3xG4FR" TargetMode="External"/><Relationship Id="rId3205" Type="http://schemas.openxmlformats.org/officeDocument/2006/relationships/hyperlink" Target="https://lh5.googleusercontent.com/d/1L6iJomgrzndQs5oBRo2s9cU-oendoLHK" TargetMode="External"/><Relationship Id="rId4536" Type="http://schemas.openxmlformats.org/officeDocument/2006/relationships/hyperlink" Target="https://lh5.googleusercontent.com/d/1UzoVz7qAY4bgGty1S_3vgOnwO_vYUtlg" TargetMode="External"/><Relationship Id="rId5868" Type="http://schemas.openxmlformats.org/officeDocument/2006/relationships/hyperlink" Target="https://lh5.googleusercontent.com/d/1spODMp3cN-f2N4MbzxVs4r_rzAWO9TLi" TargetMode="External"/><Relationship Id="rId3204" Type="http://schemas.openxmlformats.org/officeDocument/2006/relationships/hyperlink" Target="https://drive.google.com/file/d/1SSEnTWzp9nvX7fUCsfSP1OfGiVLpeHT_/view?usp=drivesdk" TargetMode="External"/><Relationship Id="rId4535" Type="http://schemas.openxmlformats.org/officeDocument/2006/relationships/hyperlink" Target="https://drive.google.com/file/d/1y3zgSi9oNu5swbg6b8TxM9nzoOGPPyL6/view?usp=drivesdk" TargetMode="External"/><Relationship Id="rId5869" Type="http://schemas.openxmlformats.org/officeDocument/2006/relationships/hyperlink" Target="https://drive.google.com/file/d/1--p3fa_im5JBfmq5Ix8X1xlMsJa0iG8T/view?usp=drivesdk" TargetMode="External"/><Relationship Id="rId3207" Type="http://schemas.openxmlformats.org/officeDocument/2006/relationships/hyperlink" Target="https://lh5.googleusercontent.com/d/1Ie5cVOX98GTO1rgxv9yk9NYivVKVEDXe" TargetMode="External"/><Relationship Id="rId4538" Type="http://schemas.openxmlformats.org/officeDocument/2006/relationships/hyperlink" Target="https://lh5.googleusercontent.com/d/1BDPOzCkNptJ5qzpn_HaAmbVdOwtXtvnH" TargetMode="External"/><Relationship Id="rId5866" Type="http://schemas.openxmlformats.org/officeDocument/2006/relationships/hyperlink" Target="https://lh5.googleusercontent.com/d/1qXIK7sZI4EOPmBqe2Ke9eJVJ0ihhwtaD" TargetMode="External"/><Relationship Id="rId3206" Type="http://schemas.openxmlformats.org/officeDocument/2006/relationships/hyperlink" Target="https://drive.google.com/file/d/1KXhXO88ocRSGclLl6IfydLyV946HtPQV/view?usp=drivesdk" TargetMode="External"/><Relationship Id="rId4537" Type="http://schemas.openxmlformats.org/officeDocument/2006/relationships/hyperlink" Target="https://drive.google.com/file/d/184ELnONszXkqf6t9qG8DvWZOeznzZ_rk/view?usp=drivesdk" TargetMode="External"/><Relationship Id="rId5867" Type="http://schemas.openxmlformats.org/officeDocument/2006/relationships/hyperlink" Target="https://drive.google.com/file/d/1JGYSM4qM60qpEy-vkTLxp-ZZzYW4CLBc/view?usp=drivesdk" TargetMode="External"/><Relationship Id="rId3209" Type="http://schemas.openxmlformats.org/officeDocument/2006/relationships/hyperlink" Target="https://lh5.googleusercontent.com/d/1RoLmhOrBEMDn5d2RT1mWDjysyh6DmlJh" TargetMode="External"/><Relationship Id="rId3208" Type="http://schemas.openxmlformats.org/officeDocument/2006/relationships/hyperlink" Target="https://drive.google.com/file/d/1qKRY5KfqJiXDZ71T9WX2NvQ-8O6A7OXR/view?usp=drivesdk" TargetMode="External"/><Relationship Id="rId4539" Type="http://schemas.openxmlformats.org/officeDocument/2006/relationships/hyperlink" Target="https://drive.google.com/file/d/1pUqKCPg4O-nttsGZysprRsb6OWUBbnIM/view?usp=drivesdk" TargetMode="External"/><Relationship Id="rId679" Type="http://schemas.openxmlformats.org/officeDocument/2006/relationships/hyperlink" Target="https://lh5.googleusercontent.com/d/1vYVcf3Jsi8UHxYbdlo5qrw4CJzN-5jjk" TargetMode="External"/><Relationship Id="rId678" Type="http://schemas.openxmlformats.org/officeDocument/2006/relationships/hyperlink" Target="https://drive.google.com/file/d/1KZr6FmTiE3Y-uAEF_Wure87jza6yUOBP/view?usp=drivesdk" TargetMode="External"/><Relationship Id="rId677" Type="http://schemas.openxmlformats.org/officeDocument/2006/relationships/hyperlink" Target="https://lh5.googleusercontent.com/d/16Y7MKOx59eKq40gCSrmRzRunEJL_-rS8" TargetMode="External"/><Relationship Id="rId676" Type="http://schemas.openxmlformats.org/officeDocument/2006/relationships/hyperlink" Target="https://drive.google.com/file/d/1cahhGNB5lZ-wNU9y-ihpqWDgRKbH2kBm/view?usp=drivesdk" TargetMode="External"/><Relationship Id="rId671" Type="http://schemas.openxmlformats.org/officeDocument/2006/relationships/hyperlink" Target="https://lh5.googleusercontent.com/d/1dEzdrFA4LNJJpZpLUCy7tMqZXcDBxJ8u" TargetMode="External"/><Relationship Id="rId5860" Type="http://schemas.openxmlformats.org/officeDocument/2006/relationships/hyperlink" Target="https://lh5.googleusercontent.com/d/1PiEbplqt0SfPQlR7AzJvi3dEy2FoWyZU" TargetMode="External"/><Relationship Id="rId670" Type="http://schemas.openxmlformats.org/officeDocument/2006/relationships/hyperlink" Target="https://drive.google.com/file/d/10YtsA_h_sDf216MfbWRIxhm8MH3MgxED/view?usp=drivesdk" TargetMode="External"/><Relationship Id="rId5861" Type="http://schemas.openxmlformats.org/officeDocument/2006/relationships/hyperlink" Target="https://drive.google.com/file/d/1yWCQgRn36V-ntv34Syv9P79P0PvPT2tN/view?usp=drivesdk" TargetMode="External"/><Relationship Id="rId4530" Type="http://schemas.openxmlformats.org/officeDocument/2006/relationships/hyperlink" Target="https://lh5.googleusercontent.com/d/1tCjD5lQfMngC-wkW1__70vdCnozP8rXg" TargetMode="External"/><Relationship Id="rId675" Type="http://schemas.openxmlformats.org/officeDocument/2006/relationships/hyperlink" Target="https://lh5.googleusercontent.com/d/15ozbSqtAVMftHTcR0qJhTVKiFhPNdo_P" TargetMode="External"/><Relationship Id="rId3201" Type="http://schemas.openxmlformats.org/officeDocument/2006/relationships/hyperlink" Target="https://lh5.googleusercontent.com/d/1LVezP3fCiloe0E_eewXsKj9--SPIFmRU" TargetMode="External"/><Relationship Id="rId4532" Type="http://schemas.openxmlformats.org/officeDocument/2006/relationships/hyperlink" Target="https://lh5.googleusercontent.com/d/1q8T6kiJSX6MDDAtaZUbNKLajO9-oiI1Z" TargetMode="External"/><Relationship Id="rId5864" Type="http://schemas.openxmlformats.org/officeDocument/2006/relationships/hyperlink" Target="https://lh5.googleusercontent.com/d/1-Nl6NS5krvWfSFDhAhRvWzMvDLLRolBy" TargetMode="External"/><Relationship Id="rId674" Type="http://schemas.openxmlformats.org/officeDocument/2006/relationships/hyperlink" Target="https://drive.google.com/file/d/1QrjiYmELmYlLJvlQoQPKvh-yiK6S8GSS/view?usp=drivesdk" TargetMode="External"/><Relationship Id="rId3200" Type="http://schemas.openxmlformats.org/officeDocument/2006/relationships/hyperlink" Target="https://drive.google.com/file/d/1NG7CtuSkutnXFr2CYyTXVxL3hR1zI4Px/view?usp=drivesdk" TargetMode="External"/><Relationship Id="rId4531" Type="http://schemas.openxmlformats.org/officeDocument/2006/relationships/hyperlink" Target="https://drive.google.com/file/d/1fjrpeSpp6Or5-E8o-NO3FCwWmYXeR4i8/view?usp=drivesdk" TargetMode="External"/><Relationship Id="rId5865" Type="http://schemas.openxmlformats.org/officeDocument/2006/relationships/hyperlink" Target="https://drive.google.com/file/d/1dSWtlBh3VWJASTpCcBUMbIJI2L1N5x7L/view?usp=drivesdk" TargetMode="External"/><Relationship Id="rId673" Type="http://schemas.openxmlformats.org/officeDocument/2006/relationships/hyperlink" Target="https://lh5.googleusercontent.com/d/1adXtDlMchO1knw96_E1Co-dZD5TWTdlC" TargetMode="External"/><Relationship Id="rId3203" Type="http://schemas.openxmlformats.org/officeDocument/2006/relationships/hyperlink" Target="https://lh5.googleusercontent.com/d/1znNBH4Xu5NV1M_nXK_T63xcLBZ4e-ZpI" TargetMode="External"/><Relationship Id="rId4534" Type="http://schemas.openxmlformats.org/officeDocument/2006/relationships/hyperlink" Target="https://lh5.googleusercontent.com/d/1VWRp3Wuja-aEeeBDhvFm6SYJo8CFPKQO" TargetMode="External"/><Relationship Id="rId5862" Type="http://schemas.openxmlformats.org/officeDocument/2006/relationships/hyperlink" Target="https://lh5.googleusercontent.com/d/1v5YrQsSgzm3rvjf7PRo2HoR99Ui-cq1d" TargetMode="External"/><Relationship Id="rId672" Type="http://schemas.openxmlformats.org/officeDocument/2006/relationships/hyperlink" Target="https://drive.google.com/file/d/1idQDkvrVZUlvwS4Hq3pt2eri38PQAz1U/view?usp=drivesdk" TargetMode="External"/><Relationship Id="rId3202" Type="http://schemas.openxmlformats.org/officeDocument/2006/relationships/hyperlink" Target="https://drive.google.com/file/d/1_VpnV1i2OjhCwAWTzxOOK81YP7SwSmFN/view?usp=drivesdk" TargetMode="External"/><Relationship Id="rId4533" Type="http://schemas.openxmlformats.org/officeDocument/2006/relationships/hyperlink" Target="https://drive.google.com/file/d/1bOG5ljftlvBsCbPhJ0OAH4mrztxl0BSq/view?usp=drivesdk" TargetMode="External"/><Relationship Id="rId5863" Type="http://schemas.openxmlformats.org/officeDocument/2006/relationships/hyperlink" Target="https://drive.google.com/file/d/18BvPBU2S4_ah_IKI8zldrlGPSTtu_0y4/view?usp=drivesdk" TargetMode="External"/><Relationship Id="rId190" Type="http://schemas.openxmlformats.org/officeDocument/2006/relationships/hyperlink" Target="https://lh5.googleusercontent.com/d/1_z9S5kepj8ioXZpvU-4d544Murtl3FZa" TargetMode="External"/><Relationship Id="rId5019" Type="http://schemas.openxmlformats.org/officeDocument/2006/relationships/hyperlink" Target="https://drive.google.com/file/d/1c37wplleiLIn2hyC4zMpRweh0K8TZm7s/view?usp=drivesdk" TargetMode="External"/><Relationship Id="rId194" Type="http://schemas.openxmlformats.org/officeDocument/2006/relationships/hyperlink" Target="https://lh5.googleusercontent.com/d/1336tW5bmzwYzxNNvMP4lwVheU8n91fEJ" TargetMode="External"/><Relationship Id="rId193" Type="http://schemas.openxmlformats.org/officeDocument/2006/relationships/hyperlink" Target="https://drive.google.com/file/d/1XEURbV189ZEnLbjheR1dfgofOtlOw6xH/view?usp=drivesdk" TargetMode="External"/><Relationship Id="rId192" Type="http://schemas.openxmlformats.org/officeDocument/2006/relationships/hyperlink" Target="https://lh5.googleusercontent.com/d/1RvbJpn6e3wdSf---WTqJLPRFNG4Co_wO" TargetMode="External"/><Relationship Id="rId191" Type="http://schemas.openxmlformats.org/officeDocument/2006/relationships/hyperlink" Target="https://drive.google.com/file/d/1f-L8ACPVOqRG64LYgnjD1ntDDzPWT0kO/view?usp=drivesdk" TargetMode="External"/><Relationship Id="rId5010" Type="http://schemas.openxmlformats.org/officeDocument/2006/relationships/hyperlink" Target="https://lh5.googleusercontent.com/d/1OmzgqVzOrXOD9W0T3u6YbsDuuL1ztphv" TargetMode="External"/><Relationship Id="rId187" Type="http://schemas.openxmlformats.org/officeDocument/2006/relationships/hyperlink" Target="https://drive.google.com/file/d/124MIxNex8YB_gBeDxdhIOHA6dMKI-QM1/view?usp=drivesdk" TargetMode="External"/><Relationship Id="rId5013" Type="http://schemas.openxmlformats.org/officeDocument/2006/relationships/hyperlink" Target="https://drive.google.com/file/d/1zM1q7kMAg4H5DGnF4xFwADDWDauIJBF-/view?usp=drivesdk" TargetMode="External"/><Relationship Id="rId186" Type="http://schemas.openxmlformats.org/officeDocument/2006/relationships/hyperlink" Target="https://lh5.googleusercontent.com/d/1pWI9k-tGBaAHoY56QeAr99Dd9ma1nIZT" TargetMode="External"/><Relationship Id="rId5014" Type="http://schemas.openxmlformats.org/officeDocument/2006/relationships/hyperlink" Target="https://lh5.googleusercontent.com/d/1zJNVKNjalA5s3hxAN6IW3jll6lfKLhvP" TargetMode="External"/><Relationship Id="rId185" Type="http://schemas.openxmlformats.org/officeDocument/2006/relationships/hyperlink" Target="https://drive.google.com/file/d/1Pt-LUb2-vDZZUqduPJ263eZdlu1adyQ9/view?usp=drivesdk" TargetMode="External"/><Relationship Id="rId5011" Type="http://schemas.openxmlformats.org/officeDocument/2006/relationships/hyperlink" Target="https://drive.google.com/file/d/12uZfkrlmhE2iN2w3ChlNL8Hrt-XYkqwY/view?usp=drivesdk" TargetMode="External"/><Relationship Id="rId184" Type="http://schemas.openxmlformats.org/officeDocument/2006/relationships/hyperlink" Target="https://lh5.googleusercontent.com/d/11UHDqAbCDtpwP_3KgPczjR-6tmDAEw6d" TargetMode="External"/><Relationship Id="rId5012" Type="http://schemas.openxmlformats.org/officeDocument/2006/relationships/hyperlink" Target="https://lh5.googleusercontent.com/d/1vRpSwjJJ4u-p1SZMAkPSYxmC5THP1Bt-" TargetMode="External"/><Relationship Id="rId5017" Type="http://schemas.openxmlformats.org/officeDocument/2006/relationships/hyperlink" Target="https://drive.google.com/file/d/1WvXt5wyzRpEJuaVgMMNR4VolPirMpeTx/view?usp=drivesdk" TargetMode="External"/><Relationship Id="rId5018" Type="http://schemas.openxmlformats.org/officeDocument/2006/relationships/hyperlink" Target="https://lh5.googleusercontent.com/d/1-QsHD5ELbC3lNFWLn0jIxoiPfM2_rHbz" TargetMode="External"/><Relationship Id="rId189" Type="http://schemas.openxmlformats.org/officeDocument/2006/relationships/hyperlink" Target="https://drive.google.com/file/d/1DWPC_JE4fmj_3B77TC_tfpxiNIyNm_Il/view?usp=drivesdk" TargetMode="External"/><Relationship Id="rId5015" Type="http://schemas.openxmlformats.org/officeDocument/2006/relationships/hyperlink" Target="https://drive.google.com/file/d/1otNXHlmmdvobdgof5QuA573SrJdKEF-E/view?usp=drivesdk" TargetMode="External"/><Relationship Id="rId188" Type="http://schemas.openxmlformats.org/officeDocument/2006/relationships/hyperlink" Target="https://lh5.googleusercontent.com/d/1vFhUvSj7Aj3k7OdjRZu2Sh5sc6uIiUqc" TargetMode="External"/><Relationship Id="rId5016" Type="http://schemas.openxmlformats.org/officeDocument/2006/relationships/hyperlink" Target="https://lh5.googleusercontent.com/d/1x3qrgaqe6MedA8KDI2SrxqR2rjbj0E8J" TargetMode="External"/><Relationship Id="rId5008" Type="http://schemas.openxmlformats.org/officeDocument/2006/relationships/hyperlink" Target="https://lh5.googleusercontent.com/d/1_xFdY2dpYERQCe6xpNC2h6ppzB0FwDmd" TargetMode="External"/><Relationship Id="rId5009" Type="http://schemas.openxmlformats.org/officeDocument/2006/relationships/hyperlink" Target="https://drive.google.com/file/d/1ptAZJKWr8eVQbNIbdgrfOC8x3Ll_RH9B/view?usp=drivesdk" TargetMode="External"/><Relationship Id="rId183" Type="http://schemas.openxmlformats.org/officeDocument/2006/relationships/hyperlink" Target="https://drive.google.com/file/d/1Xizpk_W4wPPelKoC4Uf9Jzdo_VYktjNj/view?usp=drivesdk" TargetMode="External"/><Relationship Id="rId182" Type="http://schemas.openxmlformats.org/officeDocument/2006/relationships/hyperlink" Target="https://lh5.googleusercontent.com/d/1zUKi9FtERLpuSNwIJmGP5qdwLI8tFADn" TargetMode="External"/><Relationship Id="rId181" Type="http://schemas.openxmlformats.org/officeDocument/2006/relationships/hyperlink" Target="https://drive.google.com/file/d/1P5owHvtg1OzClq1lYRpja1py4xfYbmE5/view?usp=drivesdk" TargetMode="External"/><Relationship Id="rId180" Type="http://schemas.openxmlformats.org/officeDocument/2006/relationships/hyperlink" Target="https://lh5.googleusercontent.com/d/1jxKO4M_8Ms80cwimnyLYCXSM7Cd5yv_2" TargetMode="External"/><Relationship Id="rId176" Type="http://schemas.openxmlformats.org/officeDocument/2006/relationships/hyperlink" Target="https://lh5.googleusercontent.com/d/1Y3sF8ukzHgtEnN33EPcdnIpp43WKGoHK" TargetMode="External"/><Relationship Id="rId5002" Type="http://schemas.openxmlformats.org/officeDocument/2006/relationships/hyperlink" Target="https://lh5.googleusercontent.com/d/1OFHtlUBDwTbfKhIrIMH8AT66XFROOtVb" TargetMode="External"/><Relationship Id="rId175" Type="http://schemas.openxmlformats.org/officeDocument/2006/relationships/hyperlink" Target="https://drive.google.com/file/d/1LxVDJIG7Us07hTqa4GW8NC-2g-Adz44c/view?usp=drivesdk" TargetMode="External"/><Relationship Id="rId5003" Type="http://schemas.openxmlformats.org/officeDocument/2006/relationships/hyperlink" Target="https://drive.google.com/file/d/1cT4__lK9DlE9chbmiSpX0naM370grZYU/view?usp=drivesdk" TargetMode="External"/><Relationship Id="rId174" Type="http://schemas.openxmlformats.org/officeDocument/2006/relationships/hyperlink" Target="https://lh5.googleusercontent.com/d/1Q3f3aAhe6K0uG1NQ00DdxBqDddImTYNZ" TargetMode="External"/><Relationship Id="rId5000" Type="http://schemas.openxmlformats.org/officeDocument/2006/relationships/hyperlink" Target="https://lh5.googleusercontent.com/d/1-AOy5i6wzQC7oLIIjipGjgn0bYbYSOHD" TargetMode="External"/><Relationship Id="rId173" Type="http://schemas.openxmlformats.org/officeDocument/2006/relationships/hyperlink" Target="https://drive.google.com/file/d/16LOnIQKj_9YzvOonv_zNi5s4g9cbJLHI/view?usp=drivesdk" TargetMode="External"/><Relationship Id="rId5001" Type="http://schemas.openxmlformats.org/officeDocument/2006/relationships/hyperlink" Target="https://drive.google.com/file/d/1qptDKU0zjKLStO2YcyJFpXHKOBGvC7g6/view?usp=drivesdk" TargetMode="External"/><Relationship Id="rId5006" Type="http://schemas.openxmlformats.org/officeDocument/2006/relationships/hyperlink" Target="https://lh5.googleusercontent.com/d/1mwBrYqmOdYOn98e04OZcmrnCDgVF9j2y" TargetMode="External"/><Relationship Id="rId179" Type="http://schemas.openxmlformats.org/officeDocument/2006/relationships/hyperlink" Target="https://drive.google.com/file/d/10UlmbKAU7D19shN0UaKPRHmV-8FdL3H0/view?usp=drivesdk" TargetMode="External"/><Relationship Id="rId5007" Type="http://schemas.openxmlformats.org/officeDocument/2006/relationships/hyperlink" Target="https://drive.google.com/file/d/1w-dP2KU2HdDE3dJuNCQCTX2XIyz8cJBx/view?usp=drivesdk" TargetMode="External"/><Relationship Id="rId178" Type="http://schemas.openxmlformats.org/officeDocument/2006/relationships/hyperlink" Target="https://lh5.googleusercontent.com/d/1_6Bjxgc4hL7jt53-UUGGFbdYDsk6Q21d" TargetMode="External"/><Relationship Id="rId5004" Type="http://schemas.openxmlformats.org/officeDocument/2006/relationships/hyperlink" Target="https://lh5.googleusercontent.com/d/1KHnUhcM3EKUT_uZVDp6PbPRgkDWsztF7" TargetMode="External"/><Relationship Id="rId177" Type="http://schemas.openxmlformats.org/officeDocument/2006/relationships/hyperlink" Target="https://drive.google.com/file/d/1Zx0QXHk_b7nqt2NwHTeRE27RIf4nF3DX/view?usp=drivesdk" TargetMode="External"/><Relationship Id="rId5005" Type="http://schemas.openxmlformats.org/officeDocument/2006/relationships/hyperlink" Target="https://drive.google.com/file/d/1CUxtZAFsFJNP5u3OkEqAfSuZDtTFQDrt/view?usp=drivesdk" TargetMode="External"/><Relationship Id="rId5031" Type="http://schemas.openxmlformats.org/officeDocument/2006/relationships/hyperlink" Target="https://drive.google.com/file/d/1rdr5GGfZAObLLQv7dd54G4qjc4ntLc8e/view?usp=drivesdk" TargetMode="External"/><Relationship Id="rId5032" Type="http://schemas.openxmlformats.org/officeDocument/2006/relationships/hyperlink" Target="https://lh5.googleusercontent.com/d/1tzMrEl5lMgj3vGL0_dcCCtwUX2SGTMAR" TargetMode="External"/><Relationship Id="rId5030" Type="http://schemas.openxmlformats.org/officeDocument/2006/relationships/hyperlink" Target="https://lh5.googleusercontent.com/d/108A1m5IGhuT2dpC45vn5y6X-a8EfM6XE" TargetMode="External"/><Relationship Id="rId5035" Type="http://schemas.openxmlformats.org/officeDocument/2006/relationships/hyperlink" Target="https://drive.google.com/file/d/142i97gue-QmXVPKSAleN1XoW6z4yEejg/view?usp=drivesdk" TargetMode="External"/><Relationship Id="rId5036" Type="http://schemas.openxmlformats.org/officeDocument/2006/relationships/hyperlink" Target="https://lh5.googleusercontent.com/d/14oQuioOQs97g8T-jHiuFGnZzOwFTHjSH" TargetMode="External"/><Relationship Id="rId5033" Type="http://schemas.openxmlformats.org/officeDocument/2006/relationships/hyperlink" Target="https://drive.google.com/file/d/1RbtO1coKducgmt2aeR5a86DsMUv39Tvz/view?usp=drivesdk" TargetMode="External"/><Relationship Id="rId5034" Type="http://schemas.openxmlformats.org/officeDocument/2006/relationships/hyperlink" Target="https://lh5.googleusercontent.com/d/1aYgJ1pQQGzIfpAUXFPElc5kK4E2mM3CL" TargetMode="External"/><Relationship Id="rId5039" Type="http://schemas.openxmlformats.org/officeDocument/2006/relationships/hyperlink" Target="https://drive.google.com/file/d/1ln630FjaM-ONO2FLDdgV69JyAav4MIrZ/view?usp=drivesdk" TargetMode="External"/><Relationship Id="rId5037" Type="http://schemas.openxmlformats.org/officeDocument/2006/relationships/hyperlink" Target="https://drive.google.com/file/d/14gE_u-v8t00gJtfQbb4V53OEHJLBPKmP/view?usp=drivesdk" TargetMode="External"/><Relationship Id="rId5038" Type="http://schemas.openxmlformats.org/officeDocument/2006/relationships/hyperlink" Target="https://lh5.googleusercontent.com/d/1O-zefqSBijKT8cgBnBc3TpcYD4_cE1tI" TargetMode="External"/><Relationship Id="rId5020" Type="http://schemas.openxmlformats.org/officeDocument/2006/relationships/hyperlink" Target="https://lh5.googleusercontent.com/d/12iUmjgvKNkAHFmORsoyA0sx6ka3-mUTJ" TargetMode="External"/><Relationship Id="rId5021" Type="http://schemas.openxmlformats.org/officeDocument/2006/relationships/hyperlink" Target="https://drive.google.com/file/d/1VoVOVPG-X0mS076yDSfVjwul-Win3ioR/view?usp=drivesdk" TargetMode="External"/><Relationship Id="rId198" Type="http://schemas.openxmlformats.org/officeDocument/2006/relationships/hyperlink" Target="https://lh5.googleusercontent.com/d/1VHYosnsqewod1845-ypEo1Yv7DlWHFgG" TargetMode="External"/><Relationship Id="rId5024" Type="http://schemas.openxmlformats.org/officeDocument/2006/relationships/hyperlink" Target="https://lh5.googleusercontent.com/d/1zT7kNvv26ShEwh6eyfeiaJD-EZEO41wb" TargetMode="External"/><Relationship Id="rId197" Type="http://schemas.openxmlformats.org/officeDocument/2006/relationships/hyperlink" Target="https://drive.google.com/file/d/1Y1mo4XglJl5NusUAQRkrybWVaIAY2PjI/view?usp=drivesdk" TargetMode="External"/><Relationship Id="rId5025" Type="http://schemas.openxmlformats.org/officeDocument/2006/relationships/hyperlink" Target="https://drive.google.com/file/d/1hqGGky1gmOetInaVv0mwSImdKqrB_hft/view?usp=drivesdk" TargetMode="External"/><Relationship Id="rId196" Type="http://schemas.openxmlformats.org/officeDocument/2006/relationships/hyperlink" Target="https://lh5.googleusercontent.com/d/12p33K5ine2GuxqWLMuC-MNVWtueug_a7" TargetMode="External"/><Relationship Id="rId5022" Type="http://schemas.openxmlformats.org/officeDocument/2006/relationships/hyperlink" Target="https://lh5.googleusercontent.com/d/1nxInzO1HkzgJXfuTkQmwgM0RLg-ghOHB" TargetMode="External"/><Relationship Id="rId195" Type="http://schemas.openxmlformats.org/officeDocument/2006/relationships/hyperlink" Target="https://drive.google.com/file/d/1ayfB6OsipmVdJm0bnbqY0uGj6AKVceV3/view?usp=drivesdk" TargetMode="External"/><Relationship Id="rId5023" Type="http://schemas.openxmlformats.org/officeDocument/2006/relationships/hyperlink" Target="https://drive.google.com/file/d/1ULUzhDXDXkRT3dTprfH-k-jX0JlYu_P_/view?usp=drivesdk" TargetMode="External"/><Relationship Id="rId5028" Type="http://schemas.openxmlformats.org/officeDocument/2006/relationships/hyperlink" Target="https://lh5.googleusercontent.com/d/1sMeGHeKYJ-ppy0o5dMHEtZ-323ZG0LK2" TargetMode="External"/><Relationship Id="rId5029" Type="http://schemas.openxmlformats.org/officeDocument/2006/relationships/hyperlink" Target="https://drive.google.com/file/d/1L6Qb9NnZxnRxSnwSuASzF-K1UVG8sj80/view?usp=drivesdk" TargetMode="External"/><Relationship Id="rId5026" Type="http://schemas.openxmlformats.org/officeDocument/2006/relationships/hyperlink" Target="https://lh5.googleusercontent.com/d/19R4ACCMT9nKAC2adBhTB5ML2kpXJlbUR" TargetMode="External"/><Relationship Id="rId199" Type="http://schemas.openxmlformats.org/officeDocument/2006/relationships/hyperlink" Target="https://drive.google.com/file/d/1bnysBCGV4e1xSDXT0JXQcGQ_JUhXKnVn/view?usp=drivesdk" TargetMode="External"/><Relationship Id="rId5027" Type="http://schemas.openxmlformats.org/officeDocument/2006/relationships/hyperlink" Target="https://drive.google.com/file/d/1JV5AMNh_tT9wkxHIm-LyKGKcu7lr377V/view?usp=drivesdk" TargetMode="External"/><Relationship Id="rId150" Type="http://schemas.openxmlformats.org/officeDocument/2006/relationships/hyperlink" Target="https://lh5.googleusercontent.com/d/1Ri-iHvjCYl98vtbkAC4PhfdP2E4fOwsJ" TargetMode="External"/><Relationship Id="rId149" Type="http://schemas.openxmlformats.org/officeDocument/2006/relationships/hyperlink" Target="https://drive.google.com/file/d/1SRxhGBIsyXFOvut1wJYaj51__hD2jfZK/view?usp=drivesdk" TargetMode="External"/><Relationship Id="rId148" Type="http://schemas.openxmlformats.org/officeDocument/2006/relationships/hyperlink" Target="https://lh5.googleusercontent.com/d/1RpvRTh2XEb2dK55dwePCHCJz7RJrOKDd" TargetMode="External"/><Relationship Id="rId3270" Type="http://schemas.openxmlformats.org/officeDocument/2006/relationships/hyperlink" Target="https://drive.google.com/file/d/1KxQai2m2JKreb4YEWWrk4AtIjIdrBBTW/view?usp=drivesdk" TargetMode="External"/><Relationship Id="rId3272" Type="http://schemas.openxmlformats.org/officeDocument/2006/relationships/hyperlink" Target="https://drive.google.com/file/d/1KRYH5d7iu2a4yTg9bDKkjLTnJHorfSkL/view?usp=drivesdk" TargetMode="External"/><Relationship Id="rId3271" Type="http://schemas.openxmlformats.org/officeDocument/2006/relationships/hyperlink" Target="https://lh5.googleusercontent.com/d/18qPTUBB71AyBhp4bVKYZ2IaQHY7mR2ny" TargetMode="External"/><Relationship Id="rId143" Type="http://schemas.openxmlformats.org/officeDocument/2006/relationships/hyperlink" Target="https://drive.google.com/file/d/12Z1klwSgzNlwEvmiORVsw-1BPpf8yEop/view?usp=drivesdk" TargetMode="External"/><Relationship Id="rId3274" Type="http://schemas.openxmlformats.org/officeDocument/2006/relationships/hyperlink" Target="https://drive.google.com/file/d/1s1EbMk1DBWoVPDpenS2yfCpjxqurLMV1/view?usp=drivesdk" TargetMode="External"/><Relationship Id="rId142" Type="http://schemas.openxmlformats.org/officeDocument/2006/relationships/hyperlink" Target="https://lh5.googleusercontent.com/d/1dr0B24uPxBKhU2TwKKgk0Q_5dmjPN9Sx" TargetMode="External"/><Relationship Id="rId3273" Type="http://schemas.openxmlformats.org/officeDocument/2006/relationships/hyperlink" Target="https://lh5.googleusercontent.com/d/1jjCSQ_U4xFFvU5jnUXMprXaqulzxkhBg" TargetMode="External"/><Relationship Id="rId141" Type="http://schemas.openxmlformats.org/officeDocument/2006/relationships/hyperlink" Target="https://drive.google.com/file/d/1qrI0PTftdjqjOxN0IfOGexeWfdqELL0y/view?usp=drivesdk" TargetMode="External"/><Relationship Id="rId3276" Type="http://schemas.openxmlformats.org/officeDocument/2006/relationships/hyperlink" Target="https://drive.google.com/file/d/1eqFAObFZFvPqccmazR7Porw8lx5EufLO/view?usp=drivesdk" TargetMode="External"/><Relationship Id="rId140" Type="http://schemas.openxmlformats.org/officeDocument/2006/relationships/hyperlink" Target="https://lh5.googleusercontent.com/d/12GnRPPz5ivE8C6tR1wu4gVY8SBd9cW9g" TargetMode="External"/><Relationship Id="rId3275" Type="http://schemas.openxmlformats.org/officeDocument/2006/relationships/hyperlink" Target="https://lh5.googleusercontent.com/d/1JFSfSODvguwmPjG0EXea0sIauTWvQQya" TargetMode="External"/><Relationship Id="rId147" Type="http://schemas.openxmlformats.org/officeDocument/2006/relationships/hyperlink" Target="https://drive.google.com/file/d/1XIxj1N6YFILkkCXzc1jfAuzKoQQpVYMb/view?usp=drivesdk" TargetMode="External"/><Relationship Id="rId3278" Type="http://schemas.openxmlformats.org/officeDocument/2006/relationships/hyperlink" Target="https://drive.google.com/file/d/1A0ViViavboeZIM4zwIARhUejp-PBe8g7/view?usp=drivesdk" TargetMode="External"/><Relationship Id="rId146" Type="http://schemas.openxmlformats.org/officeDocument/2006/relationships/hyperlink" Target="https://lh5.googleusercontent.com/d/1hP2cYfcvhIUwXDiRXC6liWa29M_08HvK" TargetMode="External"/><Relationship Id="rId3277" Type="http://schemas.openxmlformats.org/officeDocument/2006/relationships/hyperlink" Target="https://lh5.googleusercontent.com/d/1jNCocyoej6zczaSdLrKM5yvUnbwDuFOT" TargetMode="External"/><Relationship Id="rId145" Type="http://schemas.openxmlformats.org/officeDocument/2006/relationships/hyperlink" Target="https://drive.google.com/file/d/1K0ZjAuoIRgtCWQPt_xZg8xMWNe699bIH/view?usp=drivesdk" TargetMode="External"/><Relationship Id="rId144" Type="http://schemas.openxmlformats.org/officeDocument/2006/relationships/hyperlink" Target="https://lh5.googleusercontent.com/d/11L1rB2qPNiFQixDXsVZbI1JB2X_QK91u" TargetMode="External"/><Relationship Id="rId3279" Type="http://schemas.openxmlformats.org/officeDocument/2006/relationships/hyperlink" Target="https://lh5.googleusercontent.com/d/1kRtDkpaVmCeiP-uO2RfkzKvUJTlyNrMq" TargetMode="External"/><Relationship Id="rId139" Type="http://schemas.openxmlformats.org/officeDocument/2006/relationships/hyperlink" Target="https://drive.google.com/file/d/1fA_o4QTmz8c2EGmE0kfZxXTvh9jKhhsX/view?usp=drivesdk" TargetMode="External"/><Relationship Id="rId138" Type="http://schemas.openxmlformats.org/officeDocument/2006/relationships/hyperlink" Target="https://lh5.googleusercontent.com/d/1b4pLdghDGc4F-Wqr2RD2isisVlowmcxn" TargetMode="External"/><Relationship Id="rId137" Type="http://schemas.openxmlformats.org/officeDocument/2006/relationships/hyperlink" Target="https://drive.google.com/file/d/1ShKUCdIbpcV1uIqGVgjvTxTG089Zri0L/view?usp=drivesdk" TargetMode="External"/><Relationship Id="rId4590" Type="http://schemas.openxmlformats.org/officeDocument/2006/relationships/hyperlink" Target="https://drive.google.com/file/d/1LMTgE9mUvaVwwQmXbo9kd1XgxdHXIhw1/view?usp=drivesdk" TargetMode="External"/><Relationship Id="rId3261" Type="http://schemas.openxmlformats.org/officeDocument/2006/relationships/hyperlink" Target="https://lh5.googleusercontent.com/d/1Xv0UC-6sqrQFjw8VZr8k5dbDQj1-FItf" TargetMode="External"/><Relationship Id="rId4592" Type="http://schemas.openxmlformats.org/officeDocument/2006/relationships/hyperlink" Target="https://drive.google.com/file/d/1GwX-VTCKmth5tnTPEBTtjJqWzU9Iwdy4/view?usp=drivesdk" TargetMode="External"/><Relationship Id="rId3260" Type="http://schemas.openxmlformats.org/officeDocument/2006/relationships/hyperlink" Target="https://drive.google.com/file/d/12_DgCGuFfoES78VixZLYh4Cc9WpOhZo2/view?usp=drivesdk" TargetMode="External"/><Relationship Id="rId4591" Type="http://schemas.openxmlformats.org/officeDocument/2006/relationships/hyperlink" Target="https://lh5.googleusercontent.com/d/1rBz6C9EQQ5gsZwlFBBk_GTQhwfLfpKOs" TargetMode="External"/><Relationship Id="rId132" Type="http://schemas.openxmlformats.org/officeDocument/2006/relationships/hyperlink" Target="https://lh5.googleusercontent.com/d/1vxfLTpn7lweKCgtKQY_qFnZzUr2_B-6U" TargetMode="External"/><Relationship Id="rId3263" Type="http://schemas.openxmlformats.org/officeDocument/2006/relationships/hyperlink" Target="https://lh5.googleusercontent.com/d/1s9AFC9v5DmrvpgVUcLIhXHXTdIDma9bx" TargetMode="External"/><Relationship Id="rId4594" Type="http://schemas.openxmlformats.org/officeDocument/2006/relationships/hyperlink" Target="https://drive.google.com/file/d/1pADJ-hYTUpT4QVlltrkSJdUUgoDc94_Z/view?usp=drivesdk" TargetMode="External"/><Relationship Id="rId131" Type="http://schemas.openxmlformats.org/officeDocument/2006/relationships/hyperlink" Target="https://drive.google.com/file/d/1VC6Di4yDTZBWsfVsWob5IfxlRm9KOLsS/view?usp=drivesdk" TargetMode="External"/><Relationship Id="rId3262" Type="http://schemas.openxmlformats.org/officeDocument/2006/relationships/hyperlink" Target="https://drive.google.com/file/d/1yTmJjOthdzWs0bxWgRZ0Gkzom8GmxT_x/view?usp=drivesdk" TargetMode="External"/><Relationship Id="rId4593" Type="http://schemas.openxmlformats.org/officeDocument/2006/relationships/hyperlink" Target="https://lh5.googleusercontent.com/d/1SdEFkVKAaUQb8kfusr4yQZJWMl12kpFc" TargetMode="External"/><Relationship Id="rId130" Type="http://schemas.openxmlformats.org/officeDocument/2006/relationships/hyperlink" Target="https://lh5.googleusercontent.com/d/1u9v6UKDuIJMderzOLV0IAKMnXtWm6Sfy" TargetMode="External"/><Relationship Id="rId3265" Type="http://schemas.openxmlformats.org/officeDocument/2006/relationships/hyperlink" Target="https://lh5.googleusercontent.com/d/1bmKx8tu34uc7RPTFkM9qC0YEM-V0bgwn" TargetMode="External"/><Relationship Id="rId4596" Type="http://schemas.openxmlformats.org/officeDocument/2006/relationships/hyperlink" Target="https://drive.google.com/file/d/1NWkAqDPdVQ2ACeM6SglT8pNSjy7zjYl8/view?usp=drivesdk" TargetMode="External"/><Relationship Id="rId3264" Type="http://schemas.openxmlformats.org/officeDocument/2006/relationships/hyperlink" Target="https://drive.google.com/file/d/1FmSf_2UV7EKVO9KzkJveYKMjel7DqnjJ/view?usp=drivesdk" TargetMode="External"/><Relationship Id="rId4595" Type="http://schemas.openxmlformats.org/officeDocument/2006/relationships/hyperlink" Target="https://lh5.googleusercontent.com/d/16_02IneUJnuPy41yMsqXeHCiaW3Vyfmt" TargetMode="External"/><Relationship Id="rId136" Type="http://schemas.openxmlformats.org/officeDocument/2006/relationships/hyperlink" Target="https://lh5.googleusercontent.com/d/1jHB6uk6ayIEIRK_TiRzoKCmyt57Zj4DW" TargetMode="External"/><Relationship Id="rId3267" Type="http://schemas.openxmlformats.org/officeDocument/2006/relationships/hyperlink" Target="https://lh5.googleusercontent.com/d/1PTmyEws9-miyPJy-r95vwzkey33ExM_C" TargetMode="External"/><Relationship Id="rId4598" Type="http://schemas.openxmlformats.org/officeDocument/2006/relationships/hyperlink" Target="https://drive.google.com/file/d/1dBx-6wEsn4HeYFTNXwKpZ1lCwvaTFm3T/view?usp=drivesdk" TargetMode="External"/><Relationship Id="rId135" Type="http://schemas.openxmlformats.org/officeDocument/2006/relationships/hyperlink" Target="https://drive.google.com/file/d/1sIH76FK3yCs-rFOWHCvWL8uThw7nmOys/view?usp=drivesdk" TargetMode="External"/><Relationship Id="rId3266" Type="http://schemas.openxmlformats.org/officeDocument/2006/relationships/hyperlink" Target="https://drive.google.com/file/d/1Rh-DJFJPOUevxZG8o10y1SMKDMg2wTCs/view?usp=drivesdk" TargetMode="External"/><Relationship Id="rId4597" Type="http://schemas.openxmlformats.org/officeDocument/2006/relationships/hyperlink" Target="https://lh5.googleusercontent.com/d/1tR7ufN2wcBYpGv6ytGP7yfLQeOUcWZhP" TargetMode="External"/><Relationship Id="rId134" Type="http://schemas.openxmlformats.org/officeDocument/2006/relationships/hyperlink" Target="https://lh5.googleusercontent.com/d/16UNE3UqoEvS71wZ9VDkA1Mp-9ljKIMOH" TargetMode="External"/><Relationship Id="rId3269" Type="http://schemas.openxmlformats.org/officeDocument/2006/relationships/hyperlink" Target="https://lh5.googleusercontent.com/d/13Xgxu0HU4y3P9XKCNCS9m2GmTSBVdggE" TargetMode="External"/><Relationship Id="rId133" Type="http://schemas.openxmlformats.org/officeDocument/2006/relationships/hyperlink" Target="https://drive.google.com/file/d/1-iYVsfTXRDJCQ6pCtpom6bB7v0ghSZKu/view?usp=drivesdk" TargetMode="External"/><Relationship Id="rId3268" Type="http://schemas.openxmlformats.org/officeDocument/2006/relationships/hyperlink" Target="https://drive.google.com/file/d/1VefTHUHjUW790hVSOKYxp_J8KJpQw5Mw/view?usp=drivesdk" TargetMode="External"/><Relationship Id="rId4599" Type="http://schemas.openxmlformats.org/officeDocument/2006/relationships/hyperlink" Target="https://lh5.googleusercontent.com/d/12s8YV4xfQlTwKD8aoJLGPITIREjy0mDG" TargetMode="External"/><Relationship Id="rId172" Type="http://schemas.openxmlformats.org/officeDocument/2006/relationships/hyperlink" Target="https://lh5.googleusercontent.com/d/1M7u69DwSkgjrnIt3TndnbHrB8_K8KnxA" TargetMode="External"/><Relationship Id="rId171" Type="http://schemas.openxmlformats.org/officeDocument/2006/relationships/hyperlink" Target="https://drive.google.com/file/d/1TNgLrm6sUcUep4gtzNTeaMEmqP-I_nZo/view?usp=drivesdk" TargetMode="External"/><Relationship Id="rId170" Type="http://schemas.openxmlformats.org/officeDocument/2006/relationships/hyperlink" Target="https://lh5.googleusercontent.com/d/1BSnjn8Vt-GmyMnfIu8Oq6LsTmxRyupC8" TargetMode="External"/><Relationship Id="rId3290" Type="http://schemas.openxmlformats.org/officeDocument/2006/relationships/hyperlink" Target="https://drive.google.com/file/d/1CpTKtLnu_qFVRPSrdXBpl5AfuH4INuxK/view?usp=drivesdk" TargetMode="External"/><Relationship Id="rId3292" Type="http://schemas.openxmlformats.org/officeDocument/2006/relationships/hyperlink" Target="https://drive.google.com/file/d/1jQfuQAKDRlDSOXh8QMzIr2qtM-ikXgZp/view?usp=drivesdk" TargetMode="External"/><Relationship Id="rId3291" Type="http://schemas.openxmlformats.org/officeDocument/2006/relationships/hyperlink" Target="https://lh5.googleusercontent.com/d/1HeCdehg3-w5byw21QGqXTGOT5tGAoZtN" TargetMode="External"/><Relationship Id="rId3294" Type="http://schemas.openxmlformats.org/officeDocument/2006/relationships/hyperlink" Target="https://drive.google.com/file/d/1VMgk-5U5VwVfQmYRQ8-obMrTJCI9hWrB/view?usp=drivesdk" TargetMode="External"/><Relationship Id="rId3293" Type="http://schemas.openxmlformats.org/officeDocument/2006/relationships/hyperlink" Target="https://lh5.googleusercontent.com/d/1F9XminEABZMB8rj_QIdnIPLviuN3TRFJ" TargetMode="External"/><Relationship Id="rId165" Type="http://schemas.openxmlformats.org/officeDocument/2006/relationships/hyperlink" Target="https://drive.google.com/file/d/150jVdL-SHjfTYHLJyf_kZkJcrFMFB1F1/view?usp=drivesdk" TargetMode="External"/><Relationship Id="rId3296" Type="http://schemas.openxmlformats.org/officeDocument/2006/relationships/hyperlink" Target="https://drive.google.com/file/d/1L6Ixruf-J65Qtenwyrqnp6iuCF3T6d_o/view?usp=drivesdk" TargetMode="External"/><Relationship Id="rId164" Type="http://schemas.openxmlformats.org/officeDocument/2006/relationships/hyperlink" Target="https://lh5.googleusercontent.com/d/1DKHHxrBQo8FNoZIAs7VsT_0Sk8HbLW-p" TargetMode="External"/><Relationship Id="rId3295" Type="http://schemas.openxmlformats.org/officeDocument/2006/relationships/hyperlink" Target="https://lh5.googleusercontent.com/d/19ha4Ixbekt_UkN03BetPyuzV_IvSomku" TargetMode="External"/><Relationship Id="rId163" Type="http://schemas.openxmlformats.org/officeDocument/2006/relationships/hyperlink" Target="https://drive.google.com/file/d/1wYk0oVHgMMuUzYfWgFHJNngRTm6LMG3S/view?usp=drivesdk" TargetMode="External"/><Relationship Id="rId3298" Type="http://schemas.openxmlformats.org/officeDocument/2006/relationships/hyperlink" Target="https://drive.google.com/file/d/10qI-CjTqASreHITP2lU97M-3pQ3wn5rr/view?usp=drivesdk" TargetMode="External"/><Relationship Id="rId162" Type="http://schemas.openxmlformats.org/officeDocument/2006/relationships/hyperlink" Target="https://lh5.googleusercontent.com/d/1ObrArqz13tf3TQk3pCQpVTI2BLG5Fs44" TargetMode="External"/><Relationship Id="rId3297" Type="http://schemas.openxmlformats.org/officeDocument/2006/relationships/hyperlink" Target="https://lh5.googleusercontent.com/d/117Vaapfojude4kV8ORq1-zIvDAGS_LwS" TargetMode="External"/><Relationship Id="rId169" Type="http://schemas.openxmlformats.org/officeDocument/2006/relationships/hyperlink" Target="https://drive.google.com/file/d/1IDVHbYMv2KErtfPzLAqnRfG9CV55sb4F/view?usp=drivesdk" TargetMode="External"/><Relationship Id="rId168" Type="http://schemas.openxmlformats.org/officeDocument/2006/relationships/hyperlink" Target="https://lh5.googleusercontent.com/d/14QtkMfuyTVggS2EIhZCZt7OAo-50ujz0" TargetMode="External"/><Relationship Id="rId3299" Type="http://schemas.openxmlformats.org/officeDocument/2006/relationships/hyperlink" Target="https://lh5.googleusercontent.com/d/1UbhzNYO7_3fDQbnDSjkloioUBYCB1DMh" TargetMode="External"/><Relationship Id="rId167" Type="http://schemas.openxmlformats.org/officeDocument/2006/relationships/hyperlink" Target="https://drive.google.com/file/d/1qECn-RVjUAzWDQtBn9WnIJAF72If2FoL/view?usp=drivesdk" TargetMode="External"/><Relationship Id="rId166" Type="http://schemas.openxmlformats.org/officeDocument/2006/relationships/hyperlink" Target="https://lh5.googleusercontent.com/d/1ddq8J0_sdKoIJBR6ZoU9PbESIcBILigB" TargetMode="External"/><Relationship Id="rId161" Type="http://schemas.openxmlformats.org/officeDocument/2006/relationships/hyperlink" Target="https://drive.google.com/file/d/18mmIqD_PfkLcqt085K-RkdmVzenax19G/view?usp=drivesdk" TargetMode="External"/><Relationship Id="rId160" Type="http://schemas.openxmlformats.org/officeDocument/2006/relationships/hyperlink" Target="https://lh5.googleusercontent.com/d/1nmUOY9I9VgCseEwO3AbdYBnJ__z9fvhT" TargetMode="External"/><Relationship Id="rId159" Type="http://schemas.openxmlformats.org/officeDocument/2006/relationships/hyperlink" Target="https://drive.google.com/file/d/11C3PuujPrceK0qaiDWuphNrPcrKRhbop/view?usp=drivesdk" TargetMode="External"/><Relationship Id="rId3281" Type="http://schemas.openxmlformats.org/officeDocument/2006/relationships/hyperlink" Target="https://lh5.googleusercontent.com/d/1PqpvO9RzqjQpHwUxQUJtrirfpvEz36S9" TargetMode="External"/><Relationship Id="rId3280" Type="http://schemas.openxmlformats.org/officeDocument/2006/relationships/hyperlink" Target="https://drive.google.com/file/d/1nfHvBPCfdWQGIWk67P8idLGFnQu-Fw1P/view?usp=drivesdk" TargetMode="External"/><Relationship Id="rId3283" Type="http://schemas.openxmlformats.org/officeDocument/2006/relationships/hyperlink" Target="https://lh5.googleusercontent.com/d/1lq2fYyeELuvuScJiuJ3I8FPn3ZqZyWjN" TargetMode="External"/><Relationship Id="rId3282" Type="http://schemas.openxmlformats.org/officeDocument/2006/relationships/hyperlink" Target="https://drive.google.com/file/d/1-hYebf0vLOnISf2mafxkCCCd2Azz5W_w/view?usp=drivesdk" TargetMode="External"/><Relationship Id="rId154" Type="http://schemas.openxmlformats.org/officeDocument/2006/relationships/hyperlink" Target="https://lh5.googleusercontent.com/d/1yClHjQY9pEvMQ86qzWb2uog7JCyxZVjW" TargetMode="External"/><Relationship Id="rId3285" Type="http://schemas.openxmlformats.org/officeDocument/2006/relationships/hyperlink" Target="https://lh5.googleusercontent.com/d/1e9hkCx7DSnSVRHk2Vsa4_EOo82NbjfJb" TargetMode="External"/><Relationship Id="rId153" Type="http://schemas.openxmlformats.org/officeDocument/2006/relationships/hyperlink" Target="https://drive.google.com/file/d/1u1raebqXa9CmkrRVhew39PuH2qNUyU2a/view?usp=drivesdk" TargetMode="External"/><Relationship Id="rId3284" Type="http://schemas.openxmlformats.org/officeDocument/2006/relationships/hyperlink" Target="https://drive.google.com/file/d/1M7GOOHLntrzWDgbvg1fL_s8dhnoNsUJC/view?usp=drivesdk" TargetMode="External"/><Relationship Id="rId152" Type="http://schemas.openxmlformats.org/officeDocument/2006/relationships/hyperlink" Target="https://lh5.googleusercontent.com/d/1k4RssSYps1NQyBD1aVRLNkK8IOMn3Zvi" TargetMode="External"/><Relationship Id="rId3287" Type="http://schemas.openxmlformats.org/officeDocument/2006/relationships/hyperlink" Target="https://lh5.googleusercontent.com/d/1sG1QLm93JwnEWTirLGTtBGSPF1bdLki_" TargetMode="External"/><Relationship Id="rId151" Type="http://schemas.openxmlformats.org/officeDocument/2006/relationships/hyperlink" Target="https://drive.google.com/file/d/10IwIRaZyG36oS4NRjhMvISPRc8vuTeEm/view?usp=drivesdk" TargetMode="External"/><Relationship Id="rId3286" Type="http://schemas.openxmlformats.org/officeDocument/2006/relationships/hyperlink" Target="https://drive.google.com/file/d/1W_kt7EtxmH6efvhdzeKc3nA5zcbDpb0-/view?usp=drivesdk" TargetMode="External"/><Relationship Id="rId158" Type="http://schemas.openxmlformats.org/officeDocument/2006/relationships/hyperlink" Target="https://lh5.googleusercontent.com/d/10IZKc7_GD1h5u7WUuQHO1hq6TB_9D8YE" TargetMode="External"/><Relationship Id="rId3289" Type="http://schemas.openxmlformats.org/officeDocument/2006/relationships/hyperlink" Target="https://lh5.googleusercontent.com/d/11-7jZVv-0_kXUCKPBhe4DDikWjKUV7uZ" TargetMode="External"/><Relationship Id="rId157" Type="http://schemas.openxmlformats.org/officeDocument/2006/relationships/hyperlink" Target="https://drive.google.com/file/d/1juZZ79czR7y9c3V9NqBMLX3KbYT7JYHi/view?usp=drivesdk" TargetMode="External"/><Relationship Id="rId3288" Type="http://schemas.openxmlformats.org/officeDocument/2006/relationships/hyperlink" Target="https://drive.google.com/file/d/1rPDQ8zbClo03i76KtVDB8Gmq8d3fLALQ/view?usp=drivesdk" TargetMode="External"/><Relationship Id="rId156" Type="http://schemas.openxmlformats.org/officeDocument/2006/relationships/hyperlink" Target="https://lh5.googleusercontent.com/d/1ewMCwp-rlMI6sOZv8-AUq9oLO39snH99" TargetMode="External"/><Relationship Id="rId155" Type="http://schemas.openxmlformats.org/officeDocument/2006/relationships/hyperlink" Target="https://drive.google.com/file/d/1JashdJmZbOdFuc2ZbWdqxRgZk9LyBliR/view?usp=drivesdk" TargetMode="External"/><Relationship Id="rId2820" Type="http://schemas.openxmlformats.org/officeDocument/2006/relationships/hyperlink" Target="https://lh5.googleusercontent.com/d/1m9HFHQ3m3Zg-TX3xLh7kGqk4az7hz0sk" TargetMode="External"/><Relationship Id="rId2821" Type="http://schemas.openxmlformats.org/officeDocument/2006/relationships/hyperlink" Target="https://drive.google.com/file/d/1TI7u2RhrwUC8PCTug0Xj5JONS3VG_lk1/view?usp=drivesdk" TargetMode="External"/><Relationship Id="rId2822" Type="http://schemas.openxmlformats.org/officeDocument/2006/relationships/hyperlink" Target="https://lh5.googleusercontent.com/d/1TrfMhXEQ5SaJ-uLLNqTw2_hNiUELwaXs" TargetMode="External"/><Relationship Id="rId2823" Type="http://schemas.openxmlformats.org/officeDocument/2006/relationships/hyperlink" Target="https://drive.google.com/file/d/1c49boTZJpNY6mrfjw_x4PPp3fIoCzwH1/view?usp=drivesdk" TargetMode="External"/><Relationship Id="rId2824" Type="http://schemas.openxmlformats.org/officeDocument/2006/relationships/hyperlink" Target="https://lh5.googleusercontent.com/d/1zTo5e__wXG1K2XF_GRwzIhqT-80F2c3z" TargetMode="External"/><Relationship Id="rId2825" Type="http://schemas.openxmlformats.org/officeDocument/2006/relationships/hyperlink" Target="https://drive.google.com/file/d/1DpIAlTOtgX1qQ4SC3eE-6n6BeALF3W3a/view?usp=drivesdk" TargetMode="External"/><Relationship Id="rId2826" Type="http://schemas.openxmlformats.org/officeDocument/2006/relationships/hyperlink" Target="https://lh5.googleusercontent.com/d/10Geuhy4JzuQcoRnqFodbT6IUDwkUZjbq" TargetMode="External"/><Relationship Id="rId2827" Type="http://schemas.openxmlformats.org/officeDocument/2006/relationships/hyperlink" Target="https://drive.google.com/file/d/1P0z7V1kkwE3Y6sYePp8Cps2I1Pj7JFFW/view?usp=drivesdk" TargetMode="External"/><Relationship Id="rId2828" Type="http://schemas.openxmlformats.org/officeDocument/2006/relationships/hyperlink" Target="https://lh5.googleusercontent.com/d/1vIgFfYYqpyAiBJUvzn1rFGTi2_q7-5Ie" TargetMode="External"/><Relationship Id="rId2829" Type="http://schemas.openxmlformats.org/officeDocument/2006/relationships/hyperlink" Target="https://drive.google.com/file/d/1TzbBLPL3oZV0SBHMu-lDYN6DmGn9DDZo/view?usp=drivesdk" TargetMode="External"/><Relationship Id="rId5093" Type="http://schemas.openxmlformats.org/officeDocument/2006/relationships/hyperlink" Target="https://lh5.googleusercontent.com/d/1zeC45HVnJVkT-LHi-M9X8MK-1M8Leb57" TargetMode="External"/><Relationship Id="rId5094" Type="http://schemas.openxmlformats.org/officeDocument/2006/relationships/hyperlink" Target="https://drive.google.com/file/d/14uEjgVlnKC_uYfT4ef9GWizjC2MoX8mx/view?usp=drivesdk" TargetMode="External"/><Relationship Id="rId5091" Type="http://schemas.openxmlformats.org/officeDocument/2006/relationships/hyperlink" Target="https://lh5.googleusercontent.com/d/14WkcWFI7qaiyWCHgDuhLH4Rqkuh3eW-S" TargetMode="External"/><Relationship Id="rId5092" Type="http://schemas.openxmlformats.org/officeDocument/2006/relationships/hyperlink" Target="https://drive.google.com/file/d/1LTLKD5OVMU6ta35AWQKT3h00NzHyxStl/view?usp=drivesdk" TargetMode="External"/><Relationship Id="rId5097" Type="http://schemas.openxmlformats.org/officeDocument/2006/relationships/hyperlink" Target="https://lh5.googleusercontent.com/d/1pmtoV8o7szhlmvCSgBspuPcevC2L7jh4" TargetMode="External"/><Relationship Id="rId5098" Type="http://schemas.openxmlformats.org/officeDocument/2006/relationships/hyperlink" Target="https://drive.google.com/file/d/1bmE987LTyphkrAsWKOq-I977XpYs4shN/view?usp=drivesdk" TargetMode="External"/><Relationship Id="rId5095" Type="http://schemas.openxmlformats.org/officeDocument/2006/relationships/hyperlink" Target="https://lh5.googleusercontent.com/d/1hgCNwDUoCWduseAxtKWIoKdDXbN2UbVE" TargetMode="External"/><Relationship Id="rId5096" Type="http://schemas.openxmlformats.org/officeDocument/2006/relationships/hyperlink" Target="https://drive.google.com/file/d/1Bj2s-WLnDUi-rcT-JhaedzH3VGIXC2p3/view?usp=drivesdk" TargetMode="External"/><Relationship Id="rId5099" Type="http://schemas.openxmlformats.org/officeDocument/2006/relationships/hyperlink" Target="https://lh5.googleusercontent.com/d/1pIC-sTjNtoD8P9ezTDC40pFBHn-IEQ_C" TargetMode="External"/><Relationship Id="rId2810" Type="http://schemas.openxmlformats.org/officeDocument/2006/relationships/hyperlink" Target="https://drive.google.com/file/d/1mnSGkefzb2N2D-7WA8JvIUjJNwbFh0UB/view?usp=drivesdk" TargetMode="External"/><Relationship Id="rId2811" Type="http://schemas.openxmlformats.org/officeDocument/2006/relationships/hyperlink" Target="https://lh5.googleusercontent.com/d/15ljtnSLiGWElNdAedhiJubR7ZkJKZ7MD" TargetMode="External"/><Relationship Id="rId2812" Type="http://schemas.openxmlformats.org/officeDocument/2006/relationships/hyperlink" Target="https://drive.google.com/file/d/1IkGyZZtj166K6hwBD_qupDcqQxej8d0B/view?usp=drivesdk" TargetMode="External"/><Relationship Id="rId2813" Type="http://schemas.openxmlformats.org/officeDocument/2006/relationships/hyperlink" Target="https://lh5.googleusercontent.com/d/139wld_iumNLlxPd5m_wm4rRRcSghSNUh" TargetMode="External"/><Relationship Id="rId2814" Type="http://schemas.openxmlformats.org/officeDocument/2006/relationships/hyperlink" Target="https://lh5.googleusercontent.com/d/1a1RBqRB0UZZUHVGA4PTxEKxhR5zmb8wR" TargetMode="External"/><Relationship Id="rId2815" Type="http://schemas.openxmlformats.org/officeDocument/2006/relationships/hyperlink" Target="https://drive.google.com/file/d/1nsaZ3nlijdIBGMJPjapl_KljSHl1xwOO/view?usp=drivesdk" TargetMode="External"/><Relationship Id="rId2816" Type="http://schemas.openxmlformats.org/officeDocument/2006/relationships/hyperlink" Target="https://lh5.googleusercontent.com/d/1NyNeYXP7kXrVeltRjPBPqGUcdIIE8gPT" TargetMode="External"/><Relationship Id="rId2817" Type="http://schemas.openxmlformats.org/officeDocument/2006/relationships/hyperlink" Target="https://drive.google.com/file/d/18eeerXT5zd0Bu8lAzIP3MtjORCKMV7GK/view?usp=drivesdk" TargetMode="External"/><Relationship Id="rId2818" Type="http://schemas.openxmlformats.org/officeDocument/2006/relationships/hyperlink" Target="https://lh5.googleusercontent.com/d/1_mtWUGQWqXoqyzOx2f_sC4EYc3YFQWiI" TargetMode="External"/><Relationship Id="rId2819" Type="http://schemas.openxmlformats.org/officeDocument/2006/relationships/hyperlink" Target="https://drive.google.com/file/d/1ZPqRtwp9fTxMy7co1CHep77oqt8ApXzL/view?usp=drivesdk" TargetMode="External"/><Relationship Id="rId5090" Type="http://schemas.openxmlformats.org/officeDocument/2006/relationships/hyperlink" Target="https://drive.google.com/file/d/1MRQScc2plKZlCcRZZ6MmYDbIbydHJG5c/view?usp=drivesdk" TargetMode="External"/><Relationship Id="rId5082" Type="http://schemas.openxmlformats.org/officeDocument/2006/relationships/hyperlink" Target="https://drive.google.com/file/d/1jORVn88NRbATYtDYjmEQxGN_7YdtCz0a/view?usp=drivesdk" TargetMode="External"/><Relationship Id="rId5083" Type="http://schemas.openxmlformats.org/officeDocument/2006/relationships/hyperlink" Target="https://lh5.googleusercontent.com/d/1OmhDNDyuZkwDhmmzsGT8SZZJ6hLnuiW_" TargetMode="External"/><Relationship Id="rId5080" Type="http://schemas.openxmlformats.org/officeDocument/2006/relationships/hyperlink" Target="https://drive.google.com/file/d/1eIyXBwz3fBgvJfd931DoamruedQjbUWS/view?usp=drivesdk" TargetMode="External"/><Relationship Id="rId5081" Type="http://schemas.openxmlformats.org/officeDocument/2006/relationships/hyperlink" Target="https://lh5.googleusercontent.com/d/1E5Hfow6dOOVD9cb92groq_peKYqtJ4II" TargetMode="External"/><Relationship Id="rId5086" Type="http://schemas.openxmlformats.org/officeDocument/2006/relationships/hyperlink" Target="https://drive.google.com/file/d/1zU9W3JsNk9R37EiMBIi0mjsoVfSIZjH1/view?usp=drivesdk" TargetMode="External"/><Relationship Id="rId5087" Type="http://schemas.openxmlformats.org/officeDocument/2006/relationships/hyperlink" Target="https://lh5.googleusercontent.com/d/1nnnf3OK5L3iWobG5wTQY-xI23uqp-Ylt" TargetMode="External"/><Relationship Id="rId5084" Type="http://schemas.openxmlformats.org/officeDocument/2006/relationships/hyperlink" Target="https://drive.google.com/file/d/1ttQ-rkA4GkNzHVL1tg6OOU2fHm144K5i/view?usp=drivesdk" TargetMode="External"/><Relationship Id="rId5085" Type="http://schemas.openxmlformats.org/officeDocument/2006/relationships/hyperlink" Target="https://lh5.googleusercontent.com/d/1jyQzOOuil8uQZSoStqM2sO__wELtVpMf" TargetMode="External"/><Relationship Id="rId5088" Type="http://schemas.openxmlformats.org/officeDocument/2006/relationships/hyperlink" Target="https://drive.google.com/file/d/1L5I-GjeBbmDYGVwCVck8jMF1_BTk8NUd/view?usp=drivesdk" TargetMode="External"/><Relationship Id="rId5089" Type="http://schemas.openxmlformats.org/officeDocument/2006/relationships/hyperlink" Target="https://lh5.googleusercontent.com/d/1ksUumBVJIODvSX1idqJKebDY7bF2GMGc" TargetMode="External"/><Relationship Id="rId1510" Type="http://schemas.openxmlformats.org/officeDocument/2006/relationships/hyperlink" Target="https://lh5.googleusercontent.com/d/1xrJ_gND1uDQ7VTeRkUva2iJlhBQ6M9RT" TargetMode="External"/><Relationship Id="rId2841" Type="http://schemas.openxmlformats.org/officeDocument/2006/relationships/hyperlink" Target="https://drive.google.com/file/d/1dPSHMyYqlcZwyLnTgNsE8puB9WBDs3yE/view?usp=drivesdk" TargetMode="External"/><Relationship Id="rId1511" Type="http://schemas.openxmlformats.org/officeDocument/2006/relationships/hyperlink" Target="https://drive.google.com/file/d/1P0YmaL6J2CqQ1qpo-3IBmU4HQO4Uwp57/view?usp=drivesdk" TargetMode="External"/><Relationship Id="rId2842" Type="http://schemas.openxmlformats.org/officeDocument/2006/relationships/hyperlink" Target="https://lh5.googleusercontent.com/d/1W8YipC62oXQ2gwYQfvL91sJq1dmRCsKe" TargetMode="External"/><Relationship Id="rId1512" Type="http://schemas.openxmlformats.org/officeDocument/2006/relationships/hyperlink" Target="https://lh5.googleusercontent.com/d/1nrmr4LSib4AwLjxijLwTyMkA5_Tvn0IC" TargetMode="External"/><Relationship Id="rId2843" Type="http://schemas.openxmlformats.org/officeDocument/2006/relationships/hyperlink" Target="https://drive.google.com/file/d/15wjWKodQMoFRVSarpT9WVWX5cMjQ6dsq/view?usp=drivesdk" TargetMode="External"/><Relationship Id="rId1513" Type="http://schemas.openxmlformats.org/officeDocument/2006/relationships/hyperlink" Target="https://drive.google.com/file/d/1YFZBr5gujRwRegL30QLTcFlgHcqygCT7/view?usp=drivesdk" TargetMode="External"/><Relationship Id="rId2844" Type="http://schemas.openxmlformats.org/officeDocument/2006/relationships/hyperlink" Target="https://lh5.googleusercontent.com/d/1D7EpCRRLFvZg4voG4YL-s96C77XuTl-U" TargetMode="External"/><Relationship Id="rId1514" Type="http://schemas.openxmlformats.org/officeDocument/2006/relationships/hyperlink" Target="https://lh5.googleusercontent.com/d/1LaNIqzBDaSSApW-lpHlREK96BXimQ95m" TargetMode="External"/><Relationship Id="rId2845" Type="http://schemas.openxmlformats.org/officeDocument/2006/relationships/hyperlink" Target="https://drive.google.com/file/d/1oHoBWrlM_-_YLHGLNuPxApIcKQl7y8rT/view?usp=drivesdk" TargetMode="External"/><Relationship Id="rId1515" Type="http://schemas.openxmlformats.org/officeDocument/2006/relationships/hyperlink" Target="https://drive.google.com/file/d/19So1sojuaBEFwe57T9eKcFlEGUImCA4d/view?usp=drivesdk" TargetMode="External"/><Relationship Id="rId2846" Type="http://schemas.openxmlformats.org/officeDocument/2006/relationships/hyperlink" Target="https://lh5.googleusercontent.com/d/1DB1mCh8Ptx_EcXa85Zb9phSRyt0Bt0Rc" TargetMode="External"/><Relationship Id="rId1516" Type="http://schemas.openxmlformats.org/officeDocument/2006/relationships/hyperlink" Target="https://lh5.googleusercontent.com/d/16QYJtUUH-TWEja_EjxxVD8lSbdATJrCj" TargetMode="External"/><Relationship Id="rId2847" Type="http://schemas.openxmlformats.org/officeDocument/2006/relationships/hyperlink" Target="https://drive.google.com/file/d/1g1sRKBonZ3Ag3Pxj0jWp-J2ah1q6-F4J/view?usp=drivesdk" TargetMode="External"/><Relationship Id="rId1517" Type="http://schemas.openxmlformats.org/officeDocument/2006/relationships/hyperlink" Target="https://drive.google.com/file/d/1TU3sdEa8-hzwmKUdJ6ya_bbFhQmMFgMx/view?usp=drivesdk" TargetMode="External"/><Relationship Id="rId2848" Type="http://schemas.openxmlformats.org/officeDocument/2006/relationships/hyperlink" Target="https://lh5.googleusercontent.com/d/1dkSxY-w4ne5TcTm0fvE2W9KiKpZ2OxKm" TargetMode="External"/><Relationship Id="rId1518" Type="http://schemas.openxmlformats.org/officeDocument/2006/relationships/hyperlink" Target="https://lh5.googleusercontent.com/d/1rOmsXI9QkLYFXLxVntSyhcZGrnGQuS2-" TargetMode="External"/><Relationship Id="rId2849" Type="http://schemas.openxmlformats.org/officeDocument/2006/relationships/hyperlink" Target="https://drive.google.com/file/d/1C3fp7oSqivX50nRdki41AgRGatXMm93s/view?usp=drivesdk" TargetMode="External"/><Relationship Id="rId1519" Type="http://schemas.openxmlformats.org/officeDocument/2006/relationships/hyperlink" Target="https://drive.google.com/file/d/1165hYSNUa9WiaZa59WRZyV0opci4YzGb/view?usp=drivesdk" TargetMode="External"/><Relationship Id="rId2840" Type="http://schemas.openxmlformats.org/officeDocument/2006/relationships/hyperlink" Target="https://lh5.googleusercontent.com/d/153wsiIB3DHhLg7xz-S2jXjB9osrcgO3s" TargetMode="External"/><Relationship Id="rId2830" Type="http://schemas.openxmlformats.org/officeDocument/2006/relationships/hyperlink" Target="https://lh5.googleusercontent.com/d/1eh3NIv3wAKeytR2UoOOz2uqPlT9woTOE" TargetMode="External"/><Relationship Id="rId1500" Type="http://schemas.openxmlformats.org/officeDocument/2006/relationships/hyperlink" Target="https://lh5.googleusercontent.com/d/1Jhywrsc71vvJnqhaUvXRIF5cibkv_yel" TargetMode="External"/><Relationship Id="rId2831" Type="http://schemas.openxmlformats.org/officeDocument/2006/relationships/hyperlink" Target="https://drive.google.com/file/d/1Fh_EIwMHnP8Rr9eHizpe0ugoFXcKc1l6/view?usp=drivesdk" TargetMode="External"/><Relationship Id="rId1501" Type="http://schemas.openxmlformats.org/officeDocument/2006/relationships/hyperlink" Target="https://drive.google.com/file/d/1_LhY3TBd05TkQnwL5vWdevMUZrWp9joJ/view?usp=drivesdk" TargetMode="External"/><Relationship Id="rId2832" Type="http://schemas.openxmlformats.org/officeDocument/2006/relationships/hyperlink" Target="https://lh5.googleusercontent.com/d/1XzuUUz-TWMpta9_xV8RxxGytbXytaJtw" TargetMode="External"/><Relationship Id="rId1502" Type="http://schemas.openxmlformats.org/officeDocument/2006/relationships/hyperlink" Target="https://lh5.googleusercontent.com/d/1oeQ3Z8IxTqt7hT6t_pMqttz1ksy8iVkT" TargetMode="External"/><Relationship Id="rId2833" Type="http://schemas.openxmlformats.org/officeDocument/2006/relationships/hyperlink" Target="https://drive.google.com/file/d/1yKiYKa8eAltALjGsbls5oYQNTG_RyfUB/view?usp=drivesdk" TargetMode="External"/><Relationship Id="rId1503" Type="http://schemas.openxmlformats.org/officeDocument/2006/relationships/hyperlink" Target="https://drive.google.com/file/d/1Ze0CUoOG9PmjRqeWOR1TnmTTn-bY6HTs/view?usp=drivesdk" TargetMode="External"/><Relationship Id="rId2834" Type="http://schemas.openxmlformats.org/officeDocument/2006/relationships/hyperlink" Target="https://lh5.googleusercontent.com/d/1nxaubWQ-Gxzzpf_rHshezdY0WDw5Bk2_" TargetMode="External"/><Relationship Id="rId1504" Type="http://schemas.openxmlformats.org/officeDocument/2006/relationships/hyperlink" Target="https://lh5.googleusercontent.com/d/1pG6xfR22PwKgw9-vzn9reu5OfUvCkziq" TargetMode="External"/><Relationship Id="rId2835" Type="http://schemas.openxmlformats.org/officeDocument/2006/relationships/hyperlink" Target="https://drive.google.com/file/d/1JJ35EoFwqyek2A9k68MAkR1_rcgKjupV/view?usp=drivesdk" TargetMode="External"/><Relationship Id="rId1505" Type="http://schemas.openxmlformats.org/officeDocument/2006/relationships/hyperlink" Target="https://drive.google.com/file/d/1nbUW8LRScLY1jH4_Aik9CucVclWCnuyo/view?usp=drivesdk" TargetMode="External"/><Relationship Id="rId2836" Type="http://schemas.openxmlformats.org/officeDocument/2006/relationships/hyperlink" Target="https://lh5.googleusercontent.com/d/1CvQb-uWa86xuJ-ATjpNU_YK8nUDCtx_x" TargetMode="External"/><Relationship Id="rId1506" Type="http://schemas.openxmlformats.org/officeDocument/2006/relationships/hyperlink" Target="https://lh5.googleusercontent.com/d/1N48IoLsTb1yuljhQ3XAlWk4IMp6VmUVY" TargetMode="External"/><Relationship Id="rId2837" Type="http://schemas.openxmlformats.org/officeDocument/2006/relationships/hyperlink" Target="https://drive.google.com/file/d/1IwoJFHo_Yj0HdsY7amah1oDyMU_41pCK/view?usp=drivesdk" TargetMode="External"/><Relationship Id="rId1507" Type="http://schemas.openxmlformats.org/officeDocument/2006/relationships/hyperlink" Target="https://drive.google.com/file/d/1j0uDFogVyJteKaYNAjX7jpvRjrx3Svkv/view?usp=drivesdk" TargetMode="External"/><Relationship Id="rId2838" Type="http://schemas.openxmlformats.org/officeDocument/2006/relationships/hyperlink" Target="https://lh5.googleusercontent.com/d/1Kt07dPaG6D55YqrjPYiH1J9m4dCrClHu" TargetMode="External"/><Relationship Id="rId1508" Type="http://schemas.openxmlformats.org/officeDocument/2006/relationships/hyperlink" Target="https://lh5.googleusercontent.com/d/1s5MmO6_5LBPYCwaWas-LbPm6UmAoeIsO" TargetMode="External"/><Relationship Id="rId2839" Type="http://schemas.openxmlformats.org/officeDocument/2006/relationships/hyperlink" Target="https://drive.google.com/file/d/1_sWFS1wRjd3jm6htmgaUJTAzl5xctDPN/view?usp=drivesdk" TargetMode="External"/><Relationship Id="rId1509" Type="http://schemas.openxmlformats.org/officeDocument/2006/relationships/hyperlink" Target="https://drive.google.com/file/d/1MgZsqOthpt5NveLwGsswttOQSLpRixbK/view?usp=drivesdk" TargetMode="External"/><Relationship Id="rId5050" Type="http://schemas.openxmlformats.org/officeDocument/2006/relationships/hyperlink" Target="https://lh5.googleusercontent.com/d/1Cci3Mrj0m51rSWfgrum9eG21SygLitBd" TargetMode="External"/><Relationship Id="rId5053" Type="http://schemas.openxmlformats.org/officeDocument/2006/relationships/hyperlink" Target="https://drive.google.com/file/d/1JDqRbMKVxT2OVOXCmNKBmfsEu0sdvj6y/view?usp=drivesdk" TargetMode="External"/><Relationship Id="rId5054" Type="http://schemas.openxmlformats.org/officeDocument/2006/relationships/hyperlink" Target="https://lh5.googleusercontent.com/d/120-q3Ptz5UuL8o60XDIFaDN1uLkylNuB" TargetMode="External"/><Relationship Id="rId5051" Type="http://schemas.openxmlformats.org/officeDocument/2006/relationships/hyperlink" Target="https://drive.google.com/file/d/1iu-2qS79SENB_QQpsh-mfU812yeHz2la/view?usp=drivesdk" TargetMode="External"/><Relationship Id="rId5052" Type="http://schemas.openxmlformats.org/officeDocument/2006/relationships/hyperlink" Target="https://lh5.googleusercontent.com/d/1S_J4_TIuw7oAzbUuaYRiS8KEO1xKwIxo" TargetMode="External"/><Relationship Id="rId5057" Type="http://schemas.openxmlformats.org/officeDocument/2006/relationships/hyperlink" Target="https://drive.google.com/file/d/1PJ66xxYuo2XmLO7eeCwMWJtTjQCf6JC9/view?usp=drivesdk" TargetMode="External"/><Relationship Id="rId5058" Type="http://schemas.openxmlformats.org/officeDocument/2006/relationships/hyperlink" Target="https://lh5.googleusercontent.com/d/1NsFjvL_cPuAkh_dLsbDwdo0Kk0a8lVmU" TargetMode="External"/><Relationship Id="rId5055" Type="http://schemas.openxmlformats.org/officeDocument/2006/relationships/hyperlink" Target="https://drive.google.com/file/d/1Mm8YgoNzx0vKGBi6tMIqtjqgMlB4-4Jg/view?usp=drivesdk" TargetMode="External"/><Relationship Id="rId5056" Type="http://schemas.openxmlformats.org/officeDocument/2006/relationships/hyperlink" Target="https://lh5.googleusercontent.com/d/1Tj4OaVEcfV8Quuk7g1L6DBxcyH5o6cuf" TargetMode="External"/><Relationship Id="rId5059" Type="http://schemas.openxmlformats.org/officeDocument/2006/relationships/hyperlink" Target="https://drive.google.com/file/d/15Ym53HUptFI2YulZuJztnCzOHUHHg4tF/view?usp=drivesdk" TargetMode="External"/><Relationship Id="rId5042" Type="http://schemas.openxmlformats.org/officeDocument/2006/relationships/hyperlink" Target="https://lh5.googleusercontent.com/d/1h3xAGzXqaDIigxMCSuOCQZ9ilUyAFvDk" TargetMode="External"/><Relationship Id="rId5043" Type="http://schemas.openxmlformats.org/officeDocument/2006/relationships/hyperlink" Target="https://drive.google.com/file/d/14QdZu50Ifp6hzm4Z4P3KENfhgaOzanqs/view?usp=drivesdk" TargetMode="External"/><Relationship Id="rId5040" Type="http://schemas.openxmlformats.org/officeDocument/2006/relationships/hyperlink" Target="https://lh5.googleusercontent.com/d/1un2T19JzidxSK-RErzTbO8yn6fSprV3U" TargetMode="External"/><Relationship Id="rId5041" Type="http://schemas.openxmlformats.org/officeDocument/2006/relationships/hyperlink" Target="https://drive.google.com/file/d/1K5JBNy5YE2qzI3LFOF4m8QngSS_LTI87/view?usp=drivesdk" TargetMode="External"/><Relationship Id="rId5046" Type="http://schemas.openxmlformats.org/officeDocument/2006/relationships/hyperlink" Target="https://lh5.googleusercontent.com/d/1TJbrpky_yNkQfHf7sJT88TPQLxw7NZ-p" TargetMode="External"/><Relationship Id="rId5047" Type="http://schemas.openxmlformats.org/officeDocument/2006/relationships/hyperlink" Target="https://drive.google.com/file/d/1GbjjxaQ3dKLy6mqrxoGBC5D3uNENxU28/view?usp=drivesdk" TargetMode="External"/><Relationship Id="rId5044" Type="http://schemas.openxmlformats.org/officeDocument/2006/relationships/hyperlink" Target="https://lh5.googleusercontent.com/d/1lMkkFludfVolL4EfTdztz9q4efkAKlC4" TargetMode="External"/><Relationship Id="rId5045" Type="http://schemas.openxmlformats.org/officeDocument/2006/relationships/hyperlink" Target="https://drive.google.com/file/d/1PHJu4yJ0OWdv8o1XZy6BgpwNI7i8tCVY/view?usp=drivesdk" TargetMode="External"/><Relationship Id="rId5048" Type="http://schemas.openxmlformats.org/officeDocument/2006/relationships/hyperlink" Target="https://lh5.googleusercontent.com/d/1NjsXmA4k9NZU9gG09zKOLg98F0KTETWW" TargetMode="External"/><Relationship Id="rId5049" Type="http://schemas.openxmlformats.org/officeDocument/2006/relationships/hyperlink" Target="https://drive.google.com/file/d/17ssaP7e6DnC4c4mms1N45u5RwX6SKwtw/view?usp=drivesdk" TargetMode="External"/><Relationship Id="rId2800" Type="http://schemas.openxmlformats.org/officeDocument/2006/relationships/hyperlink" Target="https://drive.google.com/file/d/1eID4hReJPP9yPaWA-rc7H7V-PEWDBPPM/view?usp=drivesdk" TargetMode="External"/><Relationship Id="rId2801" Type="http://schemas.openxmlformats.org/officeDocument/2006/relationships/hyperlink" Target="https://lh5.googleusercontent.com/d/1WGbIQwbP2JQ7QXN_fkkFC_9lEZALqgUU" TargetMode="External"/><Relationship Id="rId2802" Type="http://schemas.openxmlformats.org/officeDocument/2006/relationships/hyperlink" Target="https://drive.google.com/file/d/1vrDM4OBtiRJW8fl-uZ2mFe2Mkczr2R3d/view?usp=drivesdk" TargetMode="External"/><Relationship Id="rId2803" Type="http://schemas.openxmlformats.org/officeDocument/2006/relationships/hyperlink" Target="https://lh5.googleusercontent.com/d/1kLPw7lU3jLn-SbtS-xq2Sj7xSMbELiX4" TargetMode="External"/><Relationship Id="rId2804" Type="http://schemas.openxmlformats.org/officeDocument/2006/relationships/hyperlink" Target="https://drive.google.com/file/d/1Y7a3ANwv9O4vhJo2jqHzmbbcEmRNQ2rN/view?usp=drivesdk" TargetMode="External"/><Relationship Id="rId2805" Type="http://schemas.openxmlformats.org/officeDocument/2006/relationships/hyperlink" Target="https://lh5.googleusercontent.com/d/1gNFeGv52ocb5VqTJfswc73vB076nPMS9" TargetMode="External"/><Relationship Id="rId2806" Type="http://schemas.openxmlformats.org/officeDocument/2006/relationships/hyperlink" Target="https://drive.google.com/file/d/1DIM0VfNAUBR12Qk4E8QwNqvuY6Ku9s-H/view?usp=drivesdk" TargetMode="External"/><Relationship Id="rId2807" Type="http://schemas.openxmlformats.org/officeDocument/2006/relationships/hyperlink" Target="https://lh5.googleusercontent.com/d/1scDs49Cq6-ZGn2w3M3ZsfOOs8-prFzIb" TargetMode="External"/><Relationship Id="rId2808" Type="http://schemas.openxmlformats.org/officeDocument/2006/relationships/hyperlink" Target="https://drive.google.com/file/d/1gPmNy_nSPim-ZZQs3SgCeh6PmH_LOJHH/view?usp=drivesdk" TargetMode="External"/><Relationship Id="rId2809" Type="http://schemas.openxmlformats.org/officeDocument/2006/relationships/hyperlink" Target="https://lh5.googleusercontent.com/d/1Y8gnt8IjdDGqgzeJEkaJMBcI4u4CzhQd" TargetMode="External"/><Relationship Id="rId5071" Type="http://schemas.openxmlformats.org/officeDocument/2006/relationships/hyperlink" Target="https://lh5.googleusercontent.com/d/1k8HeLt4nrUCk2BagDmsnMh5tUkVbGpeT" TargetMode="External"/><Relationship Id="rId5072" Type="http://schemas.openxmlformats.org/officeDocument/2006/relationships/hyperlink" Target="https://drive.google.com/file/d/1AyiuxQH5RUZSfvGSSGLtPX3mlHgYXsdb/view?usp=drivesdk" TargetMode="External"/><Relationship Id="rId5070" Type="http://schemas.openxmlformats.org/officeDocument/2006/relationships/hyperlink" Target="https://drive.google.com/file/d/1CcF_gJD7Whl9C8Q_5EfkicIDTyGZv2Rw/view?usp=drivesdk" TargetMode="External"/><Relationship Id="rId5075" Type="http://schemas.openxmlformats.org/officeDocument/2006/relationships/hyperlink" Target="https://lh5.googleusercontent.com/d/1eCnhYXnRmHDzRMEzlZ-Vn8MMUjOcEskX" TargetMode="External"/><Relationship Id="rId5076" Type="http://schemas.openxmlformats.org/officeDocument/2006/relationships/hyperlink" Target="https://drive.google.com/file/d/1yoxpD3td6bTNtsMHDspD3fU0jOCm6W00/view?usp=drivesdk" TargetMode="External"/><Relationship Id="rId5073" Type="http://schemas.openxmlformats.org/officeDocument/2006/relationships/hyperlink" Target="https://lh5.googleusercontent.com/d/1xDusGJ_H2XuNxQtjewN7a96XHfqAtnMY" TargetMode="External"/><Relationship Id="rId5074" Type="http://schemas.openxmlformats.org/officeDocument/2006/relationships/hyperlink" Target="https://drive.google.com/file/d/191RivFI0lY1-4Imb-x6apNbCHrrld52y/view?usp=drivesdk" TargetMode="External"/><Relationship Id="rId5079" Type="http://schemas.openxmlformats.org/officeDocument/2006/relationships/hyperlink" Target="https://lh5.googleusercontent.com/d/10v66xP0Gdz8J1_T-Q7W3KRT-d-X7cI9v" TargetMode="External"/><Relationship Id="rId5077" Type="http://schemas.openxmlformats.org/officeDocument/2006/relationships/hyperlink" Target="https://lh5.googleusercontent.com/d/19t73zQlTuMr0cgYhRNkXbyuHP9VuT2ju" TargetMode="External"/><Relationship Id="rId5078" Type="http://schemas.openxmlformats.org/officeDocument/2006/relationships/hyperlink" Target="https://drive.google.com/file/d/1Gym3YMtIyGWPUq_NJxrDvlJEKblAKUEc/view?usp=drivesdk" TargetMode="External"/><Relationship Id="rId5060" Type="http://schemas.openxmlformats.org/officeDocument/2006/relationships/hyperlink" Target="https://lh5.googleusercontent.com/d/1mtI08rKYGDQEza8shqxOV4DkWB4Z77O4" TargetMode="External"/><Relationship Id="rId5061" Type="http://schemas.openxmlformats.org/officeDocument/2006/relationships/hyperlink" Target="https://drive.google.com/file/d/1W1xNHl_rde2qOvK5bgDExCZjGClWG6gg/view?usp=drivesdk" TargetMode="External"/><Relationship Id="rId5064" Type="http://schemas.openxmlformats.org/officeDocument/2006/relationships/hyperlink" Target="https://lh5.googleusercontent.com/d/1XpeWzprEnhzCgqMqrL3qXQCTOrwwMADG" TargetMode="External"/><Relationship Id="rId5065" Type="http://schemas.openxmlformats.org/officeDocument/2006/relationships/hyperlink" Target="https://lh5.googleusercontent.com/d/1OIRTTbuca8jZby0TS5QdTC8-qHXQsku9" TargetMode="External"/><Relationship Id="rId5062" Type="http://schemas.openxmlformats.org/officeDocument/2006/relationships/hyperlink" Target="https://lh5.googleusercontent.com/d/1Zp5WQGQtplgmDyzBdKjF2SOB8l3HMmIv" TargetMode="External"/><Relationship Id="rId5063" Type="http://schemas.openxmlformats.org/officeDocument/2006/relationships/hyperlink" Target="https://drive.google.com/file/d/1T8mUs43kyWFKPYWNVR8PmOWFfa4y4nTs/view?usp=drivesdk" TargetMode="External"/><Relationship Id="rId5068" Type="http://schemas.openxmlformats.org/officeDocument/2006/relationships/hyperlink" Target="https://drive.google.com/file/d/1xul4f-YMp71-atDmN3W2Bn-RwOwUib-h/view?usp=drivesdk" TargetMode="External"/><Relationship Id="rId5069" Type="http://schemas.openxmlformats.org/officeDocument/2006/relationships/hyperlink" Target="https://lh5.googleusercontent.com/d/1lFtawhe5r1uFwSLwkcr9jNLdHGWbxTSB" TargetMode="External"/><Relationship Id="rId5066" Type="http://schemas.openxmlformats.org/officeDocument/2006/relationships/hyperlink" Target="https://drive.google.com/file/d/13vwvyRQjjJN4cLegI1z_6ha2AXuLos8b/view?usp=drivesdk" TargetMode="External"/><Relationship Id="rId5067" Type="http://schemas.openxmlformats.org/officeDocument/2006/relationships/hyperlink" Target="https://lh5.googleusercontent.com/d/12FrkvH1UjPVLfj3QC1MLxWRHyc-upst0" TargetMode="External"/><Relationship Id="rId1576" Type="http://schemas.openxmlformats.org/officeDocument/2006/relationships/hyperlink" Target="https://drive.google.com/file/d/1d6vdjaRGAFJFIVfRdP_pC7DPh4Z9TpEV/view?usp=drivesdk" TargetMode="External"/><Relationship Id="rId4602" Type="http://schemas.openxmlformats.org/officeDocument/2006/relationships/hyperlink" Target="https://drive.google.com/file/d/1qcUK3WGoPUw2gORvXWyxceoPrY6qU8Sq/view?usp=drivesdk" TargetMode="External"/><Relationship Id="rId5934" Type="http://schemas.openxmlformats.org/officeDocument/2006/relationships/hyperlink" Target="https://lh5.googleusercontent.com/d/1IWx4FacjgS3SmyTRiKNgZr3Qqu54e5Kk" TargetMode="External"/><Relationship Id="rId1577" Type="http://schemas.openxmlformats.org/officeDocument/2006/relationships/hyperlink" Target="https://lh5.googleusercontent.com/d/1maGcMw4Ry8DLi0EOdNOT6MNwr2xWpJmr" TargetMode="External"/><Relationship Id="rId4601" Type="http://schemas.openxmlformats.org/officeDocument/2006/relationships/hyperlink" Target="https://lh5.googleusercontent.com/d/18S-7oEUqd8DMWi-nnE29JDfPHGsGKPtQ" TargetMode="External"/><Relationship Id="rId5935" Type="http://schemas.openxmlformats.org/officeDocument/2006/relationships/hyperlink" Target="https://drive.google.com/file/d/1t67VwOwE44YLsqdShr8OsW8dV-aaUVWT/view?usp=drivesdk" TargetMode="External"/><Relationship Id="rId1578" Type="http://schemas.openxmlformats.org/officeDocument/2006/relationships/hyperlink" Target="https://drive.google.com/file/d/1XR0WwgLtjIqgqpsaiPPkKxUQVZpWIExw/view?usp=drivesdk" TargetMode="External"/><Relationship Id="rId4604" Type="http://schemas.openxmlformats.org/officeDocument/2006/relationships/hyperlink" Target="https://drive.google.com/file/d/1CxAqRUQWIJGQL84W8WsJgQIRU2wUMaNO/view?usp=drivesdk" TargetMode="External"/><Relationship Id="rId5932" Type="http://schemas.openxmlformats.org/officeDocument/2006/relationships/hyperlink" Target="https://lh5.googleusercontent.com/d/1A84uZiFtl6vF6F2e89r-Nn-zXoUX7hmL" TargetMode="External"/><Relationship Id="rId1579" Type="http://schemas.openxmlformats.org/officeDocument/2006/relationships/hyperlink" Target="https://lh5.googleusercontent.com/d/1EMSQO_uYsBJ1HGv7xV24q8AemXwmZhum" TargetMode="External"/><Relationship Id="rId4603" Type="http://schemas.openxmlformats.org/officeDocument/2006/relationships/hyperlink" Target="https://lh5.googleusercontent.com/d/1e5Sn_a21OuyQVRJKic10lnCJc7dVe19p" TargetMode="External"/><Relationship Id="rId5933" Type="http://schemas.openxmlformats.org/officeDocument/2006/relationships/hyperlink" Target="https://drive.google.com/file/d/1u8o-LiXrrQrs_AVhxHqEtVEvY7ihFk--/view?usp=drivesdk" TargetMode="External"/><Relationship Id="rId4606" Type="http://schemas.openxmlformats.org/officeDocument/2006/relationships/hyperlink" Target="https://drive.google.com/file/d/1dIiwNdtV3y_gTLEg54NdAqhCmawx19_l/view?usp=drivesdk" TargetMode="External"/><Relationship Id="rId5938" Type="http://schemas.openxmlformats.org/officeDocument/2006/relationships/hyperlink" Target="https://lh5.googleusercontent.com/d/1jEa0XsiGiccUDuUB0JvtoRdUG3ygertF" TargetMode="External"/><Relationship Id="rId4605" Type="http://schemas.openxmlformats.org/officeDocument/2006/relationships/hyperlink" Target="https://lh5.googleusercontent.com/d/1NWJXWLreU3mJ-2TTC4fJfOa1fj1qrtCX" TargetMode="External"/><Relationship Id="rId5939" Type="http://schemas.openxmlformats.org/officeDocument/2006/relationships/hyperlink" Target="https://drive.google.com/file/d/1BlqwFeYroonTxLLGR3yFKgd5tltD_Sdb/view?usp=drivesdk" TargetMode="External"/><Relationship Id="rId4608" Type="http://schemas.openxmlformats.org/officeDocument/2006/relationships/hyperlink" Target="https://drive.google.com/file/d/1iCqqenW_ZWBL1XT55mn2tiPCb7EmdFe3/view?usp=drivesdk" TargetMode="External"/><Relationship Id="rId5936" Type="http://schemas.openxmlformats.org/officeDocument/2006/relationships/hyperlink" Target="https://lh5.googleusercontent.com/d/1fCWV_aqDFYoF8iBiPZG0FBZrwZs0NBz_" TargetMode="External"/><Relationship Id="rId4607" Type="http://schemas.openxmlformats.org/officeDocument/2006/relationships/hyperlink" Target="https://lh5.googleusercontent.com/d/1MvMsggv4jNLx1Dq_ap1q1Q0KS37ngDN0" TargetMode="External"/><Relationship Id="rId5937" Type="http://schemas.openxmlformats.org/officeDocument/2006/relationships/hyperlink" Target="https://drive.google.com/file/d/1jr8RzUQB-jM1L3ET3fWy6Fmzpglnh3ji/view?usp=drivesdk" TargetMode="External"/><Relationship Id="rId4609" Type="http://schemas.openxmlformats.org/officeDocument/2006/relationships/hyperlink" Target="https://lh5.googleusercontent.com/d/1aAhixaARuSNY_Fg-10y6UfJuTJlYotD8" TargetMode="External"/><Relationship Id="rId987" Type="http://schemas.openxmlformats.org/officeDocument/2006/relationships/hyperlink" Target="https://lh5.googleusercontent.com/d/1DgAIpcorG8LcNtAmL8hN9xK919Zz1Udx" TargetMode="External"/><Relationship Id="rId986" Type="http://schemas.openxmlformats.org/officeDocument/2006/relationships/hyperlink" Target="https://drive.google.com/file/d/1uG4WEmx_y_OsvxSMebohF-qVhnMQ48BR/view?usp=drivesdk" TargetMode="External"/><Relationship Id="rId985" Type="http://schemas.openxmlformats.org/officeDocument/2006/relationships/hyperlink" Target="https://lh5.googleusercontent.com/d/1D_dpA0P1QEAN27dS0grDkwJZ-gCjlFos" TargetMode="External"/><Relationship Id="rId984" Type="http://schemas.openxmlformats.org/officeDocument/2006/relationships/hyperlink" Target="https://drive.google.com/file/d/1XDsf1a1UcGdUIYp4mi6xiFn3Iveb9HCE/view?usp=drivesdk" TargetMode="External"/><Relationship Id="rId989" Type="http://schemas.openxmlformats.org/officeDocument/2006/relationships/hyperlink" Target="https://lh5.googleusercontent.com/d/1HyNVWzCbN-AAAvNa4IBGL2kRxEPfbg7a" TargetMode="External"/><Relationship Id="rId988" Type="http://schemas.openxmlformats.org/officeDocument/2006/relationships/hyperlink" Target="https://drive.google.com/file/d/1Tmbag725UVn523Wi7SXtBHVhTULeWv2G/view?usp=drivesdk" TargetMode="External"/><Relationship Id="rId1570" Type="http://schemas.openxmlformats.org/officeDocument/2006/relationships/hyperlink" Target="https://drive.google.com/file/d/1otYqSYJ9KF-C36WDTJbDNcQJzd5MWKdb/view?usp=drivesdk" TargetMode="External"/><Relationship Id="rId1571" Type="http://schemas.openxmlformats.org/officeDocument/2006/relationships/hyperlink" Target="https://lh5.googleusercontent.com/d/1W_RZM1IMTsOEqjv-73ZDVQURDjYjDv4e" TargetMode="External"/><Relationship Id="rId983" Type="http://schemas.openxmlformats.org/officeDocument/2006/relationships/hyperlink" Target="https://lh5.googleusercontent.com/d/12irtP0B2aC0Eqhy6r1KPGiE6yBHd6hkD" TargetMode="External"/><Relationship Id="rId1572" Type="http://schemas.openxmlformats.org/officeDocument/2006/relationships/hyperlink" Target="https://drive.google.com/file/d/1q1yDY_ab_ZD5txbErsoFCGCneaeq9mjW/view?usp=drivesdk" TargetMode="External"/><Relationship Id="rId5930" Type="http://schemas.openxmlformats.org/officeDocument/2006/relationships/hyperlink" Target="https://lh5.googleusercontent.com/d/1SaJqwptR6e6zvkD46H4INlxmxHk5id_V" TargetMode="External"/><Relationship Id="rId982" Type="http://schemas.openxmlformats.org/officeDocument/2006/relationships/hyperlink" Target="https://drive.google.com/file/d/1oMbHJyCiZQ11k6ijmY_74aO0slAzWvUe/view?usp=drivesdk" TargetMode="External"/><Relationship Id="rId1573" Type="http://schemas.openxmlformats.org/officeDocument/2006/relationships/hyperlink" Target="https://lh5.googleusercontent.com/d/1kpx0vW27rv9VhaKF6dsqA8Fd7mCnLS0j" TargetMode="External"/><Relationship Id="rId5931" Type="http://schemas.openxmlformats.org/officeDocument/2006/relationships/hyperlink" Target="https://drive.google.com/file/d/1aFIm2qL6vlpDwampXLJSiX7vBnQfI-Jo/view?usp=drivesdk" TargetMode="External"/><Relationship Id="rId981" Type="http://schemas.openxmlformats.org/officeDocument/2006/relationships/hyperlink" Target="https://lh5.googleusercontent.com/d/1NpAlgEnoMn9USA8ajwJiPmo3i_3HsQg2" TargetMode="External"/><Relationship Id="rId1574" Type="http://schemas.openxmlformats.org/officeDocument/2006/relationships/hyperlink" Target="https://drive.google.com/file/d/1UhHTFzbEYHEvf3tV1H5BfSf_la1u9xpg/view?usp=drivesdk" TargetMode="External"/><Relationship Id="rId4600" Type="http://schemas.openxmlformats.org/officeDocument/2006/relationships/hyperlink" Target="https://drive.google.com/file/d/15F64SXIw6faMj8xGF4pKpf_XWc9kkwBW/view?usp=drivesdk" TargetMode="External"/><Relationship Id="rId980" Type="http://schemas.openxmlformats.org/officeDocument/2006/relationships/hyperlink" Target="https://drive.google.com/file/d/1N3GugfQwWizT10G18mbzMUOPd5Jgbq-0/view?usp=drivesdk" TargetMode="External"/><Relationship Id="rId1575" Type="http://schemas.openxmlformats.org/officeDocument/2006/relationships/hyperlink" Target="https://lh5.googleusercontent.com/d/1l8elnmUCFk0QuV6B2Ik0UthrA2nO7I8G" TargetMode="External"/><Relationship Id="rId1565" Type="http://schemas.openxmlformats.org/officeDocument/2006/relationships/hyperlink" Target="https://lh5.googleusercontent.com/d/1JE5MFc4KxPbnEtLfFhoprl7AoCmWq0-Z" TargetMode="External"/><Relationship Id="rId2896" Type="http://schemas.openxmlformats.org/officeDocument/2006/relationships/hyperlink" Target="https://drive.google.com/file/d/1GuXsqf9ZwR5nl4Fn7a-YUoajp_uRyba4/view?usp=drivesdk" TargetMode="External"/><Relationship Id="rId5923" Type="http://schemas.openxmlformats.org/officeDocument/2006/relationships/hyperlink" Target="https://drive.google.com/file/d/1vCtfqm1rHON5qoMGnMV74SLUvAb_wrJD/view?usp=drivesdk" TargetMode="External"/><Relationship Id="rId1566" Type="http://schemas.openxmlformats.org/officeDocument/2006/relationships/hyperlink" Target="https://drive.google.com/file/d/1Nnm0ev-a0wPy32QCBLjcqaIFUEIeQYi7/view?usp=drivesdk" TargetMode="External"/><Relationship Id="rId2897" Type="http://schemas.openxmlformats.org/officeDocument/2006/relationships/hyperlink" Target="https://lh5.googleusercontent.com/d/1btDiuSZXqVNgIhqYuRWv27o98zsLTuF9" TargetMode="External"/><Relationship Id="rId5924" Type="http://schemas.openxmlformats.org/officeDocument/2006/relationships/hyperlink" Target="https://lh5.googleusercontent.com/d/1WY8vuaec9KC0-8vufr56n-9Uju4-tEE7" TargetMode="External"/><Relationship Id="rId1567" Type="http://schemas.openxmlformats.org/officeDocument/2006/relationships/hyperlink" Target="https://lh5.googleusercontent.com/d/11LyxXOL5eiVlGVYSpJbAsEnntdU6jHKA" TargetMode="External"/><Relationship Id="rId2898" Type="http://schemas.openxmlformats.org/officeDocument/2006/relationships/hyperlink" Target="https://drive.google.com/file/d/1hoPwtmAPaU864NPpG4UTRVb7DPSEoAK8/view?usp=drivesdk" TargetMode="External"/><Relationship Id="rId5921" Type="http://schemas.openxmlformats.org/officeDocument/2006/relationships/hyperlink" Target="https://drive.google.com/file/d/1Ru-WSzl_dypDBVw9TkcynwruzIK9bynz/view?usp=drivesdk" TargetMode="External"/><Relationship Id="rId1568" Type="http://schemas.openxmlformats.org/officeDocument/2006/relationships/hyperlink" Target="https://drive.google.com/file/d/13Z57h-e_KfYekm7bJb2l3io1ysOWKjg-/view?usp=drivesdk" TargetMode="External"/><Relationship Id="rId2899" Type="http://schemas.openxmlformats.org/officeDocument/2006/relationships/hyperlink" Target="https://lh5.googleusercontent.com/d/1FcdqooZOM4Qz9rzhoKyzt7eIBL6CECu2" TargetMode="External"/><Relationship Id="rId5922" Type="http://schemas.openxmlformats.org/officeDocument/2006/relationships/hyperlink" Target="https://lh5.googleusercontent.com/d/1AlS908S1HX94r3hnRV_eRez6Nu8TrTZG" TargetMode="External"/><Relationship Id="rId1569" Type="http://schemas.openxmlformats.org/officeDocument/2006/relationships/hyperlink" Target="https://lh5.googleusercontent.com/d/1TYtBgG9rkTicvcDqAdFbBQUB34RC8ujr" TargetMode="External"/><Relationship Id="rId5927" Type="http://schemas.openxmlformats.org/officeDocument/2006/relationships/hyperlink" Target="https://drive.google.com/file/d/1q9ejhE3cgpr41fIwU8eAmVn3PBXaG0Ff/view?usp=drivesdk" TargetMode="External"/><Relationship Id="rId5928" Type="http://schemas.openxmlformats.org/officeDocument/2006/relationships/hyperlink" Target="https://lh5.googleusercontent.com/d/1reh9gnEzsYMoDYoV4o5rz_VOff7yeH_V" TargetMode="External"/><Relationship Id="rId5925" Type="http://schemas.openxmlformats.org/officeDocument/2006/relationships/hyperlink" Target="https://drive.google.com/file/d/1hjoJiBV-FoGoSwNo4pv5Dz5Bt4I8sEps/view?usp=drivesdk" TargetMode="External"/><Relationship Id="rId5926" Type="http://schemas.openxmlformats.org/officeDocument/2006/relationships/hyperlink" Target="https://lh5.googleusercontent.com/d/1afiryto6Uxpduqflt916wpy-mTTi_kZr" TargetMode="External"/><Relationship Id="rId5929" Type="http://schemas.openxmlformats.org/officeDocument/2006/relationships/hyperlink" Target="https://drive.google.com/file/d/1FODjd3x4b2HSbYtHj0dga7idNorwC315/view?usp=drivesdk" TargetMode="External"/><Relationship Id="rId976" Type="http://schemas.openxmlformats.org/officeDocument/2006/relationships/hyperlink" Target="https://drive.google.com/file/d/1RMc3zMylf20mYBaee0-V0adglht0dBPH/view?usp=drivesdk" TargetMode="External"/><Relationship Id="rId975" Type="http://schemas.openxmlformats.org/officeDocument/2006/relationships/hyperlink" Target="https://lh5.googleusercontent.com/d/1G-onwqtvZwy1Wx26f1tKt_GBE3W89JMR" TargetMode="External"/><Relationship Id="rId974" Type="http://schemas.openxmlformats.org/officeDocument/2006/relationships/hyperlink" Target="https://drive.google.com/file/d/1mvPpAzeVR7SpdUJ8GI3cR-DKYlTLnJtm/view?usp=drivesdk" TargetMode="External"/><Relationship Id="rId973" Type="http://schemas.openxmlformats.org/officeDocument/2006/relationships/hyperlink" Target="https://lh5.googleusercontent.com/d/1mXiVc23Hd8feYrkCeEYXDutJulXgsJ9w" TargetMode="External"/><Relationship Id="rId979" Type="http://schemas.openxmlformats.org/officeDocument/2006/relationships/hyperlink" Target="https://lh5.googleusercontent.com/d/1fqKyZUv06QHmk3kySYQrwBawTFQh41MQ" TargetMode="External"/><Relationship Id="rId978" Type="http://schemas.openxmlformats.org/officeDocument/2006/relationships/hyperlink" Target="https://drive.google.com/file/d/17FXR938mYwjUnMIuF3g364U43b6lDsZk/view?usp=drivesdk" TargetMode="External"/><Relationship Id="rId977" Type="http://schemas.openxmlformats.org/officeDocument/2006/relationships/hyperlink" Target="https://lh5.googleusercontent.com/d/1k6foeVaFkcD-DMwprsfBkMfgGJBj1x12" TargetMode="External"/><Relationship Id="rId2890" Type="http://schemas.openxmlformats.org/officeDocument/2006/relationships/hyperlink" Target="https://drive.google.com/file/d/1CSIBuHe7HluYGxgdU-FDN8TbXmbOsjBg/view?usp=drivesdk" TargetMode="External"/><Relationship Id="rId1560" Type="http://schemas.openxmlformats.org/officeDocument/2006/relationships/hyperlink" Target="https://drive.google.com/file/d/1jQF-y_m3TjDDj5syJw9_SVzIeuDywWOA/view?usp=drivesdk" TargetMode="External"/><Relationship Id="rId2891" Type="http://schemas.openxmlformats.org/officeDocument/2006/relationships/hyperlink" Target="https://lh5.googleusercontent.com/d/1IXJ2qAQ4XrHphP1C-esdYisN3Sk7o01w" TargetMode="External"/><Relationship Id="rId972" Type="http://schemas.openxmlformats.org/officeDocument/2006/relationships/hyperlink" Target="https://drive.google.com/file/d/1C7V9QU6Vyx9DEHmf4-U2sfHGvvTQn4iY/view?usp=drivesdk" TargetMode="External"/><Relationship Id="rId1561" Type="http://schemas.openxmlformats.org/officeDocument/2006/relationships/hyperlink" Target="https://lh5.googleusercontent.com/d/1btL_lBJ4y-2n5EZhwZA9zFJCTTcDCCWt" TargetMode="External"/><Relationship Id="rId2892" Type="http://schemas.openxmlformats.org/officeDocument/2006/relationships/hyperlink" Target="https://drive.google.com/file/d/1_G52xn7ncqn-c58WtpHvBrX0nC712Lot/view?usp=drivesdk" TargetMode="External"/><Relationship Id="rId971" Type="http://schemas.openxmlformats.org/officeDocument/2006/relationships/hyperlink" Target="https://lh5.googleusercontent.com/d/173R7x1XTizcoXxqV4HC2DQIC6DOkeFzc" TargetMode="External"/><Relationship Id="rId1562" Type="http://schemas.openxmlformats.org/officeDocument/2006/relationships/hyperlink" Target="https://drive.google.com/file/d/1PAVfvmYFpB06kDQWRr4h7tL6hleeDHMC/view?usp=drivesdk" TargetMode="External"/><Relationship Id="rId2893" Type="http://schemas.openxmlformats.org/officeDocument/2006/relationships/hyperlink" Target="https://lh5.googleusercontent.com/d/1HzqIgsKYu9qAGs7S1OJApab3M1hckLTO" TargetMode="External"/><Relationship Id="rId5920" Type="http://schemas.openxmlformats.org/officeDocument/2006/relationships/hyperlink" Target="https://lh5.googleusercontent.com/d/1Oe_yWZOJB8yDv1a9wcBZTi0jTA1wJcWi" TargetMode="External"/><Relationship Id="rId970" Type="http://schemas.openxmlformats.org/officeDocument/2006/relationships/hyperlink" Target="https://drive.google.com/file/d/1eHX1gaujb7nLkSp7fcIIQmKoQ-imu1vy/view?usp=drivesdk" TargetMode="External"/><Relationship Id="rId1563" Type="http://schemas.openxmlformats.org/officeDocument/2006/relationships/hyperlink" Target="https://lh5.googleusercontent.com/d/1fqTOYA9P3VSee85lmlFgs1lv3055YU9N" TargetMode="External"/><Relationship Id="rId2894" Type="http://schemas.openxmlformats.org/officeDocument/2006/relationships/hyperlink" Target="https://drive.google.com/file/d/1HIBNMhAldeW5aI955_LyV2-KusMuSyjV/view?usp=drivesdk" TargetMode="External"/><Relationship Id="rId1564" Type="http://schemas.openxmlformats.org/officeDocument/2006/relationships/hyperlink" Target="https://drive.google.com/file/d/13mUOW99v49a0fZQXaQtvBsDWo8uS8b_h/view?usp=drivesdk" TargetMode="External"/><Relationship Id="rId2895" Type="http://schemas.openxmlformats.org/officeDocument/2006/relationships/hyperlink" Target="https://lh5.googleusercontent.com/d/1TsrZVRhoAQJ16fbAD9O6SJFYkrr2ga6f" TargetMode="External"/><Relationship Id="rId1598" Type="http://schemas.openxmlformats.org/officeDocument/2006/relationships/hyperlink" Target="https://drive.google.com/file/d/1ZmSMXNTOj-kui4bLlAGMmB4mrJTy5PGp/view?usp=drivesdk" TargetMode="External"/><Relationship Id="rId4624" Type="http://schemas.openxmlformats.org/officeDocument/2006/relationships/hyperlink" Target="https://drive.google.com/file/d/1zq7nlyYK-T2yM_8td9vS7iA6HiKBJz8x/view?usp=drivesdk" TargetMode="External"/><Relationship Id="rId5956" Type="http://schemas.openxmlformats.org/officeDocument/2006/relationships/hyperlink" Target="https://lh5.googleusercontent.com/d/1kv_jc-2V9_6DqTRD8J7jCVlpFGqD5jCX" TargetMode="External"/><Relationship Id="rId1599" Type="http://schemas.openxmlformats.org/officeDocument/2006/relationships/hyperlink" Target="https://lh5.googleusercontent.com/d/1HbpK0_iSokySmepbqAFtwtEWIqCdeKvM" TargetMode="External"/><Relationship Id="rId4623" Type="http://schemas.openxmlformats.org/officeDocument/2006/relationships/hyperlink" Target="https://lh5.googleusercontent.com/d/1LCrEz8UmbcgX_8-9xI1CeGcXkOf61BBo" TargetMode="External"/><Relationship Id="rId5957" Type="http://schemas.openxmlformats.org/officeDocument/2006/relationships/hyperlink" Target="https://drive.google.com/file/d/1MQQf3-0KF7jksAkgFhHpsaV6zOxtj80u/view?usp=drivesdk" TargetMode="External"/><Relationship Id="rId4626" Type="http://schemas.openxmlformats.org/officeDocument/2006/relationships/hyperlink" Target="https://drive.google.com/file/d/1Ko1gCzz9ujvciZaeH_dxs2Vys5Olph6T/view?usp=drivesdk" TargetMode="External"/><Relationship Id="rId5954" Type="http://schemas.openxmlformats.org/officeDocument/2006/relationships/hyperlink" Target="https://lh5.googleusercontent.com/d/1ovjGhVCXyLUlicGjvQ80bWrchw5lAo6J" TargetMode="External"/><Relationship Id="rId4625" Type="http://schemas.openxmlformats.org/officeDocument/2006/relationships/hyperlink" Target="https://lh5.googleusercontent.com/d/1yWSGQpKhObw3nimMPltwTfJFjXteKaMw" TargetMode="External"/><Relationship Id="rId5955" Type="http://schemas.openxmlformats.org/officeDocument/2006/relationships/hyperlink" Target="https://drive.google.com/file/d/1GQiKd3qimw4S8QrM_wv5puhXEbs4CMbg/view?usp=drivesdk" TargetMode="External"/><Relationship Id="rId4628" Type="http://schemas.openxmlformats.org/officeDocument/2006/relationships/hyperlink" Target="https://drive.google.com/file/d/1c1GBl9cRfM4-0fhqkRnGEroIHjE9l6ZU/view?usp=drivesdk" TargetMode="External"/><Relationship Id="rId4627" Type="http://schemas.openxmlformats.org/officeDocument/2006/relationships/hyperlink" Target="https://lh5.googleusercontent.com/d/14OU5-5ipfqLllldW2XV-nIZhJEuZvsGK" TargetMode="External"/><Relationship Id="rId5958" Type="http://schemas.openxmlformats.org/officeDocument/2006/relationships/hyperlink" Target="https://lh5.googleusercontent.com/d/16rEVU_VPDKgxjluQxpBPc7zZcNHKSP4t" TargetMode="External"/><Relationship Id="rId4629" Type="http://schemas.openxmlformats.org/officeDocument/2006/relationships/hyperlink" Target="https://lh5.googleusercontent.com/d/1hROMasR3Y-ZySChqQhkRHp0D2qWgmHSS" TargetMode="External"/><Relationship Id="rId5959" Type="http://schemas.openxmlformats.org/officeDocument/2006/relationships/hyperlink" Target="https://lh5.googleusercontent.com/d/1uQcCzizUv9PRzT8gHfX3dCXB6oBsA7vi" TargetMode="External"/><Relationship Id="rId1590" Type="http://schemas.openxmlformats.org/officeDocument/2006/relationships/hyperlink" Target="https://drive.google.com/file/d/1JSSs9vmQnInYdNuiIDus4BJ64_TWpeBC/view?usp=drivesdk" TargetMode="External"/><Relationship Id="rId1591" Type="http://schemas.openxmlformats.org/officeDocument/2006/relationships/hyperlink" Target="https://lh5.googleusercontent.com/d/1DzNnfIKw_Od6_QthHmCzVkNnNp9wdPJi" TargetMode="External"/><Relationship Id="rId1592" Type="http://schemas.openxmlformats.org/officeDocument/2006/relationships/hyperlink" Target="https://drive.google.com/file/d/1J438jLe3AY7rov9Sodbde0ChF_q7SzZu/view?usp=drivesdk" TargetMode="External"/><Relationship Id="rId1593" Type="http://schemas.openxmlformats.org/officeDocument/2006/relationships/hyperlink" Target="https://lh5.googleusercontent.com/d/1KhliTb2DcdDoXaI_YgIWRCUCiY92Xv85" TargetMode="External"/><Relationship Id="rId1594" Type="http://schemas.openxmlformats.org/officeDocument/2006/relationships/hyperlink" Target="https://drive.google.com/file/d/1GB-5JWDUAHOULyURJQMVi9KTFc15fSrM/view?usp=drivesdk" TargetMode="External"/><Relationship Id="rId4620" Type="http://schemas.openxmlformats.org/officeDocument/2006/relationships/hyperlink" Target="https://drive.google.com/file/d/1enZIDAY-1I1hN9AYo4Gi64JJPRqyJX81/view?usp=drivesdk" TargetMode="External"/><Relationship Id="rId5952" Type="http://schemas.openxmlformats.org/officeDocument/2006/relationships/hyperlink" Target="https://lh5.googleusercontent.com/d/1AiFdie224xV-qjYgr_joESfWGIJNRrqQ" TargetMode="External"/><Relationship Id="rId1595" Type="http://schemas.openxmlformats.org/officeDocument/2006/relationships/hyperlink" Target="https://lh5.googleusercontent.com/d/1gVgkv28lRNkUIINc_lF3ko4y-fAonqG9" TargetMode="External"/><Relationship Id="rId5953" Type="http://schemas.openxmlformats.org/officeDocument/2006/relationships/hyperlink" Target="https://drive.google.com/file/d/1psb4manjrmGTOSNymacrKcPRveqgWP8-/view?usp=drivesdk" TargetMode="External"/><Relationship Id="rId1596" Type="http://schemas.openxmlformats.org/officeDocument/2006/relationships/hyperlink" Target="https://drive.google.com/file/d/1RFSFRKDaRFz0Up331R6OZIliqyJM1tdE/view?usp=drivesdk" TargetMode="External"/><Relationship Id="rId4622" Type="http://schemas.openxmlformats.org/officeDocument/2006/relationships/hyperlink" Target="https://drive.google.com/file/d/115jFhq_i7L-0uKXUquA6zotmtGq2wG42/view?usp=drivesdk" TargetMode="External"/><Relationship Id="rId5950" Type="http://schemas.openxmlformats.org/officeDocument/2006/relationships/hyperlink" Target="https://lh5.googleusercontent.com/d/1z1FSVkN9p3k36bx4r3D3sswL9iX4d_Zd" TargetMode="External"/><Relationship Id="rId1597" Type="http://schemas.openxmlformats.org/officeDocument/2006/relationships/hyperlink" Target="https://lh5.googleusercontent.com/d/112B1-JeoMeRJdRY6ziYobLNIs-bVLjG3" TargetMode="External"/><Relationship Id="rId4621" Type="http://schemas.openxmlformats.org/officeDocument/2006/relationships/hyperlink" Target="https://lh5.googleusercontent.com/d/1mhSSVb60xMQRYkd8tQh_orqRq0FpcNVl" TargetMode="External"/><Relationship Id="rId5951" Type="http://schemas.openxmlformats.org/officeDocument/2006/relationships/hyperlink" Target="https://drive.google.com/file/d/1yMGzhIbZS4TZwc2F4JHZJjIJVRhHtwuk/view?usp=drivesdk" TargetMode="External"/><Relationship Id="rId1587" Type="http://schemas.openxmlformats.org/officeDocument/2006/relationships/hyperlink" Target="https://lh5.googleusercontent.com/d/1GAwCHnWVePnI3c5sLPEvQO0PufUyznmQ" TargetMode="External"/><Relationship Id="rId4613" Type="http://schemas.openxmlformats.org/officeDocument/2006/relationships/hyperlink" Target="https://lh5.googleusercontent.com/d/151ZcwxyaXMbiiseyyonos4b0rNkum7Ju" TargetMode="External"/><Relationship Id="rId5945" Type="http://schemas.openxmlformats.org/officeDocument/2006/relationships/hyperlink" Target="https://drive.google.com/file/d/1hLISLci1xtLIXnBlbVcCtPqzwc3hU_MZ/view?usp=drivesdk" TargetMode="External"/><Relationship Id="rId1588" Type="http://schemas.openxmlformats.org/officeDocument/2006/relationships/hyperlink" Target="https://drive.google.com/file/d/1WZmgSuhoShKzHk7BPxsR0oJLFllEbUvV/view?usp=drivesdk" TargetMode="External"/><Relationship Id="rId4612" Type="http://schemas.openxmlformats.org/officeDocument/2006/relationships/hyperlink" Target="https://drive.google.com/file/d/1bP2m4S2FuYluXTf29gL1WmMiOWgunlgI/view?usp=drivesdk" TargetMode="External"/><Relationship Id="rId5946" Type="http://schemas.openxmlformats.org/officeDocument/2006/relationships/hyperlink" Target="https://lh5.googleusercontent.com/d/1UYdIZG6mwsdNHUukpq8TmmS0XV8fAXjl" TargetMode="External"/><Relationship Id="rId1589" Type="http://schemas.openxmlformats.org/officeDocument/2006/relationships/hyperlink" Target="https://lh5.googleusercontent.com/d/1_lor1oxUewuSz9qMHrk1gIgNET18LCDk" TargetMode="External"/><Relationship Id="rId4615" Type="http://schemas.openxmlformats.org/officeDocument/2006/relationships/hyperlink" Target="https://lh5.googleusercontent.com/d/1kTMqUx7FPHVi3o9cMkgk2uFQUjByOiyR" TargetMode="External"/><Relationship Id="rId5943" Type="http://schemas.openxmlformats.org/officeDocument/2006/relationships/hyperlink" Target="https://drive.google.com/file/d/11wTjq6aftQGOgC3RzhHaC0mSS9h4UBVS/view?usp=drivesdk" TargetMode="External"/><Relationship Id="rId4614" Type="http://schemas.openxmlformats.org/officeDocument/2006/relationships/hyperlink" Target="https://drive.google.com/file/d/1q5f4YZlIAu94Z3rK6uwUxWDCRabbdmpD/view?usp=drivesdk" TargetMode="External"/><Relationship Id="rId5944" Type="http://schemas.openxmlformats.org/officeDocument/2006/relationships/hyperlink" Target="https://lh5.googleusercontent.com/d/10Z999r--oTU6TrqwIU0vRHTZs7m3ypLU" TargetMode="External"/><Relationship Id="rId4617" Type="http://schemas.openxmlformats.org/officeDocument/2006/relationships/hyperlink" Target="https://lh5.googleusercontent.com/d/1EmI2hvZox-ckxqlzUl4X3rhVMdkyo6Me" TargetMode="External"/><Relationship Id="rId5949" Type="http://schemas.openxmlformats.org/officeDocument/2006/relationships/hyperlink" Target="https://drive.google.com/file/d/1dFXdgxa6h4KwZjEDQ4QYXUfw8NU-3qUG/view?usp=drivesdk" TargetMode="External"/><Relationship Id="rId4616" Type="http://schemas.openxmlformats.org/officeDocument/2006/relationships/hyperlink" Target="https://drive.google.com/file/d/14xIMmaCWLNTesIvKyOZcolzauJU1VvpP/view?usp=drivesdk" TargetMode="External"/><Relationship Id="rId4619" Type="http://schemas.openxmlformats.org/officeDocument/2006/relationships/hyperlink" Target="https://lh5.googleusercontent.com/d/18mdChjZhpZLKGQ_falnjDSsQaeHRqelD" TargetMode="External"/><Relationship Id="rId5947" Type="http://schemas.openxmlformats.org/officeDocument/2006/relationships/hyperlink" Target="https://drive.google.com/file/d/1xq0VpJsRul2lISMIecAks71cxOU8ObcL/view?usp=drivesdk" TargetMode="External"/><Relationship Id="rId4618" Type="http://schemas.openxmlformats.org/officeDocument/2006/relationships/hyperlink" Target="https://drive.google.com/file/d/1RcExzVjFPWi754dCrQwGTTY5NiaTqWv-/view?usp=drivesdk" TargetMode="External"/><Relationship Id="rId5948" Type="http://schemas.openxmlformats.org/officeDocument/2006/relationships/hyperlink" Target="https://lh5.googleusercontent.com/d/1e0T9zKpRSHchtAILQ6V9x7uFW3RAjRBj" TargetMode="External"/><Relationship Id="rId998" Type="http://schemas.openxmlformats.org/officeDocument/2006/relationships/hyperlink" Target="https://drive.google.com/file/d/1ppuGL4hB8GCpf9lW92pR9KRPPB5xB6Ok/view?usp=drivesdk" TargetMode="External"/><Relationship Id="rId997" Type="http://schemas.openxmlformats.org/officeDocument/2006/relationships/hyperlink" Target="https://lh5.googleusercontent.com/d/1HNk-tJ_cPGBtcMUP5LhEG8Te_iRnVOX-" TargetMode="External"/><Relationship Id="rId996" Type="http://schemas.openxmlformats.org/officeDocument/2006/relationships/hyperlink" Target="https://drive.google.com/file/d/1F5ckWNoqQgzOlrJe_BvFvjMuSVN390Vm/view?usp=drivesdk" TargetMode="External"/><Relationship Id="rId995" Type="http://schemas.openxmlformats.org/officeDocument/2006/relationships/hyperlink" Target="https://lh5.googleusercontent.com/d/1-06zEHnwqg0xRCW4UgOnFd8zA_pAB744" TargetMode="External"/><Relationship Id="rId999" Type="http://schemas.openxmlformats.org/officeDocument/2006/relationships/hyperlink" Target="https://lh5.googleusercontent.com/d/1pcDb7TbcDFKDB-7iLpohI1NZggljyHYx" TargetMode="External"/><Relationship Id="rId990" Type="http://schemas.openxmlformats.org/officeDocument/2006/relationships/hyperlink" Target="https://drive.google.com/file/d/1xK1PFIGgoaCAWlA0zNsFaD5_NbMu6Jcz/view?usp=drivesdk" TargetMode="External"/><Relationship Id="rId1580" Type="http://schemas.openxmlformats.org/officeDocument/2006/relationships/hyperlink" Target="https://drive.google.com/file/d/1vhibxCdIiiuXe5po8j56n8RhHx-CWXn8/view?usp=drivesdk" TargetMode="External"/><Relationship Id="rId1581" Type="http://schemas.openxmlformats.org/officeDocument/2006/relationships/hyperlink" Target="https://lh5.googleusercontent.com/d/1OZWA_54Yl3xWAJGN6B7LkEK9_qE95yYR" TargetMode="External"/><Relationship Id="rId1582" Type="http://schemas.openxmlformats.org/officeDocument/2006/relationships/hyperlink" Target="https://drive.google.com/file/d/1v_BGGchhn5DXqgp8s87H8Tw_Kf-Srxki/view?usp=drivesdk" TargetMode="External"/><Relationship Id="rId994" Type="http://schemas.openxmlformats.org/officeDocument/2006/relationships/hyperlink" Target="https://drive.google.com/file/d/1zSvU6Elb2Yx3pvNYRYgjAW25lzPond4O/view?usp=drivesdk" TargetMode="External"/><Relationship Id="rId1583" Type="http://schemas.openxmlformats.org/officeDocument/2006/relationships/hyperlink" Target="https://lh5.googleusercontent.com/d/1TVwPbYeFxnkRnRxulQZCHV1TuGSNZkwm" TargetMode="External"/><Relationship Id="rId5941" Type="http://schemas.openxmlformats.org/officeDocument/2006/relationships/hyperlink" Target="https://drive.google.com/file/d/1yGnSuUnMQi30WmkHqoRWhA8b5hLnCFdj/view?usp=drivesdk" TargetMode="External"/><Relationship Id="rId993" Type="http://schemas.openxmlformats.org/officeDocument/2006/relationships/hyperlink" Target="https://lh5.googleusercontent.com/d/19KGqcvpJPRWw7SrXV8dOSzXC-0g98aeH" TargetMode="External"/><Relationship Id="rId1584" Type="http://schemas.openxmlformats.org/officeDocument/2006/relationships/hyperlink" Target="https://drive.google.com/file/d/1SRFRuC_DgOYUlGpqnug4MzYRJbKxBoRk/view?usp=drivesdk" TargetMode="External"/><Relationship Id="rId5942" Type="http://schemas.openxmlformats.org/officeDocument/2006/relationships/hyperlink" Target="https://lh5.googleusercontent.com/d/1XGiXUcdgdrLX_GgEdJbtXqmVCH0ettMV" TargetMode="External"/><Relationship Id="rId992" Type="http://schemas.openxmlformats.org/officeDocument/2006/relationships/hyperlink" Target="https://drive.google.com/file/d/1xF_2HQ005Su2kijdrYGNNVQCoZu7j5kq/view?usp=drivesdk" TargetMode="External"/><Relationship Id="rId1585" Type="http://schemas.openxmlformats.org/officeDocument/2006/relationships/hyperlink" Target="https://lh5.googleusercontent.com/d/15bRGMqnh-VNg7dlCb_iicpD1W6L0Ue95" TargetMode="External"/><Relationship Id="rId4611" Type="http://schemas.openxmlformats.org/officeDocument/2006/relationships/hyperlink" Target="https://lh5.googleusercontent.com/d/1VeZn7Q1guXOHS948wlVFZe0u4oDiCTGh" TargetMode="External"/><Relationship Id="rId991" Type="http://schemas.openxmlformats.org/officeDocument/2006/relationships/hyperlink" Target="https://lh5.googleusercontent.com/d/1zablIFdexFThVdi-YJMCndh6XvJC4MqO" TargetMode="External"/><Relationship Id="rId1586" Type="http://schemas.openxmlformats.org/officeDocument/2006/relationships/hyperlink" Target="https://drive.google.com/file/d/1jB4K5joN4StibPmwKuFQUOaGzPA-UDQV/view?usp=drivesdk" TargetMode="External"/><Relationship Id="rId4610" Type="http://schemas.openxmlformats.org/officeDocument/2006/relationships/hyperlink" Target="https://drive.google.com/file/d/1j24Guvul8sRmXU6Fz_8GkOlSDwAsPRQv/view?usp=drivesdk" TargetMode="External"/><Relationship Id="rId5940" Type="http://schemas.openxmlformats.org/officeDocument/2006/relationships/hyperlink" Target="https://lh5.googleusercontent.com/d/1hJurYHH3qTWXtxjh2CBQ3vLo-JG4VE3Z" TargetMode="External"/><Relationship Id="rId1532" Type="http://schemas.openxmlformats.org/officeDocument/2006/relationships/hyperlink" Target="https://lh5.googleusercontent.com/d/19yvo5rcNCCGRkmlZxrmdCGbO2_WztH8s" TargetMode="External"/><Relationship Id="rId2863" Type="http://schemas.openxmlformats.org/officeDocument/2006/relationships/hyperlink" Target="https://lh5.googleusercontent.com/d/1H97FJf0OobC0TQB5jda9QQDKp5JrbUoH" TargetMode="External"/><Relationship Id="rId1533" Type="http://schemas.openxmlformats.org/officeDocument/2006/relationships/hyperlink" Target="https://drive.google.com/file/d/1JZTs9mna2ltBQ-8jPLQKPdggCTtOdBlt/view?usp=drivesdk" TargetMode="External"/><Relationship Id="rId2864" Type="http://schemas.openxmlformats.org/officeDocument/2006/relationships/hyperlink" Target="https://drive.google.com/file/d/1UIUdQpFKwbkfIZ9gwLSbBwpRQHVuItr8/view?usp=drivesdk" TargetMode="External"/><Relationship Id="rId1534" Type="http://schemas.openxmlformats.org/officeDocument/2006/relationships/hyperlink" Target="https://lh5.googleusercontent.com/d/1C3UMyCfAtos5ohteD88hf23zbeyly46J" TargetMode="External"/><Relationship Id="rId2865" Type="http://schemas.openxmlformats.org/officeDocument/2006/relationships/hyperlink" Target="https://lh5.googleusercontent.com/d/1VInvNTz_H8gsgTO5ou5mgiM35wbtsNSD" TargetMode="External"/><Relationship Id="rId1535" Type="http://schemas.openxmlformats.org/officeDocument/2006/relationships/hyperlink" Target="https://drive.google.com/file/d/1THCVZAinkt2BIRnNOQOBIlXRRYqDyGBJ/view?usp=drivesdk" TargetMode="External"/><Relationship Id="rId2866" Type="http://schemas.openxmlformats.org/officeDocument/2006/relationships/hyperlink" Target="https://drive.google.com/file/d/1EnesW4nxHhcGbv3cUeLzkZ_bwDUF9x8T/view?usp=drivesdk" TargetMode="External"/><Relationship Id="rId1536" Type="http://schemas.openxmlformats.org/officeDocument/2006/relationships/hyperlink" Target="https://lh5.googleusercontent.com/d/13Wt-oiiu7t36XU1b725KVpnKIyTjHuKL" TargetMode="External"/><Relationship Id="rId2867" Type="http://schemas.openxmlformats.org/officeDocument/2006/relationships/hyperlink" Target="https://lh5.googleusercontent.com/d/1AnuaHW6Fa8I5rkqeCDvtoNApZy7onZLP" TargetMode="External"/><Relationship Id="rId1537" Type="http://schemas.openxmlformats.org/officeDocument/2006/relationships/hyperlink" Target="https://drive.google.com/file/d/1outDmNq68d_r90iTiP1ScA9BPmGi9tge/view?usp=drivesdk" TargetMode="External"/><Relationship Id="rId2868" Type="http://schemas.openxmlformats.org/officeDocument/2006/relationships/hyperlink" Target="https://drive.google.com/file/d/1j3TA4IbsExDJjPfRt3nFfgV-KPbrNi-r/view?usp=drivesdk" TargetMode="External"/><Relationship Id="rId1538" Type="http://schemas.openxmlformats.org/officeDocument/2006/relationships/hyperlink" Target="https://lh5.googleusercontent.com/d/14PjxKC0_qMirv4HoN0nZKkfM3GxpOk2H" TargetMode="External"/><Relationship Id="rId2869" Type="http://schemas.openxmlformats.org/officeDocument/2006/relationships/hyperlink" Target="https://lh5.googleusercontent.com/d/10eWnJkdAoCBrFBgG56uxvtjjwRDj8p45" TargetMode="External"/><Relationship Id="rId1539" Type="http://schemas.openxmlformats.org/officeDocument/2006/relationships/hyperlink" Target="https://drive.google.com/file/d/1IY7FV9u8jOFjWOGcStv4opEfcbQkZlgk/view?usp=drivesdk" TargetMode="External"/><Relationship Id="rId949" Type="http://schemas.openxmlformats.org/officeDocument/2006/relationships/hyperlink" Target="https://lh5.googleusercontent.com/d/1E3GvDpCBMRzWStb487WMYspIQzJ_kcEK" TargetMode="External"/><Relationship Id="rId948" Type="http://schemas.openxmlformats.org/officeDocument/2006/relationships/hyperlink" Target="https://drive.google.com/file/d/1x7Ci0vBxlV8ijFeV9uEffSI8O32pgHCC/view?usp=drivesdk" TargetMode="External"/><Relationship Id="rId943" Type="http://schemas.openxmlformats.org/officeDocument/2006/relationships/hyperlink" Target="https://lh5.googleusercontent.com/d/1TLebtnRtBhBRVUCMNgZ0LaAcoeuRveKs" TargetMode="External"/><Relationship Id="rId942" Type="http://schemas.openxmlformats.org/officeDocument/2006/relationships/hyperlink" Target="https://drive.google.com/file/d/1vxTNitjQyzMsg9RheRFTtBqk9A_6eYsA/view?usp=drivesdk" TargetMode="External"/><Relationship Id="rId941" Type="http://schemas.openxmlformats.org/officeDocument/2006/relationships/hyperlink" Target="https://lh5.googleusercontent.com/d/1NxpfyO4uEluxqseUw1TZOQusxbIkb5ej" TargetMode="External"/><Relationship Id="rId940" Type="http://schemas.openxmlformats.org/officeDocument/2006/relationships/hyperlink" Target="https://drive.google.com/file/d/15otmYEpChrFS-en9V7nZE75dYwYaS4kB/view?usp=drivesdk" TargetMode="External"/><Relationship Id="rId947" Type="http://schemas.openxmlformats.org/officeDocument/2006/relationships/hyperlink" Target="https://lh5.googleusercontent.com/d/1CFDfchqPcKuhOl90osS2sBRYpA8hF7vt" TargetMode="External"/><Relationship Id="rId946" Type="http://schemas.openxmlformats.org/officeDocument/2006/relationships/hyperlink" Target="https://drive.google.com/file/d/1snG3RsV_T5QmHpygW3zCG4Htp4TQEQDC/view?usp=drivesdk" TargetMode="External"/><Relationship Id="rId945" Type="http://schemas.openxmlformats.org/officeDocument/2006/relationships/hyperlink" Target="https://lh5.googleusercontent.com/d/18GCLXDLuy5aYHeDyJI_eBuntUQsJcI-M" TargetMode="External"/><Relationship Id="rId944" Type="http://schemas.openxmlformats.org/officeDocument/2006/relationships/hyperlink" Target="https://drive.google.com/file/d/1kVQNoNAINe-iF8sKBzPKuYgEmM75iNCa/view?usp=drivesdk" TargetMode="External"/><Relationship Id="rId2860" Type="http://schemas.openxmlformats.org/officeDocument/2006/relationships/hyperlink" Target="https://drive.google.com/file/d/1Wlq1_CKMHlv4lrA4KMTnptDtQHq2Z5Nv/view?usp=drivesdk" TargetMode="External"/><Relationship Id="rId1530" Type="http://schemas.openxmlformats.org/officeDocument/2006/relationships/hyperlink" Target="https://lh5.googleusercontent.com/d/1ha8GLdr6eWbMnUUQ2L-kA5hEcjXk8noV" TargetMode="External"/><Relationship Id="rId2861" Type="http://schemas.openxmlformats.org/officeDocument/2006/relationships/hyperlink" Target="https://lh5.googleusercontent.com/d/1fq3dtU6WBmeT2C5IyCY6jf6LrZMH2Po2" TargetMode="External"/><Relationship Id="rId1531" Type="http://schemas.openxmlformats.org/officeDocument/2006/relationships/hyperlink" Target="https://drive.google.com/file/d/1VFzh3keiwZy37oaUxC2Rp_ifcK36A1AL/view?usp=drivesdk" TargetMode="External"/><Relationship Id="rId2862" Type="http://schemas.openxmlformats.org/officeDocument/2006/relationships/hyperlink" Target="https://drive.google.com/file/d/1Ocn8Sd-JtstdzYEQH7R81H0HLdTmFXxi/view?usp=drivesdk" TargetMode="External"/><Relationship Id="rId1521" Type="http://schemas.openxmlformats.org/officeDocument/2006/relationships/hyperlink" Target="https://drive.google.com/file/d/1TOl2o-b0MyqtvHpFuiot3EwHreNlvyUp/view?usp=drivesdk" TargetMode="External"/><Relationship Id="rId2852" Type="http://schemas.openxmlformats.org/officeDocument/2006/relationships/hyperlink" Target="https://lh5.googleusercontent.com/d/1uYH4IboLqJlVqV685wdIvnIAg-IKBPsK" TargetMode="External"/><Relationship Id="rId1522" Type="http://schemas.openxmlformats.org/officeDocument/2006/relationships/hyperlink" Target="https://lh5.googleusercontent.com/d/15Kf-ec7OUR3ITDlZCPTyfn53HWmteKab" TargetMode="External"/><Relationship Id="rId2853" Type="http://schemas.openxmlformats.org/officeDocument/2006/relationships/hyperlink" Target="https://drive.google.com/file/d/127fzM_zBBk_67mpiCq5EGnRJSJeM_NGS/view?usp=drivesdk" TargetMode="External"/><Relationship Id="rId1523" Type="http://schemas.openxmlformats.org/officeDocument/2006/relationships/hyperlink" Target="https://drive.google.com/file/d/1YK5wgYaJpoP6z9fslztq0CDakExpKdHq/view?usp=drivesdk" TargetMode="External"/><Relationship Id="rId2854" Type="http://schemas.openxmlformats.org/officeDocument/2006/relationships/hyperlink" Target="https://lh5.googleusercontent.com/d/15I1eT5CuSJGPjEmI-TmkysIHTMTIFx8M" TargetMode="External"/><Relationship Id="rId1524" Type="http://schemas.openxmlformats.org/officeDocument/2006/relationships/hyperlink" Target="https://lh5.googleusercontent.com/d/1Ucbxw2Mx1V59T5-2lMdSL4hsEEa1Yjtt" TargetMode="External"/><Relationship Id="rId2855" Type="http://schemas.openxmlformats.org/officeDocument/2006/relationships/hyperlink" Target="https://drive.google.com/file/d/18dEkgndpsUTXI0CDi-f6ppDh19udW9RN/view?usp=drivesdk" TargetMode="External"/><Relationship Id="rId1525" Type="http://schemas.openxmlformats.org/officeDocument/2006/relationships/hyperlink" Target="https://drive.google.com/file/d/100p746DDcKQHyRmW02VIH14oPVS_d8WM/view?usp=drivesdk" TargetMode="External"/><Relationship Id="rId2856" Type="http://schemas.openxmlformats.org/officeDocument/2006/relationships/hyperlink" Target="https://lh5.googleusercontent.com/d/1YYkWFMUUU89l8i9V_WQztUFqnEpa3G28" TargetMode="External"/><Relationship Id="rId1526" Type="http://schemas.openxmlformats.org/officeDocument/2006/relationships/hyperlink" Target="https://lh5.googleusercontent.com/d/1rRDSyBsvA-9H6RIQFTOYppoUE2AeKLRC" TargetMode="External"/><Relationship Id="rId2857" Type="http://schemas.openxmlformats.org/officeDocument/2006/relationships/hyperlink" Target="https://drive.google.com/file/d/150ZXrOM2Zz65MamIXt_2uep6d9ZcHP9H/view?usp=drivesdk" TargetMode="External"/><Relationship Id="rId1527" Type="http://schemas.openxmlformats.org/officeDocument/2006/relationships/hyperlink" Target="https://drive.google.com/file/d/17q88yrv0OAhAIZFRR9ao0_6AL_6VWOyI/view?usp=drivesdk" TargetMode="External"/><Relationship Id="rId2858" Type="http://schemas.openxmlformats.org/officeDocument/2006/relationships/hyperlink" Target="https://lh5.googleusercontent.com/d/1X_bTPxGCB4LXuDMOSGMNdt-_GWmVw-r_" TargetMode="External"/><Relationship Id="rId1528" Type="http://schemas.openxmlformats.org/officeDocument/2006/relationships/hyperlink" Target="https://lh5.googleusercontent.com/d/1v-7Dd6wtBWB8kh6r8mhjKy3sgrzksT9K" TargetMode="External"/><Relationship Id="rId2859" Type="http://schemas.openxmlformats.org/officeDocument/2006/relationships/hyperlink" Target="https://lh5.googleusercontent.com/d/17Qz5n8nSVi-k3-7ZXgQ8I3El4IN1l1rB" TargetMode="External"/><Relationship Id="rId1529" Type="http://schemas.openxmlformats.org/officeDocument/2006/relationships/hyperlink" Target="https://drive.google.com/file/d/1jVhmgG2Hjb8zaShJ4vLnpC5U9hulzjZD/view?usp=drivesdk" TargetMode="External"/><Relationship Id="rId939" Type="http://schemas.openxmlformats.org/officeDocument/2006/relationships/hyperlink" Target="https://lh5.googleusercontent.com/d/19M_23rsdIg3KzN-kc1SA4RXLg8Tb-8ef" TargetMode="External"/><Relationship Id="rId938" Type="http://schemas.openxmlformats.org/officeDocument/2006/relationships/hyperlink" Target="https://drive.google.com/file/d/1vzamLopVC52sYkwGdh-nKRGVe3fz0T4P/view?usp=drivesdk" TargetMode="External"/><Relationship Id="rId937" Type="http://schemas.openxmlformats.org/officeDocument/2006/relationships/hyperlink" Target="https://lh5.googleusercontent.com/d/1YbMM_2cDX4NlU0IPftPjyHWrOa_eXs5U" TargetMode="External"/><Relationship Id="rId932" Type="http://schemas.openxmlformats.org/officeDocument/2006/relationships/hyperlink" Target="https://drive.google.com/file/d/1wVUBRi4_-fKR8a9cz4PyK3WBKxYYlrda/view?usp=drivesdk" TargetMode="External"/><Relationship Id="rId931" Type="http://schemas.openxmlformats.org/officeDocument/2006/relationships/hyperlink" Target="https://lh5.googleusercontent.com/d/1Ir9Bf9pj_zOZl8GqJwx0Hn3xJuUPyBhl" TargetMode="External"/><Relationship Id="rId930" Type="http://schemas.openxmlformats.org/officeDocument/2006/relationships/hyperlink" Target="https://drive.google.com/file/d/17aGPqM3fR-S5DA8WTQVbZRXSDQrtdYc4/view?usp=drivesdk" TargetMode="External"/><Relationship Id="rId936" Type="http://schemas.openxmlformats.org/officeDocument/2006/relationships/hyperlink" Target="https://drive.google.com/file/d/1SFDq30k2FbGdVOi8j5bk1u5s0jzC93XP/view?usp=drivesdk" TargetMode="External"/><Relationship Id="rId935" Type="http://schemas.openxmlformats.org/officeDocument/2006/relationships/hyperlink" Target="https://lh5.googleusercontent.com/d/1fwxYwn7LjywH6f18gU7as-LX2DK0u043" TargetMode="External"/><Relationship Id="rId934" Type="http://schemas.openxmlformats.org/officeDocument/2006/relationships/hyperlink" Target="https://drive.google.com/file/d/1cYA57JrfKluFY3mYchZtv08KuuosqRzY/view?usp=drivesdk" TargetMode="External"/><Relationship Id="rId933" Type="http://schemas.openxmlformats.org/officeDocument/2006/relationships/hyperlink" Target="https://lh5.googleusercontent.com/d/1FSfjHU925l6KzzVuVwy_XA04O5jRK87j" TargetMode="External"/><Relationship Id="rId2850" Type="http://schemas.openxmlformats.org/officeDocument/2006/relationships/hyperlink" Target="https://lh5.googleusercontent.com/d/1j_Px3FepeC3SW-rBHLw4Zzmgf0kOTjJZ" TargetMode="External"/><Relationship Id="rId1520" Type="http://schemas.openxmlformats.org/officeDocument/2006/relationships/hyperlink" Target="https://lh5.googleusercontent.com/d/1R5Jc7A2ZEa1KNH6LJwcxuiytUfCSP6-9" TargetMode="External"/><Relationship Id="rId2851" Type="http://schemas.openxmlformats.org/officeDocument/2006/relationships/hyperlink" Target="https://drive.google.com/file/d/1e0zSn1eAIQ7mSUUXdeTIK59JRhw9zJLq/view?usp=drivesdk" TargetMode="External"/><Relationship Id="rId1554" Type="http://schemas.openxmlformats.org/officeDocument/2006/relationships/hyperlink" Target="https://drive.google.com/file/d/1f6LzRIjpVTxUFhwSJ6h1nGWoHsrqSIUk/view?usp=drivesdk" TargetMode="External"/><Relationship Id="rId2885" Type="http://schemas.openxmlformats.org/officeDocument/2006/relationships/hyperlink" Target="https://lh5.googleusercontent.com/d/1H1G4jd1iJv7wbH5ASH5f3hH0QjFGMfka" TargetMode="External"/><Relationship Id="rId5912" Type="http://schemas.openxmlformats.org/officeDocument/2006/relationships/hyperlink" Target="https://lh5.googleusercontent.com/d/1CLDc2asXpXjEJNnvZTTikBdZk9hi91ME" TargetMode="External"/><Relationship Id="rId1555" Type="http://schemas.openxmlformats.org/officeDocument/2006/relationships/hyperlink" Target="https://lh5.googleusercontent.com/d/1DWbIaIhIodDGE6AUZvrMtk4URNueY4al" TargetMode="External"/><Relationship Id="rId2886" Type="http://schemas.openxmlformats.org/officeDocument/2006/relationships/hyperlink" Target="https://drive.google.com/file/d/1kyO9hc9LjP60sPy9LSsJvAldShlY4NNY/view?usp=drivesdk" TargetMode="External"/><Relationship Id="rId5913" Type="http://schemas.openxmlformats.org/officeDocument/2006/relationships/hyperlink" Target="https://drive.google.com/file/d/1m320_37FYLYLJ2bllU_Vv34xodAzNDd2/view?usp=drivesdk" TargetMode="External"/><Relationship Id="rId1556" Type="http://schemas.openxmlformats.org/officeDocument/2006/relationships/hyperlink" Target="https://drive.google.com/file/d/1nyQHcQqcJZty4X4ugFZFBaIAYk2fkF1X/view?usp=drivesdk" TargetMode="External"/><Relationship Id="rId2887" Type="http://schemas.openxmlformats.org/officeDocument/2006/relationships/hyperlink" Target="https://lh5.googleusercontent.com/d/17o85aQ0CsQxZyRr4P-au5h19c8vvrvcb" TargetMode="External"/><Relationship Id="rId5910" Type="http://schemas.openxmlformats.org/officeDocument/2006/relationships/hyperlink" Target="https://lh5.googleusercontent.com/d/1klzpMMWk80-ERJFyonEaeggfdoN0MjIk" TargetMode="External"/><Relationship Id="rId1557" Type="http://schemas.openxmlformats.org/officeDocument/2006/relationships/hyperlink" Target="https://lh5.googleusercontent.com/d/1wWxMNY19RIsSvW1EJ05UMVRaM1FyXVr-" TargetMode="External"/><Relationship Id="rId2888" Type="http://schemas.openxmlformats.org/officeDocument/2006/relationships/hyperlink" Target="https://drive.google.com/file/d/1w8G1r2afnuVjZ632U6fnT_YOflJbCu9E/view?usp=drivesdk" TargetMode="External"/><Relationship Id="rId5911" Type="http://schemas.openxmlformats.org/officeDocument/2006/relationships/hyperlink" Target="https://drive.google.com/file/d/1BM-1Kdfosuo3qZZ17d9aBEyfOO7zf_dT/view?usp=drivesdk" TargetMode="External"/><Relationship Id="rId1558" Type="http://schemas.openxmlformats.org/officeDocument/2006/relationships/hyperlink" Target="https://drive.google.com/file/d/13loXTQeROPcK8RSbA6e8GD4Ct-uVFFgB/view?usp=drivesdk" TargetMode="External"/><Relationship Id="rId2889" Type="http://schemas.openxmlformats.org/officeDocument/2006/relationships/hyperlink" Target="https://lh5.googleusercontent.com/d/1EdnEEzQtIq9hHzU5vQGVsqf2kZWO1gm1" TargetMode="External"/><Relationship Id="rId5916" Type="http://schemas.openxmlformats.org/officeDocument/2006/relationships/hyperlink" Target="https://lh5.googleusercontent.com/d/1mz2jK60Zk6_w6vZoNhK-iw1YU81qrX4R" TargetMode="External"/><Relationship Id="rId1559" Type="http://schemas.openxmlformats.org/officeDocument/2006/relationships/hyperlink" Target="https://lh5.googleusercontent.com/d/14VfkYA43lLYzvWXGbBi0ato9lB7NE0w1" TargetMode="External"/><Relationship Id="rId5917" Type="http://schemas.openxmlformats.org/officeDocument/2006/relationships/hyperlink" Target="https://drive.google.com/file/d/1ULKnczyllyih6pDY2j_ooHnFXnajNhmG/view?usp=drivesdk" TargetMode="External"/><Relationship Id="rId5914" Type="http://schemas.openxmlformats.org/officeDocument/2006/relationships/hyperlink" Target="https://lh5.googleusercontent.com/d/1U9fz-ZV3Rq2Kq-KkCtVjRCJQlQGGhYl0" TargetMode="External"/><Relationship Id="rId5915" Type="http://schemas.openxmlformats.org/officeDocument/2006/relationships/hyperlink" Target="https://drive.google.com/file/d/1IuaVSuJ1KRRI3XIaRrnePFZhqiZjCWqm/view?usp=drivesdk" TargetMode="External"/><Relationship Id="rId5918" Type="http://schemas.openxmlformats.org/officeDocument/2006/relationships/hyperlink" Target="https://lh5.googleusercontent.com/d/14Zz3mAM9aN426GKlycKy1GmEu4xCn7rf" TargetMode="External"/><Relationship Id="rId5919" Type="http://schemas.openxmlformats.org/officeDocument/2006/relationships/hyperlink" Target="https://drive.google.com/file/d/1HZrRC9ESLNYEPqjAWG74BPrnqfmjw0xS/view?usp=drivesdk" TargetMode="External"/><Relationship Id="rId965" Type="http://schemas.openxmlformats.org/officeDocument/2006/relationships/hyperlink" Target="https://lh5.googleusercontent.com/d/1gpro0HloAQ3bXSq2EjQtysFjM54sOUHn" TargetMode="External"/><Relationship Id="rId964" Type="http://schemas.openxmlformats.org/officeDocument/2006/relationships/hyperlink" Target="https://drive.google.com/file/d/1xd3rpLYczBnxN043W2ftHgdoSMw2EVx3/view?usp=drivesdk" TargetMode="External"/><Relationship Id="rId963" Type="http://schemas.openxmlformats.org/officeDocument/2006/relationships/hyperlink" Target="https://lh5.googleusercontent.com/d/1UI0m9OZ0p2vRLlbOVVDY93CQVPLzYC4L" TargetMode="External"/><Relationship Id="rId962" Type="http://schemas.openxmlformats.org/officeDocument/2006/relationships/hyperlink" Target="https://drive.google.com/file/d/1T3I9gCby_u73DgCRO_Af7VCZT446g3v6/view?usp=drivesdk" TargetMode="External"/><Relationship Id="rId969" Type="http://schemas.openxmlformats.org/officeDocument/2006/relationships/hyperlink" Target="https://lh5.googleusercontent.com/d/1SjQxSSjRRshN46fT0_LCOJXFP3Ns-OOS" TargetMode="External"/><Relationship Id="rId968" Type="http://schemas.openxmlformats.org/officeDocument/2006/relationships/hyperlink" Target="https://drive.google.com/file/d/1q1hmMfXmZM2y03MRuuKzVUkwMFRLmiaD/view?usp=drivesdk" TargetMode="External"/><Relationship Id="rId967" Type="http://schemas.openxmlformats.org/officeDocument/2006/relationships/hyperlink" Target="https://lh5.googleusercontent.com/d/1EkwQJgmWgqfcXo6pnJy4bp4fQx6dzyWw" TargetMode="External"/><Relationship Id="rId966" Type="http://schemas.openxmlformats.org/officeDocument/2006/relationships/hyperlink" Target="https://drive.google.com/file/d/1VPXkTGs8ejwM8EF7dMiVHCdWOBYFUU6g/view?usp=drivesdk" TargetMode="External"/><Relationship Id="rId2880" Type="http://schemas.openxmlformats.org/officeDocument/2006/relationships/hyperlink" Target="https://drive.google.com/file/d/1sljji2w5e23nc41739kmUQGdWXzoJznl/view?usp=drivesdk" TargetMode="External"/><Relationship Id="rId961" Type="http://schemas.openxmlformats.org/officeDocument/2006/relationships/hyperlink" Target="https://lh5.googleusercontent.com/d/1yeCF95hGQzsJ-UjUeMBRdZq9PaGAX-w6" TargetMode="External"/><Relationship Id="rId1550" Type="http://schemas.openxmlformats.org/officeDocument/2006/relationships/hyperlink" Target="https://drive.google.com/file/d/1tpuCCvJmS-wkBnyJswr-eCmYPf3YUJKt/view?usp=drivesdk" TargetMode="External"/><Relationship Id="rId2881" Type="http://schemas.openxmlformats.org/officeDocument/2006/relationships/hyperlink" Target="https://lh5.googleusercontent.com/d/1PXxXDunftf7Oynb3lBfi3A5PwPTh5BA_" TargetMode="External"/><Relationship Id="rId960" Type="http://schemas.openxmlformats.org/officeDocument/2006/relationships/hyperlink" Target="https://drive.google.com/file/d/1kAN-z27SJ8kVXiuPGn2CSv8BIq9vxSZH/view?usp=drivesdk" TargetMode="External"/><Relationship Id="rId1551" Type="http://schemas.openxmlformats.org/officeDocument/2006/relationships/hyperlink" Target="https://lh5.googleusercontent.com/d/1w2On9Vcfzgb53NBMPGW71KOM2T8q0B4e" TargetMode="External"/><Relationship Id="rId2882" Type="http://schemas.openxmlformats.org/officeDocument/2006/relationships/hyperlink" Target="https://drive.google.com/file/d/17cbwRsyO48WCmjZH6dyB6t5EX2MxtULP/view?usp=drivesdk" TargetMode="External"/><Relationship Id="rId1552" Type="http://schemas.openxmlformats.org/officeDocument/2006/relationships/hyperlink" Target="https://drive.google.com/file/d/1VWtkLGhjdVpHYq9-gmD8xx6PFygmoXci/view?usp=drivesdk" TargetMode="External"/><Relationship Id="rId2883" Type="http://schemas.openxmlformats.org/officeDocument/2006/relationships/hyperlink" Target="https://lh5.googleusercontent.com/d/1LmMYpeMx1cZNkhpbuJhjLOz9SZvTTsZr" TargetMode="External"/><Relationship Id="rId1553" Type="http://schemas.openxmlformats.org/officeDocument/2006/relationships/hyperlink" Target="https://lh5.googleusercontent.com/d/1O-Fmb8WzuP46MZrfRY6B0F2kNO5qltob" TargetMode="External"/><Relationship Id="rId2884" Type="http://schemas.openxmlformats.org/officeDocument/2006/relationships/hyperlink" Target="https://drive.google.com/file/d/1OREvklKvzkNA6hzisO8dXIDjdo2K9F1s/view?usp=drivesdk" TargetMode="External"/><Relationship Id="rId1543" Type="http://schemas.openxmlformats.org/officeDocument/2006/relationships/hyperlink" Target="https://drive.google.com/file/d/1IG8qQcD96CL2PhWVJ8ZCDUEd5KcwcHzn/view?usp=drivesdk" TargetMode="External"/><Relationship Id="rId2874" Type="http://schemas.openxmlformats.org/officeDocument/2006/relationships/hyperlink" Target="https://drive.google.com/file/d/1UCuSRGFIsRAQJLyyqBOQQmQbof4k0ss-/view?usp=drivesdk" TargetMode="External"/><Relationship Id="rId5901" Type="http://schemas.openxmlformats.org/officeDocument/2006/relationships/hyperlink" Target="https://drive.google.com/file/d/1wBMKsbntiPEE5p_E6fCTnG9POkALqH-A/view?usp=drivesdk" TargetMode="External"/><Relationship Id="rId1544" Type="http://schemas.openxmlformats.org/officeDocument/2006/relationships/hyperlink" Target="https://lh5.googleusercontent.com/d/1KhJ976ftEg9v3y9ztK9u28XbOaugJpr-" TargetMode="External"/><Relationship Id="rId2875" Type="http://schemas.openxmlformats.org/officeDocument/2006/relationships/hyperlink" Target="https://lh5.googleusercontent.com/d/14j2ZHtO0Pjdafz8KE3uhtWmvnCO7WxD4" TargetMode="External"/><Relationship Id="rId5902" Type="http://schemas.openxmlformats.org/officeDocument/2006/relationships/hyperlink" Target="https://lh5.googleusercontent.com/d/15GCxxw5Ro8GZqNXo-H_3SVI_D8sYrEZi" TargetMode="External"/><Relationship Id="rId1545" Type="http://schemas.openxmlformats.org/officeDocument/2006/relationships/hyperlink" Target="https://drive.google.com/file/d/1PkfwYpL-gZp-5TJhBWYgWlYaffiRh8a3/view?usp=drivesdk" TargetMode="External"/><Relationship Id="rId2876" Type="http://schemas.openxmlformats.org/officeDocument/2006/relationships/hyperlink" Target="https://drive.google.com/file/d/1sbVi72sT31yuL57TalgFmT_o0capvDv3/view?usp=drivesdk" TargetMode="External"/><Relationship Id="rId1546" Type="http://schemas.openxmlformats.org/officeDocument/2006/relationships/hyperlink" Target="https://lh5.googleusercontent.com/d/1xphOnxo5d-IU94vElqKoTLpsW_y89SA3" TargetMode="External"/><Relationship Id="rId2877" Type="http://schemas.openxmlformats.org/officeDocument/2006/relationships/hyperlink" Target="https://lh5.googleusercontent.com/d/1mQ5fkrU5skXb_5ZH0x8JWcz7DSW_jq7q" TargetMode="External"/><Relationship Id="rId5900" Type="http://schemas.openxmlformats.org/officeDocument/2006/relationships/hyperlink" Target="https://lh5.googleusercontent.com/d/19cz6LJHNk3QuFix9ykPJUKOjT5SbzLKQ" TargetMode="External"/><Relationship Id="rId1547" Type="http://schemas.openxmlformats.org/officeDocument/2006/relationships/hyperlink" Target="https://drive.google.com/file/d/1B6_7nZDCmFhvNbSytEBQndFOUq5ClhjY/view?usp=drivesdk" TargetMode="External"/><Relationship Id="rId2878" Type="http://schemas.openxmlformats.org/officeDocument/2006/relationships/hyperlink" Target="https://drive.google.com/file/d/1rI7BxhEBHcCzE24Li29CulronpR0XThU/view?usp=drivesdk" TargetMode="External"/><Relationship Id="rId5905" Type="http://schemas.openxmlformats.org/officeDocument/2006/relationships/hyperlink" Target="https://drive.google.com/file/d/1MXKrGa7WyxIb8BnRzU2Z0RswSE1FZJD1/view?usp=drivesdk" TargetMode="External"/><Relationship Id="rId1548" Type="http://schemas.openxmlformats.org/officeDocument/2006/relationships/hyperlink" Target="https://drive.google.com/file/d/1S0fIqUlOl2ekBMK9uzj_orgmCxYWNcvi/view?usp=drivesdk" TargetMode="External"/><Relationship Id="rId2879" Type="http://schemas.openxmlformats.org/officeDocument/2006/relationships/hyperlink" Target="https://lh5.googleusercontent.com/d/1ze9qQM2ZCpmyf8jrASK4NMcGZbnrJgjT" TargetMode="External"/><Relationship Id="rId5906" Type="http://schemas.openxmlformats.org/officeDocument/2006/relationships/hyperlink" Target="https://lh5.googleusercontent.com/d/1CZDfH6tit45bFauhOFXJ4ZUKj9xWQkf_" TargetMode="External"/><Relationship Id="rId1549" Type="http://schemas.openxmlformats.org/officeDocument/2006/relationships/hyperlink" Target="https://lh5.googleusercontent.com/d/1R54lh7cIa52XvZbi7kf9xyvqIa0LUxhS" TargetMode="External"/><Relationship Id="rId5903" Type="http://schemas.openxmlformats.org/officeDocument/2006/relationships/hyperlink" Target="https://drive.google.com/file/d/1sHut5IekQNS4LSnKLPh7zA0RzxlwDS7J/view?usp=drivesdk" TargetMode="External"/><Relationship Id="rId5904" Type="http://schemas.openxmlformats.org/officeDocument/2006/relationships/hyperlink" Target="https://lh5.googleusercontent.com/d/1cUR6qqfLzOQePBP-KEJGlSPh0UPVyM7L" TargetMode="External"/><Relationship Id="rId5909" Type="http://schemas.openxmlformats.org/officeDocument/2006/relationships/hyperlink" Target="https://drive.google.com/file/d/1N0Ud26k3vMBdsaiCKJnIdRt01QrJLs4H/view?usp=drivesdk" TargetMode="External"/><Relationship Id="rId5907" Type="http://schemas.openxmlformats.org/officeDocument/2006/relationships/hyperlink" Target="https://drive.google.com/file/d/1JE6vWzq3YAWv8r8QI8scA7rdyyMbphEQ/view?usp=drivesdk" TargetMode="External"/><Relationship Id="rId959" Type="http://schemas.openxmlformats.org/officeDocument/2006/relationships/hyperlink" Target="https://lh5.googleusercontent.com/d/1zwAqyT2UJdu1b0BGrBtieEXn5cGttw5w" TargetMode="External"/><Relationship Id="rId5908" Type="http://schemas.openxmlformats.org/officeDocument/2006/relationships/hyperlink" Target="https://lh5.googleusercontent.com/d/1yNYzgSctEcrHeMWHCui2ulwV4z8OBm83" TargetMode="External"/><Relationship Id="rId954" Type="http://schemas.openxmlformats.org/officeDocument/2006/relationships/hyperlink" Target="https://drive.google.com/file/d/1vxX315NMZHKItXoaZg6HIZXPOCSg991C/view?usp=drivesdk" TargetMode="External"/><Relationship Id="rId953" Type="http://schemas.openxmlformats.org/officeDocument/2006/relationships/hyperlink" Target="https://lh5.googleusercontent.com/d/1GYXm0UK1HJrbnD83afaz0ZYTE_VVJtI5" TargetMode="External"/><Relationship Id="rId952" Type="http://schemas.openxmlformats.org/officeDocument/2006/relationships/hyperlink" Target="https://drive.google.com/file/d/1wI6jPwTe2Yng95ZbnlN-a4Y4G-5L_pko/view?usp=drivesdk" TargetMode="External"/><Relationship Id="rId951" Type="http://schemas.openxmlformats.org/officeDocument/2006/relationships/hyperlink" Target="https://lh5.googleusercontent.com/d/1FRASG3NTy992D3abfzW3MP7IKxSk37ls" TargetMode="External"/><Relationship Id="rId958" Type="http://schemas.openxmlformats.org/officeDocument/2006/relationships/hyperlink" Target="https://drive.google.com/file/d/1X9RsdnFXzFWQIS6KMvF2vq3eIq_jl7Sx/view?usp=drivesdk" TargetMode="External"/><Relationship Id="rId957" Type="http://schemas.openxmlformats.org/officeDocument/2006/relationships/hyperlink" Target="https://lh5.googleusercontent.com/d/1hkE-RSHgirWsNTEKtfx36sdOgqffEvP2" TargetMode="External"/><Relationship Id="rId956" Type="http://schemas.openxmlformats.org/officeDocument/2006/relationships/hyperlink" Target="https://drive.google.com/file/d/1t4yWYNWcD9xpDBr7yw-douSvVxCNKbkC/view?usp=drivesdk" TargetMode="External"/><Relationship Id="rId955" Type="http://schemas.openxmlformats.org/officeDocument/2006/relationships/hyperlink" Target="https://lh5.googleusercontent.com/d/1vSmteFngTlwWZ8JZYzB-b4VNNXW1vltk" TargetMode="External"/><Relationship Id="rId950" Type="http://schemas.openxmlformats.org/officeDocument/2006/relationships/hyperlink" Target="https://drive.google.com/file/d/1tnPXsDB5qTy2MzlTr7dOUNuW2mJXL_RE/view?usp=drivesdk" TargetMode="External"/><Relationship Id="rId2870" Type="http://schemas.openxmlformats.org/officeDocument/2006/relationships/hyperlink" Target="https://drive.google.com/file/d/12mvTlcwB5g05YSU5PTMXs0LzjdCPod1h/view?usp=drivesdk" TargetMode="External"/><Relationship Id="rId1540" Type="http://schemas.openxmlformats.org/officeDocument/2006/relationships/hyperlink" Target="https://lh5.googleusercontent.com/d/1YWw_M0yulcOT2KweZnNeAJZKSLEPxWjk" TargetMode="External"/><Relationship Id="rId2871" Type="http://schemas.openxmlformats.org/officeDocument/2006/relationships/hyperlink" Target="https://lh5.googleusercontent.com/d/1TcZP-8LZ867jKEt4rUqNYV4fxYh-DA63" TargetMode="External"/><Relationship Id="rId1541" Type="http://schemas.openxmlformats.org/officeDocument/2006/relationships/hyperlink" Target="https://drive.google.com/file/d/1GsLVgKG71oZbvkwqL96Rd8o30AUjMnhC/view?usp=drivesdk" TargetMode="External"/><Relationship Id="rId2872" Type="http://schemas.openxmlformats.org/officeDocument/2006/relationships/hyperlink" Target="https://drive.google.com/file/d/1hMA5qWjzrblPLvGE9O2YOq-tfLNCHJWP/view?usp=drivesdk" TargetMode="External"/><Relationship Id="rId1542" Type="http://schemas.openxmlformats.org/officeDocument/2006/relationships/hyperlink" Target="https://lh5.googleusercontent.com/d/1CNvMybl4mV78bK1wlTGPGhyVeZzmS0ns" TargetMode="External"/><Relationship Id="rId2873" Type="http://schemas.openxmlformats.org/officeDocument/2006/relationships/hyperlink" Target="https://lh5.googleusercontent.com/d/1pc-ypG0IkVY8Yh5dB7kRomI52ppJ5uvX" TargetMode="External"/><Relationship Id="rId2027" Type="http://schemas.openxmlformats.org/officeDocument/2006/relationships/hyperlink" Target="https://drive.google.com/file/d/1js7R-q4GEdyYa9b-h8UU0jydR2cDJb8x/view?usp=drivesdk" TargetMode="External"/><Relationship Id="rId3359" Type="http://schemas.openxmlformats.org/officeDocument/2006/relationships/hyperlink" Target="https://lh5.googleusercontent.com/d/1HlwPTCnW9rZj20sx6g4oxctbPPZcf8xs" TargetMode="External"/><Relationship Id="rId2028" Type="http://schemas.openxmlformats.org/officeDocument/2006/relationships/hyperlink" Target="https://lh5.googleusercontent.com/d/1nuoffVLe_tnXtGOM2Hbq_8L7ld1vOWQb" TargetMode="External"/><Relationship Id="rId3358" Type="http://schemas.openxmlformats.org/officeDocument/2006/relationships/hyperlink" Target="https://drive.google.com/file/d/1K2IedBq3HmIP5dYRB9uKKxQYm-4qhFng/view?usp=drivesdk" TargetMode="External"/><Relationship Id="rId4689" Type="http://schemas.openxmlformats.org/officeDocument/2006/relationships/hyperlink" Target="https://lh5.googleusercontent.com/d/1V7KhHiaqmanESRA1QAO6p2YHTY4vOQeV" TargetMode="External"/><Relationship Id="rId2029" Type="http://schemas.openxmlformats.org/officeDocument/2006/relationships/hyperlink" Target="https://drive.google.com/file/d/1rwfkGIpmBQTp2ltCJiNjbfTeUALlCnlc/view?usp=drivesdk" TargetMode="External"/><Relationship Id="rId107" Type="http://schemas.openxmlformats.org/officeDocument/2006/relationships/hyperlink" Target="https://drive.google.com/file/d/19yE-Ns8YuI85OmpAsj4HOSU3_CAVFEqg/view?usp=drivesdk" TargetMode="External"/><Relationship Id="rId106" Type="http://schemas.openxmlformats.org/officeDocument/2006/relationships/hyperlink" Target="https://lh5.googleusercontent.com/d/104PZM-l1VPywgyHlSIvh5Roe3JrsvqXt" TargetMode="External"/><Relationship Id="rId105" Type="http://schemas.openxmlformats.org/officeDocument/2006/relationships/hyperlink" Target="https://drive.google.com/file/d/1d74bVAfW1GFmbP31-T27zoMJBorIqKRf/view?usp=drivesdk" TargetMode="External"/><Relationship Id="rId104" Type="http://schemas.openxmlformats.org/officeDocument/2006/relationships/hyperlink" Target="https://lh5.googleusercontent.com/d/1YH77T5XkChq7u-rcugxI3MgAC6Sy3z8Q" TargetMode="External"/><Relationship Id="rId109" Type="http://schemas.openxmlformats.org/officeDocument/2006/relationships/hyperlink" Target="https://drive.google.com/file/d/1dWCc8SuhQK0usZ_PsWH3qQxRow0EXfB1/view?usp=drivesdk" TargetMode="External"/><Relationship Id="rId4680" Type="http://schemas.openxmlformats.org/officeDocument/2006/relationships/hyperlink" Target="https://drive.google.com/file/d/12_2g8RoXbxzDIn11lWaRdzf6KG3Kq9TQ/view?usp=drivesdk" TargetMode="External"/><Relationship Id="rId108" Type="http://schemas.openxmlformats.org/officeDocument/2006/relationships/hyperlink" Target="https://lh5.googleusercontent.com/d/1dncskeXjWDm0RsP5Az2RupanUSDDYUJS" TargetMode="External"/><Relationship Id="rId3351" Type="http://schemas.openxmlformats.org/officeDocument/2006/relationships/hyperlink" Target="https://lh5.googleusercontent.com/d/1cQB9P1OgtV0QjVAm-YE4IiBrTOVTI4wm" TargetMode="External"/><Relationship Id="rId4682" Type="http://schemas.openxmlformats.org/officeDocument/2006/relationships/hyperlink" Target="https://drive.google.com/file/d/1QKWJdJj6_UxBkXwx7yJ2VEibbmBW7tJu/view?usp=drivesdk" TargetMode="External"/><Relationship Id="rId2020" Type="http://schemas.openxmlformats.org/officeDocument/2006/relationships/hyperlink" Target="https://lh5.googleusercontent.com/d/1G30J6n0PYfdUk3lLxyzIRfiiUPUkSaQx" TargetMode="External"/><Relationship Id="rId3350" Type="http://schemas.openxmlformats.org/officeDocument/2006/relationships/hyperlink" Target="https://drive.google.com/file/d/1h1Br1ap5yijYKRyzqwIZnvluHcTpG4wi/view?usp=drivesdk" TargetMode="External"/><Relationship Id="rId4681" Type="http://schemas.openxmlformats.org/officeDocument/2006/relationships/hyperlink" Target="https://lh5.googleusercontent.com/d/1LlJAU6eQdsA1l-eR4PrKj29Zn6r3-eIq" TargetMode="External"/><Relationship Id="rId2021" Type="http://schemas.openxmlformats.org/officeDocument/2006/relationships/hyperlink" Target="https://drive.google.com/file/d/1nKm-reiVL-5P-PhGBXPCTgaCrbgYxFZs/view?usp=drivesdk" TargetMode="External"/><Relationship Id="rId3353" Type="http://schemas.openxmlformats.org/officeDocument/2006/relationships/hyperlink" Target="https://lh5.googleusercontent.com/d/1n8AoL-7zJEzFk3kLhIcdkNVKGIlMOJGk" TargetMode="External"/><Relationship Id="rId4684" Type="http://schemas.openxmlformats.org/officeDocument/2006/relationships/hyperlink" Target="https://drive.google.com/file/d/1T1_Gskva-tUGGKNYDytezSvt9eYiQzPd/view?usp=drivesdk" TargetMode="External"/><Relationship Id="rId2022" Type="http://schemas.openxmlformats.org/officeDocument/2006/relationships/hyperlink" Target="https://lh5.googleusercontent.com/d/1z6nmxlxKiUWoChJ3MILt1cCkpftpgncR" TargetMode="External"/><Relationship Id="rId3352" Type="http://schemas.openxmlformats.org/officeDocument/2006/relationships/hyperlink" Target="https://drive.google.com/file/d/1QcjhmqwGmV34wf6Djh6AbqzlJ_SnSByY/view?usp=drivesdk" TargetMode="External"/><Relationship Id="rId4683" Type="http://schemas.openxmlformats.org/officeDocument/2006/relationships/hyperlink" Target="https://lh5.googleusercontent.com/d/10w-cmP5Gd2FUgQPki3vuDVLMm_-PgWql" TargetMode="External"/><Relationship Id="rId103" Type="http://schemas.openxmlformats.org/officeDocument/2006/relationships/hyperlink" Target="https://drive.google.com/file/d/1Yjedm8xSkwC83n-0ytJawuVoCvJ6tZ0R/view?usp=drivesdk" TargetMode="External"/><Relationship Id="rId2023" Type="http://schemas.openxmlformats.org/officeDocument/2006/relationships/hyperlink" Target="https://drive.google.com/file/d/1t0lSWd0VfNfM_q0MKL1dDnerAmvI2LxP/view?usp=drivesdk" TargetMode="External"/><Relationship Id="rId3355" Type="http://schemas.openxmlformats.org/officeDocument/2006/relationships/hyperlink" Target="https://lh5.googleusercontent.com/d/1HCCc-d5O3MHErv3WGlc5SFlf1M4LOHY8" TargetMode="External"/><Relationship Id="rId4686" Type="http://schemas.openxmlformats.org/officeDocument/2006/relationships/hyperlink" Target="https://drive.google.com/file/d/1IetE9tCR5JaWA1sJB-HREhbBIg-nDkPZ/view?usp=drivesdk" TargetMode="External"/><Relationship Id="rId102" Type="http://schemas.openxmlformats.org/officeDocument/2006/relationships/hyperlink" Target="https://lh5.googleusercontent.com/d/1NP417WIkLdTIcWVUSc5yQm4Ms6-JgFQU" TargetMode="External"/><Relationship Id="rId2024" Type="http://schemas.openxmlformats.org/officeDocument/2006/relationships/hyperlink" Target="https://lh5.googleusercontent.com/d/1B_c41Zf_idGzbZ6yY1-gzkH4jhsTCLRy" TargetMode="External"/><Relationship Id="rId3354" Type="http://schemas.openxmlformats.org/officeDocument/2006/relationships/hyperlink" Target="https://drive.google.com/file/d/1jhvslPE_QGEefUqE4UXgP54GkaDMxA_4/view?usp=drivesdk" TargetMode="External"/><Relationship Id="rId4685" Type="http://schemas.openxmlformats.org/officeDocument/2006/relationships/hyperlink" Target="https://lh5.googleusercontent.com/d/1zJ9A1dLh8docXpbkj2-Xla4qJVG8eSwP" TargetMode="External"/><Relationship Id="rId101" Type="http://schemas.openxmlformats.org/officeDocument/2006/relationships/hyperlink" Target="https://drive.google.com/file/d/1cbzl87hJ5aUQHN0n9bm_b0CfVN-AcwPS/view?usp=drivesdk" TargetMode="External"/><Relationship Id="rId2025" Type="http://schemas.openxmlformats.org/officeDocument/2006/relationships/hyperlink" Target="https://drive.google.com/file/d/1jOTucBIQs6775MWv2n2Qn_I2Bdx9rV95/view?usp=drivesdk" TargetMode="External"/><Relationship Id="rId3357" Type="http://schemas.openxmlformats.org/officeDocument/2006/relationships/hyperlink" Target="https://lh5.googleusercontent.com/d/1Y40msjKEg1XnsCWF69G0wbmrczTL_vdB" TargetMode="External"/><Relationship Id="rId4688" Type="http://schemas.openxmlformats.org/officeDocument/2006/relationships/hyperlink" Target="https://drive.google.com/file/d/1XsOC91jgla5TkpxAbewVnrX5w2nSMzTL/view?usp=drivesdk" TargetMode="External"/><Relationship Id="rId100" Type="http://schemas.openxmlformats.org/officeDocument/2006/relationships/hyperlink" Target="https://lh5.googleusercontent.com/d/1xlHBqzkS86YEuNNjzLU08JbG6ls29tbo" TargetMode="External"/><Relationship Id="rId2026" Type="http://schemas.openxmlformats.org/officeDocument/2006/relationships/hyperlink" Target="https://lh5.googleusercontent.com/d/13cwDmpJG7tyrHUevlBW-G5osT-cObTpV" TargetMode="External"/><Relationship Id="rId3356" Type="http://schemas.openxmlformats.org/officeDocument/2006/relationships/hyperlink" Target="https://drive.google.com/file/d/1Nf5Y35ldmYx2CnSK3vTLNqw3JbZiVWQw/view?usp=drivesdk" TargetMode="External"/><Relationship Id="rId4687" Type="http://schemas.openxmlformats.org/officeDocument/2006/relationships/hyperlink" Target="https://lh5.googleusercontent.com/d/1L_YjsEvjI5GurR-8wMkUj77Qlb2oXZ6Y" TargetMode="External"/><Relationship Id="rId2016" Type="http://schemas.openxmlformats.org/officeDocument/2006/relationships/hyperlink" Target="https://lh5.googleusercontent.com/d/13wbWam-tPOVUF7zxmoI1oIa6HVeMSWrg" TargetMode="External"/><Relationship Id="rId3348" Type="http://schemas.openxmlformats.org/officeDocument/2006/relationships/hyperlink" Target="https://drive.google.com/file/d/1b32PJzGc2yMTkvsUoIk2rNkzTlWa6Jci/view?usp=drivesdk" TargetMode="External"/><Relationship Id="rId4679" Type="http://schemas.openxmlformats.org/officeDocument/2006/relationships/hyperlink" Target="https://lh5.googleusercontent.com/d/1OTn5jSDMJEWU1GgjH3bXOYaDNeMAXD_h" TargetMode="External"/><Relationship Id="rId2017" Type="http://schemas.openxmlformats.org/officeDocument/2006/relationships/hyperlink" Target="https://drive.google.com/file/d/15xq45KTDoIeGkN-VGWIdhMcqntPld9-w/view?usp=drivesdk" TargetMode="External"/><Relationship Id="rId3347" Type="http://schemas.openxmlformats.org/officeDocument/2006/relationships/hyperlink" Target="https://lh5.googleusercontent.com/d/1MPn4lAdBc7y4sKEI0gk8BcbIOhIuwMQI" TargetMode="External"/><Relationship Id="rId4678" Type="http://schemas.openxmlformats.org/officeDocument/2006/relationships/hyperlink" Target="https://drive.google.com/file/d/1XCew-Njs5_QjIXsLR6cxn2vip1n2spQF/view?usp=drivesdk" TargetMode="External"/><Relationship Id="rId2018" Type="http://schemas.openxmlformats.org/officeDocument/2006/relationships/hyperlink" Target="https://lh5.googleusercontent.com/d/105fxaWzjSA8lnIuwBZhvDpVFMY9aBmFs" TargetMode="External"/><Relationship Id="rId2019" Type="http://schemas.openxmlformats.org/officeDocument/2006/relationships/hyperlink" Target="https://drive.google.com/file/d/1F4JFqXJOxuR5juwCGGEQuiBcYbg9W97d/view?usp=drivesdk" TargetMode="External"/><Relationship Id="rId3349" Type="http://schemas.openxmlformats.org/officeDocument/2006/relationships/hyperlink" Target="https://lh5.googleusercontent.com/d/1ZQNlOwgcTzcqGtR4wB8V8ZuGSTMBOD9L" TargetMode="External"/><Relationship Id="rId3340" Type="http://schemas.openxmlformats.org/officeDocument/2006/relationships/hyperlink" Target="https://drive.google.com/file/d/1edrJLBipNXFLkr0Cu4SMU2X-mKg0xTUh/view?usp=drivesdk" TargetMode="External"/><Relationship Id="rId4671" Type="http://schemas.openxmlformats.org/officeDocument/2006/relationships/hyperlink" Target="https://lh5.googleusercontent.com/d/1qChOeXSPjXJhNJN_8gxXiZv14xUtKqSz" TargetMode="External"/><Relationship Id="rId4670" Type="http://schemas.openxmlformats.org/officeDocument/2006/relationships/hyperlink" Target="https://drive.google.com/file/d/1IaAWIjM_7y72Rjewnnmy_hsd_Bs-oZJz/view?usp=drivesdk" TargetMode="External"/><Relationship Id="rId2010" Type="http://schemas.openxmlformats.org/officeDocument/2006/relationships/hyperlink" Target="https://lh5.googleusercontent.com/d/1kDM1yRU6nwwwEre1N3MKvcs_1WKLu5Sj" TargetMode="External"/><Relationship Id="rId3342" Type="http://schemas.openxmlformats.org/officeDocument/2006/relationships/hyperlink" Target="https://drive.google.com/file/d/18KEsK7LZzj9uu2e9W8YC_7Bnwx-UNdBu/view?usp=drivesdk" TargetMode="External"/><Relationship Id="rId4673" Type="http://schemas.openxmlformats.org/officeDocument/2006/relationships/hyperlink" Target="https://lh5.googleusercontent.com/d/1Qh9EYvUjBy8etGnzWiBzioQTCd05eXLo" TargetMode="External"/><Relationship Id="rId2011" Type="http://schemas.openxmlformats.org/officeDocument/2006/relationships/hyperlink" Target="https://drive.google.com/file/d/1YoRLrrpYyWetopheQ1mhV5tsgDxS_1vh/view?usp=drivesdk" TargetMode="External"/><Relationship Id="rId3341" Type="http://schemas.openxmlformats.org/officeDocument/2006/relationships/hyperlink" Target="https://lh5.googleusercontent.com/d/1NB1jMLmOYNMKNqr10MbebOI3CGwuT6RB" TargetMode="External"/><Relationship Id="rId4672" Type="http://schemas.openxmlformats.org/officeDocument/2006/relationships/hyperlink" Target="https://drive.google.com/file/d/1zMczC8RMimbMoy_xqJr7TZs3YL2u61Li/view?usp=drivesdk" TargetMode="External"/><Relationship Id="rId2012" Type="http://schemas.openxmlformats.org/officeDocument/2006/relationships/hyperlink" Target="https://lh5.googleusercontent.com/d/1KrapvcgmThCp8UEbD00uKXcOUVtLevUl" TargetMode="External"/><Relationship Id="rId3344" Type="http://schemas.openxmlformats.org/officeDocument/2006/relationships/hyperlink" Target="https://drive.google.com/file/d/1Pt7ytzR5FbIj6LtQPNWtflkMCOO_KBjO/view?usp=drivesdk" TargetMode="External"/><Relationship Id="rId4675" Type="http://schemas.openxmlformats.org/officeDocument/2006/relationships/hyperlink" Target="https://lh5.googleusercontent.com/d/1q0iAUcFE4W6jI3QFfKvrXewwb6gxcpNp" TargetMode="External"/><Relationship Id="rId2013" Type="http://schemas.openxmlformats.org/officeDocument/2006/relationships/hyperlink" Target="https://drive.google.com/file/d/1FEUXp_pr9idWXRNCw3NoLZE8rThfsGZk/view?usp=drivesdk" TargetMode="External"/><Relationship Id="rId3343" Type="http://schemas.openxmlformats.org/officeDocument/2006/relationships/hyperlink" Target="https://lh5.googleusercontent.com/d/1sB3VmT_hDYBPFVKjVXF1fSP9_LV1VcZ4" TargetMode="External"/><Relationship Id="rId4674" Type="http://schemas.openxmlformats.org/officeDocument/2006/relationships/hyperlink" Target="https://drive.google.com/file/d/1Bw2-dokchdcMXl77TMdfpn5dPOQGhgMT/view?usp=drivesdk" TargetMode="External"/><Relationship Id="rId2014" Type="http://schemas.openxmlformats.org/officeDocument/2006/relationships/hyperlink" Target="https://lh5.googleusercontent.com/d/1IYkAqyOwER98xK5xOhQi7EK6Hqg3XBTC" TargetMode="External"/><Relationship Id="rId3346" Type="http://schemas.openxmlformats.org/officeDocument/2006/relationships/hyperlink" Target="https://drive.google.com/file/d/12z8HyfvZMv8pO0rO9m7Djv2b4VjLZZzI/view?usp=drivesdk" TargetMode="External"/><Relationship Id="rId4677" Type="http://schemas.openxmlformats.org/officeDocument/2006/relationships/hyperlink" Target="https://lh5.googleusercontent.com/d/17xd8pW0CJXzL9wN3EwbSxFBqRrqhD23z" TargetMode="External"/><Relationship Id="rId2015" Type="http://schemas.openxmlformats.org/officeDocument/2006/relationships/hyperlink" Target="https://drive.google.com/file/d/133HRvDNcDcTAljb-yQfgZjR__yn2028l/view?usp=drivesdk" TargetMode="External"/><Relationship Id="rId3345" Type="http://schemas.openxmlformats.org/officeDocument/2006/relationships/hyperlink" Target="https://lh5.googleusercontent.com/d/16QiHb9Pvt7apRU-ySXB7faW7_Znp_7Oi" TargetMode="External"/><Relationship Id="rId4676" Type="http://schemas.openxmlformats.org/officeDocument/2006/relationships/hyperlink" Target="https://drive.google.com/file/d/1Ye9RIG8dsxMA04LXOiWVefhBc9v-G2Kd/view?usp=drivesdk" TargetMode="External"/><Relationship Id="rId2049" Type="http://schemas.openxmlformats.org/officeDocument/2006/relationships/hyperlink" Target="https://drive.google.com/file/d/14uVjX44m-58mNT_P-Qw3tdfFYc28c8kU/view?usp=drivesdk" TargetMode="External"/><Relationship Id="rId129" Type="http://schemas.openxmlformats.org/officeDocument/2006/relationships/hyperlink" Target="https://drive.google.com/file/d/1RNFo7mcIqrXYrmgW2tcAzxIegwmVQHz8/view?usp=drivesdk" TargetMode="External"/><Relationship Id="rId128" Type="http://schemas.openxmlformats.org/officeDocument/2006/relationships/hyperlink" Target="https://lh5.googleusercontent.com/d/1h4_OEB2AUFckRtE7i9UgJudq4mHEV8kL" TargetMode="External"/><Relationship Id="rId127" Type="http://schemas.openxmlformats.org/officeDocument/2006/relationships/hyperlink" Target="https://drive.google.com/file/d/1mL9V4_7bW-lpyRHKqcPod0FeTpsAtf3i/view?usp=drivesdk" TargetMode="External"/><Relationship Id="rId126" Type="http://schemas.openxmlformats.org/officeDocument/2006/relationships/hyperlink" Target="https://lh5.googleusercontent.com/d/1Dlj57REotQ9D4cDKG6q-ngYGf8lGAVB6" TargetMode="External"/><Relationship Id="rId3371" Type="http://schemas.openxmlformats.org/officeDocument/2006/relationships/hyperlink" Target="https://lh5.googleusercontent.com/d/1Fi_du67sOgup8Zk6Cg6N3TgHwojOCCpF" TargetMode="External"/><Relationship Id="rId2040" Type="http://schemas.openxmlformats.org/officeDocument/2006/relationships/hyperlink" Target="https://lh5.googleusercontent.com/d/11yFMfVxq3xzqaMrpm7H6meXVhs0IEf8M" TargetMode="External"/><Relationship Id="rId3370" Type="http://schemas.openxmlformats.org/officeDocument/2006/relationships/hyperlink" Target="https://drive.google.com/file/d/1UCbUr5AjBJ5mxKFf_7ozltGRlqq_s8AU/view?usp=drivesdk" TargetMode="External"/><Relationship Id="rId121" Type="http://schemas.openxmlformats.org/officeDocument/2006/relationships/hyperlink" Target="https://drive.google.com/file/d/1XZcoXmdB5PQo5bYhZL2Zj3SN_uqDDKkf/view?usp=drivesdk" TargetMode="External"/><Relationship Id="rId2041" Type="http://schemas.openxmlformats.org/officeDocument/2006/relationships/hyperlink" Target="https://drive.google.com/file/d/1kehHfbRZ9drFhGUozjGsBgTwEC3jCjdB/view?usp=drivesdk" TargetMode="External"/><Relationship Id="rId3373" Type="http://schemas.openxmlformats.org/officeDocument/2006/relationships/hyperlink" Target="https://lh5.googleusercontent.com/d/1is-SpzZQciM2BxlYYyycrFYhVBXK7jV4" TargetMode="External"/><Relationship Id="rId120" Type="http://schemas.openxmlformats.org/officeDocument/2006/relationships/hyperlink" Target="https://lh5.googleusercontent.com/d/1ZBKY3VtYNHsabN_EcyhoD4L0X-RCbf0T" TargetMode="External"/><Relationship Id="rId2042" Type="http://schemas.openxmlformats.org/officeDocument/2006/relationships/hyperlink" Target="https://lh5.googleusercontent.com/d/1BLW5SppzC1OHLK_micsS5K_ly25Fxwn9" TargetMode="External"/><Relationship Id="rId3372" Type="http://schemas.openxmlformats.org/officeDocument/2006/relationships/hyperlink" Target="https://drive.google.com/file/d/1FkUeuDnJAluJKKqnmDlcWTv0seYTXnh4/view?usp=drivesdk" TargetMode="External"/><Relationship Id="rId2043" Type="http://schemas.openxmlformats.org/officeDocument/2006/relationships/hyperlink" Target="https://drive.google.com/file/d/1V2VmwTbgXV1LC2GWnAiwFwf13Ab3xItN/view?usp=drivesdk" TargetMode="External"/><Relationship Id="rId3375" Type="http://schemas.openxmlformats.org/officeDocument/2006/relationships/hyperlink" Target="https://lh5.googleusercontent.com/d/10BZyaNdl1koI0cGmbtC75jlKbM-ZHPu2" TargetMode="External"/><Relationship Id="rId2044" Type="http://schemas.openxmlformats.org/officeDocument/2006/relationships/hyperlink" Target="https://lh5.googleusercontent.com/d/1tAdg8JKpT9hvhw8mQwFeW4CXIqXaK6U9" TargetMode="External"/><Relationship Id="rId3374" Type="http://schemas.openxmlformats.org/officeDocument/2006/relationships/hyperlink" Target="https://drive.google.com/file/d/1_1GMIBTjiqZUhu5oPUUpbgAi8fqvZkrl/view?usp=drivesdk" TargetMode="External"/><Relationship Id="rId125" Type="http://schemas.openxmlformats.org/officeDocument/2006/relationships/hyperlink" Target="https://drive.google.com/file/d/1GrNjqXiKhtNAWC-E0rINrPonjsYxIb7N/view?usp=drivesdk" TargetMode="External"/><Relationship Id="rId2045" Type="http://schemas.openxmlformats.org/officeDocument/2006/relationships/hyperlink" Target="https://drive.google.com/file/d/17H10FlUHZW2Eo_wgU7CPIfnV83F9iZZr/view?usp=drivesdk" TargetMode="External"/><Relationship Id="rId3377" Type="http://schemas.openxmlformats.org/officeDocument/2006/relationships/hyperlink" Target="https://lh5.googleusercontent.com/d/1EF3EvZW6djo-J262ioo3bUvBuqOw01mI" TargetMode="External"/><Relationship Id="rId124" Type="http://schemas.openxmlformats.org/officeDocument/2006/relationships/hyperlink" Target="https://lh5.googleusercontent.com/d/1tPOM9eGMAUipFuyVVyDCD-C_RSo8dLr5" TargetMode="External"/><Relationship Id="rId2046" Type="http://schemas.openxmlformats.org/officeDocument/2006/relationships/hyperlink" Target="https://lh5.googleusercontent.com/d/1c54NsqRCxl1rD7HF42lIkEKcw3JsrJS5" TargetMode="External"/><Relationship Id="rId3376" Type="http://schemas.openxmlformats.org/officeDocument/2006/relationships/hyperlink" Target="https://drive.google.com/file/d/1dKZd10sZhADMjWRcXsMIJ-_QgNdGHQ5B/view?usp=drivesdk" TargetMode="External"/><Relationship Id="rId123" Type="http://schemas.openxmlformats.org/officeDocument/2006/relationships/hyperlink" Target="https://drive.google.com/file/d/16K3mK3K4d4y70lJLkLA4g8CY7uKbZoZo/view?usp=drivesdk" TargetMode="External"/><Relationship Id="rId2047" Type="http://schemas.openxmlformats.org/officeDocument/2006/relationships/hyperlink" Target="https://drive.google.com/file/d/1Zhg9OtdFXVWHgYYshDRFX4JqB1BxpPq_/view?usp=drivesdk" TargetMode="External"/><Relationship Id="rId3379" Type="http://schemas.openxmlformats.org/officeDocument/2006/relationships/hyperlink" Target="https://lh5.googleusercontent.com/d/1u2bQTceSaatoh0uUT1Gi9R-e8LG4n6sq" TargetMode="External"/><Relationship Id="rId122" Type="http://schemas.openxmlformats.org/officeDocument/2006/relationships/hyperlink" Target="https://lh5.googleusercontent.com/d/1pririY-60-m_GGiRtSXngKCuGpo8tQe-" TargetMode="External"/><Relationship Id="rId2048" Type="http://schemas.openxmlformats.org/officeDocument/2006/relationships/hyperlink" Target="https://lh5.googleusercontent.com/d/1dcUsvqJM5Xd937PUpyQVl9eQPhD3YzpL" TargetMode="External"/><Relationship Id="rId3378" Type="http://schemas.openxmlformats.org/officeDocument/2006/relationships/hyperlink" Target="https://drive.google.com/file/d/14Zx77ecteEPez1qXRgyV9F3HoG8NxzRE/view?usp=drivesdk" TargetMode="External"/><Relationship Id="rId2038" Type="http://schemas.openxmlformats.org/officeDocument/2006/relationships/hyperlink" Target="https://lh5.googleusercontent.com/d/1sTJyq8jlFoa3WVchf0-i23nrbmtfkebD" TargetMode="External"/><Relationship Id="rId2039" Type="http://schemas.openxmlformats.org/officeDocument/2006/relationships/hyperlink" Target="https://drive.google.com/file/d/1cHxggPMJvpcOQsuooFukb_bDRJ_12QF2/view?usp=drivesdk" TargetMode="External"/><Relationship Id="rId3369" Type="http://schemas.openxmlformats.org/officeDocument/2006/relationships/hyperlink" Target="https://lh5.googleusercontent.com/d/1No9cBR3uaLcNMqr731irDumxsyfBn8QK" TargetMode="External"/><Relationship Id="rId118" Type="http://schemas.openxmlformats.org/officeDocument/2006/relationships/hyperlink" Target="https://lh5.googleusercontent.com/d/16fOCVwm_XeYilGR1cFxmQYEGh8yYQ7JI" TargetMode="External"/><Relationship Id="rId117" Type="http://schemas.openxmlformats.org/officeDocument/2006/relationships/hyperlink" Target="https://drive.google.com/file/d/1PHZrdVRz3L1JGoiG7ZMrmGsSbu0vqG34/view?usp=drivesdk" TargetMode="External"/><Relationship Id="rId116" Type="http://schemas.openxmlformats.org/officeDocument/2006/relationships/hyperlink" Target="https://lh5.googleusercontent.com/d/1AjVK_KwuUMK4c6HueBAtCTg5o1BgUTpD" TargetMode="External"/><Relationship Id="rId115" Type="http://schemas.openxmlformats.org/officeDocument/2006/relationships/hyperlink" Target="https://drive.google.com/file/d/1sqYfComDoh6TdIFWhvIcahaX0uWb1HxP/view?usp=drivesdk" TargetMode="External"/><Relationship Id="rId3360" Type="http://schemas.openxmlformats.org/officeDocument/2006/relationships/hyperlink" Target="https://drive.google.com/file/d/1qZ7wvpJI26xN_6SEerqUpD1Khz0qproP/view?usp=drivesdk" TargetMode="External"/><Relationship Id="rId4691" Type="http://schemas.openxmlformats.org/officeDocument/2006/relationships/hyperlink" Target="https://lh5.googleusercontent.com/d/1irJff7EjJnTC_5h_A4EQk3POfyDaaMJt" TargetMode="External"/><Relationship Id="rId119" Type="http://schemas.openxmlformats.org/officeDocument/2006/relationships/hyperlink" Target="https://drive.google.com/file/d/16WkorhM6UvJOyL4x-NOa6kZ_O_aFwO7u/view?usp=drivesdk" TargetMode="External"/><Relationship Id="rId4690" Type="http://schemas.openxmlformats.org/officeDocument/2006/relationships/hyperlink" Target="https://drive.google.com/file/d/1-EvNCfp5_o3d5CMsHqVsFkyCyRACsI2Z/view?usp=drivesdk" TargetMode="External"/><Relationship Id="rId110" Type="http://schemas.openxmlformats.org/officeDocument/2006/relationships/hyperlink" Target="https://lh5.googleusercontent.com/d/1mE0gP3PGUDjjOZowUPNDnizdoSvYGUGx" TargetMode="External"/><Relationship Id="rId2030" Type="http://schemas.openxmlformats.org/officeDocument/2006/relationships/hyperlink" Target="https://lh5.googleusercontent.com/d/1F8v-6eCY_MmASSVjuGfLx3wfur3i3sdD" TargetMode="External"/><Relationship Id="rId3362" Type="http://schemas.openxmlformats.org/officeDocument/2006/relationships/hyperlink" Target="https://drive.google.com/file/d/1T1gca9UdKjfwWGgGdEeKzKaNCQAhncT2/view?usp=drivesdk" TargetMode="External"/><Relationship Id="rId4693" Type="http://schemas.openxmlformats.org/officeDocument/2006/relationships/hyperlink" Target="https://lh5.googleusercontent.com/d/1UVr1KBsfpBzXiIEr6xJRT1UFVAe1-3w2" TargetMode="External"/><Relationship Id="rId2031" Type="http://schemas.openxmlformats.org/officeDocument/2006/relationships/hyperlink" Target="https://drive.google.com/file/d/11q0REtS6WgCmbEMEmYbZzmNEX5s2tNy9/view?usp=drivesdk" TargetMode="External"/><Relationship Id="rId3361" Type="http://schemas.openxmlformats.org/officeDocument/2006/relationships/hyperlink" Target="https://lh5.googleusercontent.com/d/1n64n6V6OqFNMJGdadYJU5Um9hUChHgl-" TargetMode="External"/><Relationship Id="rId4692" Type="http://schemas.openxmlformats.org/officeDocument/2006/relationships/hyperlink" Target="https://drive.google.com/file/d/12xkQ864eHbKYxbMYSURxu-lvCk816FSi/view?usp=drivesdk" TargetMode="External"/><Relationship Id="rId2032" Type="http://schemas.openxmlformats.org/officeDocument/2006/relationships/hyperlink" Target="https://lh5.googleusercontent.com/d/1iyM5dVfXDP-VlvG_A_h_a9vqYqQTE5HP" TargetMode="External"/><Relationship Id="rId3364" Type="http://schemas.openxmlformats.org/officeDocument/2006/relationships/hyperlink" Target="https://drive.google.com/file/d/19-uCJYFKO9mas4ovgkKlC5KrAX4RKA2a/view?usp=drivesdk" TargetMode="External"/><Relationship Id="rId4695" Type="http://schemas.openxmlformats.org/officeDocument/2006/relationships/hyperlink" Target="https://lh5.googleusercontent.com/d/1c5ozbEpLmHWRoqIn0LTc0YbedfqTLeOH" TargetMode="External"/><Relationship Id="rId2033" Type="http://schemas.openxmlformats.org/officeDocument/2006/relationships/hyperlink" Target="https://drive.google.com/file/d/1iodbGwIy9AK07tQ-9NVyND9fqDVDlCAO/view?usp=drivesdk" TargetMode="External"/><Relationship Id="rId3363" Type="http://schemas.openxmlformats.org/officeDocument/2006/relationships/hyperlink" Target="https://lh5.googleusercontent.com/d/1PXZ_MRqicPSGh6jxEO5gBia1l2wvCKWZ" TargetMode="External"/><Relationship Id="rId4694" Type="http://schemas.openxmlformats.org/officeDocument/2006/relationships/hyperlink" Target="https://drive.google.com/file/d/1dJa23mYHqznGuqFb9cKg65BzKCtLMHDb/view?usp=drivesdk" TargetMode="External"/><Relationship Id="rId114" Type="http://schemas.openxmlformats.org/officeDocument/2006/relationships/hyperlink" Target="https://lh5.googleusercontent.com/d/1vfAhDcQg3q_qOaG6nrXfJkfBNhIyRVBf" TargetMode="External"/><Relationship Id="rId2034" Type="http://schemas.openxmlformats.org/officeDocument/2006/relationships/hyperlink" Target="https://lh5.googleusercontent.com/d/1rk1oCuMb900clzvgOCMH_jnryt2uJfsB" TargetMode="External"/><Relationship Id="rId3366" Type="http://schemas.openxmlformats.org/officeDocument/2006/relationships/hyperlink" Target="https://drive.google.com/file/d/1HKAcLgxvveKgkT1jwPejUGKeM95ou-BZ/view?usp=drivesdk" TargetMode="External"/><Relationship Id="rId4697" Type="http://schemas.openxmlformats.org/officeDocument/2006/relationships/hyperlink" Target="https://lh5.googleusercontent.com/d/1la_R8ZIH4Zasj1Dtkq5qJjyoJZJh0Yxa" TargetMode="External"/><Relationship Id="rId113" Type="http://schemas.openxmlformats.org/officeDocument/2006/relationships/hyperlink" Target="https://drive.google.com/file/d/1ikHvKUrBJBIjHKSSq4vXsjfO8VxfKBBt/view?usp=drivesdk" TargetMode="External"/><Relationship Id="rId2035" Type="http://schemas.openxmlformats.org/officeDocument/2006/relationships/hyperlink" Target="https://drive.google.com/file/d/1BL4zG-Jr52ab5K1bZTRZg05KhJMK5LjP/view?usp=drivesdk" TargetMode="External"/><Relationship Id="rId3365" Type="http://schemas.openxmlformats.org/officeDocument/2006/relationships/hyperlink" Target="https://lh5.googleusercontent.com/d/1IcVIKM6V5aXynZrt2i886E_7a1jJeI0S" TargetMode="External"/><Relationship Id="rId4696" Type="http://schemas.openxmlformats.org/officeDocument/2006/relationships/hyperlink" Target="https://drive.google.com/file/d/19E3Sd-sgOfNVo6iRcUlnXFgwCEDGzsQ0/view?usp=drivesdk" TargetMode="External"/><Relationship Id="rId112" Type="http://schemas.openxmlformats.org/officeDocument/2006/relationships/hyperlink" Target="https://lh5.googleusercontent.com/d/1K0Jx29bAzmAfT_0Y1dxEdfPOTxxojlLs" TargetMode="External"/><Relationship Id="rId2036" Type="http://schemas.openxmlformats.org/officeDocument/2006/relationships/hyperlink" Target="https://lh5.googleusercontent.com/d/1_qPRMGXS42vMaT1XNCvolXQx-ab-SuQ6" TargetMode="External"/><Relationship Id="rId3368" Type="http://schemas.openxmlformats.org/officeDocument/2006/relationships/hyperlink" Target="https://drive.google.com/file/d/1SkXYA9NUqx1l6COG3FQiZQAyzbL82A4y/view?usp=drivesdk" TargetMode="External"/><Relationship Id="rId4699" Type="http://schemas.openxmlformats.org/officeDocument/2006/relationships/hyperlink" Target="https://lh5.googleusercontent.com/d/1mwx10EhW5PIyhwDiUjIog5VcXHkHWWwD" TargetMode="External"/><Relationship Id="rId111" Type="http://schemas.openxmlformats.org/officeDocument/2006/relationships/hyperlink" Target="https://drive.google.com/file/d/1ullIao1mypdJ18ug02JNJLLe5zQD1QwT/view?usp=drivesdk" TargetMode="External"/><Relationship Id="rId2037" Type="http://schemas.openxmlformats.org/officeDocument/2006/relationships/hyperlink" Target="https://drive.google.com/file/d/10WM4_ZHYg0IEfG1dZlMaPs1I9em_s3Yt/view?usp=drivesdk" TargetMode="External"/><Relationship Id="rId3367" Type="http://schemas.openxmlformats.org/officeDocument/2006/relationships/hyperlink" Target="https://lh5.googleusercontent.com/d/1C4_rzZM8VwepHzmJ2AkRLlXJ6D-H_CxQ" TargetMode="External"/><Relationship Id="rId4698" Type="http://schemas.openxmlformats.org/officeDocument/2006/relationships/hyperlink" Target="https://drive.google.com/file/d/1sQ5KLAG6hdpCaiN84-gK2F_6KiSnXikA/view?usp=drivesdk" TargetMode="External"/><Relationship Id="rId3315" Type="http://schemas.openxmlformats.org/officeDocument/2006/relationships/hyperlink" Target="https://lh5.googleusercontent.com/d/1s8iKGt7bYgSX2EvEMZtuavqpc-7SahOI" TargetMode="External"/><Relationship Id="rId4646" Type="http://schemas.openxmlformats.org/officeDocument/2006/relationships/hyperlink" Target="https://drive.google.com/file/d/1eEKOVueLYzxHhEaOh7b0HV_3iRWeTuPk/view?usp=drivesdk" TargetMode="External"/><Relationship Id="rId5978" Type="http://schemas.openxmlformats.org/officeDocument/2006/relationships/hyperlink" Target="https://drive.google.com/file/d/13mVReueXHmET3r0kA08mzznAVbGjiIbL/view?usp=drivesdk" TargetMode="External"/><Relationship Id="rId3314" Type="http://schemas.openxmlformats.org/officeDocument/2006/relationships/hyperlink" Target="https://drive.google.com/file/d/1Ir9BgN4URq8qlDg4F2ZfFdqhvBcYhfn4/view?usp=drivesdk" TargetMode="External"/><Relationship Id="rId4645" Type="http://schemas.openxmlformats.org/officeDocument/2006/relationships/hyperlink" Target="https://lh5.googleusercontent.com/d/1PLiBip91PbRM2ci7V8n1od8FBldnFfGt" TargetMode="External"/><Relationship Id="rId5979" Type="http://schemas.openxmlformats.org/officeDocument/2006/relationships/hyperlink" Target="https://lh5.googleusercontent.com/d/1G5nRBUIM2t5GTh2XInukBPTZDNO8ephd" TargetMode="External"/><Relationship Id="rId3317" Type="http://schemas.openxmlformats.org/officeDocument/2006/relationships/hyperlink" Target="https://lh5.googleusercontent.com/d/1xvwPAyQHXPb63L8fm4eXMEmoTrGzlS5u" TargetMode="External"/><Relationship Id="rId4648" Type="http://schemas.openxmlformats.org/officeDocument/2006/relationships/hyperlink" Target="https://drive.google.com/file/d/1doJovaoFwAmWUsx-RvmC1B0ExfLrEALz/view?usp=drivesdk" TargetMode="External"/><Relationship Id="rId5976" Type="http://schemas.openxmlformats.org/officeDocument/2006/relationships/hyperlink" Target="https://drive.google.com/file/d/1sR6-L6pnENilOBZXOCUah7bRlmWCgOku/view?usp=drivesdk" TargetMode="External"/><Relationship Id="rId3316" Type="http://schemas.openxmlformats.org/officeDocument/2006/relationships/hyperlink" Target="https://drive.google.com/file/d/1Svx3_xK8ixdzqMuiuOw3655osdj1-FYB/view?usp=drivesdk" TargetMode="External"/><Relationship Id="rId4647" Type="http://schemas.openxmlformats.org/officeDocument/2006/relationships/hyperlink" Target="https://lh5.googleusercontent.com/d/1N6qYgHfmEr8-BeDzFWgnkV4_ZqK35fch" TargetMode="External"/><Relationship Id="rId5977" Type="http://schemas.openxmlformats.org/officeDocument/2006/relationships/hyperlink" Target="https://lh5.googleusercontent.com/d/1kyD731WXOuvgOVocp6jObkQGBz6cIfRX" TargetMode="External"/><Relationship Id="rId3319" Type="http://schemas.openxmlformats.org/officeDocument/2006/relationships/hyperlink" Target="https://lh5.googleusercontent.com/d/1Q0NRl8tN6rjtcO6AasvNxx5hO2i3BW2e" TargetMode="External"/><Relationship Id="rId3318" Type="http://schemas.openxmlformats.org/officeDocument/2006/relationships/hyperlink" Target="https://drive.google.com/file/d/1C7ocF01FR9d49gy5v9a3nMZZr2v0Wnkq/view?usp=drivesdk" TargetMode="External"/><Relationship Id="rId4649" Type="http://schemas.openxmlformats.org/officeDocument/2006/relationships/hyperlink" Target="https://lh5.googleusercontent.com/d/1Lu106Bna1BVwYmUYW2Gi18aD8aC2lhw6" TargetMode="External"/><Relationship Id="rId5970" Type="http://schemas.openxmlformats.org/officeDocument/2006/relationships/hyperlink" Target="https://drive.google.com/file/d/143Z78JgdcNfwD1ijq0BcSmRiEePnnz7g/view?usp=drivesdk" TargetMode="External"/><Relationship Id="rId5971" Type="http://schemas.openxmlformats.org/officeDocument/2006/relationships/hyperlink" Target="https://lh5.googleusercontent.com/d/1BVvaBSDXeBaZ2HdhwR4gZiTU7yN-qIyY" TargetMode="External"/><Relationship Id="rId4640" Type="http://schemas.openxmlformats.org/officeDocument/2006/relationships/hyperlink" Target="https://drive.google.com/file/d/1W0xsmF0HWVJdtsa_6JOlkI3YIfQ7A18z/view?usp=drivesdk" TargetMode="External"/><Relationship Id="rId3311" Type="http://schemas.openxmlformats.org/officeDocument/2006/relationships/hyperlink" Target="https://lh5.googleusercontent.com/d/1r9UEeoOE6hU2fzD8MBpbvsWA7i-AyEJy" TargetMode="External"/><Relationship Id="rId4642" Type="http://schemas.openxmlformats.org/officeDocument/2006/relationships/hyperlink" Target="https://drive.google.com/file/d/1x5tLo5I816zdzUBeRi0GdfnpI6M_pWDK/view?usp=drivesdk" TargetMode="External"/><Relationship Id="rId5974" Type="http://schemas.openxmlformats.org/officeDocument/2006/relationships/hyperlink" Target="https://drive.google.com/file/d/1PDym0--6Z_E9HGzJYaFnFGGwRoeCrA9O/view?usp=drivesdk" TargetMode="External"/><Relationship Id="rId3310" Type="http://schemas.openxmlformats.org/officeDocument/2006/relationships/hyperlink" Target="https://drive.google.com/file/d/1vieY3-bODKTYyTO2Vh-L9VyqJ4XbIl4l/view?usp=drivesdk" TargetMode="External"/><Relationship Id="rId4641" Type="http://schemas.openxmlformats.org/officeDocument/2006/relationships/hyperlink" Target="https://lh5.googleusercontent.com/d/1qfJdACi5ntVit3s6yn7XDrfguNYr4T7M" TargetMode="External"/><Relationship Id="rId5975" Type="http://schemas.openxmlformats.org/officeDocument/2006/relationships/hyperlink" Target="https://lh5.googleusercontent.com/d/194eHGRpaBxSL1sg0HW5jFbDZDNWhAyBA" TargetMode="External"/><Relationship Id="rId3313" Type="http://schemas.openxmlformats.org/officeDocument/2006/relationships/hyperlink" Target="https://lh5.googleusercontent.com/d/14Xb1SeV2qgE3z2dd3uxFG1Sm6ar2l9px" TargetMode="External"/><Relationship Id="rId4644" Type="http://schemas.openxmlformats.org/officeDocument/2006/relationships/hyperlink" Target="https://drive.google.com/file/d/1dR3MkKaAoTQ2gnZmItpWS9MD84vQ2Mj2/view?usp=drivesdk" TargetMode="External"/><Relationship Id="rId5972" Type="http://schemas.openxmlformats.org/officeDocument/2006/relationships/hyperlink" Target="https://drive.google.com/file/d/1uZkAQOhGS6JkDjNUddoCKMCJZTbVb2Qj/view?usp=drivesdk" TargetMode="External"/><Relationship Id="rId3312" Type="http://schemas.openxmlformats.org/officeDocument/2006/relationships/hyperlink" Target="https://drive.google.com/file/d/1WMG_RiFrD38QHCeTSoAZr3Bf8ZVSvL4L/view?usp=drivesdk" TargetMode="External"/><Relationship Id="rId4643" Type="http://schemas.openxmlformats.org/officeDocument/2006/relationships/hyperlink" Target="https://lh5.googleusercontent.com/d/1jSFiDcDevzmyhm6gimBagyE4-D5TFQNV" TargetMode="External"/><Relationship Id="rId5973" Type="http://schemas.openxmlformats.org/officeDocument/2006/relationships/hyperlink" Target="https://lh5.googleusercontent.com/d/1CMbd8ILRON-e9q1pkK1kqrAwj55KdlXt" TargetMode="External"/><Relationship Id="rId3304" Type="http://schemas.openxmlformats.org/officeDocument/2006/relationships/hyperlink" Target="https://drive.google.com/file/d/13jSHtDybdkMKvfw14xuAQ3YvHWQT5q9n/view?usp=drivesdk" TargetMode="External"/><Relationship Id="rId4635" Type="http://schemas.openxmlformats.org/officeDocument/2006/relationships/hyperlink" Target="https://lh5.googleusercontent.com/d/1I4-MptEmkG1X-rHKHYGszFfjh2szZUL_" TargetMode="External"/><Relationship Id="rId5967" Type="http://schemas.openxmlformats.org/officeDocument/2006/relationships/hyperlink" Target="https://lh5.googleusercontent.com/d/11exl4cvIavNdNfC6ewrKvK7eK6e9uQJ6" TargetMode="External"/><Relationship Id="rId3303" Type="http://schemas.openxmlformats.org/officeDocument/2006/relationships/hyperlink" Target="https://lh5.googleusercontent.com/d/1VVdKsl3cr2wpH9kebgVo6Ax3OHfko2g1" TargetMode="External"/><Relationship Id="rId4634" Type="http://schemas.openxmlformats.org/officeDocument/2006/relationships/hyperlink" Target="https://drive.google.com/file/d/1kW4UpQJf2MawxhW83mKot81m6RzXSxjA/view?usp=drivesdk" TargetMode="External"/><Relationship Id="rId5968" Type="http://schemas.openxmlformats.org/officeDocument/2006/relationships/hyperlink" Target="https://drive.google.com/file/d/1yMUtT7RIEH9bNmczUx_7h2_RTqapo37c/view?usp=drivesdk" TargetMode="External"/><Relationship Id="rId3306" Type="http://schemas.openxmlformats.org/officeDocument/2006/relationships/hyperlink" Target="https://drive.google.com/file/d/1Pj_0UFAAXe7i0bAi7q5RRK596c7VExPl/view?usp=drivesdk" TargetMode="External"/><Relationship Id="rId4637" Type="http://schemas.openxmlformats.org/officeDocument/2006/relationships/hyperlink" Target="https://lh5.googleusercontent.com/d/1tS0Vvsw4RlKm4KwLHlLFds0M3Kbp3dYz" TargetMode="External"/><Relationship Id="rId5965" Type="http://schemas.openxmlformats.org/officeDocument/2006/relationships/hyperlink" Target="https://lh5.googleusercontent.com/d/160r9bLCJhJ6K0JEo3Ueawpbk_9wTTdqv" TargetMode="External"/><Relationship Id="rId3305" Type="http://schemas.openxmlformats.org/officeDocument/2006/relationships/hyperlink" Target="https://lh5.googleusercontent.com/d/1pgf_LxaWoq94ADFQMhgPyeadhEMbA5dI" TargetMode="External"/><Relationship Id="rId4636" Type="http://schemas.openxmlformats.org/officeDocument/2006/relationships/hyperlink" Target="https://drive.google.com/file/d/19gBtHXUvtQbvh_tycMCcOQM41Ap7Tg3k/view?usp=drivesdk" TargetMode="External"/><Relationship Id="rId5966" Type="http://schemas.openxmlformats.org/officeDocument/2006/relationships/hyperlink" Target="https://drive.google.com/file/d/1dr99QFAMVkxLJM4DIxAqLbd55MmwNkby/view?usp=drivesdk" TargetMode="External"/><Relationship Id="rId3308" Type="http://schemas.openxmlformats.org/officeDocument/2006/relationships/hyperlink" Target="https://drive.google.com/file/d/1d1MQ1qWz5hpDyGagFf2ErheIt3YVY051/view?usp=drivesdk" TargetMode="External"/><Relationship Id="rId4639" Type="http://schemas.openxmlformats.org/officeDocument/2006/relationships/hyperlink" Target="https://lh5.googleusercontent.com/d/1BZvVjW2y0OgkNdfpjDGSVn6lCsjkP_3t" TargetMode="External"/><Relationship Id="rId3307" Type="http://schemas.openxmlformats.org/officeDocument/2006/relationships/hyperlink" Target="https://lh5.googleusercontent.com/d/18ZcX72MnnZXq0YEvCTH-yXEO-tT_99XU" TargetMode="External"/><Relationship Id="rId4638" Type="http://schemas.openxmlformats.org/officeDocument/2006/relationships/hyperlink" Target="https://drive.google.com/file/d/1i0clJX-5E486wg0hSN0S0Ij7FCfOasms/view?usp=drivesdk" TargetMode="External"/><Relationship Id="rId5969" Type="http://schemas.openxmlformats.org/officeDocument/2006/relationships/hyperlink" Target="https://lh5.googleusercontent.com/d/1q8QV2EEyZ_7WWa0Ze7a8OT84zp8HiqGT" TargetMode="External"/><Relationship Id="rId3309" Type="http://schemas.openxmlformats.org/officeDocument/2006/relationships/hyperlink" Target="https://lh5.googleusercontent.com/d/1OdfLMyXHcOj1npVN4Dy8mQ1GadjlMj4I" TargetMode="External"/><Relationship Id="rId5960" Type="http://schemas.openxmlformats.org/officeDocument/2006/relationships/hyperlink" Target="https://drive.google.com/file/d/19JjaRZM-EnzKhPW5QsgZLsFBocwRHlc3/view?usp=drivesdk" TargetMode="External"/><Relationship Id="rId3300" Type="http://schemas.openxmlformats.org/officeDocument/2006/relationships/hyperlink" Target="https://drive.google.com/file/d/18zPHXIWMivo7Wfqu4ZAnF4oFSJhE06gI/view?usp=drivesdk" TargetMode="External"/><Relationship Id="rId4631" Type="http://schemas.openxmlformats.org/officeDocument/2006/relationships/hyperlink" Target="https://lh5.googleusercontent.com/d/1-loh9EFUEda6AfIwNZ_pLDPZuM8Do7Tb" TargetMode="External"/><Relationship Id="rId5963" Type="http://schemas.openxmlformats.org/officeDocument/2006/relationships/hyperlink" Target="https://lh5.googleusercontent.com/d/1RDdHwsGCQobaXKFdA8XIthPhtaPsgNwF" TargetMode="External"/><Relationship Id="rId4630" Type="http://schemas.openxmlformats.org/officeDocument/2006/relationships/hyperlink" Target="https://drive.google.com/file/d/1WiSQWZuu6q-Mj6OzJZeRoDWPjEV8d24N/view?usp=drivesdk" TargetMode="External"/><Relationship Id="rId5964" Type="http://schemas.openxmlformats.org/officeDocument/2006/relationships/hyperlink" Target="https://drive.google.com/file/d/1vOQ_5YXoonibFYVkWCeeY-OCnbau5EC0/view?usp=drivesdk" TargetMode="External"/><Relationship Id="rId3302" Type="http://schemas.openxmlformats.org/officeDocument/2006/relationships/hyperlink" Target="https://drive.google.com/file/d/1XAZozo7nCCbeAZuqhnwzZ1sQZPOBi8lF/view?usp=drivesdk" TargetMode="External"/><Relationship Id="rId4633" Type="http://schemas.openxmlformats.org/officeDocument/2006/relationships/hyperlink" Target="https://lh5.googleusercontent.com/d/15OTjP6Vw2vnBn7uI8zeyLxgQFiSXERtR" TargetMode="External"/><Relationship Id="rId5961" Type="http://schemas.openxmlformats.org/officeDocument/2006/relationships/hyperlink" Target="https://lh5.googleusercontent.com/d/1YaIdemWD9mvKCwNqGsDsgOzC-PDHV4fs" TargetMode="External"/><Relationship Id="rId3301" Type="http://schemas.openxmlformats.org/officeDocument/2006/relationships/hyperlink" Target="https://lh5.googleusercontent.com/d/1lNC6Z_EAuDItqGCT7yCYNipRcNOoR0om" TargetMode="External"/><Relationship Id="rId4632" Type="http://schemas.openxmlformats.org/officeDocument/2006/relationships/hyperlink" Target="https://drive.google.com/file/d/142m7ImspUZbE4COlOHraVe0cGHh1hD7w/view?usp=drivesdk" TargetMode="External"/><Relationship Id="rId5962" Type="http://schemas.openxmlformats.org/officeDocument/2006/relationships/hyperlink" Target="https://drive.google.com/file/d/1mkgK94GG4OZ_Ym00r_vOvJCg_h_au-5b/view?usp=drivesdk" TargetMode="External"/><Relationship Id="rId2005" Type="http://schemas.openxmlformats.org/officeDocument/2006/relationships/hyperlink" Target="https://drive.google.com/file/d/1dxJtaQOK3FHINLcQlBf7ZI6oyTPPnaGM/view?usp=drivesdk" TargetMode="External"/><Relationship Id="rId3337" Type="http://schemas.openxmlformats.org/officeDocument/2006/relationships/hyperlink" Target="https://lh5.googleusercontent.com/d/1rpYgeWJSkKuvJ72Ug9vWvxJ7fHxyQAtG" TargetMode="External"/><Relationship Id="rId4668" Type="http://schemas.openxmlformats.org/officeDocument/2006/relationships/hyperlink" Target="https://drive.google.com/file/d/17XDrkXZ9jXMSkx40MCd7SqBhZo8FInv0/view?usp=drivesdk" TargetMode="External"/><Relationship Id="rId2006" Type="http://schemas.openxmlformats.org/officeDocument/2006/relationships/hyperlink" Target="https://lh5.googleusercontent.com/d/1eAKLiJW0-U68kmVTY76sA043p5qbTdZg" TargetMode="External"/><Relationship Id="rId3336" Type="http://schemas.openxmlformats.org/officeDocument/2006/relationships/hyperlink" Target="https://drive.google.com/file/d/16ZKmannryhSOD4oibwbJqG4t7s3zxw9R/view?usp=drivesdk" TargetMode="External"/><Relationship Id="rId4667" Type="http://schemas.openxmlformats.org/officeDocument/2006/relationships/hyperlink" Target="https://lh5.googleusercontent.com/d/1NPYXfkFBAqs-7yDyX4ZfCGkX01Ea_33j" TargetMode="External"/><Relationship Id="rId2007" Type="http://schemas.openxmlformats.org/officeDocument/2006/relationships/hyperlink" Target="https://drive.google.com/file/d/1DnWFkVsj9pliuMRXFE1uLiLB671kVfVQ/view?usp=drivesdk" TargetMode="External"/><Relationship Id="rId3339" Type="http://schemas.openxmlformats.org/officeDocument/2006/relationships/hyperlink" Target="https://lh5.googleusercontent.com/d/1lKby0ehrVbHsQC-ZMCwmnM_j7z44LhFj" TargetMode="External"/><Relationship Id="rId5998" Type="http://schemas.openxmlformats.org/officeDocument/2006/relationships/hyperlink" Target="https://lh5.googleusercontent.com/d/1JJ_2XnKDz9bK84HXDbKroyOjnXOIsLew" TargetMode="External"/><Relationship Id="rId2008" Type="http://schemas.openxmlformats.org/officeDocument/2006/relationships/hyperlink" Target="https://lh5.googleusercontent.com/d/1YXZQg4WV7-dlOkeUky6FwKk01ouVekQq" TargetMode="External"/><Relationship Id="rId3338" Type="http://schemas.openxmlformats.org/officeDocument/2006/relationships/hyperlink" Target="https://drive.google.com/file/d/11psHnZfZnoGyLx7uvW_JG1pNHMYI9hXK/view?usp=drivesdk" TargetMode="External"/><Relationship Id="rId4669" Type="http://schemas.openxmlformats.org/officeDocument/2006/relationships/hyperlink" Target="https://lh5.googleusercontent.com/d/1kw2rkhBh0I1qOS8Hoc0_7UwHRcF1Emm0" TargetMode="External"/><Relationship Id="rId5999" Type="http://schemas.openxmlformats.org/officeDocument/2006/relationships/hyperlink" Target="https://drive.google.com/file/d/1H6lq1vOciMtRRPxTpfgDF7VJRHBSg7hJ/view?usp=drivesdk" TargetMode="External"/><Relationship Id="rId2009" Type="http://schemas.openxmlformats.org/officeDocument/2006/relationships/hyperlink" Target="https://drive.google.com/file/d/1t2fwb1tLWC7ONs4jRaiM4Bo_rR3RKfih/view?usp=drivesdk" TargetMode="External"/><Relationship Id="rId4660" Type="http://schemas.openxmlformats.org/officeDocument/2006/relationships/hyperlink" Target="https://drive.google.com/file/d/1B8JS7KPzIk22UsWmhT6_oimQGN9aws7f/view?usp=drivesdk" TargetMode="External"/><Relationship Id="rId5992" Type="http://schemas.openxmlformats.org/officeDocument/2006/relationships/hyperlink" Target="https://drive.google.com/file/d/1UwRKvg8GwAdZIuNGzMNEGpuzXr0m_Qj_/view?usp=drivesdk" TargetMode="External"/><Relationship Id="rId5993" Type="http://schemas.openxmlformats.org/officeDocument/2006/relationships/hyperlink" Target="https://drive.google.com/file/d/1p_CLCTdORqtBh-Woksdyi-Ir1suZgLum/view?usp=drivesdk" TargetMode="External"/><Relationship Id="rId3331" Type="http://schemas.openxmlformats.org/officeDocument/2006/relationships/hyperlink" Target="https://lh5.googleusercontent.com/d/1Ui6VAwcP2LhRWSaWWGbibEEh0rxUXOPW" TargetMode="External"/><Relationship Id="rId4662" Type="http://schemas.openxmlformats.org/officeDocument/2006/relationships/hyperlink" Target="https://drive.google.com/file/d/1m2uP_4Zb-wcfKgFEi3qdcQIoiEntCc1G/view?usp=drivesdk" TargetMode="External"/><Relationship Id="rId5990" Type="http://schemas.openxmlformats.org/officeDocument/2006/relationships/hyperlink" Target="https://drive.google.com/file/d/1GjiN3CaRj2cibEueqXqW9wzN6I8qyM1f/view?usp=drivesdk" TargetMode="External"/><Relationship Id="rId2000" Type="http://schemas.openxmlformats.org/officeDocument/2006/relationships/hyperlink" Target="https://lh5.googleusercontent.com/d/1UeE1_1r_w_3g5uwAfAsXKxNL4rTkfQMw" TargetMode="External"/><Relationship Id="rId3330" Type="http://schemas.openxmlformats.org/officeDocument/2006/relationships/hyperlink" Target="https://drive.google.com/file/d/1nuRngOLbGCHGpb5asomW4DCiWBu0tWGr/view?usp=drivesdk" TargetMode="External"/><Relationship Id="rId4661" Type="http://schemas.openxmlformats.org/officeDocument/2006/relationships/hyperlink" Target="https://lh5.googleusercontent.com/d/1xiNXMgc56kapwjTwQmnIlmyN-_n6lsN2" TargetMode="External"/><Relationship Id="rId5991" Type="http://schemas.openxmlformats.org/officeDocument/2006/relationships/hyperlink" Target="https://lh5.googleusercontent.com/d/1CuoFkMXhjtKtPdI37eUJuzr-3yPZ1oCl" TargetMode="External"/><Relationship Id="rId2001" Type="http://schemas.openxmlformats.org/officeDocument/2006/relationships/hyperlink" Target="https://drive.google.com/file/d/1_uXqUNGTmnmnabEBiU1cCcCZAbF08IxO/view?usp=drivesdk" TargetMode="External"/><Relationship Id="rId3333" Type="http://schemas.openxmlformats.org/officeDocument/2006/relationships/hyperlink" Target="https://lh5.googleusercontent.com/d/1rX45hi-ztvfMR8C5KMQGa09d-tb9qWqB" TargetMode="External"/><Relationship Id="rId4664" Type="http://schemas.openxmlformats.org/officeDocument/2006/relationships/hyperlink" Target="https://drive.google.com/file/d/1ctTktaF-HZya-VSQDGydFCjQlIs4OJyw/view?usp=drivesdk" TargetMode="External"/><Relationship Id="rId5996" Type="http://schemas.openxmlformats.org/officeDocument/2006/relationships/hyperlink" Target="https://lh5.googleusercontent.com/d/19tsBl9Okwn5IhEdn69kqV_jMnDy8RRtD" TargetMode="External"/><Relationship Id="rId2002" Type="http://schemas.openxmlformats.org/officeDocument/2006/relationships/hyperlink" Target="https://lh5.googleusercontent.com/d/1cclUr2wxhmjxqWvNCCNq27DaulDgALoB" TargetMode="External"/><Relationship Id="rId3332" Type="http://schemas.openxmlformats.org/officeDocument/2006/relationships/hyperlink" Target="https://drive.google.com/file/d/1bh2DuCZDwP4YAiuXhvU2JzBU8oSy5VnM/view?usp=drivesdk" TargetMode="External"/><Relationship Id="rId4663" Type="http://schemas.openxmlformats.org/officeDocument/2006/relationships/hyperlink" Target="https://lh5.googleusercontent.com/d/1_1O-RyzECyMdlvnjjo9qF62SIlgPtc3u" TargetMode="External"/><Relationship Id="rId5997" Type="http://schemas.openxmlformats.org/officeDocument/2006/relationships/hyperlink" Target="https://drive.google.com/file/d/1bMfTf5mwzvJtqqtSReWLFLCK5uowBIOD/view?usp=drivesdk" TargetMode="External"/><Relationship Id="rId2003" Type="http://schemas.openxmlformats.org/officeDocument/2006/relationships/hyperlink" Target="https://drive.google.com/file/d/1_G7EbPRFQq-CWBwJV7UZgKdRoWM8NTPO/view?usp=drivesdk" TargetMode="External"/><Relationship Id="rId3335" Type="http://schemas.openxmlformats.org/officeDocument/2006/relationships/hyperlink" Target="https://lh5.googleusercontent.com/d/1CEaKIQfxjSTFO1_GGZD_UagSTp8V3CZb" TargetMode="External"/><Relationship Id="rId4666" Type="http://schemas.openxmlformats.org/officeDocument/2006/relationships/hyperlink" Target="https://drive.google.com/file/d/1PeQeD_43ZM4rpD24rEUcV6KlGgYwYjYS/view?usp=drivesdk" TargetMode="External"/><Relationship Id="rId5994" Type="http://schemas.openxmlformats.org/officeDocument/2006/relationships/hyperlink" Target="https://lh5.googleusercontent.com/d/12FCOKiCbAqcXTVV-1HFTkvY0z-nHHlaa" TargetMode="External"/><Relationship Id="rId2004" Type="http://schemas.openxmlformats.org/officeDocument/2006/relationships/hyperlink" Target="https://lh5.googleusercontent.com/d/1AUuJs6P9WiRZTux_wlFRag8UrpQKrk4L" TargetMode="External"/><Relationship Id="rId3334" Type="http://schemas.openxmlformats.org/officeDocument/2006/relationships/hyperlink" Target="https://drive.google.com/file/d/1oHh3TRBC8jejdQt683Oo872HgWuxJc58/view?usp=drivesdk" TargetMode="External"/><Relationship Id="rId4665" Type="http://schemas.openxmlformats.org/officeDocument/2006/relationships/hyperlink" Target="https://lh5.googleusercontent.com/d/1m01XKwDtWx3zA3lUmtXKpMmYLQmdvjim" TargetMode="External"/><Relationship Id="rId5995" Type="http://schemas.openxmlformats.org/officeDocument/2006/relationships/hyperlink" Target="https://drive.google.com/file/d/1wXt_2Mc4S6o5nMOFyZ9eZTZZxuMP00ET/view?usp=drivesdk" TargetMode="External"/><Relationship Id="rId3326" Type="http://schemas.openxmlformats.org/officeDocument/2006/relationships/hyperlink" Target="https://drive.google.com/file/d/1A-u8Tz7bv3F8Av3kDJ7GSSygUpZb4aUx/view?usp=drivesdk" TargetMode="External"/><Relationship Id="rId4657" Type="http://schemas.openxmlformats.org/officeDocument/2006/relationships/hyperlink" Target="https://lh5.googleusercontent.com/d/1VIDG77lWrxDowQcRG-_P-EYIZCRaBJlH" TargetMode="External"/><Relationship Id="rId5989" Type="http://schemas.openxmlformats.org/officeDocument/2006/relationships/hyperlink" Target="https://lh5.googleusercontent.com/d/1A_7HqRuikBm2GPVnBOX4LeBQpl493Hjm" TargetMode="External"/><Relationship Id="rId3325" Type="http://schemas.openxmlformats.org/officeDocument/2006/relationships/hyperlink" Target="https://lh5.googleusercontent.com/d/1Ry3VtS6901ou6dmkPNNxnsLxgprx9Vdv" TargetMode="External"/><Relationship Id="rId4656" Type="http://schemas.openxmlformats.org/officeDocument/2006/relationships/hyperlink" Target="https://drive.google.com/file/d/1rE7o9tcUE5_x2IAAujR3AbGxstKfmkVw/view?usp=drivesdk" TargetMode="External"/><Relationship Id="rId3328" Type="http://schemas.openxmlformats.org/officeDocument/2006/relationships/hyperlink" Target="https://drive.google.com/file/d/1-qgzZ_fBrH0hsWV5fsXm_pPRhrl2rWmY/view?usp=drivesdk" TargetMode="External"/><Relationship Id="rId4659" Type="http://schemas.openxmlformats.org/officeDocument/2006/relationships/hyperlink" Target="https://lh5.googleusercontent.com/d/1AVO8APxUpRc04fda1qjN4sKzsQAtQP62" TargetMode="External"/><Relationship Id="rId5987" Type="http://schemas.openxmlformats.org/officeDocument/2006/relationships/hyperlink" Target="https://lh5.googleusercontent.com/d/1kFML0YnkCOGbCyaJFHWLiPSEJ74Wu3d2" TargetMode="External"/><Relationship Id="rId3327" Type="http://schemas.openxmlformats.org/officeDocument/2006/relationships/hyperlink" Target="https://lh5.googleusercontent.com/d/1BcVpWXF3_9oACefZXRGEOoU3VCuQMoFZ" TargetMode="External"/><Relationship Id="rId4658" Type="http://schemas.openxmlformats.org/officeDocument/2006/relationships/hyperlink" Target="https://drive.google.com/file/d/1f9PXLDNk_fM_xwjJzEuNr7A2fSQ_F5YA/view?usp=drivesdk" TargetMode="External"/><Relationship Id="rId5988" Type="http://schemas.openxmlformats.org/officeDocument/2006/relationships/hyperlink" Target="https://drive.google.com/file/d/1JyvyFHuVS1Jz6B2Ia02jZ9DO-6mFUhPM/view?usp=drivesdk" TargetMode="External"/><Relationship Id="rId3329" Type="http://schemas.openxmlformats.org/officeDocument/2006/relationships/hyperlink" Target="https://lh5.googleusercontent.com/d/18YjlTQRqCBAyXTv8pJwq36F-yMs9U6bd" TargetMode="External"/><Relationship Id="rId5981" Type="http://schemas.openxmlformats.org/officeDocument/2006/relationships/hyperlink" Target="https://lh5.googleusercontent.com/d/15-bPqj2MVBmN7IOF2vOOwKUD03yVViV9" TargetMode="External"/><Relationship Id="rId5982" Type="http://schemas.openxmlformats.org/officeDocument/2006/relationships/hyperlink" Target="https://drive.google.com/file/d/1L2yQv0rEt12IGtlgVMmw4grkr5N54yMO/view?usp=drivesdk" TargetMode="External"/><Relationship Id="rId3320" Type="http://schemas.openxmlformats.org/officeDocument/2006/relationships/hyperlink" Target="https://drive.google.com/file/d/1vGGlt3-ihX7eBTKXYmD847pj5CvvvLAn/view?usp=drivesdk" TargetMode="External"/><Relationship Id="rId4651" Type="http://schemas.openxmlformats.org/officeDocument/2006/relationships/hyperlink" Target="https://lh5.googleusercontent.com/d/1TF8b_HWvIe_4YtzYTwELsmdGdRRVih4B" TargetMode="External"/><Relationship Id="rId4650" Type="http://schemas.openxmlformats.org/officeDocument/2006/relationships/hyperlink" Target="https://drive.google.com/file/d/1O6R95h4ezxyckjTew3LK_YHrHfAdJObA/view?usp=drivesdk" TargetMode="External"/><Relationship Id="rId5980" Type="http://schemas.openxmlformats.org/officeDocument/2006/relationships/hyperlink" Target="https://drive.google.com/file/d/1qIlA1gib8TOQenSrLQ0v8zXMQ6AZKft2/view?usp=drivesdk" TargetMode="External"/><Relationship Id="rId3322" Type="http://schemas.openxmlformats.org/officeDocument/2006/relationships/hyperlink" Target="https://drive.google.com/file/d/1lUyirK5yqW9j7P1P_3nWx-jdZRkMUkVV/view?usp=drivesdk" TargetMode="External"/><Relationship Id="rId4653" Type="http://schemas.openxmlformats.org/officeDocument/2006/relationships/hyperlink" Target="https://lh5.googleusercontent.com/d/1N2PBwBHCGBVN4VccbwjwyKc8M2aci1Yu" TargetMode="External"/><Relationship Id="rId5985" Type="http://schemas.openxmlformats.org/officeDocument/2006/relationships/hyperlink" Target="https://lh5.googleusercontent.com/d/1AaamNSn9ekUcxouYfaez2Slm2YZ1AZ5I" TargetMode="External"/><Relationship Id="rId3321" Type="http://schemas.openxmlformats.org/officeDocument/2006/relationships/hyperlink" Target="https://lh5.googleusercontent.com/d/17SwudX9axP2OCXwcXkvUiV3YOy1pxrNC" TargetMode="External"/><Relationship Id="rId4652" Type="http://schemas.openxmlformats.org/officeDocument/2006/relationships/hyperlink" Target="https://drive.google.com/file/d/1nZecACM99dx1SgZmDEt3j8eCfLwBcWh4/view?usp=drivesdk" TargetMode="External"/><Relationship Id="rId5986" Type="http://schemas.openxmlformats.org/officeDocument/2006/relationships/hyperlink" Target="https://drive.google.com/file/d/1OfGhnLNKA2jh73NoSUAarJUtHGr6zMv8/view?usp=drivesdk" TargetMode="External"/><Relationship Id="rId3324" Type="http://schemas.openxmlformats.org/officeDocument/2006/relationships/hyperlink" Target="https://drive.google.com/file/d/15pUs26CBf-byAF13PGzXQdDk4JMSA_Fr/view?usp=drivesdk" TargetMode="External"/><Relationship Id="rId4655" Type="http://schemas.openxmlformats.org/officeDocument/2006/relationships/hyperlink" Target="https://lh5.googleusercontent.com/d/1HszYM3vzC-9I2XrP015W4nbsyAoC_s7E" TargetMode="External"/><Relationship Id="rId5983" Type="http://schemas.openxmlformats.org/officeDocument/2006/relationships/hyperlink" Target="https://lh5.googleusercontent.com/d/1gFHfRk-sSdqycgC608WVeN9dob0JeYZc" TargetMode="External"/><Relationship Id="rId3323" Type="http://schemas.openxmlformats.org/officeDocument/2006/relationships/hyperlink" Target="https://lh5.googleusercontent.com/d/1IqH-cdJYeeAyzkytxDDl5zYOw18LkztW" TargetMode="External"/><Relationship Id="rId4654" Type="http://schemas.openxmlformats.org/officeDocument/2006/relationships/hyperlink" Target="https://drive.google.com/file/d/1RP0ZzjvwjjwAw4FnrQXBiu8HuaXNvjew/view?usp=drivesdk" TargetMode="External"/><Relationship Id="rId5984" Type="http://schemas.openxmlformats.org/officeDocument/2006/relationships/hyperlink" Target="https://drive.google.com/file/d/1_Ctwy5M0Wud0wRYqfYCRL-0sBZSl0_4t/view?usp=drivesdk" TargetMode="External"/><Relationship Id="rId5130" Type="http://schemas.openxmlformats.org/officeDocument/2006/relationships/hyperlink" Target="https://lh5.googleusercontent.com/d/1IzApc-ND_iP6rdx9fIjcu_UZSrA4eSi-" TargetMode="External"/><Relationship Id="rId5131" Type="http://schemas.openxmlformats.org/officeDocument/2006/relationships/hyperlink" Target="https://drive.google.com/file/d/1aMQo2iN2AvTSiI81elOSn3BmlUY1jlvE/view?usp=drivesdk" TargetMode="External"/><Relationship Id="rId5134" Type="http://schemas.openxmlformats.org/officeDocument/2006/relationships/hyperlink" Target="https://lh5.googleusercontent.com/d/1Hxkp3EaqU0P4TeLl8U6WsSAb68Wh9b_i" TargetMode="External"/><Relationship Id="rId5135" Type="http://schemas.openxmlformats.org/officeDocument/2006/relationships/hyperlink" Target="https://drive.google.com/file/d/184D-xSlTkUz3zzJTE6KHJzl2m1CejTan/view?usp=drivesdk" TargetMode="External"/><Relationship Id="rId5132" Type="http://schemas.openxmlformats.org/officeDocument/2006/relationships/hyperlink" Target="https://lh5.googleusercontent.com/d/1IkS5iND_24gAfMZnje9nFjZmi9Roqflw" TargetMode="External"/><Relationship Id="rId5133" Type="http://schemas.openxmlformats.org/officeDocument/2006/relationships/hyperlink" Target="https://drive.google.com/file/d/1sqXim6yZt24e9jDi21rO1_apIDIcRUWY/view?usp=drivesdk" TargetMode="External"/><Relationship Id="rId5138" Type="http://schemas.openxmlformats.org/officeDocument/2006/relationships/hyperlink" Target="https://lh5.googleusercontent.com/d/1i-JM4YzVNnr0gF5VI5mJXDgsmnQ5NWnU" TargetMode="External"/><Relationship Id="rId5139" Type="http://schemas.openxmlformats.org/officeDocument/2006/relationships/hyperlink" Target="https://drive.google.com/file/d/1G1eOA708SPG2Ttg90H-eBQJOOeU6yn1K/view?usp=drivesdk" TargetMode="External"/><Relationship Id="rId5136" Type="http://schemas.openxmlformats.org/officeDocument/2006/relationships/hyperlink" Target="https://lh5.googleusercontent.com/d/1dYJy-eH_sWHj0YaOMmQgXOCEyqlIK0ec" TargetMode="External"/><Relationship Id="rId5137" Type="http://schemas.openxmlformats.org/officeDocument/2006/relationships/hyperlink" Target="https://drive.google.com/file/d/19URJsgayhjzQ-wI6JGb4JtC3u3qDFbHj/view?usp=drivesdk" TargetMode="External"/><Relationship Id="rId5129" Type="http://schemas.openxmlformats.org/officeDocument/2006/relationships/hyperlink" Target="https://drive.google.com/file/d/162jyqXpywsMcDJ1UMHDVO-nTNd5YyAtx/view?usp=drivesdk" TargetMode="External"/><Relationship Id="rId2090" Type="http://schemas.openxmlformats.org/officeDocument/2006/relationships/hyperlink" Target="https://lh5.googleusercontent.com/d/1xbDsj7l5efhovuyf_ydddyxztF7k5SoW" TargetMode="External"/><Relationship Id="rId2091" Type="http://schemas.openxmlformats.org/officeDocument/2006/relationships/hyperlink" Target="https://drive.google.com/file/d/1PuaarfanOrscNvUMWlCui4GHWyhz3A5g/view?usp=drivesdk" TargetMode="External"/><Relationship Id="rId2092" Type="http://schemas.openxmlformats.org/officeDocument/2006/relationships/hyperlink" Target="https://lh5.googleusercontent.com/d/1q985nzQ95dQNw1qikEofsf0fexpVdkmB" TargetMode="External"/><Relationship Id="rId2093" Type="http://schemas.openxmlformats.org/officeDocument/2006/relationships/hyperlink" Target="https://drive.google.com/file/d/10iS5r6RJ4cIl-brMj-Z-fvLiRSwF6g_b/view?usp=drivesdk" TargetMode="External"/><Relationship Id="rId5120" Type="http://schemas.openxmlformats.org/officeDocument/2006/relationships/hyperlink" Target="https://lh5.googleusercontent.com/d/1AhzLVrZUeCaS3y05wlS_hvfiI42DSgm0" TargetMode="External"/><Relationship Id="rId2094" Type="http://schemas.openxmlformats.org/officeDocument/2006/relationships/hyperlink" Target="https://lh5.googleusercontent.com/d/12OF16gQsleZr6qGrxjMeCllyH7TtjBE3" TargetMode="External"/><Relationship Id="rId2095" Type="http://schemas.openxmlformats.org/officeDocument/2006/relationships/hyperlink" Target="https://drive.google.com/file/d/1ksYNKQX-6fMadX6jsIlbKu_g2-FJpACP/view?usp=drivesdk" TargetMode="External"/><Relationship Id="rId2096" Type="http://schemas.openxmlformats.org/officeDocument/2006/relationships/hyperlink" Target="https://lh5.googleusercontent.com/d/1H9kzMPW6GKmr3r81qILL4rjFlyFjuX_S" TargetMode="External"/><Relationship Id="rId5123" Type="http://schemas.openxmlformats.org/officeDocument/2006/relationships/hyperlink" Target="https://drive.google.com/file/d/1aChhzDNcFFovNDopMIZPbTDbaSufFfP9/view?usp=drivesdk" TargetMode="External"/><Relationship Id="rId2097" Type="http://schemas.openxmlformats.org/officeDocument/2006/relationships/hyperlink" Target="https://drive.google.com/file/d/1OzcvIPEp2tFo_YDMCDq1-WY--v79xytW/view?usp=drivesdk" TargetMode="External"/><Relationship Id="rId5124" Type="http://schemas.openxmlformats.org/officeDocument/2006/relationships/hyperlink" Target="https://lh5.googleusercontent.com/d/1m5EWQpsePH5vNzX0wj8DGzXIGfSA56jm" TargetMode="External"/><Relationship Id="rId2098" Type="http://schemas.openxmlformats.org/officeDocument/2006/relationships/hyperlink" Target="https://lh5.googleusercontent.com/d/1d9nt51RTjNzIyoA8xsmzUTE2ZxfKuPX8" TargetMode="External"/><Relationship Id="rId5121" Type="http://schemas.openxmlformats.org/officeDocument/2006/relationships/hyperlink" Target="https://drive.google.com/file/d/1zpTiRRYIsXgUt6a8w3NbddeFIz9OX49V/view?usp=drivesdk" TargetMode="External"/><Relationship Id="rId2099" Type="http://schemas.openxmlformats.org/officeDocument/2006/relationships/hyperlink" Target="https://drive.google.com/file/d/1xLYTGW9TSBK3sAwOUBt0VCc0_MSl8qjo/view?usp=drivesdk" TargetMode="External"/><Relationship Id="rId5122" Type="http://schemas.openxmlformats.org/officeDocument/2006/relationships/hyperlink" Target="https://lh5.googleusercontent.com/d/1oQ57YaJOgKJkEjyCCVSip-eoimFmFO68" TargetMode="External"/><Relationship Id="rId5127" Type="http://schemas.openxmlformats.org/officeDocument/2006/relationships/hyperlink" Target="https://drive.google.com/file/d/14sePWM6wozk5YYom_0U03oafvu3mTNNi/view?usp=drivesdk" TargetMode="External"/><Relationship Id="rId5128" Type="http://schemas.openxmlformats.org/officeDocument/2006/relationships/hyperlink" Target="https://lh5.googleusercontent.com/d/1GAv5QX69wfI2ZbFgQISV-7c-4eSOpEWb" TargetMode="External"/><Relationship Id="rId5125" Type="http://schemas.openxmlformats.org/officeDocument/2006/relationships/hyperlink" Target="https://drive.google.com/file/d/1aPxicEO05eAbdLBqXjGI3OdBz5yXWPor/view?usp=drivesdk" TargetMode="External"/><Relationship Id="rId5126" Type="http://schemas.openxmlformats.org/officeDocument/2006/relationships/hyperlink" Target="https://lh5.googleusercontent.com/d/1Ln92b8ygnseDWPYCi36nYeVpKJULH4bQ" TargetMode="External"/><Relationship Id="rId5152" Type="http://schemas.openxmlformats.org/officeDocument/2006/relationships/hyperlink" Target="https://lh5.googleusercontent.com/d/138LQU3F0GBrah0hsayPy02_wp4UHzZXQ" TargetMode="External"/><Relationship Id="rId5153" Type="http://schemas.openxmlformats.org/officeDocument/2006/relationships/hyperlink" Target="https://drive.google.com/file/d/1C93-Yv-iyX0G2he4fRxJO2x5XmiAy7C2/view?usp=drivesdk" TargetMode="External"/><Relationship Id="rId5150" Type="http://schemas.openxmlformats.org/officeDocument/2006/relationships/hyperlink" Target="https://lh5.googleusercontent.com/d/1AwyFUAifOqFc1IBcyOfONL06xsU2HW69" TargetMode="External"/><Relationship Id="rId5151" Type="http://schemas.openxmlformats.org/officeDocument/2006/relationships/hyperlink" Target="https://drive.google.com/file/d/1EE9eqCErYpYI_pBMzlvP8l--99lfcKk6/view?usp=drivesdk" TargetMode="External"/><Relationship Id="rId5156" Type="http://schemas.openxmlformats.org/officeDocument/2006/relationships/hyperlink" Target="https://lh5.googleusercontent.com/d/1iZvL72ActxXVGqXcMbswanZD6jjDaD6U" TargetMode="External"/><Relationship Id="rId5157" Type="http://schemas.openxmlformats.org/officeDocument/2006/relationships/hyperlink" Target="https://drive.google.com/file/d/1z2C0yMmCGyABW5nBhP8fokOEZc4IRLiZ/view?usp=drivesdk" TargetMode="External"/><Relationship Id="rId5154" Type="http://schemas.openxmlformats.org/officeDocument/2006/relationships/hyperlink" Target="https://lh5.googleusercontent.com/d/1Cbxpi5T9N4PxehOU_hnh5jpeDvS6eNLd" TargetMode="External"/><Relationship Id="rId5155" Type="http://schemas.openxmlformats.org/officeDocument/2006/relationships/hyperlink" Target="https://drive.google.com/file/d/1W5FXGkvuKCsqozNlIRxh9s1Csg_y-g1W/view?usp=drivesdk" TargetMode="External"/><Relationship Id="rId5158" Type="http://schemas.openxmlformats.org/officeDocument/2006/relationships/hyperlink" Target="https://lh5.googleusercontent.com/d/1cvc7T4Mob1CdWZCcHlt-dWsHRB136BAJ" TargetMode="External"/><Relationship Id="rId5159" Type="http://schemas.openxmlformats.org/officeDocument/2006/relationships/hyperlink" Target="https://drive.google.com/file/d/1ZMjsd6LUgWVouQbdIMvKNGQFdAAaJHQa/view?usp=drivesdk" TargetMode="External"/><Relationship Id="rId5141" Type="http://schemas.openxmlformats.org/officeDocument/2006/relationships/hyperlink" Target="https://drive.google.com/file/d/1ITSm_Mqh5EwVoscrwUkHpbdj2zy3nhPP/view?usp=drivesdk" TargetMode="External"/><Relationship Id="rId5142" Type="http://schemas.openxmlformats.org/officeDocument/2006/relationships/hyperlink" Target="https://lh5.googleusercontent.com/d/1n11dC_cnYGjbSHxMfQUvgsBdeQcVXiEY" TargetMode="External"/><Relationship Id="rId5140" Type="http://schemas.openxmlformats.org/officeDocument/2006/relationships/hyperlink" Target="https://lh5.googleusercontent.com/d/1B0AEVeXb3K1P-2BIpWf0Z7cvDHj9IguN" TargetMode="External"/><Relationship Id="rId5145" Type="http://schemas.openxmlformats.org/officeDocument/2006/relationships/hyperlink" Target="https://drive.google.com/file/d/1QTIw5aRRp3irJIwU2HpV1Vv-fWp_aru-/view?usp=drivesdk" TargetMode="External"/><Relationship Id="rId5146" Type="http://schemas.openxmlformats.org/officeDocument/2006/relationships/hyperlink" Target="https://lh5.googleusercontent.com/d/1Ko0DmmalWYRurYxRUNN90r8o7VIkll5i" TargetMode="External"/><Relationship Id="rId5143" Type="http://schemas.openxmlformats.org/officeDocument/2006/relationships/hyperlink" Target="https://drive.google.com/file/d/1pKsxYjKYb8wKSS948TEqlxytfISV1wrq/view?usp=drivesdk" TargetMode="External"/><Relationship Id="rId5144" Type="http://schemas.openxmlformats.org/officeDocument/2006/relationships/hyperlink" Target="https://lh5.googleusercontent.com/d/1HJgbKrgZBJZXwyBQzkGNoWlsr7rnCW_J" TargetMode="External"/><Relationship Id="rId5149" Type="http://schemas.openxmlformats.org/officeDocument/2006/relationships/hyperlink" Target="https://drive.google.com/file/d/1ZhL11DgGGAyXHkO_dvd1Tm14fzSD9wnJ/view?usp=drivesdk" TargetMode="External"/><Relationship Id="rId5147" Type="http://schemas.openxmlformats.org/officeDocument/2006/relationships/hyperlink" Target="https://drive.google.com/file/d/1gG90QksiM03riiKPww0jeNCR0efGGWuU/view?usp=drivesdk" TargetMode="External"/><Relationship Id="rId5148" Type="http://schemas.openxmlformats.org/officeDocument/2006/relationships/hyperlink" Target="https://lh5.googleusercontent.com/d/1Dw0fkjWG9M5tBIh7OU-MI2rzS7kI3_6j" TargetMode="External"/><Relationship Id="rId3391" Type="http://schemas.openxmlformats.org/officeDocument/2006/relationships/hyperlink" Target="https://lh5.googleusercontent.com/d/1tO3__IYHefEwPZa1vepYNbQ9dkGVbpc3" TargetMode="External"/><Relationship Id="rId2060" Type="http://schemas.openxmlformats.org/officeDocument/2006/relationships/hyperlink" Target="https://lh5.googleusercontent.com/d/1n4dy3m2tx3awvyMrUqs8OLo4IdS0J1Hx" TargetMode="External"/><Relationship Id="rId3390" Type="http://schemas.openxmlformats.org/officeDocument/2006/relationships/hyperlink" Target="https://drive.google.com/file/d/1I_eu-Za799uGX1HuK_Q2NLTQfhliOG6y/view?usp=drivesdk" TargetMode="External"/><Relationship Id="rId2061" Type="http://schemas.openxmlformats.org/officeDocument/2006/relationships/hyperlink" Target="https://drive.google.com/file/d/1cPyUrlD1AgH2BvO81zj_sCbsGSl4rjA1/view?usp=drivesdk" TargetMode="External"/><Relationship Id="rId3393" Type="http://schemas.openxmlformats.org/officeDocument/2006/relationships/hyperlink" Target="https://lh5.googleusercontent.com/d/1Q1Yjb6TJgfwa6MZTe_szQK3IJ539O6y7" TargetMode="External"/><Relationship Id="rId2062" Type="http://schemas.openxmlformats.org/officeDocument/2006/relationships/hyperlink" Target="https://lh5.googleusercontent.com/d/1XbaKV4m7J-QEihfB_McTAG1EY84WXXuk" TargetMode="External"/><Relationship Id="rId3392" Type="http://schemas.openxmlformats.org/officeDocument/2006/relationships/hyperlink" Target="https://drive.google.com/file/d/1yz9gNrAP1sct4JdmKUrsEHMA5rOB0fjK/view?usp=drivesdk" TargetMode="External"/><Relationship Id="rId2063" Type="http://schemas.openxmlformats.org/officeDocument/2006/relationships/hyperlink" Target="https://drive.google.com/file/d/1aptNze9Peb5l2qpi8TPYkXxkOo_o9YuZ/view?usp=drivesdk" TargetMode="External"/><Relationship Id="rId3395" Type="http://schemas.openxmlformats.org/officeDocument/2006/relationships/hyperlink" Target="https://lh5.googleusercontent.com/d/1F8wSMfTDiuwD1VNTHwtLS7Y1l3NDKFse" TargetMode="External"/><Relationship Id="rId2064" Type="http://schemas.openxmlformats.org/officeDocument/2006/relationships/hyperlink" Target="https://lh5.googleusercontent.com/d/1B5WikWhqgDjcQijkrKzIcNDhuKBrTPHG" TargetMode="External"/><Relationship Id="rId3394" Type="http://schemas.openxmlformats.org/officeDocument/2006/relationships/hyperlink" Target="https://drive.google.com/file/d/1NTusMIy5MPGnWT19mANRdPyLLBjcexmL/view?usp=drivesdk" TargetMode="External"/><Relationship Id="rId2065" Type="http://schemas.openxmlformats.org/officeDocument/2006/relationships/hyperlink" Target="https://drive.google.com/file/d/1OkxWg8z_vOIkSU_0Vb6o9vDE5A_VzHwQ/view?usp=drivesdk" TargetMode="External"/><Relationship Id="rId3397" Type="http://schemas.openxmlformats.org/officeDocument/2006/relationships/hyperlink" Target="https://lh5.googleusercontent.com/d/1Lg8hmvTTENRGuN82RRL4VWuspCeA5GwL" TargetMode="External"/><Relationship Id="rId2066" Type="http://schemas.openxmlformats.org/officeDocument/2006/relationships/hyperlink" Target="https://lh5.googleusercontent.com/d/1-aQPspsuroCdeBuvK3iuOa88P4-OSXw5" TargetMode="External"/><Relationship Id="rId3396" Type="http://schemas.openxmlformats.org/officeDocument/2006/relationships/hyperlink" Target="https://drive.google.com/file/d/10zUS2Cv6iPMrlR1aDpe0q2flgDitToQo/view?usp=drivesdk" TargetMode="External"/><Relationship Id="rId2067" Type="http://schemas.openxmlformats.org/officeDocument/2006/relationships/hyperlink" Target="https://drive.google.com/file/d/17jQc_RmB4JozWkccN7v2hsbWYoi1qT_f/view?usp=drivesdk" TargetMode="External"/><Relationship Id="rId3399" Type="http://schemas.openxmlformats.org/officeDocument/2006/relationships/hyperlink" Target="https://lh5.googleusercontent.com/d/12_31nUjRjZ5AeIf6BBfymSxBF2Yo3VHK" TargetMode="External"/><Relationship Id="rId2068" Type="http://schemas.openxmlformats.org/officeDocument/2006/relationships/hyperlink" Target="https://lh5.googleusercontent.com/d/1-knlJLajNZIoWbjgvHCoorPRF0eMvHpX" TargetMode="External"/><Relationship Id="rId3398" Type="http://schemas.openxmlformats.org/officeDocument/2006/relationships/hyperlink" Target="https://drive.google.com/file/d/1oZRTyGbAHEZAEXz_Kf8NGe-1VXQ68YVG/view?usp=drivesdk" TargetMode="External"/><Relationship Id="rId2069" Type="http://schemas.openxmlformats.org/officeDocument/2006/relationships/hyperlink" Target="https://drive.google.com/file/d/19Z57S7Vqc_EhcrQ5N3NeZM4QhlMwmhVm/view?usp=drivesdk" TargetMode="External"/><Relationship Id="rId3380" Type="http://schemas.openxmlformats.org/officeDocument/2006/relationships/hyperlink" Target="https://drive.google.com/file/d/1bNXgmZLRW-9OqTIQW4bJ_f9khshT4lMz/view?usp=drivesdk" TargetMode="External"/><Relationship Id="rId2050" Type="http://schemas.openxmlformats.org/officeDocument/2006/relationships/hyperlink" Target="https://lh5.googleusercontent.com/d/1cwQrWZZblfZVKdV_65y02-rijOScGxTZ" TargetMode="External"/><Relationship Id="rId3382" Type="http://schemas.openxmlformats.org/officeDocument/2006/relationships/hyperlink" Target="https://drive.google.com/file/d/1T5SjAq1Kx6m4UsfCoyK_6WRcty4cinXI/view?usp=drivesdk" TargetMode="External"/><Relationship Id="rId2051" Type="http://schemas.openxmlformats.org/officeDocument/2006/relationships/hyperlink" Target="https://drive.google.com/file/d/1EA2YeV5lG3E4TKrNtzw6eQcjESVfd8U-/view?usp=drivesdk" TargetMode="External"/><Relationship Id="rId3381" Type="http://schemas.openxmlformats.org/officeDocument/2006/relationships/hyperlink" Target="https://lh5.googleusercontent.com/d/1SdquLdKRIB_M-Ff9vfhI5nAxtWJsmZVW" TargetMode="External"/><Relationship Id="rId2052" Type="http://schemas.openxmlformats.org/officeDocument/2006/relationships/hyperlink" Target="https://lh5.googleusercontent.com/d/1dkIfatv-6c4poNvpHvYuW8DgUUEg7g9t" TargetMode="External"/><Relationship Id="rId3384" Type="http://schemas.openxmlformats.org/officeDocument/2006/relationships/hyperlink" Target="https://drive.google.com/file/d/1-53z3VMh9y5xkGzxfBCUeCfHq3_-3Dyl/view?usp=drivesdk" TargetMode="External"/><Relationship Id="rId2053" Type="http://schemas.openxmlformats.org/officeDocument/2006/relationships/hyperlink" Target="https://drive.google.com/file/d/1JZzbmZlqktdcqzf08Rydlsi22AinLgIk/view?usp=drivesdk" TargetMode="External"/><Relationship Id="rId3383" Type="http://schemas.openxmlformats.org/officeDocument/2006/relationships/hyperlink" Target="https://lh5.googleusercontent.com/d/1tzbNAGADC9re1SzxHkV4Q6wfFnJzbSLz" TargetMode="External"/><Relationship Id="rId2054" Type="http://schemas.openxmlformats.org/officeDocument/2006/relationships/hyperlink" Target="https://lh5.googleusercontent.com/d/13CUXqtCaXsoYpj49qBAzcSRRp4USzkpv" TargetMode="External"/><Relationship Id="rId3386" Type="http://schemas.openxmlformats.org/officeDocument/2006/relationships/hyperlink" Target="https://drive.google.com/file/d/1zds63hb6VRkthMl9bBV89x64t_i2g38R/view?usp=drivesdk" TargetMode="External"/><Relationship Id="rId2055" Type="http://schemas.openxmlformats.org/officeDocument/2006/relationships/hyperlink" Target="https://drive.google.com/file/d/1-sQ3jU2wsoYZMLnBtMkFaKGPSltieDww/view?usp=drivesdk" TargetMode="External"/><Relationship Id="rId3385" Type="http://schemas.openxmlformats.org/officeDocument/2006/relationships/hyperlink" Target="https://lh5.googleusercontent.com/d/1XeTcdsZJ-9XfZPNt12D0geCzdmMMskGg" TargetMode="External"/><Relationship Id="rId2056" Type="http://schemas.openxmlformats.org/officeDocument/2006/relationships/hyperlink" Target="https://lh5.googleusercontent.com/d/1VjxVYVTCKktUokA0ZUUNMTOuNjcGLRSj" TargetMode="External"/><Relationship Id="rId3388" Type="http://schemas.openxmlformats.org/officeDocument/2006/relationships/hyperlink" Target="https://drive.google.com/file/d/1vMCjSQoo2YuYLychu6KY3l9VY1K9NYDs/view?usp=drivesdk" TargetMode="External"/><Relationship Id="rId2057" Type="http://schemas.openxmlformats.org/officeDocument/2006/relationships/hyperlink" Target="https://drive.google.com/file/d/14Y9PsRFIwABZjMoPLZT1T9D5U1zLr8ZA/view?usp=drivesdk" TargetMode="External"/><Relationship Id="rId3387" Type="http://schemas.openxmlformats.org/officeDocument/2006/relationships/hyperlink" Target="https://lh5.googleusercontent.com/d/1rQbLcO0W8ak_87tmm93zfxqhKMa7OV9X" TargetMode="External"/><Relationship Id="rId2058" Type="http://schemas.openxmlformats.org/officeDocument/2006/relationships/hyperlink" Target="https://lh5.googleusercontent.com/d/1h1Pb259TGflU3K_rP_SaKitiVfjDDkpv" TargetMode="External"/><Relationship Id="rId2059" Type="http://schemas.openxmlformats.org/officeDocument/2006/relationships/hyperlink" Target="https://drive.google.com/file/d/1SdTSB4tT63Ej3q9_xX7DDRqGvXCV69qN/view?usp=drivesdk" TargetMode="External"/><Relationship Id="rId3389" Type="http://schemas.openxmlformats.org/officeDocument/2006/relationships/hyperlink" Target="https://lh5.googleusercontent.com/d/1In9RzTX7WShkrvu6IK_VnuMVno1mojRQ" TargetMode="External"/><Relationship Id="rId5118" Type="http://schemas.openxmlformats.org/officeDocument/2006/relationships/hyperlink" Target="https://lh5.googleusercontent.com/d/1BwX5TafTVC1sDooPFcJbRWZWGK6xrRcL" TargetMode="External"/><Relationship Id="rId5119" Type="http://schemas.openxmlformats.org/officeDocument/2006/relationships/hyperlink" Target="https://drive.google.com/file/d/1-VtxU7gWdsMTPN3AOLdNmxNzhuXrkJij/view?usp=drivesdk" TargetMode="External"/><Relationship Id="rId2080" Type="http://schemas.openxmlformats.org/officeDocument/2006/relationships/hyperlink" Target="https://lh5.googleusercontent.com/d/1NmrOBEgP7Gyw2QVUdsj3AsKNqDa5_0V5" TargetMode="External"/><Relationship Id="rId2081" Type="http://schemas.openxmlformats.org/officeDocument/2006/relationships/hyperlink" Target="https://drive.google.com/file/d/1Zorqs7BeF2c_7IYSVBs32zdy2J9jfuEy/view?usp=drivesdk" TargetMode="External"/><Relationship Id="rId2082" Type="http://schemas.openxmlformats.org/officeDocument/2006/relationships/hyperlink" Target="https://lh5.googleusercontent.com/d/18rS8MUzINucKbSZva6jK9B30cxMrcDAB" TargetMode="External"/><Relationship Id="rId2083" Type="http://schemas.openxmlformats.org/officeDocument/2006/relationships/hyperlink" Target="https://drive.google.com/file/d/1zQFXvIVNZcBIlpQFUmHUVXbEOeaWjdu4/view?usp=drivesdk" TargetMode="External"/><Relationship Id="rId2084" Type="http://schemas.openxmlformats.org/officeDocument/2006/relationships/hyperlink" Target="https://lh5.googleusercontent.com/d/166GBne7DlNDDDiFRZ1mJTnHdnlHi2mDY" TargetMode="External"/><Relationship Id="rId2085" Type="http://schemas.openxmlformats.org/officeDocument/2006/relationships/hyperlink" Target="https://drive.google.com/file/d/1zjm5d2OV_es2xnnB0AKMKJweKo6rqZyf/view?usp=drivesdk" TargetMode="External"/><Relationship Id="rId5112" Type="http://schemas.openxmlformats.org/officeDocument/2006/relationships/hyperlink" Target="https://lh5.googleusercontent.com/d/1dvP-w2pw0Ct2OgsAWdlE06n3UjdR1eXP" TargetMode="External"/><Relationship Id="rId2086" Type="http://schemas.openxmlformats.org/officeDocument/2006/relationships/hyperlink" Target="https://lh5.googleusercontent.com/d/1UuIdmmEwOTyIhn47_WaLAYB3wyDdPMvX" TargetMode="External"/><Relationship Id="rId5113" Type="http://schemas.openxmlformats.org/officeDocument/2006/relationships/hyperlink" Target="https://drive.google.com/file/d/179trtDM2AlQw0K9qSJinhq8GG2kbNzvl/view?usp=drivesdk" TargetMode="External"/><Relationship Id="rId2087" Type="http://schemas.openxmlformats.org/officeDocument/2006/relationships/hyperlink" Target="https://drive.google.com/file/d/1LqcFmig_neL42ZXUv-RT6i8tshp54ffj/view?usp=drivesdk" TargetMode="External"/><Relationship Id="rId5110" Type="http://schemas.openxmlformats.org/officeDocument/2006/relationships/hyperlink" Target="https://lh5.googleusercontent.com/d/1DFi4s5_k06ho39RCVkEqanKwhOhAuvMQ" TargetMode="External"/><Relationship Id="rId2088" Type="http://schemas.openxmlformats.org/officeDocument/2006/relationships/hyperlink" Target="https://lh5.googleusercontent.com/d/1KL6mH7P2Ctbpx98m3SbguptiV8yfI4cI" TargetMode="External"/><Relationship Id="rId5111" Type="http://schemas.openxmlformats.org/officeDocument/2006/relationships/hyperlink" Target="https://drive.google.com/file/d/1DqeAtuDx4Iqkt0eCCyRmG1TBkahnKgxK/view?usp=drivesdk" TargetMode="External"/><Relationship Id="rId2089" Type="http://schemas.openxmlformats.org/officeDocument/2006/relationships/hyperlink" Target="https://drive.google.com/file/d/1eq4Q1xVaQRX8D7YY-U3NDqUxNVQwkS04/view?usp=drivesdk" TargetMode="External"/><Relationship Id="rId5116" Type="http://schemas.openxmlformats.org/officeDocument/2006/relationships/hyperlink" Target="https://lh5.googleusercontent.com/d/18J0rChWx07pLmrarXEbx0aIAcrXzwH1Q" TargetMode="External"/><Relationship Id="rId5117" Type="http://schemas.openxmlformats.org/officeDocument/2006/relationships/hyperlink" Target="https://drive.google.com/file/d/1AFrxqXixKTZrpG10upgbaFdjAtFNTb_g/view?usp=drivesdk" TargetMode="External"/><Relationship Id="rId5114" Type="http://schemas.openxmlformats.org/officeDocument/2006/relationships/hyperlink" Target="https://lh5.googleusercontent.com/d/1dGn3xC8Rl9PF2r4ullhYudvomK4c6JzX" TargetMode="External"/><Relationship Id="rId5115" Type="http://schemas.openxmlformats.org/officeDocument/2006/relationships/hyperlink" Target="https://drive.google.com/file/d/1EMFmxb4iL_TtvOm7THMaIjJFuD_FzihB/view?usp=drivesdk" TargetMode="External"/><Relationship Id="rId5109" Type="http://schemas.openxmlformats.org/officeDocument/2006/relationships/hyperlink" Target="https://drive.google.com/file/d/1qqgELvb1Z44a-ZB-FZO0HLzPVgFVZC8-/view?usp=drivesdk" TargetMode="External"/><Relationship Id="rId5107" Type="http://schemas.openxmlformats.org/officeDocument/2006/relationships/hyperlink" Target="https://drive.google.com/file/d/1urn6sfD1Znbd1q8N7cn747La_KPUQb8R/view?usp=drivesdk" TargetMode="External"/><Relationship Id="rId5108" Type="http://schemas.openxmlformats.org/officeDocument/2006/relationships/hyperlink" Target="https://lh5.googleusercontent.com/d/1mCMbk7lzNfdqYyMOcMXeTsiZRoJ77s2N" TargetMode="External"/><Relationship Id="rId2070" Type="http://schemas.openxmlformats.org/officeDocument/2006/relationships/hyperlink" Target="https://lh5.googleusercontent.com/d/1PKmz7d84aP1CYyNkLtqIszkiasrVLqsq" TargetMode="External"/><Relationship Id="rId2071" Type="http://schemas.openxmlformats.org/officeDocument/2006/relationships/hyperlink" Target="https://drive.google.com/file/d/11WiFkXxpuqa0-t4hj5zJdCBUEXOsV35s/view?usp=drivesdk" TargetMode="External"/><Relationship Id="rId2072" Type="http://schemas.openxmlformats.org/officeDocument/2006/relationships/hyperlink" Target="https://lh5.googleusercontent.com/d/1XXYfmPGBn8pS6H_CH7HmJXzYPbenP5gQ" TargetMode="External"/><Relationship Id="rId2073" Type="http://schemas.openxmlformats.org/officeDocument/2006/relationships/hyperlink" Target="https://drive.google.com/file/d/15TxyC_priZTXipla3mJDTH-Mc3H_FzCn/view?usp=drivesdk" TargetMode="External"/><Relationship Id="rId2074" Type="http://schemas.openxmlformats.org/officeDocument/2006/relationships/hyperlink" Target="https://lh5.googleusercontent.com/d/1gElkf6VaIc7upvBCiqIZaMhwkid6U87A" TargetMode="External"/><Relationship Id="rId5101" Type="http://schemas.openxmlformats.org/officeDocument/2006/relationships/hyperlink" Target="https://drive.google.com/file/d/1QWcB_d9GuNRrrrAL4rOalLqMXbOxYlvD/view?usp=drivesdk" TargetMode="External"/><Relationship Id="rId2075" Type="http://schemas.openxmlformats.org/officeDocument/2006/relationships/hyperlink" Target="https://drive.google.com/file/d/1o5-sI5WumIGtNAl39IlDxwjC_X9grP8o/view?usp=drivesdk" TargetMode="External"/><Relationship Id="rId5102" Type="http://schemas.openxmlformats.org/officeDocument/2006/relationships/hyperlink" Target="https://lh5.googleusercontent.com/d/1JRpalpMotQjq4uQ5sYFHo4v9YTyp0nkc" TargetMode="External"/><Relationship Id="rId2076" Type="http://schemas.openxmlformats.org/officeDocument/2006/relationships/hyperlink" Target="https://lh5.googleusercontent.com/d/1WvSwH4p-56DI9d8dBqgmK6CUuYqWGhLg" TargetMode="External"/><Relationship Id="rId2077" Type="http://schemas.openxmlformats.org/officeDocument/2006/relationships/hyperlink" Target="https://drive.google.com/file/d/1vW8zbkFBu26XN2dT0pFro-p9CYAcjmAz/view?usp=drivesdk" TargetMode="External"/><Relationship Id="rId5100" Type="http://schemas.openxmlformats.org/officeDocument/2006/relationships/hyperlink" Target="https://lh5.googleusercontent.com/d/1pIC-sTjNtoD8P9ezTDC40pFBHn-IEQ_C" TargetMode="External"/><Relationship Id="rId2078" Type="http://schemas.openxmlformats.org/officeDocument/2006/relationships/hyperlink" Target="https://lh5.googleusercontent.com/d/1meXnBMVu-UXbo-wvcMAG_PgtGaXEgxe2" TargetMode="External"/><Relationship Id="rId5105" Type="http://schemas.openxmlformats.org/officeDocument/2006/relationships/hyperlink" Target="https://drive.google.com/file/d/1bAZXpEcYK-1Pwd-WmOLAHw0DuMtYKjmQ/view?usp=drivesdk" TargetMode="External"/><Relationship Id="rId2079" Type="http://schemas.openxmlformats.org/officeDocument/2006/relationships/hyperlink" Target="https://drive.google.com/file/d/1fr0_-2Z7YWo_K9dUuB8Fq9Bl4y433gup/view?usp=drivesdk" TargetMode="External"/><Relationship Id="rId5106" Type="http://schemas.openxmlformats.org/officeDocument/2006/relationships/hyperlink" Target="https://lh5.googleusercontent.com/d/1WXwy4S-MOxD-YM4vYW87t1WI8PiBhljR" TargetMode="External"/><Relationship Id="rId5103" Type="http://schemas.openxmlformats.org/officeDocument/2006/relationships/hyperlink" Target="https://drive.google.com/file/d/12imWiUq8vUAas59ejcqQySMaG0jPeJVN/view?usp=drivesdk" TargetMode="External"/><Relationship Id="rId5104" Type="http://schemas.openxmlformats.org/officeDocument/2006/relationships/hyperlink" Target="https://lh5.googleusercontent.com/d/1oXrH_Kk0L3KNtXWeW6oy8qDR_l10R3kl" TargetMode="External"/><Relationship Id="rId2940" Type="http://schemas.openxmlformats.org/officeDocument/2006/relationships/hyperlink" Target="https://drive.google.com/file/d/1qk1lLqp3iS1eLjh_FnFeWZoNijNKYCPp/view?usp=drivesdk" TargetMode="External"/><Relationship Id="rId1610" Type="http://schemas.openxmlformats.org/officeDocument/2006/relationships/hyperlink" Target="https://drive.google.com/file/d/1HLAXVBWKwhyvSxOaHieA4pQrK6Dd46HK/view?usp=drivesdk" TargetMode="External"/><Relationship Id="rId2941" Type="http://schemas.openxmlformats.org/officeDocument/2006/relationships/hyperlink" Target="https://lh5.googleusercontent.com/d/1hXZ2OKaKnFikviAoh4TWjvx_U7KqXDTa" TargetMode="External"/><Relationship Id="rId1611" Type="http://schemas.openxmlformats.org/officeDocument/2006/relationships/hyperlink" Target="https://lh5.googleusercontent.com/d/1G09xQsMG3xfnxJXlTn3ZUSRyft3juIe_" TargetMode="External"/><Relationship Id="rId2942" Type="http://schemas.openxmlformats.org/officeDocument/2006/relationships/hyperlink" Target="https://drive.google.com/file/d/1reXMHzLQ0L2TCXuirtuR0K9OIKcGp7ZK/view?usp=drivesdk" TargetMode="External"/><Relationship Id="rId1612" Type="http://schemas.openxmlformats.org/officeDocument/2006/relationships/hyperlink" Target="https://drive.google.com/file/d/1ldLZY6OcabjAx_S6X9lzTJiW3-9y295g/view?usp=drivesdk" TargetMode="External"/><Relationship Id="rId2943" Type="http://schemas.openxmlformats.org/officeDocument/2006/relationships/hyperlink" Target="https://lh5.googleusercontent.com/d/1cE5BWmozZCK0p8XEDbKiHbjSQQeR3heA" TargetMode="External"/><Relationship Id="rId1613" Type="http://schemas.openxmlformats.org/officeDocument/2006/relationships/hyperlink" Target="https://lh5.googleusercontent.com/d/1NiLrxII8aO-VbLTJT0fD3rPf1ymuq0ZW" TargetMode="External"/><Relationship Id="rId2944" Type="http://schemas.openxmlformats.org/officeDocument/2006/relationships/hyperlink" Target="https://drive.google.com/file/d/1TxVTEC2DmnrS35k5xZE-fPd12tZa-aLG/view?usp=drivesdk" TargetMode="External"/><Relationship Id="rId1614" Type="http://schemas.openxmlformats.org/officeDocument/2006/relationships/hyperlink" Target="https://drive.google.com/file/d/1x0-rIuoC2YVIsp-PHu6lHC9gt_eXRZJb/view?usp=drivesdk" TargetMode="External"/><Relationship Id="rId2945" Type="http://schemas.openxmlformats.org/officeDocument/2006/relationships/hyperlink" Target="https://lh5.googleusercontent.com/d/17LN6NzqPxcpvP52o9Kx5pXR0F4O92tIz" TargetMode="External"/><Relationship Id="rId1615" Type="http://schemas.openxmlformats.org/officeDocument/2006/relationships/hyperlink" Target="https://lh5.googleusercontent.com/d/115xBkw0w0JCwyx8vNcQVx_aQyjjCrHT7" TargetMode="External"/><Relationship Id="rId2946" Type="http://schemas.openxmlformats.org/officeDocument/2006/relationships/hyperlink" Target="https://drive.google.com/file/d/1Of6OaObs8q2kKPlkG6qG90b_cIwMX6fw/view?usp=drivesdk" TargetMode="External"/><Relationship Id="rId1616" Type="http://schemas.openxmlformats.org/officeDocument/2006/relationships/hyperlink" Target="https://drive.google.com/file/d/1aGgYKs6vm4SiZIqvcRPijBJi17WnnNfp/view?usp=drivesdk" TargetMode="External"/><Relationship Id="rId2947" Type="http://schemas.openxmlformats.org/officeDocument/2006/relationships/hyperlink" Target="https://lh5.googleusercontent.com/d/15P3LNABHfZY1GSPlNFNZOX5quIwirepF" TargetMode="External"/><Relationship Id="rId907" Type="http://schemas.openxmlformats.org/officeDocument/2006/relationships/hyperlink" Target="https://lh5.googleusercontent.com/d/1CfWelTKyYHHm7yC4TreSNVY24hygFrga" TargetMode="External"/><Relationship Id="rId1617" Type="http://schemas.openxmlformats.org/officeDocument/2006/relationships/hyperlink" Target="https://lh5.googleusercontent.com/d/1zNqwv3MXVjofhdRjxr9PIgijeOz73wRS" TargetMode="External"/><Relationship Id="rId2948" Type="http://schemas.openxmlformats.org/officeDocument/2006/relationships/hyperlink" Target="https://drive.google.com/file/d/1tYktEHrhVZAA5ADYK_YTmjzoptzhgnJS/view?usp=drivesdk" TargetMode="External"/><Relationship Id="rId906" Type="http://schemas.openxmlformats.org/officeDocument/2006/relationships/hyperlink" Target="https://drive.google.com/file/d/1vwO4yZTdAZb1L9AOkW4RSqHIbJBuP25a/view?usp=drivesdk" TargetMode="External"/><Relationship Id="rId1618" Type="http://schemas.openxmlformats.org/officeDocument/2006/relationships/hyperlink" Target="https://drive.google.com/file/d/1fL1qB2GbvDPp7xTTlL_C6uyN17DGm_wv/view?usp=drivesdk" TargetMode="External"/><Relationship Id="rId2949" Type="http://schemas.openxmlformats.org/officeDocument/2006/relationships/hyperlink" Target="https://lh5.googleusercontent.com/d/1r4twlNFI-ZL9ciBm7q4YTI7QFlA2dfvz" TargetMode="External"/><Relationship Id="rId905" Type="http://schemas.openxmlformats.org/officeDocument/2006/relationships/hyperlink" Target="https://lh5.googleusercontent.com/d/1TaULK0C3pB_GeJ2ecttVobjRr-d6iq-i" TargetMode="External"/><Relationship Id="rId1619" Type="http://schemas.openxmlformats.org/officeDocument/2006/relationships/hyperlink" Target="https://lh5.googleusercontent.com/d/1qAYS9y75-CI7gG1HdePdjNRV4Wy3_bko" TargetMode="External"/><Relationship Id="rId904" Type="http://schemas.openxmlformats.org/officeDocument/2006/relationships/hyperlink" Target="https://drive.google.com/file/d/1m4gLQU2tej_KpCpz_p64DzwkBQFiV6p9/view?usp=drivesdk" TargetMode="External"/><Relationship Id="rId909" Type="http://schemas.openxmlformats.org/officeDocument/2006/relationships/hyperlink" Target="https://lh5.googleusercontent.com/d/1kFNb7T3-_qY6F9g4RPQ-1wN1X23eaLRe" TargetMode="External"/><Relationship Id="rId908" Type="http://schemas.openxmlformats.org/officeDocument/2006/relationships/hyperlink" Target="https://drive.google.com/file/d/1IxY1MZTVgr2e6QHU9mAfNjB7kI9YkHLB/view?usp=drivesdk" TargetMode="External"/><Relationship Id="rId903" Type="http://schemas.openxmlformats.org/officeDocument/2006/relationships/hyperlink" Target="https://lh5.googleusercontent.com/d/1ud0W1AHDFXGVg2-maC4S6QB244Y6bNO4" TargetMode="External"/><Relationship Id="rId902" Type="http://schemas.openxmlformats.org/officeDocument/2006/relationships/hyperlink" Target="https://drive.google.com/file/d/16Sld9LqI2ThJronB-2COGWsUiBTtqQ7C/view?usp=drivesdk" TargetMode="External"/><Relationship Id="rId901" Type="http://schemas.openxmlformats.org/officeDocument/2006/relationships/hyperlink" Target="https://lh5.googleusercontent.com/d/1uojeJkOnVtug_KN3I0NGEMityQDctP8B" TargetMode="External"/><Relationship Id="rId900" Type="http://schemas.openxmlformats.org/officeDocument/2006/relationships/hyperlink" Target="https://drive.google.com/file/d/1wFvlGKTUW-X6AcJjnuVbUZMm-aiqpkum/view?usp=drivesdk" TargetMode="External"/><Relationship Id="rId2930" Type="http://schemas.openxmlformats.org/officeDocument/2006/relationships/hyperlink" Target="https://drive.google.com/file/d/1rw-E20EDlV8_joPr9dJ0c6w1BD9SxLQQ/view?usp=drivesdk" TargetMode="External"/><Relationship Id="rId1600" Type="http://schemas.openxmlformats.org/officeDocument/2006/relationships/hyperlink" Target="https://drive.google.com/file/d/1hSCfpn2RVe7-KfoE0EPlVBaaGCm9YqQt/view?usp=drivesdk" TargetMode="External"/><Relationship Id="rId2931" Type="http://schemas.openxmlformats.org/officeDocument/2006/relationships/hyperlink" Target="https://lh5.googleusercontent.com/d/1Phxq2Rm64oVee6a1pSDHqsa6oowwMM-v" TargetMode="External"/><Relationship Id="rId1601" Type="http://schemas.openxmlformats.org/officeDocument/2006/relationships/hyperlink" Target="https://lh5.googleusercontent.com/d/1uHb1iXcLe_Q23KjhuPxszI9Fj-FVNigX" TargetMode="External"/><Relationship Id="rId2932" Type="http://schemas.openxmlformats.org/officeDocument/2006/relationships/hyperlink" Target="https://lh5.googleusercontent.com/d/1e_JeTnukoKno22oScHJVfXwrwhhpTjr4" TargetMode="External"/><Relationship Id="rId1602" Type="http://schemas.openxmlformats.org/officeDocument/2006/relationships/hyperlink" Target="https://drive.google.com/file/d/1SaeCxg1OKxQI6YAsZKfhFGvqbbeaqos5/view?usp=drivesdk" TargetMode="External"/><Relationship Id="rId2933" Type="http://schemas.openxmlformats.org/officeDocument/2006/relationships/hyperlink" Target="https://drive.google.com/file/d/1iBCDzNTxI-bwXnGBuveNjjBL2CZ8TI90/view?usp=drivesdk" TargetMode="External"/><Relationship Id="rId1603" Type="http://schemas.openxmlformats.org/officeDocument/2006/relationships/hyperlink" Target="https://lh5.googleusercontent.com/d/1t8rz73Lf99VEd3c5Bvs7D7gb3amjpPrd" TargetMode="External"/><Relationship Id="rId2934" Type="http://schemas.openxmlformats.org/officeDocument/2006/relationships/hyperlink" Target="https://lh5.googleusercontent.com/d/1V-alX0KjoIMSC_G63NVYDQp-PQsUlLqy" TargetMode="External"/><Relationship Id="rId1604" Type="http://schemas.openxmlformats.org/officeDocument/2006/relationships/hyperlink" Target="https://drive.google.com/file/d/1nSTfLGeB1c0Jpbfguc_Yg4LncdJEEvZq/view?usp=drivesdk" TargetMode="External"/><Relationship Id="rId2935" Type="http://schemas.openxmlformats.org/officeDocument/2006/relationships/hyperlink" Target="https://drive.google.com/file/d/1P5jCor5RXZxuQKP8ToDBKYG1nC8ckGJu/view?usp=drivesdk" TargetMode="External"/><Relationship Id="rId1605" Type="http://schemas.openxmlformats.org/officeDocument/2006/relationships/hyperlink" Target="https://lh5.googleusercontent.com/d/1cqPFu7mY9uLqvo4D7DBC9nappqY1eEN8" TargetMode="External"/><Relationship Id="rId2936" Type="http://schemas.openxmlformats.org/officeDocument/2006/relationships/hyperlink" Target="https://lh5.googleusercontent.com/d/1sANeNCVU2fad45d2ozKVpGmkNREB2nLq" TargetMode="External"/><Relationship Id="rId1606" Type="http://schemas.openxmlformats.org/officeDocument/2006/relationships/hyperlink" Target="https://drive.google.com/file/d/1FrJjeiQoP2_7Bw51UHnGTYFeVRPKzIpm/view?usp=drivesdk" TargetMode="External"/><Relationship Id="rId2937" Type="http://schemas.openxmlformats.org/officeDocument/2006/relationships/hyperlink" Target="https://lh5.googleusercontent.com/d/12qsAhpMPV4z2XsU3gyl5Qu-u30YPdubY" TargetMode="External"/><Relationship Id="rId1607" Type="http://schemas.openxmlformats.org/officeDocument/2006/relationships/hyperlink" Target="https://lh5.googleusercontent.com/d/1xz10Fmbe5CQM14WDTxwr-serQI59VM62" TargetMode="External"/><Relationship Id="rId2938" Type="http://schemas.openxmlformats.org/officeDocument/2006/relationships/hyperlink" Target="https://drive.google.com/file/d/1TiKRduX5Cf3waxjWeDIWvWJhlvRnu3Sq/view?usp=drivesdk" TargetMode="External"/><Relationship Id="rId1608" Type="http://schemas.openxmlformats.org/officeDocument/2006/relationships/hyperlink" Target="https://drive.google.com/file/d/101hbrr4a3QP2-IvcIbjNSgiCS8R5M-MK/view?usp=drivesdk" TargetMode="External"/><Relationship Id="rId2939" Type="http://schemas.openxmlformats.org/officeDocument/2006/relationships/hyperlink" Target="https://lh5.googleusercontent.com/d/1-4aNlufh46DUjK2uP9FHgIso4WXT4X_B" TargetMode="External"/><Relationship Id="rId1609" Type="http://schemas.openxmlformats.org/officeDocument/2006/relationships/hyperlink" Target="https://lh5.googleusercontent.com/d/1_XL-WmUVIGL7cpMg_qPTeljgy8BjEY-A" TargetMode="External"/><Relationship Id="rId1631" Type="http://schemas.openxmlformats.org/officeDocument/2006/relationships/hyperlink" Target="https://lh5.googleusercontent.com/d/1_lYUJ55YKSx7jfcCtuaWkTwC_VsJZJP3" TargetMode="External"/><Relationship Id="rId2962" Type="http://schemas.openxmlformats.org/officeDocument/2006/relationships/hyperlink" Target="https://lh5.googleusercontent.com/d/1p6jKy5VXzKJk-Je9YLrJ0Xml7Wid25Rq" TargetMode="External"/><Relationship Id="rId1632" Type="http://schemas.openxmlformats.org/officeDocument/2006/relationships/hyperlink" Target="https://drive.google.com/file/d/1igbarmgyZmq-hYQ-ObfhpujVZoCYD4Gy/view?usp=drivesdk" TargetMode="External"/><Relationship Id="rId2963" Type="http://schemas.openxmlformats.org/officeDocument/2006/relationships/hyperlink" Target="https://drive.google.com/file/d/1SF6ddX24_kGC77qGrggl2-_i2uo4j_qE/view?usp=drivesdk" TargetMode="External"/><Relationship Id="rId1633" Type="http://schemas.openxmlformats.org/officeDocument/2006/relationships/hyperlink" Target="https://lh5.googleusercontent.com/d/1pXactzX3sVn45HIRSZBQmT1HAu3FqMgw" TargetMode="External"/><Relationship Id="rId2964" Type="http://schemas.openxmlformats.org/officeDocument/2006/relationships/hyperlink" Target="https://lh5.googleusercontent.com/d/1jaGeTAV2U1tC_HsWfJ9Ayfu0ShO6hrB9" TargetMode="External"/><Relationship Id="rId1634" Type="http://schemas.openxmlformats.org/officeDocument/2006/relationships/hyperlink" Target="https://drive.google.com/file/d/1IgdPLyL6UTYfaXeirtdNyNp2Smy1qDkb/view?usp=drivesdk" TargetMode="External"/><Relationship Id="rId2965" Type="http://schemas.openxmlformats.org/officeDocument/2006/relationships/hyperlink" Target="https://drive.google.com/file/d/1zOqL0MXdnhv-RUZiSNJWA-TNpfXIKuhT/view?usp=drivesdk" TargetMode="External"/><Relationship Id="rId1635" Type="http://schemas.openxmlformats.org/officeDocument/2006/relationships/hyperlink" Target="https://lh5.googleusercontent.com/d/1yQsOZ0-Qy1eknZl-YHR0KS7-2Q4BsZdF" TargetMode="External"/><Relationship Id="rId2966" Type="http://schemas.openxmlformats.org/officeDocument/2006/relationships/hyperlink" Target="https://lh5.googleusercontent.com/d/1kZcQsK7CLNiY3NMEt-XEwkGCk2Deg8uk" TargetMode="External"/><Relationship Id="rId1636" Type="http://schemas.openxmlformats.org/officeDocument/2006/relationships/hyperlink" Target="https://drive.google.com/file/d/1CdR4GVBssWM4k1wCdqPYqsEiTJfIfEku/view?usp=drivesdk" TargetMode="External"/><Relationship Id="rId2967" Type="http://schemas.openxmlformats.org/officeDocument/2006/relationships/hyperlink" Target="https://drive.google.com/file/d/1Sh78VHBxZt_MpL6vKr42CS_Y8_uwNvyc/view?usp=drivesdk" TargetMode="External"/><Relationship Id="rId1637" Type="http://schemas.openxmlformats.org/officeDocument/2006/relationships/hyperlink" Target="https://lh5.googleusercontent.com/d/1KsOjLA1zDA69YyYhkCpdsBM04kGwe-YJ" TargetMode="External"/><Relationship Id="rId2968" Type="http://schemas.openxmlformats.org/officeDocument/2006/relationships/hyperlink" Target="https://lh5.googleusercontent.com/d/1B6Ctfb5nV52KsmLZq2ENca6BE5KhmKmf" TargetMode="External"/><Relationship Id="rId1638" Type="http://schemas.openxmlformats.org/officeDocument/2006/relationships/hyperlink" Target="https://drive.google.com/file/d/1rF1ByfnjMImn_6ly7s-95cHmJi9s1amQ/view?usp=drivesdk" TargetMode="External"/><Relationship Id="rId2969" Type="http://schemas.openxmlformats.org/officeDocument/2006/relationships/hyperlink" Target="https://lh5.googleusercontent.com/d/163Egp7JVbWTwLdcWMKBAMowkFhDIKokn" TargetMode="External"/><Relationship Id="rId929" Type="http://schemas.openxmlformats.org/officeDocument/2006/relationships/hyperlink" Target="https://lh5.googleusercontent.com/d/17Fp5d68375OCRweXSJ8wOcIiICOR3JS5" TargetMode="External"/><Relationship Id="rId1639" Type="http://schemas.openxmlformats.org/officeDocument/2006/relationships/hyperlink" Target="https://lh5.googleusercontent.com/d/1MrWGGB9WpLPGuLW5sc_yUFoXgHQeaiPl" TargetMode="External"/><Relationship Id="rId928" Type="http://schemas.openxmlformats.org/officeDocument/2006/relationships/hyperlink" Target="https://drive.google.com/file/d/12XmLTCTW3s6XqY9yUbfb_XeJzLA9flXj/view?usp=drivesdk" TargetMode="External"/><Relationship Id="rId927" Type="http://schemas.openxmlformats.org/officeDocument/2006/relationships/hyperlink" Target="https://lh5.googleusercontent.com/d/1oP9MdC14uId4EOWIv9LqF9fwRUuLIQGl" TargetMode="External"/><Relationship Id="rId926" Type="http://schemas.openxmlformats.org/officeDocument/2006/relationships/hyperlink" Target="https://drive.google.com/file/d/1tzg_eHNIAr2HkW2sERP_qfi5pg8L7bLu/view?usp=drivesdk" TargetMode="External"/><Relationship Id="rId921" Type="http://schemas.openxmlformats.org/officeDocument/2006/relationships/hyperlink" Target="https://lh5.googleusercontent.com/d/16ppzH9muKkevp87BjWuPGmOTDIQ6_o0R" TargetMode="External"/><Relationship Id="rId920" Type="http://schemas.openxmlformats.org/officeDocument/2006/relationships/hyperlink" Target="https://drive.google.com/file/d/1HVN2AorvDFh48Ob1-x2nN7m-PfY5nsVo/view?usp=drivesdk" TargetMode="External"/><Relationship Id="rId925" Type="http://schemas.openxmlformats.org/officeDocument/2006/relationships/hyperlink" Target="https://lh5.googleusercontent.com/d/1_qsJdQJaDpzYOA8tLlQnk0kLeKFILUiI" TargetMode="External"/><Relationship Id="rId924" Type="http://schemas.openxmlformats.org/officeDocument/2006/relationships/hyperlink" Target="https://drive.google.com/file/d/1EAxujLxG7VSaiQn5mOoA4EbxoBko5RT1/view?usp=drivesdk" TargetMode="External"/><Relationship Id="rId923" Type="http://schemas.openxmlformats.org/officeDocument/2006/relationships/hyperlink" Target="https://lh5.googleusercontent.com/d/1L9HbhTpoag8dWzuqXRpAQniycF93R9fq" TargetMode="External"/><Relationship Id="rId922" Type="http://schemas.openxmlformats.org/officeDocument/2006/relationships/hyperlink" Target="https://drive.google.com/file/d/1FXAUZo_iF-vL5szVTjCQpcRPfAfmPlBR/view?usp=drivesdk" TargetMode="External"/><Relationship Id="rId2960" Type="http://schemas.openxmlformats.org/officeDocument/2006/relationships/hyperlink" Target="https://lh5.googleusercontent.com/d/1SBxz4oEg8vl58VCGtqYe1D-7cHFObj59" TargetMode="External"/><Relationship Id="rId1630" Type="http://schemas.openxmlformats.org/officeDocument/2006/relationships/hyperlink" Target="https://drive.google.com/file/d/1RPBmc-Zi_DTLH_Z1hVxBbk3mGATqxllc/view?usp=drivesdk" TargetMode="External"/><Relationship Id="rId2961" Type="http://schemas.openxmlformats.org/officeDocument/2006/relationships/hyperlink" Target="https://drive.google.com/file/d/1aziMIAZb_n22YNehsI7tTro6Jh6eUQn_/view?usp=drivesdk" TargetMode="External"/><Relationship Id="rId1620" Type="http://schemas.openxmlformats.org/officeDocument/2006/relationships/hyperlink" Target="https://drive.google.com/file/d/12QSyzEjt0OOWCc29n3focKFnPJxLKJYb/view?usp=drivesdk" TargetMode="External"/><Relationship Id="rId2951" Type="http://schemas.openxmlformats.org/officeDocument/2006/relationships/hyperlink" Target="https://lh5.googleusercontent.com/d/1gCgl7xunx4mCqX6gV_hPomVkHSntWgce" TargetMode="External"/><Relationship Id="rId1621" Type="http://schemas.openxmlformats.org/officeDocument/2006/relationships/hyperlink" Target="https://lh5.googleusercontent.com/d/1WYvOAavMoniOU0KkGEx17mFelZQ-XK7c" TargetMode="External"/><Relationship Id="rId2952" Type="http://schemas.openxmlformats.org/officeDocument/2006/relationships/hyperlink" Target="https://drive.google.com/file/d/1QS9s94eRlUGQ5J53SGq5COuGkERhRvUC/view?usp=drivesdk" TargetMode="External"/><Relationship Id="rId1622" Type="http://schemas.openxmlformats.org/officeDocument/2006/relationships/hyperlink" Target="https://drive.google.com/file/d/1EmFrvljhYS3m786Owz7LCcKGNYu9iE22/view?usp=drivesdk" TargetMode="External"/><Relationship Id="rId2953" Type="http://schemas.openxmlformats.org/officeDocument/2006/relationships/hyperlink" Target="https://lh5.googleusercontent.com/d/1HW-xjOQbFRo9iZtPRztZXK5vld5CPdDG" TargetMode="External"/><Relationship Id="rId1623" Type="http://schemas.openxmlformats.org/officeDocument/2006/relationships/hyperlink" Target="https://lh5.googleusercontent.com/d/1oAWh3ZSYRnTuo8NYWIyGthgB59Bi6us5" TargetMode="External"/><Relationship Id="rId2954" Type="http://schemas.openxmlformats.org/officeDocument/2006/relationships/hyperlink" Target="https://lh5.googleusercontent.com/d/1HZ8OKLEOYw5GKVc_KXbC1iImQ786WK-n" TargetMode="External"/><Relationship Id="rId1624" Type="http://schemas.openxmlformats.org/officeDocument/2006/relationships/hyperlink" Target="https://drive.google.com/file/d/1m5EnD6d_-z2By0tE0nM7wKVZzWIh3dY1/view?usp=drivesdk" TargetMode="External"/><Relationship Id="rId2955" Type="http://schemas.openxmlformats.org/officeDocument/2006/relationships/hyperlink" Target="https://drive.google.com/file/d/1LbTVD2S137RPZPaZftwW-IYTI39lRpS8/view?usp=drivesdk" TargetMode="External"/><Relationship Id="rId1625" Type="http://schemas.openxmlformats.org/officeDocument/2006/relationships/hyperlink" Target="https://lh5.googleusercontent.com/d/16HXkyL7BkIIhuYI0qiil18YRtH5sfwEb" TargetMode="External"/><Relationship Id="rId2956" Type="http://schemas.openxmlformats.org/officeDocument/2006/relationships/hyperlink" Target="https://lh5.googleusercontent.com/d/1MBbLwT6gsMlD6F7mGAM0Vc5mG6jfNop5" TargetMode="External"/><Relationship Id="rId1626" Type="http://schemas.openxmlformats.org/officeDocument/2006/relationships/hyperlink" Target="https://drive.google.com/file/d/155RRGMRAcU55H7rE9h1Zr10geLN0PPuL/view?usp=drivesdk" TargetMode="External"/><Relationship Id="rId2957" Type="http://schemas.openxmlformats.org/officeDocument/2006/relationships/hyperlink" Target="https://drive.google.com/file/d/19TtSxKDwI6XC8OFlA4oltcf50tsukvAu/view?usp=drivesdk" TargetMode="External"/><Relationship Id="rId1627" Type="http://schemas.openxmlformats.org/officeDocument/2006/relationships/hyperlink" Target="https://lh5.googleusercontent.com/d/1vQZKUxqEXO4HGCqm3dql_T6AkPV3Wm4u" TargetMode="External"/><Relationship Id="rId2958" Type="http://schemas.openxmlformats.org/officeDocument/2006/relationships/hyperlink" Target="https://lh5.googleusercontent.com/d/1iHixNh8V6MD09VHMH3lfDVG-5UwVbbtM" TargetMode="External"/><Relationship Id="rId918" Type="http://schemas.openxmlformats.org/officeDocument/2006/relationships/hyperlink" Target="https://drive.google.com/file/d/1xLdlAE6hoG5sI6SMixEJBPUZ2VkVCiDR/view?usp=drivesdk" TargetMode="External"/><Relationship Id="rId1628" Type="http://schemas.openxmlformats.org/officeDocument/2006/relationships/hyperlink" Target="https://drive.google.com/file/d/1y3ybQ_QhZ4bwND_17ZkRnckF-n9JeiYt/view?usp=drivesdk" TargetMode="External"/><Relationship Id="rId2959" Type="http://schemas.openxmlformats.org/officeDocument/2006/relationships/hyperlink" Target="https://drive.google.com/file/d/1FmJv-md91tlJd0v4P9lWFslzerAcZaP-/view?usp=drivesdk" TargetMode="External"/><Relationship Id="rId917" Type="http://schemas.openxmlformats.org/officeDocument/2006/relationships/hyperlink" Target="https://lh5.googleusercontent.com/d/1MfpXEmR-ZJ5_dpcGoyZhHXOOEVCoFrcu" TargetMode="External"/><Relationship Id="rId1629" Type="http://schemas.openxmlformats.org/officeDocument/2006/relationships/hyperlink" Target="https://lh5.googleusercontent.com/d/1zrjM3X6rvntPxxOrn6Z7Uy-udPaeYXMg" TargetMode="External"/><Relationship Id="rId916" Type="http://schemas.openxmlformats.org/officeDocument/2006/relationships/hyperlink" Target="https://drive.google.com/file/d/1yBepSS57SumDUZF8X7ZNk19rCvX9VqXc/view?usp=drivesdk" TargetMode="External"/><Relationship Id="rId915" Type="http://schemas.openxmlformats.org/officeDocument/2006/relationships/hyperlink" Target="https://lh5.googleusercontent.com/d/1ZNOeb8EgDGl1p8dqsjca-qtyoRjAUckj" TargetMode="External"/><Relationship Id="rId919" Type="http://schemas.openxmlformats.org/officeDocument/2006/relationships/hyperlink" Target="https://lh5.googleusercontent.com/d/14yiD9lDcZmANB-D4S2op5C5rhyf1liUe" TargetMode="External"/><Relationship Id="rId910" Type="http://schemas.openxmlformats.org/officeDocument/2006/relationships/hyperlink" Target="https://drive.google.com/file/d/1p-o5xsgvCzsLZE38g7dsMh5Fb-Dq9u5g/view?usp=drivesdk" TargetMode="External"/><Relationship Id="rId914" Type="http://schemas.openxmlformats.org/officeDocument/2006/relationships/hyperlink" Target="https://drive.google.com/file/d/1a_3Dmwg0YRIR3Z83fqyCIZWcWYFequ0-/view?usp=drivesdk" TargetMode="External"/><Relationship Id="rId913" Type="http://schemas.openxmlformats.org/officeDocument/2006/relationships/hyperlink" Target="https://lh5.googleusercontent.com/d/1fMcimZhXl8GXHgz8vMmLn9F7OawIx5zv" TargetMode="External"/><Relationship Id="rId912" Type="http://schemas.openxmlformats.org/officeDocument/2006/relationships/hyperlink" Target="https://drive.google.com/file/d/1dxM_85T63Hw1zppu9QiKps3-KeP9XnKA/view?usp=drivesdk" TargetMode="External"/><Relationship Id="rId911" Type="http://schemas.openxmlformats.org/officeDocument/2006/relationships/hyperlink" Target="https://lh5.googleusercontent.com/d/1wiolRPpA_wVYIeJPGrcSACNZrfEFex6B" TargetMode="External"/><Relationship Id="rId2950" Type="http://schemas.openxmlformats.org/officeDocument/2006/relationships/hyperlink" Target="https://drive.google.com/file/d/1bED3XoEVC4kERl3DqyMSNJ7WARClOUCp/view?usp=drivesdk" TargetMode="External"/><Relationship Id="rId2900" Type="http://schemas.openxmlformats.org/officeDocument/2006/relationships/hyperlink" Target="https://drive.google.com/file/d/1gghGj2JV17PK7wR4jnQljMjMQTyga3EA/view?usp=drivesdk" TargetMode="External"/><Relationship Id="rId2901" Type="http://schemas.openxmlformats.org/officeDocument/2006/relationships/hyperlink" Target="https://lh5.googleusercontent.com/d/1WQi0zCl8fK8xhEsHT21QwxMi_fmSRoTZ" TargetMode="External"/><Relationship Id="rId2902" Type="http://schemas.openxmlformats.org/officeDocument/2006/relationships/hyperlink" Target="https://drive.google.com/file/d/14hejgTgmwrC3m5t2eChMJo938FoXKMXr/view?usp=drivesdk" TargetMode="External"/><Relationship Id="rId2903" Type="http://schemas.openxmlformats.org/officeDocument/2006/relationships/hyperlink" Target="https://lh5.googleusercontent.com/d/1Zs3pJw1vvcKzvBnjVddXFBEwGsZMlXix" TargetMode="External"/><Relationship Id="rId2904" Type="http://schemas.openxmlformats.org/officeDocument/2006/relationships/hyperlink" Target="https://drive.google.com/file/d/1NAjJCtLyQFdi8Qmf98ZB3RxEBaNaVGjZ/view?usp=drivesdk" TargetMode="External"/><Relationship Id="rId2905" Type="http://schemas.openxmlformats.org/officeDocument/2006/relationships/hyperlink" Target="https://lh5.googleusercontent.com/d/1k_xnFzwxT4itPkljuSr5t_jgrfjWDzzT" TargetMode="External"/><Relationship Id="rId2906" Type="http://schemas.openxmlformats.org/officeDocument/2006/relationships/hyperlink" Target="https://drive.google.com/file/d/1PuZkAHxnTLSKQJin_ao4NiUB3xp8TPVS/view?usp=drivesdk" TargetMode="External"/><Relationship Id="rId2907" Type="http://schemas.openxmlformats.org/officeDocument/2006/relationships/hyperlink" Target="https://lh5.googleusercontent.com/d/1xEyKr61oDKRh_NR8sxIkGOY4IRcznaMV" TargetMode="External"/><Relationship Id="rId2908" Type="http://schemas.openxmlformats.org/officeDocument/2006/relationships/hyperlink" Target="https://drive.google.com/file/d/1RrTr9AeAA27BvhTv5ALanTTOSOctkzFI/view?usp=drivesdk" TargetMode="External"/><Relationship Id="rId2909" Type="http://schemas.openxmlformats.org/officeDocument/2006/relationships/hyperlink" Target="https://lh5.googleusercontent.com/d/1EVdlT2ewbw9-sEXFuqlvobXr71qYdb-k" TargetMode="External"/><Relationship Id="rId5170" Type="http://schemas.openxmlformats.org/officeDocument/2006/relationships/hyperlink" Target="https://lh5.googleusercontent.com/d/1uGxonlBwb8-trHxP9_5ePaSkmG62R22k" TargetMode="External"/><Relationship Id="rId5171" Type="http://schemas.openxmlformats.org/officeDocument/2006/relationships/hyperlink" Target="https://drive.google.com/file/d/18naD7rXTOtGcvmuAgZswJbdRWTMS8ZJr/view?usp=drivesdk" TargetMode="External"/><Relationship Id="rId5174" Type="http://schemas.openxmlformats.org/officeDocument/2006/relationships/hyperlink" Target="https://lh5.googleusercontent.com/d/1ZSphVk8Tk1BN2USY4BbyxSgbkVH-Xo_T" TargetMode="External"/><Relationship Id="rId5175" Type="http://schemas.openxmlformats.org/officeDocument/2006/relationships/hyperlink" Target="https://drive.google.com/file/d/1uBie9ntWgKjIShrtVNxmchBvB4ZT1_lr/view?usp=drivesdk" TargetMode="External"/><Relationship Id="rId5172" Type="http://schemas.openxmlformats.org/officeDocument/2006/relationships/hyperlink" Target="https://lh5.googleusercontent.com/d/1KHd1IPPeRkSFyvpgETSPfREJIJTHOdqi" TargetMode="External"/><Relationship Id="rId5173" Type="http://schemas.openxmlformats.org/officeDocument/2006/relationships/hyperlink" Target="https://drive.google.com/file/d/1cdcdyGX1kP8pgWzLVfReoGgDsh-Pq6ut/view?usp=drivesdk" TargetMode="External"/><Relationship Id="rId5178" Type="http://schemas.openxmlformats.org/officeDocument/2006/relationships/hyperlink" Target="https://lh5.googleusercontent.com/d/1kP-y2_H3pWsRBun_yZMZxX0YshTsCpud" TargetMode="External"/><Relationship Id="rId5179" Type="http://schemas.openxmlformats.org/officeDocument/2006/relationships/hyperlink" Target="https://drive.google.com/file/d/12Z9ZYU0PcXuQKDd2R-kUYpwN8TWyYPlb/view?usp=drivesdk" TargetMode="External"/><Relationship Id="rId5176" Type="http://schemas.openxmlformats.org/officeDocument/2006/relationships/hyperlink" Target="https://lh5.googleusercontent.com/d/1x4T6Rzt_eZpRtfBRnfiVV3H_yeHjB20g" TargetMode="External"/><Relationship Id="rId5177" Type="http://schemas.openxmlformats.org/officeDocument/2006/relationships/hyperlink" Target="https://drive.google.com/file/d/1Ki3_FHEiyMTI28zcMr4T02KnQvNKUWpD/view?usp=drivesdk" TargetMode="External"/><Relationship Id="rId5160" Type="http://schemas.openxmlformats.org/officeDocument/2006/relationships/hyperlink" Target="https://lh5.googleusercontent.com/d/1TITpu_Mw6H7zMZM1waO_ZoQ8sFRiwbQm" TargetMode="External"/><Relationship Id="rId5163" Type="http://schemas.openxmlformats.org/officeDocument/2006/relationships/hyperlink" Target="https://drive.google.com/file/d/1bRDEkeWOU3SGpFDR6T9ojvvUyfKzWAOV/view?usp=drivesdk" TargetMode="External"/><Relationship Id="rId5164" Type="http://schemas.openxmlformats.org/officeDocument/2006/relationships/hyperlink" Target="https://lh5.googleusercontent.com/d/1xnoRDgvd-iPbf9Cvrdfs-j4oYuoPahwE" TargetMode="External"/><Relationship Id="rId5161" Type="http://schemas.openxmlformats.org/officeDocument/2006/relationships/hyperlink" Target="https://drive.google.com/file/d/1Htqzd__ECor0_-CXo8CvV-ZDYcT3CZBR/view?usp=drivesdk" TargetMode="External"/><Relationship Id="rId5162" Type="http://schemas.openxmlformats.org/officeDocument/2006/relationships/hyperlink" Target="https://lh5.googleusercontent.com/d/1KzvUuFqnnKgHkFs4Dh3goh_IYnvF_XTC" TargetMode="External"/><Relationship Id="rId5167" Type="http://schemas.openxmlformats.org/officeDocument/2006/relationships/hyperlink" Target="https://drive.google.com/file/d/1nNC01CFmj0CKE48KWS1I0GH68O7WS3fb/view?usp=drivesdk" TargetMode="External"/><Relationship Id="rId5168" Type="http://schemas.openxmlformats.org/officeDocument/2006/relationships/hyperlink" Target="https://lh5.googleusercontent.com/d/1qQ1ljObe0kZqZHTPMNda22R7SafkB7eD" TargetMode="External"/><Relationship Id="rId5165" Type="http://schemas.openxmlformats.org/officeDocument/2006/relationships/hyperlink" Target="https://drive.google.com/file/d/1ycGFXKffXx_pJ9P2Yj2FETE3guvdLRGR/view?usp=drivesdk" TargetMode="External"/><Relationship Id="rId5166" Type="http://schemas.openxmlformats.org/officeDocument/2006/relationships/hyperlink" Target="https://lh5.googleusercontent.com/d/1D7tNY1tpXw_hvMmVF8QEMMmle49mG0j4" TargetMode="External"/><Relationship Id="rId5169" Type="http://schemas.openxmlformats.org/officeDocument/2006/relationships/hyperlink" Target="https://drive.google.com/file/d/1fz5W7oNpBhfKlY7vEiNLVPBzPh9UTCKo/view?usp=drivesdk" TargetMode="External"/><Relationship Id="rId2920" Type="http://schemas.openxmlformats.org/officeDocument/2006/relationships/hyperlink" Target="https://lh5.googleusercontent.com/d/10f7Xj4yaTI984OmjwbbfbI7esR6Zuukb" TargetMode="External"/><Relationship Id="rId2921" Type="http://schemas.openxmlformats.org/officeDocument/2006/relationships/hyperlink" Target="https://drive.google.com/file/d/1VlmrlNyXScGvom8tS-9TVSZddukOA-_N/view?usp=drivesdk" TargetMode="External"/><Relationship Id="rId2922" Type="http://schemas.openxmlformats.org/officeDocument/2006/relationships/hyperlink" Target="https://lh5.googleusercontent.com/d/1ZzGbXuF_SEzah2LX6OjeWMEasl-cYPyh" TargetMode="External"/><Relationship Id="rId2923" Type="http://schemas.openxmlformats.org/officeDocument/2006/relationships/hyperlink" Target="https://drive.google.com/file/d/11FLvK33ES0t_ywHL6QrCcKPUSapkRdhW/view?usp=drivesdk" TargetMode="External"/><Relationship Id="rId2924" Type="http://schemas.openxmlformats.org/officeDocument/2006/relationships/hyperlink" Target="https://lh5.googleusercontent.com/d/1AnBxhi1ZDvwyGxWtMy9HxRZbj7m7EBEK" TargetMode="External"/><Relationship Id="rId2925" Type="http://schemas.openxmlformats.org/officeDocument/2006/relationships/hyperlink" Target="https://drive.google.com/file/d/1nKZKKr0bRKgGtrXLPNo3WAWZGwrS2eP_/view?usp=drivesdk" TargetMode="External"/><Relationship Id="rId2926" Type="http://schemas.openxmlformats.org/officeDocument/2006/relationships/hyperlink" Target="https://lh5.googleusercontent.com/d/1n3lssVseHrd3Z8FMvz7Q63rWdPhqD3MM" TargetMode="External"/><Relationship Id="rId2927" Type="http://schemas.openxmlformats.org/officeDocument/2006/relationships/hyperlink" Target="https://drive.google.com/file/d/1mSQIE4k8EqIQhBK_s4nKssutEjn_eXC1/view?usp=drivesdk" TargetMode="External"/><Relationship Id="rId2928" Type="http://schemas.openxmlformats.org/officeDocument/2006/relationships/hyperlink" Target="https://lh5.googleusercontent.com/d/1PaP-WrQn27L91zeltPLA2rDImMaNjhMF" TargetMode="External"/><Relationship Id="rId2929" Type="http://schemas.openxmlformats.org/officeDocument/2006/relationships/hyperlink" Target="https://drive.google.com/file/d/10770DhTtbZ7K81Q7jeO1OlWFPPNdbc_V/view?usp=drivesdk" TargetMode="External"/><Relationship Id="rId5192" Type="http://schemas.openxmlformats.org/officeDocument/2006/relationships/hyperlink" Target="https://lh5.googleusercontent.com/d/1uDFsCso-rr41gE1GPLEtx3BzdOjILQy8" TargetMode="External"/><Relationship Id="rId5193" Type="http://schemas.openxmlformats.org/officeDocument/2006/relationships/hyperlink" Target="https://drive.google.com/file/d/1oxgQEHdYjVKW1vbIMXsTFsnMdfTXVgoR/view?usp=drivesdk" TargetMode="External"/><Relationship Id="rId5190" Type="http://schemas.openxmlformats.org/officeDocument/2006/relationships/hyperlink" Target="https://lh5.googleusercontent.com/d/1swt0Dv7XA8QPOAeJVlM8o3_UHzBemzbk" TargetMode="External"/><Relationship Id="rId5191" Type="http://schemas.openxmlformats.org/officeDocument/2006/relationships/hyperlink" Target="https://drive.google.com/file/d/1-odRCPYsNQU2hhEQVwl0hwEP7RjvUeSn/view?usp=drivesdk" TargetMode="External"/><Relationship Id="rId5196" Type="http://schemas.openxmlformats.org/officeDocument/2006/relationships/hyperlink" Target="https://lh5.googleusercontent.com/d/1K-hdUdGRJHocgAGt_7FYxw816tHyC3z-" TargetMode="External"/><Relationship Id="rId5197" Type="http://schemas.openxmlformats.org/officeDocument/2006/relationships/hyperlink" Target="https://drive.google.com/file/d/1Uv_9yKiGdcR4e8S2TT20F0fDacja5n1Q/view?usp=drivesdk" TargetMode="External"/><Relationship Id="rId5194" Type="http://schemas.openxmlformats.org/officeDocument/2006/relationships/hyperlink" Target="https://lh5.googleusercontent.com/d/1sJciDPke_c7KY-moK3lp5Zw3abmdomSR" TargetMode="External"/><Relationship Id="rId5195" Type="http://schemas.openxmlformats.org/officeDocument/2006/relationships/hyperlink" Target="https://drive.google.com/file/d/198i0j8ODRUgOgUmjw70qM2K6MMno_tyV/view?usp=drivesdk" TargetMode="External"/><Relationship Id="rId5198" Type="http://schemas.openxmlformats.org/officeDocument/2006/relationships/hyperlink" Target="https://lh5.googleusercontent.com/d/1JV7tKvecRF0Wx5YpWZNLBcErToxPQB5U" TargetMode="External"/><Relationship Id="rId5199" Type="http://schemas.openxmlformats.org/officeDocument/2006/relationships/hyperlink" Target="https://drive.google.com/file/d/1Vdwya_xk3dtgF1ZvPHWJbZ6V3ClHKW4D/view?usp=drivesdk" TargetMode="External"/><Relationship Id="rId2910" Type="http://schemas.openxmlformats.org/officeDocument/2006/relationships/hyperlink" Target="https://lh5.googleusercontent.com/d/10jZ9Ja7VuameeEqfiFahet9ZDnikb0py" TargetMode="External"/><Relationship Id="rId2911" Type="http://schemas.openxmlformats.org/officeDocument/2006/relationships/hyperlink" Target="https://drive.google.com/file/d/1fQknTKZrZdb0NusNSuQ6E2U7PqJVfeho/view?usp=drivesdk" TargetMode="External"/><Relationship Id="rId2912" Type="http://schemas.openxmlformats.org/officeDocument/2006/relationships/hyperlink" Target="https://lh5.googleusercontent.com/d/1fjjWiP8mGKd7tt7w7SJBZ2P_0kPIz6Pt" TargetMode="External"/><Relationship Id="rId2913" Type="http://schemas.openxmlformats.org/officeDocument/2006/relationships/hyperlink" Target="https://drive.google.com/file/d/1bH7suPlroy_8_dmMz3zGig5QTls3qvqL/view?usp=drivesdk" TargetMode="External"/><Relationship Id="rId2914" Type="http://schemas.openxmlformats.org/officeDocument/2006/relationships/hyperlink" Target="https://lh5.googleusercontent.com/d/1y3tF7_7InVrnRPMtFStCvo11ek3q1fac" TargetMode="External"/><Relationship Id="rId2915" Type="http://schemas.openxmlformats.org/officeDocument/2006/relationships/hyperlink" Target="https://drive.google.com/file/d/1BEpbtLMxaMjz1rI0siwEsZkal3_AtsAc/view?usp=drivesdk" TargetMode="External"/><Relationship Id="rId2916" Type="http://schemas.openxmlformats.org/officeDocument/2006/relationships/hyperlink" Target="https://lh5.googleusercontent.com/d/1L5Iy8GHvFD3W82G5SzqGEZIQuVgl_tVm" TargetMode="External"/><Relationship Id="rId2917" Type="http://schemas.openxmlformats.org/officeDocument/2006/relationships/hyperlink" Target="https://drive.google.com/file/d/1fmLR77aGfnoBbovtNdmpmVU7lX6HE7Ho/view?usp=drivesdk" TargetMode="External"/><Relationship Id="rId2918" Type="http://schemas.openxmlformats.org/officeDocument/2006/relationships/hyperlink" Target="https://lh5.googleusercontent.com/d/1y-JH3MK_CnvJ2l8ZLb55zPHSoYNirQ08" TargetMode="External"/><Relationship Id="rId2919" Type="http://schemas.openxmlformats.org/officeDocument/2006/relationships/hyperlink" Target="https://drive.google.com/file/d/1J7z7Jbfvin8D5WkgKnGIK7L2752N4nfy/view?usp=drivesdk" TargetMode="External"/><Relationship Id="rId5181" Type="http://schemas.openxmlformats.org/officeDocument/2006/relationships/hyperlink" Target="https://drive.google.com/file/d/1IPtG3VgBfkn-zlwLe1nUC0j3c5gWjCQa/view?usp=drivesdk" TargetMode="External"/><Relationship Id="rId5182" Type="http://schemas.openxmlformats.org/officeDocument/2006/relationships/hyperlink" Target="https://lh5.googleusercontent.com/d/1JyEXNhji9wC4Bva20KPzHrK7fJ94jd50" TargetMode="External"/><Relationship Id="rId5180" Type="http://schemas.openxmlformats.org/officeDocument/2006/relationships/hyperlink" Target="https://lh5.googleusercontent.com/d/1vYAMecNegaIuvo2_-rGPSFbtg5OGQhI-" TargetMode="External"/><Relationship Id="rId5185" Type="http://schemas.openxmlformats.org/officeDocument/2006/relationships/hyperlink" Target="https://drive.google.com/file/d/1vsgb_BLiqjWGlabGDEcJNrCosUwxVie8/view?usp=drivesdk" TargetMode="External"/><Relationship Id="rId5186" Type="http://schemas.openxmlformats.org/officeDocument/2006/relationships/hyperlink" Target="https://lh5.googleusercontent.com/d/1LRT9PSiXwtCA30Pja_a-44f-stK84eoY" TargetMode="External"/><Relationship Id="rId5183" Type="http://schemas.openxmlformats.org/officeDocument/2006/relationships/hyperlink" Target="https://drive.google.com/file/d/1BajnLMT__hI_Aj82iw6lFT3WSIMZpOWf/view?usp=drivesdk" TargetMode="External"/><Relationship Id="rId5184" Type="http://schemas.openxmlformats.org/officeDocument/2006/relationships/hyperlink" Target="https://lh5.googleusercontent.com/d/1F4eCATr7Oy4Hnmvzv1m8e0Wc2lPSx7le" TargetMode="External"/><Relationship Id="rId5189" Type="http://schemas.openxmlformats.org/officeDocument/2006/relationships/hyperlink" Target="https://drive.google.com/file/d/1y3CgQV2sp2O6yiu9XQg7vA_6hxHz6F6E/view?usp=drivesdk" TargetMode="External"/><Relationship Id="rId5187" Type="http://schemas.openxmlformats.org/officeDocument/2006/relationships/hyperlink" Target="https://drive.google.com/file/d/1EDup2bPczhH35qW2hBqEtcfoSBawYIbr/view?usp=drivesdk" TargetMode="External"/><Relationship Id="rId5188" Type="http://schemas.openxmlformats.org/officeDocument/2006/relationships/hyperlink" Target="https://lh5.googleusercontent.com/d/144y37QnPlfb3xSdAOz5ERqyiMN1_7D2G" TargetMode="External"/><Relationship Id="rId1697" Type="http://schemas.openxmlformats.org/officeDocument/2006/relationships/hyperlink" Target="https://lh5.googleusercontent.com/d/1FpQlqbMIEeWX_Sm-IzXJD5ML9he-7TC5" TargetMode="External"/><Relationship Id="rId4723" Type="http://schemas.openxmlformats.org/officeDocument/2006/relationships/hyperlink" Target="https://lh5.googleusercontent.com/d/1KB1y5GOEw0axbMxOV0ZmleKLlJndSSO0" TargetMode="External"/><Relationship Id="rId1698" Type="http://schemas.openxmlformats.org/officeDocument/2006/relationships/hyperlink" Target="https://drive.google.com/file/d/18xfAmE2JeEwHK3d1Ijh60bVRVUf5cuwD/view?usp=drivesdk" TargetMode="External"/><Relationship Id="rId4722" Type="http://schemas.openxmlformats.org/officeDocument/2006/relationships/hyperlink" Target="https://drive.google.com/file/d/1P-7VhEpltuIMRQFhf5JX5ZTh1mrPhOCM/view?usp=drivesdk" TargetMode="External"/><Relationship Id="rId1699" Type="http://schemas.openxmlformats.org/officeDocument/2006/relationships/hyperlink" Target="https://lh5.googleusercontent.com/d/1srhDpr7h3s5q-nGW1V1C0Qk5d77IU-So" TargetMode="External"/><Relationship Id="rId4725" Type="http://schemas.openxmlformats.org/officeDocument/2006/relationships/hyperlink" Target="https://lh5.googleusercontent.com/d/1sMAaFLiRC0rlYlcqJWsnM2zaaIt4cOu1" TargetMode="External"/><Relationship Id="rId4724" Type="http://schemas.openxmlformats.org/officeDocument/2006/relationships/hyperlink" Target="https://drive.google.com/file/d/1eHJpM_AA7fS7e5w-fvf4N7wsGfSwz9jY/view?usp=drivesdk" TargetMode="External"/><Relationship Id="rId4727" Type="http://schemas.openxmlformats.org/officeDocument/2006/relationships/hyperlink" Target="https://lh5.googleusercontent.com/d/1I22k38V9OhTdf7IKwUVj8yWwc7kx62RM" TargetMode="External"/><Relationship Id="rId4726" Type="http://schemas.openxmlformats.org/officeDocument/2006/relationships/hyperlink" Target="https://drive.google.com/file/d/1k2G_zl3eMVL0JJ7CucIpqhjH-OTRe_KR/view?usp=drivesdk" TargetMode="External"/><Relationship Id="rId4729" Type="http://schemas.openxmlformats.org/officeDocument/2006/relationships/hyperlink" Target="https://lh5.googleusercontent.com/d/1P2RGMIGHQM_aRSLj1mD7vhQ7qh-pVcbd" TargetMode="External"/><Relationship Id="rId4728" Type="http://schemas.openxmlformats.org/officeDocument/2006/relationships/hyperlink" Target="https://drive.google.com/file/d/1M_T6HoPZnZFY_6WRymIja_52V3dTaTlJ/view?usp=drivesdk" TargetMode="External"/><Relationship Id="rId866" Type="http://schemas.openxmlformats.org/officeDocument/2006/relationships/hyperlink" Target="https://drive.google.com/file/d/1hVa_jW_v-1smmsL7NqVcfVgQAAIjbcTc/view?usp=drivesdk" TargetMode="External"/><Relationship Id="rId865" Type="http://schemas.openxmlformats.org/officeDocument/2006/relationships/hyperlink" Target="https://lh5.googleusercontent.com/d/1xKKhVIercZ-8w_RPltUAvU6551wv8juT" TargetMode="External"/><Relationship Id="rId864" Type="http://schemas.openxmlformats.org/officeDocument/2006/relationships/hyperlink" Target="https://drive.google.com/file/d/1hNMO5h1KjSLa0Cr8-AAxd6L3QcUEORNI/view?usp=drivesdk" TargetMode="External"/><Relationship Id="rId863" Type="http://schemas.openxmlformats.org/officeDocument/2006/relationships/hyperlink" Target="https://lh5.googleusercontent.com/d/1sBMmlVmoBo6jZ_snK3dVjdyEVZddSNTi" TargetMode="External"/><Relationship Id="rId869" Type="http://schemas.openxmlformats.org/officeDocument/2006/relationships/hyperlink" Target="https://lh5.googleusercontent.com/d/1PGeWuV5VqQrQQDmeM6z2QHcGSU2EgnhE" TargetMode="External"/><Relationship Id="rId868" Type="http://schemas.openxmlformats.org/officeDocument/2006/relationships/hyperlink" Target="https://drive.google.com/file/d/15z-mxqOmKA3IW1jxI427yQtVWD-RZQ84/view?usp=drivesdk" TargetMode="External"/><Relationship Id="rId867" Type="http://schemas.openxmlformats.org/officeDocument/2006/relationships/hyperlink" Target="https://lh5.googleusercontent.com/d/1S9R6BVSlhOzPwJo2SFty0pOQS4NrBbRV" TargetMode="External"/><Relationship Id="rId1690" Type="http://schemas.openxmlformats.org/officeDocument/2006/relationships/hyperlink" Target="https://drive.google.com/file/d/1z6B-uJW3waXqGFRuefcktrGPZf-69kze/view?usp=drivesdk" TargetMode="External"/><Relationship Id="rId1691" Type="http://schemas.openxmlformats.org/officeDocument/2006/relationships/hyperlink" Target="https://lh5.googleusercontent.com/d/1JgwBgsYSkyMjDurzl4V79z5w3SIZHenx" TargetMode="External"/><Relationship Id="rId1692" Type="http://schemas.openxmlformats.org/officeDocument/2006/relationships/hyperlink" Target="https://drive.google.com/file/d/1D9fGNYQfFD2xfg7yipGgTPtg9TW272Dq/view?usp=drivesdk" TargetMode="External"/><Relationship Id="rId862" Type="http://schemas.openxmlformats.org/officeDocument/2006/relationships/hyperlink" Target="https://drive.google.com/file/d/1EMiDGxepdXFlJ3VjzE_MFas2pBMFEL1O/view?usp=drivesdk" TargetMode="External"/><Relationship Id="rId1693" Type="http://schemas.openxmlformats.org/officeDocument/2006/relationships/hyperlink" Target="https://lh5.googleusercontent.com/d/1Pg7w-PaHWHMq21Jy7seY-qfb2j0QLNNn" TargetMode="External"/><Relationship Id="rId861" Type="http://schemas.openxmlformats.org/officeDocument/2006/relationships/hyperlink" Target="https://lh5.googleusercontent.com/d/1E6SET-6jybw4Jne7_KpwpzQQeauLyRnD" TargetMode="External"/><Relationship Id="rId1694" Type="http://schemas.openxmlformats.org/officeDocument/2006/relationships/hyperlink" Target="https://drive.google.com/file/d/1e6CsglbzN0iXdrugYKXZyGnIFbenveSP/view?usp=drivesdk" TargetMode="External"/><Relationship Id="rId860" Type="http://schemas.openxmlformats.org/officeDocument/2006/relationships/hyperlink" Target="https://drive.google.com/file/d/1HD6Eqzt7CWwkcSiOsd_JRGkcSJyL5zx2/view?usp=drivesdk" TargetMode="External"/><Relationship Id="rId1695" Type="http://schemas.openxmlformats.org/officeDocument/2006/relationships/hyperlink" Target="https://lh5.googleusercontent.com/d/1k2JmnGW2Ptw55wFBVfkb_nXNohNQGWzb" TargetMode="External"/><Relationship Id="rId4721" Type="http://schemas.openxmlformats.org/officeDocument/2006/relationships/hyperlink" Target="https://lh5.googleusercontent.com/d/1GHOceqmJGVjfJdKKPcoH5cuU2otsD8wR" TargetMode="External"/><Relationship Id="rId1696" Type="http://schemas.openxmlformats.org/officeDocument/2006/relationships/hyperlink" Target="https://drive.google.com/file/d/1q09-5We3sEvna4GEQAPj8UMCXQ486dhk/view?usp=drivesdk" TargetMode="External"/><Relationship Id="rId4720" Type="http://schemas.openxmlformats.org/officeDocument/2006/relationships/hyperlink" Target="https://drive.google.com/file/d/1sD9sHtD3mnBFTQT196iSc2rZ3b5EMvbm/view?usp=drivesdk" TargetMode="External"/><Relationship Id="rId1686" Type="http://schemas.openxmlformats.org/officeDocument/2006/relationships/hyperlink" Target="https://drive.google.com/file/d/1OMg7NPN9nQbxgwMoRjJQ0i8081SyrWJ2/view?usp=drivesdk" TargetMode="External"/><Relationship Id="rId4712" Type="http://schemas.openxmlformats.org/officeDocument/2006/relationships/hyperlink" Target="https://drive.google.com/file/d/1tN9U_hRoXDpDNz-M2rlBT7O2BLWG9t8M/view?usp=drivesdk" TargetMode="External"/><Relationship Id="rId1687" Type="http://schemas.openxmlformats.org/officeDocument/2006/relationships/hyperlink" Target="https://lh5.googleusercontent.com/d/18mWG6MHTcTLoW4lGkntCKNLfYSh4lb7K" TargetMode="External"/><Relationship Id="rId4711" Type="http://schemas.openxmlformats.org/officeDocument/2006/relationships/hyperlink" Target="https://lh5.googleusercontent.com/d/11RYpVEYnwmZKnTpSGEz4sCHOqb9vmKsB" TargetMode="External"/><Relationship Id="rId1688" Type="http://schemas.openxmlformats.org/officeDocument/2006/relationships/hyperlink" Target="https://drive.google.com/file/d/1wiO3bCCPjokEJGqtKYN6GWTEmAiEr9bY/view?usp=drivesdk" TargetMode="External"/><Relationship Id="rId4714" Type="http://schemas.openxmlformats.org/officeDocument/2006/relationships/hyperlink" Target="https://drive.google.com/file/d/1z2p4BfEhvS9x6U2LQQ_Sse9mpu4mNS7J/view?usp=drivesdk" TargetMode="External"/><Relationship Id="rId1689" Type="http://schemas.openxmlformats.org/officeDocument/2006/relationships/hyperlink" Target="https://lh5.googleusercontent.com/d/182_Hhm9HUYgXHRHsBQiYwxw2XXZhhQeD" TargetMode="External"/><Relationship Id="rId4713" Type="http://schemas.openxmlformats.org/officeDocument/2006/relationships/hyperlink" Target="https://lh5.googleusercontent.com/d/12DO3RrwgWdjsDrTmhS34JCjMvX2KzzNl" TargetMode="External"/><Relationship Id="rId4716" Type="http://schemas.openxmlformats.org/officeDocument/2006/relationships/hyperlink" Target="https://drive.google.com/file/d/16oNVQu81rPd7R8Kwl567qVLGU4R6xQVS/view?usp=drivesdk" TargetMode="External"/><Relationship Id="rId4715" Type="http://schemas.openxmlformats.org/officeDocument/2006/relationships/hyperlink" Target="https://lh5.googleusercontent.com/d/1QiBFLMyc2wG5hHc9cf-Ib0H-ih3JoY5Z" TargetMode="External"/><Relationship Id="rId4718" Type="http://schemas.openxmlformats.org/officeDocument/2006/relationships/hyperlink" Target="https://drive.google.com/file/d/1h-WleQAdjEqp_t_ZW_i1xBpZaUcYWdtJ/view?usp=drivesdk" TargetMode="External"/><Relationship Id="rId4717" Type="http://schemas.openxmlformats.org/officeDocument/2006/relationships/hyperlink" Target="https://lh5.googleusercontent.com/d/1-EvwgP3NR-ZxxmQf2ndStyxrzeEDFAbS" TargetMode="External"/><Relationship Id="rId4719" Type="http://schemas.openxmlformats.org/officeDocument/2006/relationships/hyperlink" Target="https://lh5.googleusercontent.com/d/1ti4pyiI8EAr6v5wNCWbfvyz4ncNypeq0" TargetMode="External"/><Relationship Id="rId855" Type="http://schemas.openxmlformats.org/officeDocument/2006/relationships/hyperlink" Target="https://lh5.googleusercontent.com/d/1AF9VlXqsv_d1FMsUyr5krzT87gZJrbL2" TargetMode="External"/><Relationship Id="rId854" Type="http://schemas.openxmlformats.org/officeDocument/2006/relationships/hyperlink" Target="https://drive.google.com/file/d/1JjwJyb__Gxo9FY_2ePN8FaAKTq5Si-Vp/view?usp=drivesdk" TargetMode="External"/><Relationship Id="rId853" Type="http://schemas.openxmlformats.org/officeDocument/2006/relationships/hyperlink" Target="https://lh5.googleusercontent.com/d/1WpsmAgKx6hj5nIyTntCJQbMJ8GnoH1ZY" TargetMode="External"/><Relationship Id="rId852" Type="http://schemas.openxmlformats.org/officeDocument/2006/relationships/hyperlink" Target="https://drive.google.com/file/d/1TujxeeqlX-J6whOIwW6A1OEA3R3FS86L/view?usp=drivesdk" TargetMode="External"/><Relationship Id="rId859" Type="http://schemas.openxmlformats.org/officeDocument/2006/relationships/hyperlink" Target="https://lh5.googleusercontent.com/d/14ea6Hn5-GlijFo2lfYnxN18ODw--hafJ" TargetMode="External"/><Relationship Id="rId858" Type="http://schemas.openxmlformats.org/officeDocument/2006/relationships/hyperlink" Target="https://drive.google.com/file/d/1VagjHp0QIxx5Lofd-MWwlL_Z9B1ZdEjW/view?usp=drivesdk" TargetMode="External"/><Relationship Id="rId857" Type="http://schemas.openxmlformats.org/officeDocument/2006/relationships/hyperlink" Target="https://lh5.googleusercontent.com/d/1uL8rrtlWX3NKVVc_ymLIbfO2Eu51dvkN" TargetMode="External"/><Relationship Id="rId856" Type="http://schemas.openxmlformats.org/officeDocument/2006/relationships/hyperlink" Target="https://drive.google.com/file/d/1Cwdy3aKd8fczm3b42_nyAB0703i4XOra/view?usp=drivesdk" TargetMode="External"/><Relationship Id="rId1680" Type="http://schemas.openxmlformats.org/officeDocument/2006/relationships/hyperlink" Target="https://drive.google.com/file/d/13-YIDwnFJTdRix5rl_PUn6spqAChKy-s/view?usp=drivesdk" TargetMode="External"/><Relationship Id="rId1681" Type="http://schemas.openxmlformats.org/officeDocument/2006/relationships/hyperlink" Target="https://lh5.googleusercontent.com/d/1TAzEBJJy3w_FG6gVL8Co858mKlxRRUmF" TargetMode="External"/><Relationship Id="rId851" Type="http://schemas.openxmlformats.org/officeDocument/2006/relationships/hyperlink" Target="https://lh5.googleusercontent.com/d/1Mf5hSnsr7E6OOR2IT8Vm3mJ1RleKlMS1" TargetMode="External"/><Relationship Id="rId1682" Type="http://schemas.openxmlformats.org/officeDocument/2006/relationships/hyperlink" Target="https://drive.google.com/file/d/1JiF9wwcI_eGNBjIMz9CZiMBkCrTTRuI9/view?usp=drivesdk" TargetMode="External"/><Relationship Id="rId850" Type="http://schemas.openxmlformats.org/officeDocument/2006/relationships/hyperlink" Target="https://drive.google.com/file/d/1i4iMqTiBoLr0Urb9KejcAarhDvWLCfXU/view?usp=drivesdk" TargetMode="External"/><Relationship Id="rId1683" Type="http://schemas.openxmlformats.org/officeDocument/2006/relationships/hyperlink" Target="https://lh5.googleusercontent.com/d/1kiGPfZhmKB3VUyIy9NzKw-2gbbyItxcF" TargetMode="External"/><Relationship Id="rId1684" Type="http://schemas.openxmlformats.org/officeDocument/2006/relationships/hyperlink" Target="https://drive.google.com/file/d/17EVNPLMCxczhtOszrBX4tSGtIRCIFCdE/view?usp=drivesdk" TargetMode="External"/><Relationship Id="rId4710" Type="http://schemas.openxmlformats.org/officeDocument/2006/relationships/hyperlink" Target="https://drive.google.com/file/d/1ajhheTBRJT5_jebFy8n1j3Ut_Xj9zaqB/view?usp=drivesdk" TargetMode="External"/><Relationship Id="rId1685" Type="http://schemas.openxmlformats.org/officeDocument/2006/relationships/hyperlink" Target="https://lh5.googleusercontent.com/d/10pQQq8gahEcs5xNfCt6P80cBsSSzdC31" TargetMode="External"/><Relationship Id="rId3414" Type="http://schemas.openxmlformats.org/officeDocument/2006/relationships/hyperlink" Target="https://lh5.googleusercontent.com/d/1LWoyGUzPdJAEKE5RSdxtP4qezVKNNjPm" TargetMode="External"/><Relationship Id="rId4745" Type="http://schemas.openxmlformats.org/officeDocument/2006/relationships/hyperlink" Target="https://lh5.googleusercontent.com/d/1sfmzRyNfcE9uEqNfpobqNMgQBs2smFhR" TargetMode="External"/><Relationship Id="rId3413" Type="http://schemas.openxmlformats.org/officeDocument/2006/relationships/hyperlink" Target="https://drive.google.com/file/d/1Y_L4qcqBvOIYKMyGKsBGh8QjHu4iAxwa/view?usp=drivesdk" TargetMode="External"/><Relationship Id="rId4744" Type="http://schemas.openxmlformats.org/officeDocument/2006/relationships/hyperlink" Target="https://drive.google.com/file/d/1HqtNsm-NpBRVKCjUasyWtGr9eWFcTwoY/view?usp=drivesdk" TargetMode="External"/><Relationship Id="rId3416" Type="http://schemas.openxmlformats.org/officeDocument/2006/relationships/hyperlink" Target="https://lh5.googleusercontent.com/d/15iy2cR_QegF-rTwVhd9ai60-RVF2LGrX" TargetMode="External"/><Relationship Id="rId4747" Type="http://schemas.openxmlformats.org/officeDocument/2006/relationships/hyperlink" Target="https://lh5.googleusercontent.com/d/1D7Yvd_3FjjzaGauEEKOlbioyZMFaAYJZ" TargetMode="External"/><Relationship Id="rId3415" Type="http://schemas.openxmlformats.org/officeDocument/2006/relationships/hyperlink" Target="https://drive.google.com/file/d/1VRLmv7SbXgQ-WwuypyxVL49JjPvnbJkq/view?usp=drivesdk" TargetMode="External"/><Relationship Id="rId4746" Type="http://schemas.openxmlformats.org/officeDocument/2006/relationships/hyperlink" Target="https://drive.google.com/file/d/1ltDQAK5eO2C7mRxHjVa-rLcuxsxCE5u7/view?usp=drivesdk" TargetMode="External"/><Relationship Id="rId3418" Type="http://schemas.openxmlformats.org/officeDocument/2006/relationships/hyperlink" Target="https://lh5.googleusercontent.com/d/1BvJ08bTwhm3PC-II8n4x4ICjSs3-IbdH" TargetMode="External"/><Relationship Id="rId4749" Type="http://schemas.openxmlformats.org/officeDocument/2006/relationships/hyperlink" Target="https://lh5.googleusercontent.com/d/1TWzjKAcEYSbPRD-JP_B9TIV0Yb8KO_eK" TargetMode="External"/><Relationship Id="rId3417" Type="http://schemas.openxmlformats.org/officeDocument/2006/relationships/hyperlink" Target="https://drive.google.com/file/d/1V9umGkz4Yvfxz_JhFNAetzYADGRqpF07/view?usp=drivesdk" TargetMode="External"/><Relationship Id="rId4748" Type="http://schemas.openxmlformats.org/officeDocument/2006/relationships/hyperlink" Target="https://drive.google.com/file/d/1mIpowgKAvqtqfF1bP9SWwJbD7urK6OoY/view?usp=drivesdk" TargetMode="External"/><Relationship Id="rId3419" Type="http://schemas.openxmlformats.org/officeDocument/2006/relationships/hyperlink" Target="https://drive.google.com/file/d/10zLoBBk2dyr50Pmyiyf8VhVikEMxdSfG/view?usp=drivesdk" TargetMode="External"/><Relationship Id="rId888" Type="http://schemas.openxmlformats.org/officeDocument/2006/relationships/hyperlink" Target="https://drive.google.com/file/d/1xhc6rD7MI_oTHmKihRw29Z0wiQ5qED7F/view?usp=drivesdk" TargetMode="External"/><Relationship Id="rId887" Type="http://schemas.openxmlformats.org/officeDocument/2006/relationships/hyperlink" Target="https://lh5.googleusercontent.com/d/1ydTptFZM_CQixNyfliOx1ZKhFTYjNiJq" TargetMode="External"/><Relationship Id="rId886" Type="http://schemas.openxmlformats.org/officeDocument/2006/relationships/hyperlink" Target="https://drive.google.com/file/d/1mUDr8Bl5enFh0Cg_kZADYiR-r0xLmxXf/view?usp=drivesdk" TargetMode="External"/><Relationship Id="rId885" Type="http://schemas.openxmlformats.org/officeDocument/2006/relationships/hyperlink" Target="https://lh5.googleusercontent.com/d/1wgFDQbyEYdCQKMQWy_uwYzAJbMdYdMsJ" TargetMode="External"/><Relationship Id="rId889" Type="http://schemas.openxmlformats.org/officeDocument/2006/relationships/hyperlink" Target="https://lh5.googleusercontent.com/d/1TKNhns88UPb4VRDzZRQt2tZCKIsE4l5e" TargetMode="External"/><Relationship Id="rId880" Type="http://schemas.openxmlformats.org/officeDocument/2006/relationships/hyperlink" Target="https://drive.google.com/file/d/1HqPfYKgmUY3jO2qeUAYCuXjP0tzG8mWm/view?usp=drivesdk" TargetMode="External"/><Relationship Id="rId884" Type="http://schemas.openxmlformats.org/officeDocument/2006/relationships/hyperlink" Target="https://drive.google.com/file/d/1EKAHjq4YCMCmL9dajo9wsXd4OSX69l3h/view?usp=drivesdk" TargetMode="External"/><Relationship Id="rId3410" Type="http://schemas.openxmlformats.org/officeDocument/2006/relationships/hyperlink" Target="https://lh5.googleusercontent.com/d/1wGPPbndYHs0K76m8E99zWBNoteqwHg2B" TargetMode="External"/><Relationship Id="rId4741" Type="http://schemas.openxmlformats.org/officeDocument/2006/relationships/hyperlink" Target="https://lh5.googleusercontent.com/d/1V8QzXHgN64xtX5ZGVR1DDLUViYikh-Y3" TargetMode="External"/><Relationship Id="rId883" Type="http://schemas.openxmlformats.org/officeDocument/2006/relationships/hyperlink" Target="https://lh5.googleusercontent.com/d/1XQaKmtEnF0s0lJWtATZN3gw5Q8n3_64L" TargetMode="External"/><Relationship Id="rId4740" Type="http://schemas.openxmlformats.org/officeDocument/2006/relationships/hyperlink" Target="https://drive.google.com/file/d/1nh3POfwEd2M08x0LspBhPMGRdi_K8qkA/view?usp=drivesdk" TargetMode="External"/><Relationship Id="rId882" Type="http://schemas.openxmlformats.org/officeDocument/2006/relationships/hyperlink" Target="https://drive.google.com/file/d/1DX05amxWIxI8cS3QXsvaYc9BKMZbZ1m2/view?usp=drivesdk" TargetMode="External"/><Relationship Id="rId3412" Type="http://schemas.openxmlformats.org/officeDocument/2006/relationships/hyperlink" Target="https://lh5.googleusercontent.com/d/1YMfGR2hW6qTA5_JiHviqImnnB2kwC80R" TargetMode="External"/><Relationship Id="rId4743" Type="http://schemas.openxmlformats.org/officeDocument/2006/relationships/hyperlink" Target="https://lh5.googleusercontent.com/d/1ZMJsp2E7vIE46Leizl3FMzuT7wAjrA7B" TargetMode="External"/><Relationship Id="rId881" Type="http://schemas.openxmlformats.org/officeDocument/2006/relationships/hyperlink" Target="https://lh5.googleusercontent.com/d/1vdBP2q0vGsADvlgUVzK_6ufAGFNPhEuw" TargetMode="External"/><Relationship Id="rId3411" Type="http://schemas.openxmlformats.org/officeDocument/2006/relationships/hyperlink" Target="https://drive.google.com/file/d/17aRppDi2lUDUNUXSIWew7ihUjnr5l8st/view?usp=drivesdk" TargetMode="External"/><Relationship Id="rId4742" Type="http://schemas.openxmlformats.org/officeDocument/2006/relationships/hyperlink" Target="https://drive.google.com/file/d/1hDk8sZvNopPqlMOc7gjOGruuH8Pzwyxh/view?usp=drivesdk" TargetMode="External"/><Relationship Id="rId3403" Type="http://schemas.openxmlformats.org/officeDocument/2006/relationships/hyperlink" Target="https://lh5.googleusercontent.com/d/14HQ_XbrNqRhJx6EirVgF2DTxMssNXBYQ" TargetMode="External"/><Relationship Id="rId4734" Type="http://schemas.openxmlformats.org/officeDocument/2006/relationships/hyperlink" Target="https://drive.google.com/file/d/1KPJUs8QM1_jJIKcIPOCErZz_l02D-lFU/view?usp=drivesdk" TargetMode="External"/><Relationship Id="rId3402" Type="http://schemas.openxmlformats.org/officeDocument/2006/relationships/hyperlink" Target="https://drive.google.com/file/d/1kjmnkXSuioODgUEHXqM4qVs2x3jtLHBw/view?usp=drivesdk" TargetMode="External"/><Relationship Id="rId4733" Type="http://schemas.openxmlformats.org/officeDocument/2006/relationships/hyperlink" Target="https://lh5.googleusercontent.com/d/1z3MJhjfO02Ol5BEEY92PyQy51JTPx0c_" TargetMode="External"/><Relationship Id="rId3405" Type="http://schemas.openxmlformats.org/officeDocument/2006/relationships/hyperlink" Target="https://drive.google.com/file/d/1lztjI6NHPpUKx3kGIXcbG9iTZooXPjRM/view?usp=drivesdk" TargetMode="External"/><Relationship Id="rId4736" Type="http://schemas.openxmlformats.org/officeDocument/2006/relationships/hyperlink" Target="https://drive.google.com/file/d/1burWUcu8rqzWg6-MFaiN2d0dkc_awGoH/view?usp=drivesdk" TargetMode="External"/><Relationship Id="rId3404" Type="http://schemas.openxmlformats.org/officeDocument/2006/relationships/hyperlink" Target="https://drive.google.com/file/d/1Q7oBUmqQk2Ku8SW3UpU6YNodyfOZ2q41/view?usp=drivesdk" TargetMode="External"/><Relationship Id="rId4735" Type="http://schemas.openxmlformats.org/officeDocument/2006/relationships/hyperlink" Target="https://lh5.googleusercontent.com/d/1icKXzMsB0nBQGHM8J5n9RJhMgJRG2OLV" TargetMode="External"/><Relationship Id="rId3407" Type="http://schemas.openxmlformats.org/officeDocument/2006/relationships/hyperlink" Target="https://drive.google.com/file/d/10rp7qjRxQlEmjSNHpzEzQugt4kZExTmq/view?usp=drivesdk" TargetMode="External"/><Relationship Id="rId4738" Type="http://schemas.openxmlformats.org/officeDocument/2006/relationships/hyperlink" Target="https://drive.google.com/file/d/1dWc5y8ZNc00yBoWfLbOS6o0GnIr9HGca/view?usp=drivesdk" TargetMode="External"/><Relationship Id="rId3406" Type="http://schemas.openxmlformats.org/officeDocument/2006/relationships/hyperlink" Target="https://lh5.googleusercontent.com/d/1Hfbk13vwJC_ZLSsrhdWctzgdN4n7fsIq" TargetMode="External"/><Relationship Id="rId4737" Type="http://schemas.openxmlformats.org/officeDocument/2006/relationships/hyperlink" Target="https://lh5.googleusercontent.com/d/1j6eWvUc4Lml6FK0GFNu23LxIKxcACAV2" TargetMode="External"/><Relationship Id="rId3409" Type="http://schemas.openxmlformats.org/officeDocument/2006/relationships/hyperlink" Target="https://drive.google.com/file/d/1MrooM7WqY_QAomxuk04HVeKwX7aI6_EO/view?usp=drivesdk" TargetMode="External"/><Relationship Id="rId3408" Type="http://schemas.openxmlformats.org/officeDocument/2006/relationships/hyperlink" Target="https://lh5.googleusercontent.com/d/1e2P8RppaSSETFu--J6WJlUU0WEh3PBlH" TargetMode="External"/><Relationship Id="rId4739" Type="http://schemas.openxmlformats.org/officeDocument/2006/relationships/hyperlink" Target="https://lh5.googleusercontent.com/d/18DW-WcZc9mFomK3iZQW_-PoML0x_HP7p" TargetMode="External"/><Relationship Id="rId877" Type="http://schemas.openxmlformats.org/officeDocument/2006/relationships/hyperlink" Target="https://lh5.googleusercontent.com/d/1KZ9cvxh05TvnTRXicnN-_DUQ2o5BpcK0" TargetMode="External"/><Relationship Id="rId876" Type="http://schemas.openxmlformats.org/officeDocument/2006/relationships/hyperlink" Target="https://drive.google.com/file/d/1ZKgYOl2lRjPfVWaxhmntuLW7NbxjObYb/view?usp=drivesdk" TargetMode="External"/><Relationship Id="rId875" Type="http://schemas.openxmlformats.org/officeDocument/2006/relationships/hyperlink" Target="https://lh5.googleusercontent.com/d/1KRCzHaiyV0-Bm1IMpH098c6RTBX8F6Ka" TargetMode="External"/><Relationship Id="rId874" Type="http://schemas.openxmlformats.org/officeDocument/2006/relationships/hyperlink" Target="https://drive.google.com/file/d/1j8SKXlL7pLDj5yRY-cHcNZQz2bAcRSEn/view?usp=drivesdk" TargetMode="External"/><Relationship Id="rId879" Type="http://schemas.openxmlformats.org/officeDocument/2006/relationships/hyperlink" Target="https://lh5.googleusercontent.com/d/1mi9O3mjV-nJTB_YB0K2hdl7ddXgX_CKH" TargetMode="External"/><Relationship Id="rId878" Type="http://schemas.openxmlformats.org/officeDocument/2006/relationships/hyperlink" Target="https://drive.google.com/file/d/1mcBIYSJYYKXj1IJJBeu2332AFGh_WzMI/view?usp=drivesdk" TargetMode="External"/><Relationship Id="rId873" Type="http://schemas.openxmlformats.org/officeDocument/2006/relationships/hyperlink" Target="https://lh5.googleusercontent.com/d/15YGwy8Wn_ZVGQx6o5SSr2uzloeyb7BKt" TargetMode="External"/><Relationship Id="rId4730" Type="http://schemas.openxmlformats.org/officeDocument/2006/relationships/hyperlink" Target="https://drive.google.com/file/d/1EIlFUV0HRHRM_hw4B3gDPwzRBVT4cM7B/view?usp=drivesdk" TargetMode="External"/><Relationship Id="rId872" Type="http://schemas.openxmlformats.org/officeDocument/2006/relationships/hyperlink" Target="https://drive.google.com/file/d/1DgIoEj7JAzm-_saSplxM42aWud4847Ne/view?usp=drivesdk" TargetMode="External"/><Relationship Id="rId871" Type="http://schemas.openxmlformats.org/officeDocument/2006/relationships/hyperlink" Target="https://lh5.googleusercontent.com/d/1-xJOzhIXxGO7flve3Zz7qKwnIFpGGRLq" TargetMode="External"/><Relationship Id="rId3401" Type="http://schemas.openxmlformats.org/officeDocument/2006/relationships/hyperlink" Target="https://lh5.googleusercontent.com/d/1LDa4TwBSlihUIXd5EOcvDp98bX59fMql" TargetMode="External"/><Relationship Id="rId4732" Type="http://schemas.openxmlformats.org/officeDocument/2006/relationships/hyperlink" Target="https://drive.google.com/file/d/1EpTZYBiLyna40uA5K3snwyQcDfYKo96z/view?usp=drivesdk" TargetMode="External"/><Relationship Id="rId870" Type="http://schemas.openxmlformats.org/officeDocument/2006/relationships/hyperlink" Target="https://drive.google.com/file/d/1mgO3YZ1az-0iNnLP5ireyamSYO9JNr3w/view?usp=drivesdk" TargetMode="External"/><Relationship Id="rId3400" Type="http://schemas.openxmlformats.org/officeDocument/2006/relationships/hyperlink" Target="https://drive.google.com/file/d/1qU9YclP_t3ncF5IUV4bInyo9yNcX4KhH/view?usp=drivesdk" TargetMode="External"/><Relationship Id="rId4731" Type="http://schemas.openxmlformats.org/officeDocument/2006/relationships/hyperlink" Target="https://lh5.googleusercontent.com/d/1UqDk78gvQa1eTfOAJEGKgv5GT_FOcYwL" TargetMode="External"/><Relationship Id="rId1653" Type="http://schemas.openxmlformats.org/officeDocument/2006/relationships/hyperlink" Target="https://lh5.googleusercontent.com/d/1Dv_-EPa-GXsOgofMDihA96lL3Fd5QEOa" TargetMode="External"/><Relationship Id="rId2984" Type="http://schemas.openxmlformats.org/officeDocument/2006/relationships/hyperlink" Target="https://drive.google.com/file/d/1_DTd5n1jBqZPcDL3euF7_nslJ5BE0AkG/view?usp=drivesdk" TargetMode="External"/><Relationship Id="rId1654" Type="http://schemas.openxmlformats.org/officeDocument/2006/relationships/hyperlink" Target="https://drive.google.com/file/d/11-FSYa7ms6uYe3KTSsHkzIobtwD55qqk/view?usp=drivesdk" TargetMode="External"/><Relationship Id="rId2985" Type="http://schemas.openxmlformats.org/officeDocument/2006/relationships/hyperlink" Target="https://lh5.googleusercontent.com/d/1zNmFzJMDJyutptNTk3Ch7rUq42XtscTM" TargetMode="External"/><Relationship Id="rId1655" Type="http://schemas.openxmlformats.org/officeDocument/2006/relationships/hyperlink" Target="https://lh5.googleusercontent.com/d/1p9Vay9zhx1kCNFH3rsSGUjF1YDE8A6Fn" TargetMode="External"/><Relationship Id="rId2986" Type="http://schemas.openxmlformats.org/officeDocument/2006/relationships/hyperlink" Target="https://drive.google.com/file/d/1-EYzOjBR37g3Q9x5XrbqzN4_uYtb9WkC/view?usp=drivesdk" TargetMode="External"/><Relationship Id="rId1656" Type="http://schemas.openxmlformats.org/officeDocument/2006/relationships/hyperlink" Target="https://drive.google.com/file/d/1xONm3Ab0Q0fsroj3IGOUewu29miVfBnQ/view?usp=drivesdk" TargetMode="External"/><Relationship Id="rId2987" Type="http://schemas.openxmlformats.org/officeDocument/2006/relationships/hyperlink" Target="https://lh5.googleusercontent.com/d/14FNZpmPDUTTzjXGD0bmzmtB1r1471MAx" TargetMode="External"/><Relationship Id="rId1657" Type="http://schemas.openxmlformats.org/officeDocument/2006/relationships/hyperlink" Target="https://lh5.googleusercontent.com/d/1ZUUEzh2XLyQUYu4Ae6qXbwbHNy7aXJOj" TargetMode="External"/><Relationship Id="rId2988" Type="http://schemas.openxmlformats.org/officeDocument/2006/relationships/hyperlink" Target="https://drive.google.com/file/d/1RIhGDC22ozXhWOLBa3zQfMwS2uoAUyD3/view?usp=drivesdk" TargetMode="External"/><Relationship Id="rId1658" Type="http://schemas.openxmlformats.org/officeDocument/2006/relationships/hyperlink" Target="https://drive.google.com/file/d/1fbp0MVecpGOFaQBy-w9ed7QkYEPFwC25/view?usp=drivesdk" TargetMode="External"/><Relationship Id="rId2989" Type="http://schemas.openxmlformats.org/officeDocument/2006/relationships/hyperlink" Target="https://lh5.googleusercontent.com/d/1EJZ19jxVCZb3hkhLmaljVNN7QUF5ciXZ" TargetMode="External"/><Relationship Id="rId1659" Type="http://schemas.openxmlformats.org/officeDocument/2006/relationships/hyperlink" Target="https://lh5.googleusercontent.com/d/1vkEBa-fvxHGqXWr_nNUzeQQdmYeGERN_" TargetMode="External"/><Relationship Id="rId829" Type="http://schemas.openxmlformats.org/officeDocument/2006/relationships/hyperlink" Target="https://lh5.googleusercontent.com/d/1g4skPizjIrfPYW-FRY7TSg9lXxQJPxcP" TargetMode="External"/><Relationship Id="rId828" Type="http://schemas.openxmlformats.org/officeDocument/2006/relationships/hyperlink" Target="https://drive.google.com/file/d/1PqQKv10V-w6f8l-FJIGATCsIgsg6yOWD/view?usp=drivesdk" TargetMode="External"/><Relationship Id="rId827" Type="http://schemas.openxmlformats.org/officeDocument/2006/relationships/hyperlink" Target="https://lh5.googleusercontent.com/d/1ivMCdoc9BYhNuRacs_VzFipEPkCiwDme" TargetMode="External"/><Relationship Id="rId822" Type="http://schemas.openxmlformats.org/officeDocument/2006/relationships/hyperlink" Target="https://drive.google.com/file/d/14FyqEBnlS6WEWOKAUvPJLmvP3UEfW8v4/view?usp=drivesdk" TargetMode="External"/><Relationship Id="rId821" Type="http://schemas.openxmlformats.org/officeDocument/2006/relationships/hyperlink" Target="https://lh5.googleusercontent.com/d/1_l4NNQxikAnZJ9k49_dMd_bwDRG-rHGg" TargetMode="External"/><Relationship Id="rId820" Type="http://schemas.openxmlformats.org/officeDocument/2006/relationships/hyperlink" Target="https://drive.google.com/file/d/18mZ3tBW54pyWu5EvY4SwzIJXo8gSvagQ/view?usp=drivesdk" TargetMode="External"/><Relationship Id="rId826" Type="http://schemas.openxmlformats.org/officeDocument/2006/relationships/hyperlink" Target="https://drive.google.com/file/d/1oWNAlCXwSPK3eoFLjRQD7G8GI9XL_Swf/view?usp=drivesdk" TargetMode="External"/><Relationship Id="rId825" Type="http://schemas.openxmlformats.org/officeDocument/2006/relationships/hyperlink" Target="https://lh5.googleusercontent.com/d/1xNHCS575TN374TuzOpHRzUmt6He6iO2w" TargetMode="External"/><Relationship Id="rId824" Type="http://schemas.openxmlformats.org/officeDocument/2006/relationships/hyperlink" Target="https://drive.google.com/file/d/1jaqyXi_1G320fxngdPXAHvUn_AS3XeQO/view?usp=drivesdk" TargetMode="External"/><Relationship Id="rId823" Type="http://schemas.openxmlformats.org/officeDocument/2006/relationships/hyperlink" Target="https://lh5.googleusercontent.com/d/1U7Sm12Xfuc6c6YeKOnUELhZPSRgie5TC" TargetMode="External"/><Relationship Id="rId2980" Type="http://schemas.openxmlformats.org/officeDocument/2006/relationships/hyperlink" Target="https://drive.google.com/file/d/1Yv-1f-EOAm9ypln6a5DvrKgJq-N8C0Sk/view?usp=drivesdk" TargetMode="External"/><Relationship Id="rId1650" Type="http://schemas.openxmlformats.org/officeDocument/2006/relationships/hyperlink" Target="https://drive.google.com/file/d/17P69zmX6NF1Fv2XGEHbI3bwM1nGetTiQ/view?usp=drivesdk" TargetMode="External"/><Relationship Id="rId2981" Type="http://schemas.openxmlformats.org/officeDocument/2006/relationships/hyperlink" Target="https://lh5.googleusercontent.com/d/1CeiAqck4PEpb_nyj7XdzGC9RecfF5Uqa" TargetMode="External"/><Relationship Id="rId1651" Type="http://schemas.openxmlformats.org/officeDocument/2006/relationships/hyperlink" Target="https://lh5.googleusercontent.com/d/10UBBkuBwiRnefJh99y_6yENIF1SQHvQd" TargetMode="External"/><Relationship Id="rId2982" Type="http://schemas.openxmlformats.org/officeDocument/2006/relationships/hyperlink" Target="https://drive.google.com/file/d/1q1OvQ2Sdu_NtmbPbE9Jmg67bSKbl03hL/view?usp=drivesdk" TargetMode="External"/><Relationship Id="rId1652" Type="http://schemas.openxmlformats.org/officeDocument/2006/relationships/hyperlink" Target="https://drive.google.com/file/d/1Wt9cKtv0gnEs5rIIT5RCYCW5lP2RTArA/view?usp=drivesdk" TargetMode="External"/><Relationship Id="rId2983" Type="http://schemas.openxmlformats.org/officeDocument/2006/relationships/hyperlink" Target="https://lh5.googleusercontent.com/d/18Od0YJT65ryMFYGffOwfq_qVKxGnBwnJ" TargetMode="External"/><Relationship Id="rId1642" Type="http://schemas.openxmlformats.org/officeDocument/2006/relationships/hyperlink" Target="https://drive.google.com/file/d/1a4q1VcnyUMp1vENAWso_NmMoo450tGBa/view?usp=drivesdk" TargetMode="External"/><Relationship Id="rId2973" Type="http://schemas.openxmlformats.org/officeDocument/2006/relationships/hyperlink" Target="https://lh5.googleusercontent.com/d/1_HppVHz40nzJ0HJJlWSlzJ7ioZqL6U5z" TargetMode="External"/><Relationship Id="rId1643" Type="http://schemas.openxmlformats.org/officeDocument/2006/relationships/hyperlink" Target="https://lh5.googleusercontent.com/d/1FezFWAZ7Balequ4hm34GANiy_-rxpPcO" TargetMode="External"/><Relationship Id="rId2974" Type="http://schemas.openxmlformats.org/officeDocument/2006/relationships/hyperlink" Target="https://drive.google.com/file/d/1YkClxHvhjSU3Hzg_Fk3KDS5bgkiRCB6X/view?usp=drivesdk" TargetMode="External"/><Relationship Id="rId1644" Type="http://schemas.openxmlformats.org/officeDocument/2006/relationships/hyperlink" Target="https://drive.google.com/file/d/1e5v9vCT63QemLx6THxRHi8Xourw2LVKX/view?usp=drivesdk" TargetMode="External"/><Relationship Id="rId2975" Type="http://schemas.openxmlformats.org/officeDocument/2006/relationships/hyperlink" Target="https://lh5.googleusercontent.com/d/1fI9tYIN4X8wugrS-pJKOzaoU5zKWuZei" TargetMode="External"/><Relationship Id="rId1645" Type="http://schemas.openxmlformats.org/officeDocument/2006/relationships/hyperlink" Target="https://lh5.googleusercontent.com/d/1xRRNY-2P816XBanGNcROOrNVUYc45ud0" TargetMode="External"/><Relationship Id="rId2976" Type="http://schemas.openxmlformats.org/officeDocument/2006/relationships/hyperlink" Target="https://drive.google.com/file/d/1YucK6J9ia6-z6MyebP2pMh9vUSWpAUtD/view?usp=drivesdk" TargetMode="External"/><Relationship Id="rId1646" Type="http://schemas.openxmlformats.org/officeDocument/2006/relationships/hyperlink" Target="https://drive.google.com/file/d/15YSktzZzSpZ6WYDdn-LQDVdYpy_av7if/view?usp=drivesdk" TargetMode="External"/><Relationship Id="rId2977" Type="http://schemas.openxmlformats.org/officeDocument/2006/relationships/hyperlink" Target="https://lh5.googleusercontent.com/d/1wCuxcPKrNu1clellXSn5788mkoXuwCpW" TargetMode="External"/><Relationship Id="rId1647" Type="http://schemas.openxmlformats.org/officeDocument/2006/relationships/hyperlink" Target="https://lh5.googleusercontent.com/d/1rRQYfi0ZEwE6s0R3DMYAazGMep27mBLq" TargetMode="External"/><Relationship Id="rId2978" Type="http://schemas.openxmlformats.org/officeDocument/2006/relationships/hyperlink" Target="https://drive.google.com/file/d/1l3RkN-LrwzRz2QjNIppS_XVf4aCSrquV/view?usp=drivesdk" TargetMode="External"/><Relationship Id="rId1648" Type="http://schemas.openxmlformats.org/officeDocument/2006/relationships/hyperlink" Target="https://drive.google.com/file/d/15Jh9TxkqL7GhP9n-24XliItgMjYyQC8C/view?usp=drivesdk" TargetMode="External"/><Relationship Id="rId2979" Type="http://schemas.openxmlformats.org/officeDocument/2006/relationships/hyperlink" Target="https://lh5.googleusercontent.com/d/1p_30gMDOhHbLjeQBTEAZjqWJu9Y4xLdT" TargetMode="External"/><Relationship Id="rId1649" Type="http://schemas.openxmlformats.org/officeDocument/2006/relationships/hyperlink" Target="https://lh5.googleusercontent.com/d/1s9fUVNhKDafygNNAKHbNIAJ5Rpzghjiy" TargetMode="External"/><Relationship Id="rId819" Type="http://schemas.openxmlformats.org/officeDocument/2006/relationships/hyperlink" Target="https://lh5.googleusercontent.com/d/1R6piRsZKL31g52NCGJ5GbvvJwVkDnAWG" TargetMode="External"/><Relationship Id="rId818" Type="http://schemas.openxmlformats.org/officeDocument/2006/relationships/hyperlink" Target="https://drive.google.com/file/d/1YiUccDJw2AS6iPMD7YYd-hUTyn_gVANp/view?usp=drivesdk" TargetMode="External"/><Relationship Id="rId817" Type="http://schemas.openxmlformats.org/officeDocument/2006/relationships/hyperlink" Target="https://lh5.googleusercontent.com/d/1_fYB-T4uWs3xkVxF6Ma6_Tfh_tZMqRwL" TargetMode="External"/><Relationship Id="rId816" Type="http://schemas.openxmlformats.org/officeDocument/2006/relationships/hyperlink" Target="https://drive.google.com/file/d/10iq56HJVgzbRl6qphN3inRzCqotCOiwQ/view?usp=drivesdk" TargetMode="External"/><Relationship Id="rId811" Type="http://schemas.openxmlformats.org/officeDocument/2006/relationships/hyperlink" Target="https://lh5.googleusercontent.com/d/1BTFDJGXQ93oY09tn4F6CQgoUHXJnVd4M" TargetMode="External"/><Relationship Id="rId810" Type="http://schemas.openxmlformats.org/officeDocument/2006/relationships/hyperlink" Target="https://drive.google.com/file/d/1-PzByfjHFQ_xJ3zTGBITHEenrs22HJpW/view?usp=drivesdk" TargetMode="External"/><Relationship Id="rId815" Type="http://schemas.openxmlformats.org/officeDocument/2006/relationships/hyperlink" Target="https://lh5.googleusercontent.com/d/1xNKDCcB6ibdAJWQq4o3-owjr28J_sNRb" TargetMode="External"/><Relationship Id="rId814" Type="http://schemas.openxmlformats.org/officeDocument/2006/relationships/hyperlink" Target="https://drive.google.com/file/d/1RUtIK4j61Cr5yncGL-xTr8RyWQo3_vrR/view?usp=drivesdk" TargetMode="External"/><Relationship Id="rId813" Type="http://schemas.openxmlformats.org/officeDocument/2006/relationships/hyperlink" Target="https://lh5.googleusercontent.com/d/1jQrSA0FHBHPDKopDdBr7yC3wV2xcZJnV" TargetMode="External"/><Relationship Id="rId812" Type="http://schemas.openxmlformats.org/officeDocument/2006/relationships/hyperlink" Target="https://drive.google.com/file/d/19Ah8QThWs5dH_G3r0BjLGoW9XbuiZi-i/view?usp=drivesdk" TargetMode="External"/><Relationship Id="rId2970" Type="http://schemas.openxmlformats.org/officeDocument/2006/relationships/hyperlink" Target="https://drive.google.com/file/d/18PJO_gUf1xyF8qk23o5DaunTdlVHd4PV/view?usp=drivesdk" TargetMode="External"/><Relationship Id="rId1640" Type="http://schemas.openxmlformats.org/officeDocument/2006/relationships/hyperlink" Target="https://drive.google.com/file/d/11oUmnDHr9ZGBFJp3lQu8CqstfedLnTGL/view?usp=drivesdk" TargetMode="External"/><Relationship Id="rId2971" Type="http://schemas.openxmlformats.org/officeDocument/2006/relationships/hyperlink" Target="https://lh5.googleusercontent.com/d/1RTpuonJ7Z06MFW_5_zfj2f_5iNiJ3LF5" TargetMode="External"/><Relationship Id="rId1641" Type="http://schemas.openxmlformats.org/officeDocument/2006/relationships/hyperlink" Target="https://lh5.googleusercontent.com/d/1yyLL3OzxDWUeBo8yDEMhkU2vBMDwIulj" TargetMode="External"/><Relationship Id="rId2972" Type="http://schemas.openxmlformats.org/officeDocument/2006/relationships/hyperlink" Target="https://drive.google.com/file/d/1e8zRFl1sb2Ga_CE7evolTMUZjpxkdBYa/view?usp=drivesdk" TargetMode="External"/><Relationship Id="rId1675" Type="http://schemas.openxmlformats.org/officeDocument/2006/relationships/hyperlink" Target="https://lh5.googleusercontent.com/d/1RCtmtycRtozuF8U2LCjrpvHNpCS3MjiO" TargetMode="External"/><Relationship Id="rId4701" Type="http://schemas.openxmlformats.org/officeDocument/2006/relationships/hyperlink" Target="https://lh5.googleusercontent.com/d/1O9Dg_AuQZWOLUyFVStMpEKJsEN6SIv50" TargetMode="External"/><Relationship Id="rId1676" Type="http://schemas.openxmlformats.org/officeDocument/2006/relationships/hyperlink" Target="https://drive.google.com/file/d/1O4DzA_XSMVw3L4nEMpF4ZRQcUSS-TqW-/view?usp=drivesdk" TargetMode="External"/><Relationship Id="rId4700" Type="http://schemas.openxmlformats.org/officeDocument/2006/relationships/hyperlink" Target="https://drive.google.com/file/d/1L_4OkusZ_eRW7Vcfik5yh8R3n9Sfu74q/view?usp=drivesdk" TargetMode="External"/><Relationship Id="rId1677" Type="http://schemas.openxmlformats.org/officeDocument/2006/relationships/hyperlink" Target="https://lh5.googleusercontent.com/d/1KR71CCWQqhdm8IhnkmuwbkXSz2jRaKDv" TargetMode="External"/><Relationship Id="rId4703" Type="http://schemas.openxmlformats.org/officeDocument/2006/relationships/hyperlink" Target="https://lh5.googleusercontent.com/d/1VsMxBIr38CuWiTKSEkLC6k-hGh3WHOB6" TargetMode="External"/><Relationship Id="rId1678" Type="http://schemas.openxmlformats.org/officeDocument/2006/relationships/hyperlink" Target="https://drive.google.com/file/d/1muQNWMgPGAkdLUBjN9H8Ps0ZJOcRTuCa/view?usp=drivesdk" TargetMode="External"/><Relationship Id="rId4702" Type="http://schemas.openxmlformats.org/officeDocument/2006/relationships/hyperlink" Target="https://drive.google.com/file/d/1XKSbGzGtuvDvIYC3RrA7DYDWAKFwJ9wE/view?usp=drivesdk" TargetMode="External"/><Relationship Id="rId1679" Type="http://schemas.openxmlformats.org/officeDocument/2006/relationships/hyperlink" Target="https://lh5.googleusercontent.com/d/1YOE1y8-FaEmVLwihcE69Wg3n6hR3EmlK" TargetMode="External"/><Relationship Id="rId4705" Type="http://schemas.openxmlformats.org/officeDocument/2006/relationships/hyperlink" Target="https://lh5.googleusercontent.com/d/1X5N3DMDM1myWrofz4tIUl4-_TMjpK6ku" TargetMode="External"/><Relationship Id="rId4704" Type="http://schemas.openxmlformats.org/officeDocument/2006/relationships/hyperlink" Target="https://drive.google.com/file/d/18GUORMaH7vPi1mdSts7qiZhVCUJvhAx_/view?usp=drivesdk" TargetMode="External"/><Relationship Id="rId4707" Type="http://schemas.openxmlformats.org/officeDocument/2006/relationships/hyperlink" Target="https://lh5.googleusercontent.com/d/1w6yzoUE7hwGhO-0QcXPJOtsOEOLuxp7V" TargetMode="External"/><Relationship Id="rId4706" Type="http://schemas.openxmlformats.org/officeDocument/2006/relationships/hyperlink" Target="https://drive.google.com/file/d/1oEZ7bXhL-oKxz9c9EK8yFg7M0FW63bYz/view?usp=drivesdk" TargetMode="External"/><Relationship Id="rId4709" Type="http://schemas.openxmlformats.org/officeDocument/2006/relationships/hyperlink" Target="https://lh5.googleusercontent.com/d/1IpvLHg7bVU2E3Z5e4w5gCnmnyeFdMfLe" TargetMode="External"/><Relationship Id="rId4708" Type="http://schemas.openxmlformats.org/officeDocument/2006/relationships/hyperlink" Target="https://drive.google.com/file/d/17ePVaXDUVOtLj8oCZmsRc3EcqociMYUu/view?usp=drivesdk" TargetMode="External"/><Relationship Id="rId849" Type="http://schemas.openxmlformats.org/officeDocument/2006/relationships/hyperlink" Target="https://lh5.googleusercontent.com/d/11S5-3x7A5or1GFesSUn3BgS4uUf4zAVg" TargetMode="External"/><Relationship Id="rId844" Type="http://schemas.openxmlformats.org/officeDocument/2006/relationships/hyperlink" Target="https://drive.google.com/file/d/1eaJAq5-gX6TTC91i6h-aJDv3ZqnA7E8h/view?usp=drivesdk" TargetMode="External"/><Relationship Id="rId843" Type="http://schemas.openxmlformats.org/officeDocument/2006/relationships/hyperlink" Target="https://lh5.googleusercontent.com/d/1t8EiZfTpWa3RmjLO80pr8iEiZdbhoEOu" TargetMode="External"/><Relationship Id="rId842" Type="http://schemas.openxmlformats.org/officeDocument/2006/relationships/hyperlink" Target="https://drive.google.com/file/d/1yIOSt4_o4YoN16afzI5ak7Tba5F__y-z/view?usp=drivesdk" TargetMode="External"/><Relationship Id="rId841" Type="http://schemas.openxmlformats.org/officeDocument/2006/relationships/hyperlink" Target="https://lh5.googleusercontent.com/d/15xSvkOMhCviwx43594NKkHDLS--QIvKN" TargetMode="External"/><Relationship Id="rId848" Type="http://schemas.openxmlformats.org/officeDocument/2006/relationships/hyperlink" Target="https://drive.google.com/file/d/1jSaeVOOl7wEJtSid6POGdM5-XK227len/view?usp=drivesdk" TargetMode="External"/><Relationship Id="rId847" Type="http://schemas.openxmlformats.org/officeDocument/2006/relationships/hyperlink" Target="https://lh5.googleusercontent.com/d/17tnx-iJiHPzHFkVaJwacUhZMyVQPWY86" TargetMode="External"/><Relationship Id="rId846" Type="http://schemas.openxmlformats.org/officeDocument/2006/relationships/hyperlink" Target="https://drive.google.com/file/d/1FZBi3T8zhsHao1uoQRyvwXCfKCQevP69/view?usp=drivesdk" TargetMode="External"/><Relationship Id="rId845" Type="http://schemas.openxmlformats.org/officeDocument/2006/relationships/hyperlink" Target="https://lh5.googleusercontent.com/d/1j6_cvlKRaBpX7fduL81D3W8WCqV98ezG" TargetMode="External"/><Relationship Id="rId1670" Type="http://schemas.openxmlformats.org/officeDocument/2006/relationships/hyperlink" Target="https://drive.google.com/file/d/12ixDm8gWgZe8mrKsVhC6ra7LuW_S4_H-/view?usp=drivesdk" TargetMode="External"/><Relationship Id="rId840" Type="http://schemas.openxmlformats.org/officeDocument/2006/relationships/hyperlink" Target="https://drive.google.com/file/d/1RgVhCgBQ9zFBS8W1MLtx227ktcH8T77a/view?usp=drivesdk" TargetMode="External"/><Relationship Id="rId1671" Type="http://schemas.openxmlformats.org/officeDocument/2006/relationships/hyperlink" Target="https://lh5.googleusercontent.com/d/12-Apj_ZGNL0xD6U-uwuvYHir50FSxcd2" TargetMode="External"/><Relationship Id="rId1672" Type="http://schemas.openxmlformats.org/officeDocument/2006/relationships/hyperlink" Target="https://drive.google.com/file/d/1HignqHGWk6CNykX7Dy4QcysU2lqVKPmJ/view?usp=drivesdk" TargetMode="External"/><Relationship Id="rId1673" Type="http://schemas.openxmlformats.org/officeDocument/2006/relationships/hyperlink" Target="https://lh5.googleusercontent.com/d/1irO6Rsr8tvaEJDTgt54DxthORRyEGAnr" TargetMode="External"/><Relationship Id="rId1674" Type="http://schemas.openxmlformats.org/officeDocument/2006/relationships/hyperlink" Target="https://drive.google.com/file/d/1UQQelc6r8s283dXmxulfDqCH8XLCrBxf/view?usp=drivesdk" TargetMode="External"/><Relationship Id="rId1664" Type="http://schemas.openxmlformats.org/officeDocument/2006/relationships/hyperlink" Target="https://drive.google.com/file/d/1xT9RWUm8MOtkRF14TenOKRjkTwrCh49H/view?usp=drivesdk" TargetMode="External"/><Relationship Id="rId2995" Type="http://schemas.openxmlformats.org/officeDocument/2006/relationships/hyperlink" Target="https://lh5.googleusercontent.com/d/19euD1PqWRz1Km9CyLdfBdNUbF8vhdGd2" TargetMode="External"/><Relationship Id="rId1665" Type="http://schemas.openxmlformats.org/officeDocument/2006/relationships/hyperlink" Target="https://lh5.googleusercontent.com/d/1wsTjCwq-pAK3zrLumN7nQcUR00bvhaZm" TargetMode="External"/><Relationship Id="rId2996" Type="http://schemas.openxmlformats.org/officeDocument/2006/relationships/hyperlink" Target="https://drive.google.com/file/d/1DOqQyD2-SZSkBc9WjhShV2wH5MCk_Akr/view?usp=drivesdk" TargetMode="External"/><Relationship Id="rId1666" Type="http://schemas.openxmlformats.org/officeDocument/2006/relationships/hyperlink" Target="https://drive.google.com/file/d/1MiACVqi0T1Y0gXNK1DLTpSOSt5-XbRtj/view?usp=drivesdk" TargetMode="External"/><Relationship Id="rId2997" Type="http://schemas.openxmlformats.org/officeDocument/2006/relationships/hyperlink" Target="https://lh5.googleusercontent.com/d/1ZSRvtHun45269Jz6Te9I2ObCO0Ny47ah" TargetMode="External"/><Relationship Id="rId1667" Type="http://schemas.openxmlformats.org/officeDocument/2006/relationships/hyperlink" Target="https://lh5.googleusercontent.com/d/1qogKoM4JWAT5M6vtIaOcx0vhArBWO4nQ" TargetMode="External"/><Relationship Id="rId2998" Type="http://schemas.openxmlformats.org/officeDocument/2006/relationships/hyperlink" Target="https://drive.google.com/file/d/1UwlosFdzm9sWjAIOt0GVOPBCtXKUgYxQ/view?usp=drivesdk" TargetMode="External"/><Relationship Id="rId1668" Type="http://schemas.openxmlformats.org/officeDocument/2006/relationships/hyperlink" Target="https://drive.google.com/file/d/157rSOAplzQxNgmPjUzawBoZttuJdfTqu/view?usp=drivesdk" TargetMode="External"/><Relationship Id="rId2999" Type="http://schemas.openxmlformats.org/officeDocument/2006/relationships/hyperlink" Target="https://lh5.googleusercontent.com/d/1eLEKqfPH_nsas8UAyk5-sHDvdoLNXuxu" TargetMode="External"/><Relationship Id="rId1669" Type="http://schemas.openxmlformats.org/officeDocument/2006/relationships/hyperlink" Target="https://lh5.googleusercontent.com/d/1r0buZEXcq20cC27ZIPAWDXMxFhWKCOLt" TargetMode="External"/><Relationship Id="rId839" Type="http://schemas.openxmlformats.org/officeDocument/2006/relationships/hyperlink" Target="https://lh5.googleusercontent.com/d/1pQGaPj-aKK8dxfviLM8TKyYZBgexbHOJ" TargetMode="External"/><Relationship Id="rId838" Type="http://schemas.openxmlformats.org/officeDocument/2006/relationships/hyperlink" Target="https://drive.google.com/file/d/1ALL7kko30xYMdq4ASfORTsCFrwCUwY4k/view?usp=drivesdk" TargetMode="External"/><Relationship Id="rId833" Type="http://schemas.openxmlformats.org/officeDocument/2006/relationships/hyperlink" Target="https://lh5.googleusercontent.com/d/1vuaX0lmRBxeOIy7_EKKUg0ByAHA6raIm" TargetMode="External"/><Relationship Id="rId832" Type="http://schemas.openxmlformats.org/officeDocument/2006/relationships/hyperlink" Target="https://drive.google.com/file/d/1GJ2rm1l95TQyaoTOOwNX_e5-5R0wdCGK/view?usp=drivesdk" TargetMode="External"/><Relationship Id="rId831" Type="http://schemas.openxmlformats.org/officeDocument/2006/relationships/hyperlink" Target="https://lh5.googleusercontent.com/d/1TWh0UbzVIb0TFtoebDdFEHJjshbL1QVU" TargetMode="External"/><Relationship Id="rId830" Type="http://schemas.openxmlformats.org/officeDocument/2006/relationships/hyperlink" Target="https://drive.google.com/file/d/1GXk6N1zZKzlk0VUElK-UQtG1NV18VJmf/view?usp=drivesdk" TargetMode="External"/><Relationship Id="rId837" Type="http://schemas.openxmlformats.org/officeDocument/2006/relationships/hyperlink" Target="https://lh5.googleusercontent.com/d/18sd7q3b_MA7TuJRG9Oo1aoKXQMaDxB1T" TargetMode="External"/><Relationship Id="rId836" Type="http://schemas.openxmlformats.org/officeDocument/2006/relationships/hyperlink" Target="https://drive.google.com/file/d/1bm3aYcwlWyU5MemK4ZsrLFoG_0FV55ni/view?usp=drivesdk" TargetMode="External"/><Relationship Id="rId835" Type="http://schemas.openxmlformats.org/officeDocument/2006/relationships/hyperlink" Target="https://lh5.googleusercontent.com/d/1JSsCy4os-nf_Um4C0lIOLXyqkgBQJORt" TargetMode="External"/><Relationship Id="rId834" Type="http://schemas.openxmlformats.org/officeDocument/2006/relationships/hyperlink" Target="https://drive.google.com/file/d/1Cnt5D-F0OYnbImxxf4QcfBY2C4HlD74x/view?usp=drivesdk" TargetMode="External"/><Relationship Id="rId2990" Type="http://schemas.openxmlformats.org/officeDocument/2006/relationships/hyperlink" Target="https://drive.google.com/file/d/1n-UWNOFfCtAsnrzI9ZX26TYjfRD7xHlN/view?usp=drivesdk" TargetMode="External"/><Relationship Id="rId1660" Type="http://schemas.openxmlformats.org/officeDocument/2006/relationships/hyperlink" Target="https://drive.google.com/file/d/1YVxFBC4Fwm48l0bf5Qsx4Y9hfFLVS7qP/view?usp=drivesdk" TargetMode="External"/><Relationship Id="rId2991" Type="http://schemas.openxmlformats.org/officeDocument/2006/relationships/hyperlink" Target="https://lh5.googleusercontent.com/d/1afV5cu6aU8kXxBTyf9MTcSmWHxHSYSrh" TargetMode="External"/><Relationship Id="rId1661" Type="http://schemas.openxmlformats.org/officeDocument/2006/relationships/hyperlink" Target="https://lh5.googleusercontent.com/d/164F-KPBEH1yYE6bfudxM6EmdV_LjlQHX" TargetMode="External"/><Relationship Id="rId2992" Type="http://schemas.openxmlformats.org/officeDocument/2006/relationships/hyperlink" Target="https://drive.google.com/file/d/1rgfslDyh-WGiFcoQDCd3aFblIn0jrk1v/view?usp=drivesdk" TargetMode="External"/><Relationship Id="rId1662" Type="http://schemas.openxmlformats.org/officeDocument/2006/relationships/hyperlink" Target="https://drive.google.com/file/d/1R13YijVvwmLdZ0HAKXS3N9Ktz6t5rk0N/view?usp=drivesdk" TargetMode="External"/><Relationship Id="rId2993" Type="http://schemas.openxmlformats.org/officeDocument/2006/relationships/hyperlink" Target="https://lh5.googleusercontent.com/d/17qdLo7LB_37WyxPyzOjhtnP1gNMqlMAu" TargetMode="External"/><Relationship Id="rId1663" Type="http://schemas.openxmlformats.org/officeDocument/2006/relationships/hyperlink" Target="https://lh5.googleusercontent.com/d/16KIGA6hkYcgy29_GuRUao4pFgWu9yncW" TargetMode="External"/><Relationship Id="rId2994" Type="http://schemas.openxmlformats.org/officeDocument/2006/relationships/hyperlink" Target="https://drive.google.com/file/d/1hEJJde8ioXYuyRVYBt32MI97siKEfhK6/view?usp=drivesdk" TargetMode="External"/><Relationship Id="rId2148" Type="http://schemas.openxmlformats.org/officeDocument/2006/relationships/hyperlink" Target="https://lh5.googleusercontent.com/d/1lzbzLAb6ICuze2p1u-534gvOPEh5VMs_" TargetMode="External"/><Relationship Id="rId2149" Type="http://schemas.openxmlformats.org/officeDocument/2006/relationships/hyperlink" Target="https://drive.google.com/file/d/102FBxcm397Kvapa1_RDTcBzzh0zGJg4K/view?usp=drivesdk" TargetMode="External"/><Relationship Id="rId3479" Type="http://schemas.openxmlformats.org/officeDocument/2006/relationships/hyperlink" Target="https://drive.google.com/file/d/1q86MiiQMVQuKM1KPT48p_ojV9975xfTH/view?usp=drivesdk" TargetMode="External"/><Relationship Id="rId3470" Type="http://schemas.openxmlformats.org/officeDocument/2006/relationships/hyperlink" Target="https://drive.google.com/file/d/1Qm9wm7VweK1dCxG7sDAQHvP2csgV_vkl/view?usp=drivesdk" TargetMode="External"/><Relationship Id="rId2140" Type="http://schemas.openxmlformats.org/officeDocument/2006/relationships/hyperlink" Target="https://lh5.googleusercontent.com/d/1MDfJs7FtdLQq_9S0eW1wCDyV6EcZvwrB" TargetMode="External"/><Relationship Id="rId3472" Type="http://schemas.openxmlformats.org/officeDocument/2006/relationships/hyperlink" Target="https://lh5.googleusercontent.com/d/1Uk0ASo1uDF-Le8cEM1cVDtWmTLywdaB7" TargetMode="External"/><Relationship Id="rId2141" Type="http://schemas.openxmlformats.org/officeDocument/2006/relationships/hyperlink" Target="https://drive.google.com/file/d/1FxgCatXHtFgggK5m84MAUyqt8cHTCsnR/view?usp=drivesdk" TargetMode="External"/><Relationship Id="rId3471" Type="http://schemas.openxmlformats.org/officeDocument/2006/relationships/hyperlink" Target="https://drive.google.com/file/d/1DqnvGUT0JdhAySgXK6SGgHwTBGudjidV/view?usp=drivesdk" TargetMode="External"/><Relationship Id="rId2142" Type="http://schemas.openxmlformats.org/officeDocument/2006/relationships/hyperlink" Target="https://lh5.googleusercontent.com/d/1Nr09ceHsxha7TTjiEEow0dUOnc9w5qgV" TargetMode="External"/><Relationship Id="rId3474" Type="http://schemas.openxmlformats.org/officeDocument/2006/relationships/hyperlink" Target="https://lh5.googleusercontent.com/d/1ckJY1-PJ1vCQrApjC4agA273g35L9b2X" TargetMode="External"/><Relationship Id="rId2143" Type="http://schemas.openxmlformats.org/officeDocument/2006/relationships/hyperlink" Target="https://drive.google.com/file/d/1wu3rgE-hDYVqvPCttXcrOWJ0SYY8ugcj/view?usp=drivesdk" TargetMode="External"/><Relationship Id="rId3473" Type="http://schemas.openxmlformats.org/officeDocument/2006/relationships/hyperlink" Target="https://drive.google.com/file/d/1CSq6g4ud7ri4-YSerqwl2Yv2re7iC5bN/view?usp=drivesdk" TargetMode="External"/><Relationship Id="rId2144" Type="http://schemas.openxmlformats.org/officeDocument/2006/relationships/hyperlink" Target="https://lh5.googleusercontent.com/d/1fjLBKRM1aV9WuWubkIhg-hxVEh6VfQBO" TargetMode="External"/><Relationship Id="rId3476" Type="http://schemas.openxmlformats.org/officeDocument/2006/relationships/hyperlink" Target="https://lh5.googleusercontent.com/d/16SZsJGlALpnVKJ9N7wZKRiEMIcD5JVM8" TargetMode="External"/><Relationship Id="rId2145" Type="http://schemas.openxmlformats.org/officeDocument/2006/relationships/hyperlink" Target="https://drive.google.com/file/d/1XCbSkbAGzxD1TMR90bldct7GGw5d71yv/view?usp=drivesdk" TargetMode="External"/><Relationship Id="rId3475" Type="http://schemas.openxmlformats.org/officeDocument/2006/relationships/hyperlink" Target="https://drive.google.com/file/d/1B90nEAm9m22aY38T7IPM58ink1A2gPjM/view?usp=drivesdk" TargetMode="External"/><Relationship Id="rId2146" Type="http://schemas.openxmlformats.org/officeDocument/2006/relationships/hyperlink" Target="https://lh5.googleusercontent.com/d/1AuiaID24-eJMQH2RwwMyzvtJGU3XCkfh" TargetMode="External"/><Relationship Id="rId3478" Type="http://schemas.openxmlformats.org/officeDocument/2006/relationships/hyperlink" Target="https://lh5.googleusercontent.com/d/10U2Oqzr1JzL9rLSLk4D2Ap29PG8Lxy5L" TargetMode="External"/><Relationship Id="rId2147" Type="http://schemas.openxmlformats.org/officeDocument/2006/relationships/hyperlink" Target="https://drive.google.com/file/d/1a0eq--whaz-4lHmCNYk8wOfQkOo8mmHG/view?usp=drivesdk" TargetMode="External"/><Relationship Id="rId3477" Type="http://schemas.openxmlformats.org/officeDocument/2006/relationships/hyperlink" Target="https://drive.google.com/file/d/1ehu8EcCoPjXCC1F85NeRnNticOlqxqST/view?usp=drivesdk" TargetMode="External"/><Relationship Id="rId2137" Type="http://schemas.openxmlformats.org/officeDocument/2006/relationships/hyperlink" Target="https://drive.google.com/file/d/1s3_T5uiRRdJMt_nfGkhOCkYZyR3W6_Pi/view?usp=drivesdk" TargetMode="External"/><Relationship Id="rId3469" Type="http://schemas.openxmlformats.org/officeDocument/2006/relationships/hyperlink" Target="https://lh5.googleusercontent.com/d/1pH0IlA5aiH9DPFMRteNwbbbepA6YaA47" TargetMode="External"/><Relationship Id="rId2138" Type="http://schemas.openxmlformats.org/officeDocument/2006/relationships/hyperlink" Target="https://lh5.googleusercontent.com/d/1L4pro0GVPZEHaAJxqwvRQCt0miFBxLF-" TargetMode="External"/><Relationship Id="rId3468" Type="http://schemas.openxmlformats.org/officeDocument/2006/relationships/hyperlink" Target="https://drive.google.com/file/d/1SrARtgiIQS6NUs8hEjJW6YIfdv0KxwpK/view?usp=drivesdk" TargetMode="External"/><Relationship Id="rId4799" Type="http://schemas.openxmlformats.org/officeDocument/2006/relationships/hyperlink" Target="https://lh5.googleusercontent.com/d/1F35naRyscTmGxbmsWvBsw9LcdbwA1UIL" TargetMode="External"/><Relationship Id="rId2139" Type="http://schemas.openxmlformats.org/officeDocument/2006/relationships/hyperlink" Target="https://drive.google.com/file/d/1GBsqcZpX6omxK8A0BLYpkq6RcicoSPM9/view?usp=drivesdk" TargetMode="External"/><Relationship Id="rId4790" Type="http://schemas.openxmlformats.org/officeDocument/2006/relationships/hyperlink" Target="https://drive.google.com/file/d/1l7VksCy4_rHIVzg0UVNSkujPOUly-Mkf/view?usp=drivesdk" TargetMode="External"/><Relationship Id="rId3461" Type="http://schemas.openxmlformats.org/officeDocument/2006/relationships/hyperlink" Target="https://lh5.googleusercontent.com/d/1bv7DP75WfBOQVhprInAbTbPxjNOn5Av4" TargetMode="External"/><Relationship Id="rId4792" Type="http://schemas.openxmlformats.org/officeDocument/2006/relationships/hyperlink" Target="https://drive.google.com/file/d/1-IKVUyn07lRnnUJ61Z9dhotGIsOrmwes/view?usp=drivesdk" TargetMode="External"/><Relationship Id="rId2130" Type="http://schemas.openxmlformats.org/officeDocument/2006/relationships/hyperlink" Target="https://lh5.googleusercontent.com/d/1UKKUIAsQ312Ix9BzPNccTuIGeL5vm30j" TargetMode="External"/><Relationship Id="rId3460" Type="http://schemas.openxmlformats.org/officeDocument/2006/relationships/hyperlink" Target="https://drive.google.com/file/d/159c6-E8u03M6qOaaqnaNVGw_CrBVNOyM/view?usp=drivesdk" TargetMode="External"/><Relationship Id="rId4791" Type="http://schemas.openxmlformats.org/officeDocument/2006/relationships/hyperlink" Target="https://lh5.googleusercontent.com/d/1JMQi28UDxskMT2FjPMebj9Oomc2KirIa" TargetMode="External"/><Relationship Id="rId2131" Type="http://schemas.openxmlformats.org/officeDocument/2006/relationships/hyperlink" Target="https://drive.google.com/file/d/15RkrbtT-9yMBIP0BJHY_XJ_6Gjv-UsaI/view?usp=drivesdk" TargetMode="External"/><Relationship Id="rId3463" Type="http://schemas.openxmlformats.org/officeDocument/2006/relationships/hyperlink" Target="https://lh5.googleusercontent.com/d/1cVyGyh_o861MbBI4lpCUoFu22ARgLMp8" TargetMode="External"/><Relationship Id="rId4794" Type="http://schemas.openxmlformats.org/officeDocument/2006/relationships/hyperlink" Target="https://drive.google.com/file/d/1y1AG6BA2jZyZ3dZ_w8kC3bBy-PzX2M8L/view?usp=drivesdk" TargetMode="External"/><Relationship Id="rId2132" Type="http://schemas.openxmlformats.org/officeDocument/2006/relationships/hyperlink" Target="https://lh5.googleusercontent.com/d/11PuaLb-WaCjAXvw3FI0SBu798JrXs273" TargetMode="External"/><Relationship Id="rId3462" Type="http://schemas.openxmlformats.org/officeDocument/2006/relationships/hyperlink" Target="https://drive.google.com/file/d/1y5pKSyQPFb3GC8wHvL0cXVWtLAPYrwUB/view?usp=drivesdk" TargetMode="External"/><Relationship Id="rId4793" Type="http://schemas.openxmlformats.org/officeDocument/2006/relationships/hyperlink" Target="https://lh5.googleusercontent.com/d/11XZ4mVSloYElidXH4pdO-MXqDKoX6m27" TargetMode="External"/><Relationship Id="rId2133" Type="http://schemas.openxmlformats.org/officeDocument/2006/relationships/hyperlink" Target="https://drive.google.com/file/d/1dJs1eCnqJAqYjj0oz0u-CnbVAfyC_gS-/view?usp=drivesdk" TargetMode="External"/><Relationship Id="rId3465" Type="http://schemas.openxmlformats.org/officeDocument/2006/relationships/hyperlink" Target="https://lh5.googleusercontent.com/d/1eFv7R7q_-8LTY6hLcYqdb0U8e5qNCsJa" TargetMode="External"/><Relationship Id="rId4796" Type="http://schemas.openxmlformats.org/officeDocument/2006/relationships/hyperlink" Target="https://drive.google.com/file/d/1K51bpEL6pOR2sljqBsqsf_JrHF5t4Wye/view?usp=drivesdk" TargetMode="External"/><Relationship Id="rId2134" Type="http://schemas.openxmlformats.org/officeDocument/2006/relationships/hyperlink" Target="https://lh5.googleusercontent.com/d/1t6PqPiVIi-jcg7yWzsDkj8z_5DoG-osd" TargetMode="External"/><Relationship Id="rId3464" Type="http://schemas.openxmlformats.org/officeDocument/2006/relationships/hyperlink" Target="https://drive.google.com/file/d/11LqsTmSBJ0rsdlHMxFxmtk4X8TMWa2bb/view?usp=drivesdk" TargetMode="External"/><Relationship Id="rId4795" Type="http://schemas.openxmlformats.org/officeDocument/2006/relationships/hyperlink" Target="https://lh5.googleusercontent.com/d/1qb8PFJ4Hfo78sMRW_XyrIfvxM7_Yt09N" TargetMode="External"/><Relationship Id="rId2135" Type="http://schemas.openxmlformats.org/officeDocument/2006/relationships/hyperlink" Target="https://drive.google.com/file/d/1z14Oh54hTRvw14GsGRbl63wJbT64rIkn/view?usp=drivesdk" TargetMode="External"/><Relationship Id="rId3467" Type="http://schemas.openxmlformats.org/officeDocument/2006/relationships/hyperlink" Target="https://lh5.googleusercontent.com/d/1AOr7pWcPQXrsG_1lRkCxA7FEkRhGQHH0" TargetMode="External"/><Relationship Id="rId4798" Type="http://schemas.openxmlformats.org/officeDocument/2006/relationships/hyperlink" Target="https://drive.google.com/file/d/1X7jBYdd_gkqqJeNoYs8RnMsieJPr6i0U/view?usp=drivesdk" TargetMode="External"/><Relationship Id="rId2136" Type="http://schemas.openxmlformats.org/officeDocument/2006/relationships/hyperlink" Target="https://lh5.googleusercontent.com/d/18Eoj4Cnh6J9J88nuU0GXap0lDXPqQj_J" TargetMode="External"/><Relationship Id="rId3466" Type="http://schemas.openxmlformats.org/officeDocument/2006/relationships/hyperlink" Target="https://drive.google.com/file/d/1wqU_wibTD9JyLM-XNyjCWc-Yyp47cD1p/view?usp=drivesdk" TargetMode="External"/><Relationship Id="rId4797" Type="http://schemas.openxmlformats.org/officeDocument/2006/relationships/hyperlink" Target="https://lh5.googleusercontent.com/d/1s-N3F6QaL7UPYeP4DQsrLMp9kpd3_WZC" TargetMode="External"/><Relationship Id="rId3490" Type="http://schemas.openxmlformats.org/officeDocument/2006/relationships/hyperlink" Target="https://lh5.googleusercontent.com/d/1AXZflBokd2-6LzrQRombjC_TkL0UF8_5" TargetMode="External"/><Relationship Id="rId2160" Type="http://schemas.openxmlformats.org/officeDocument/2006/relationships/hyperlink" Target="https://lh5.googleusercontent.com/d/1VuS5wxGUvlp1bACdiJTOZFS5n3eLxroR" TargetMode="External"/><Relationship Id="rId3492" Type="http://schemas.openxmlformats.org/officeDocument/2006/relationships/hyperlink" Target="https://lh5.googleusercontent.com/d/1eEypjiSyR8djBSBvtZPJYqvv9wcP3nzi" TargetMode="External"/><Relationship Id="rId2161" Type="http://schemas.openxmlformats.org/officeDocument/2006/relationships/hyperlink" Target="https://drive.google.com/file/d/1kPi6WQoxXHa2u5Qk2WOfkumrAoale-5Y/view?usp=drivesdk" TargetMode="External"/><Relationship Id="rId3491" Type="http://schemas.openxmlformats.org/officeDocument/2006/relationships/hyperlink" Target="https://drive.google.com/file/d/1uhM5zYCGfrE5WNNWQrbPQ6e4vTxs6CSc/view?usp=drivesdk" TargetMode="External"/><Relationship Id="rId2162" Type="http://schemas.openxmlformats.org/officeDocument/2006/relationships/hyperlink" Target="https://lh5.googleusercontent.com/d/1aNd6nOGPqq6gzqJEMNDe8CQ147wtWSW3" TargetMode="External"/><Relationship Id="rId3494" Type="http://schemas.openxmlformats.org/officeDocument/2006/relationships/hyperlink" Target="https://lh5.googleusercontent.com/d/1bSFkjOK01M2WW5-pI_qfNv4x8tx24oBA" TargetMode="External"/><Relationship Id="rId2163" Type="http://schemas.openxmlformats.org/officeDocument/2006/relationships/hyperlink" Target="https://drive.google.com/file/d/1yTvgb5yqu8CTZXd332OQj71_kq7JjV3b/view?usp=drivesdk" TargetMode="External"/><Relationship Id="rId3493" Type="http://schemas.openxmlformats.org/officeDocument/2006/relationships/hyperlink" Target="https://drive.google.com/file/d/1V2-Vtw5wQBTvVp0SQ9m4y_Q1QK2QQNlr/view?usp=drivesdk" TargetMode="External"/><Relationship Id="rId2164" Type="http://schemas.openxmlformats.org/officeDocument/2006/relationships/hyperlink" Target="https://lh5.googleusercontent.com/d/1bxQeFWS69ad7t_eaq2Hm_XKG0LcF6I_P" TargetMode="External"/><Relationship Id="rId3496" Type="http://schemas.openxmlformats.org/officeDocument/2006/relationships/hyperlink" Target="https://lh5.googleusercontent.com/d/1OBNfuuJQZg-dxDfJt8XjbXnKPFd50T74" TargetMode="External"/><Relationship Id="rId2165" Type="http://schemas.openxmlformats.org/officeDocument/2006/relationships/hyperlink" Target="https://drive.google.com/file/d/1zbXe_wg8X66s6MZEHEMuPfVBUpRKJ1Jh/view?usp=drivesdk" TargetMode="External"/><Relationship Id="rId3495" Type="http://schemas.openxmlformats.org/officeDocument/2006/relationships/hyperlink" Target="https://drive.google.com/file/d/10QaTlZsCwdMJecltmdMOEjR_ezJPpGsG/view?usp=drivesdk" TargetMode="External"/><Relationship Id="rId2166" Type="http://schemas.openxmlformats.org/officeDocument/2006/relationships/hyperlink" Target="https://lh5.googleusercontent.com/d/1u8cDK73oir7e3c8qwfr5DluDE1_4bceU" TargetMode="External"/><Relationship Id="rId3498" Type="http://schemas.openxmlformats.org/officeDocument/2006/relationships/hyperlink" Target="https://lh5.googleusercontent.com/d/1D3tyT3IrxeybMWCnRXM7hgRSOZ4H2fpa" TargetMode="External"/><Relationship Id="rId2167" Type="http://schemas.openxmlformats.org/officeDocument/2006/relationships/hyperlink" Target="https://drive.google.com/file/d/1D9HN2bOIxTC8vrgZRC6hBIfRuN-3xZqW/view?usp=drivesdk" TargetMode="External"/><Relationship Id="rId3497" Type="http://schemas.openxmlformats.org/officeDocument/2006/relationships/hyperlink" Target="https://drive.google.com/file/d/1g0i8yhyhcUSYORfRcIvPKLOu5XbZv5Vn/view?usp=drivesdk" TargetMode="External"/><Relationship Id="rId2168" Type="http://schemas.openxmlformats.org/officeDocument/2006/relationships/hyperlink" Target="https://lh5.googleusercontent.com/d/1BQzznD_v8NEGGeCovSgm3G-1KLLOgW79" TargetMode="External"/><Relationship Id="rId2169" Type="http://schemas.openxmlformats.org/officeDocument/2006/relationships/hyperlink" Target="https://drive.google.com/file/d/1_jNFhkomYcX9Uxm_fxnSsFlxkPvHDLyQ/view?usp=drivesdk" TargetMode="External"/><Relationship Id="rId3499" Type="http://schemas.openxmlformats.org/officeDocument/2006/relationships/hyperlink" Target="https://drive.google.com/file/d/1yICT3EitS2KqB02oPX4hF2E0uKmo5lVj/view?usp=drivesdk" TargetMode="External"/><Relationship Id="rId2159" Type="http://schemas.openxmlformats.org/officeDocument/2006/relationships/hyperlink" Target="https://drive.google.com/file/d/1j-w5sx7ZL2e-w2sdlWK_lZ5Qd6YK3k0H/view?usp=drivesdk" TargetMode="External"/><Relationship Id="rId3481" Type="http://schemas.openxmlformats.org/officeDocument/2006/relationships/hyperlink" Target="https://drive.google.com/file/d/1iZ4Q3YAswtwXE33SYsQu7zzwbLkynwiR/view?usp=drivesdk" TargetMode="External"/><Relationship Id="rId2150" Type="http://schemas.openxmlformats.org/officeDocument/2006/relationships/hyperlink" Target="https://lh5.googleusercontent.com/d/1vqptNwPGRuWjStn14GD_9cxOk4pvZ1E9" TargetMode="External"/><Relationship Id="rId3480" Type="http://schemas.openxmlformats.org/officeDocument/2006/relationships/hyperlink" Target="https://lh5.googleusercontent.com/d/1Z53PZ0hbQ6Uld6Akki-PCmxp1vfpBWtd" TargetMode="External"/><Relationship Id="rId2151" Type="http://schemas.openxmlformats.org/officeDocument/2006/relationships/hyperlink" Target="https://drive.google.com/file/d/16tedm1L0XpCvWW4PUt6HXaBEfHdRdtM7/view?usp=drivesdk" TargetMode="External"/><Relationship Id="rId3483" Type="http://schemas.openxmlformats.org/officeDocument/2006/relationships/hyperlink" Target="https://drive.google.com/file/d/1QcSpsHI2EB_MdadPA10G102ZA7IF3Cp9/view?usp=drivesdk" TargetMode="External"/><Relationship Id="rId2152" Type="http://schemas.openxmlformats.org/officeDocument/2006/relationships/hyperlink" Target="https://lh5.googleusercontent.com/d/1tdNCplRrOVcYZZktRvFoCYtIT7YAMQSa" TargetMode="External"/><Relationship Id="rId3482" Type="http://schemas.openxmlformats.org/officeDocument/2006/relationships/hyperlink" Target="https://lh5.googleusercontent.com/d/171zc59_LaqNtgH4UIKDZPYq5VG6OFJ1X" TargetMode="External"/><Relationship Id="rId2153" Type="http://schemas.openxmlformats.org/officeDocument/2006/relationships/hyperlink" Target="https://drive.google.com/file/d/1DApFsWb1KurrPXSOIvRPAM0tbnIxzKRm/view?usp=drivesdk" TargetMode="External"/><Relationship Id="rId3485" Type="http://schemas.openxmlformats.org/officeDocument/2006/relationships/hyperlink" Target="https://drive.google.com/file/d/1seOLIz-sPMYT_yOpe75oaz9RMax5QReM/view?usp=drivesdk" TargetMode="External"/><Relationship Id="rId2154" Type="http://schemas.openxmlformats.org/officeDocument/2006/relationships/hyperlink" Target="https://lh5.googleusercontent.com/d/1Pq1NSCjr4i9mrXaN41WGjIY4zU1fids8" TargetMode="External"/><Relationship Id="rId3484" Type="http://schemas.openxmlformats.org/officeDocument/2006/relationships/hyperlink" Target="https://lh5.googleusercontent.com/d/1Q8kzPHKdY-daccv0FLl_tpg2zsbxKDmr" TargetMode="External"/><Relationship Id="rId2155" Type="http://schemas.openxmlformats.org/officeDocument/2006/relationships/hyperlink" Target="https://drive.google.com/file/d/1y1hsMvL9CtiyAe448fyof-rj7uSNRo5u/view?usp=drivesdk" TargetMode="External"/><Relationship Id="rId3487" Type="http://schemas.openxmlformats.org/officeDocument/2006/relationships/hyperlink" Target="https://drive.google.com/file/d/1sw_3tMSnULifSh62q6kp1yH2r8gY0qMf/view?usp=drivesdk" TargetMode="External"/><Relationship Id="rId2156" Type="http://schemas.openxmlformats.org/officeDocument/2006/relationships/hyperlink" Target="https://lh5.googleusercontent.com/d/1ihHphSguyW08Ay8V-mWlMzNoy2s31_ZI" TargetMode="External"/><Relationship Id="rId3486" Type="http://schemas.openxmlformats.org/officeDocument/2006/relationships/hyperlink" Target="https://lh5.googleusercontent.com/d/15d9soHqFRuAv210QcI_L8DQ2idhnUtia" TargetMode="External"/><Relationship Id="rId2157" Type="http://schemas.openxmlformats.org/officeDocument/2006/relationships/hyperlink" Target="https://drive.google.com/file/d/1G4SZmNhj-G0Ec6uBJBLdE1NTahOlmUiX/view?usp=drivesdk" TargetMode="External"/><Relationship Id="rId3489" Type="http://schemas.openxmlformats.org/officeDocument/2006/relationships/hyperlink" Target="https://drive.google.com/file/d/1NbbMXiRTpDUqmJi8PD2LQzK9xaeIS4sH/view?usp=drivesdk" TargetMode="External"/><Relationship Id="rId2158" Type="http://schemas.openxmlformats.org/officeDocument/2006/relationships/hyperlink" Target="https://lh5.googleusercontent.com/d/1uYhNAwjNOiiqCacexd02T7U0A2SvvHrc" TargetMode="External"/><Relationship Id="rId3488" Type="http://schemas.openxmlformats.org/officeDocument/2006/relationships/hyperlink" Target="https://lh5.googleusercontent.com/d/1g1UImn0OtVFrCjVSbfC7NPoIjGvrSW5s" TargetMode="External"/><Relationship Id="rId2104" Type="http://schemas.openxmlformats.org/officeDocument/2006/relationships/hyperlink" Target="https://lh5.googleusercontent.com/d/1qE1P_hL2WSak-UCLqC_gYMW55WTDsD4E" TargetMode="External"/><Relationship Id="rId3436" Type="http://schemas.openxmlformats.org/officeDocument/2006/relationships/hyperlink" Target="https://lh5.googleusercontent.com/d/1CHQ_vWZLkb40SU8cTRj_dCzRRlFIQ3bO" TargetMode="External"/><Relationship Id="rId4767" Type="http://schemas.openxmlformats.org/officeDocument/2006/relationships/hyperlink" Target="https://lh5.googleusercontent.com/d/1eX-xptn2rXozkL5Ug9Gn1XHw5fwxXvs9" TargetMode="External"/><Relationship Id="rId2105" Type="http://schemas.openxmlformats.org/officeDocument/2006/relationships/hyperlink" Target="https://drive.google.com/file/d/1q_ZhR4C_u9jscDrAPDkPg6PRxUlGVYws/view?usp=drivesdk" TargetMode="External"/><Relationship Id="rId3435" Type="http://schemas.openxmlformats.org/officeDocument/2006/relationships/hyperlink" Target="https://drive.google.com/file/d/1s9KeKJQVTnb0QAVqviJoLwXpYZ_RArHV/view?usp=drivesdk" TargetMode="External"/><Relationship Id="rId4766" Type="http://schemas.openxmlformats.org/officeDocument/2006/relationships/hyperlink" Target="https://drive.google.com/file/d/12Ocz9RKZjhtM4HD6tfvhnj_NTb7OrY0p/view?usp=drivesdk" TargetMode="External"/><Relationship Id="rId2106" Type="http://schemas.openxmlformats.org/officeDocument/2006/relationships/hyperlink" Target="https://lh5.googleusercontent.com/d/180cjJiGiEgZciZxPkLm7VmunEwa9s4FJ" TargetMode="External"/><Relationship Id="rId3438" Type="http://schemas.openxmlformats.org/officeDocument/2006/relationships/hyperlink" Target="https://lh5.googleusercontent.com/d/19YQf0MrEazLI26DMGrtCZIjw3-nDj7Ap" TargetMode="External"/><Relationship Id="rId4769" Type="http://schemas.openxmlformats.org/officeDocument/2006/relationships/hyperlink" Target="https://lh5.googleusercontent.com/d/1ZwFMsKaxiAgO3UCMatGq7dU6OegKeRJ2" TargetMode="External"/><Relationship Id="rId2107" Type="http://schemas.openxmlformats.org/officeDocument/2006/relationships/hyperlink" Target="https://drive.google.com/file/d/1ZqMdyxu3QnklSetkUtObJNl5LaEIRqCG/view?usp=drivesdk" TargetMode="External"/><Relationship Id="rId3437" Type="http://schemas.openxmlformats.org/officeDocument/2006/relationships/hyperlink" Target="https://drive.google.com/file/d/179EtlSfdywW-A3zKgJOzUggvg_3G7qZY/view?usp=drivesdk" TargetMode="External"/><Relationship Id="rId4768" Type="http://schemas.openxmlformats.org/officeDocument/2006/relationships/hyperlink" Target="https://drive.google.com/file/d/1MrpOnUV-WOmwv_-ErqDGqBvUCU3y_vOX/view?usp=drivesdk" TargetMode="External"/><Relationship Id="rId2108" Type="http://schemas.openxmlformats.org/officeDocument/2006/relationships/hyperlink" Target="https://lh5.googleusercontent.com/d/1HnCSvYrhoT1aN5Ld1wPNQpaWPhM1cK8K" TargetMode="External"/><Relationship Id="rId2109" Type="http://schemas.openxmlformats.org/officeDocument/2006/relationships/hyperlink" Target="https://drive.google.com/file/d/1Hk40fqvL5WXw6zZqbSXxxvjUJEhsfpoy/view?usp=drivesdk" TargetMode="External"/><Relationship Id="rId3439" Type="http://schemas.openxmlformats.org/officeDocument/2006/relationships/hyperlink" Target="https://drive.google.com/file/d/1vQGTSQQTLcFjCd93WD7Qn5fHjoacLbWl/view?usp=drivesdk" TargetMode="External"/><Relationship Id="rId3430" Type="http://schemas.openxmlformats.org/officeDocument/2006/relationships/hyperlink" Target="https://lh5.googleusercontent.com/d/19RIBDXOc3aRohu2-mEmSwSf2gEaZtlB3" TargetMode="External"/><Relationship Id="rId4761" Type="http://schemas.openxmlformats.org/officeDocument/2006/relationships/hyperlink" Target="https://lh5.googleusercontent.com/d/1O8bHuiHnBV5HrcQ_0b1pbSLJcBFdam_-" TargetMode="External"/><Relationship Id="rId4760" Type="http://schemas.openxmlformats.org/officeDocument/2006/relationships/hyperlink" Target="https://drive.google.com/file/d/1S3rBOECDSKeU80CjPX_45TIOR9BvJPAP/view?usp=drivesdk" TargetMode="External"/><Relationship Id="rId2100" Type="http://schemas.openxmlformats.org/officeDocument/2006/relationships/hyperlink" Target="https://lh5.googleusercontent.com/d/1KMt9RBbbYmqrDKG1k20wjEjUn0Ogf8qi" TargetMode="External"/><Relationship Id="rId3432" Type="http://schemas.openxmlformats.org/officeDocument/2006/relationships/hyperlink" Target="https://lh5.googleusercontent.com/d/1JVt8106TnKCSHNbTFx_szjpl6du9sq9V" TargetMode="External"/><Relationship Id="rId4763" Type="http://schemas.openxmlformats.org/officeDocument/2006/relationships/hyperlink" Target="https://lh5.googleusercontent.com/d/1j779cw08quK1D4Zw0XRuI9u_Em-ZorqZ" TargetMode="External"/><Relationship Id="rId2101" Type="http://schemas.openxmlformats.org/officeDocument/2006/relationships/hyperlink" Target="https://drive.google.com/file/d/161pDZkEOIS7H48J4Vwjq9mx0xAilEfGP/view?usp=drivesdk" TargetMode="External"/><Relationship Id="rId3431" Type="http://schemas.openxmlformats.org/officeDocument/2006/relationships/hyperlink" Target="https://drive.google.com/file/d/1X9knYF0QRfbsi8VhzAGqSKbikTuxPeGv/view?usp=drivesdk" TargetMode="External"/><Relationship Id="rId4762" Type="http://schemas.openxmlformats.org/officeDocument/2006/relationships/hyperlink" Target="https://drive.google.com/file/d/1Afl0N4Fn3iWe_yC6_eC-4B4myt2DsVOo/view?usp=drivesdk" TargetMode="External"/><Relationship Id="rId2102" Type="http://schemas.openxmlformats.org/officeDocument/2006/relationships/hyperlink" Target="https://lh5.googleusercontent.com/d/1ulmKMKa3AqEmPkyfwHbGIOkrYUpWOD0u" TargetMode="External"/><Relationship Id="rId3434" Type="http://schemas.openxmlformats.org/officeDocument/2006/relationships/hyperlink" Target="https://lh5.googleusercontent.com/d/1dC8MKKUaka2OI2OooJmGRd9IdyixHgF1" TargetMode="External"/><Relationship Id="rId4765" Type="http://schemas.openxmlformats.org/officeDocument/2006/relationships/hyperlink" Target="https://lh5.googleusercontent.com/d/1g9H8i8gg_xTGMNl0lStP5AskHe545eK7" TargetMode="External"/><Relationship Id="rId2103" Type="http://schemas.openxmlformats.org/officeDocument/2006/relationships/hyperlink" Target="https://drive.google.com/file/d/1SAtnCioVPJ7PSzqKScVrHbog3QghYODM/view?usp=drivesdk" TargetMode="External"/><Relationship Id="rId3433" Type="http://schemas.openxmlformats.org/officeDocument/2006/relationships/hyperlink" Target="https://drive.google.com/file/d/1SnU-dmmizjVQvkY9K999MaYCL55eMkK2/view?usp=drivesdk" TargetMode="External"/><Relationship Id="rId4764" Type="http://schemas.openxmlformats.org/officeDocument/2006/relationships/hyperlink" Target="https://drive.google.com/file/d/1MzpbiE10IxBbP1aIDHqJLYUKsDSF5l1W/view?usp=drivesdk" TargetMode="External"/><Relationship Id="rId3425" Type="http://schemas.openxmlformats.org/officeDocument/2006/relationships/hyperlink" Target="https://drive.google.com/file/d/18AfS7Ni7dkqww5BqCO6qAoXj89S1C2IO/view?usp=drivesdk" TargetMode="External"/><Relationship Id="rId4756" Type="http://schemas.openxmlformats.org/officeDocument/2006/relationships/hyperlink" Target="https://drive.google.com/file/d/1LBQi5XM3IsB79j_uBnkOmPFrt4k-z0a1/view?usp=drivesdk" TargetMode="External"/><Relationship Id="rId3424" Type="http://schemas.openxmlformats.org/officeDocument/2006/relationships/hyperlink" Target="https://lh5.googleusercontent.com/d/1pq25t70QFqlcOWVFqay8eUcOg-BJgNt7" TargetMode="External"/><Relationship Id="rId4755" Type="http://schemas.openxmlformats.org/officeDocument/2006/relationships/hyperlink" Target="https://lh5.googleusercontent.com/d/1phBjyrAa29JEE2DbPzmpNSnCT4fy3RFA" TargetMode="External"/><Relationship Id="rId3427" Type="http://schemas.openxmlformats.org/officeDocument/2006/relationships/hyperlink" Target="https://drive.google.com/file/d/1fYBCxLnGw0Gaw04RYvZHPUzFI-qW-mip/view?usp=drivesdk" TargetMode="External"/><Relationship Id="rId4758" Type="http://schemas.openxmlformats.org/officeDocument/2006/relationships/hyperlink" Target="https://drive.google.com/file/d/1fN9BmZaXT-ql5PHYJPs-3V_Inqkn1W0F/view?usp=drivesdk" TargetMode="External"/><Relationship Id="rId3426" Type="http://schemas.openxmlformats.org/officeDocument/2006/relationships/hyperlink" Target="https://lh5.googleusercontent.com/d/1bcRQ3wQtHD_HB49ksppAyzSaRDCgAWJc" TargetMode="External"/><Relationship Id="rId4757" Type="http://schemas.openxmlformats.org/officeDocument/2006/relationships/hyperlink" Target="https://lh5.googleusercontent.com/d/1CyQWVYB4jVhhQkp-KHllvZFaE41OpPqH" TargetMode="External"/><Relationship Id="rId3429" Type="http://schemas.openxmlformats.org/officeDocument/2006/relationships/hyperlink" Target="https://drive.google.com/file/d/1VIAEG1aeMo4tByYKE1kZyXBAQtlh-E9R/view?usp=drivesdk" TargetMode="External"/><Relationship Id="rId3428" Type="http://schemas.openxmlformats.org/officeDocument/2006/relationships/hyperlink" Target="https://lh5.googleusercontent.com/d/1o8yPGaxtoDck6oJYyQRpbFnMHhNDUaYm" TargetMode="External"/><Relationship Id="rId4759" Type="http://schemas.openxmlformats.org/officeDocument/2006/relationships/hyperlink" Target="https://lh5.googleusercontent.com/d/14kF9wNKAGaOmIEdGY4NMawOt-ef_S8dj" TargetMode="External"/><Relationship Id="rId899" Type="http://schemas.openxmlformats.org/officeDocument/2006/relationships/hyperlink" Target="https://lh5.googleusercontent.com/d/1Lob7qULTcZ7rgny3NFBMur7KAUjhww7v" TargetMode="External"/><Relationship Id="rId898" Type="http://schemas.openxmlformats.org/officeDocument/2006/relationships/hyperlink" Target="https://drive.google.com/file/d/1hA-UMpJdI2-1UhIiPUlXGpN4IFDtc-pS/view?usp=drivesdk" TargetMode="External"/><Relationship Id="rId897" Type="http://schemas.openxmlformats.org/officeDocument/2006/relationships/hyperlink" Target="https://lh5.googleusercontent.com/d/1e8rCAfz8ZoaDoOOVC25q4Dmo0dSZEHla" TargetMode="External"/><Relationship Id="rId896" Type="http://schemas.openxmlformats.org/officeDocument/2006/relationships/hyperlink" Target="https://drive.google.com/file/d/1NJ27VdZlLw0BrcMTpc-18jDVGhFJhu7a/view?usp=drivesdk" TargetMode="External"/><Relationship Id="rId891" Type="http://schemas.openxmlformats.org/officeDocument/2006/relationships/hyperlink" Target="https://lh5.googleusercontent.com/d/1AAUQ5LQfZuEppXQ82TkaLWl8HJFEzNvP" TargetMode="External"/><Relationship Id="rId890" Type="http://schemas.openxmlformats.org/officeDocument/2006/relationships/hyperlink" Target="https://drive.google.com/file/d/1u-zU3xllxbhHPF0cp9hkM9z3hbS_UifN/view?usp=drivesdk" TargetMode="External"/><Relationship Id="rId4750" Type="http://schemas.openxmlformats.org/officeDocument/2006/relationships/hyperlink" Target="https://drive.google.com/file/d/12yUdweoZSNY55pPW_TUYRcAQqbSNe-mw/view?usp=drivesdk" TargetMode="External"/><Relationship Id="rId895" Type="http://schemas.openxmlformats.org/officeDocument/2006/relationships/hyperlink" Target="https://lh5.googleusercontent.com/d/1KvzAeDpx3LD-1ObgSFxFntPMtEuc1fqg" TargetMode="External"/><Relationship Id="rId3421" Type="http://schemas.openxmlformats.org/officeDocument/2006/relationships/hyperlink" Target="https://drive.google.com/file/d/1WnxOMIdJ0CQE9-jVCTa0JXYE7ciszg67/view?usp=drivesdk" TargetMode="External"/><Relationship Id="rId4752" Type="http://schemas.openxmlformats.org/officeDocument/2006/relationships/hyperlink" Target="https://drive.google.com/file/d/1Y8NocDeHnzGeIynl8k9f2DLnZZnp1X7H/view?usp=drivesdk" TargetMode="External"/><Relationship Id="rId894" Type="http://schemas.openxmlformats.org/officeDocument/2006/relationships/hyperlink" Target="https://drive.google.com/file/d/1E9qJzaGXGsiaW74fa1YU7JtR63ln82oO/view?usp=drivesdk" TargetMode="External"/><Relationship Id="rId3420" Type="http://schemas.openxmlformats.org/officeDocument/2006/relationships/hyperlink" Target="https://lh5.googleusercontent.com/d/1WAiiowfCC1aeL3MVQH-w_dizCbneRxII" TargetMode="External"/><Relationship Id="rId4751" Type="http://schemas.openxmlformats.org/officeDocument/2006/relationships/hyperlink" Target="https://lh5.googleusercontent.com/d/1kMVZQFvNyj-Q4PESBnsBZPqyVQ0IOFcT" TargetMode="External"/><Relationship Id="rId893" Type="http://schemas.openxmlformats.org/officeDocument/2006/relationships/hyperlink" Target="https://lh5.googleusercontent.com/d/11QKbzTmhPLJ6Q91M9yfOUSF_zJmbUyeS" TargetMode="External"/><Relationship Id="rId3423" Type="http://schemas.openxmlformats.org/officeDocument/2006/relationships/hyperlink" Target="https://drive.google.com/file/d/1s_2UD91CLy1w16pWzuIjMRl4K5N7tIuQ/view?usp=drivesdk" TargetMode="External"/><Relationship Id="rId4754" Type="http://schemas.openxmlformats.org/officeDocument/2006/relationships/hyperlink" Target="https://drive.google.com/file/d/1PsYpj9CptSKqHZRxeoSqUWITOPImy5sg/view?usp=drivesdk" TargetMode="External"/><Relationship Id="rId892" Type="http://schemas.openxmlformats.org/officeDocument/2006/relationships/hyperlink" Target="https://drive.google.com/file/d/13fGXf9fMZCBzd-x8SndVmNEh-rUre1PN/view?usp=drivesdk" TargetMode="External"/><Relationship Id="rId3422" Type="http://schemas.openxmlformats.org/officeDocument/2006/relationships/hyperlink" Target="https://lh5.googleusercontent.com/d/1JJyNjhLYZ7GJA6fW8unhjhrtpqIIQOEX" TargetMode="External"/><Relationship Id="rId4753" Type="http://schemas.openxmlformats.org/officeDocument/2006/relationships/hyperlink" Target="https://lh5.googleusercontent.com/d/1qZKWrQmRY23fWw_Ynvdk06VeCnbiuN4v" TargetMode="External"/><Relationship Id="rId2126" Type="http://schemas.openxmlformats.org/officeDocument/2006/relationships/hyperlink" Target="https://lh5.googleusercontent.com/d/1r87A29Xx2gyfcZsoH7vNU-0eFlxVIQoy" TargetMode="External"/><Relationship Id="rId3458" Type="http://schemas.openxmlformats.org/officeDocument/2006/relationships/hyperlink" Target="https://drive.google.com/file/d/1tbr2Xlj8KjVcu2aJCRZ_0EOLTOtQcpZu/view?usp=drivesdk" TargetMode="External"/><Relationship Id="rId4789" Type="http://schemas.openxmlformats.org/officeDocument/2006/relationships/hyperlink" Target="https://lh5.googleusercontent.com/d/1yHRkgmyv8Hp1lf0gnYCkTuHnAvd7yxjz" TargetMode="External"/><Relationship Id="rId2127" Type="http://schemas.openxmlformats.org/officeDocument/2006/relationships/hyperlink" Target="https://drive.google.com/file/d/1CO6p47ZvAdEcTv4oPpUshJzPrGEX5JyK/view?usp=drivesdk" TargetMode="External"/><Relationship Id="rId3457" Type="http://schemas.openxmlformats.org/officeDocument/2006/relationships/hyperlink" Target="https://lh5.googleusercontent.com/d/1Z76oICF3nPMnhtTV-JtsKKoTxvogWLzx" TargetMode="External"/><Relationship Id="rId4788" Type="http://schemas.openxmlformats.org/officeDocument/2006/relationships/hyperlink" Target="https://drive.google.com/file/d/1Y6TS9QVsngeQcWmQM8CHBUEDP_2nthuZ/view?usp=drivesdk" TargetMode="External"/><Relationship Id="rId2128" Type="http://schemas.openxmlformats.org/officeDocument/2006/relationships/hyperlink" Target="https://lh5.googleusercontent.com/d/1ubshY2jo-qcFR9LkLJrq4JnbdSbh0McA" TargetMode="External"/><Relationship Id="rId2129" Type="http://schemas.openxmlformats.org/officeDocument/2006/relationships/hyperlink" Target="https://drive.google.com/file/d/1VYHI6H39hbqYJVkozLKEeZMdmzl9j8Rh/view?usp=drivesdk" TargetMode="External"/><Relationship Id="rId3459" Type="http://schemas.openxmlformats.org/officeDocument/2006/relationships/hyperlink" Target="https://lh5.googleusercontent.com/d/14emU8Jy0kqkqS_akvSuTf3wg1cInAozK" TargetMode="External"/><Relationship Id="rId3450" Type="http://schemas.openxmlformats.org/officeDocument/2006/relationships/hyperlink" Target="https://drive.google.com/file/d/13ko6oon8spfyKVwHsKbU7AH5DfmkOfzf/view?usp=drivesdk" TargetMode="External"/><Relationship Id="rId4781" Type="http://schemas.openxmlformats.org/officeDocument/2006/relationships/hyperlink" Target="https://lh5.googleusercontent.com/d/1rNIa9f2iSciXLTOMWfMOkXOTJKJ7K4o_" TargetMode="External"/><Relationship Id="rId4780" Type="http://schemas.openxmlformats.org/officeDocument/2006/relationships/hyperlink" Target="https://drive.google.com/file/d/1EmVrJSXHJ4UYVzWlYQ2tSmbTFNdgDYvV/view?usp=drivesdk" TargetMode="External"/><Relationship Id="rId2120" Type="http://schemas.openxmlformats.org/officeDocument/2006/relationships/hyperlink" Target="https://lh5.googleusercontent.com/d/1_d0i9zEvlBJhyRRK-OIZAssxaEmXzgZZ" TargetMode="External"/><Relationship Id="rId3452" Type="http://schemas.openxmlformats.org/officeDocument/2006/relationships/hyperlink" Target="https://drive.google.com/file/d/1rjDcLFL6ZewZBbhjLnsPo6H02861aa6f/view?usp=drivesdk" TargetMode="External"/><Relationship Id="rId4783" Type="http://schemas.openxmlformats.org/officeDocument/2006/relationships/hyperlink" Target="https://lh5.googleusercontent.com/d/1vfYqr9_40gBy8Z6IaS21X_grSHEWllsN" TargetMode="External"/><Relationship Id="rId2121" Type="http://schemas.openxmlformats.org/officeDocument/2006/relationships/hyperlink" Target="https://drive.google.com/file/d/1IwM17HMRXY9ANt5-jrhlxpaiNwTATm62/view?usp=drivesdk" TargetMode="External"/><Relationship Id="rId3451" Type="http://schemas.openxmlformats.org/officeDocument/2006/relationships/hyperlink" Target="https://lh5.googleusercontent.com/d/18hLYnpsxoXyMYNJ7oePGrwlDkeC5pxQ9" TargetMode="External"/><Relationship Id="rId4782" Type="http://schemas.openxmlformats.org/officeDocument/2006/relationships/hyperlink" Target="https://drive.google.com/file/d/1KD2PwRrz9L5Xgj8SN6O8v6ac7rlEpCem/view?usp=drivesdk" TargetMode="External"/><Relationship Id="rId2122" Type="http://schemas.openxmlformats.org/officeDocument/2006/relationships/hyperlink" Target="https://lh5.googleusercontent.com/d/1yWDdfjXaGBwAt-zQywN5UR1vUUm4VuUS" TargetMode="External"/><Relationship Id="rId3454" Type="http://schemas.openxmlformats.org/officeDocument/2006/relationships/hyperlink" Target="https://drive.google.com/file/d/1aouT-pvcIbaXFglSomlUjHQn2rDWlf-3/view?usp=drivesdk" TargetMode="External"/><Relationship Id="rId4785" Type="http://schemas.openxmlformats.org/officeDocument/2006/relationships/hyperlink" Target="https://lh5.googleusercontent.com/d/1-T1AJkZzYy5QTb4dOP0Kiu3yxMmJfGGk" TargetMode="External"/><Relationship Id="rId2123" Type="http://schemas.openxmlformats.org/officeDocument/2006/relationships/hyperlink" Target="https://drive.google.com/file/d/1F6SpL4MAtcaVkJBuZFrx0Xxi8s9g_dtl/view?usp=drivesdk" TargetMode="External"/><Relationship Id="rId3453" Type="http://schemas.openxmlformats.org/officeDocument/2006/relationships/hyperlink" Target="https://lh5.googleusercontent.com/d/1rOxcdxU61T_-IVbG5jfe087N3rvmtiTr" TargetMode="External"/><Relationship Id="rId4784" Type="http://schemas.openxmlformats.org/officeDocument/2006/relationships/hyperlink" Target="https://drive.google.com/file/d/1YLly5RtPggek7hqW8bb71EI5hTn2SwMJ/view?usp=drivesdk" TargetMode="External"/><Relationship Id="rId2124" Type="http://schemas.openxmlformats.org/officeDocument/2006/relationships/hyperlink" Target="https://lh5.googleusercontent.com/d/16Kh6gNWZ6Pr5wYPl8WYdryXnI9ONOsxg" TargetMode="External"/><Relationship Id="rId3456" Type="http://schemas.openxmlformats.org/officeDocument/2006/relationships/hyperlink" Target="https://drive.google.com/file/d/1h3osPSzuK-l8oPeIeW3KnSoH2EHaSiNB/view?usp=drivesdk" TargetMode="External"/><Relationship Id="rId4787" Type="http://schemas.openxmlformats.org/officeDocument/2006/relationships/hyperlink" Target="https://lh5.googleusercontent.com/d/1Mwy7SmWI2zTTSMq_6HdZiVvSbSl7VTfu" TargetMode="External"/><Relationship Id="rId2125" Type="http://schemas.openxmlformats.org/officeDocument/2006/relationships/hyperlink" Target="https://drive.google.com/file/d/1uLqCNqk2URQYfYtDx6sYjBaSCXiKFTpN/view?usp=drivesdk" TargetMode="External"/><Relationship Id="rId3455" Type="http://schemas.openxmlformats.org/officeDocument/2006/relationships/hyperlink" Target="https://lh5.googleusercontent.com/d/1AfWjBeRFbO33ACecVFYGn04-ETPVZBL6" TargetMode="External"/><Relationship Id="rId4786" Type="http://schemas.openxmlformats.org/officeDocument/2006/relationships/hyperlink" Target="https://drive.google.com/file/d/1FYPp4hK9czaAaxbId5mcvoPZyh5COYx1/view?usp=drivesdk" TargetMode="External"/><Relationship Id="rId2115" Type="http://schemas.openxmlformats.org/officeDocument/2006/relationships/hyperlink" Target="https://drive.google.com/file/d/1yrGLhj8aY54xukpxDZCseiZQOOLVK3Kh/view?usp=drivesdk" TargetMode="External"/><Relationship Id="rId3447" Type="http://schemas.openxmlformats.org/officeDocument/2006/relationships/hyperlink" Target="https://drive.google.com/file/d/1s7VliX--FMJ4F40Q6dtmm-gYPWvtLvC5/view?usp=drivesdk" TargetMode="External"/><Relationship Id="rId4778" Type="http://schemas.openxmlformats.org/officeDocument/2006/relationships/hyperlink" Target="https://drive.google.com/file/d/1dNejZHzQGTx2j63gpIidDwhgoYMXjDyE/view?usp=drivesdk" TargetMode="External"/><Relationship Id="rId2116" Type="http://schemas.openxmlformats.org/officeDocument/2006/relationships/hyperlink" Target="https://lh5.googleusercontent.com/d/1KeC5qK1HtyZmBV5qgF3TEPNdgKpCsHXV" TargetMode="External"/><Relationship Id="rId3446" Type="http://schemas.openxmlformats.org/officeDocument/2006/relationships/hyperlink" Target="https://lh5.googleusercontent.com/d/1tdwIKqurYfSBKSRQVB7GnnHEYDqwCD1t" TargetMode="External"/><Relationship Id="rId4777" Type="http://schemas.openxmlformats.org/officeDocument/2006/relationships/hyperlink" Target="https://lh5.googleusercontent.com/d/1iEDPrz9h1F0LCKFkovFMqD7j9v12moZD" TargetMode="External"/><Relationship Id="rId2117" Type="http://schemas.openxmlformats.org/officeDocument/2006/relationships/hyperlink" Target="https://drive.google.com/file/d/1TmiBLFG9nCl8I4R_rB-TDqfVi_gDh2D8/view?usp=drivesdk" TargetMode="External"/><Relationship Id="rId3449" Type="http://schemas.openxmlformats.org/officeDocument/2006/relationships/hyperlink" Target="https://lh5.googleusercontent.com/d/1BrN7waJGYNAo_3EQkwGQBOvvP77SwqY7" TargetMode="External"/><Relationship Id="rId2118" Type="http://schemas.openxmlformats.org/officeDocument/2006/relationships/hyperlink" Target="https://lh5.googleusercontent.com/d/1T26m2KG7s6lIHtzBtHzC-fdqxN1nrh_9" TargetMode="External"/><Relationship Id="rId3448" Type="http://schemas.openxmlformats.org/officeDocument/2006/relationships/hyperlink" Target="https://drive.google.com/file/d/1cXGBiu1Jd7eqjzizds_9XIsUuWtE27oA/view?usp=drivesdk" TargetMode="External"/><Relationship Id="rId4779" Type="http://schemas.openxmlformats.org/officeDocument/2006/relationships/hyperlink" Target="https://lh5.googleusercontent.com/d/10XSE_W165iFK44b99-gbK_wenrx0NvJO" TargetMode="External"/><Relationship Id="rId2119" Type="http://schemas.openxmlformats.org/officeDocument/2006/relationships/hyperlink" Target="https://drive.google.com/file/d/12vmRCL-ejpvJrj6DZUj8CJE7Hf57tYEB/view?usp=drivesdk" TargetMode="External"/><Relationship Id="rId4770" Type="http://schemas.openxmlformats.org/officeDocument/2006/relationships/hyperlink" Target="https://drive.google.com/file/d/1JHWcv73oynA2eGTR3MzJljVPWbC4sDo4/view?usp=drivesdk" TargetMode="External"/><Relationship Id="rId3441" Type="http://schemas.openxmlformats.org/officeDocument/2006/relationships/hyperlink" Target="https://drive.google.com/file/d/1LzMcTeBmLhrWLxWmeJswQGSBNA46Nrrc/view?usp=drivesdk" TargetMode="External"/><Relationship Id="rId4772" Type="http://schemas.openxmlformats.org/officeDocument/2006/relationships/hyperlink" Target="https://drive.google.com/file/d/17Fc6-AfrySE0biNqH8pwY250UcHswaDb/view?usp=drivesdk" TargetMode="External"/><Relationship Id="rId2110" Type="http://schemas.openxmlformats.org/officeDocument/2006/relationships/hyperlink" Target="https://lh5.googleusercontent.com/d/126oF0FPneDGVxAcKhhyBbBLK6F4-Je_H" TargetMode="External"/><Relationship Id="rId3440" Type="http://schemas.openxmlformats.org/officeDocument/2006/relationships/hyperlink" Target="https://lh5.googleusercontent.com/d/1grrccwG2yhFQDJZ0Kd4Fb_XWFC0RoamZ" TargetMode="External"/><Relationship Id="rId4771" Type="http://schemas.openxmlformats.org/officeDocument/2006/relationships/hyperlink" Target="https://lh5.googleusercontent.com/d/1lhrBzD0CZh7qvPY_WjZ443R11GZt24cb" TargetMode="External"/><Relationship Id="rId2111" Type="http://schemas.openxmlformats.org/officeDocument/2006/relationships/hyperlink" Target="https://drive.google.com/file/d/1RM3uiqKXrjTFQdsshBGqSsl5mZ8xYUqk/view?usp=drivesdk" TargetMode="External"/><Relationship Id="rId3443" Type="http://schemas.openxmlformats.org/officeDocument/2006/relationships/hyperlink" Target="https://drive.google.com/file/d/1-_2sWq7c9Wayv5yjXGyEE7P0Dam_fMFG/view?usp=drivesdk" TargetMode="External"/><Relationship Id="rId4774" Type="http://schemas.openxmlformats.org/officeDocument/2006/relationships/hyperlink" Target="https://drive.google.com/file/d/1BAqbhMByqT-j6qYs6dfGdQd05JhKOlkV/view?usp=drivesdk" TargetMode="External"/><Relationship Id="rId2112" Type="http://schemas.openxmlformats.org/officeDocument/2006/relationships/hyperlink" Target="https://lh5.googleusercontent.com/d/1otYwflUuIKEijXIjpOB4Ssd7s4a5iEKG" TargetMode="External"/><Relationship Id="rId3442" Type="http://schemas.openxmlformats.org/officeDocument/2006/relationships/hyperlink" Target="https://lh5.googleusercontent.com/d/1Ud0xKThkPuM9cvK36o7fZ9837y10H5BH" TargetMode="External"/><Relationship Id="rId4773" Type="http://schemas.openxmlformats.org/officeDocument/2006/relationships/hyperlink" Target="https://lh5.googleusercontent.com/d/14DsYEjJsLYpRSCRnx3r9qA1jXcWTldPg" TargetMode="External"/><Relationship Id="rId2113" Type="http://schemas.openxmlformats.org/officeDocument/2006/relationships/hyperlink" Target="https://drive.google.com/file/d/1jUDH_CiRs7FNj-XponcPYVvEHauca0Sz/view?usp=drivesdk" TargetMode="External"/><Relationship Id="rId3445" Type="http://schemas.openxmlformats.org/officeDocument/2006/relationships/hyperlink" Target="https://drive.google.com/file/d/1i0TNv2G69nrq6wy7B1ouDxP2j6CCDkm9/view?usp=drivesdk" TargetMode="External"/><Relationship Id="rId4776" Type="http://schemas.openxmlformats.org/officeDocument/2006/relationships/hyperlink" Target="https://drive.google.com/file/d/1JlbaZwLXzeYaZb4m-7cccHWDvRLPxcWC/view?usp=drivesdk" TargetMode="External"/><Relationship Id="rId2114" Type="http://schemas.openxmlformats.org/officeDocument/2006/relationships/hyperlink" Target="https://lh5.googleusercontent.com/d/1NVwfWfgemDHF5X03amoI00vGGY2A7vhU" TargetMode="External"/><Relationship Id="rId3444" Type="http://schemas.openxmlformats.org/officeDocument/2006/relationships/hyperlink" Target="https://lh5.googleusercontent.com/d/1DZ-P6bbt4kwO1ouAfh3UTlfsKVZwDdc-" TargetMode="External"/><Relationship Id="rId4775" Type="http://schemas.openxmlformats.org/officeDocument/2006/relationships/hyperlink" Target="https://lh5.googleusercontent.com/d/1ku1ISA3fYbPF7DasszEETDJSAYjrF-hr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fyYYGh6SlEgYJWcikxALIN-DcMd_tcYw/view?usp=drivesdk" TargetMode="External"/><Relationship Id="rId391" Type="http://schemas.openxmlformats.org/officeDocument/2006/relationships/hyperlink" Target="https://lh5.googleusercontent.com/d/14V1Acam2iryBmpAkE4_L2TTgMyiJquBz" TargetMode="External"/><Relationship Id="rId390" Type="http://schemas.openxmlformats.org/officeDocument/2006/relationships/hyperlink" Target="https://drive.google.com/file/d/1YAXHRDz3XSHd2FO8wPfqeVwnS39_v8OY/view?usp=drivesdk" TargetMode="External"/><Relationship Id="rId385" Type="http://schemas.openxmlformats.org/officeDocument/2006/relationships/hyperlink" Target="https://lh5.googleusercontent.com/d/1v5G0cYBGm4bxO8EomeKZoHm74g57zRqY" TargetMode="External"/><Relationship Id="rId384" Type="http://schemas.openxmlformats.org/officeDocument/2006/relationships/hyperlink" Target="https://drive.google.com/file/d/1Il5rlMKp_A3u8SbzasC8VzYbb2wWIP_3/view?usp=drivesdk" TargetMode="External"/><Relationship Id="rId383" Type="http://schemas.openxmlformats.org/officeDocument/2006/relationships/hyperlink" Target="https://lh5.googleusercontent.com/d/1UB-VM6h1knv7bMfPBHY7TszRx0nKVlSD" TargetMode="External"/><Relationship Id="rId382" Type="http://schemas.openxmlformats.org/officeDocument/2006/relationships/hyperlink" Target="https://drive.google.com/file/d/1OC93x11Yu65iHu1Sp0sGhNSlabOQx8qO/view?usp=drivesdk" TargetMode="External"/><Relationship Id="rId389" Type="http://schemas.openxmlformats.org/officeDocument/2006/relationships/hyperlink" Target="https://lh5.googleusercontent.com/d/1Y5PO4O6z__zrjmM-fcT5gDksmZNpAkfs" TargetMode="External"/><Relationship Id="rId388" Type="http://schemas.openxmlformats.org/officeDocument/2006/relationships/hyperlink" Target="https://drive.google.com/file/d/1NLZwU4x0oZKN6UEQwY5I1gXQeSWBPvpu/view?usp=drivesdk" TargetMode="External"/><Relationship Id="rId387" Type="http://schemas.openxmlformats.org/officeDocument/2006/relationships/hyperlink" Target="https://lh5.googleusercontent.com/d/1yxYAiKWONgd2IKc7w0HX7dXxfu5IJYlE" TargetMode="External"/><Relationship Id="rId386" Type="http://schemas.openxmlformats.org/officeDocument/2006/relationships/hyperlink" Target="https://drive.google.com/file/d/1Xxw-Pz_dyE60flDYj56LfaNLIiadah6y/view?usp=drivesdk" TargetMode="External"/><Relationship Id="rId381" Type="http://schemas.openxmlformats.org/officeDocument/2006/relationships/hyperlink" Target="https://lh5.googleusercontent.com/d/1XI1_TrdMIzIGGmbc1A0bmAcE-MOYTRju" TargetMode="External"/><Relationship Id="rId380" Type="http://schemas.openxmlformats.org/officeDocument/2006/relationships/hyperlink" Target="https://drive.google.com/file/d/1ec1iJTbU9HOyCsUdwCdlF3jKFLBaqQJa/view?usp=drivesdk" TargetMode="External"/><Relationship Id="rId379" Type="http://schemas.openxmlformats.org/officeDocument/2006/relationships/hyperlink" Target="https://lh5.googleusercontent.com/d/1AODN05hXD1dIkmMCbLWCoifFsCXSsO2l" TargetMode="External"/><Relationship Id="rId374" Type="http://schemas.openxmlformats.org/officeDocument/2006/relationships/hyperlink" Target="https://lh5.googleusercontent.com/d/1Q7ZaIwMLJdhsoA8BK55yZKJd0uZfKsnC" TargetMode="External"/><Relationship Id="rId373" Type="http://schemas.openxmlformats.org/officeDocument/2006/relationships/hyperlink" Target="https://drive.google.com/file/d/1c_eWHF9BsFoY4HKOZnl_zv9TQWBLiPU8/view?usp=drivesdk" TargetMode="External"/><Relationship Id="rId372" Type="http://schemas.openxmlformats.org/officeDocument/2006/relationships/hyperlink" Target="https://lh5.googleusercontent.com/d/1pEXsNgbKlUDktQXTpa1Swj_4uemtqzzt" TargetMode="External"/><Relationship Id="rId371" Type="http://schemas.openxmlformats.org/officeDocument/2006/relationships/hyperlink" Target="https://drive.google.com/file/d/1Tz6ppS1VPwepg47OGPkPnPhXCDXiS7uJ/view?usp=drivesdk" TargetMode="External"/><Relationship Id="rId378" Type="http://schemas.openxmlformats.org/officeDocument/2006/relationships/hyperlink" Target="https://drive.google.com/file/d/1CSRBe2n8GR9hRU2rb6eY0B1VO8HBAFuE/view?usp=drivesdk" TargetMode="External"/><Relationship Id="rId377" Type="http://schemas.openxmlformats.org/officeDocument/2006/relationships/hyperlink" Target="https://lh5.googleusercontent.com/d/1JS1eQ5c5lrxucngCACYGm-50potG-WYc" TargetMode="External"/><Relationship Id="rId376" Type="http://schemas.openxmlformats.org/officeDocument/2006/relationships/hyperlink" Target="https://drive.google.com/file/d/1tNFrMx88XfYbj2cpUEHzDqwIrz2WROLj/view?usp=drivesdk" TargetMode="External"/><Relationship Id="rId375" Type="http://schemas.openxmlformats.org/officeDocument/2006/relationships/hyperlink" Target="https://lh5.googleusercontent.com/d/1zIo1nr17fB0vz0UR6fXb1Vca-yYKUqpn" TargetMode="External"/><Relationship Id="rId396" Type="http://schemas.openxmlformats.org/officeDocument/2006/relationships/hyperlink" Target="https://drive.google.com/file/d/1cgJlh8ruk1Bju20m3xhqbnSBtkh6KqhT/view?usp=drivesdk" TargetMode="External"/><Relationship Id="rId395" Type="http://schemas.openxmlformats.org/officeDocument/2006/relationships/hyperlink" Target="https://lh5.googleusercontent.com/d/12-9iibOUnzbaV4rLE5haOvUmPT4Uphad" TargetMode="External"/><Relationship Id="rId394" Type="http://schemas.openxmlformats.org/officeDocument/2006/relationships/hyperlink" Target="https://drive.google.com/file/d/1kVEvxHPJh9pRIbr_6zR5KlLZ88QJ9Qht/view?usp=drivesdk" TargetMode="External"/><Relationship Id="rId393" Type="http://schemas.openxmlformats.org/officeDocument/2006/relationships/hyperlink" Target="https://lh5.googleusercontent.com/d/1y0ltyHAO_jWoswSqFIt_hoD_VXKvgpgj" TargetMode="External"/><Relationship Id="rId399" Type="http://schemas.openxmlformats.org/officeDocument/2006/relationships/hyperlink" Target="https://lh5.googleusercontent.com/d/1BVSD5YICOyLrWNibutun_j2rubwsW8nK" TargetMode="External"/><Relationship Id="rId398" Type="http://schemas.openxmlformats.org/officeDocument/2006/relationships/hyperlink" Target="https://drive.google.com/file/d/1M-PLQH0DHSOasxhGZevuZIYhijYuXz3y/view?usp=drivesdk" TargetMode="External"/><Relationship Id="rId397" Type="http://schemas.openxmlformats.org/officeDocument/2006/relationships/hyperlink" Target="https://lh5.googleusercontent.com/d/1792W67X1MU-MYtMB1a6iFbzf169B8Epc" TargetMode="External"/><Relationship Id="rId40" Type="http://schemas.openxmlformats.org/officeDocument/2006/relationships/hyperlink" Target="https://lh5.googleusercontent.com/d/1NsmYisw67wLcZfB4zh2z59bQ7vkIi3ck" TargetMode="External"/><Relationship Id="rId42" Type="http://schemas.openxmlformats.org/officeDocument/2006/relationships/hyperlink" Target="https://lh5.googleusercontent.com/d/15MOF85VXVPQ_2p52Igw76vpfa4_H8_fd" TargetMode="External"/><Relationship Id="rId41" Type="http://schemas.openxmlformats.org/officeDocument/2006/relationships/hyperlink" Target="https://drive.google.com/file/d/1Snqb11XZJ9ow7p2UliNzn_rD1UgGa0dk/view?usp=drivesdk" TargetMode="External"/><Relationship Id="rId44" Type="http://schemas.openxmlformats.org/officeDocument/2006/relationships/hyperlink" Target="https://lh5.googleusercontent.com/d/1I62JFQY8SyN-09xX-XVJa2Hx-H76kLpw" TargetMode="External"/><Relationship Id="rId43" Type="http://schemas.openxmlformats.org/officeDocument/2006/relationships/hyperlink" Target="https://drive.google.com/file/d/1kuh1Y-uG3RPU_F0szTaxE6oT19tykEBB/view?usp=drivesdk" TargetMode="External"/><Relationship Id="rId46" Type="http://schemas.openxmlformats.org/officeDocument/2006/relationships/hyperlink" Target="https://lh5.googleusercontent.com/d/1xlHBqzkS86YEuNNjzLU08JbG6ls29tbo" TargetMode="External"/><Relationship Id="rId45" Type="http://schemas.openxmlformats.org/officeDocument/2006/relationships/hyperlink" Target="https://drive.google.com/file/d/1ycDbuVZWKGxDDfvl8BvRQ6XCN37cSDD-/view?usp=drivesdk" TargetMode="External"/><Relationship Id="rId48" Type="http://schemas.openxmlformats.org/officeDocument/2006/relationships/hyperlink" Target="https://lh5.googleusercontent.com/d/1dncskeXjWDm0RsP5Az2RupanUSDDYUJS" TargetMode="External"/><Relationship Id="rId47" Type="http://schemas.openxmlformats.org/officeDocument/2006/relationships/hyperlink" Target="https://drive.google.com/file/d/1cbzl87hJ5aUQHN0n9bm_b0CfVN-AcwPS/view?usp=drivesdk" TargetMode="External"/><Relationship Id="rId49" Type="http://schemas.openxmlformats.org/officeDocument/2006/relationships/hyperlink" Target="https://drive.google.com/file/d/1dWCc8SuhQK0usZ_PsWH3qQxRow0EXfB1/view?usp=drivesdk" TargetMode="External"/><Relationship Id="rId31" Type="http://schemas.openxmlformats.org/officeDocument/2006/relationships/hyperlink" Target="https://drive.google.com/file/d/16NH7D49_SFlCjKTfJ6fBGFzeQhrdAG0g/view?usp=drivesdk" TargetMode="External"/><Relationship Id="rId30" Type="http://schemas.openxmlformats.org/officeDocument/2006/relationships/hyperlink" Target="https://lh5.googleusercontent.com/d/1iKElwFFIY1VY_GyGfCkHyXwShR2ZDlc-" TargetMode="External"/><Relationship Id="rId33" Type="http://schemas.openxmlformats.org/officeDocument/2006/relationships/hyperlink" Target="https://drive.google.com/file/d/177eTB4RQfShIF3W92jRv-X26Jgt0Qnl1/view?usp=drivesdk" TargetMode="External"/><Relationship Id="rId32" Type="http://schemas.openxmlformats.org/officeDocument/2006/relationships/hyperlink" Target="https://lh5.googleusercontent.com/d/1bL6oYgHSTAWt4y5D0HNR0PGI37vgyBs8" TargetMode="External"/><Relationship Id="rId35" Type="http://schemas.openxmlformats.org/officeDocument/2006/relationships/hyperlink" Target="https://drive.google.com/file/d/12ahQqUwIKOHs4wLwOSE6rQNFPHBNLeq8/view?usp=drivesdk" TargetMode="External"/><Relationship Id="rId34" Type="http://schemas.openxmlformats.org/officeDocument/2006/relationships/hyperlink" Target="https://lh5.googleusercontent.com/d/16RalPVaVpVFFHZ_hm-7DaM4yFkDO74SX" TargetMode="External"/><Relationship Id="rId37" Type="http://schemas.openxmlformats.org/officeDocument/2006/relationships/hyperlink" Target="https://drive.google.com/file/d/1j1hiINdZXSiaZ1e4yTMH0ZNNUYkScm8B/view?usp=drivesdk" TargetMode="External"/><Relationship Id="rId36" Type="http://schemas.openxmlformats.org/officeDocument/2006/relationships/hyperlink" Target="https://lh5.googleusercontent.com/d/1ENS3ZPthqRL5SKTQSRxlTkL-ErHoOlI2" TargetMode="External"/><Relationship Id="rId39" Type="http://schemas.openxmlformats.org/officeDocument/2006/relationships/hyperlink" Target="https://drive.google.com/file/d/1m-0c2RTVlOnmrGmkK3H-0XGl1xn3apB6/view?usp=drivesdk" TargetMode="External"/><Relationship Id="rId38" Type="http://schemas.openxmlformats.org/officeDocument/2006/relationships/hyperlink" Target="https://lh5.googleusercontent.com/d/1jX6Bidzeq3mxXXzpSs3PX4kRWVmsXyIZ" TargetMode="External"/><Relationship Id="rId20" Type="http://schemas.openxmlformats.org/officeDocument/2006/relationships/hyperlink" Target="https://lh5.googleusercontent.com/d/1x6_m7Z_WKlieNBo9tOVCtLw-KO_QfNqD" TargetMode="External"/><Relationship Id="rId22" Type="http://schemas.openxmlformats.org/officeDocument/2006/relationships/hyperlink" Target="https://lh5.googleusercontent.com/d/1sn_UxkYi8apZeVoC1WIAS_rIQakXN7YV" TargetMode="External"/><Relationship Id="rId21" Type="http://schemas.openxmlformats.org/officeDocument/2006/relationships/hyperlink" Target="https://drive.google.com/file/d/17UbzJwhCgry-bOOM2mkCcuVjgR0974zK/view?usp=drivesdk" TargetMode="External"/><Relationship Id="rId24" Type="http://schemas.openxmlformats.org/officeDocument/2006/relationships/hyperlink" Target="https://lh5.googleusercontent.com/d/1WQIkwdGgpVPGF6lp-tNa5ufBFm8WC731" TargetMode="External"/><Relationship Id="rId23" Type="http://schemas.openxmlformats.org/officeDocument/2006/relationships/hyperlink" Target="https://drive.google.com/file/d/1Pu_IH0KxTcjrE4SOPf0rq_ps4mZO9Cco/view?usp=drivesdk" TargetMode="External"/><Relationship Id="rId26" Type="http://schemas.openxmlformats.org/officeDocument/2006/relationships/hyperlink" Target="https://lh5.googleusercontent.com/d/1tDjYrt3pyGlzYKfJJhZptCYkAxiFHqQj" TargetMode="External"/><Relationship Id="rId25" Type="http://schemas.openxmlformats.org/officeDocument/2006/relationships/hyperlink" Target="https://drive.google.com/file/d/1YcbMvd3wb-R2iQz2Q6EZiZSokio9TDOj/view?usp=drivesdk" TargetMode="External"/><Relationship Id="rId28" Type="http://schemas.openxmlformats.org/officeDocument/2006/relationships/hyperlink" Target="https://lh5.googleusercontent.com/d/1sIgCx9eRsZzzl1LUTG-8XHQVcttJBBNa" TargetMode="External"/><Relationship Id="rId27" Type="http://schemas.openxmlformats.org/officeDocument/2006/relationships/hyperlink" Target="https://drive.google.com/file/d/1ukTfnuVjIgDa0mkpi26EeAMckOddNbsz/view?usp=drivesdk" TargetMode="External"/><Relationship Id="rId29" Type="http://schemas.openxmlformats.org/officeDocument/2006/relationships/hyperlink" Target="https://drive.google.com/file/d/1v0ZvopSlBIBwiKNiBBKHuMIDEUODeVZO/view?usp=drivesdk" TargetMode="External"/><Relationship Id="rId11" Type="http://schemas.openxmlformats.org/officeDocument/2006/relationships/hyperlink" Target="https://lh5.googleusercontent.com/d/1rfXo28rDWjWU31fBUhFCu1h2cWe82nDO" TargetMode="External"/><Relationship Id="rId10" Type="http://schemas.openxmlformats.org/officeDocument/2006/relationships/hyperlink" Target="https://drive.google.com/file/d/1jJH5CQYTFwaj15rWjtlfvoVQUCIVrS5a/view?usp=drivesdk" TargetMode="External"/><Relationship Id="rId13" Type="http://schemas.openxmlformats.org/officeDocument/2006/relationships/hyperlink" Target="https://lh5.googleusercontent.com/d/16YqLEDDuaUmQCnS89dpMEUzYZ5e98hLL" TargetMode="External"/><Relationship Id="rId12" Type="http://schemas.openxmlformats.org/officeDocument/2006/relationships/hyperlink" Target="https://drive.google.com/file/d/1pFqeojTTDC95GOsFARqOWwM2tmr9gd6w/view?usp=drivesdk" TargetMode="External"/><Relationship Id="rId15" Type="http://schemas.openxmlformats.org/officeDocument/2006/relationships/hyperlink" Target="https://drive.google.com/file/d/1Vw9FzXBwM9xSUbnoXG2IQFGCjWV8fvdh/view?usp=drivesdk" TargetMode="External"/><Relationship Id="rId14" Type="http://schemas.openxmlformats.org/officeDocument/2006/relationships/hyperlink" Target="https://lh5.googleusercontent.com/d/1t_3FYEPxVrVbKlJVF6jQHfs1y9Tf7Lpa" TargetMode="External"/><Relationship Id="rId17" Type="http://schemas.openxmlformats.org/officeDocument/2006/relationships/hyperlink" Target="https://drive.google.com/file/d/1bLXGuleRRu6H0DLLWhbdAgKNMgq15aXe/view?usp=drivesdk" TargetMode="External"/><Relationship Id="rId16" Type="http://schemas.openxmlformats.org/officeDocument/2006/relationships/hyperlink" Target="https://lh5.googleusercontent.com/d/1j_3jUbQyGksdp2jgwoD71_1OhBa5esGk" TargetMode="External"/><Relationship Id="rId19" Type="http://schemas.openxmlformats.org/officeDocument/2006/relationships/hyperlink" Target="https://drive.google.com/file/d/1zSY7XOV5bWq5HeZ-Pma16P-W2h6X4DOC/view?usp=drivesdk" TargetMode="External"/><Relationship Id="rId18" Type="http://schemas.openxmlformats.org/officeDocument/2006/relationships/hyperlink" Target="https://lh5.googleusercontent.com/d/1Ju055Fz_g7F6NpxEYMaTWhm-BmFeBHmX" TargetMode="External"/><Relationship Id="rId84" Type="http://schemas.openxmlformats.org/officeDocument/2006/relationships/hyperlink" Target="https://lh5.googleusercontent.com/d/1RiBH11HFViEVTBh6b5lSGaLS4D3BpnYP" TargetMode="External"/><Relationship Id="rId83" Type="http://schemas.openxmlformats.org/officeDocument/2006/relationships/hyperlink" Target="https://drive.google.com/file/d/1WelBYih3HqZnFkxS72Reg1E4snXo2VSe/view?usp=drivesdk" TargetMode="External"/><Relationship Id="rId86" Type="http://schemas.openxmlformats.org/officeDocument/2006/relationships/hyperlink" Target="https://lh5.googleusercontent.com/d/1bojFpA2uM6kyGbS7x0I9ERPfmL933h8m" TargetMode="External"/><Relationship Id="rId85" Type="http://schemas.openxmlformats.org/officeDocument/2006/relationships/hyperlink" Target="https://drive.google.com/file/d/1m9HZ3dpmpoET8021HZ6rFjF6KJCDdC_Y/view?usp=drivesdk" TargetMode="External"/><Relationship Id="rId88" Type="http://schemas.openxmlformats.org/officeDocument/2006/relationships/hyperlink" Target="https://lh5.googleusercontent.com/d/16c6FAbF2WOWwRJbispsad6BzbrN26sJD" TargetMode="External"/><Relationship Id="rId87" Type="http://schemas.openxmlformats.org/officeDocument/2006/relationships/hyperlink" Target="https://drive.google.com/file/d/18wpz2VYyha_ze9lM8KgisK4sHqhWMvig/view?usp=drivesdk" TargetMode="External"/><Relationship Id="rId89" Type="http://schemas.openxmlformats.org/officeDocument/2006/relationships/hyperlink" Target="https://drive.google.com/file/d/1b0jay_hlIsgGyXXFX0Gf2BGol4MT3byT/view?usp=drivesdk" TargetMode="External"/><Relationship Id="rId80" Type="http://schemas.openxmlformats.org/officeDocument/2006/relationships/hyperlink" Target="https://lh5.googleusercontent.com/d/1fx4zsSNCAzm8VfjGTLewtr4hDhyJ-WcQ" TargetMode="External"/><Relationship Id="rId82" Type="http://schemas.openxmlformats.org/officeDocument/2006/relationships/hyperlink" Target="https://lh5.googleusercontent.com/d/177Ba2GL5Xi5Fem0e3M_w5UO0CCP78-md" TargetMode="External"/><Relationship Id="rId81" Type="http://schemas.openxmlformats.org/officeDocument/2006/relationships/hyperlink" Target="https://drive.google.com/file/d/1CQP0XWapS7xgYspilB9WeHE9mAuekPGg/view?usp=drivesdk" TargetMode="External"/><Relationship Id="rId73" Type="http://schemas.openxmlformats.org/officeDocument/2006/relationships/hyperlink" Target="https://drive.google.com/file/d/12Z1klwSgzNlwEvmiORVsw-1BPpf8yEop/view?usp=drivesdk" TargetMode="External"/><Relationship Id="rId72" Type="http://schemas.openxmlformats.org/officeDocument/2006/relationships/hyperlink" Target="https://lh5.googleusercontent.com/d/1dr0B24uPxBKhU2TwKKgk0Q_5dmjPN9Sx" TargetMode="External"/><Relationship Id="rId75" Type="http://schemas.openxmlformats.org/officeDocument/2006/relationships/hyperlink" Target="https://drive.google.com/file/d/1K0ZjAuoIRgtCWQPt_xZg8xMWNe699bIH/view?usp=drivesdk" TargetMode="External"/><Relationship Id="rId74" Type="http://schemas.openxmlformats.org/officeDocument/2006/relationships/hyperlink" Target="https://lh5.googleusercontent.com/d/11L1rB2qPNiFQixDXsVZbI1JB2X_QK91u" TargetMode="External"/><Relationship Id="rId77" Type="http://schemas.openxmlformats.org/officeDocument/2006/relationships/hyperlink" Target="https://drive.google.com/file/d/1XIxj1N6YFILkkCXzc1jfAuzKoQQpVYMb/view?usp=drivesdk" TargetMode="External"/><Relationship Id="rId76" Type="http://schemas.openxmlformats.org/officeDocument/2006/relationships/hyperlink" Target="https://lh5.googleusercontent.com/d/1hP2cYfcvhIUwXDiRXC6liWa29M_08HvK" TargetMode="External"/><Relationship Id="rId79" Type="http://schemas.openxmlformats.org/officeDocument/2006/relationships/hyperlink" Target="https://drive.google.com/file/d/1SRxhGBIsyXFOvut1wJYaj51__hD2jfZK/view?usp=drivesdk" TargetMode="External"/><Relationship Id="rId78" Type="http://schemas.openxmlformats.org/officeDocument/2006/relationships/hyperlink" Target="https://lh5.googleusercontent.com/d/1RpvRTh2XEb2dK55dwePCHCJz7RJrOKDd" TargetMode="External"/><Relationship Id="rId71" Type="http://schemas.openxmlformats.org/officeDocument/2006/relationships/hyperlink" Target="https://drive.google.com/file/d/1qrI0PTftdjqjOxN0IfOGexeWfdqELL0y/view?usp=drivesdk" TargetMode="External"/><Relationship Id="rId70" Type="http://schemas.openxmlformats.org/officeDocument/2006/relationships/hyperlink" Target="https://lh5.googleusercontent.com/d/12GnRPPz5ivE8C6tR1wu4gVY8SBd9cW9g" TargetMode="External"/><Relationship Id="rId62" Type="http://schemas.openxmlformats.org/officeDocument/2006/relationships/hyperlink" Target="https://lh5.googleusercontent.com/d/1vxfLTpn7lweKCgtKQY_qFnZzUr2_B-6U" TargetMode="External"/><Relationship Id="rId61" Type="http://schemas.openxmlformats.org/officeDocument/2006/relationships/hyperlink" Target="https://drive.google.com/file/d/1VC6Di4yDTZBWsfVsWob5IfxlRm9KOLsS/view?usp=drivesdk" TargetMode="External"/><Relationship Id="rId64" Type="http://schemas.openxmlformats.org/officeDocument/2006/relationships/hyperlink" Target="https://lh5.googleusercontent.com/d/16UNE3UqoEvS71wZ9VDkA1Mp-9ljKIMOH" TargetMode="External"/><Relationship Id="rId63" Type="http://schemas.openxmlformats.org/officeDocument/2006/relationships/hyperlink" Target="https://drive.google.com/file/d/1-iYVsfTXRDJCQ6pCtpom6bB7v0ghSZKu/view?usp=drivesdk" TargetMode="External"/><Relationship Id="rId66" Type="http://schemas.openxmlformats.org/officeDocument/2006/relationships/hyperlink" Target="https://lh5.googleusercontent.com/d/1jHB6uk6ayIEIRK_TiRzoKCmyt57Zj4DW" TargetMode="External"/><Relationship Id="rId65" Type="http://schemas.openxmlformats.org/officeDocument/2006/relationships/hyperlink" Target="https://drive.google.com/file/d/1sIH76FK3yCs-rFOWHCvWL8uThw7nmOys/view?usp=drivesdk" TargetMode="External"/><Relationship Id="rId68" Type="http://schemas.openxmlformats.org/officeDocument/2006/relationships/hyperlink" Target="https://lh5.googleusercontent.com/d/1b4pLdghDGc4F-Wqr2RD2isisVlowmcxn" TargetMode="External"/><Relationship Id="rId67" Type="http://schemas.openxmlformats.org/officeDocument/2006/relationships/hyperlink" Target="https://drive.google.com/file/d/1ShKUCdIbpcV1uIqGVgjvTxTG089Zri0L/view?usp=drivesdk" TargetMode="External"/><Relationship Id="rId60" Type="http://schemas.openxmlformats.org/officeDocument/2006/relationships/hyperlink" Target="https://lh5.googleusercontent.com/d/1u9v6UKDuIJMderzOLV0IAKMnXtWm6Sfy" TargetMode="External"/><Relationship Id="rId69" Type="http://schemas.openxmlformats.org/officeDocument/2006/relationships/hyperlink" Target="https://drive.google.com/file/d/1fA_o4QTmz8c2EGmE0kfZxXTvh9jKhhsX/view?usp=drivesdk" TargetMode="External"/><Relationship Id="rId51" Type="http://schemas.openxmlformats.org/officeDocument/2006/relationships/hyperlink" Target="https://drive.google.com/file/d/1ullIao1mypdJ18ug02JNJLLe5zQD1QwT/view?usp=drivesdk" TargetMode="External"/><Relationship Id="rId50" Type="http://schemas.openxmlformats.org/officeDocument/2006/relationships/hyperlink" Target="https://lh5.googleusercontent.com/d/1mE0gP3PGUDjjOZowUPNDnizdoSvYGUGx" TargetMode="External"/><Relationship Id="rId53" Type="http://schemas.openxmlformats.org/officeDocument/2006/relationships/hyperlink" Target="https://drive.google.com/file/d/1sqYfComDoh6TdIFWhvIcahaX0uWb1HxP/view?usp=drivesdk" TargetMode="External"/><Relationship Id="rId52" Type="http://schemas.openxmlformats.org/officeDocument/2006/relationships/hyperlink" Target="https://lh5.googleusercontent.com/d/1vfAhDcQg3q_qOaG6nrXfJkfBNhIyRVBf" TargetMode="External"/><Relationship Id="rId55" Type="http://schemas.openxmlformats.org/officeDocument/2006/relationships/hyperlink" Target="https://drive.google.com/file/d/1PHZrdVRz3L1JGoiG7ZMrmGsSbu0vqG34/view?usp=drivesdk" TargetMode="External"/><Relationship Id="rId54" Type="http://schemas.openxmlformats.org/officeDocument/2006/relationships/hyperlink" Target="https://lh5.googleusercontent.com/d/1AjVK_KwuUMK4c6HueBAtCTg5o1BgUTpD" TargetMode="External"/><Relationship Id="rId57" Type="http://schemas.openxmlformats.org/officeDocument/2006/relationships/hyperlink" Target="https://drive.google.com/file/d/1XZcoXmdB5PQo5bYhZL2Zj3SN_uqDDKkf/view?usp=drivesdk" TargetMode="External"/><Relationship Id="rId56" Type="http://schemas.openxmlformats.org/officeDocument/2006/relationships/hyperlink" Target="https://lh5.googleusercontent.com/d/1ZBKY3VtYNHsabN_EcyhoD4L0X-RCbf0T" TargetMode="External"/><Relationship Id="rId59" Type="http://schemas.openxmlformats.org/officeDocument/2006/relationships/hyperlink" Target="https://drive.google.com/file/d/1RNFo7mcIqrXYrmgW2tcAzxIegwmVQHz8/view?usp=drivesdk" TargetMode="External"/><Relationship Id="rId58" Type="http://schemas.openxmlformats.org/officeDocument/2006/relationships/hyperlink" Target="https://lh5.googleusercontent.com/d/1h4_OEB2AUFckRtE7i9UgJudq4mHEV8kL" TargetMode="External"/><Relationship Id="rId349" Type="http://schemas.openxmlformats.org/officeDocument/2006/relationships/hyperlink" Target="https://drive.google.com/file/d/1U8rwArfnRfWnBDMiTvUQRLBButxdMqOg/view?usp=drivesdk" TargetMode="External"/><Relationship Id="rId348" Type="http://schemas.openxmlformats.org/officeDocument/2006/relationships/hyperlink" Target="https://lh5.googleusercontent.com/d/1q2N8fR0lqtcc9L79q-EfcNzxt7yp9XMy" TargetMode="External"/><Relationship Id="rId347" Type="http://schemas.openxmlformats.org/officeDocument/2006/relationships/hyperlink" Target="https://drive.google.com/file/d/1c53v9oeLPpFM0mVNU3n1uHW7TIoip55u/view?usp=drivesdk" TargetMode="External"/><Relationship Id="rId346" Type="http://schemas.openxmlformats.org/officeDocument/2006/relationships/hyperlink" Target="https://lh5.googleusercontent.com/d/15HIePK1-LEshlLXSLeleZqOdF8FfGAI7" TargetMode="External"/><Relationship Id="rId341" Type="http://schemas.openxmlformats.org/officeDocument/2006/relationships/hyperlink" Target="https://drive.google.com/file/d/1_zB8ixXD87EbQFw8BpdaRw2dBB8gyjXU/view?usp=drivesdk" TargetMode="External"/><Relationship Id="rId340" Type="http://schemas.openxmlformats.org/officeDocument/2006/relationships/hyperlink" Target="https://lh5.googleusercontent.com/d/1dKHPYeaoVkE45jkq6lDufvVZlb_VTEh6" TargetMode="External"/><Relationship Id="rId345" Type="http://schemas.openxmlformats.org/officeDocument/2006/relationships/hyperlink" Target="https://drive.google.com/file/d/1RrzaWb-4zlhK3NPnG8zNmVTqVvxJUNoQ/view?usp=drivesdk" TargetMode="External"/><Relationship Id="rId344" Type="http://schemas.openxmlformats.org/officeDocument/2006/relationships/hyperlink" Target="https://lh5.googleusercontent.com/d/1ARhjQA4JEA2D5MGOewi4HYvWykQZpYJe" TargetMode="External"/><Relationship Id="rId343" Type="http://schemas.openxmlformats.org/officeDocument/2006/relationships/hyperlink" Target="https://drive.google.com/file/d/1OAeh8R0beJnib3FEE5RVmD5jelJfgzqz/view?usp=drivesdk" TargetMode="External"/><Relationship Id="rId342" Type="http://schemas.openxmlformats.org/officeDocument/2006/relationships/hyperlink" Target="https://lh5.googleusercontent.com/d/1a4pSjoyiquqEavmrTqxrAE2j-2iexz6m" TargetMode="External"/><Relationship Id="rId338" Type="http://schemas.openxmlformats.org/officeDocument/2006/relationships/hyperlink" Target="https://lh5.googleusercontent.com/d/16SLy53TqBp3k8G9HbOUVwWLtf-H4wNch" TargetMode="External"/><Relationship Id="rId337" Type="http://schemas.openxmlformats.org/officeDocument/2006/relationships/hyperlink" Target="https://drive.google.com/file/d/1sfXlmfnZoEH6OxFNE1PxrE0jIIKChfjS/view?usp=drivesdk" TargetMode="External"/><Relationship Id="rId336" Type="http://schemas.openxmlformats.org/officeDocument/2006/relationships/hyperlink" Target="https://lh5.googleusercontent.com/d/1MAfkOtGYdZDsaAw6OU-y9vVuGHarGrcc" TargetMode="External"/><Relationship Id="rId335" Type="http://schemas.openxmlformats.org/officeDocument/2006/relationships/hyperlink" Target="https://drive.google.com/file/d/1-EQIhCbzP70BZuR5KWdEOCRHSvrtjLHf/view?usp=drivesdk" TargetMode="External"/><Relationship Id="rId339" Type="http://schemas.openxmlformats.org/officeDocument/2006/relationships/hyperlink" Target="https://drive.google.com/file/d/1tE0Yg_p9l51q3y4vlf4hGOw3lYwYoXq4/view?usp=drivesdk" TargetMode="External"/><Relationship Id="rId330" Type="http://schemas.openxmlformats.org/officeDocument/2006/relationships/hyperlink" Target="https://lh5.googleusercontent.com/d/183iAefvNS8JiMijZeJ97XqQBfpw971Q5" TargetMode="External"/><Relationship Id="rId334" Type="http://schemas.openxmlformats.org/officeDocument/2006/relationships/hyperlink" Target="https://lh5.googleusercontent.com/d/1n880R0MV7KTHeOgISKuQD33rk3U7-Cce" TargetMode="External"/><Relationship Id="rId333" Type="http://schemas.openxmlformats.org/officeDocument/2006/relationships/hyperlink" Target="https://drive.google.com/file/d/1WoeJS8nsVJxLMb0kT0kj5hMFmVPhK6jw/view?usp=drivesdk" TargetMode="External"/><Relationship Id="rId332" Type="http://schemas.openxmlformats.org/officeDocument/2006/relationships/hyperlink" Target="https://lh5.googleusercontent.com/d/1As6oG37RG2no0Rr9sPmspu9sN73aG52a" TargetMode="External"/><Relationship Id="rId331" Type="http://schemas.openxmlformats.org/officeDocument/2006/relationships/hyperlink" Target="https://drive.google.com/file/d/1KUoIsInO2ehwrd9C3xcvYOIkJY3xqiE0/view?usp=drivesdk" TargetMode="External"/><Relationship Id="rId370" Type="http://schemas.openxmlformats.org/officeDocument/2006/relationships/hyperlink" Target="https://lh5.googleusercontent.com/d/1znKpecB-9e3s5jyNCdz5y6lsFmDgm93f" TargetMode="External"/><Relationship Id="rId369" Type="http://schemas.openxmlformats.org/officeDocument/2006/relationships/hyperlink" Target="https://drive.google.com/file/d/1zCGx7nfNluiV3-WXxl0NTslbJY4PoFmK/view?usp=drivesdk" TargetMode="External"/><Relationship Id="rId368" Type="http://schemas.openxmlformats.org/officeDocument/2006/relationships/hyperlink" Target="https://lh5.googleusercontent.com/d/1NvbJp6cqJ-GFMyoVTqbyC7XQ4Tb25y1Y" TargetMode="External"/><Relationship Id="rId363" Type="http://schemas.openxmlformats.org/officeDocument/2006/relationships/hyperlink" Target="https://drive.google.com/file/d/1MP1BJ3DpO0kVl4hFX6V1tYHK1Lu1U-BC/view?usp=drivesdk" TargetMode="External"/><Relationship Id="rId362" Type="http://schemas.openxmlformats.org/officeDocument/2006/relationships/hyperlink" Target="https://lh5.googleusercontent.com/d/15hX3FiZ6e54vPjw_Jh88pXc0i9t2Owf7" TargetMode="External"/><Relationship Id="rId361" Type="http://schemas.openxmlformats.org/officeDocument/2006/relationships/hyperlink" Target="https://drive.google.com/file/d/1Ihp0UptBPmb0XfXlVZtNSd8oxkHe2L8D/view?usp=drivesdk" TargetMode="External"/><Relationship Id="rId360" Type="http://schemas.openxmlformats.org/officeDocument/2006/relationships/hyperlink" Target="https://lh5.googleusercontent.com/d/1J3G5XVMFQR4CZYmXe7oIYwVokdINhubU" TargetMode="External"/><Relationship Id="rId367" Type="http://schemas.openxmlformats.org/officeDocument/2006/relationships/hyperlink" Target="https://drive.google.com/file/d/1YPbyhBVElz7wfSUO8IEwQH33Tdc6gQfv/view?usp=drivesdk" TargetMode="External"/><Relationship Id="rId366" Type="http://schemas.openxmlformats.org/officeDocument/2006/relationships/hyperlink" Target="https://lh5.googleusercontent.com/d/14YVoSX-9GJlPQnvUdG0JctnkkFl5pi1X" TargetMode="External"/><Relationship Id="rId365" Type="http://schemas.openxmlformats.org/officeDocument/2006/relationships/hyperlink" Target="https://drive.google.com/file/d/17QtH_Osahx9JDJwctHKVuVxBf6eUfjJa/view?usp=drivesdk" TargetMode="External"/><Relationship Id="rId364" Type="http://schemas.openxmlformats.org/officeDocument/2006/relationships/hyperlink" Target="https://lh5.googleusercontent.com/d/1u_i-6sBK4_1D8n-UkxIDg_JPdV0STGom" TargetMode="External"/><Relationship Id="rId95" Type="http://schemas.openxmlformats.org/officeDocument/2006/relationships/hyperlink" Target="https://drive.google.com/file/d/1pkncT8jj-5B3fv2Vl2l4uebWM5EIkpVe/view?usp=drivesdk" TargetMode="External"/><Relationship Id="rId94" Type="http://schemas.openxmlformats.org/officeDocument/2006/relationships/hyperlink" Target="https://lh5.googleusercontent.com/d/1m22vKpeJUN1DWJlEClKg1Ghg0P4A_5co" TargetMode="External"/><Relationship Id="rId97" Type="http://schemas.openxmlformats.org/officeDocument/2006/relationships/hyperlink" Target="https://drive.google.com/file/d/1wNq7fYH-c_yI8txioxErtGBVnfJsvJ25/view?usp=drivesdk" TargetMode="External"/><Relationship Id="rId96" Type="http://schemas.openxmlformats.org/officeDocument/2006/relationships/hyperlink" Target="https://lh5.googleusercontent.com/d/114aW79Z5QeW9OaUcZqqnrd6F2jY-iBoX" TargetMode="External"/><Relationship Id="rId99" Type="http://schemas.openxmlformats.org/officeDocument/2006/relationships/hyperlink" Target="https://drive.google.com/file/d/1WsleQKB-_VYoslHqTd-uP3FfP9vnvKth/view?usp=drivesdk" TargetMode="External"/><Relationship Id="rId98" Type="http://schemas.openxmlformats.org/officeDocument/2006/relationships/hyperlink" Target="https://lh5.googleusercontent.com/d/1EoyCgCDaVfW5OfqPf7YD8iD7R8a6VklJ" TargetMode="External"/><Relationship Id="rId91" Type="http://schemas.openxmlformats.org/officeDocument/2006/relationships/hyperlink" Target="https://drive.google.com/file/d/1CC5AI6CjTmHhZ7EmQVmn2cZB-pBmPwPM/view?usp=drivesdk" TargetMode="External"/><Relationship Id="rId90" Type="http://schemas.openxmlformats.org/officeDocument/2006/relationships/hyperlink" Target="https://lh5.googleusercontent.com/d/1y85emSdEdm37m6s7mEWB-wMszWbOqtV9" TargetMode="External"/><Relationship Id="rId93" Type="http://schemas.openxmlformats.org/officeDocument/2006/relationships/hyperlink" Target="https://drive.google.com/file/d/1IEj7-LXZS8f04Q9EtQBAVWvK8NVx1NUb/view?usp=drivesdk" TargetMode="External"/><Relationship Id="rId92" Type="http://schemas.openxmlformats.org/officeDocument/2006/relationships/hyperlink" Target="https://lh5.googleusercontent.com/d/1LQxtQxrL9YqKf83UP6mtA-PoY4RgbGq9" TargetMode="External"/><Relationship Id="rId359" Type="http://schemas.openxmlformats.org/officeDocument/2006/relationships/hyperlink" Target="https://drive.google.com/file/d/1whrYWCF5e9wojqV2IlLavO4u67iBNSlB/view?usp=drivesdk" TargetMode="External"/><Relationship Id="rId358" Type="http://schemas.openxmlformats.org/officeDocument/2006/relationships/hyperlink" Target="https://lh5.googleusercontent.com/d/1TIYcJ2N2MYePSc9QnGRlE6Czn2Ie05gO" TargetMode="External"/><Relationship Id="rId357" Type="http://schemas.openxmlformats.org/officeDocument/2006/relationships/hyperlink" Target="https://drive.google.com/file/d/1EVJYLEC1Q1NtJA5qTLDsVElBepE-qCaQ/view?usp=drivesdk" TargetMode="External"/><Relationship Id="rId352" Type="http://schemas.openxmlformats.org/officeDocument/2006/relationships/hyperlink" Target="https://lh5.googleusercontent.com/d/1AmOv5eSOiUnMqXm6ilO8eYxxfEwkr85e" TargetMode="External"/><Relationship Id="rId351" Type="http://schemas.openxmlformats.org/officeDocument/2006/relationships/hyperlink" Target="https://drive.google.com/file/d/16Hdt7NWBYq7T3IE_SXE0bGTmXrgoUsW-/view?usp=drivesdk" TargetMode="External"/><Relationship Id="rId350" Type="http://schemas.openxmlformats.org/officeDocument/2006/relationships/hyperlink" Target="https://lh5.googleusercontent.com/d/1xVOhMJgH0aKvOgVjuodUBtZ4QIDe1iPV" TargetMode="External"/><Relationship Id="rId356" Type="http://schemas.openxmlformats.org/officeDocument/2006/relationships/hyperlink" Target="https://lh5.googleusercontent.com/d/19UjdcrpJ2z60CfxJ7CQe28SwUcLkqIgr" TargetMode="External"/><Relationship Id="rId355" Type="http://schemas.openxmlformats.org/officeDocument/2006/relationships/hyperlink" Target="https://drive.google.com/file/d/14s56sBA1Ik5qIEYPwXND8m6rsfSYYS6i/view?usp=drivesdk" TargetMode="External"/><Relationship Id="rId354" Type="http://schemas.openxmlformats.org/officeDocument/2006/relationships/hyperlink" Target="https://lh5.googleusercontent.com/d/12khODlDjV9fHhvnINe8gSSb2BX_q-qrX" TargetMode="External"/><Relationship Id="rId353" Type="http://schemas.openxmlformats.org/officeDocument/2006/relationships/hyperlink" Target="https://drive.google.com/file/d/14_gqRnRZg6aiKofsEj8WUWuJcqEiI7Xp/view?usp=drivesdk" TargetMode="External"/><Relationship Id="rId305" Type="http://schemas.openxmlformats.org/officeDocument/2006/relationships/hyperlink" Target="https://lh5.googleusercontent.com/d/1GoPD4JZ9pnMDXmh782x5VXTCCEpwi49I" TargetMode="External"/><Relationship Id="rId304" Type="http://schemas.openxmlformats.org/officeDocument/2006/relationships/hyperlink" Target="https://drive.google.com/file/d/1qx_bE26vjd9E6WH9scRUuQoRmSrSYOxo/view?usp=drivesdk" TargetMode="External"/><Relationship Id="rId303" Type="http://schemas.openxmlformats.org/officeDocument/2006/relationships/hyperlink" Target="https://lh5.googleusercontent.com/d/16BVDTwjLyUQ8KZf54U4EDmUrh6Bl_6ww" TargetMode="External"/><Relationship Id="rId302" Type="http://schemas.openxmlformats.org/officeDocument/2006/relationships/hyperlink" Target="https://drive.google.com/file/d/1ZhNF26ZUkEH0rSKnH0o0JHUBSf54duul/view?usp=drivesdk" TargetMode="External"/><Relationship Id="rId309" Type="http://schemas.openxmlformats.org/officeDocument/2006/relationships/hyperlink" Target="https://lh5.googleusercontent.com/d/1s2eVDucDV7ydCW4aOVt_2fuEXzKfhLfb" TargetMode="External"/><Relationship Id="rId308" Type="http://schemas.openxmlformats.org/officeDocument/2006/relationships/hyperlink" Target="https://drive.google.com/file/d/1XUkKmxBBsXqlvLHHcHZ2F5U3gTbHnWF-/view?usp=drivesdk" TargetMode="External"/><Relationship Id="rId307" Type="http://schemas.openxmlformats.org/officeDocument/2006/relationships/hyperlink" Target="https://lh5.googleusercontent.com/d/1iNGf0p04eUN2xZeiksftTTg9pbSUix6t" TargetMode="External"/><Relationship Id="rId306" Type="http://schemas.openxmlformats.org/officeDocument/2006/relationships/hyperlink" Target="https://drive.google.com/file/d/1RDt84_hRHVS1V93qTsz4z94_yM6mz0Fj/view?usp=drivesdk" TargetMode="External"/><Relationship Id="rId301" Type="http://schemas.openxmlformats.org/officeDocument/2006/relationships/hyperlink" Target="https://lh5.googleusercontent.com/d/1rIpXSH1MRojFixSaeOr1lt0MQaCG-A3H" TargetMode="External"/><Relationship Id="rId300" Type="http://schemas.openxmlformats.org/officeDocument/2006/relationships/hyperlink" Target="https://drive.google.com/file/d/1_FiX3PPND-LBMtV1UJQZzuM8R5BHDwgC/view?usp=drivesdk" TargetMode="External"/><Relationship Id="rId327" Type="http://schemas.openxmlformats.org/officeDocument/2006/relationships/hyperlink" Target="https://drive.google.com/file/d/1Gmg5dBhG2laVPXeYMNjshvpQ6EOpIDKC/view?usp=drivesdk" TargetMode="External"/><Relationship Id="rId326" Type="http://schemas.openxmlformats.org/officeDocument/2006/relationships/hyperlink" Target="https://lh5.googleusercontent.com/d/1Cazm6NdI9U0CliAZTdwQwGsX8fc3oL-v" TargetMode="External"/><Relationship Id="rId325" Type="http://schemas.openxmlformats.org/officeDocument/2006/relationships/hyperlink" Target="https://lh5.googleusercontent.com/d/1PRDzmtAyga_Lad-ynYX1hs1IdfkflcBc" TargetMode="External"/><Relationship Id="rId324" Type="http://schemas.openxmlformats.org/officeDocument/2006/relationships/hyperlink" Target="https://drive.google.com/file/d/1nDRALfraMLMVRCqV-5-XlNmpxJ_h34YP/view?usp=drivesdk" TargetMode="External"/><Relationship Id="rId329" Type="http://schemas.openxmlformats.org/officeDocument/2006/relationships/hyperlink" Target="https://drive.google.com/file/d/11EHsYvhqQ35vpPma4ApA955fbDUVlHKd/view?usp=drivesdk" TargetMode="External"/><Relationship Id="rId328" Type="http://schemas.openxmlformats.org/officeDocument/2006/relationships/hyperlink" Target="https://lh5.googleusercontent.com/d/1TkOro2c_Ixib1OcUMchcJ7zWjCwFdBfz" TargetMode="External"/><Relationship Id="rId323" Type="http://schemas.openxmlformats.org/officeDocument/2006/relationships/hyperlink" Target="https://lh5.googleusercontent.com/d/1Y1XrPhx7yCVS7SO9ggaOk-M1OKtvY7nO" TargetMode="External"/><Relationship Id="rId322" Type="http://schemas.openxmlformats.org/officeDocument/2006/relationships/hyperlink" Target="https://drive.google.com/file/d/1tYTUEeoMWQRgiLv0eUL3vQ-ZrrTOPetu/view?usp=drivesdk" TargetMode="External"/><Relationship Id="rId321" Type="http://schemas.openxmlformats.org/officeDocument/2006/relationships/hyperlink" Target="https://lh5.googleusercontent.com/d/1sl4priVeVNPxjepHfEAg6_tCI26JPSbn" TargetMode="External"/><Relationship Id="rId320" Type="http://schemas.openxmlformats.org/officeDocument/2006/relationships/hyperlink" Target="https://drive.google.com/file/d/1a5hP7QU7tNrYKgnGZ1mT5FksTXlnWmBy/view?usp=drivesdk" TargetMode="External"/><Relationship Id="rId316" Type="http://schemas.openxmlformats.org/officeDocument/2006/relationships/hyperlink" Target="https://drive.google.com/file/d/1ME7KoWQ3NvKdXWPCgSNfU7avGxXVqXfY/view?usp=drivesdk" TargetMode="External"/><Relationship Id="rId315" Type="http://schemas.openxmlformats.org/officeDocument/2006/relationships/hyperlink" Target="https://lh5.googleusercontent.com/d/1BohN4vVXrQ4A8TEwGY2FidJVaQqWysPS" TargetMode="External"/><Relationship Id="rId314" Type="http://schemas.openxmlformats.org/officeDocument/2006/relationships/hyperlink" Target="https://drive.google.com/file/d/1m6zjI22bSvNqadsN4jmem-9Etcij864b/view?usp=drivesdk" TargetMode="External"/><Relationship Id="rId313" Type="http://schemas.openxmlformats.org/officeDocument/2006/relationships/hyperlink" Target="https://lh5.googleusercontent.com/d/1gfnI-Cr40sOj6qtkK0-UgK2epc4cGlDc" TargetMode="External"/><Relationship Id="rId319" Type="http://schemas.openxmlformats.org/officeDocument/2006/relationships/hyperlink" Target="https://lh5.googleusercontent.com/d/1JdcLgjiReee8qmlfjD1b0RA0glpbmLXU" TargetMode="External"/><Relationship Id="rId318" Type="http://schemas.openxmlformats.org/officeDocument/2006/relationships/hyperlink" Target="https://drive.google.com/file/d/1v1TBIXrjBNuNlFtGrAq98XWe0S1Jev7D/view?usp=drivesdk" TargetMode="External"/><Relationship Id="rId317" Type="http://schemas.openxmlformats.org/officeDocument/2006/relationships/hyperlink" Target="https://lh5.googleusercontent.com/d/1BCfUGLTCoVYird1A_MBocJOBdsQHGabX" TargetMode="External"/><Relationship Id="rId312" Type="http://schemas.openxmlformats.org/officeDocument/2006/relationships/hyperlink" Target="https://drive.google.com/file/d/1VfHJGSSp3R6F41wl_W503azuqfU9cUL6/view?usp=drivesdk" TargetMode="External"/><Relationship Id="rId311" Type="http://schemas.openxmlformats.org/officeDocument/2006/relationships/hyperlink" Target="https://lh5.googleusercontent.com/d/1Ggo9hF8tX6A3rf7Zv2FmEVMAy3ULp_rH" TargetMode="External"/><Relationship Id="rId310" Type="http://schemas.openxmlformats.org/officeDocument/2006/relationships/hyperlink" Target="https://drive.google.com/file/d/1-SE5DgaXUuKZPgupif0BwvGoTMjZLajn/view?usp=drivesdk" TargetMode="External"/><Relationship Id="rId297" Type="http://schemas.openxmlformats.org/officeDocument/2006/relationships/hyperlink" Target="https://lh5.googleusercontent.com/d/1U-85b6JIIGwOWbyIrXXCWO0VeXZuUCVy" TargetMode="External"/><Relationship Id="rId296" Type="http://schemas.openxmlformats.org/officeDocument/2006/relationships/hyperlink" Target="https://drive.google.com/file/d/15X9GsAxRLP1kZ6BeZgZ-1TXiMS_l6jjN/view?usp=drivesdk" TargetMode="External"/><Relationship Id="rId295" Type="http://schemas.openxmlformats.org/officeDocument/2006/relationships/hyperlink" Target="https://lh5.googleusercontent.com/d/10Tdabe48rE_vmPjq2YLGt52KXDI_xG33" TargetMode="External"/><Relationship Id="rId294" Type="http://schemas.openxmlformats.org/officeDocument/2006/relationships/hyperlink" Target="https://drive.google.com/file/d/1RAPkQnPmyoy6-Dm3uGDRd25o4W9u2nHM/view?usp=drivesdk" TargetMode="External"/><Relationship Id="rId299" Type="http://schemas.openxmlformats.org/officeDocument/2006/relationships/hyperlink" Target="https://lh5.googleusercontent.com/d/1PdkB0mm3fcorlyiB79DdFvHj_WXW-0zr" TargetMode="External"/><Relationship Id="rId298" Type="http://schemas.openxmlformats.org/officeDocument/2006/relationships/hyperlink" Target="https://drive.google.com/file/d/1CeCkJ5O-f3qklmJaBDi_mGyQXz0ZAfJN/view?usp=drivesdk" TargetMode="External"/><Relationship Id="rId271" Type="http://schemas.openxmlformats.org/officeDocument/2006/relationships/hyperlink" Target="https://lh5.googleusercontent.com/d/1uHb1iXcLe_Q23KjhuPxszI9Fj-FVNigX" TargetMode="External"/><Relationship Id="rId270" Type="http://schemas.openxmlformats.org/officeDocument/2006/relationships/hyperlink" Target="https://drive.google.com/file/d/1PkfwYpL-gZp-5TJhBWYgWlYaffiRh8a3/view?usp=drivesdk" TargetMode="External"/><Relationship Id="rId269" Type="http://schemas.openxmlformats.org/officeDocument/2006/relationships/hyperlink" Target="https://lh5.googleusercontent.com/d/1KhJ976ftEg9v3y9ztK9u28XbOaugJpr-" TargetMode="External"/><Relationship Id="rId264" Type="http://schemas.openxmlformats.org/officeDocument/2006/relationships/hyperlink" Target="https://drive.google.com/file/d/1TOl2o-b0MyqtvHpFuiot3EwHreNlvyUp/view?usp=drivesdk" TargetMode="External"/><Relationship Id="rId263" Type="http://schemas.openxmlformats.org/officeDocument/2006/relationships/hyperlink" Target="https://lh5.googleusercontent.com/d/1R5Jc7A2ZEa1KNH6LJwcxuiytUfCSP6-9" TargetMode="External"/><Relationship Id="rId262" Type="http://schemas.openxmlformats.org/officeDocument/2006/relationships/hyperlink" Target="https://drive.google.com/file/d/1165hYSNUa9WiaZa59WRZyV0opci4YzGb/view?usp=drivesdk" TargetMode="External"/><Relationship Id="rId261" Type="http://schemas.openxmlformats.org/officeDocument/2006/relationships/hyperlink" Target="https://lh5.googleusercontent.com/d/1rOmsXI9QkLYFXLxVntSyhcZGrnGQuS2-" TargetMode="External"/><Relationship Id="rId268" Type="http://schemas.openxmlformats.org/officeDocument/2006/relationships/hyperlink" Target="https://drive.google.com/file/d/1JZTs9mna2ltBQ-8jPLQKPdggCTtOdBlt/view?usp=drivesdk" TargetMode="External"/><Relationship Id="rId267" Type="http://schemas.openxmlformats.org/officeDocument/2006/relationships/hyperlink" Target="https://lh5.googleusercontent.com/d/19yvo5rcNCCGRkmlZxrmdCGbO2_WztH8s" TargetMode="External"/><Relationship Id="rId266" Type="http://schemas.openxmlformats.org/officeDocument/2006/relationships/hyperlink" Target="https://drive.google.com/file/d/1VFzh3keiwZy37oaUxC2Rp_ifcK36A1AL/view?usp=drivesdk" TargetMode="External"/><Relationship Id="rId265" Type="http://schemas.openxmlformats.org/officeDocument/2006/relationships/hyperlink" Target="https://lh5.googleusercontent.com/d/1ha8GLdr6eWbMnUUQ2L-kA5hEcjXk8noV" TargetMode="External"/><Relationship Id="rId260" Type="http://schemas.openxmlformats.org/officeDocument/2006/relationships/hyperlink" Target="https://lh5.googleusercontent.com/d/1LaNIqzBDaSSApW-lpHlREK96BXimQ95m" TargetMode="External"/><Relationship Id="rId259" Type="http://schemas.openxmlformats.org/officeDocument/2006/relationships/hyperlink" Target="https://drive.google.com/file/d/1_LhY3TBd05TkQnwL5vWdevMUZrWp9joJ/view?usp=drivesdk" TargetMode="External"/><Relationship Id="rId258" Type="http://schemas.openxmlformats.org/officeDocument/2006/relationships/hyperlink" Target="https://lh5.googleusercontent.com/d/1Jhywrsc71vvJnqhaUvXRIF5cibkv_yel" TargetMode="External"/><Relationship Id="rId253" Type="http://schemas.openxmlformats.org/officeDocument/2006/relationships/hyperlink" Target="https://drive.google.com/file/d/1VD_UFXN3qTmlm23KNVLo9qUsF5xnLSDp/view?usp=drivesdk" TargetMode="External"/><Relationship Id="rId252" Type="http://schemas.openxmlformats.org/officeDocument/2006/relationships/hyperlink" Target="https://lh5.googleusercontent.com/d/1-n6wqLKFMQSq9eL02tYqrKP4k80Ey5vr" TargetMode="External"/><Relationship Id="rId251" Type="http://schemas.openxmlformats.org/officeDocument/2006/relationships/hyperlink" Target="https://drive.google.com/file/d/15Y4Wz_aKURjghaoUif80HEUAJ7wdN9K5/view?usp=drivesdk" TargetMode="External"/><Relationship Id="rId250" Type="http://schemas.openxmlformats.org/officeDocument/2006/relationships/hyperlink" Target="https://lh5.googleusercontent.com/d/17H22QbLDD786h83N8XaTzLIzNLYkwJMl" TargetMode="External"/><Relationship Id="rId257" Type="http://schemas.openxmlformats.org/officeDocument/2006/relationships/hyperlink" Target="https://drive.google.com/file/d/1_yH6FBoCOo56Tdbf8mB_lxfAj7x4Nb1c/view?usp=drivesdk" TargetMode="External"/><Relationship Id="rId256" Type="http://schemas.openxmlformats.org/officeDocument/2006/relationships/hyperlink" Target="https://lh5.googleusercontent.com/d/1rl5r_TdNxhMAZm4spPLzzvHDp97q_vFL" TargetMode="External"/><Relationship Id="rId255" Type="http://schemas.openxmlformats.org/officeDocument/2006/relationships/hyperlink" Target="https://drive.google.com/file/d/1eulX_IDeQtAerSqS7CXdTo0aklNp5e6j/view?usp=drivesdk" TargetMode="External"/><Relationship Id="rId254" Type="http://schemas.openxmlformats.org/officeDocument/2006/relationships/hyperlink" Target="https://lh5.googleusercontent.com/d/1S61VYILwIpCgLwdXiD3_7yVB9pFb2K-F" TargetMode="External"/><Relationship Id="rId293" Type="http://schemas.openxmlformats.org/officeDocument/2006/relationships/hyperlink" Target="https://lh5.googleusercontent.com/d/1vcnGCOn1glS1K_whu0qSjNhPFBsUvGle" TargetMode="External"/><Relationship Id="rId292" Type="http://schemas.openxmlformats.org/officeDocument/2006/relationships/hyperlink" Target="https://drive.google.com/file/d/1fNOnHG3fZSPPpMbxOf3eZ_fG2wbeeJjW/view?usp=drivesdk" TargetMode="External"/><Relationship Id="rId291" Type="http://schemas.openxmlformats.org/officeDocument/2006/relationships/hyperlink" Target="https://lh5.googleusercontent.com/d/1DVzqCnyLqvnxE6s2IL3jbAknMu-dA3eT" TargetMode="External"/><Relationship Id="rId290" Type="http://schemas.openxmlformats.org/officeDocument/2006/relationships/hyperlink" Target="https://drive.google.com/file/d/1fXWbHEbkUJF0NKzoccqDtvxb1lntedu1/view?usp=drivesdk" TargetMode="External"/><Relationship Id="rId286" Type="http://schemas.openxmlformats.org/officeDocument/2006/relationships/hyperlink" Target="https://drive.google.com/file/d/1efkPdnGfFWutbWGHpgmf8lyAbhcjkB_n/view?usp=drivesdk" TargetMode="External"/><Relationship Id="rId285" Type="http://schemas.openxmlformats.org/officeDocument/2006/relationships/hyperlink" Target="https://lh5.googleusercontent.com/d/1z_d6gXEQs72KtZIaaD3bu1E-MQxerhrC" TargetMode="External"/><Relationship Id="rId284" Type="http://schemas.openxmlformats.org/officeDocument/2006/relationships/hyperlink" Target="https://drive.google.com/file/d/1eqDwq37K4WRI1bQsVR53SBSE8Sy4sk-n/view?usp=drivesdk" TargetMode="External"/><Relationship Id="rId283" Type="http://schemas.openxmlformats.org/officeDocument/2006/relationships/hyperlink" Target="https://lh5.googleusercontent.com/d/1TF8dqam6I1oS-9LPuimruJLPnuGhoe_a" TargetMode="External"/><Relationship Id="rId289" Type="http://schemas.openxmlformats.org/officeDocument/2006/relationships/hyperlink" Target="https://lh5.googleusercontent.com/d/1QlUUS5u-CLp6xXAodJh002xqMFGYh3Om" TargetMode="External"/><Relationship Id="rId288" Type="http://schemas.openxmlformats.org/officeDocument/2006/relationships/hyperlink" Target="https://drive.google.com/file/d/1_FthUXvFm9vYvOvTf7oPHF7kEeO93-Cc/view?usp=drivesdk" TargetMode="External"/><Relationship Id="rId287" Type="http://schemas.openxmlformats.org/officeDocument/2006/relationships/hyperlink" Target="https://lh5.googleusercontent.com/d/1dMrU-V1dx73EncoJ3z73j6qyduAPprKs" TargetMode="External"/><Relationship Id="rId282" Type="http://schemas.openxmlformats.org/officeDocument/2006/relationships/hyperlink" Target="https://drive.google.com/file/d/1a4q1VcnyUMp1vENAWso_NmMoo450tGBa/view?usp=drivesdk" TargetMode="External"/><Relationship Id="rId281" Type="http://schemas.openxmlformats.org/officeDocument/2006/relationships/hyperlink" Target="https://lh5.googleusercontent.com/d/1yyLL3OzxDWUeBo8yDEMhkU2vBMDwIulj" TargetMode="External"/><Relationship Id="rId280" Type="http://schemas.openxmlformats.org/officeDocument/2006/relationships/hyperlink" Target="https://drive.google.com/file/d/1rF1ByfnjMImn_6ly7s-95cHmJi9s1amQ/view?usp=drivesdk" TargetMode="External"/><Relationship Id="rId275" Type="http://schemas.openxmlformats.org/officeDocument/2006/relationships/hyperlink" Target="https://lh5.googleusercontent.com/d/1WYvOAavMoniOU0KkGEx17mFelZQ-XK7c" TargetMode="External"/><Relationship Id="rId274" Type="http://schemas.openxmlformats.org/officeDocument/2006/relationships/hyperlink" Target="https://drive.google.com/file/d/1x0-rIuoC2YVIsp-PHu6lHC9gt_eXRZJb/view?usp=drivesdk" TargetMode="External"/><Relationship Id="rId273" Type="http://schemas.openxmlformats.org/officeDocument/2006/relationships/hyperlink" Target="https://lh5.googleusercontent.com/d/1NiLrxII8aO-VbLTJT0fD3rPf1ymuq0ZW" TargetMode="External"/><Relationship Id="rId272" Type="http://schemas.openxmlformats.org/officeDocument/2006/relationships/hyperlink" Target="https://drive.google.com/file/d/1SaeCxg1OKxQI6YAsZKfhFGvqbbeaqos5/view?usp=drivesdk" TargetMode="External"/><Relationship Id="rId279" Type="http://schemas.openxmlformats.org/officeDocument/2006/relationships/hyperlink" Target="https://lh5.googleusercontent.com/d/1KsOjLA1zDA69YyYhkCpdsBM04kGwe-YJ" TargetMode="External"/><Relationship Id="rId278" Type="http://schemas.openxmlformats.org/officeDocument/2006/relationships/hyperlink" Target="https://drive.google.com/file/d/1igbarmgyZmq-hYQ-ObfhpujVZoCYD4Gy/view?usp=drivesdk" TargetMode="External"/><Relationship Id="rId277" Type="http://schemas.openxmlformats.org/officeDocument/2006/relationships/hyperlink" Target="https://lh5.googleusercontent.com/d/1_lYUJ55YKSx7jfcCtuaWkTwC_VsJZJP3" TargetMode="External"/><Relationship Id="rId276" Type="http://schemas.openxmlformats.org/officeDocument/2006/relationships/hyperlink" Target="https://drive.google.com/file/d/1EmFrvljhYS3m786Owz7LCcKGNYu9iE22/view?usp=drivesdk" TargetMode="External"/><Relationship Id="rId228" Type="http://schemas.openxmlformats.org/officeDocument/2006/relationships/hyperlink" Target="https://lh5.googleusercontent.com/d/12tN49i_jpLyEXg50IgkojdtLH_KdGjjM" TargetMode="External"/><Relationship Id="rId227" Type="http://schemas.openxmlformats.org/officeDocument/2006/relationships/hyperlink" Target="https://drive.google.com/file/d/1svOfDYoCG4sU5OchXM77BeJt5No6rUd0/view?usp=drivesdk" TargetMode="External"/><Relationship Id="rId226" Type="http://schemas.openxmlformats.org/officeDocument/2006/relationships/hyperlink" Target="https://lh5.googleusercontent.com/d/1mL6b03wKwDGYZ0RDC-i2Z3yz9ybbFi7r" TargetMode="External"/><Relationship Id="rId225" Type="http://schemas.openxmlformats.org/officeDocument/2006/relationships/hyperlink" Target="https://drive.google.com/file/d/1FkwUFB646T5Gzn4Nx7gxZCKDtiYN6Ud-/view?usp=drivesdk" TargetMode="External"/><Relationship Id="rId229" Type="http://schemas.openxmlformats.org/officeDocument/2006/relationships/hyperlink" Target="https://drive.google.com/file/d/1dRngk6dG4bZjs-IU4x_bBYJh82Lpc64G/view?usp=drivesdk" TargetMode="External"/><Relationship Id="rId220" Type="http://schemas.openxmlformats.org/officeDocument/2006/relationships/hyperlink" Target="https://lh5.googleusercontent.com/d/1TYRCkvJ6gKoxOLCnz3tpyZLhvP1Lzvqt" TargetMode="External"/><Relationship Id="rId224" Type="http://schemas.openxmlformats.org/officeDocument/2006/relationships/hyperlink" Target="https://lh5.googleusercontent.com/d/10r6Dku1HzDwaI6COqqAF7NJSHXlaHQAA" TargetMode="External"/><Relationship Id="rId223" Type="http://schemas.openxmlformats.org/officeDocument/2006/relationships/hyperlink" Target="https://drive.google.com/file/d/1_lf-_B4hRi5Kz9H7IGbI-QieFAWHp_WN/view?usp=drivesdk" TargetMode="External"/><Relationship Id="rId222" Type="http://schemas.openxmlformats.org/officeDocument/2006/relationships/hyperlink" Target="https://lh5.googleusercontent.com/d/1ntaS2whOCNZ86MlLtqJ6bX8RBPB9H2BP" TargetMode="External"/><Relationship Id="rId221" Type="http://schemas.openxmlformats.org/officeDocument/2006/relationships/hyperlink" Target="https://lh5.googleusercontent.com/d/1Z8D9Jywgootc7pDAgEVuHGgaCJnnFMYL" TargetMode="External"/><Relationship Id="rId217" Type="http://schemas.openxmlformats.org/officeDocument/2006/relationships/hyperlink" Target="https://drive.google.com/file/d/1AKBWpy9FmsY6DmTRJBv9UaSWWlpx4RzQ/view?usp=drivesdk" TargetMode="External"/><Relationship Id="rId216" Type="http://schemas.openxmlformats.org/officeDocument/2006/relationships/hyperlink" Target="https://lh5.googleusercontent.com/d/16nbQFAaNl0VoZW9KkDLDSvVagu0JYvjO" TargetMode="External"/><Relationship Id="rId215" Type="http://schemas.openxmlformats.org/officeDocument/2006/relationships/hyperlink" Target="https://drive.google.com/file/d/1V9tH12n2dkGUPNwNI1n08sXmW5o2XBQa/view?usp=drivesdk" TargetMode="External"/><Relationship Id="rId214" Type="http://schemas.openxmlformats.org/officeDocument/2006/relationships/hyperlink" Target="https://lh5.googleusercontent.com/d/1dM7caV8pQz0sipWGUPu9WCvlgY5ZeWvX" TargetMode="External"/><Relationship Id="rId219" Type="http://schemas.openxmlformats.org/officeDocument/2006/relationships/hyperlink" Target="https://drive.google.com/file/d/1akWNdnDfJx4MmqFPnMHt7qFHsnUQNsJJ/view?usp=drivesdk" TargetMode="External"/><Relationship Id="rId218" Type="http://schemas.openxmlformats.org/officeDocument/2006/relationships/hyperlink" Target="https://lh5.googleusercontent.com/d/1cJBQU5Yg5iTc0IquAaWQ9JDkVM7ZjoiR" TargetMode="External"/><Relationship Id="rId213" Type="http://schemas.openxmlformats.org/officeDocument/2006/relationships/hyperlink" Target="https://drive.google.com/file/d/1zWBlcA7XW3ZSiiLzj7LwU2K8ScLWVC3c/view?usp=drivesdk" TargetMode="External"/><Relationship Id="rId212" Type="http://schemas.openxmlformats.org/officeDocument/2006/relationships/hyperlink" Target="https://lh5.googleusercontent.com/d/1gkNmst57XiHEbEwgQMwxUZRfzKIKx4hg" TargetMode="External"/><Relationship Id="rId211" Type="http://schemas.openxmlformats.org/officeDocument/2006/relationships/hyperlink" Target="https://drive.google.com/file/d/1s-m2yuxVTtdoNwtWyTB6gYwcLmUN5vp8/view?usp=drivesdk" TargetMode="External"/><Relationship Id="rId210" Type="http://schemas.openxmlformats.org/officeDocument/2006/relationships/hyperlink" Target="https://lh5.googleusercontent.com/d/1wJAKzf96KzgHfD2eJWWnuAXo0SvGB0wC" TargetMode="External"/><Relationship Id="rId249" Type="http://schemas.openxmlformats.org/officeDocument/2006/relationships/hyperlink" Target="https://drive.google.com/file/d/1I_nS1biHeJQjE8rns_FuQhPkclNepxiN/view?usp=drivesdk" TargetMode="External"/><Relationship Id="rId248" Type="http://schemas.openxmlformats.org/officeDocument/2006/relationships/hyperlink" Target="https://lh5.googleusercontent.com/d/1h9mR-MIlVJXdGplEGVnXMlR1EKxApBSD" TargetMode="External"/><Relationship Id="rId247" Type="http://schemas.openxmlformats.org/officeDocument/2006/relationships/hyperlink" Target="https://drive.google.com/file/d/1jPifP-KlAMccm1VArDCSe9Lr0LBWuiIN/view?usp=drivesdk" TargetMode="External"/><Relationship Id="rId242" Type="http://schemas.openxmlformats.org/officeDocument/2006/relationships/hyperlink" Target="https://lh5.googleusercontent.com/d/1OwDILFeLzKjBNbNNx730pa7T-lJlmRIQ" TargetMode="External"/><Relationship Id="rId241" Type="http://schemas.openxmlformats.org/officeDocument/2006/relationships/hyperlink" Target="https://drive.google.com/file/d/1hVlD1nLkTelJ3ZCoOGOm_SaWk1WfjEZF/view?usp=drivesdk" TargetMode="External"/><Relationship Id="rId240" Type="http://schemas.openxmlformats.org/officeDocument/2006/relationships/hyperlink" Target="https://lh5.googleusercontent.com/d/1TQB-Eqaau0y76BQFdBrLlRMWhMGz5t5x" TargetMode="External"/><Relationship Id="rId246" Type="http://schemas.openxmlformats.org/officeDocument/2006/relationships/hyperlink" Target="https://lh5.googleusercontent.com/d/1Fgd7__bv-L7IesXMSrhyvSKkEw-5wCJH" TargetMode="External"/><Relationship Id="rId245" Type="http://schemas.openxmlformats.org/officeDocument/2006/relationships/hyperlink" Target="https://drive.google.com/file/d/1Ryi_PbtmZSHiQvJx0w4gCSOs-5Sca9lM/view?usp=drivesdk" TargetMode="External"/><Relationship Id="rId244" Type="http://schemas.openxmlformats.org/officeDocument/2006/relationships/hyperlink" Target="https://lh5.googleusercontent.com/d/1eXDq9JXr143lCnEnzCgsBd130qIwBrbz" TargetMode="External"/><Relationship Id="rId243" Type="http://schemas.openxmlformats.org/officeDocument/2006/relationships/hyperlink" Target="https://drive.google.com/file/d/11o1fh6l6kxYYkXJnqzwOL6MVdLQmKV0z/view?usp=drivesdk" TargetMode="External"/><Relationship Id="rId239" Type="http://schemas.openxmlformats.org/officeDocument/2006/relationships/hyperlink" Target="https://drive.google.com/file/d/1OkslaZJvAi8NfIHcxE0SVOqSr8ty96mU/view?usp=drivesdk" TargetMode="External"/><Relationship Id="rId238" Type="http://schemas.openxmlformats.org/officeDocument/2006/relationships/hyperlink" Target="https://lh5.googleusercontent.com/d/1DF_ZyBFq2v2OBCjp5Dvd_Gq-R40k8CMk" TargetMode="External"/><Relationship Id="rId237" Type="http://schemas.openxmlformats.org/officeDocument/2006/relationships/hyperlink" Target="https://drive.google.com/file/d/1b2lzt_nFjibb77cyNzyeuIpCwoSk2VLw/view?usp=drivesdk" TargetMode="External"/><Relationship Id="rId236" Type="http://schemas.openxmlformats.org/officeDocument/2006/relationships/hyperlink" Target="https://lh5.googleusercontent.com/d/1gjmkCmy8Km_Fzmnu3ENDw_PpwWaIz7LA" TargetMode="External"/><Relationship Id="rId231" Type="http://schemas.openxmlformats.org/officeDocument/2006/relationships/hyperlink" Target="https://drive.google.com/file/d/1-83unL6VRF-EerXOdTKn8hOKuEXv6fN9/view?usp=drivesdk" TargetMode="External"/><Relationship Id="rId230" Type="http://schemas.openxmlformats.org/officeDocument/2006/relationships/hyperlink" Target="https://lh5.googleusercontent.com/d/1AqW07G33OoSFuWjZ4Gf1xAl7TsBy3eQt" TargetMode="External"/><Relationship Id="rId235" Type="http://schemas.openxmlformats.org/officeDocument/2006/relationships/hyperlink" Target="https://drive.google.com/file/d/10-DJlUXMbSolAJ-bKMvqf6o694zZS_A5/view?usp=drivesdk" TargetMode="External"/><Relationship Id="rId234" Type="http://schemas.openxmlformats.org/officeDocument/2006/relationships/hyperlink" Target="https://lh5.googleusercontent.com/d/1I8HJVON05aAoaXe1a_SbF5LcvyJdpAdX" TargetMode="External"/><Relationship Id="rId233" Type="http://schemas.openxmlformats.org/officeDocument/2006/relationships/hyperlink" Target="https://drive.google.com/file/d/1Mnqqx7AS_XqLJ7XnsHbRNRFlMlP7Dd5n/view?usp=drivesdk" TargetMode="External"/><Relationship Id="rId232" Type="http://schemas.openxmlformats.org/officeDocument/2006/relationships/hyperlink" Target="https://lh5.googleusercontent.com/d/1vihV5G1cwOZvCiqH1uqO9_71lsroDB8v" TargetMode="External"/><Relationship Id="rId206" Type="http://schemas.openxmlformats.org/officeDocument/2006/relationships/hyperlink" Target="https://lh5.googleusercontent.com/d/1uFdwwzMGJbCJKphGjrjUWLngFR1Gt-Vw" TargetMode="External"/><Relationship Id="rId205" Type="http://schemas.openxmlformats.org/officeDocument/2006/relationships/hyperlink" Target="https://drive.google.com/file/d/1Bz4LJ1YEGRrOcPSL8nAvBDJXrDgojTTV/view?usp=drivesdk" TargetMode="External"/><Relationship Id="rId204" Type="http://schemas.openxmlformats.org/officeDocument/2006/relationships/hyperlink" Target="https://lh5.googleusercontent.com/d/1I4f7iFbfAEEfZGP8wy-EjTGvhgeHc97i" TargetMode="External"/><Relationship Id="rId203" Type="http://schemas.openxmlformats.org/officeDocument/2006/relationships/hyperlink" Target="https://drive.google.com/file/d/16fzXVtDdk3TLG93X9g02WH4YMDY_anTb/view?usp=drivesdk" TargetMode="External"/><Relationship Id="rId209" Type="http://schemas.openxmlformats.org/officeDocument/2006/relationships/hyperlink" Target="https://drive.google.com/file/d/14mDFHbeBXy94_g7mKHjNgH2mkhck1EiX/view?usp=drivesdk" TargetMode="External"/><Relationship Id="rId208" Type="http://schemas.openxmlformats.org/officeDocument/2006/relationships/hyperlink" Target="https://lh5.googleusercontent.com/d/1WjRJnF66bAGME67L0Kzchb2EPN05DhsN" TargetMode="External"/><Relationship Id="rId207" Type="http://schemas.openxmlformats.org/officeDocument/2006/relationships/hyperlink" Target="https://drive.google.com/file/d/1zV0FVX_nFggMOnQc13NSMt-_XU-lkuty/view?usp=drivesdk" TargetMode="External"/><Relationship Id="rId202" Type="http://schemas.openxmlformats.org/officeDocument/2006/relationships/hyperlink" Target="https://lh5.googleusercontent.com/d/1Amssjz0ol6Z93hk08-xfldY-IgHDXf6Q" TargetMode="External"/><Relationship Id="rId201" Type="http://schemas.openxmlformats.org/officeDocument/2006/relationships/hyperlink" Target="https://drive.google.com/file/d/1D_jgPiGWAAvJgTl_HPK3UdEPCUTYv8oo/view?usp=drivesdk" TargetMode="External"/><Relationship Id="rId200" Type="http://schemas.openxmlformats.org/officeDocument/2006/relationships/hyperlink" Target="https://lh5.googleusercontent.com/d/1JljuT7vrDxgqlyABh_Ea1cw8UVBtP8qu" TargetMode="External"/><Relationship Id="rId509" Type="http://schemas.openxmlformats.org/officeDocument/2006/relationships/hyperlink" Target="https://drive.google.com/file/d/186Qvhc6LWSHlboTo-jOsttdSjispDYCX/view?usp=drivesdk" TargetMode="External"/><Relationship Id="rId508" Type="http://schemas.openxmlformats.org/officeDocument/2006/relationships/hyperlink" Target="https://lh5.googleusercontent.com/d/1OGk9q04VX-nkOXY68C-g7GWHFDQQ-uoT" TargetMode="External"/><Relationship Id="rId503" Type="http://schemas.openxmlformats.org/officeDocument/2006/relationships/hyperlink" Target="https://drive.google.com/file/d/1KfIAZtxxFFmZlH5YNeNwVD0QT8HGRyyJ/view?usp=drivesdk" TargetMode="External"/><Relationship Id="rId502" Type="http://schemas.openxmlformats.org/officeDocument/2006/relationships/hyperlink" Target="https://lh5.googleusercontent.com/d/1NNLtKjchLWuihRp0sh5IhBs8cK9cx6G1" TargetMode="External"/><Relationship Id="rId501" Type="http://schemas.openxmlformats.org/officeDocument/2006/relationships/hyperlink" Target="https://drive.google.com/file/d/14mu88IceMNovzRYw4ag6VzMMIxqUl36W/view?usp=drivesdk" TargetMode="External"/><Relationship Id="rId500" Type="http://schemas.openxmlformats.org/officeDocument/2006/relationships/hyperlink" Target="https://lh5.googleusercontent.com/d/1a9pFDNAyjtWQQzoRv-8_oatTkcSsdWia" TargetMode="External"/><Relationship Id="rId507" Type="http://schemas.openxmlformats.org/officeDocument/2006/relationships/hyperlink" Target="https://drive.google.com/file/d/1YA7gF0wEsxbGKXrOIoe2io5QVdHmzeBZ/view?usp=drivesdk" TargetMode="External"/><Relationship Id="rId506" Type="http://schemas.openxmlformats.org/officeDocument/2006/relationships/hyperlink" Target="https://lh5.googleusercontent.com/d/1S7HW8WIv1Feepttct6_3gI_RDYeHr4bg" TargetMode="External"/><Relationship Id="rId505" Type="http://schemas.openxmlformats.org/officeDocument/2006/relationships/hyperlink" Target="https://drive.google.com/file/d/1KDZ4OY-FBAYE3o0u63GhUhS-Y4ViZNgp/view?usp=drivesdk" TargetMode="External"/><Relationship Id="rId504" Type="http://schemas.openxmlformats.org/officeDocument/2006/relationships/hyperlink" Target="https://lh5.googleusercontent.com/d/15lx11neY3heUsPCNoAVAcU9X85qOsbQK" TargetMode="External"/><Relationship Id="rId525" Type="http://schemas.openxmlformats.org/officeDocument/2006/relationships/hyperlink" Target="https://lh5.googleusercontent.com/d/1WWT2zznuB6rFO66wTI5yOsPT-H_JmVeq" TargetMode="External"/><Relationship Id="rId524" Type="http://schemas.openxmlformats.org/officeDocument/2006/relationships/hyperlink" Target="https://drive.google.com/file/d/1tA6fCgZa4L0PDpGe7qf3YTLgm4l7dni7/view?usp=drivesdk" TargetMode="External"/><Relationship Id="rId523" Type="http://schemas.openxmlformats.org/officeDocument/2006/relationships/hyperlink" Target="https://lh5.googleusercontent.com/d/1bgsuL6cJGqhExPGXm3PDkp-JHnNu70Jm" TargetMode="External"/><Relationship Id="rId522" Type="http://schemas.openxmlformats.org/officeDocument/2006/relationships/hyperlink" Target="https://drive.google.com/file/d/1VrCVTOXph25_yrApKBTUN6Pet_ZNnpWk/view?usp=drivesdk" TargetMode="External"/><Relationship Id="rId529" Type="http://schemas.openxmlformats.org/officeDocument/2006/relationships/hyperlink" Target="https://lh5.googleusercontent.com/d/1-p7LZOE-RuK7LVpcQYZa5kWjt01oklaz" TargetMode="External"/><Relationship Id="rId528" Type="http://schemas.openxmlformats.org/officeDocument/2006/relationships/hyperlink" Target="https://drive.google.com/file/d/1V-DUxuJ6cBYqYYxGs3naSdxt2pDaCjsW/view?usp=drivesdk" TargetMode="External"/><Relationship Id="rId527" Type="http://schemas.openxmlformats.org/officeDocument/2006/relationships/hyperlink" Target="https://lh5.googleusercontent.com/d/1WQGDP1rfO1Yrg2sfNTe1yaRKfhnm_QtD" TargetMode="External"/><Relationship Id="rId526" Type="http://schemas.openxmlformats.org/officeDocument/2006/relationships/hyperlink" Target="https://drive.google.com/file/d/1-9gJ6Rf-h64SUj8uxK4wWnKZrv_vhJ9N/view?usp=drivesdk" TargetMode="External"/><Relationship Id="rId521" Type="http://schemas.openxmlformats.org/officeDocument/2006/relationships/hyperlink" Target="https://lh5.googleusercontent.com/d/1MUus3dbbQqewHSvU-XlNsWsu3g6RYkoM" TargetMode="External"/><Relationship Id="rId520" Type="http://schemas.openxmlformats.org/officeDocument/2006/relationships/hyperlink" Target="https://drive.google.com/file/d/1QO6V9mINY73NUHV7It37kMb9EA0LBt-C/view?usp=drivesdk" TargetMode="External"/><Relationship Id="rId519" Type="http://schemas.openxmlformats.org/officeDocument/2006/relationships/hyperlink" Target="https://lh5.googleusercontent.com/d/1eeypyGnENZ1RO97mVPHpNAEF6viH1yBi" TargetMode="External"/><Relationship Id="rId514" Type="http://schemas.openxmlformats.org/officeDocument/2006/relationships/hyperlink" Target="https://lh5.googleusercontent.com/d/1-E1s9uJYeEZX3si6hnARKwXuJIToA4rG" TargetMode="External"/><Relationship Id="rId513" Type="http://schemas.openxmlformats.org/officeDocument/2006/relationships/hyperlink" Target="https://drive.google.com/file/d/1g05Uitnpn2pVHGQbzyHvGxsN-IMuSeiO/view?usp=drivesdk" TargetMode="External"/><Relationship Id="rId512" Type="http://schemas.openxmlformats.org/officeDocument/2006/relationships/hyperlink" Target="https://lh5.googleusercontent.com/d/1BmW1OUKJ7a26T82sPhQns8Y9s93Aztgu" TargetMode="External"/><Relationship Id="rId511" Type="http://schemas.openxmlformats.org/officeDocument/2006/relationships/hyperlink" Target="https://drive.google.com/file/d/1iU_BICwOJ7bQT2rP3AzE_i1tZIwvM-ez/view?usp=drivesdk" TargetMode="External"/><Relationship Id="rId518" Type="http://schemas.openxmlformats.org/officeDocument/2006/relationships/hyperlink" Target="https://lh5.googleusercontent.com/d/181Q-gFnMJDnBSaPquvCa7tsVyDuoUwen" TargetMode="External"/><Relationship Id="rId517" Type="http://schemas.openxmlformats.org/officeDocument/2006/relationships/hyperlink" Target="https://drive.google.com/file/d/11WUZhld8Am4sn_3_Daim7w7GZJXHPGKf/view?usp=drivesdk" TargetMode="External"/><Relationship Id="rId516" Type="http://schemas.openxmlformats.org/officeDocument/2006/relationships/hyperlink" Target="https://lh5.googleusercontent.com/d/1bAdqK1xDtK4UlfEzmINVjGY2F88wUpf8" TargetMode="External"/><Relationship Id="rId515" Type="http://schemas.openxmlformats.org/officeDocument/2006/relationships/hyperlink" Target="https://drive.google.com/file/d/1wa5qXDbfsGbEufM0liw35JRHN7Z_1Rws/view?usp=drivesdk" TargetMode="External"/><Relationship Id="rId510" Type="http://schemas.openxmlformats.org/officeDocument/2006/relationships/hyperlink" Target="https://lh5.googleusercontent.com/d/1DtpOKNpK4tbIWVzKcx5av8cW_iaQESnv" TargetMode="External"/><Relationship Id="rId590" Type="http://schemas.openxmlformats.org/officeDocument/2006/relationships/hyperlink" Target="https://drive.google.com/file/d/1Gz5rB9Ovckcxy0Is_MefThMA0kRpZmha/view?usp=drivesdk" TargetMode="External"/><Relationship Id="rId589" Type="http://schemas.openxmlformats.org/officeDocument/2006/relationships/hyperlink" Target="https://lh5.googleusercontent.com/d/1rMluu_ByY1kFBOx6qcmw6o09VL8sPjDg" TargetMode="External"/><Relationship Id="rId588" Type="http://schemas.openxmlformats.org/officeDocument/2006/relationships/hyperlink" Target="https://drive.google.com/file/d/1-WA-mFM8whcGDARxyS6uPkLhKLCJEp8E/view?usp=drivesdk" TargetMode="External"/><Relationship Id="rId583" Type="http://schemas.openxmlformats.org/officeDocument/2006/relationships/hyperlink" Target="https://lh5.googleusercontent.com/d/1UttzoQy8_yUVKQYp_mfU5R9CnV6o1HEZ" TargetMode="External"/><Relationship Id="rId582" Type="http://schemas.openxmlformats.org/officeDocument/2006/relationships/hyperlink" Target="https://drive.google.com/file/d/13XNj82WRcorU_M7slnCIqTUhkTv06cmL/view?usp=drivesdk" TargetMode="External"/><Relationship Id="rId581" Type="http://schemas.openxmlformats.org/officeDocument/2006/relationships/hyperlink" Target="https://lh5.googleusercontent.com/d/12Y6M8iYvcBrNQEzgdn_MbvUoC-0d1I47" TargetMode="External"/><Relationship Id="rId580" Type="http://schemas.openxmlformats.org/officeDocument/2006/relationships/hyperlink" Target="https://drive.google.com/file/d/1twkTRMTXANFgjbeppdYKxGsCq0KZwmGU/view?usp=drivesdk" TargetMode="External"/><Relationship Id="rId587" Type="http://schemas.openxmlformats.org/officeDocument/2006/relationships/hyperlink" Target="https://lh5.googleusercontent.com/d/1i2lA1vwXXam8tM3t1byRjZFVWml9j1JV" TargetMode="External"/><Relationship Id="rId586" Type="http://schemas.openxmlformats.org/officeDocument/2006/relationships/hyperlink" Target="https://drive.google.com/file/d/1n5GdyEYgN89rPlYFxB2oDiETkOuAXPKF/view?usp=drivesdk" TargetMode="External"/><Relationship Id="rId585" Type="http://schemas.openxmlformats.org/officeDocument/2006/relationships/hyperlink" Target="https://lh5.googleusercontent.com/d/1iYGzuJlO9KuOw9FHbrD1WXmYP1h7BK_N" TargetMode="External"/><Relationship Id="rId584" Type="http://schemas.openxmlformats.org/officeDocument/2006/relationships/hyperlink" Target="https://drive.google.com/file/d/1xxWqHmlSj2bRbPe1MRyURioiIqp2apKo/view?usp=drivesdk" TargetMode="External"/><Relationship Id="rId579" Type="http://schemas.openxmlformats.org/officeDocument/2006/relationships/hyperlink" Target="https://lh5.googleusercontent.com/d/1FIMyjv_5NpVChrYpHi-gvURdFnByKYFw" TargetMode="External"/><Relationship Id="rId578" Type="http://schemas.openxmlformats.org/officeDocument/2006/relationships/hyperlink" Target="https://drive.google.com/file/d/1g2hijqa71lkIjpn-uUutHacuwdDXhLDK/view?usp=drivesdk" TargetMode="External"/><Relationship Id="rId577" Type="http://schemas.openxmlformats.org/officeDocument/2006/relationships/hyperlink" Target="https://lh5.googleusercontent.com/d/1YpeIFJYnxIG1DtIOqqbopra45c6CA1uz" TargetMode="External"/><Relationship Id="rId572" Type="http://schemas.openxmlformats.org/officeDocument/2006/relationships/hyperlink" Target="https://drive.google.com/file/d/16lmQADj4ae6y2NUUidRT3PcMD79KkBIM/view?usp=drivesdk" TargetMode="External"/><Relationship Id="rId571" Type="http://schemas.openxmlformats.org/officeDocument/2006/relationships/hyperlink" Target="https://lh5.googleusercontent.com/d/1Md-eGo1rnY65vEswIu4dXNjTnoJ3-a9F" TargetMode="External"/><Relationship Id="rId570" Type="http://schemas.openxmlformats.org/officeDocument/2006/relationships/hyperlink" Target="https://drive.google.com/file/d/1uiuX-1L4ub1xag6JrG38qFK8MDOYApBp/view?usp=drivesdk" TargetMode="External"/><Relationship Id="rId576" Type="http://schemas.openxmlformats.org/officeDocument/2006/relationships/hyperlink" Target="https://drive.google.com/file/d/1cD9Voi29Aoi6Kz9aSDyZY56wEMsUlK6D/view?usp=drivesdk" TargetMode="External"/><Relationship Id="rId575" Type="http://schemas.openxmlformats.org/officeDocument/2006/relationships/hyperlink" Target="https://lh5.googleusercontent.com/d/1RY1ggG81IPEVQGm9k5r-XPVvfSva6kCI" TargetMode="External"/><Relationship Id="rId574" Type="http://schemas.openxmlformats.org/officeDocument/2006/relationships/hyperlink" Target="https://drive.google.com/file/d/11HpUR8x-UM8sf8-AlFafd2T4sOFaM7M8/view?usp=drivesdk" TargetMode="External"/><Relationship Id="rId573" Type="http://schemas.openxmlformats.org/officeDocument/2006/relationships/hyperlink" Target="https://lh5.googleusercontent.com/d/1VaVXt8G8C-dx0oNNwtNEzv3W0HTGBDge" TargetMode="External"/><Relationship Id="rId599" Type="http://schemas.openxmlformats.org/officeDocument/2006/relationships/hyperlink" Target="https://lh5.googleusercontent.com/d/1r720xreH8o2loPY_IAg2jd5wES0bhY6i" TargetMode="External"/><Relationship Id="rId594" Type="http://schemas.openxmlformats.org/officeDocument/2006/relationships/hyperlink" Target="https://drive.google.com/file/d/1nl_B7Pz-xBSnJXSu1RvY4a9Q9sCvUdsS/view?usp=drivesdk" TargetMode="External"/><Relationship Id="rId593" Type="http://schemas.openxmlformats.org/officeDocument/2006/relationships/hyperlink" Target="https://lh5.googleusercontent.com/d/1xMW2kM7q-78AiV6ecKZEHajmTi3hvtnb" TargetMode="External"/><Relationship Id="rId592" Type="http://schemas.openxmlformats.org/officeDocument/2006/relationships/hyperlink" Target="https://drive.google.com/file/d/1Wk0tBgGDoK_ulTHw2e1zr717MYhmB9b1/view?usp=drivesdk" TargetMode="External"/><Relationship Id="rId591" Type="http://schemas.openxmlformats.org/officeDocument/2006/relationships/hyperlink" Target="https://lh5.googleusercontent.com/d/1mFmKdtBaD7ru4YNueL7Qd4U1iIohiG1v" TargetMode="External"/><Relationship Id="rId598" Type="http://schemas.openxmlformats.org/officeDocument/2006/relationships/hyperlink" Target="https://drive.google.com/file/d/1aw1M3pkeoYm_XVNj4RwY1nqgPkVLXb_J/view?usp=drivesdk" TargetMode="External"/><Relationship Id="rId597" Type="http://schemas.openxmlformats.org/officeDocument/2006/relationships/hyperlink" Target="https://lh5.googleusercontent.com/d/1zklICyIrQxmbbxBlZEjK-cwNaWzj6Em3" TargetMode="External"/><Relationship Id="rId596" Type="http://schemas.openxmlformats.org/officeDocument/2006/relationships/hyperlink" Target="https://drive.google.com/file/d/1HuKY0AvlI9MrqNuNq8NpPoDlWyryoAyC/view?usp=drivesdk" TargetMode="External"/><Relationship Id="rId595" Type="http://schemas.openxmlformats.org/officeDocument/2006/relationships/hyperlink" Target="https://lh5.googleusercontent.com/d/1Dr8jnGwwd7q6SoV_VJ19XJ_LnVQOaCjp" TargetMode="External"/><Relationship Id="rId547" Type="http://schemas.openxmlformats.org/officeDocument/2006/relationships/hyperlink" Target="https://lh5.googleusercontent.com/d/1SrKOe_L2BclaXgXfVaCLwhcFv-z_sN-L" TargetMode="External"/><Relationship Id="rId546" Type="http://schemas.openxmlformats.org/officeDocument/2006/relationships/hyperlink" Target="https://drive.google.com/file/d/1XwvNg3AdNzP2vr6LmoGJA14JN2ZbIXB7/view?usp=drivesdk" TargetMode="External"/><Relationship Id="rId545" Type="http://schemas.openxmlformats.org/officeDocument/2006/relationships/hyperlink" Target="https://lh5.googleusercontent.com/d/1drQMyhHZeKrRm9JC9ihxkSzN2x-PBhsH" TargetMode="External"/><Relationship Id="rId544" Type="http://schemas.openxmlformats.org/officeDocument/2006/relationships/hyperlink" Target="https://drive.google.com/file/d/1iaYg-bS80ejiY_x0JH9KU3uvIHeY9N_z/view?usp=drivesdk" TargetMode="External"/><Relationship Id="rId549" Type="http://schemas.openxmlformats.org/officeDocument/2006/relationships/hyperlink" Target="https://lh5.googleusercontent.com/d/1R2j63sWQIv--GSqneWD1eoEVfeo8yQpd" TargetMode="External"/><Relationship Id="rId548" Type="http://schemas.openxmlformats.org/officeDocument/2006/relationships/hyperlink" Target="https://drive.google.com/file/d/1xyerAmuaEMelu0aZCGaLPya4WXv4dLSC/view?usp=drivesdk" TargetMode="External"/><Relationship Id="rId543" Type="http://schemas.openxmlformats.org/officeDocument/2006/relationships/hyperlink" Target="https://lh5.googleusercontent.com/d/1DO_2siQQXdyKKjsT3SepfTYsX8wlecbW" TargetMode="External"/><Relationship Id="rId542" Type="http://schemas.openxmlformats.org/officeDocument/2006/relationships/hyperlink" Target="https://drive.google.com/file/d/1VtwDxmUCNR59J53TANDClV4p7tPhwDfZ/view?usp=drivesdk" TargetMode="External"/><Relationship Id="rId541" Type="http://schemas.openxmlformats.org/officeDocument/2006/relationships/hyperlink" Target="https://lh5.googleusercontent.com/d/13ORRcORJuQGJTP_4iVX3TU3RE6UhFK3j" TargetMode="External"/><Relationship Id="rId540" Type="http://schemas.openxmlformats.org/officeDocument/2006/relationships/hyperlink" Target="https://drive.google.com/file/d/14VbweoCBuv7HeOfI51n_J5PdVtPbFZ_c/view?usp=drivesdk" TargetMode="External"/><Relationship Id="rId536" Type="http://schemas.openxmlformats.org/officeDocument/2006/relationships/hyperlink" Target="https://drive.google.com/file/d/1VCPZhDRh_dCStpu7C3-03FYVCNs5aq4M/view?usp=drivesdk" TargetMode="External"/><Relationship Id="rId535" Type="http://schemas.openxmlformats.org/officeDocument/2006/relationships/hyperlink" Target="https://lh5.googleusercontent.com/d/1eW4GuWZabukFApEDSFSTzf9axhrtA4V0" TargetMode="External"/><Relationship Id="rId534" Type="http://schemas.openxmlformats.org/officeDocument/2006/relationships/hyperlink" Target="https://drive.google.com/file/d/1cWM7kEpkSxavTdMA6q4390kArUv_unnQ/view?usp=drivesdk" TargetMode="External"/><Relationship Id="rId533" Type="http://schemas.openxmlformats.org/officeDocument/2006/relationships/hyperlink" Target="https://lh5.googleusercontent.com/d/157Wnd6P4Ppnbkv_LJD6aAdbx-ro3kLRI" TargetMode="External"/><Relationship Id="rId539" Type="http://schemas.openxmlformats.org/officeDocument/2006/relationships/hyperlink" Target="https://lh5.googleusercontent.com/d/1LDs6P4jdPLO4eCRTgd2Rcx3I0NcyAN7e" TargetMode="External"/><Relationship Id="rId538" Type="http://schemas.openxmlformats.org/officeDocument/2006/relationships/hyperlink" Target="https://drive.google.com/file/d/1luzVCq_79IjwcSfwwu_ldSTetFt_7jw3/view?usp=drivesdk" TargetMode="External"/><Relationship Id="rId537" Type="http://schemas.openxmlformats.org/officeDocument/2006/relationships/hyperlink" Target="https://lh5.googleusercontent.com/d/1ok8Pe1dSm7vBlfuXUfiOR0H6ofCik5Bv" TargetMode="External"/><Relationship Id="rId532" Type="http://schemas.openxmlformats.org/officeDocument/2006/relationships/hyperlink" Target="https://drive.google.com/file/d/1-X4H_aqIabXBL_whqgJaOKpEi5Zzeg9a/view?usp=drivesdk" TargetMode="External"/><Relationship Id="rId531" Type="http://schemas.openxmlformats.org/officeDocument/2006/relationships/hyperlink" Target="https://lh5.googleusercontent.com/d/1WCWgQtTZsLiZZmUu0veKWBHi5zT3QIs8" TargetMode="External"/><Relationship Id="rId530" Type="http://schemas.openxmlformats.org/officeDocument/2006/relationships/hyperlink" Target="https://drive.google.com/file/d/1_nhRhyKf2eeUYqTtB6pGQoyFQW0U2Q75/view?usp=drivesdk" TargetMode="External"/><Relationship Id="rId569" Type="http://schemas.openxmlformats.org/officeDocument/2006/relationships/hyperlink" Target="https://lh5.googleusercontent.com/d/1NIzTNhYLn9THWWTKctOfEIurcUMB3Eln" TargetMode="External"/><Relationship Id="rId568" Type="http://schemas.openxmlformats.org/officeDocument/2006/relationships/hyperlink" Target="https://drive.google.com/file/d/1yK0XwP89eahjWwSNN7H2xoN7cayYJaeE/view?usp=drivesdk" TargetMode="External"/><Relationship Id="rId567" Type="http://schemas.openxmlformats.org/officeDocument/2006/relationships/hyperlink" Target="https://lh5.googleusercontent.com/d/1jrTVOcXiCefT0FOaFylgnrZ4g7dFyDor" TargetMode="External"/><Relationship Id="rId566" Type="http://schemas.openxmlformats.org/officeDocument/2006/relationships/hyperlink" Target="https://drive.google.com/file/d/15fVAlyfQEjUu2EtrPt55Pb440URe1t41/view?usp=drivesdk" TargetMode="External"/><Relationship Id="rId561" Type="http://schemas.openxmlformats.org/officeDocument/2006/relationships/hyperlink" Target="https://lh5.googleusercontent.com/d/1-4qogj0UuXKb2NAERw-oxA551L5TsKnd" TargetMode="External"/><Relationship Id="rId560" Type="http://schemas.openxmlformats.org/officeDocument/2006/relationships/hyperlink" Target="https://drive.google.com/file/d/1EpZTx3505RsozRkpGriyUhxBwKpQonBW/view?usp=drivesdk" TargetMode="External"/><Relationship Id="rId565" Type="http://schemas.openxmlformats.org/officeDocument/2006/relationships/hyperlink" Target="https://lh5.googleusercontent.com/d/17Mp3aRCAnxMhau5eZSlpCLkWT4jSibSg" TargetMode="External"/><Relationship Id="rId564" Type="http://schemas.openxmlformats.org/officeDocument/2006/relationships/hyperlink" Target="https://drive.google.com/file/d/1LW4osDAuWE9Hl6UZrCDpWjZ4NLmySe-i/view?usp=drivesdk" TargetMode="External"/><Relationship Id="rId563" Type="http://schemas.openxmlformats.org/officeDocument/2006/relationships/hyperlink" Target="https://lh5.googleusercontent.com/d/1idX39Jz1Nm8298a27Ggf7ggj1lki_6A1" TargetMode="External"/><Relationship Id="rId562" Type="http://schemas.openxmlformats.org/officeDocument/2006/relationships/hyperlink" Target="https://drive.google.com/file/d/1k_epxbic7rxQXPLHHt-rZDLKmQL5UL8z/view?usp=drivesdk" TargetMode="External"/><Relationship Id="rId558" Type="http://schemas.openxmlformats.org/officeDocument/2006/relationships/hyperlink" Target="https://drive.google.com/file/d/1aSJRIcintQwUF_txk3YfMa6QSHfUIs2X/view?usp=drivesdk" TargetMode="External"/><Relationship Id="rId557" Type="http://schemas.openxmlformats.org/officeDocument/2006/relationships/hyperlink" Target="https://lh5.googleusercontent.com/d/1vj_wtijGwuN6JRGlPn4PKvN_t8fCAsaM" TargetMode="External"/><Relationship Id="rId556" Type="http://schemas.openxmlformats.org/officeDocument/2006/relationships/hyperlink" Target="https://drive.google.com/file/d/1hzoZXBIJ-ahiMOiJ-rjKz0KyHdadJszf/view?usp=drivesdk" TargetMode="External"/><Relationship Id="rId555" Type="http://schemas.openxmlformats.org/officeDocument/2006/relationships/hyperlink" Target="https://lh5.googleusercontent.com/d/1ryx-lIhP6UCJucuskSwOhoNJXrAZJ62V" TargetMode="External"/><Relationship Id="rId559" Type="http://schemas.openxmlformats.org/officeDocument/2006/relationships/hyperlink" Target="https://lh5.googleusercontent.com/d/1mY7ywOMiYaEacD2OVTXKIr_8-kzhcqML" TargetMode="External"/><Relationship Id="rId550" Type="http://schemas.openxmlformats.org/officeDocument/2006/relationships/hyperlink" Target="https://drive.google.com/file/d/1DehDfmU8cdNBUbSCn-_lRRSB1QwrpE2C/view?usp=drivesdk" TargetMode="External"/><Relationship Id="rId554" Type="http://schemas.openxmlformats.org/officeDocument/2006/relationships/hyperlink" Target="https://drive.google.com/file/d/1tCLUyKpj_2jDMq8l1yUAYW0FEnKNCrjr/view?usp=drivesdk" TargetMode="External"/><Relationship Id="rId553" Type="http://schemas.openxmlformats.org/officeDocument/2006/relationships/hyperlink" Target="https://lh5.googleusercontent.com/d/1RHLO_nM6hlbIgxlf-vRIyLJiiEOKp5JI" TargetMode="External"/><Relationship Id="rId552" Type="http://schemas.openxmlformats.org/officeDocument/2006/relationships/hyperlink" Target="https://drive.google.com/file/d/1Eap10EPgI6yBoSJjVUJeMLJBUn_vKjFz/view?usp=drivesdk" TargetMode="External"/><Relationship Id="rId551" Type="http://schemas.openxmlformats.org/officeDocument/2006/relationships/hyperlink" Target="https://lh5.googleusercontent.com/d/1ZmtS5-l9zUcANO9YZ0R7G5tUteE-MuFO" TargetMode="External"/><Relationship Id="rId495" Type="http://schemas.openxmlformats.org/officeDocument/2006/relationships/hyperlink" Target="https://drive.google.com/file/d/1NcYj0AAq_3POqQekb5J8-fzE-Gjipd4H/view?usp=drivesdk" TargetMode="External"/><Relationship Id="rId494" Type="http://schemas.openxmlformats.org/officeDocument/2006/relationships/hyperlink" Target="https://lh5.googleusercontent.com/d/1MKcr4h0dxX-QC9nBdvIrke8Z7AqjqCsA" TargetMode="External"/><Relationship Id="rId493" Type="http://schemas.openxmlformats.org/officeDocument/2006/relationships/hyperlink" Target="https://drive.google.com/file/d/1LmA6ANLmMf8dD-f_uYaAwDHH85Scladh/view?usp=drivesdk" TargetMode="External"/><Relationship Id="rId492" Type="http://schemas.openxmlformats.org/officeDocument/2006/relationships/hyperlink" Target="https://lh5.googleusercontent.com/d/1iMUJBlGSJURijE6uSfT3r2UG_VxWqpVV" TargetMode="External"/><Relationship Id="rId499" Type="http://schemas.openxmlformats.org/officeDocument/2006/relationships/hyperlink" Target="https://drive.google.com/file/d/1XK8vMc41Y6rN4hSulXlKD5V1ybMBGqsP/view?usp=drivesdk" TargetMode="External"/><Relationship Id="rId498" Type="http://schemas.openxmlformats.org/officeDocument/2006/relationships/hyperlink" Target="https://lh5.googleusercontent.com/d/1Pk4k4yHMlDpckMoZNNkQPCtkckmt6RYt" TargetMode="External"/><Relationship Id="rId497" Type="http://schemas.openxmlformats.org/officeDocument/2006/relationships/hyperlink" Target="https://drive.google.com/file/d/1te9ghk7Tqfu8vGtLGMhGgyIwmmBQwp3t/view?usp=drivesdk" TargetMode="External"/><Relationship Id="rId496" Type="http://schemas.openxmlformats.org/officeDocument/2006/relationships/hyperlink" Target="https://lh5.googleusercontent.com/d/1XeiWClHgS_uYTQz4YScVQoR7WqPgMNqa" TargetMode="External"/><Relationship Id="rId409" Type="http://schemas.openxmlformats.org/officeDocument/2006/relationships/hyperlink" Target="https://lh5.googleusercontent.com/d/1rzKUPHfe1F46Q6EAzt8M3o1oLSfaC55x" TargetMode="External"/><Relationship Id="rId404" Type="http://schemas.openxmlformats.org/officeDocument/2006/relationships/hyperlink" Target="https://drive.google.com/file/d/1HbxuyBKZ0h6ZdDGN7-EWvUnVElfjEBvE/view?usp=drivesdk" TargetMode="External"/><Relationship Id="rId403" Type="http://schemas.openxmlformats.org/officeDocument/2006/relationships/hyperlink" Target="https://lh5.googleusercontent.com/d/1jGxNPSqdAMr1DOHbUONexnjrup6c85s9" TargetMode="External"/><Relationship Id="rId402" Type="http://schemas.openxmlformats.org/officeDocument/2006/relationships/hyperlink" Target="https://drive.google.com/file/d/1uCW6RScPSYqKti0xldSiG-BON93FbsEa/view?usp=drivesdk" TargetMode="External"/><Relationship Id="rId401" Type="http://schemas.openxmlformats.org/officeDocument/2006/relationships/hyperlink" Target="https://lh5.googleusercontent.com/d/1VyWdC50RZAuQeYO4EeYG6K58UZtCm--a" TargetMode="External"/><Relationship Id="rId408" Type="http://schemas.openxmlformats.org/officeDocument/2006/relationships/hyperlink" Target="https://drive.google.com/file/d/1q-trBdjPlvTdWPhkhUz9SmGbWrHeCg-w/view?usp=drivesdk" TargetMode="External"/><Relationship Id="rId407" Type="http://schemas.openxmlformats.org/officeDocument/2006/relationships/hyperlink" Target="https://lh5.googleusercontent.com/d/1EV_WPzyReNI6CIv5nVEinutHiXTqOOHP" TargetMode="External"/><Relationship Id="rId406" Type="http://schemas.openxmlformats.org/officeDocument/2006/relationships/hyperlink" Target="https://drive.google.com/file/d/1fVNOcchTvrnmIl6x6ihqG1ocC1r11KeC/view?usp=drivesdk" TargetMode="External"/><Relationship Id="rId405" Type="http://schemas.openxmlformats.org/officeDocument/2006/relationships/hyperlink" Target="https://lh5.googleusercontent.com/d/1y8TMuVn6_Fh4V4Jl2Tz9WVoD9TqUXXCz" TargetMode="External"/><Relationship Id="rId400" Type="http://schemas.openxmlformats.org/officeDocument/2006/relationships/hyperlink" Target="https://drive.google.com/file/d/1oHL06dBa772e2iwEWgpd_F-fsNtwzeEf/view?usp=drivesdk" TargetMode="External"/><Relationship Id="rId469" Type="http://schemas.openxmlformats.org/officeDocument/2006/relationships/hyperlink" Target="https://lh5.googleusercontent.com/d/16CYE7GN-qION7RGdJ093YlUSordRPXgj" TargetMode="External"/><Relationship Id="rId468" Type="http://schemas.openxmlformats.org/officeDocument/2006/relationships/hyperlink" Target="https://drive.google.com/file/d/19_G4SlPVKy8Du1ETw0Y1rjCeLzQTqSgZ/view?usp=drivesdk" TargetMode="External"/><Relationship Id="rId467" Type="http://schemas.openxmlformats.org/officeDocument/2006/relationships/hyperlink" Target="https://lh5.googleusercontent.com/d/1o7GZaOESE5WtNvLmjNlxkmVYNUc-mH0K" TargetMode="External"/><Relationship Id="rId462" Type="http://schemas.openxmlformats.org/officeDocument/2006/relationships/hyperlink" Target="https://drive.google.com/file/d/1eXudE_4sgqtYIw40plxxRDuWIxM4v2KT/view?usp=drivesdk" TargetMode="External"/><Relationship Id="rId461" Type="http://schemas.openxmlformats.org/officeDocument/2006/relationships/hyperlink" Target="https://lh5.googleusercontent.com/d/1wx30VKQ2t_cI94ZA9Hqe5fIZIAaB_gig" TargetMode="External"/><Relationship Id="rId460" Type="http://schemas.openxmlformats.org/officeDocument/2006/relationships/hyperlink" Target="https://drive.google.com/file/d/1ZV9PVzyq2WCKTgF5AOIvQvmeRe8-AFEb/view?usp=drivesdk" TargetMode="External"/><Relationship Id="rId466" Type="http://schemas.openxmlformats.org/officeDocument/2006/relationships/hyperlink" Target="https://drive.google.com/file/d/1Djvo2twyTYmVYlxbk-na7S1BmMmJoKxO/view?usp=drivesdk" TargetMode="External"/><Relationship Id="rId465" Type="http://schemas.openxmlformats.org/officeDocument/2006/relationships/hyperlink" Target="https://lh5.googleusercontent.com/d/1rzAlia-WESIx-LdlplxRcm8bY-hcEXY7" TargetMode="External"/><Relationship Id="rId464" Type="http://schemas.openxmlformats.org/officeDocument/2006/relationships/hyperlink" Target="https://drive.google.com/file/d/1tgePegVFE4a76W2GHfPjV-w1cF0dxWx1/view?usp=drivesdk" TargetMode="External"/><Relationship Id="rId463" Type="http://schemas.openxmlformats.org/officeDocument/2006/relationships/hyperlink" Target="https://lh5.googleusercontent.com/d/1grg5VqSJ0LEEhMIvELeZx2NJAcc8bUB7" TargetMode="External"/><Relationship Id="rId459" Type="http://schemas.openxmlformats.org/officeDocument/2006/relationships/hyperlink" Target="https://lh5.googleusercontent.com/d/1sJaSzwjG_xeGGzvpqokt61XLVYUqFxN6" TargetMode="External"/><Relationship Id="rId458" Type="http://schemas.openxmlformats.org/officeDocument/2006/relationships/hyperlink" Target="https://drive.google.com/file/d/14tkp1JZeaO9WZIv3EJBGAaI7NtXX4kds/view?usp=drivesdk" TargetMode="External"/><Relationship Id="rId457" Type="http://schemas.openxmlformats.org/officeDocument/2006/relationships/hyperlink" Target="https://lh5.googleusercontent.com/d/1iZu23_5qbLYlEiZM79__ExRcRqXClSX_" TargetMode="External"/><Relationship Id="rId456" Type="http://schemas.openxmlformats.org/officeDocument/2006/relationships/hyperlink" Target="https://drive.google.com/file/d/1D9HN2bOIxTC8vrgZRC6hBIfRuN-3xZqW/view?usp=drivesdk" TargetMode="External"/><Relationship Id="rId451" Type="http://schemas.openxmlformats.org/officeDocument/2006/relationships/hyperlink" Target="https://lh5.googleusercontent.com/d/1Pq1NSCjr4i9mrXaN41WGjIY4zU1fids8" TargetMode="External"/><Relationship Id="rId450" Type="http://schemas.openxmlformats.org/officeDocument/2006/relationships/hyperlink" Target="https://drive.google.com/file/d/1DApFsWb1KurrPXSOIvRPAM0tbnIxzKRm/view?usp=drivesdk" TargetMode="External"/><Relationship Id="rId455" Type="http://schemas.openxmlformats.org/officeDocument/2006/relationships/hyperlink" Target="https://lh5.googleusercontent.com/d/1u8cDK73oir7e3c8qwfr5DluDE1_4bceU" TargetMode="External"/><Relationship Id="rId454" Type="http://schemas.openxmlformats.org/officeDocument/2006/relationships/hyperlink" Target="https://drive.google.com/file/d/1G4SZmNhj-G0Ec6uBJBLdE1NTahOlmUiX/view?usp=drivesdk" TargetMode="External"/><Relationship Id="rId453" Type="http://schemas.openxmlformats.org/officeDocument/2006/relationships/hyperlink" Target="https://lh5.googleusercontent.com/d/1ihHphSguyW08Ay8V-mWlMzNoy2s31_ZI" TargetMode="External"/><Relationship Id="rId452" Type="http://schemas.openxmlformats.org/officeDocument/2006/relationships/hyperlink" Target="https://drive.google.com/file/d/1y1hsMvL9CtiyAe448fyof-rj7uSNRo5u/view?usp=drivesdk" TargetMode="External"/><Relationship Id="rId491" Type="http://schemas.openxmlformats.org/officeDocument/2006/relationships/hyperlink" Target="https://drive.google.com/file/d/1oR05d6nqos1pfe2Ljw0OeGl9nLGqwTeg/view?usp=drivesdk" TargetMode="External"/><Relationship Id="rId490" Type="http://schemas.openxmlformats.org/officeDocument/2006/relationships/hyperlink" Target="https://lh5.googleusercontent.com/d/1DMXudmbyjx-xLnhCjx9FmnKEHz_3G7Ty" TargetMode="External"/><Relationship Id="rId489" Type="http://schemas.openxmlformats.org/officeDocument/2006/relationships/hyperlink" Target="https://lh5.googleusercontent.com/d/1FK6SbTAsbBNDoqAbABWICf_WWBWvohwa" TargetMode="External"/><Relationship Id="rId484" Type="http://schemas.openxmlformats.org/officeDocument/2006/relationships/hyperlink" Target="https://lh5.googleusercontent.com/d/19DWykdxJvhRX6yNMVdlaulD6ijzKXr2R" TargetMode="External"/><Relationship Id="rId483" Type="http://schemas.openxmlformats.org/officeDocument/2006/relationships/hyperlink" Target="https://lh5.googleusercontent.com/d/1a6FE_-wRNqS84otCnOq1t0B2qqaqgtvX" TargetMode="External"/><Relationship Id="rId482" Type="http://schemas.openxmlformats.org/officeDocument/2006/relationships/hyperlink" Target="https://drive.google.com/file/d/14DIeUyWsDo09yDpUOHCbNb4Lm7BEqJD-/view?usp=drivesdk" TargetMode="External"/><Relationship Id="rId481" Type="http://schemas.openxmlformats.org/officeDocument/2006/relationships/hyperlink" Target="https://lh5.googleusercontent.com/d/1PGNI7N94hK7e-yDkMkRHttHGc5U2jOsp" TargetMode="External"/><Relationship Id="rId488" Type="http://schemas.openxmlformats.org/officeDocument/2006/relationships/hyperlink" Target="https://lh5.googleusercontent.com/d/1Mf4ohmYuPgivD7n03FigAd-pny14Y4SM" TargetMode="External"/><Relationship Id="rId487" Type="http://schemas.openxmlformats.org/officeDocument/2006/relationships/hyperlink" Target="https://drive.google.com/file/d/1duexgGYIPCs8JMIFvNBuFDE5lPlJV-Oy/view?usp=drivesdk" TargetMode="External"/><Relationship Id="rId486" Type="http://schemas.openxmlformats.org/officeDocument/2006/relationships/hyperlink" Target="https://lh5.googleusercontent.com/d/1afhfUXaCl1psZTmBbYL37pKYFuOwpafT" TargetMode="External"/><Relationship Id="rId485" Type="http://schemas.openxmlformats.org/officeDocument/2006/relationships/hyperlink" Target="https://drive.google.com/file/d/1-eosj0NaYmKdGGRAX1NKps6lMIHfFfQx/view?usp=drivesdk" TargetMode="External"/><Relationship Id="rId480" Type="http://schemas.openxmlformats.org/officeDocument/2006/relationships/hyperlink" Target="https://drive.google.com/file/d/1Q_J8CqtZvDWS5MCFz8CvkWt180NViit1/view?usp=drivesdk" TargetMode="External"/><Relationship Id="rId479" Type="http://schemas.openxmlformats.org/officeDocument/2006/relationships/hyperlink" Target="https://lh5.googleusercontent.com/d/1v51ISlcnMDqEekKaRprH-EzR3DUyLSUG" TargetMode="External"/><Relationship Id="rId478" Type="http://schemas.openxmlformats.org/officeDocument/2006/relationships/hyperlink" Target="https://drive.google.com/file/d/1wEkJQ8cy_D7tkqlnk9UsH8gmSIXOupzg/view?usp=drivesdk" TargetMode="External"/><Relationship Id="rId473" Type="http://schemas.openxmlformats.org/officeDocument/2006/relationships/hyperlink" Target="https://lh5.googleusercontent.com/d/1qgcMEGTbEVBxuj7UIDj1mL6gedeSA-B9" TargetMode="External"/><Relationship Id="rId472" Type="http://schemas.openxmlformats.org/officeDocument/2006/relationships/hyperlink" Target="https://drive.google.com/file/d/1_l1PFu97rLYZWSxzfO9spWcjhzjSIRd0/view?usp=drivesdk" TargetMode="External"/><Relationship Id="rId471" Type="http://schemas.openxmlformats.org/officeDocument/2006/relationships/hyperlink" Target="https://lh5.googleusercontent.com/d/1GoipzMtun9_2AYThQuPBDCIu0-azItdX" TargetMode="External"/><Relationship Id="rId470" Type="http://schemas.openxmlformats.org/officeDocument/2006/relationships/hyperlink" Target="https://drive.google.com/file/d/1NB7ZBxCKfoEduTJD5bcGjP_FZePHfnSh/view?usp=drivesdk" TargetMode="External"/><Relationship Id="rId477" Type="http://schemas.openxmlformats.org/officeDocument/2006/relationships/hyperlink" Target="https://lh5.googleusercontent.com/d/1lSaAYo5fo38ayV9G2QVX2dgqjNX7K596" TargetMode="External"/><Relationship Id="rId476" Type="http://schemas.openxmlformats.org/officeDocument/2006/relationships/hyperlink" Target="https://drive.google.com/file/d/197ekSPJSdEbiUyc3D3eisuMXkNIq7llp/view?usp=drivesdk" TargetMode="External"/><Relationship Id="rId475" Type="http://schemas.openxmlformats.org/officeDocument/2006/relationships/hyperlink" Target="https://lh5.googleusercontent.com/d/1TDweql4endpO_L6ORpsywwxOk-D8ZTnA" TargetMode="External"/><Relationship Id="rId474" Type="http://schemas.openxmlformats.org/officeDocument/2006/relationships/hyperlink" Target="https://drive.google.com/file/d/1JY8yyButCds-7zMhdf59m7_1xYHJOuU4/view?usp=drivesdk" TargetMode="External"/><Relationship Id="rId426" Type="http://schemas.openxmlformats.org/officeDocument/2006/relationships/hyperlink" Target="https://drive.google.com/file/d/1NR98Q7FkpXK68z-Q5mYrNFFwxxpzVZdC/view?usp=drivesdk" TargetMode="External"/><Relationship Id="rId425" Type="http://schemas.openxmlformats.org/officeDocument/2006/relationships/hyperlink" Target="https://lh5.googleusercontent.com/d/1CjfYm-4aO8i0PIjTRBoNy7v6SL7vbBo9" TargetMode="External"/><Relationship Id="rId424" Type="http://schemas.openxmlformats.org/officeDocument/2006/relationships/hyperlink" Target="https://drive.google.com/file/d/1P4GVn0mLgYehZM0m-Xrl2yTP-2B3GXSp/view?usp=drivesdk" TargetMode="External"/><Relationship Id="rId423" Type="http://schemas.openxmlformats.org/officeDocument/2006/relationships/hyperlink" Target="https://lh5.googleusercontent.com/d/1DhciN0wK1U4SI2CNAvsEIx6Cnl2OOX0R" TargetMode="External"/><Relationship Id="rId429" Type="http://schemas.openxmlformats.org/officeDocument/2006/relationships/hyperlink" Target="https://lh5.googleusercontent.com/d/1nuoffVLe_tnXtGOM2Hbq_8L7ld1vOWQb" TargetMode="External"/><Relationship Id="rId428" Type="http://schemas.openxmlformats.org/officeDocument/2006/relationships/hyperlink" Target="https://drive.google.com/file/d/1uSSJIRSM8EfE1KoB8M2cmz7ZdHjcWd3w/view?usp=drivesdk" TargetMode="External"/><Relationship Id="rId427" Type="http://schemas.openxmlformats.org/officeDocument/2006/relationships/hyperlink" Target="https://lh5.googleusercontent.com/d/1c2Xk_NkQfBVQno_a4trTeEqBBj_4Ad6Y" TargetMode="External"/><Relationship Id="rId422" Type="http://schemas.openxmlformats.org/officeDocument/2006/relationships/hyperlink" Target="https://drive.google.com/file/d/1rb4MWMj-Gzm2bAqYnAVfHWzFrfMTfAny/view?usp=drivesdk" TargetMode="External"/><Relationship Id="rId421" Type="http://schemas.openxmlformats.org/officeDocument/2006/relationships/hyperlink" Target="https://lh5.googleusercontent.com/d/1xVxQ8lk3phtqjSrj7CuCQ4uU5dj8iCey" TargetMode="External"/><Relationship Id="rId420" Type="http://schemas.openxmlformats.org/officeDocument/2006/relationships/hyperlink" Target="https://drive.google.com/file/d/1KCzz5WiddY9KKXVA3eIuRhY9sTvfb-l_/view?usp=drivesdk" TargetMode="External"/><Relationship Id="rId415" Type="http://schemas.openxmlformats.org/officeDocument/2006/relationships/hyperlink" Target="https://lh5.googleusercontent.com/d/1_4m-JBk_r4ErZ1xE_pYQoMhWtKjzeDs1" TargetMode="External"/><Relationship Id="rId414" Type="http://schemas.openxmlformats.org/officeDocument/2006/relationships/hyperlink" Target="https://drive.google.com/file/d/1d8jQUMsDuM2qLMm7uRjrP2s1AMBkTBxO/view?usp=drivesdk" TargetMode="External"/><Relationship Id="rId413" Type="http://schemas.openxmlformats.org/officeDocument/2006/relationships/hyperlink" Target="https://lh5.googleusercontent.com/d/1eocvNaxhTB9oQbrvzqbeWPVUE0fVRjdc" TargetMode="External"/><Relationship Id="rId412" Type="http://schemas.openxmlformats.org/officeDocument/2006/relationships/hyperlink" Target="https://drive.google.com/file/d/1D-DGgZ5ALTrNJod49bWmmZXzxsF3T6nv/view?usp=drivesdk" TargetMode="External"/><Relationship Id="rId419" Type="http://schemas.openxmlformats.org/officeDocument/2006/relationships/hyperlink" Target="https://lh5.googleusercontent.com/d/1_o-3q3YP3X3TLMVv-r_uXyWB6hw0iBKW" TargetMode="External"/><Relationship Id="rId418" Type="http://schemas.openxmlformats.org/officeDocument/2006/relationships/hyperlink" Target="https://drive.google.com/file/d/1Qd8weISwgwf2vXty5xq1RGEuwZ4VHMde/view?usp=drivesdk" TargetMode="External"/><Relationship Id="rId417" Type="http://schemas.openxmlformats.org/officeDocument/2006/relationships/hyperlink" Target="https://lh5.googleusercontent.com/d/1Gj6MgHoZorXpaaZZf_XAtDAOKWeB5Df1" TargetMode="External"/><Relationship Id="rId416" Type="http://schemas.openxmlformats.org/officeDocument/2006/relationships/hyperlink" Target="https://drive.google.com/file/d/1P25g1ugrx5AI0XAGS1kefOYkEpFxyhn9/view?usp=drivesdk" TargetMode="External"/><Relationship Id="rId411" Type="http://schemas.openxmlformats.org/officeDocument/2006/relationships/hyperlink" Target="https://lh5.googleusercontent.com/d/1GbdSD_wF2vyVzleLm9xjjjoP7De37Aah" TargetMode="External"/><Relationship Id="rId410" Type="http://schemas.openxmlformats.org/officeDocument/2006/relationships/hyperlink" Target="https://drive.google.com/file/d/12uXXOmjV3LgSrtssk01b5mhSynUsaSVX/view?usp=drivesdk" TargetMode="External"/><Relationship Id="rId448" Type="http://schemas.openxmlformats.org/officeDocument/2006/relationships/hyperlink" Target="https://drive.google.com/file/d/16tedm1L0XpCvWW4PUt6HXaBEfHdRdtM7/view?usp=drivesdk" TargetMode="External"/><Relationship Id="rId447" Type="http://schemas.openxmlformats.org/officeDocument/2006/relationships/hyperlink" Target="https://lh5.googleusercontent.com/d/1vqptNwPGRuWjStn14GD_9cxOk4pvZ1E9" TargetMode="External"/><Relationship Id="rId446" Type="http://schemas.openxmlformats.org/officeDocument/2006/relationships/hyperlink" Target="https://drive.google.com/file/d/1F6SpL4MAtcaVkJBuZFrx0Xxi8s9g_dtl/view?usp=drivesdk" TargetMode="External"/><Relationship Id="rId445" Type="http://schemas.openxmlformats.org/officeDocument/2006/relationships/hyperlink" Target="https://lh5.googleusercontent.com/d/1yWDdfjXaGBwAt-zQywN5UR1vUUm4VuUS" TargetMode="External"/><Relationship Id="rId449" Type="http://schemas.openxmlformats.org/officeDocument/2006/relationships/hyperlink" Target="https://lh5.googleusercontent.com/d/1tdNCplRrOVcYZZktRvFoCYtIT7YAMQSa" TargetMode="External"/><Relationship Id="rId440" Type="http://schemas.openxmlformats.org/officeDocument/2006/relationships/hyperlink" Target="https://drive.google.com/file/d/1TmiBLFG9nCl8I4R_rB-TDqfVi_gDh2D8/view?usp=drivesdk" TargetMode="External"/><Relationship Id="rId444" Type="http://schemas.openxmlformats.org/officeDocument/2006/relationships/hyperlink" Target="https://drive.google.com/file/d/1IwM17HMRXY9ANt5-jrhlxpaiNwTATm62/view?usp=drivesdk" TargetMode="External"/><Relationship Id="rId443" Type="http://schemas.openxmlformats.org/officeDocument/2006/relationships/hyperlink" Target="https://lh5.googleusercontent.com/d/1_d0i9zEvlBJhyRRK-OIZAssxaEmXzgZZ" TargetMode="External"/><Relationship Id="rId442" Type="http://schemas.openxmlformats.org/officeDocument/2006/relationships/hyperlink" Target="https://drive.google.com/file/d/12vmRCL-ejpvJrj6DZUj8CJE7Hf57tYEB/view?usp=drivesdk" TargetMode="External"/><Relationship Id="rId441" Type="http://schemas.openxmlformats.org/officeDocument/2006/relationships/hyperlink" Target="https://lh5.googleusercontent.com/d/1T26m2KG7s6lIHtzBtHzC-fdqxN1nrh_9" TargetMode="External"/><Relationship Id="rId437" Type="http://schemas.openxmlformats.org/officeDocument/2006/relationships/hyperlink" Target="https://lh5.googleusercontent.com/d/1qE1P_hL2WSak-UCLqC_gYMW55WTDsD4E" TargetMode="External"/><Relationship Id="rId436" Type="http://schemas.openxmlformats.org/officeDocument/2006/relationships/hyperlink" Target="https://drive.google.com/file/d/1SAtnCioVPJ7PSzqKScVrHbog3QghYODM/view?usp=drivesdk" TargetMode="External"/><Relationship Id="rId435" Type="http://schemas.openxmlformats.org/officeDocument/2006/relationships/hyperlink" Target="https://lh5.googleusercontent.com/d/1ulmKMKa3AqEmPkyfwHbGIOkrYUpWOD0u" TargetMode="External"/><Relationship Id="rId434" Type="http://schemas.openxmlformats.org/officeDocument/2006/relationships/hyperlink" Target="https://drive.google.com/file/d/161pDZkEOIS7H48J4Vwjq9mx0xAilEfGP/view?usp=drivesdk" TargetMode="External"/><Relationship Id="rId439" Type="http://schemas.openxmlformats.org/officeDocument/2006/relationships/hyperlink" Target="https://lh5.googleusercontent.com/d/1KeC5qK1HtyZmBV5qgF3TEPNdgKpCsHXV" TargetMode="External"/><Relationship Id="rId438" Type="http://schemas.openxmlformats.org/officeDocument/2006/relationships/hyperlink" Target="https://drive.google.com/file/d/1q_ZhR4C_u9jscDrAPDkPg6PRxUlGVYws/view?usp=drivesdk" TargetMode="External"/><Relationship Id="rId433" Type="http://schemas.openxmlformats.org/officeDocument/2006/relationships/hyperlink" Target="https://lh5.googleusercontent.com/d/1KMt9RBbbYmqrDKG1k20wjEjUn0Ogf8qi" TargetMode="External"/><Relationship Id="rId432" Type="http://schemas.openxmlformats.org/officeDocument/2006/relationships/hyperlink" Target="https://drive.google.com/file/d/11q0REtS6WgCmbEMEmYbZzmNEX5s2tNy9/view?usp=drivesdk" TargetMode="External"/><Relationship Id="rId431" Type="http://schemas.openxmlformats.org/officeDocument/2006/relationships/hyperlink" Target="https://lh5.googleusercontent.com/d/1F8v-6eCY_MmASSVjuGfLx3wfur3i3sdD" TargetMode="External"/><Relationship Id="rId430" Type="http://schemas.openxmlformats.org/officeDocument/2006/relationships/hyperlink" Target="https://drive.google.com/file/d/1rwfkGIpmBQTp2ltCJiNjbfTeUALlCnlc/view?usp=drivesdk" TargetMode="External"/><Relationship Id="rId1" Type="http://schemas.openxmlformats.org/officeDocument/2006/relationships/hyperlink" Target="https://lh5.googleusercontent.com/d/1I-cWams3n0rT_h2kxUyGE6R0iSQCoNHO" TargetMode="External"/><Relationship Id="rId2" Type="http://schemas.openxmlformats.org/officeDocument/2006/relationships/hyperlink" Target="https://drive.google.com/file/d/1_hZQNmFZuRjAy0O6K59fguQ2wt1yXozK/view?usp=drivesdk" TargetMode="External"/><Relationship Id="rId3" Type="http://schemas.openxmlformats.org/officeDocument/2006/relationships/hyperlink" Target="https://lh5.googleusercontent.com/d/10Bo0Y4CPPq8BEETbpfmGGjdszB6cot5_" TargetMode="External"/><Relationship Id="rId4" Type="http://schemas.openxmlformats.org/officeDocument/2006/relationships/hyperlink" Target="https://drive.google.com/file/d/15wzMfQum2_sbJ-PfEFkPUR4Q0JeH_B-m/view?usp=drivesdk" TargetMode="External"/><Relationship Id="rId9" Type="http://schemas.openxmlformats.org/officeDocument/2006/relationships/hyperlink" Target="https://lh5.googleusercontent.com/d/1G-w9xzwpgPTsrn0cgaUc5zyUqDcLuIPN" TargetMode="External"/><Relationship Id="rId5" Type="http://schemas.openxmlformats.org/officeDocument/2006/relationships/hyperlink" Target="https://lh5.googleusercontent.com/d/1UnT2lOHCOxGI6gQkFn1PnDzYhSt2MBxU" TargetMode="External"/><Relationship Id="rId6" Type="http://schemas.openxmlformats.org/officeDocument/2006/relationships/hyperlink" Target="https://drive.google.com/file/d/1mZ7cbAqsD8kuxBYAuFr-YP44LJPyF3HO/view?usp=drivesdk" TargetMode="External"/><Relationship Id="rId7" Type="http://schemas.openxmlformats.org/officeDocument/2006/relationships/hyperlink" Target="https://lh5.googleusercontent.com/d/1mY3j3JaPUBXT06jZLaJhTsW76urMdbrC" TargetMode="External"/><Relationship Id="rId8" Type="http://schemas.openxmlformats.org/officeDocument/2006/relationships/hyperlink" Target="https://drive.google.com/file/d/1YR-AEDymZgogNn7n3eJsc7Etpx0c_mIm/view?usp=drivesdk" TargetMode="External"/><Relationship Id="rId709" Type="http://schemas.openxmlformats.org/officeDocument/2006/relationships/hyperlink" Target="https://lh5.googleusercontent.com/d/1OvzHxXJsfzM2IrXs9KetQXqD9qHe0QgJ" TargetMode="External"/><Relationship Id="rId708" Type="http://schemas.openxmlformats.org/officeDocument/2006/relationships/hyperlink" Target="https://drive.google.com/file/d/1mQUnD26DV1j9hb4mbTJCkLhxHI282u6j/view?usp=drivesdk" TargetMode="External"/><Relationship Id="rId707" Type="http://schemas.openxmlformats.org/officeDocument/2006/relationships/hyperlink" Target="https://lh5.googleusercontent.com/d/1mO0vBQ1jrb-gsSwYxkcSXdT9d6TrZiXW" TargetMode="External"/><Relationship Id="rId706" Type="http://schemas.openxmlformats.org/officeDocument/2006/relationships/hyperlink" Target="https://drive.google.com/file/d/1EqPHgovQ413qiUBgKUSEi9o-4sYs6loD/view?usp=drivesdk" TargetMode="External"/><Relationship Id="rId701" Type="http://schemas.openxmlformats.org/officeDocument/2006/relationships/hyperlink" Target="https://lh5.googleusercontent.com/d/1u9vhDhuAWmXPq7XkIactKtXLS2bjviBD" TargetMode="External"/><Relationship Id="rId700" Type="http://schemas.openxmlformats.org/officeDocument/2006/relationships/hyperlink" Target="https://drive.google.com/file/d/1lFKiZzCwitSv4TRdta4pOBDkYx88TX2T/view?usp=drivesdk" TargetMode="External"/><Relationship Id="rId705" Type="http://schemas.openxmlformats.org/officeDocument/2006/relationships/hyperlink" Target="https://lh5.googleusercontent.com/d/1w6yGppmITFtqIiN1-uZwxoVYSq3WuI83" TargetMode="External"/><Relationship Id="rId704" Type="http://schemas.openxmlformats.org/officeDocument/2006/relationships/hyperlink" Target="https://drive.google.com/file/d/1wnguZxsd1r039Np6nU1jzYNB2gnY1t54/view?usp=drivesdk" TargetMode="External"/><Relationship Id="rId703" Type="http://schemas.openxmlformats.org/officeDocument/2006/relationships/hyperlink" Target="https://lh5.googleusercontent.com/d/1irviaXPE8ySLzfqAqeQlOrexnJOq5Gb5" TargetMode="External"/><Relationship Id="rId702" Type="http://schemas.openxmlformats.org/officeDocument/2006/relationships/hyperlink" Target="https://drive.google.com/file/d/1hapIfRxUFv-sKortnX1GCb47L8fHKHpN/view?usp=drivesdk" TargetMode="External"/><Relationship Id="rId712" Type="http://schemas.openxmlformats.org/officeDocument/2006/relationships/hyperlink" Target="https://drive.google.com/file/d/1A54doF8uE4D72AIdXJrQN2Uu3Ins-Nxn/view?usp=drivesdk" TargetMode="External"/><Relationship Id="rId711" Type="http://schemas.openxmlformats.org/officeDocument/2006/relationships/hyperlink" Target="https://lh5.googleusercontent.com/d/1EbiOse5qeeT8kFLnZ22FDuumThbqOUZa" TargetMode="External"/><Relationship Id="rId710" Type="http://schemas.openxmlformats.org/officeDocument/2006/relationships/hyperlink" Target="https://drive.google.com/file/d/1S1WwvpAJNPA0ovMxDmSjNf54iYAEJ2Xr/view?usp=drivesdk" TargetMode="External"/><Relationship Id="rId713" Type="http://schemas.openxmlformats.org/officeDocument/2006/relationships/drawing" Target="../drawings/drawing2.xml"/><Relationship Id="rId629" Type="http://schemas.openxmlformats.org/officeDocument/2006/relationships/hyperlink" Target="https://lh5.googleusercontent.com/d/153wsiIB3DHhLg7xz-S2jXjB9osrcgO3s" TargetMode="External"/><Relationship Id="rId624" Type="http://schemas.openxmlformats.org/officeDocument/2006/relationships/hyperlink" Target="https://drive.google.com/file/d/1yKiYKa8eAltALjGsbls5oYQNTG_RyfUB/view?usp=drivesdk" TargetMode="External"/><Relationship Id="rId623" Type="http://schemas.openxmlformats.org/officeDocument/2006/relationships/hyperlink" Target="https://lh5.googleusercontent.com/d/1XzuUUz-TWMpta9_xV8RxxGytbXytaJtw" TargetMode="External"/><Relationship Id="rId622" Type="http://schemas.openxmlformats.org/officeDocument/2006/relationships/hyperlink" Target="https://drive.google.com/file/d/1Fh_EIwMHnP8Rr9eHizpe0ugoFXcKc1l6/view?usp=drivesdk" TargetMode="External"/><Relationship Id="rId621" Type="http://schemas.openxmlformats.org/officeDocument/2006/relationships/hyperlink" Target="https://lh5.googleusercontent.com/d/1eh3NIv3wAKeytR2UoOOz2uqPlT9woTOE" TargetMode="External"/><Relationship Id="rId628" Type="http://schemas.openxmlformats.org/officeDocument/2006/relationships/hyperlink" Target="https://drive.google.com/file/d/1_sWFS1wRjd3jm6htmgaUJTAzl5xctDPN/view?usp=drivesdk" TargetMode="External"/><Relationship Id="rId627" Type="http://schemas.openxmlformats.org/officeDocument/2006/relationships/hyperlink" Target="https://lh5.googleusercontent.com/d/1Kt07dPaG6D55YqrjPYiH1J9m4dCrClHu" TargetMode="External"/><Relationship Id="rId626" Type="http://schemas.openxmlformats.org/officeDocument/2006/relationships/hyperlink" Target="https://drive.google.com/file/d/1IwoJFHo_Yj0HdsY7amah1oDyMU_41pCK/view?usp=drivesdk" TargetMode="External"/><Relationship Id="rId625" Type="http://schemas.openxmlformats.org/officeDocument/2006/relationships/hyperlink" Target="https://lh5.googleusercontent.com/d/1CvQb-uWa86xuJ-ATjpNU_YK8nUDCtx_x" TargetMode="External"/><Relationship Id="rId620" Type="http://schemas.openxmlformats.org/officeDocument/2006/relationships/hyperlink" Target="https://drive.google.com/file/d/1TzbBLPL3oZV0SBHMu-lDYN6DmGn9DDZo/view?usp=drivesdk" TargetMode="External"/><Relationship Id="rId619" Type="http://schemas.openxmlformats.org/officeDocument/2006/relationships/hyperlink" Target="https://lh5.googleusercontent.com/d/1vIgFfYYqpyAiBJUvzn1rFGTi2_q7-5Ie" TargetMode="External"/><Relationship Id="rId618" Type="http://schemas.openxmlformats.org/officeDocument/2006/relationships/hyperlink" Target="https://lh5.googleusercontent.com/d/139wld_iumNLlxPd5m_wm4rRRcSghSNUh" TargetMode="External"/><Relationship Id="rId613" Type="http://schemas.openxmlformats.org/officeDocument/2006/relationships/hyperlink" Target="https://lh5.googleusercontent.com/d/1fAMuazvu2zrdBAlLT1ON1QLtA5frDMXE" TargetMode="External"/><Relationship Id="rId612" Type="http://schemas.openxmlformats.org/officeDocument/2006/relationships/hyperlink" Target="https://lh5.googleusercontent.com/d/1-GCZDi57FDrtydHpHAomzy_6-5x7dePo" TargetMode="External"/><Relationship Id="rId611" Type="http://schemas.openxmlformats.org/officeDocument/2006/relationships/hyperlink" Target="https://drive.google.com/file/d/1riLxHAm3L2zUUxlpRyvQdyrVHwYY4y7v/view?usp=drivesdk" TargetMode="External"/><Relationship Id="rId610" Type="http://schemas.openxmlformats.org/officeDocument/2006/relationships/hyperlink" Target="https://lh5.googleusercontent.com/d/1bw0PqyWWUE83MbT3vR_ayu8msXOfPUJO" TargetMode="External"/><Relationship Id="rId617" Type="http://schemas.openxmlformats.org/officeDocument/2006/relationships/hyperlink" Target="https://drive.google.com/file/d/1mnSGkefzb2N2D-7WA8JvIUjJNwbFh0UB/view?usp=drivesdk" TargetMode="External"/><Relationship Id="rId616" Type="http://schemas.openxmlformats.org/officeDocument/2006/relationships/hyperlink" Target="https://lh5.googleusercontent.com/d/1Y8gnt8IjdDGqgzeJEkaJMBcI4u4CzhQd" TargetMode="External"/><Relationship Id="rId615" Type="http://schemas.openxmlformats.org/officeDocument/2006/relationships/hyperlink" Target="https://drive.google.com/file/d/1DIM0VfNAUBR12Qk4E8QwNqvuY6Ku9s-H/view?usp=drivesdk" TargetMode="External"/><Relationship Id="rId614" Type="http://schemas.openxmlformats.org/officeDocument/2006/relationships/hyperlink" Target="https://lh5.googleusercontent.com/d/1gNFeGv52ocb5VqTJfswc73vB076nPMS9" TargetMode="External"/><Relationship Id="rId646" Type="http://schemas.openxmlformats.org/officeDocument/2006/relationships/hyperlink" Target="https://lh5.googleusercontent.com/d/1WQi0zCl8fK8xhEsHT21QwxMi_fmSRoTZ" TargetMode="External"/><Relationship Id="rId645" Type="http://schemas.openxmlformats.org/officeDocument/2006/relationships/hyperlink" Target="https://drive.google.com/file/d/1gghGj2JV17PK7wR4jnQljMjMQTyga3EA/view?usp=drivesdk" TargetMode="External"/><Relationship Id="rId644" Type="http://schemas.openxmlformats.org/officeDocument/2006/relationships/hyperlink" Target="https://lh5.googleusercontent.com/d/1FcdqooZOM4Qz9rzhoKyzt7eIBL6CECu2" TargetMode="External"/><Relationship Id="rId643" Type="http://schemas.openxmlformats.org/officeDocument/2006/relationships/hyperlink" Target="https://drive.google.com/file/d/1GuXsqf9ZwR5nl4Fn7a-YUoajp_uRyba4/view?usp=drivesdk" TargetMode="External"/><Relationship Id="rId649" Type="http://schemas.openxmlformats.org/officeDocument/2006/relationships/hyperlink" Target="https://drive.google.com/file/d/1PuZkAHxnTLSKQJin_ao4NiUB3xp8TPVS/view?usp=drivesdk" TargetMode="External"/><Relationship Id="rId648" Type="http://schemas.openxmlformats.org/officeDocument/2006/relationships/hyperlink" Target="https://lh5.googleusercontent.com/d/1k_xnFzwxT4itPkljuSr5t_jgrfjWDzzT" TargetMode="External"/><Relationship Id="rId647" Type="http://schemas.openxmlformats.org/officeDocument/2006/relationships/hyperlink" Target="https://drive.google.com/file/d/14hejgTgmwrC3m5t2eChMJo938FoXKMXr/view?usp=drivesdk" TargetMode="External"/><Relationship Id="rId642" Type="http://schemas.openxmlformats.org/officeDocument/2006/relationships/hyperlink" Target="https://lh5.googleusercontent.com/d/1TsrZVRhoAQJ16fbAD9O6SJFYkrr2ga6f" TargetMode="External"/><Relationship Id="rId641" Type="http://schemas.openxmlformats.org/officeDocument/2006/relationships/hyperlink" Target="https://drive.google.com/file/d/1HIBNMhAldeW5aI955_LyV2-KusMuSyjV/view?usp=drivesdk" TargetMode="External"/><Relationship Id="rId640" Type="http://schemas.openxmlformats.org/officeDocument/2006/relationships/hyperlink" Target="https://lh5.googleusercontent.com/d/1HzqIgsKYu9qAGs7S1OJApab3M1hckLTO" TargetMode="External"/><Relationship Id="rId635" Type="http://schemas.openxmlformats.org/officeDocument/2006/relationships/hyperlink" Target="https://drive.google.com/file/d/1UIUdQpFKwbkfIZ9gwLSbBwpRQHVuItr8/view?usp=drivesdk" TargetMode="External"/><Relationship Id="rId634" Type="http://schemas.openxmlformats.org/officeDocument/2006/relationships/hyperlink" Target="https://lh5.googleusercontent.com/d/1H97FJf0OobC0TQB5jda9QQDKp5JrbUoH" TargetMode="External"/><Relationship Id="rId633" Type="http://schemas.openxmlformats.org/officeDocument/2006/relationships/hyperlink" Target="https://lh5.googleusercontent.com/d/1X_bTPxGCB4LXuDMOSGMNdt-_GWmVw-r_" TargetMode="External"/><Relationship Id="rId632" Type="http://schemas.openxmlformats.org/officeDocument/2006/relationships/hyperlink" Target="https://drive.google.com/file/d/15wjWKodQMoFRVSarpT9WVWX5cMjQ6dsq/view?usp=drivesdk" TargetMode="External"/><Relationship Id="rId639" Type="http://schemas.openxmlformats.org/officeDocument/2006/relationships/hyperlink" Target="https://drive.google.com/file/d/1_G52xn7ncqn-c58WtpHvBrX0nC712Lot/view?usp=drivesdk" TargetMode="External"/><Relationship Id="rId638" Type="http://schemas.openxmlformats.org/officeDocument/2006/relationships/hyperlink" Target="https://lh5.googleusercontent.com/d/1IXJ2qAQ4XrHphP1C-esdYisN3Sk7o01w" TargetMode="External"/><Relationship Id="rId637" Type="http://schemas.openxmlformats.org/officeDocument/2006/relationships/hyperlink" Target="https://drive.google.com/file/d/1EnesW4nxHhcGbv3cUeLzkZ_bwDUF9x8T/view?usp=drivesdk" TargetMode="External"/><Relationship Id="rId636" Type="http://schemas.openxmlformats.org/officeDocument/2006/relationships/hyperlink" Target="https://lh5.googleusercontent.com/d/1VInvNTz_H8gsgTO5ou5mgiM35wbtsNSD" TargetMode="External"/><Relationship Id="rId631" Type="http://schemas.openxmlformats.org/officeDocument/2006/relationships/hyperlink" Target="https://lh5.googleusercontent.com/d/1W8YipC62oXQ2gwYQfvL91sJq1dmRCsKe" TargetMode="External"/><Relationship Id="rId630" Type="http://schemas.openxmlformats.org/officeDocument/2006/relationships/hyperlink" Target="https://drive.google.com/file/d/1dPSHMyYqlcZwyLnTgNsE8puB9WBDs3yE/view?usp=drivesdk" TargetMode="External"/><Relationship Id="rId609" Type="http://schemas.openxmlformats.org/officeDocument/2006/relationships/hyperlink" Target="https://drive.google.com/file/d/18MKrE60w_0lJ-J1mNNQ1EiEq8mPnhJsx/view?usp=drivesdk" TargetMode="External"/><Relationship Id="rId608" Type="http://schemas.openxmlformats.org/officeDocument/2006/relationships/hyperlink" Target="https://lh5.googleusercontent.com/d/1yPvQM-aOI0cSXHukW0s_g3GYwlASXrbL" TargetMode="External"/><Relationship Id="rId607" Type="http://schemas.openxmlformats.org/officeDocument/2006/relationships/hyperlink" Target="https://lh5.googleusercontent.com/d/1PfUizG7Jvf6UsRkQY9Jnjja8dD8oK-9w" TargetMode="External"/><Relationship Id="rId602" Type="http://schemas.openxmlformats.org/officeDocument/2006/relationships/hyperlink" Target="https://drive.google.com/file/d/1JA2x6eY0WDn9SRm6O-h1YFkCR6n_l6uf/view?usp=drivesdk" TargetMode="External"/><Relationship Id="rId601" Type="http://schemas.openxmlformats.org/officeDocument/2006/relationships/hyperlink" Target="https://lh5.googleusercontent.com/d/1AZqnOcUDqCfyWgi8mC1JLjbr0sUKTl5-" TargetMode="External"/><Relationship Id="rId600" Type="http://schemas.openxmlformats.org/officeDocument/2006/relationships/hyperlink" Target="https://drive.google.com/file/d/1pBhvqWnE9SADkNP9utPMDytBn824Kl9Q/view?usp=drivesdk" TargetMode="External"/><Relationship Id="rId606" Type="http://schemas.openxmlformats.org/officeDocument/2006/relationships/hyperlink" Target="https://lh5.googleusercontent.com/d/1ckQ27KZ_utB_0Ulzbvc-LSpZsBwyfzbo" TargetMode="External"/><Relationship Id="rId605" Type="http://schemas.openxmlformats.org/officeDocument/2006/relationships/hyperlink" Target="https://lh5.googleusercontent.com/d/1GSuXVojtRc7MmsNoj78aylcto0W8_S00" TargetMode="External"/><Relationship Id="rId604" Type="http://schemas.openxmlformats.org/officeDocument/2006/relationships/hyperlink" Target="https://drive.google.com/file/d/1Df1J_555mLFVNBElGs6f0x_zT6VEu8C0/view?usp=drivesdk" TargetMode="External"/><Relationship Id="rId603" Type="http://schemas.openxmlformats.org/officeDocument/2006/relationships/hyperlink" Target="https://lh5.googleusercontent.com/d/1kJXdm2M1c2znXp5p_5kC2a5dEFtpIGPY" TargetMode="External"/><Relationship Id="rId699" Type="http://schemas.openxmlformats.org/officeDocument/2006/relationships/hyperlink" Target="https://lh5.googleusercontent.com/d/1QZpM4uqTSHCIkgFkZpr9LPflsaHFgwB3" TargetMode="External"/><Relationship Id="rId698" Type="http://schemas.openxmlformats.org/officeDocument/2006/relationships/hyperlink" Target="https://drive.google.com/file/d/1_CnLEwKu4svqIQVlC0f7zCTjiL_8nOSf/view?usp=drivesdk" TargetMode="External"/><Relationship Id="rId693" Type="http://schemas.openxmlformats.org/officeDocument/2006/relationships/hyperlink" Target="https://lh5.googleusercontent.com/d/1_HppVHz40nzJ0HJJlWSlzJ7ioZqL6U5z" TargetMode="External"/><Relationship Id="rId692" Type="http://schemas.openxmlformats.org/officeDocument/2006/relationships/hyperlink" Target="https://drive.google.com/file/d/1e8zRFl1sb2Ga_CE7evolTMUZjpxkdBYa/view?usp=drivesdk" TargetMode="External"/><Relationship Id="rId691" Type="http://schemas.openxmlformats.org/officeDocument/2006/relationships/hyperlink" Target="https://lh5.googleusercontent.com/d/1RTpuonJ7Z06MFW_5_zfj2f_5iNiJ3LF5" TargetMode="External"/><Relationship Id="rId690" Type="http://schemas.openxmlformats.org/officeDocument/2006/relationships/hyperlink" Target="https://drive.google.com/file/d/18PJO_gUf1xyF8qk23o5DaunTdlVHd4PV/view?usp=drivesdk" TargetMode="External"/><Relationship Id="rId697" Type="http://schemas.openxmlformats.org/officeDocument/2006/relationships/hyperlink" Target="https://lh5.googleusercontent.com/d/1eLEKqfPH_nsas8UAyk5-sHDvdoLNXuxu" TargetMode="External"/><Relationship Id="rId696" Type="http://schemas.openxmlformats.org/officeDocument/2006/relationships/hyperlink" Target="https://drive.google.com/file/d/1-EYzOjBR37g3Q9x5XrbqzN4_uYtb9WkC/view?usp=drivesdk" TargetMode="External"/><Relationship Id="rId695" Type="http://schemas.openxmlformats.org/officeDocument/2006/relationships/hyperlink" Target="https://lh5.googleusercontent.com/d/1zNmFzJMDJyutptNTk3Ch7rUq42XtscTM" TargetMode="External"/><Relationship Id="rId694" Type="http://schemas.openxmlformats.org/officeDocument/2006/relationships/hyperlink" Target="https://drive.google.com/file/d/1YkClxHvhjSU3Hzg_Fk3KDS5bgkiRCB6X/view?usp=drivesdk" TargetMode="External"/><Relationship Id="rId668" Type="http://schemas.openxmlformats.org/officeDocument/2006/relationships/hyperlink" Target="https://drive.google.com/file/d/1TiKRduX5Cf3waxjWeDIWvWJhlvRnu3Sq/view?usp=drivesdk" TargetMode="External"/><Relationship Id="rId667" Type="http://schemas.openxmlformats.org/officeDocument/2006/relationships/hyperlink" Target="https://lh5.googleusercontent.com/d/12qsAhpMPV4z2XsU3gyl5Qu-u30YPdubY" TargetMode="External"/><Relationship Id="rId666" Type="http://schemas.openxmlformats.org/officeDocument/2006/relationships/hyperlink" Target="https://lh5.googleusercontent.com/d/1sANeNCVU2fad45d2ozKVpGmkNREB2nLq" TargetMode="External"/><Relationship Id="rId665" Type="http://schemas.openxmlformats.org/officeDocument/2006/relationships/hyperlink" Target="https://drive.google.com/file/d/1P5jCor5RXZxuQKP8ToDBKYG1nC8ckGJu/view?usp=drivesdk" TargetMode="External"/><Relationship Id="rId669" Type="http://schemas.openxmlformats.org/officeDocument/2006/relationships/hyperlink" Target="https://lh5.googleusercontent.com/d/1hXZ2OKaKnFikviAoh4TWjvx_U7KqXDTa" TargetMode="External"/><Relationship Id="rId660" Type="http://schemas.openxmlformats.org/officeDocument/2006/relationships/hyperlink" Target="https://drive.google.com/file/d/1nKZKKr0bRKgGtrXLPNo3WAWZGwrS2eP_/view?usp=drivesdk" TargetMode="External"/><Relationship Id="rId664" Type="http://schemas.openxmlformats.org/officeDocument/2006/relationships/hyperlink" Target="https://lh5.googleusercontent.com/d/1V-alX0KjoIMSC_G63NVYDQp-PQsUlLqy" TargetMode="External"/><Relationship Id="rId663" Type="http://schemas.openxmlformats.org/officeDocument/2006/relationships/hyperlink" Target="https://lh5.googleusercontent.com/d/1Phxq2Rm64oVee6a1pSDHqsa6oowwMM-v" TargetMode="External"/><Relationship Id="rId662" Type="http://schemas.openxmlformats.org/officeDocument/2006/relationships/hyperlink" Target="https://drive.google.com/file/d/10770DhTtbZ7K81Q7jeO1OlWFPPNdbc_V/view?usp=drivesdk" TargetMode="External"/><Relationship Id="rId661" Type="http://schemas.openxmlformats.org/officeDocument/2006/relationships/hyperlink" Target="https://lh5.googleusercontent.com/d/1PaP-WrQn27L91zeltPLA2rDImMaNjhMF" TargetMode="External"/><Relationship Id="rId657" Type="http://schemas.openxmlformats.org/officeDocument/2006/relationships/hyperlink" Target="https://lh5.googleusercontent.com/d/1y-JH3MK_CnvJ2l8ZLb55zPHSoYNirQ08" TargetMode="External"/><Relationship Id="rId656" Type="http://schemas.openxmlformats.org/officeDocument/2006/relationships/hyperlink" Target="https://drive.google.com/file/d/1BEpbtLMxaMjz1rI0siwEsZkal3_AtsAc/view?usp=drivesdk" TargetMode="External"/><Relationship Id="rId655" Type="http://schemas.openxmlformats.org/officeDocument/2006/relationships/hyperlink" Target="https://lh5.googleusercontent.com/d/1y3tF7_7InVrnRPMtFStCvo11ek3q1fac" TargetMode="External"/><Relationship Id="rId654" Type="http://schemas.openxmlformats.org/officeDocument/2006/relationships/hyperlink" Target="https://drive.google.com/file/d/1bH7suPlroy_8_dmMz3zGig5QTls3qvqL/view?usp=drivesdk" TargetMode="External"/><Relationship Id="rId659" Type="http://schemas.openxmlformats.org/officeDocument/2006/relationships/hyperlink" Target="https://lh5.googleusercontent.com/d/1AnBxhi1ZDvwyGxWtMy9HxRZbj7m7EBEK" TargetMode="External"/><Relationship Id="rId658" Type="http://schemas.openxmlformats.org/officeDocument/2006/relationships/hyperlink" Target="https://drive.google.com/file/d/1J7z7Jbfvin8D5WkgKnGIK7L2752N4nfy/view?usp=drivesdk" TargetMode="External"/><Relationship Id="rId653" Type="http://schemas.openxmlformats.org/officeDocument/2006/relationships/hyperlink" Target="https://lh5.googleusercontent.com/d/1fjjWiP8mGKd7tt7w7SJBZ2P_0kPIz6Pt" TargetMode="External"/><Relationship Id="rId652" Type="http://schemas.openxmlformats.org/officeDocument/2006/relationships/hyperlink" Target="https://lh5.googleusercontent.com/d/1EVdlT2ewbw9-sEXFuqlvobXr71qYdb-k" TargetMode="External"/><Relationship Id="rId651" Type="http://schemas.openxmlformats.org/officeDocument/2006/relationships/hyperlink" Target="https://drive.google.com/file/d/1RrTr9AeAA27BvhTv5ALanTTOSOctkzFI/view?usp=drivesdk" TargetMode="External"/><Relationship Id="rId650" Type="http://schemas.openxmlformats.org/officeDocument/2006/relationships/hyperlink" Target="https://lh5.googleusercontent.com/d/1xEyKr61oDKRh_NR8sxIkGOY4IRcznaMV" TargetMode="External"/><Relationship Id="rId689" Type="http://schemas.openxmlformats.org/officeDocument/2006/relationships/hyperlink" Target="https://lh5.googleusercontent.com/d/163Egp7JVbWTwLdcWMKBAMowkFhDIKokn" TargetMode="External"/><Relationship Id="rId688" Type="http://schemas.openxmlformats.org/officeDocument/2006/relationships/hyperlink" Target="https://lh5.googleusercontent.com/d/1B6Ctfb5nV52KsmLZq2ENca6BE5KhmKmf" TargetMode="External"/><Relationship Id="rId687" Type="http://schemas.openxmlformats.org/officeDocument/2006/relationships/hyperlink" Target="https://drive.google.com/file/d/1Sh78VHBxZt_MpL6vKr42CS_Y8_uwNvyc/view?usp=drivesdk" TargetMode="External"/><Relationship Id="rId682" Type="http://schemas.openxmlformats.org/officeDocument/2006/relationships/hyperlink" Target="https://lh5.googleusercontent.com/d/1SBxz4oEg8vl58VCGtqYe1D-7cHFObj59" TargetMode="External"/><Relationship Id="rId681" Type="http://schemas.openxmlformats.org/officeDocument/2006/relationships/hyperlink" Target="https://drive.google.com/file/d/1FmJv-md91tlJd0v4P9lWFslzerAcZaP-/view?usp=drivesdk" TargetMode="External"/><Relationship Id="rId680" Type="http://schemas.openxmlformats.org/officeDocument/2006/relationships/hyperlink" Target="https://lh5.googleusercontent.com/d/1iHixNh8V6MD09VHMH3lfDVG-5UwVbbtM" TargetMode="External"/><Relationship Id="rId686" Type="http://schemas.openxmlformats.org/officeDocument/2006/relationships/hyperlink" Target="https://lh5.googleusercontent.com/d/1kZcQsK7CLNiY3NMEt-XEwkGCk2Deg8uk" TargetMode="External"/><Relationship Id="rId685" Type="http://schemas.openxmlformats.org/officeDocument/2006/relationships/hyperlink" Target="https://drive.google.com/file/d/1zOqL0MXdnhv-RUZiSNJWA-TNpfXIKuhT/view?usp=drivesdk" TargetMode="External"/><Relationship Id="rId684" Type="http://schemas.openxmlformats.org/officeDocument/2006/relationships/hyperlink" Target="https://lh5.googleusercontent.com/d/1jaGeTAV2U1tC_HsWfJ9Ayfu0ShO6hrB9" TargetMode="External"/><Relationship Id="rId683" Type="http://schemas.openxmlformats.org/officeDocument/2006/relationships/hyperlink" Target="https://drive.google.com/file/d/1aziMIAZb_n22YNehsI7tTro6Jh6eUQn_/view?usp=drivesdk" TargetMode="External"/><Relationship Id="rId679" Type="http://schemas.openxmlformats.org/officeDocument/2006/relationships/hyperlink" Target="https://lh5.googleusercontent.com/d/1HW-xjOQbFRo9iZtPRztZXK5vld5CPdDG" TargetMode="External"/><Relationship Id="rId678" Type="http://schemas.openxmlformats.org/officeDocument/2006/relationships/hyperlink" Target="https://drive.google.com/file/d/1QS9s94eRlUGQ5J53SGq5COuGkERhRvUC/view?usp=drivesdk" TargetMode="External"/><Relationship Id="rId677" Type="http://schemas.openxmlformats.org/officeDocument/2006/relationships/hyperlink" Target="https://lh5.googleusercontent.com/d/1gCgl7xunx4mCqX6gV_hPomVkHSntWgce" TargetMode="External"/><Relationship Id="rId676" Type="http://schemas.openxmlformats.org/officeDocument/2006/relationships/hyperlink" Target="https://drive.google.com/file/d/1bED3XoEVC4kERl3DqyMSNJ7WARClOUCp/view?usp=drivesdk" TargetMode="External"/><Relationship Id="rId671" Type="http://schemas.openxmlformats.org/officeDocument/2006/relationships/hyperlink" Target="https://lh5.googleusercontent.com/d/1cE5BWmozZCK0p8XEDbKiHbjSQQeR3heA" TargetMode="External"/><Relationship Id="rId670" Type="http://schemas.openxmlformats.org/officeDocument/2006/relationships/hyperlink" Target="https://drive.google.com/file/d/1reXMHzLQ0L2TCXuirtuR0K9OIKcGp7ZK/view?usp=drivesdk" TargetMode="External"/><Relationship Id="rId675" Type="http://schemas.openxmlformats.org/officeDocument/2006/relationships/hyperlink" Target="https://lh5.googleusercontent.com/d/1r4twlNFI-ZL9ciBm7q4YTI7QFlA2dfvz" TargetMode="External"/><Relationship Id="rId674" Type="http://schemas.openxmlformats.org/officeDocument/2006/relationships/hyperlink" Target="https://drive.google.com/file/d/1tYktEHrhVZAA5ADYK_YTmjzoptzhgnJS/view?usp=drivesdk" TargetMode="External"/><Relationship Id="rId673" Type="http://schemas.openxmlformats.org/officeDocument/2006/relationships/hyperlink" Target="https://lh5.googleusercontent.com/d/15P3LNABHfZY1GSPlNFNZOX5quIwirepF" TargetMode="External"/><Relationship Id="rId672" Type="http://schemas.openxmlformats.org/officeDocument/2006/relationships/hyperlink" Target="https://drive.google.com/file/d/1TxVTEC2DmnrS35k5xZE-fPd12tZa-aLG/view?usp=drivesdk" TargetMode="External"/><Relationship Id="rId190" Type="http://schemas.openxmlformats.org/officeDocument/2006/relationships/hyperlink" Target="https://lh5.googleusercontent.com/d/1ZzVYzs789r_UtsdVOCGLS4b6KkIwL76J" TargetMode="External"/><Relationship Id="rId194" Type="http://schemas.openxmlformats.org/officeDocument/2006/relationships/hyperlink" Target="https://lh5.googleusercontent.com/d/1vKAla8P2_1y590xueVzdtK9h7qyODldS" TargetMode="External"/><Relationship Id="rId193" Type="http://schemas.openxmlformats.org/officeDocument/2006/relationships/hyperlink" Target="https://drive.google.com/file/d/16TQ4wztodjZbOehNIdquXY5vRu5IcaKp/view?usp=drivesdk" TargetMode="External"/><Relationship Id="rId192" Type="http://schemas.openxmlformats.org/officeDocument/2006/relationships/hyperlink" Target="https://lh5.googleusercontent.com/d/1J249vehdxxmwxGtUoQMg91MhZxA0IaKb" TargetMode="External"/><Relationship Id="rId191" Type="http://schemas.openxmlformats.org/officeDocument/2006/relationships/hyperlink" Target="https://drive.google.com/file/d/1UkGaws8dOCWVzK8fOkYQSUo2pDMJnrwf/view?usp=drivesdk" TargetMode="External"/><Relationship Id="rId187" Type="http://schemas.openxmlformats.org/officeDocument/2006/relationships/hyperlink" Target="https://drive.google.com/file/d/1oMbHJyCiZQ11k6ijmY_74aO0slAzWvUe/view?usp=drivesdk" TargetMode="External"/><Relationship Id="rId186" Type="http://schemas.openxmlformats.org/officeDocument/2006/relationships/hyperlink" Target="https://lh5.googleusercontent.com/d/1NpAlgEnoMn9USA8ajwJiPmo3i_3HsQg2" TargetMode="External"/><Relationship Id="rId185" Type="http://schemas.openxmlformats.org/officeDocument/2006/relationships/hyperlink" Target="https://drive.google.com/file/d/17FXR938mYwjUnMIuF3g364U43b6lDsZk/view?usp=drivesdk" TargetMode="External"/><Relationship Id="rId184" Type="http://schemas.openxmlformats.org/officeDocument/2006/relationships/hyperlink" Target="https://lh5.googleusercontent.com/d/1k6foeVaFkcD-DMwprsfBkMfgGJBj1x12" TargetMode="External"/><Relationship Id="rId189" Type="http://schemas.openxmlformats.org/officeDocument/2006/relationships/hyperlink" Target="https://drive.google.com/file/d/1uG4WEmx_y_OsvxSMebohF-qVhnMQ48BR/view?usp=drivesdk" TargetMode="External"/><Relationship Id="rId188" Type="http://schemas.openxmlformats.org/officeDocument/2006/relationships/hyperlink" Target="https://lh5.googleusercontent.com/d/1D_dpA0P1QEAN27dS0grDkwJZ-gCjlFos" TargetMode="External"/><Relationship Id="rId183" Type="http://schemas.openxmlformats.org/officeDocument/2006/relationships/hyperlink" Target="https://drive.google.com/file/d/1mvPpAzeVR7SpdUJ8GI3cR-DKYlTLnJtm/view?usp=drivesdk" TargetMode="External"/><Relationship Id="rId182" Type="http://schemas.openxmlformats.org/officeDocument/2006/relationships/hyperlink" Target="https://lh5.googleusercontent.com/d/1mXiVc23Hd8feYrkCeEYXDutJulXgsJ9w" TargetMode="External"/><Relationship Id="rId181" Type="http://schemas.openxmlformats.org/officeDocument/2006/relationships/hyperlink" Target="https://drive.google.com/file/d/1C7V9QU6Vyx9DEHmf4-U2sfHGvvTQn4iY/view?usp=drivesdk" TargetMode="External"/><Relationship Id="rId180" Type="http://schemas.openxmlformats.org/officeDocument/2006/relationships/hyperlink" Target="https://lh5.googleusercontent.com/d/173R7x1XTizcoXxqV4HC2DQIC6DOkeFzc" TargetMode="External"/><Relationship Id="rId176" Type="http://schemas.openxmlformats.org/officeDocument/2006/relationships/hyperlink" Target="https://lh5.googleusercontent.com/d/1yeCF95hGQzsJ-UjUeMBRdZq9PaGAX-w6" TargetMode="External"/><Relationship Id="rId175" Type="http://schemas.openxmlformats.org/officeDocument/2006/relationships/hyperlink" Target="https://drive.google.com/file/d/1x7Ci0vBxlV8ijFeV9uEffSI8O32pgHCC/view?usp=drivesdk" TargetMode="External"/><Relationship Id="rId174" Type="http://schemas.openxmlformats.org/officeDocument/2006/relationships/hyperlink" Target="https://lh5.googleusercontent.com/d/1CFDfchqPcKuhOl90osS2sBRYpA8hF7vt" TargetMode="External"/><Relationship Id="rId173" Type="http://schemas.openxmlformats.org/officeDocument/2006/relationships/hyperlink" Target="https://drive.google.com/file/d/1EAxujLxG7VSaiQn5mOoA4EbxoBko5RT1/view?usp=drivesdk" TargetMode="External"/><Relationship Id="rId179" Type="http://schemas.openxmlformats.org/officeDocument/2006/relationships/hyperlink" Target="https://drive.google.com/file/d/1xd3rpLYczBnxN043W2ftHgdoSMw2EVx3/view?usp=drivesdk" TargetMode="External"/><Relationship Id="rId178" Type="http://schemas.openxmlformats.org/officeDocument/2006/relationships/hyperlink" Target="https://lh5.googleusercontent.com/d/1UI0m9OZ0p2vRLlbOVVDY93CQVPLzYC4L" TargetMode="External"/><Relationship Id="rId177" Type="http://schemas.openxmlformats.org/officeDocument/2006/relationships/hyperlink" Target="https://drive.google.com/file/d/1T3I9gCby_u73DgCRO_Af7VCZT446g3v6/view?usp=drivesdk" TargetMode="External"/><Relationship Id="rId198" Type="http://schemas.openxmlformats.org/officeDocument/2006/relationships/hyperlink" Target="https://lh5.googleusercontent.com/d/1eZquCjJ-hy_RvSzHRsQf7FWarksIuRrW" TargetMode="External"/><Relationship Id="rId197" Type="http://schemas.openxmlformats.org/officeDocument/2006/relationships/hyperlink" Target="https://drive.google.com/file/d/1VNMp-I_lK-c7USEu0kSpg1pWDKddAhh5/view?usp=drivesdk" TargetMode="External"/><Relationship Id="rId196" Type="http://schemas.openxmlformats.org/officeDocument/2006/relationships/hyperlink" Target="https://lh5.googleusercontent.com/d/1dfLj-I-RrrYTEVDAFBRGfJZxLbD_iRSl" TargetMode="External"/><Relationship Id="rId195" Type="http://schemas.openxmlformats.org/officeDocument/2006/relationships/hyperlink" Target="https://drive.google.com/file/d/1TSDTYmC9HTlGZCr-BX_54SuEoAcWxa_M/view?usp=drivesdk" TargetMode="External"/><Relationship Id="rId199" Type="http://schemas.openxmlformats.org/officeDocument/2006/relationships/hyperlink" Target="https://drive.google.com/file/d/1eKgf40TLe0BPJOWasu968urBU2lRAx3e/view?usp=drivesdk" TargetMode="External"/><Relationship Id="rId150" Type="http://schemas.openxmlformats.org/officeDocument/2006/relationships/hyperlink" Target="https://lh5.googleusercontent.com/d/1RufDqyBpSEVkOO16ZlRfEqfKm1wDK8V_" TargetMode="External"/><Relationship Id="rId149" Type="http://schemas.openxmlformats.org/officeDocument/2006/relationships/hyperlink" Target="https://drive.google.com/file/d/15AcohbynR8iKAa68CztLAemu24ytHVRo/view?usp=drivesdk" TargetMode="External"/><Relationship Id="rId148" Type="http://schemas.openxmlformats.org/officeDocument/2006/relationships/hyperlink" Target="https://lh5.googleusercontent.com/d/1KxrrnhOIE0tc_dpMZ2dmsZ_DbNeayLC2" TargetMode="External"/><Relationship Id="rId143" Type="http://schemas.openxmlformats.org/officeDocument/2006/relationships/hyperlink" Target="https://drive.google.com/file/d/1d8b5mMsgxpJBeh37b4mMKQcs941q0GN4/view?usp=drivesdk" TargetMode="External"/><Relationship Id="rId142" Type="http://schemas.openxmlformats.org/officeDocument/2006/relationships/hyperlink" Target="https://lh5.googleusercontent.com/d/1BXU9DIoMC7e1RXbfOwi2RapJLo2uC-0E" TargetMode="External"/><Relationship Id="rId141" Type="http://schemas.openxmlformats.org/officeDocument/2006/relationships/hyperlink" Target="https://drive.google.com/file/d/1CeHqjV7aDWOTK6ztncWtZ6NTs2qxnL-d/view?usp=drivesdk" TargetMode="External"/><Relationship Id="rId140" Type="http://schemas.openxmlformats.org/officeDocument/2006/relationships/hyperlink" Target="https://lh5.googleusercontent.com/d/17EgZKQoDDI7s-OaGugNr79z5iSyFiCbL" TargetMode="External"/><Relationship Id="rId147" Type="http://schemas.openxmlformats.org/officeDocument/2006/relationships/hyperlink" Target="https://drive.google.com/file/d/10Lo7SX9c0k3bw2KNmJzAsU0x9WFCnl_g/view?usp=drivesdk" TargetMode="External"/><Relationship Id="rId146" Type="http://schemas.openxmlformats.org/officeDocument/2006/relationships/hyperlink" Target="https://lh5.googleusercontent.com/d/1Yn2w7X1WXzJtkWHgQn0mhDgNdkmRBF4g" TargetMode="External"/><Relationship Id="rId145" Type="http://schemas.openxmlformats.org/officeDocument/2006/relationships/hyperlink" Target="https://drive.google.com/file/d/10YtsA_h_sDf216MfbWRIxhm8MH3MgxED/view?usp=drivesdk" TargetMode="External"/><Relationship Id="rId144" Type="http://schemas.openxmlformats.org/officeDocument/2006/relationships/hyperlink" Target="https://lh5.googleusercontent.com/d/1E-3OwrPFFhjPhjAPUVzfR1ARcGNFlHn9" TargetMode="External"/><Relationship Id="rId139" Type="http://schemas.openxmlformats.org/officeDocument/2006/relationships/hyperlink" Target="https://drive.google.com/file/d/1HpeKf2XLu7kY8zocc2yRzGQhwNtjTvt7/view?usp=drivesdk" TargetMode="External"/><Relationship Id="rId138" Type="http://schemas.openxmlformats.org/officeDocument/2006/relationships/hyperlink" Target="https://lh5.googleusercontent.com/d/15ajr7kJEswHOAO1e2ULmhMUb62Ppy5gU" TargetMode="External"/><Relationship Id="rId137" Type="http://schemas.openxmlformats.org/officeDocument/2006/relationships/hyperlink" Target="https://drive.google.com/file/d/1000eHcsL3OQXMqA78patmKJRXeOlmUho/view?usp=drivesdk" TargetMode="External"/><Relationship Id="rId132" Type="http://schemas.openxmlformats.org/officeDocument/2006/relationships/hyperlink" Target="https://lh5.googleusercontent.com/d/1zqRFmmufDDpQ86PqQ6IYRP8WigrqTGnz" TargetMode="External"/><Relationship Id="rId131" Type="http://schemas.openxmlformats.org/officeDocument/2006/relationships/hyperlink" Target="https://drive.google.com/file/d/184OzNZjKcAbNX-D57INH2xXFFrDbB3hI/view?usp=drivesdk" TargetMode="External"/><Relationship Id="rId130" Type="http://schemas.openxmlformats.org/officeDocument/2006/relationships/hyperlink" Target="https://lh5.googleusercontent.com/d/1CdT_KPYsEtTtS455VZ3VHvNuIVdUlYAb" TargetMode="External"/><Relationship Id="rId136" Type="http://schemas.openxmlformats.org/officeDocument/2006/relationships/hyperlink" Target="https://lh5.googleusercontent.com/d/1ukECXl3pSBa2AV1nemISXT8sDCS6tgAz" TargetMode="External"/><Relationship Id="rId135" Type="http://schemas.openxmlformats.org/officeDocument/2006/relationships/hyperlink" Target="https://drive.google.com/file/d/1R5k__b4d3WCs026Lo1R3uHrI3kN6xPy_/view?usp=drivesdk" TargetMode="External"/><Relationship Id="rId134" Type="http://schemas.openxmlformats.org/officeDocument/2006/relationships/hyperlink" Target="https://lh5.googleusercontent.com/d/1QaEQFXGhkGPUjjc-YX2DCc-kU4pUzAbi" TargetMode="External"/><Relationship Id="rId133" Type="http://schemas.openxmlformats.org/officeDocument/2006/relationships/hyperlink" Target="https://drive.google.com/file/d/1t-OZrfJXNug7s-mZDzFawjmzcr1fuYxR/view?usp=drivesdk" TargetMode="External"/><Relationship Id="rId172" Type="http://schemas.openxmlformats.org/officeDocument/2006/relationships/hyperlink" Target="https://lh5.googleusercontent.com/d/1L9HbhTpoag8dWzuqXRpAQniycF93R9fq" TargetMode="External"/><Relationship Id="rId171" Type="http://schemas.openxmlformats.org/officeDocument/2006/relationships/hyperlink" Target="https://drive.google.com/file/d/1mgO3YZ1az-0iNnLP5ireyamSYO9JNr3w/view?usp=drivesdk" TargetMode="External"/><Relationship Id="rId170" Type="http://schemas.openxmlformats.org/officeDocument/2006/relationships/hyperlink" Target="https://lh5.googleusercontent.com/d/1PGeWuV5VqQrQQDmeM6z2QHcGSU2EgnhE" TargetMode="External"/><Relationship Id="rId165" Type="http://schemas.openxmlformats.org/officeDocument/2006/relationships/hyperlink" Target="https://drive.google.com/file/d/1HD6Eqzt7CWwkcSiOsd_JRGkcSJyL5zx2/view?usp=drivesdk" TargetMode="External"/><Relationship Id="rId164" Type="http://schemas.openxmlformats.org/officeDocument/2006/relationships/hyperlink" Target="https://lh5.googleusercontent.com/d/14ea6Hn5-GlijFo2lfYnxN18ODw--hafJ" TargetMode="External"/><Relationship Id="rId163" Type="http://schemas.openxmlformats.org/officeDocument/2006/relationships/hyperlink" Target="https://drive.google.com/file/d/1TujxeeqlX-J6whOIwW6A1OEA3R3FS86L/view?usp=drivesdk" TargetMode="External"/><Relationship Id="rId162" Type="http://schemas.openxmlformats.org/officeDocument/2006/relationships/hyperlink" Target="https://lh5.googleusercontent.com/d/1Mf5hSnsr7E6OOR2IT8Vm3mJ1RleKlMS1" TargetMode="External"/><Relationship Id="rId169" Type="http://schemas.openxmlformats.org/officeDocument/2006/relationships/hyperlink" Target="https://drive.google.com/file/d/1hVa_jW_v-1smmsL7NqVcfVgQAAIjbcTc/view?usp=drivesdk" TargetMode="External"/><Relationship Id="rId168" Type="http://schemas.openxmlformats.org/officeDocument/2006/relationships/hyperlink" Target="https://lh5.googleusercontent.com/d/1xKKhVIercZ-8w_RPltUAvU6551wv8juT" TargetMode="External"/><Relationship Id="rId167" Type="http://schemas.openxmlformats.org/officeDocument/2006/relationships/hyperlink" Target="https://drive.google.com/file/d/1hNMO5h1KjSLa0Cr8-AAxd6L3QcUEORNI/view?usp=drivesdk" TargetMode="External"/><Relationship Id="rId166" Type="http://schemas.openxmlformats.org/officeDocument/2006/relationships/hyperlink" Target="https://lh5.googleusercontent.com/d/1sBMmlVmoBo6jZ_snK3dVjdyEVZddSNTi" TargetMode="External"/><Relationship Id="rId161" Type="http://schemas.openxmlformats.org/officeDocument/2006/relationships/hyperlink" Target="https://drive.google.com/file/d/173yKGBUcGokettRRIvZ2pNUTXuC5tBLK/view?usp=drivesdk" TargetMode="External"/><Relationship Id="rId160" Type="http://schemas.openxmlformats.org/officeDocument/2006/relationships/hyperlink" Target="https://lh5.googleusercontent.com/d/1x5x53FXAwenVz3BEd4-w6pApvHjakKmr" TargetMode="External"/><Relationship Id="rId159" Type="http://schemas.openxmlformats.org/officeDocument/2006/relationships/hyperlink" Target="https://drive.google.com/file/d/1R824vb1W98iDwDZS4L23g56KHChaCINO/view?usp=drivesdk" TargetMode="External"/><Relationship Id="rId154" Type="http://schemas.openxmlformats.org/officeDocument/2006/relationships/hyperlink" Target="https://lh5.googleusercontent.com/d/137R_g6eIgMiG88x29PgxZ9Ur2OI2okLd" TargetMode="External"/><Relationship Id="rId153" Type="http://schemas.openxmlformats.org/officeDocument/2006/relationships/hyperlink" Target="https://drive.google.com/file/d/19WHTP8Q_LoIT4ZQVfDSWZxE_x8yIREbb/view?usp=drivesdk" TargetMode="External"/><Relationship Id="rId152" Type="http://schemas.openxmlformats.org/officeDocument/2006/relationships/hyperlink" Target="https://lh5.googleusercontent.com/d/1bYCKbxV02940OJ6cL9L1VU12Vq_UbHZE" TargetMode="External"/><Relationship Id="rId151" Type="http://schemas.openxmlformats.org/officeDocument/2006/relationships/hyperlink" Target="https://drive.google.com/file/d/179mvYcq_UnzXhqg_9GBvM70ikkTyvSsF/view?usp=drivesdk" TargetMode="External"/><Relationship Id="rId158" Type="http://schemas.openxmlformats.org/officeDocument/2006/relationships/hyperlink" Target="https://lh5.googleusercontent.com/d/1cNvOx0GOp-W66WXNnebffOx333rd-a3I" TargetMode="External"/><Relationship Id="rId157" Type="http://schemas.openxmlformats.org/officeDocument/2006/relationships/hyperlink" Target="https://drive.google.com/file/d/1QlhzbJ91hQ2tihOO1ahVYAOm24_sECiz/view?usp=drivesdk" TargetMode="External"/><Relationship Id="rId156" Type="http://schemas.openxmlformats.org/officeDocument/2006/relationships/hyperlink" Target="https://lh5.googleusercontent.com/d/1R-SvbdFm78v36Cs1jxYRi-Zz6Xp73V05" TargetMode="External"/><Relationship Id="rId155" Type="http://schemas.openxmlformats.org/officeDocument/2006/relationships/hyperlink" Target="https://drive.google.com/file/d/1SDh68uaCoYznMaFPOGmDsWfYEGpm1Tlc/view?usp=drivesdk" TargetMode="External"/><Relationship Id="rId107" Type="http://schemas.openxmlformats.org/officeDocument/2006/relationships/hyperlink" Target="https://drive.google.com/file/d/14mJvR1EiOynG7I2yrGoTx1Gr5ynMnE_z/view?usp=drivesdk" TargetMode="External"/><Relationship Id="rId106" Type="http://schemas.openxmlformats.org/officeDocument/2006/relationships/hyperlink" Target="https://lh5.googleusercontent.com/d/1qblfB5RlHHgpVaDUomRivPqcjM0j8CwT" TargetMode="External"/><Relationship Id="rId105" Type="http://schemas.openxmlformats.org/officeDocument/2006/relationships/hyperlink" Target="https://drive.google.com/file/d/1vwQwMRUsEP8HCga4pYf7y4FNRbniHC38/view?usp=drivesdk" TargetMode="External"/><Relationship Id="rId104" Type="http://schemas.openxmlformats.org/officeDocument/2006/relationships/hyperlink" Target="https://lh5.googleusercontent.com/d/11n-63pMtHnBRzHCSwwZz4UtaICxjcu3O" TargetMode="External"/><Relationship Id="rId109" Type="http://schemas.openxmlformats.org/officeDocument/2006/relationships/hyperlink" Target="https://drive.google.com/file/d/1umPfpLoJ2VmOE-Kto3ToQvgyp97Fp_1z/view?usp=drivesdk" TargetMode="External"/><Relationship Id="rId108" Type="http://schemas.openxmlformats.org/officeDocument/2006/relationships/hyperlink" Target="https://lh5.googleusercontent.com/d/1_eDRifSgFc09P5vqPxm4OFuL_TSRliDl" TargetMode="External"/><Relationship Id="rId103" Type="http://schemas.openxmlformats.org/officeDocument/2006/relationships/hyperlink" Target="https://drive.google.com/file/d/1Svdl8e6hxlg16t-Wj-PsB02KijHNc2GL/view?usp=drivesdk" TargetMode="External"/><Relationship Id="rId102" Type="http://schemas.openxmlformats.org/officeDocument/2006/relationships/hyperlink" Target="https://lh5.googleusercontent.com/d/1ncbY_whOpcjuVhnixvx7fbISsGPTs3UY" TargetMode="External"/><Relationship Id="rId101" Type="http://schemas.openxmlformats.org/officeDocument/2006/relationships/hyperlink" Target="https://drive.google.com/file/d/14R2DhA0_SZMLsNkWdx_bxXQ-qzpFo8_V/view?usp=drivesdk" TargetMode="External"/><Relationship Id="rId100" Type="http://schemas.openxmlformats.org/officeDocument/2006/relationships/hyperlink" Target="https://lh5.googleusercontent.com/d/1UNCWmLiFOxUEI5nkrEy20CXe6FCKd9MA" TargetMode="External"/><Relationship Id="rId129" Type="http://schemas.openxmlformats.org/officeDocument/2006/relationships/hyperlink" Target="https://drive.google.com/file/d/1oy9jR5UlTkf17kQtnyUO9QSpHuLV48Ru/view?usp=drivesdk" TargetMode="External"/><Relationship Id="rId128" Type="http://schemas.openxmlformats.org/officeDocument/2006/relationships/hyperlink" Target="https://lh5.googleusercontent.com/d/1jGH5JwuG5C6O7h5gFWgWTRtkVQreR9af" TargetMode="External"/><Relationship Id="rId127" Type="http://schemas.openxmlformats.org/officeDocument/2006/relationships/hyperlink" Target="https://drive.google.com/file/d/1WClkqkszsatKqd4qPV4wSQYnfw9divM-/view?usp=drivesdk" TargetMode="External"/><Relationship Id="rId126" Type="http://schemas.openxmlformats.org/officeDocument/2006/relationships/hyperlink" Target="https://lh5.googleusercontent.com/d/1qND4YlDS2SfJXDt6z5vjVi7FmWta0b-2" TargetMode="External"/><Relationship Id="rId121" Type="http://schemas.openxmlformats.org/officeDocument/2006/relationships/hyperlink" Target="https://drive.google.com/file/d/1XBF5ZYZFEeo3GFhbDWt8r2zvdBNC7kSs/view?usp=drivesdk" TargetMode="External"/><Relationship Id="rId120" Type="http://schemas.openxmlformats.org/officeDocument/2006/relationships/hyperlink" Target="https://lh5.googleusercontent.com/d/1v-1zpEA7Dq2K42kctXFiZFtKXPb6jQGr" TargetMode="External"/><Relationship Id="rId125" Type="http://schemas.openxmlformats.org/officeDocument/2006/relationships/hyperlink" Target="https://drive.google.com/file/d/142VQnlW4ZMm2FwnKpMJNrzkk8v0SPJJA/view?usp=drivesdk" TargetMode="External"/><Relationship Id="rId124" Type="http://schemas.openxmlformats.org/officeDocument/2006/relationships/hyperlink" Target="https://lh5.googleusercontent.com/d/1wkzjQyi9Vm5SPS91aU2nY2KPadC0PeMZ" TargetMode="External"/><Relationship Id="rId123" Type="http://schemas.openxmlformats.org/officeDocument/2006/relationships/hyperlink" Target="https://drive.google.com/file/d/1RH3jlI0VxOoUsry5lmTXkVwD2alxlyFr/view?usp=drivesdk" TargetMode="External"/><Relationship Id="rId122" Type="http://schemas.openxmlformats.org/officeDocument/2006/relationships/hyperlink" Target="https://lh5.googleusercontent.com/d/1ZUImgKU99YyrOM06GR1zgpPNAO-fTSCQ" TargetMode="External"/><Relationship Id="rId118" Type="http://schemas.openxmlformats.org/officeDocument/2006/relationships/hyperlink" Target="https://lh5.googleusercontent.com/d/1HaFzSV4qCwaAiS5y7-_k0cm80GJyeDyE" TargetMode="External"/><Relationship Id="rId117" Type="http://schemas.openxmlformats.org/officeDocument/2006/relationships/hyperlink" Target="https://drive.google.com/file/d/1dls27RcfAO7y7v7h-PSXuZmnBu4s4jCv/view?usp=drivesdk" TargetMode="External"/><Relationship Id="rId116" Type="http://schemas.openxmlformats.org/officeDocument/2006/relationships/hyperlink" Target="https://lh5.googleusercontent.com/d/16ei8ytaLqxaarAAHd0R1ENkb3Je2IRgf" TargetMode="External"/><Relationship Id="rId115" Type="http://schemas.openxmlformats.org/officeDocument/2006/relationships/hyperlink" Target="https://drive.google.com/file/d/1t1OGqYtGTMH3r7Ti77xn5O-9njdjGXwr/view?usp=drivesdk" TargetMode="External"/><Relationship Id="rId119" Type="http://schemas.openxmlformats.org/officeDocument/2006/relationships/hyperlink" Target="https://drive.google.com/file/d/1rai2eU9J6LCbSUXFdk8nH4j7lbYKVpCJ/view?usp=drivesdk" TargetMode="External"/><Relationship Id="rId110" Type="http://schemas.openxmlformats.org/officeDocument/2006/relationships/hyperlink" Target="https://lh5.googleusercontent.com/d/11vcaFvIQJockRUGj4K6I4y9kROilGaA3" TargetMode="External"/><Relationship Id="rId114" Type="http://schemas.openxmlformats.org/officeDocument/2006/relationships/hyperlink" Target="https://lh5.googleusercontent.com/d/1i8GjX1wIV5OTMQCXNyP_Y3yn1pBEjhgF" TargetMode="External"/><Relationship Id="rId113" Type="http://schemas.openxmlformats.org/officeDocument/2006/relationships/hyperlink" Target="https://drive.google.com/file/d/1zuO5B2MsJ0fnOziZ07O3KXI46vIsDOPU/view?usp=drivesdk" TargetMode="External"/><Relationship Id="rId112" Type="http://schemas.openxmlformats.org/officeDocument/2006/relationships/hyperlink" Target="https://lh5.googleusercontent.com/d/1B6bQ7VvVlISvmb-nyvDmQ9i7hrYbvhwD" TargetMode="External"/><Relationship Id="rId111" Type="http://schemas.openxmlformats.org/officeDocument/2006/relationships/hyperlink" Target="https://drive.google.com/file/d/1n0a-2cXSyEMPaYPJqJVkta_HhDewHRbr/view?usp=drivesdk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lh5.googleusercontent.com/d/1suBuk7ISoLszH7UKTU86W-TPpxrCOKTu" TargetMode="External"/><Relationship Id="rId391" Type="http://schemas.openxmlformats.org/officeDocument/2006/relationships/hyperlink" Target="https://drive.google.com/file/d/1JIEQt2HyJgApXbymX5h-wPrSkhdCeZe4/view?usp=drivesdk" TargetMode="External"/><Relationship Id="rId390" Type="http://schemas.openxmlformats.org/officeDocument/2006/relationships/hyperlink" Target="https://lh5.googleusercontent.com/d/1pz0AvfocOcjntSMXaQASSPgdI0Fkvm6D" TargetMode="External"/><Relationship Id="rId385" Type="http://schemas.openxmlformats.org/officeDocument/2006/relationships/hyperlink" Target="https://drive.google.com/file/d/1B4XEAZ6HhooIXi2uvyn8D8BFw0vW9hwN/view?usp=drivesdk" TargetMode="External"/><Relationship Id="rId384" Type="http://schemas.openxmlformats.org/officeDocument/2006/relationships/hyperlink" Target="https://lh5.googleusercontent.com/d/1mnPsxY_yhG9EoX_A-_aZIhS-SNQM7qLO" TargetMode="External"/><Relationship Id="rId383" Type="http://schemas.openxmlformats.org/officeDocument/2006/relationships/hyperlink" Target="https://drive.google.com/file/d/1GIzmN-CTdQa2pniICpVAM4hp1bG5Eq4O/view?usp=drivesdk" TargetMode="External"/><Relationship Id="rId382" Type="http://schemas.openxmlformats.org/officeDocument/2006/relationships/hyperlink" Target="https://lh5.googleusercontent.com/d/1aXRrx-u6OQ9DzVeTnulBRotqz_N5dK8w" TargetMode="External"/><Relationship Id="rId389" Type="http://schemas.openxmlformats.org/officeDocument/2006/relationships/hyperlink" Target="https://drive.google.com/file/d/1gICk6-JzgcDUEqbq-V-AE8yUOJUXlOnt/view?usp=drivesdk" TargetMode="External"/><Relationship Id="rId388" Type="http://schemas.openxmlformats.org/officeDocument/2006/relationships/hyperlink" Target="https://lh5.googleusercontent.com/d/1DGvIV7JI6aFkVSthhtGJkUUqIRsIZcDq" TargetMode="External"/><Relationship Id="rId387" Type="http://schemas.openxmlformats.org/officeDocument/2006/relationships/hyperlink" Target="https://drive.google.com/file/d/1xNu5FJ1wirRC-tDpIoHkjQDf7eWYnHNj/view?usp=drivesdk" TargetMode="External"/><Relationship Id="rId386" Type="http://schemas.openxmlformats.org/officeDocument/2006/relationships/hyperlink" Target="https://lh5.googleusercontent.com/d/1UMqS3e1fCpq-71825BTsxvpRN1JaXHy7" TargetMode="External"/><Relationship Id="rId381" Type="http://schemas.openxmlformats.org/officeDocument/2006/relationships/hyperlink" Target="https://drive.google.com/file/d/1m_gXPFpgyqasSxm4tAuBsnzWb5TL1tXx/view?usp=drivesdk" TargetMode="External"/><Relationship Id="rId380" Type="http://schemas.openxmlformats.org/officeDocument/2006/relationships/hyperlink" Target="https://lh5.googleusercontent.com/d/13YnaMO_Brf4NLOAFSs3phAmxETXGgkKe" TargetMode="External"/><Relationship Id="rId379" Type="http://schemas.openxmlformats.org/officeDocument/2006/relationships/hyperlink" Target="https://drive.google.com/file/d/1GBjXCybHwYxREoe0pyUbpmaD43V98yWS/view?usp=drivesdk" TargetMode="External"/><Relationship Id="rId374" Type="http://schemas.openxmlformats.org/officeDocument/2006/relationships/hyperlink" Target="https://lh5.googleusercontent.com/d/1V8lUHqZ0fhAsDjBaPTZCvw_6IRvgc5Ns" TargetMode="External"/><Relationship Id="rId373" Type="http://schemas.openxmlformats.org/officeDocument/2006/relationships/hyperlink" Target="https://drive.google.com/file/d/1cbWyo4HuBj0ZhCHsf-fYLntmCklZx2GC/view?usp=drivesdk" TargetMode="External"/><Relationship Id="rId372" Type="http://schemas.openxmlformats.org/officeDocument/2006/relationships/hyperlink" Target="https://lh5.googleusercontent.com/d/1F5I-trgkKB8NByKa17LMCpnjXk7BvuBF" TargetMode="External"/><Relationship Id="rId371" Type="http://schemas.openxmlformats.org/officeDocument/2006/relationships/hyperlink" Target="https://drive.google.com/file/d/1g87cHJ_LjBuYm7qwylhbXCG5jbb7uXlE/view?usp=drivesdk" TargetMode="External"/><Relationship Id="rId378" Type="http://schemas.openxmlformats.org/officeDocument/2006/relationships/hyperlink" Target="https://lh5.googleusercontent.com/d/1j1Qc76wviLOF6xAuxOp4Ox8vrVxe8DU-" TargetMode="External"/><Relationship Id="rId377" Type="http://schemas.openxmlformats.org/officeDocument/2006/relationships/hyperlink" Target="https://drive.google.com/file/d/1LUO-UGbtcwyPdZPibfDggKwJNYjH13a3/view?usp=drivesdk" TargetMode="External"/><Relationship Id="rId376" Type="http://schemas.openxmlformats.org/officeDocument/2006/relationships/hyperlink" Target="https://lh5.googleusercontent.com/d/1hGiMsPiZ_YacFI0us6F8LdlQ1CIOvUPq" TargetMode="External"/><Relationship Id="rId375" Type="http://schemas.openxmlformats.org/officeDocument/2006/relationships/hyperlink" Target="https://drive.google.com/file/d/1lMGwauSfmA7vcakay0f6-m2Zt3L_rDix/view?usp=drivesdk" TargetMode="External"/><Relationship Id="rId396" Type="http://schemas.openxmlformats.org/officeDocument/2006/relationships/hyperlink" Target="https://lh5.googleusercontent.com/d/1U1XRitG4lz38GnjEUApN_hz0pW6wlu9R" TargetMode="External"/><Relationship Id="rId395" Type="http://schemas.openxmlformats.org/officeDocument/2006/relationships/hyperlink" Target="https://drive.google.com/file/d/1-CeRMAO2t8gtg7J0a7Coo951aCRHX1cL/view?usp=drivesdk" TargetMode="External"/><Relationship Id="rId394" Type="http://schemas.openxmlformats.org/officeDocument/2006/relationships/hyperlink" Target="https://lh5.googleusercontent.com/d/188OZLEQ1eiRs2dIDK1Em7HsjihHgfrwB" TargetMode="External"/><Relationship Id="rId393" Type="http://schemas.openxmlformats.org/officeDocument/2006/relationships/hyperlink" Target="https://drive.google.com/file/d/1brgUtXSD4hq979ZWBVg2N8GNWx4xuqKB/view?usp=drivesdk" TargetMode="External"/><Relationship Id="rId399" Type="http://schemas.openxmlformats.org/officeDocument/2006/relationships/hyperlink" Target="https://drive.google.com/file/d/1Ze0CUoOG9PmjRqeWOR1TnmTTn-bY6HTs/view?usp=drivesdk" TargetMode="External"/><Relationship Id="rId398" Type="http://schemas.openxmlformats.org/officeDocument/2006/relationships/hyperlink" Target="https://lh5.googleusercontent.com/d/1oeQ3Z8IxTqt7hT6t_pMqttz1ksy8iVkT" TargetMode="External"/><Relationship Id="rId397" Type="http://schemas.openxmlformats.org/officeDocument/2006/relationships/hyperlink" Target="https://drive.google.com/file/d/1mxY0Il8YSnIxhNZla7FeMZ982PyjcS7S/view?usp=drivesdk" TargetMode="External"/><Relationship Id="rId1730" Type="http://schemas.openxmlformats.org/officeDocument/2006/relationships/hyperlink" Target="https://lh5.googleusercontent.com/d/1RDdHwsGCQobaXKFdA8XIthPhtaPsgNwF" TargetMode="External"/><Relationship Id="rId1731" Type="http://schemas.openxmlformats.org/officeDocument/2006/relationships/hyperlink" Target="https://drive.google.com/file/d/1vOQ_5YXoonibFYVkWCeeY-OCnbau5EC0/view?usp=drivesdk" TargetMode="External"/><Relationship Id="rId1732" Type="http://schemas.openxmlformats.org/officeDocument/2006/relationships/hyperlink" Target="https://lh5.googleusercontent.com/d/11exl4cvIavNdNfC6ewrKvK7eK6e9uQJ6" TargetMode="External"/><Relationship Id="rId1733" Type="http://schemas.openxmlformats.org/officeDocument/2006/relationships/hyperlink" Target="https://drive.google.com/file/d/1yMUtT7RIEH9bNmczUx_7h2_RTqapo37c/view?usp=drivesdk" TargetMode="External"/><Relationship Id="rId1734" Type="http://schemas.openxmlformats.org/officeDocument/2006/relationships/hyperlink" Target="https://lh5.googleusercontent.com/d/1q8QV2EEyZ_7WWa0Ze7a8OT84zp8HiqGT" TargetMode="External"/><Relationship Id="rId1735" Type="http://schemas.openxmlformats.org/officeDocument/2006/relationships/hyperlink" Target="https://drive.google.com/file/d/143Z78JgdcNfwD1ijq0BcSmRiEePnnz7g/view?usp=drivesdk" TargetMode="External"/><Relationship Id="rId1736" Type="http://schemas.openxmlformats.org/officeDocument/2006/relationships/hyperlink" Target="https://lh5.googleusercontent.com/d/1BVvaBSDXeBaZ2HdhwR4gZiTU7yN-qIyY" TargetMode="External"/><Relationship Id="rId1737" Type="http://schemas.openxmlformats.org/officeDocument/2006/relationships/hyperlink" Target="https://drive.google.com/file/d/1uZkAQOhGS6JkDjNUddoCKMCJZTbVb2Qj/view?usp=drivesdk" TargetMode="External"/><Relationship Id="rId1738" Type="http://schemas.openxmlformats.org/officeDocument/2006/relationships/hyperlink" Target="https://lh5.googleusercontent.com/d/1CMbd8ILRON-e9q1pkK1kqrAwj55KdlXt" TargetMode="External"/><Relationship Id="rId1739" Type="http://schemas.openxmlformats.org/officeDocument/2006/relationships/hyperlink" Target="https://drive.google.com/file/d/1PDym0--6Z_E9HGzJYaFnFGGwRoeCrA9O/view?usp=drivesdk" TargetMode="External"/><Relationship Id="rId1720" Type="http://schemas.openxmlformats.org/officeDocument/2006/relationships/hyperlink" Target="https://drive.google.com/file/d/1hLISLci1xtLIXnBlbVcCtPqzwc3hU_MZ/view?usp=drivesdk" TargetMode="External"/><Relationship Id="rId1721" Type="http://schemas.openxmlformats.org/officeDocument/2006/relationships/hyperlink" Target="https://lh5.googleusercontent.com/d/1z1FSVkN9p3k36bx4r3D3sswL9iX4d_Zd" TargetMode="External"/><Relationship Id="rId1722" Type="http://schemas.openxmlformats.org/officeDocument/2006/relationships/hyperlink" Target="https://drive.google.com/file/d/1yMGzhIbZS4TZwc2F4JHZJjIJVRhHtwuk/view?usp=drivesdk" TargetMode="External"/><Relationship Id="rId1723" Type="http://schemas.openxmlformats.org/officeDocument/2006/relationships/hyperlink" Target="https://lh5.googleusercontent.com/d/1ovjGhVCXyLUlicGjvQ80bWrchw5lAo6J" TargetMode="External"/><Relationship Id="rId1724" Type="http://schemas.openxmlformats.org/officeDocument/2006/relationships/hyperlink" Target="https://drive.google.com/file/d/1GQiKd3qimw4S8QrM_wv5puhXEbs4CMbg/view?usp=drivesdk" TargetMode="External"/><Relationship Id="rId1725" Type="http://schemas.openxmlformats.org/officeDocument/2006/relationships/hyperlink" Target="https://lh5.googleusercontent.com/d/1kv_jc-2V9_6DqTRD8J7jCVlpFGqD5jCX" TargetMode="External"/><Relationship Id="rId1726" Type="http://schemas.openxmlformats.org/officeDocument/2006/relationships/hyperlink" Target="https://drive.google.com/file/d/1MQQf3-0KF7jksAkgFhHpsaV6zOxtj80u/view?usp=drivesdk" TargetMode="External"/><Relationship Id="rId1727" Type="http://schemas.openxmlformats.org/officeDocument/2006/relationships/hyperlink" Target="https://lh5.googleusercontent.com/d/16rEVU_VPDKgxjluQxpBPc7zZcNHKSP4t" TargetMode="External"/><Relationship Id="rId1728" Type="http://schemas.openxmlformats.org/officeDocument/2006/relationships/hyperlink" Target="https://lh5.googleusercontent.com/d/1YaIdemWD9mvKCwNqGsDsgOzC-PDHV4fs" TargetMode="External"/><Relationship Id="rId1729" Type="http://schemas.openxmlformats.org/officeDocument/2006/relationships/hyperlink" Target="https://drive.google.com/file/d/1mkgK94GG4OZ_Ym00r_vOvJCg_h_au-5b/view?usp=drivesdk" TargetMode="External"/><Relationship Id="rId1752" Type="http://schemas.openxmlformats.org/officeDocument/2006/relationships/hyperlink" Target="https://lh5.googleusercontent.com/d/1kFML0YnkCOGbCyaJFHWLiPSEJ74Wu3d2" TargetMode="External"/><Relationship Id="rId1753" Type="http://schemas.openxmlformats.org/officeDocument/2006/relationships/hyperlink" Target="https://drive.google.com/file/d/1JyvyFHuVS1Jz6B2Ia02jZ9DO-6mFUhPM/view?usp=drivesdk" TargetMode="External"/><Relationship Id="rId1754" Type="http://schemas.openxmlformats.org/officeDocument/2006/relationships/hyperlink" Target="https://lh5.googleusercontent.com/d/1A_7HqRuikBm2GPVnBOX4LeBQpl493Hjm" TargetMode="External"/><Relationship Id="rId1755" Type="http://schemas.openxmlformats.org/officeDocument/2006/relationships/hyperlink" Target="https://drive.google.com/file/d/1GjiN3CaRj2cibEueqXqW9wzN6I8qyM1f/view?usp=drivesdk" TargetMode="External"/><Relationship Id="rId1756" Type="http://schemas.openxmlformats.org/officeDocument/2006/relationships/hyperlink" Target="https://lh5.googleusercontent.com/d/1CuoFkMXhjtKtPdI37eUJuzr-3yPZ1oCl" TargetMode="External"/><Relationship Id="rId1757" Type="http://schemas.openxmlformats.org/officeDocument/2006/relationships/hyperlink" Target="https://drive.google.com/file/d/1UwRKvg8GwAdZIuNGzMNEGpuzXr0m_Qj_/view?usp=drivesdk" TargetMode="External"/><Relationship Id="rId1758" Type="http://schemas.openxmlformats.org/officeDocument/2006/relationships/hyperlink" Target="https://lh5.googleusercontent.com/d/12FCOKiCbAqcXTVV-1HFTkvY0z-nHHlaa" TargetMode="External"/><Relationship Id="rId1759" Type="http://schemas.openxmlformats.org/officeDocument/2006/relationships/hyperlink" Target="https://drive.google.com/file/d/1wXt_2Mc4S6o5nMOFyZ9eZTZZxuMP00ET/view?usp=drivesdk" TargetMode="External"/><Relationship Id="rId1750" Type="http://schemas.openxmlformats.org/officeDocument/2006/relationships/hyperlink" Target="https://lh5.googleusercontent.com/d/1AaamNSn9ekUcxouYfaez2Slm2YZ1AZ5I" TargetMode="External"/><Relationship Id="rId1751" Type="http://schemas.openxmlformats.org/officeDocument/2006/relationships/hyperlink" Target="https://drive.google.com/file/d/1OfGhnLNKA2jh73NoSUAarJUtHGr6zMv8/view?usp=drivesdk" TargetMode="External"/><Relationship Id="rId1741" Type="http://schemas.openxmlformats.org/officeDocument/2006/relationships/hyperlink" Target="https://drive.google.com/file/d/1sR6-L6pnENilOBZXOCUah7bRlmWCgOku/view?usp=drivesdk" TargetMode="External"/><Relationship Id="rId1742" Type="http://schemas.openxmlformats.org/officeDocument/2006/relationships/hyperlink" Target="https://lh5.googleusercontent.com/d/1kyD731WXOuvgOVocp6jObkQGBz6cIfRX" TargetMode="External"/><Relationship Id="rId1743" Type="http://schemas.openxmlformats.org/officeDocument/2006/relationships/hyperlink" Target="https://drive.google.com/file/d/13mVReueXHmET3r0kA08mzznAVbGjiIbL/view?usp=drivesdk" TargetMode="External"/><Relationship Id="rId1744" Type="http://schemas.openxmlformats.org/officeDocument/2006/relationships/hyperlink" Target="https://lh5.googleusercontent.com/d/1G5nRBUIM2t5GTh2XInukBPTZDNO8ephd" TargetMode="External"/><Relationship Id="rId1745" Type="http://schemas.openxmlformats.org/officeDocument/2006/relationships/hyperlink" Target="https://drive.google.com/file/d/1qIlA1gib8TOQenSrLQ0v8zXMQ6AZKft2/view?usp=drivesdk" TargetMode="External"/><Relationship Id="rId1746" Type="http://schemas.openxmlformats.org/officeDocument/2006/relationships/hyperlink" Target="https://lh5.googleusercontent.com/d/15-bPqj2MVBmN7IOF2vOOwKUD03yVViV9" TargetMode="External"/><Relationship Id="rId1747" Type="http://schemas.openxmlformats.org/officeDocument/2006/relationships/hyperlink" Target="https://drive.google.com/file/d/1L2yQv0rEt12IGtlgVMmw4grkr5N54yMO/view?usp=drivesdk" TargetMode="External"/><Relationship Id="rId1748" Type="http://schemas.openxmlformats.org/officeDocument/2006/relationships/hyperlink" Target="https://lh5.googleusercontent.com/d/1gFHfRk-sSdqycgC608WVeN9dob0JeYZc" TargetMode="External"/><Relationship Id="rId1749" Type="http://schemas.openxmlformats.org/officeDocument/2006/relationships/hyperlink" Target="https://drive.google.com/file/d/1_Ctwy5M0Wud0wRYqfYCRL-0sBZSl0_4t/view?usp=drivesdk" TargetMode="External"/><Relationship Id="rId1740" Type="http://schemas.openxmlformats.org/officeDocument/2006/relationships/hyperlink" Target="https://lh5.googleusercontent.com/d/194eHGRpaBxSL1sg0HW5jFbDZDNWhAyBA" TargetMode="External"/><Relationship Id="rId1710" Type="http://schemas.openxmlformats.org/officeDocument/2006/relationships/hyperlink" Target="https://drive.google.com/file/d/1aFIm2qL6vlpDwampXLJSiX7vBnQfI-Jo/view?usp=drivesdk" TargetMode="External"/><Relationship Id="rId1711" Type="http://schemas.openxmlformats.org/officeDocument/2006/relationships/hyperlink" Target="https://lh5.googleusercontent.com/d/1A84uZiFtl6vF6F2e89r-Nn-zXoUX7hmL" TargetMode="External"/><Relationship Id="rId1712" Type="http://schemas.openxmlformats.org/officeDocument/2006/relationships/hyperlink" Target="https://drive.google.com/file/d/1u8o-LiXrrQrs_AVhxHqEtVEvY7ihFk--/view?usp=drivesdk" TargetMode="External"/><Relationship Id="rId1713" Type="http://schemas.openxmlformats.org/officeDocument/2006/relationships/hyperlink" Target="https://lh5.googleusercontent.com/d/1IWx4FacjgS3SmyTRiKNgZr3Qqu54e5Kk" TargetMode="External"/><Relationship Id="rId1714" Type="http://schemas.openxmlformats.org/officeDocument/2006/relationships/hyperlink" Target="https://drive.google.com/file/d/1t67VwOwE44YLsqdShr8OsW8dV-aaUVWT/view?usp=drivesdk" TargetMode="External"/><Relationship Id="rId1715" Type="http://schemas.openxmlformats.org/officeDocument/2006/relationships/hyperlink" Target="https://lh5.googleusercontent.com/d/1fCWV_aqDFYoF8iBiPZG0FBZrwZs0NBz_" TargetMode="External"/><Relationship Id="rId1716" Type="http://schemas.openxmlformats.org/officeDocument/2006/relationships/hyperlink" Target="https://drive.google.com/file/d/1jr8RzUQB-jM1L3ET3fWy6Fmzpglnh3ji/view?usp=drivesdk" TargetMode="External"/><Relationship Id="rId1717" Type="http://schemas.openxmlformats.org/officeDocument/2006/relationships/hyperlink" Target="https://lh5.googleusercontent.com/d/1hJurYHH3qTWXtxjh2CBQ3vLo-JG4VE3Z" TargetMode="External"/><Relationship Id="rId1718" Type="http://schemas.openxmlformats.org/officeDocument/2006/relationships/hyperlink" Target="https://drive.google.com/file/d/1yGnSuUnMQi30WmkHqoRWhA8b5hLnCFdj/view?usp=drivesdk" TargetMode="External"/><Relationship Id="rId1719" Type="http://schemas.openxmlformats.org/officeDocument/2006/relationships/hyperlink" Target="https://lh5.googleusercontent.com/d/10Z999r--oTU6TrqwIU0vRHTZs7m3ypLU" TargetMode="External"/><Relationship Id="rId1700" Type="http://schemas.openxmlformats.org/officeDocument/2006/relationships/hyperlink" Target="https://drive.google.com/file/d/1HZrRC9ESLNYEPqjAWG74BPrnqfmjw0xS/view?usp=drivesdk" TargetMode="External"/><Relationship Id="rId1701" Type="http://schemas.openxmlformats.org/officeDocument/2006/relationships/hyperlink" Target="https://lh5.googleusercontent.com/d/1AlS908S1HX94r3hnRV_eRez6Nu8TrTZG" TargetMode="External"/><Relationship Id="rId1702" Type="http://schemas.openxmlformats.org/officeDocument/2006/relationships/hyperlink" Target="https://drive.google.com/file/d/1vCtfqm1rHON5qoMGnMV74SLUvAb_wrJD/view?usp=drivesdk" TargetMode="External"/><Relationship Id="rId1703" Type="http://schemas.openxmlformats.org/officeDocument/2006/relationships/hyperlink" Target="https://lh5.googleusercontent.com/d/1WY8vuaec9KC0-8vufr56n-9Uju4-tEE7" TargetMode="External"/><Relationship Id="rId1704" Type="http://schemas.openxmlformats.org/officeDocument/2006/relationships/hyperlink" Target="https://drive.google.com/file/d/1hjoJiBV-FoGoSwNo4pv5Dz5Bt4I8sEps/view?usp=drivesdk" TargetMode="External"/><Relationship Id="rId1705" Type="http://schemas.openxmlformats.org/officeDocument/2006/relationships/hyperlink" Target="https://lh5.googleusercontent.com/d/1afiryto6Uxpduqflt916wpy-mTTi_kZr" TargetMode="External"/><Relationship Id="rId1706" Type="http://schemas.openxmlformats.org/officeDocument/2006/relationships/hyperlink" Target="https://drive.google.com/file/d/1q9ejhE3cgpr41fIwU8eAmVn3PBXaG0Ff/view?usp=drivesdk" TargetMode="External"/><Relationship Id="rId1707" Type="http://schemas.openxmlformats.org/officeDocument/2006/relationships/hyperlink" Target="https://lh5.googleusercontent.com/d/1reh9gnEzsYMoDYoV4o5rz_VOff7yeH_V" TargetMode="External"/><Relationship Id="rId1708" Type="http://schemas.openxmlformats.org/officeDocument/2006/relationships/hyperlink" Target="https://drive.google.com/file/d/1FODjd3x4b2HSbYtHj0dga7idNorwC315/view?usp=drivesdk" TargetMode="External"/><Relationship Id="rId1709" Type="http://schemas.openxmlformats.org/officeDocument/2006/relationships/hyperlink" Target="https://lh5.googleusercontent.com/d/1SaJqwptR6e6zvkD46H4INlxmxHk5id_V" TargetMode="External"/><Relationship Id="rId40" Type="http://schemas.openxmlformats.org/officeDocument/2006/relationships/hyperlink" Target="https://drive.google.com/file/d/16LOnIQKj_9YzvOonv_zNi5s4g9cbJLHI/view?usp=drivesdk" TargetMode="External"/><Relationship Id="rId42" Type="http://schemas.openxmlformats.org/officeDocument/2006/relationships/hyperlink" Target="https://drive.google.com/file/d/1LxVDJIG7Us07hTqa4GW8NC-2g-Adz44c/view?usp=drivesdk" TargetMode="External"/><Relationship Id="rId41" Type="http://schemas.openxmlformats.org/officeDocument/2006/relationships/hyperlink" Target="https://lh5.googleusercontent.com/d/1Q3f3aAhe6K0uG1NQ00DdxBqDddImTYNZ" TargetMode="External"/><Relationship Id="rId44" Type="http://schemas.openxmlformats.org/officeDocument/2006/relationships/hyperlink" Target="https://drive.google.com/file/d/1Zx0QXHk_b7nqt2NwHTeRE27RIf4nF3DX/view?usp=drivesdk" TargetMode="External"/><Relationship Id="rId43" Type="http://schemas.openxmlformats.org/officeDocument/2006/relationships/hyperlink" Target="https://lh5.googleusercontent.com/d/1Y3sF8ukzHgtEnN33EPcdnIpp43WKGoHK" TargetMode="External"/><Relationship Id="rId46" Type="http://schemas.openxmlformats.org/officeDocument/2006/relationships/hyperlink" Target="https://drive.google.com/file/d/1P5owHvtg1OzClq1lYRpja1py4xfYbmE5/view?usp=drivesdk" TargetMode="External"/><Relationship Id="rId45" Type="http://schemas.openxmlformats.org/officeDocument/2006/relationships/hyperlink" Target="https://lh5.googleusercontent.com/d/1jxKO4M_8Ms80cwimnyLYCXSM7Cd5yv_2" TargetMode="External"/><Relationship Id="rId48" Type="http://schemas.openxmlformats.org/officeDocument/2006/relationships/hyperlink" Target="https://drive.google.com/file/d/1Xizpk_W4wPPelKoC4Uf9Jzdo_VYktjNj/view?usp=drivesdk" TargetMode="External"/><Relationship Id="rId47" Type="http://schemas.openxmlformats.org/officeDocument/2006/relationships/hyperlink" Target="https://lh5.googleusercontent.com/d/1zUKi9FtERLpuSNwIJmGP5qdwLI8tFADn" TargetMode="External"/><Relationship Id="rId49" Type="http://schemas.openxmlformats.org/officeDocument/2006/relationships/hyperlink" Target="https://lh5.googleusercontent.com/d/11UHDqAbCDtpwP_3KgPczjR-6tmDAEw6d" TargetMode="External"/><Relationship Id="rId31" Type="http://schemas.openxmlformats.org/officeDocument/2006/relationships/hyperlink" Target="https://lh5.googleusercontent.com/d/1DKHHxrBQo8FNoZIAs7VsT_0Sk8HbLW-p" TargetMode="External"/><Relationship Id="rId30" Type="http://schemas.openxmlformats.org/officeDocument/2006/relationships/hyperlink" Target="https://drive.google.com/file/d/1JashdJmZbOdFuc2ZbWdqxRgZk9LyBliR/view?usp=drivesdk" TargetMode="External"/><Relationship Id="rId33" Type="http://schemas.openxmlformats.org/officeDocument/2006/relationships/hyperlink" Target="https://lh5.googleusercontent.com/d/1ddq8J0_sdKoIJBR6ZoU9PbESIcBILigB" TargetMode="External"/><Relationship Id="rId32" Type="http://schemas.openxmlformats.org/officeDocument/2006/relationships/hyperlink" Target="https://drive.google.com/file/d/150jVdL-SHjfTYHLJyf_kZkJcrFMFB1F1/view?usp=drivesdk" TargetMode="External"/><Relationship Id="rId35" Type="http://schemas.openxmlformats.org/officeDocument/2006/relationships/hyperlink" Target="https://lh5.googleusercontent.com/d/14QtkMfuyTVggS2EIhZCZt7OAo-50ujz0" TargetMode="External"/><Relationship Id="rId34" Type="http://schemas.openxmlformats.org/officeDocument/2006/relationships/hyperlink" Target="https://drive.google.com/file/d/1qECn-RVjUAzWDQtBn9WnIJAF72If2FoL/view?usp=drivesdk" TargetMode="External"/><Relationship Id="rId37" Type="http://schemas.openxmlformats.org/officeDocument/2006/relationships/hyperlink" Target="https://lh5.googleusercontent.com/d/1BSnjn8Vt-GmyMnfIu8Oq6LsTmxRyupC8" TargetMode="External"/><Relationship Id="rId36" Type="http://schemas.openxmlformats.org/officeDocument/2006/relationships/hyperlink" Target="https://drive.google.com/file/d/1IDVHbYMv2KErtfPzLAqnRfG9CV55sb4F/view?usp=drivesdk" TargetMode="External"/><Relationship Id="rId39" Type="http://schemas.openxmlformats.org/officeDocument/2006/relationships/hyperlink" Target="https://lh5.googleusercontent.com/d/1M7u69DwSkgjrnIt3TndnbHrB8_K8KnxA" TargetMode="External"/><Relationship Id="rId38" Type="http://schemas.openxmlformats.org/officeDocument/2006/relationships/hyperlink" Target="https://drive.google.com/file/d/1TNgLrm6sUcUep4gtzNTeaMEmqP-I_nZo/view?usp=drivesdk" TargetMode="External"/><Relationship Id="rId20" Type="http://schemas.openxmlformats.org/officeDocument/2006/relationships/hyperlink" Target="https://drive.google.com/file/d/1aon51y_WSQGflgD4Yp1pA1Pmmu2m_b0g/view?usp=drivesdk" TargetMode="External"/><Relationship Id="rId22" Type="http://schemas.openxmlformats.org/officeDocument/2006/relationships/hyperlink" Target="https://drive.google.com/file/d/1lszQpMoakXos9GAnoe0N1b9fvL9nVOCC/view?usp=drivesdk" TargetMode="External"/><Relationship Id="rId21" Type="http://schemas.openxmlformats.org/officeDocument/2006/relationships/hyperlink" Target="https://lh5.googleusercontent.com/d/1N9kCer_DCRhYI0_9npwcBGaUJ1vO1Tth" TargetMode="External"/><Relationship Id="rId24" Type="http://schemas.openxmlformats.org/officeDocument/2006/relationships/hyperlink" Target="https://drive.google.com/file/d/1bUnAYIWh6bKek0ufXaXRwjjCRpqhZ4Ig/view?usp=drivesdk" TargetMode="External"/><Relationship Id="rId23" Type="http://schemas.openxmlformats.org/officeDocument/2006/relationships/hyperlink" Target="https://lh5.googleusercontent.com/d/16GYp9vmK5s3DI9wkj93yb51LNvHpqyQR" TargetMode="External"/><Relationship Id="rId26" Type="http://schemas.openxmlformats.org/officeDocument/2006/relationships/hyperlink" Target="https://drive.google.com/file/d/10IwIRaZyG36oS4NRjhMvISPRc8vuTeEm/view?usp=drivesdk" TargetMode="External"/><Relationship Id="rId25" Type="http://schemas.openxmlformats.org/officeDocument/2006/relationships/hyperlink" Target="https://lh5.googleusercontent.com/d/1Ri-iHvjCYl98vtbkAC4PhfdP2E4fOwsJ" TargetMode="External"/><Relationship Id="rId28" Type="http://schemas.openxmlformats.org/officeDocument/2006/relationships/hyperlink" Target="https://drive.google.com/file/d/1u1raebqXa9CmkrRVhew39PuH2qNUyU2a/view?usp=drivesdk" TargetMode="External"/><Relationship Id="rId27" Type="http://schemas.openxmlformats.org/officeDocument/2006/relationships/hyperlink" Target="https://lh5.googleusercontent.com/d/1k4RssSYps1NQyBD1aVRLNkK8IOMn3Zvi" TargetMode="External"/><Relationship Id="rId29" Type="http://schemas.openxmlformats.org/officeDocument/2006/relationships/hyperlink" Target="https://lh5.googleusercontent.com/d/1yClHjQY9pEvMQ86qzWb2uog7JCyxZVjW" TargetMode="External"/><Relationship Id="rId11" Type="http://schemas.openxmlformats.org/officeDocument/2006/relationships/hyperlink" Target="https://lh5.googleusercontent.com/d/1DjQLU8G4uenDlKzfKAFce8BFNiGoG6yy" TargetMode="External"/><Relationship Id="rId10" Type="http://schemas.openxmlformats.org/officeDocument/2006/relationships/hyperlink" Target="https://drive.google.com/file/d/1p2shziwfh5oAHXEnSPLSc6bvhMVisaLS/view?usp=drivesdk" TargetMode="External"/><Relationship Id="rId13" Type="http://schemas.openxmlformats.org/officeDocument/2006/relationships/hyperlink" Target="https://lh5.googleusercontent.com/d/1Zej3t2rYV44TQqynwZYua3XQRUH8weX0" TargetMode="External"/><Relationship Id="rId12" Type="http://schemas.openxmlformats.org/officeDocument/2006/relationships/hyperlink" Target="https://drive.google.com/file/d/1A1NXoTQzTkozbayKjJscZWyRk8fBjOto/view?usp=drivesdk" TargetMode="External"/><Relationship Id="rId15" Type="http://schemas.openxmlformats.org/officeDocument/2006/relationships/hyperlink" Target="https://lh5.googleusercontent.com/d/1xPwMJhEac1tp5Z7fMv8gr62zvoBpsydT" TargetMode="External"/><Relationship Id="rId14" Type="http://schemas.openxmlformats.org/officeDocument/2006/relationships/hyperlink" Target="https://drive.google.com/file/d/1nF8PJ4mmoVrxvfo6pgjKSd6HFsBny0Yv/view?usp=drivesdk" TargetMode="External"/><Relationship Id="rId17" Type="http://schemas.openxmlformats.org/officeDocument/2006/relationships/hyperlink" Target="https://lh5.googleusercontent.com/d/1K8qZGRPkTnKvQcUwWfKaPD3sRAyD7UT3" TargetMode="External"/><Relationship Id="rId16" Type="http://schemas.openxmlformats.org/officeDocument/2006/relationships/hyperlink" Target="https://drive.google.com/file/d/1bhvNNvUzfbUAzceHbIIWvVoZQmKQ7sOm/view?usp=drivesdk" TargetMode="External"/><Relationship Id="rId19" Type="http://schemas.openxmlformats.org/officeDocument/2006/relationships/hyperlink" Target="https://lh5.googleusercontent.com/d/1KvFi20dySBei93tpc2ZrXE3IuEIxsJ8x" TargetMode="External"/><Relationship Id="rId18" Type="http://schemas.openxmlformats.org/officeDocument/2006/relationships/hyperlink" Target="https://drive.google.com/file/d/1-BH1aY1K8hGh7J0Lcpr2VF74-fNd8Hnj/view?usp=drivesdk" TargetMode="External"/><Relationship Id="rId84" Type="http://schemas.openxmlformats.org/officeDocument/2006/relationships/hyperlink" Target="https://drive.google.com/file/d/1AbfWv-yW2shyRksksaP5l4nh7efJsYBE/view?usp=drivesdk" TargetMode="External"/><Relationship Id="rId83" Type="http://schemas.openxmlformats.org/officeDocument/2006/relationships/hyperlink" Target="https://lh5.googleusercontent.com/d/1uV4tWQn7yn7LmmkoFNA36zkpvL6OeSFL" TargetMode="External"/><Relationship Id="rId86" Type="http://schemas.openxmlformats.org/officeDocument/2006/relationships/hyperlink" Target="https://drive.google.com/file/d/1zj9bjURn8JhLMzOp1CQ_nrtnW4fCGlm6/view?usp=drivesdk" TargetMode="External"/><Relationship Id="rId85" Type="http://schemas.openxmlformats.org/officeDocument/2006/relationships/hyperlink" Target="https://lh5.googleusercontent.com/d/1TN6K1_XYHUd98jRjP_JhEa_A8iaZsURE" TargetMode="External"/><Relationship Id="rId88" Type="http://schemas.openxmlformats.org/officeDocument/2006/relationships/hyperlink" Target="https://drive.google.com/file/d/1N9ylHNIUON31jBOs_D65Jcc6-T0N1AR8/view?usp=drivesdk" TargetMode="External"/><Relationship Id="rId87" Type="http://schemas.openxmlformats.org/officeDocument/2006/relationships/hyperlink" Target="https://lh5.googleusercontent.com/d/1zkFsSiySfXhJHAXLTFMLP4CQalXNmK6p" TargetMode="External"/><Relationship Id="rId89" Type="http://schemas.openxmlformats.org/officeDocument/2006/relationships/hyperlink" Target="https://lh5.googleusercontent.com/d/11zT66xuvQ9a7_GsEGW-ENiaGTkqPk2Gt" TargetMode="External"/><Relationship Id="rId80" Type="http://schemas.openxmlformats.org/officeDocument/2006/relationships/hyperlink" Target="https://drive.google.com/file/d/15YPef-9-9TiOe5g8fRzOXJJSaiJi_oT7/view?usp=drivesdk" TargetMode="External"/><Relationship Id="rId82" Type="http://schemas.openxmlformats.org/officeDocument/2006/relationships/hyperlink" Target="https://drive.google.com/file/d/136FQVpyfA-DTBXUKJ3f63JEbjVPkPU1T/view?usp=drivesdk" TargetMode="External"/><Relationship Id="rId81" Type="http://schemas.openxmlformats.org/officeDocument/2006/relationships/hyperlink" Target="https://lh5.googleusercontent.com/d/1VYrQggmWAwNjiBhnTdienE8WJFx9XXPQ" TargetMode="External"/><Relationship Id="rId73" Type="http://schemas.openxmlformats.org/officeDocument/2006/relationships/hyperlink" Target="https://lh5.googleusercontent.com/d/1Ojba8bshx1gNPXW1-C9-HUh8_md7_RCP" TargetMode="External"/><Relationship Id="rId72" Type="http://schemas.openxmlformats.org/officeDocument/2006/relationships/hyperlink" Target="https://drive.google.com/file/d/1cC98N0qr9KZguE79FuFDDjax-iurz12-/view?usp=drivesdk" TargetMode="External"/><Relationship Id="rId75" Type="http://schemas.openxmlformats.org/officeDocument/2006/relationships/hyperlink" Target="https://lh5.googleusercontent.com/d/19PComQvop0HWazjI0YG08PFQVzAptlBR" TargetMode="External"/><Relationship Id="rId74" Type="http://schemas.openxmlformats.org/officeDocument/2006/relationships/hyperlink" Target="https://drive.google.com/file/d/1FtdYhnrUVWkIa0ITDozITLQf3GVwtZGi/view?usp=drivesdk" TargetMode="External"/><Relationship Id="rId77" Type="http://schemas.openxmlformats.org/officeDocument/2006/relationships/hyperlink" Target="https://lh5.googleusercontent.com/d/1eGxCzu-kkA4Gv5ZC4S4YA6y8epF55ok4" TargetMode="External"/><Relationship Id="rId76" Type="http://schemas.openxmlformats.org/officeDocument/2006/relationships/hyperlink" Target="https://drive.google.com/file/d/1AYIq8KZGlRLfz4khxurDaatjBVFicLiz/view?usp=drivesdk" TargetMode="External"/><Relationship Id="rId79" Type="http://schemas.openxmlformats.org/officeDocument/2006/relationships/hyperlink" Target="https://lh5.googleusercontent.com/d/1QWyRrLbhV7MmlOIGM0FLlWDPeHpKVAEB" TargetMode="External"/><Relationship Id="rId78" Type="http://schemas.openxmlformats.org/officeDocument/2006/relationships/hyperlink" Target="https://drive.google.com/file/d/1xhS2--XSAtH-7BzoaWXFK0yeIXBVmQ-m/view?usp=drivesdk" TargetMode="External"/><Relationship Id="rId71" Type="http://schemas.openxmlformats.org/officeDocument/2006/relationships/hyperlink" Target="https://lh5.googleusercontent.com/d/18X_mufC9nDlWS1MYw9pjjwQ1tiAtmtiP" TargetMode="External"/><Relationship Id="rId70" Type="http://schemas.openxmlformats.org/officeDocument/2006/relationships/hyperlink" Target="https://drive.google.com/file/d/1YYOeJxIG3vQohduX8OYJiE4hjReKJKOw/view?usp=drivesdk" TargetMode="External"/><Relationship Id="rId1760" Type="http://schemas.openxmlformats.org/officeDocument/2006/relationships/hyperlink" Target="https://lh5.googleusercontent.com/d/1JJ_2XnKDz9bK84HXDbKroyOjnXOIsLew" TargetMode="External"/><Relationship Id="rId1761" Type="http://schemas.openxmlformats.org/officeDocument/2006/relationships/hyperlink" Target="https://drive.google.com/file/d/1H6lq1vOciMtRRPxTpfgDF7VJRHBSg7hJ/view?usp=drivesdk" TargetMode="External"/><Relationship Id="rId1762" Type="http://schemas.openxmlformats.org/officeDocument/2006/relationships/drawing" Target="../drawings/drawing3.xml"/><Relationship Id="rId62" Type="http://schemas.openxmlformats.org/officeDocument/2006/relationships/hyperlink" Target="https://drive.google.com/file/d/1kMRpD1IhfKuXqkye_LoC4zZ0ZA9Y8s84/view?usp=drivesdk" TargetMode="External"/><Relationship Id="rId61" Type="http://schemas.openxmlformats.org/officeDocument/2006/relationships/hyperlink" Target="https://lh5.googleusercontent.com/d/1CUiD0X6GEsTIo7gJvzdm1KcZOU5pofe9" TargetMode="External"/><Relationship Id="rId64" Type="http://schemas.openxmlformats.org/officeDocument/2006/relationships/hyperlink" Target="https://drive.google.com/file/d/1Rml9Wa-DXmwLnJFnTEs6mROQYYpwCeN4/view?usp=drivesdk" TargetMode="External"/><Relationship Id="rId63" Type="http://schemas.openxmlformats.org/officeDocument/2006/relationships/hyperlink" Target="https://lh5.googleusercontent.com/d/1FjBdBW79qIKDG1JtIfTDkY6QmaEQqVK_" TargetMode="External"/><Relationship Id="rId66" Type="http://schemas.openxmlformats.org/officeDocument/2006/relationships/hyperlink" Target="https://drive.google.com/file/d/1v-x1UgnQSvkRpYTHe22ve_6be0CQUqW5/view?usp=drivesdk" TargetMode="External"/><Relationship Id="rId65" Type="http://schemas.openxmlformats.org/officeDocument/2006/relationships/hyperlink" Target="https://lh5.googleusercontent.com/d/1nvLufvUdlt2EOdrR5vKZbpcIXyzq9lME" TargetMode="External"/><Relationship Id="rId68" Type="http://schemas.openxmlformats.org/officeDocument/2006/relationships/hyperlink" Target="https://drive.google.com/file/d/1jADGy8uuIJyqiOJYLEg44I0qDGLTewYM/view?usp=drivesdk" TargetMode="External"/><Relationship Id="rId67" Type="http://schemas.openxmlformats.org/officeDocument/2006/relationships/hyperlink" Target="https://lh5.googleusercontent.com/d/1F0F7migIHa3IgbPoTCw8AOJk2-k2B6L6" TargetMode="External"/><Relationship Id="rId60" Type="http://schemas.openxmlformats.org/officeDocument/2006/relationships/hyperlink" Target="https://drive.google.com/file/d/1ayfB6OsipmVdJm0bnbqY0uGj6AKVceV3/view?usp=drivesdk" TargetMode="External"/><Relationship Id="rId69" Type="http://schemas.openxmlformats.org/officeDocument/2006/relationships/hyperlink" Target="https://lh5.googleusercontent.com/d/1cJssCxZDnpZQxnVk1YGiSCoS9wzXdO_k" TargetMode="External"/><Relationship Id="rId51" Type="http://schemas.openxmlformats.org/officeDocument/2006/relationships/hyperlink" Target="https://lh5.googleusercontent.com/d/1pWI9k-tGBaAHoY56QeAr99Dd9ma1nIZT" TargetMode="External"/><Relationship Id="rId50" Type="http://schemas.openxmlformats.org/officeDocument/2006/relationships/hyperlink" Target="https://drive.google.com/file/d/1Pt-LUb2-vDZZUqduPJ263eZdlu1adyQ9/view?usp=drivesdk" TargetMode="External"/><Relationship Id="rId53" Type="http://schemas.openxmlformats.org/officeDocument/2006/relationships/hyperlink" Target="https://lh5.googleusercontent.com/d/1vFhUvSj7Aj3k7OdjRZu2Sh5sc6uIiUqc" TargetMode="External"/><Relationship Id="rId52" Type="http://schemas.openxmlformats.org/officeDocument/2006/relationships/hyperlink" Target="https://drive.google.com/file/d/124MIxNex8YB_gBeDxdhIOHA6dMKI-QM1/view?usp=drivesdk" TargetMode="External"/><Relationship Id="rId55" Type="http://schemas.openxmlformats.org/officeDocument/2006/relationships/hyperlink" Target="https://lh5.googleusercontent.com/d/1_z9S5kepj8ioXZpvU-4d544Murtl3FZa" TargetMode="External"/><Relationship Id="rId54" Type="http://schemas.openxmlformats.org/officeDocument/2006/relationships/hyperlink" Target="https://drive.google.com/file/d/1DWPC_JE4fmj_3B77TC_tfpxiNIyNm_Il/view?usp=drivesdk" TargetMode="External"/><Relationship Id="rId57" Type="http://schemas.openxmlformats.org/officeDocument/2006/relationships/hyperlink" Target="https://lh5.googleusercontent.com/d/1RvbJpn6e3wdSf---WTqJLPRFNG4Co_wO" TargetMode="External"/><Relationship Id="rId56" Type="http://schemas.openxmlformats.org/officeDocument/2006/relationships/hyperlink" Target="https://drive.google.com/file/d/1f-L8ACPVOqRG64LYgnjD1ntDDzPWT0kO/view?usp=drivesdk" TargetMode="External"/><Relationship Id="rId59" Type="http://schemas.openxmlformats.org/officeDocument/2006/relationships/hyperlink" Target="https://lh5.googleusercontent.com/d/1336tW5bmzwYzxNNvMP4lwVheU8n91fEJ" TargetMode="External"/><Relationship Id="rId58" Type="http://schemas.openxmlformats.org/officeDocument/2006/relationships/hyperlink" Target="https://drive.google.com/file/d/1XEURbV189ZEnLbjheR1dfgofOtlOw6xH/view?usp=drivesdk" TargetMode="External"/><Relationship Id="rId349" Type="http://schemas.openxmlformats.org/officeDocument/2006/relationships/hyperlink" Target="https://drive.google.com/file/d/1FnFWFi_zBcsRJkfL5YK3aNOeSwcPA8YS/view?usp=drivesdk" TargetMode="External"/><Relationship Id="rId348" Type="http://schemas.openxmlformats.org/officeDocument/2006/relationships/hyperlink" Target="https://lh5.googleusercontent.com/d/1TSt4jsxveiZgOejdd3jFdcHKPeJjCjlh" TargetMode="External"/><Relationship Id="rId347" Type="http://schemas.openxmlformats.org/officeDocument/2006/relationships/hyperlink" Target="https://lh5.googleusercontent.com/d/1aXWoTCycAGX1whA-v0raF8gySbr4urIH" TargetMode="External"/><Relationship Id="rId346" Type="http://schemas.openxmlformats.org/officeDocument/2006/relationships/hyperlink" Target="https://drive.google.com/file/d/1K8Hk5Ox25-bi2bYlYVFXLQ_ViA6qyLtX/view?usp=drivesdk" TargetMode="External"/><Relationship Id="rId341" Type="http://schemas.openxmlformats.org/officeDocument/2006/relationships/hyperlink" Target="https://lh5.googleusercontent.com/d/1rZM5c_IOY2ahrKl152vQfBgcCegV4TPr" TargetMode="External"/><Relationship Id="rId340" Type="http://schemas.openxmlformats.org/officeDocument/2006/relationships/hyperlink" Target="https://drive.google.com/file/d/1QIR5Kt9gQFj6AS2TDiWlY4UzSy4e9RnJ/view?usp=drivesdk" TargetMode="External"/><Relationship Id="rId345" Type="http://schemas.openxmlformats.org/officeDocument/2006/relationships/hyperlink" Target="https://lh5.googleusercontent.com/d/1xQNTE9ITNXeBjQJcFr1ekMCoR7dHQEbO" TargetMode="External"/><Relationship Id="rId344" Type="http://schemas.openxmlformats.org/officeDocument/2006/relationships/hyperlink" Target="https://drive.google.com/file/d/1wmgK0vEXOC756aHr5KVHcJFDhqaWjOTk/view?usp=drivesdk" TargetMode="External"/><Relationship Id="rId343" Type="http://schemas.openxmlformats.org/officeDocument/2006/relationships/hyperlink" Target="https://lh5.googleusercontent.com/d/1RzyfQSbBNiu0wmaJEzeSHCFPkRHNuQXp" TargetMode="External"/><Relationship Id="rId342" Type="http://schemas.openxmlformats.org/officeDocument/2006/relationships/hyperlink" Target="https://drive.google.com/file/d/1yX2zboT8wXdvKCIaHqhRgnWgo3MhQPcP/view?usp=drivesdk" TargetMode="External"/><Relationship Id="rId338" Type="http://schemas.openxmlformats.org/officeDocument/2006/relationships/hyperlink" Target="https://drive.google.com/file/d/1MviE6huDJ8UrYRZonqHKF9cnF0gSUv9A/view?usp=drivesdk" TargetMode="External"/><Relationship Id="rId337" Type="http://schemas.openxmlformats.org/officeDocument/2006/relationships/hyperlink" Target="https://lh5.googleusercontent.com/d/1MiqEloKy8vusVFBQke8ubn0GPxeO4wt5" TargetMode="External"/><Relationship Id="rId336" Type="http://schemas.openxmlformats.org/officeDocument/2006/relationships/hyperlink" Target="https://drive.google.com/file/d/1sVu0ciGG1BRVTJcE7WqJqW-TCq9-8Jc9/view?usp=drivesdk" TargetMode="External"/><Relationship Id="rId335" Type="http://schemas.openxmlformats.org/officeDocument/2006/relationships/hyperlink" Target="https://lh5.googleusercontent.com/d/1_Mjim1n2dmRQli6kwTg3SwNHGfNTq0_l" TargetMode="External"/><Relationship Id="rId339" Type="http://schemas.openxmlformats.org/officeDocument/2006/relationships/hyperlink" Target="https://lh5.googleusercontent.com/d/1RqRsu0_zbcM9HgoWftIFUQ-NTcpIFs_q" TargetMode="External"/><Relationship Id="rId330" Type="http://schemas.openxmlformats.org/officeDocument/2006/relationships/hyperlink" Target="https://drive.google.com/file/d/1zHBzPwZOAGD6Z5jhlGOg95eVTiPcJVuG/view?usp=drivesdk" TargetMode="External"/><Relationship Id="rId334" Type="http://schemas.openxmlformats.org/officeDocument/2006/relationships/hyperlink" Target="https://drive.google.com/file/d/1_w1Y1VvdpkilXK-iUtHxCy6jx9YqLeZO/view?usp=drivesdk" TargetMode="External"/><Relationship Id="rId333" Type="http://schemas.openxmlformats.org/officeDocument/2006/relationships/hyperlink" Target="https://lh5.googleusercontent.com/d/1rY5MU_nyBERbTsYN1AAb93aGq-vJN1F2" TargetMode="External"/><Relationship Id="rId332" Type="http://schemas.openxmlformats.org/officeDocument/2006/relationships/hyperlink" Target="https://drive.google.com/file/d/1qJI33S2wOfIfpO78Xez_xY6Vlxtpxuk9/view?usp=drivesdk" TargetMode="External"/><Relationship Id="rId331" Type="http://schemas.openxmlformats.org/officeDocument/2006/relationships/hyperlink" Target="https://lh5.googleusercontent.com/d/1WF3bkDFCidrWLs_BuAvxUP0qoLy_tzyw" TargetMode="External"/><Relationship Id="rId370" Type="http://schemas.openxmlformats.org/officeDocument/2006/relationships/hyperlink" Target="https://lh5.googleusercontent.com/d/1U2ecABmy0Ctewnjgn08-4iBxuscoctc1" TargetMode="External"/><Relationship Id="rId369" Type="http://schemas.openxmlformats.org/officeDocument/2006/relationships/hyperlink" Target="https://lh5.googleusercontent.com/d/1zOVekVVPIO8YTHXM7hI4j08jFrLFLL_K" TargetMode="External"/><Relationship Id="rId368" Type="http://schemas.openxmlformats.org/officeDocument/2006/relationships/hyperlink" Target="https://drive.google.com/file/d/1vZwRUzCUMZnwnFXrEA3m5845cgm_vTcR/view?usp=drivesdk" TargetMode="External"/><Relationship Id="rId363" Type="http://schemas.openxmlformats.org/officeDocument/2006/relationships/hyperlink" Target="https://lh5.googleusercontent.com/d/1eT2gWNDTmqx1NkCsLgSyVhcWlHd4vr3w" TargetMode="External"/><Relationship Id="rId362" Type="http://schemas.openxmlformats.org/officeDocument/2006/relationships/hyperlink" Target="https://lh5.googleusercontent.com/d/1FRcCa3k4J1RtN6DWUFfNshIXgsgwZ220" TargetMode="External"/><Relationship Id="rId361" Type="http://schemas.openxmlformats.org/officeDocument/2006/relationships/hyperlink" Target="https://drive.google.com/file/d/1ceT9IxxlRXDV-0ePoB5G0Gyw2UZg6Nh7/view?usp=drivesdk" TargetMode="External"/><Relationship Id="rId360" Type="http://schemas.openxmlformats.org/officeDocument/2006/relationships/hyperlink" Target="https://lh5.googleusercontent.com/d/1OPMhcYFGgNWzC-ZpcfhU1fwmruk82gH0" TargetMode="External"/><Relationship Id="rId367" Type="http://schemas.openxmlformats.org/officeDocument/2006/relationships/hyperlink" Target="https://lh5.googleusercontent.com/d/1jHmsA-38dKxOv6NwWNh2fum1cQ8Rj_gG" TargetMode="External"/><Relationship Id="rId366" Type="http://schemas.openxmlformats.org/officeDocument/2006/relationships/hyperlink" Target="https://drive.google.com/file/d/1y0JrXh3YZdfMvBsh4fGTDs4Ip618kGGA/view?usp=drivesdk" TargetMode="External"/><Relationship Id="rId365" Type="http://schemas.openxmlformats.org/officeDocument/2006/relationships/hyperlink" Target="https://lh5.googleusercontent.com/d/11H4_CjBqeol9lXGeyDmfhdBreB5Ok6wd" TargetMode="External"/><Relationship Id="rId364" Type="http://schemas.openxmlformats.org/officeDocument/2006/relationships/hyperlink" Target="https://drive.google.com/file/d/1_elY1jzXtDS2aWGWrtnHOGMz6_JmDvJD/view?usp=drivesdk" TargetMode="External"/><Relationship Id="rId95" Type="http://schemas.openxmlformats.org/officeDocument/2006/relationships/hyperlink" Target="https://lh5.googleusercontent.com/d/1UML06C6Vcdx8gBGlXMV3UBi57XTdPFQL" TargetMode="External"/><Relationship Id="rId94" Type="http://schemas.openxmlformats.org/officeDocument/2006/relationships/hyperlink" Target="https://drive.google.com/file/d/1plkBc6vQgD6Zmeax1rQ4DcmBJ09OS3bP/view?usp=drivesdk" TargetMode="External"/><Relationship Id="rId97" Type="http://schemas.openxmlformats.org/officeDocument/2006/relationships/hyperlink" Target="https://lh5.googleusercontent.com/d/1jAT29FhnY14PJyHRlLwxWTRwA5evp2qf" TargetMode="External"/><Relationship Id="rId96" Type="http://schemas.openxmlformats.org/officeDocument/2006/relationships/hyperlink" Target="https://drive.google.com/file/d/1EUqq_1xpYpk_0XJMfM4OjM1dwou_kYDS/view?usp=drivesdk" TargetMode="External"/><Relationship Id="rId99" Type="http://schemas.openxmlformats.org/officeDocument/2006/relationships/hyperlink" Target="https://lh5.googleusercontent.com/d/1_uGq34VKPxqt0M8jNkJG1MRr9bKO7i1e" TargetMode="External"/><Relationship Id="rId98" Type="http://schemas.openxmlformats.org/officeDocument/2006/relationships/hyperlink" Target="https://drive.google.com/file/d/1Gvqk7d8LYbUi286vw7pDv_Itl8He06xO/view?usp=drivesdk" TargetMode="External"/><Relationship Id="rId91" Type="http://schemas.openxmlformats.org/officeDocument/2006/relationships/hyperlink" Target="https://lh5.googleusercontent.com/d/1jl9sgoYDDnJSjSTZvSBWXXr3RL2st578" TargetMode="External"/><Relationship Id="rId90" Type="http://schemas.openxmlformats.org/officeDocument/2006/relationships/hyperlink" Target="https://drive.google.com/file/d/1DhN7pEhH-YVw6cnnt5INjdUHLmyVNbpj/view?usp=drivesdk" TargetMode="External"/><Relationship Id="rId93" Type="http://schemas.openxmlformats.org/officeDocument/2006/relationships/hyperlink" Target="https://lh5.googleusercontent.com/d/1qaUmt0VVBSLlFe29SUjiNBoKtlIc1Zzd" TargetMode="External"/><Relationship Id="rId92" Type="http://schemas.openxmlformats.org/officeDocument/2006/relationships/hyperlink" Target="https://drive.google.com/file/d/109SL04-w6uYuzaguYV1oTsW7Q0jWJgQL/view?usp=drivesdk" TargetMode="External"/><Relationship Id="rId359" Type="http://schemas.openxmlformats.org/officeDocument/2006/relationships/hyperlink" Target="https://drive.google.com/file/d/18TfAeATuXK0dy6L_u5Y4MM2VOhwikLPr/view?usp=drivesdk" TargetMode="External"/><Relationship Id="rId358" Type="http://schemas.openxmlformats.org/officeDocument/2006/relationships/hyperlink" Target="https://lh5.googleusercontent.com/d/1FKC6Z21zSEg1q9s6lBu_SdBqxWI9kIv8" TargetMode="External"/><Relationship Id="rId357" Type="http://schemas.openxmlformats.org/officeDocument/2006/relationships/hyperlink" Target="https://lh5.googleusercontent.com/d/1EWZhmCkAUbFj01IdwShvTfqU2Nd6rbw7" TargetMode="External"/><Relationship Id="rId352" Type="http://schemas.openxmlformats.org/officeDocument/2006/relationships/hyperlink" Target="https://lh5.googleusercontent.com/d/1tIGk5HNcT6LflcpzMcSkXt2dlQqzJoVK" TargetMode="External"/><Relationship Id="rId351" Type="http://schemas.openxmlformats.org/officeDocument/2006/relationships/hyperlink" Target="https://drive.google.com/file/d/12H9tWPK25CAn9L3gBZXZs1QOzH-oDfrh/view?usp=drivesdk" TargetMode="External"/><Relationship Id="rId350" Type="http://schemas.openxmlformats.org/officeDocument/2006/relationships/hyperlink" Target="https://lh5.googleusercontent.com/d/1In1yHmLgnVL9B--ta-IZQ_8mcgGlUmxK" TargetMode="External"/><Relationship Id="rId356" Type="http://schemas.openxmlformats.org/officeDocument/2006/relationships/hyperlink" Target="https://lh5.googleusercontent.com/d/1UPgtPe9hKHu4sanGh_QLt6FRj4lczhIN" TargetMode="External"/><Relationship Id="rId355" Type="http://schemas.openxmlformats.org/officeDocument/2006/relationships/hyperlink" Target="https://drive.google.com/file/d/10MXYncf-xTI-4Rkkzt0JGLnkU__YlmQ0/view?usp=drivesdk" TargetMode="External"/><Relationship Id="rId354" Type="http://schemas.openxmlformats.org/officeDocument/2006/relationships/hyperlink" Target="https://lh5.googleusercontent.com/d/199g-8wcaHuq31FIJWyto49SVA3hmD59U" TargetMode="External"/><Relationship Id="rId353" Type="http://schemas.openxmlformats.org/officeDocument/2006/relationships/hyperlink" Target="https://drive.google.com/file/d/1nnA5so0qV1PeQinWhfLmGV9-j4ayEQu7/view?usp=drivesdk" TargetMode="External"/><Relationship Id="rId305" Type="http://schemas.openxmlformats.org/officeDocument/2006/relationships/hyperlink" Target="https://lh5.googleusercontent.com/d/1N1_Fq3pPhJTD1t7aDDebrxzonPe_hwO1" TargetMode="External"/><Relationship Id="rId304" Type="http://schemas.openxmlformats.org/officeDocument/2006/relationships/hyperlink" Target="https://drive.google.com/file/d/1YdMQCro4TiFyIESAF3oxTOJsOvMVqF_2/view?usp=drivesdk" TargetMode="External"/><Relationship Id="rId303" Type="http://schemas.openxmlformats.org/officeDocument/2006/relationships/hyperlink" Target="https://lh5.googleusercontent.com/d/1Fxrn6Y6somEyTIlTlwY7IscRu4lar6-o" TargetMode="External"/><Relationship Id="rId302" Type="http://schemas.openxmlformats.org/officeDocument/2006/relationships/hyperlink" Target="https://drive.google.com/file/d/1JZHZXNxW9IckaqMlXIm3v2hiNDP58VmK/view?usp=drivesdk" TargetMode="External"/><Relationship Id="rId309" Type="http://schemas.openxmlformats.org/officeDocument/2006/relationships/hyperlink" Target="https://drive.google.com/file/d/13T-C2LplNrWFsSOF4hYe4CoiFtqvYCL3/view?usp=drivesdk" TargetMode="External"/><Relationship Id="rId308" Type="http://schemas.openxmlformats.org/officeDocument/2006/relationships/hyperlink" Target="https://lh5.googleusercontent.com/d/1UpPZPg8K3SJVWNXrGg-jkIexHwTVtqBM" TargetMode="External"/><Relationship Id="rId307" Type="http://schemas.openxmlformats.org/officeDocument/2006/relationships/hyperlink" Target="https://drive.google.com/file/d/1r_ETGbFvqIrPbmXtmpAA_8v3VRivdd5N/view?usp=drivesdk" TargetMode="External"/><Relationship Id="rId306" Type="http://schemas.openxmlformats.org/officeDocument/2006/relationships/hyperlink" Target="https://lh5.googleusercontent.com/d/1f8uidhLJ9RFdCKjqDHkNH48iGqjnS9FN" TargetMode="External"/><Relationship Id="rId301" Type="http://schemas.openxmlformats.org/officeDocument/2006/relationships/hyperlink" Target="https://lh5.googleusercontent.com/d/1scr_19zRbwZyZ3vXBHntw3hGpNe-LTdv" TargetMode="External"/><Relationship Id="rId300" Type="http://schemas.openxmlformats.org/officeDocument/2006/relationships/hyperlink" Target="https://drive.google.com/file/d/11dTOfWRfPKz6VzIBp8bNNsRFVMau_KWo/view?usp=drivesdk" TargetMode="External"/><Relationship Id="rId327" Type="http://schemas.openxmlformats.org/officeDocument/2006/relationships/hyperlink" Target="https://lh5.googleusercontent.com/d/1DJIJlGndpIix3vMsNpcRkCaj7imSXd15" TargetMode="External"/><Relationship Id="rId326" Type="http://schemas.openxmlformats.org/officeDocument/2006/relationships/hyperlink" Target="https://drive.google.com/file/d/1IgiT1Z8j-MARrkBXS6fgYLfEp-XDOFbb/view?usp=drivesdk" TargetMode="External"/><Relationship Id="rId325" Type="http://schemas.openxmlformats.org/officeDocument/2006/relationships/hyperlink" Target="https://lh5.googleusercontent.com/d/1jZmXsZnfqiPRUasQw9priRMw4NjUwB_L" TargetMode="External"/><Relationship Id="rId324" Type="http://schemas.openxmlformats.org/officeDocument/2006/relationships/hyperlink" Target="https://drive.google.com/file/d/1MIPlYQoODosELH0NxDu4Qog5zoVnXu5n/view?usp=drivesdk" TargetMode="External"/><Relationship Id="rId329" Type="http://schemas.openxmlformats.org/officeDocument/2006/relationships/hyperlink" Target="https://lh5.googleusercontent.com/d/1GI_pcD5sv1G72D61ikU9x6srkEmnDD-x" TargetMode="External"/><Relationship Id="rId328" Type="http://schemas.openxmlformats.org/officeDocument/2006/relationships/hyperlink" Target="https://drive.google.com/file/d/1sUei27xAbNQhne3R1N1qgpAUdRReh7TF/view?usp=drivesdk" TargetMode="External"/><Relationship Id="rId323" Type="http://schemas.openxmlformats.org/officeDocument/2006/relationships/hyperlink" Target="https://lh5.googleusercontent.com/d/1HacrSWot8CEbjidcfLzUJZcYFV7MUDW4" TargetMode="External"/><Relationship Id="rId322" Type="http://schemas.openxmlformats.org/officeDocument/2006/relationships/hyperlink" Target="https://drive.google.com/file/d/1dCAcXLNlk2XMBXCKgwvrk0n6XtvL7dNb/view?usp=drivesdk" TargetMode="External"/><Relationship Id="rId321" Type="http://schemas.openxmlformats.org/officeDocument/2006/relationships/hyperlink" Target="https://lh5.googleusercontent.com/d/10mlBgByESESDzr4PHoj7yOP2JE2zowdv" TargetMode="External"/><Relationship Id="rId320" Type="http://schemas.openxmlformats.org/officeDocument/2006/relationships/hyperlink" Target="https://drive.google.com/file/d/18VC3K-YDmmE1SNaJ581ehREhTHLbrBCu/view?usp=drivesdk" TargetMode="External"/><Relationship Id="rId316" Type="http://schemas.openxmlformats.org/officeDocument/2006/relationships/hyperlink" Target="https://drive.google.com/file/d/1OwN7IhXM0uev7oFqi7HljwwY_EbSpfuV/view?usp=drivesdk" TargetMode="External"/><Relationship Id="rId315" Type="http://schemas.openxmlformats.org/officeDocument/2006/relationships/hyperlink" Target="https://lh5.googleusercontent.com/d/1rcxoreCDgP0Y41NOGK-Jpvlpxnfr2KxD" TargetMode="External"/><Relationship Id="rId314" Type="http://schemas.openxmlformats.org/officeDocument/2006/relationships/hyperlink" Target="https://lh5.googleusercontent.com/d/1XZgJa0BWACnXPlxLki3edMpRuO09sVhw" TargetMode="External"/><Relationship Id="rId313" Type="http://schemas.openxmlformats.org/officeDocument/2006/relationships/hyperlink" Target="https://drive.google.com/file/d/1HIFfpAJlp-F__xjleXe9pacuBttn6oaH/view?usp=drivesdk" TargetMode="External"/><Relationship Id="rId319" Type="http://schemas.openxmlformats.org/officeDocument/2006/relationships/hyperlink" Target="https://lh5.googleusercontent.com/d/1NpOGa8WuJEXc4RX7m5_tSOaBMYcdpPsZ" TargetMode="External"/><Relationship Id="rId318" Type="http://schemas.openxmlformats.org/officeDocument/2006/relationships/hyperlink" Target="https://drive.google.com/file/d/15NL7TFfehX_DmFlfQaYmesZfYqNEWAYT/view?usp=drivesdk" TargetMode="External"/><Relationship Id="rId317" Type="http://schemas.openxmlformats.org/officeDocument/2006/relationships/hyperlink" Target="https://lh5.googleusercontent.com/d/1MxlechmLRL11aNUfgm4OtK15ek3PZXId" TargetMode="External"/><Relationship Id="rId312" Type="http://schemas.openxmlformats.org/officeDocument/2006/relationships/hyperlink" Target="https://lh5.googleusercontent.com/d/10OEt-FknEfPtIVgN4bmlTfzWbCrDWhPF" TargetMode="External"/><Relationship Id="rId311" Type="http://schemas.openxmlformats.org/officeDocument/2006/relationships/hyperlink" Target="https://drive.google.com/file/d/17Db5JLnSlBgnLcQ5l24Vq_ISAuPbKqbr/view?usp=drivesdk" TargetMode="External"/><Relationship Id="rId310" Type="http://schemas.openxmlformats.org/officeDocument/2006/relationships/hyperlink" Target="https://lh5.googleusercontent.com/d/1JUgvBt0Lee-y4FS5Hhetiji4_MVjuduQ" TargetMode="External"/><Relationship Id="rId297" Type="http://schemas.openxmlformats.org/officeDocument/2006/relationships/hyperlink" Target="https://lh5.googleusercontent.com/d/1xOXmTa_alj9tCfyHP9kPX6W6Uul1FXwa" TargetMode="External"/><Relationship Id="rId296" Type="http://schemas.openxmlformats.org/officeDocument/2006/relationships/hyperlink" Target="https://drive.google.com/file/d/1gBTWhsVO3VLyV97oK0PaEQo3D_khN4yx/view?usp=drivesdk" TargetMode="External"/><Relationship Id="rId295" Type="http://schemas.openxmlformats.org/officeDocument/2006/relationships/hyperlink" Target="https://lh5.googleusercontent.com/d/1AfwVfGkb412DySdZJUcYd3sg17tNE-Lx" TargetMode="External"/><Relationship Id="rId294" Type="http://schemas.openxmlformats.org/officeDocument/2006/relationships/hyperlink" Target="https://drive.google.com/file/d/19UenIB7x7jk9ciQKStVYjMbje3D74jWT/view?usp=drivesdk" TargetMode="External"/><Relationship Id="rId299" Type="http://schemas.openxmlformats.org/officeDocument/2006/relationships/hyperlink" Target="https://lh5.googleusercontent.com/d/1UaAugIkn42julk9RmMDRJzqWYX16mbLl" TargetMode="External"/><Relationship Id="rId298" Type="http://schemas.openxmlformats.org/officeDocument/2006/relationships/hyperlink" Target="https://drive.google.com/file/d/1sOSj0O9sLNsXedlP8nQyIMve6W3RU2vS/view?usp=drivesdk" TargetMode="External"/><Relationship Id="rId271" Type="http://schemas.openxmlformats.org/officeDocument/2006/relationships/hyperlink" Target="https://drive.google.com/file/d/1_5WzeAJyK_YQMwABn3hN4VgkRGG59i4E/view?usp=drivesdk" TargetMode="External"/><Relationship Id="rId270" Type="http://schemas.openxmlformats.org/officeDocument/2006/relationships/hyperlink" Target="https://lh5.googleusercontent.com/d/19lMgWN_kl_O5t6n2p2yPHU2Bghi1gv6j" TargetMode="External"/><Relationship Id="rId269" Type="http://schemas.openxmlformats.org/officeDocument/2006/relationships/hyperlink" Target="https://drive.google.com/file/d/1_AR_cQPj9R_4joYk-KggVwzosfRb6mcJ/view?usp=drivesdk" TargetMode="External"/><Relationship Id="rId264" Type="http://schemas.openxmlformats.org/officeDocument/2006/relationships/hyperlink" Target="https://lh5.googleusercontent.com/d/1Ao_W2sRczPGUEMEhFNWuIFwu36a1VaCC" TargetMode="External"/><Relationship Id="rId263" Type="http://schemas.openxmlformats.org/officeDocument/2006/relationships/hyperlink" Target="https://drive.google.com/file/d/1sdgdF1GVZAblMBG8xRPqy0CKp8Ka7H2w/view?usp=drivesdk" TargetMode="External"/><Relationship Id="rId262" Type="http://schemas.openxmlformats.org/officeDocument/2006/relationships/hyperlink" Target="https://lh5.googleusercontent.com/d/1Yk6EAGcs3Usnc5Gsz62OPE09YiX80jqB" TargetMode="External"/><Relationship Id="rId261" Type="http://schemas.openxmlformats.org/officeDocument/2006/relationships/hyperlink" Target="https://drive.google.com/file/d/1T__x_n3lfY26rvYGsnab6tRbodCvaq1g/view?usp=drivesdk" TargetMode="External"/><Relationship Id="rId268" Type="http://schemas.openxmlformats.org/officeDocument/2006/relationships/hyperlink" Target="https://lh5.googleusercontent.com/d/1sjPdD5yDEkMeoTZ1DNYhmyik8-lwtmDz" TargetMode="External"/><Relationship Id="rId267" Type="http://schemas.openxmlformats.org/officeDocument/2006/relationships/hyperlink" Target="https://drive.google.com/file/d/1kufY5mq6DToGVfvzRlXIqUflOezVx3ak/view?usp=drivesdk" TargetMode="External"/><Relationship Id="rId266" Type="http://schemas.openxmlformats.org/officeDocument/2006/relationships/hyperlink" Target="https://lh5.googleusercontent.com/d/1OvizXkf-CTCTEdjmGOjTx_sjmX11ZGVU" TargetMode="External"/><Relationship Id="rId265" Type="http://schemas.openxmlformats.org/officeDocument/2006/relationships/hyperlink" Target="https://drive.google.com/file/d/10FY48x-MoIEf6Pmu0YJLYGhsBPS7MpBX/view?usp=drivesdk" TargetMode="External"/><Relationship Id="rId260" Type="http://schemas.openxmlformats.org/officeDocument/2006/relationships/hyperlink" Target="https://lh5.googleusercontent.com/d/19Sip8O1q0P5bPffMyEbrUJc96Tnl2_y5" TargetMode="External"/><Relationship Id="rId259" Type="http://schemas.openxmlformats.org/officeDocument/2006/relationships/hyperlink" Target="https://drive.google.com/file/d/1XsCg6c6h3bURxF1uDwaP570miL4n91l6/view?usp=drivesdk" TargetMode="External"/><Relationship Id="rId258" Type="http://schemas.openxmlformats.org/officeDocument/2006/relationships/hyperlink" Target="https://lh5.googleusercontent.com/d/1h1DafnDmc9PcDKbN3AbZ1Tyvx6gAOdE0" TargetMode="External"/><Relationship Id="rId253" Type="http://schemas.openxmlformats.org/officeDocument/2006/relationships/hyperlink" Target="https://drive.google.com/file/d/1aRdMd0AZOdvvgDfFZ8hXBHu0b3N3jrPs/view?usp=drivesdk" TargetMode="External"/><Relationship Id="rId252" Type="http://schemas.openxmlformats.org/officeDocument/2006/relationships/hyperlink" Target="https://lh5.googleusercontent.com/d/1cM26XX4U29VUPoA8pLdYzYYosak1qSRU" TargetMode="External"/><Relationship Id="rId251" Type="http://schemas.openxmlformats.org/officeDocument/2006/relationships/hyperlink" Target="https://drive.google.com/file/d/1pckvYX9VmbWhYx5DMgBNHIBLNx7Y1f_c/view?usp=drivesdk" TargetMode="External"/><Relationship Id="rId250" Type="http://schemas.openxmlformats.org/officeDocument/2006/relationships/hyperlink" Target="https://lh5.googleusercontent.com/d/1nOs6_exOsYO4eJDkM1B3UOH-yrSb8u7-" TargetMode="External"/><Relationship Id="rId257" Type="http://schemas.openxmlformats.org/officeDocument/2006/relationships/hyperlink" Target="https://drive.google.com/file/d/1Qk-UQbyTghIS8qQiixESFplWXQLWrfIR/view?usp=drivesdk" TargetMode="External"/><Relationship Id="rId256" Type="http://schemas.openxmlformats.org/officeDocument/2006/relationships/hyperlink" Target="https://lh5.googleusercontent.com/d/1JXwD0vyXQ6ZVCF3vpjkNU_LBGc-Lg8pJ" TargetMode="External"/><Relationship Id="rId255" Type="http://schemas.openxmlformats.org/officeDocument/2006/relationships/hyperlink" Target="https://drive.google.com/file/d/1rp5A71Aj7FmD-8tv0CRVhWFWetgnIFN5/view?usp=drivesdk" TargetMode="External"/><Relationship Id="rId254" Type="http://schemas.openxmlformats.org/officeDocument/2006/relationships/hyperlink" Target="https://lh5.googleusercontent.com/d/19e17jDjvZbxkB3uoQewT6CWz9sITkx7R" TargetMode="External"/><Relationship Id="rId293" Type="http://schemas.openxmlformats.org/officeDocument/2006/relationships/hyperlink" Target="https://lh5.googleusercontent.com/d/1_YSB7T1bkZqoqL1s8ADQU2-CDeKaor6P" TargetMode="External"/><Relationship Id="rId292" Type="http://schemas.openxmlformats.org/officeDocument/2006/relationships/hyperlink" Target="https://drive.google.com/file/d/1zZhU4W1YDm8LRigF-DfePkZFJ5DxMmLZ/view?usp=drivesdk" TargetMode="External"/><Relationship Id="rId291" Type="http://schemas.openxmlformats.org/officeDocument/2006/relationships/hyperlink" Target="https://lh5.googleusercontent.com/d/1k11l9UfQGzsjgEpx6jujDRslm_DJF1Y5" TargetMode="External"/><Relationship Id="rId290" Type="http://schemas.openxmlformats.org/officeDocument/2006/relationships/hyperlink" Target="https://drive.google.com/file/d/1T3yc4xzyNhkYt6ISElWikpWiw1kXOAkQ/view?usp=drivesdk" TargetMode="External"/><Relationship Id="rId286" Type="http://schemas.openxmlformats.org/officeDocument/2006/relationships/hyperlink" Target="https://lh5.googleusercontent.com/d/1Mw84FPRFN29juk__6QeAXcOd31hgytVN" TargetMode="External"/><Relationship Id="rId285" Type="http://schemas.openxmlformats.org/officeDocument/2006/relationships/hyperlink" Target="https://drive.google.com/file/d/1-KReA1MLL5drrRtpLEY3kZBNDya2nEwq/view?usp=drivesdk" TargetMode="External"/><Relationship Id="rId284" Type="http://schemas.openxmlformats.org/officeDocument/2006/relationships/hyperlink" Target="https://lh5.googleusercontent.com/d/15a6VJt6DFmW3fx194CUqyNorXuY98rmT" TargetMode="External"/><Relationship Id="rId283" Type="http://schemas.openxmlformats.org/officeDocument/2006/relationships/hyperlink" Target="https://drive.google.com/file/d/1ZDHIexpxNRGjLHUUGZZCHKGSSymESCcH/view?usp=drivesdk" TargetMode="External"/><Relationship Id="rId289" Type="http://schemas.openxmlformats.org/officeDocument/2006/relationships/hyperlink" Target="https://lh5.googleusercontent.com/d/1H0vyhgGqCFT_Ov0bmfOE6xLwG2JECZda" TargetMode="External"/><Relationship Id="rId288" Type="http://schemas.openxmlformats.org/officeDocument/2006/relationships/hyperlink" Target="https://drive.google.com/file/d/1QHfKbbUzFJ0ajsWpbvPLLvQ6tp8_iWxJ/view?usp=drivesdk" TargetMode="External"/><Relationship Id="rId287" Type="http://schemas.openxmlformats.org/officeDocument/2006/relationships/hyperlink" Target="https://lh5.googleusercontent.com/d/1Whk7LuYr38eSB_SalevS-EnagDZnvDvu" TargetMode="External"/><Relationship Id="rId282" Type="http://schemas.openxmlformats.org/officeDocument/2006/relationships/hyperlink" Target="https://lh5.googleusercontent.com/d/1oLm_l711UexsNikDawferS4GrVUMfO8F" TargetMode="External"/><Relationship Id="rId281" Type="http://schemas.openxmlformats.org/officeDocument/2006/relationships/hyperlink" Target="https://drive.google.com/file/d/15Njt8mUGcL4lO9Kgebaoxv6EnwU6lSRn/view?usp=drivesdk" TargetMode="External"/><Relationship Id="rId280" Type="http://schemas.openxmlformats.org/officeDocument/2006/relationships/hyperlink" Target="https://lh5.googleusercontent.com/d/1pSX2Tg9iaFArkPiYPFNmPK9hkeBDpGEF" TargetMode="External"/><Relationship Id="rId275" Type="http://schemas.openxmlformats.org/officeDocument/2006/relationships/hyperlink" Target="https://drive.google.com/file/d/16GWhE0K3X0bN4f9BlhDtK9Q4a4ZOj2Hm/view?usp=drivesdk" TargetMode="External"/><Relationship Id="rId274" Type="http://schemas.openxmlformats.org/officeDocument/2006/relationships/hyperlink" Target="https://lh5.googleusercontent.com/d/1fSuNME3Za0HueiRrDII_QqaGbH8LCdic" TargetMode="External"/><Relationship Id="rId273" Type="http://schemas.openxmlformats.org/officeDocument/2006/relationships/hyperlink" Target="https://drive.google.com/file/d/11cyr_qkh7-Q6dLp5Bz6pW1iccGKA1c8f/view?usp=drivesdk" TargetMode="External"/><Relationship Id="rId272" Type="http://schemas.openxmlformats.org/officeDocument/2006/relationships/hyperlink" Target="https://lh5.googleusercontent.com/d/1eF12A8QNe5cljzPKcSXTKdxiT0fJgK8d" TargetMode="External"/><Relationship Id="rId279" Type="http://schemas.openxmlformats.org/officeDocument/2006/relationships/hyperlink" Target="https://drive.google.com/file/d/1BDl_GFTp-1epUh_mcACR7Z5DCAnCXtKS/view?usp=drivesdk" TargetMode="External"/><Relationship Id="rId278" Type="http://schemas.openxmlformats.org/officeDocument/2006/relationships/hyperlink" Target="https://lh5.googleusercontent.com/d/1gtVhuJhsa9Ll-ybZqFiAzm68m6vS2aTS" TargetMode="External"/><Relationship Id="rId277" Type="http://schemas.openxmlformats.org/officeDocument/2006/relationships/hyperlink" Target="https://drive.google.com/file/d/1OquBF3hKV9teI0yRZ9RZ-QP7u_C1sfDU/view?usp=drivesdk" TargetMode="External"/><Relationship Id="rId276" Type="http://schemas.openxmlformats.org/officeDocument/2006/relationships/hyperlink" Target="https://lh5.googleusercontent.com/d/1GR-CtrqVFVletXmeHssIYA_bJvFOk-SV" TargetMode="External"/><Relationship Id="rId1059" Type="http://schemas.openxmlformats.org/officeDocument/2006/relationships/hyperlink" Target="https://lh5.googleusercontent.com/d/1TIBXsiKV18Sl9Mm0ilpGBN6duWsbpHmq" TargetMode="External"/><Relationship Id="rId228" Type="http://schemas.openxmlformats.org/officeDocument/2006/relationships/hyperlink" Target="https://lh5.googleusercontent.com/d/1FyWZ7-srPBvFoIy--VXiSMyqVbLNoe1d" TargetMode="External"/><Relationship Id="rId227" Type="http://schemas.openxmlformats.org/officeDocument/2006/relationships/hyperlink" Target="https://drive.google.com/file/d/1YxZZyMQmcApHPL9e05qwM0ged1qXy1Bc/view?usp=drivesdk" TargetMode="External"/><Relationship Id="rId226" Type="http://schemas.openxmlformats.org/officeDocument/2006/relationships/hyperlink" Target="https://lh5.googleusercontent.com/d/1U0kfm4NqANeNoEjKn2mobZQTn9cL6EUc" TargetMode="External"/><Relationship Id="rId225" Type="http://schemas.openxmlformats.org/officeDocument/2006/relationships/hyperlink" Target="https://drive.google.com/file/d/1gq3HKZbh-pqpcvS9QSPN_E1Kns27lYmO/view?usp=drivesdk" TargetMode="External"/><Relationship Id="rId229" Type="http://schemas.openxmlformats.org/officeDocument/2006/relationships/hyperlink" Target="https://drive.google.com/file/d/1mUACHonNeLiX5aPpON7sGkW346G0p0QG/view?usp=drivesdk" TargetMode="External"/><Relationship Id="rId1050" Type="http://schemas.openxmlformats.org/officeDocument/2006/relationships/hyperlink" Target="https://drive.google.com/file/d/1yICT3EitS2KqB02oPX4hF2E0uKmo5lVj/view?usp=drivesdk" TargetMode="External"/><Relationship Id="rId220" Type="http://schemas.openxmlformats.org/officeDocument/2006/relationships/hyperlink" Target="https://lh5.googleusercontent.com/d/1jPYCRWOC5_glZe1iYbd6paP3CEjvXim1" TargetMode="External"/><Relationship Id="rId1051" Type="http://schemas.openxmlformats.org/officeDocument/2006/relationships/hyperlink" Target="https://lh5.googleusercontent.com/d/1tSWelcv2Rs_cRrnHX2XDB1uo0-ogE8LO" TargetMode="External"/><Relationship Id="rId1052" Type="http://schemas.openxmlformats.org/officeDocument/2006/relationships/hyperlink" Target="https://drive.google.com/file/d/1lE_sVCiMgo_HQ0HbPK05dTmAxgp62k3Q/view?usp=drivesdk" TargetMode="External"/><Relationship Id="rId1053" Type="http://schemas.openxmlformats.org/officeDocument/2006/relationships/hyperlink" Target="https://lh5.googleusercontent.com/d/1Hhsy4gixRsnm4U2PnK0BPr9R-uhtONsv" TargetMode="External"/><Relationship Id="rId1054" Type="http://schemas.openxmlformats.org/officeDocument/2006/relationships/hyperlink" Target="https://drive.google.com/file/d/1u-WE0Q9LgHY8ffm3TJ05fyYRVWkpoB7Y/view?usp=drivesdk" TargetMode="External"/><Relationship Id="rId224" Type="http://schemas.openxmlformats.org/officeDocument/2006/relationships/hyperlink" Target="https://lh5.googleusercontent.com/d/1KKMyQNgs1cAmKRfIImMSu1cNv_0W9xLt" TargetMode="External"/><Relationship Id="rId1055" Type="http://schemas.openxmlformats.org/officeDocument/2006/relationships/hyperlink" Target="https://lh5.googleusercontent.com/d/1diPy7j_o7vy__7Wa9jKYKXKrcCtk_-WZ" TargetMode="External"/><Relationship Id="rId223" Type="http://schemas.openxmlformats.org/officeDocument/2006/relationships/hyperlink" Target="https://drive.google.com/file/d/1tjW0OhKJvwJsD4gsPSqzMn7rkUeqgZIa/view?usp=drivesdk" TargetMode="External"/><Relationship Id="rId1056" Type="http://schemas.openxmlformats.org/officeDocument/2006/relationships/hyperlink" Target="https://drive.google.com/file/d/1Tm3rpdfmnr6xvD5jO7iiNDytca89Mg2J/view?usp=drivesdk" TargetMode="External"/><Relationship Id="rId222" Type="http://schemas.openxmlformats.org/officeDocument/2006/relationships/hyperlink" Target="https://lh5.googleusercontent.com/d/15ZikLWqewi0XCQi-oidT_DnR8Z6lpFY1" TargetMode="External"/><Relationship Id="rId1057" Type="http://schemas.openxmlformats.org/officeDocument/2006/relationships/hyperlink" Target="https://lh5.googleusercontent.com/d/1X_v8_VEvsdhkOlRmUblxQb1yLW2ZIT-A" TargetMode="External"/><Relationship Id="rId221" Type="http://schemas.openxmlformats.org/officeDocument/2006/relationships/hyperlink" Target="https://drive.google.com/file/d/1nlxjNBLxm82E1C3dF2gtLrzYR52bmuPH/view?usp=drivesdk" TargetMode="External"/><Relationship Id="rId1058" Type="http://schemas.openxmlformats.org/officeDocument/2006/relationships/hyperlink" Target="https://drive.google.com/file/d/1KL7muEw53ZE5jTx_mK6pNm_LaTyqclxy/view?usp=drivesdk" TargetMode="External"/><Relationship Id="rId1048" Type="http://schemas.openxmlformats.org/officeDocument/2006/relationships/hyperlink" Target="https://drive.google.com/file/d/1g0i8yhyhcUSYORfRcIvPKLOu5XbZv5Vn/view?usp=drivesdk" TargetMode="External"/><Relationship Id="rId1049" Type="http://schemas.openxmlformats.org/officeDocument/2006/relationships/hyperlink" Target="https://lh5.googleusercontent.com/d/1D3tyT3IrxeybMWCnRXM7hgRSOZ4H2fpa" TargetMode="External"/><Relationship Id="rId217" Type="http://schemas.openxmlformats.org/officeDocument/2006/relationships/hyperlink" Target="https://drive.google.com/file/d/1ybGZkLIb-nF3TxZ19biociasamVBgU9x/view?usp=drivesdk" TargetMode="External"/><Relationship Id="rId216" Type="http://schemas.openxmlformats.org/officeDocument/2006/relationships/hyperlink" Target="https://lh5.googleusercontent.com/d/1tEfe0fNbu3NI7INKkwqOpJS5VsoF_hD7" TargetMode="External"/><Relationship Id="rId215" Type="http://schemas.openxmlformats.org/officeDocument/2006/relationships/hyperlink" Target="https://lh5.googleusercontent.com/d/12Bl_KI155m3rX38hBBCvwmxnQlOQeJ1u" TargetMode="External"/><Relationship Id="rId214" Type="http://schemas.openxmlformats.org/officeDocument/2006/relationships/hyperlink" Target="https://drive.google.com/file/d/16NDr5SPt6Oqv7mlOPiu0wopbN7kjf8Pt/view?usp=drivesdk" TargetMode="External"/><Relationship Id="rId219" Type="http://schemas.openxmlformats.org/officeDocument/2006/relationships/hyperlink" Target="https://drive.google.com/file/d/1B-soZzESpcpPbKhU-_0xJu1ofAfxDcf-/view?usp=drivesdk" TargetMode="External"/><Relationship Id="rId218" Type="http://schemas.openxmlformats.org/officeDocument/2006/relationships/hyperlink" Target="https://lh5.googleusercontent.com/d/1VWKWHPfpIIDeIxxHtCkOlALHjlcF1-tg" TargetMode="External"/><Relationship Id="rId1040" Type="http://schemas.openxmlformats.org/officeDocument/2006/relationships/hyperlink" Target="https://drive.google.com/file/d/1B90nEAm9m22aY38T7IPM58ink1A2gPjM/view?usp=drivesdk" TargetMode="External"/><Relationship Id="rId1041" Type="http://schemas.openxmlformats.org/officeDocument/2006/relationships/hyperlink" Target="https://lh5.googleusercontent.com/d/16SZsJGlALpnVKJ9N7wZKRiEMIcD5JVM8" TargetMode="External"/><Relationship Id="rId1042" Type="http://schemas.openxmlformats.org/officeDocument/2006/relationships/hyperlink" Target="https://drive.google.com/file/d/1ehu8EcCoPjXCC1F85NeRnNticOlqxqST/view?usp=drivesdk" TargetMode="External"/><Relationship Id="rId1043" Type="http://schemas.openxmlformats.org/officeDocument/2006/relationships/hyperlink" Target="https://lh5.googleusercontent.com/d/1eEypjiSyR8djBSBvtZPJYqvv9wcP3nzi" TargetMode="External"/><Relationship Id="rId213" Type="http://schemas.openxmlformats.org/officeDocument/2006/relationships/hyperlink" Target="https://lh5.googleusercontent.com/d/1Fb3AnquxieFF41B3M9DHX9RX5o2gXSKb" TargetMode="External"/><Relationship Id="rId1044" Type="http://schemas.openxmlformats.org/officeDocument/2006/relationships/hyperlink" Target="https://drive.google.com/file/d/1V2-Vtw5wQBTvVp0SQ9m4y_Q1QK2QQNlr/view?usp=drivesdk" TargetMode="External"/><Relationship Id="rId212" Type="http://schemas.openxmlformats.org/officeDocument/2006/relationships/hyperlink" Target="https://drive.google.com/file/d/14OrvdJ7BEeaTxLT9PUNu9SNvi1XoSBMM/view?usp=drivesdk" TargetMode="External"/><Relationship Id="rId1045" Type="http://schemas.openxmlformats.org/officeDocument/2006/relationships/hyperlink" Target="https://lh5.googleusercontent.com/d/1bSFkjOK01M2WW5-pI_qfNv4x8tx24oBA" TargetMode="External"/><Relationship Id="rId211" Type="http://schemas.openxmlformats.org/officeDocument/2006/relationships/hyperlink" Target="https://lh5.googleusercontent.com/d/1pcDb7TbcDFKDB-7iLpohI1NZggljyHYx" TargetMode="External"/><Relationship Id="rId1046" Type="http://schemas.openxmlformats.org/officeDocument/2006/relationships/hyperlink" Target="https://drive.google.com/file/d/10QaTlZsCwdMJecltmdMOEjR_ezJPpGsG/view?usp=drivesdk" TargetMode="External"/><Relationship Id="rId210" Type="http://schemas.openxmlformats.org/officeDocument/2006/relationships/hyperlink" Target="https://drive.google.com/file/d/1ppuGL4hB8GCpf9lW92pR9KRPPB5xB6Ok/view?usp=drivesdk" TargetMode="External"/><Relationship Id="rId1047" Type="http://schemas.openxmlformats.org/officeDocument/2006/relationships/hyperlink" Target="https://lh5.googleusercontent.com/d/1OBNfuuJQZg-dxDfJt8XjbXnKPFd50T74" TargetMode="External"/><Relationship Id="rId249" Type="http://schemas.openxmlformats.org/officeDocument/2006/relationships/hyperlink" Target="https://drive.google.com/file/d/1Xshz2Pjucim-dhO5v7ApwHMQke5RQQMP/view?usp=drivesdk" TargetMode="External"/><Relationship Id="rId248" Type="http://schemas.openxmlformats.org/officeDocument/2006/relationships/hyperlink" Target="https://lh5.googleusercontent.com/d/1TqkOAic7aSnCNCDKCliIiPlKvFW_c2rz" TargetMode="External"/><Relationship Id="rId247" Type="http://schemas.openxmlformats.org/officeDocument/2006/relationships/hyperlink" Target="https://drive.google.com/file/d/160t0XhyNnQb1CZ713xblfy5Fbf9aooSW/view?usp=drivesdk" TargetMode="External"/><Relationship Id="rId1070" Type="http://schemas.openxmlformats.org/officeDocument/2006/relationships/hyperlink" Target="https://drive.google.com/file/d/1fMPwzLAzhL3I1fzOlUM4u0hY0nntD5VE/view?usp=drivesdk" TargetMode="External"/><Relationship Id="rId1071" Type="http://schemas.openxmlformats.org/officeDocument/2006/relationships/hyperlink" Target="https://lh5.googleusercontent.com/d/1Z33WlJd8aGacrbMYkwBTlyR7rtWSW8Fb" TargetMode="External"/><Relationship Id="rId1072" Type="http://schemas.openxmlformats.org/officeDocument/2006/relationships/hyperlink" Target="https://drive.google.com/file/d/1UzqVVpj5z7ZOIErqOQwKG8Ozcos4BeU4/view?usp=drivesdk" TargetMode="External"/><Relationship Id="rId242" Type="http://schemas.openxmlformats.org/officeDocument/2006/relationships/hyperlink" Target="https://lh5.googleusercontent.com/d/1CT69p5bnVDXV78xjmX-C8Wef8yJlLAjv" TargetMode="External"/><Relationship Id="rId1073" Type="http://schemas.openxmlformats.org/officeDocument/2006/relationships/hyperlink" Target="https://lh5.googleusercontent.com/d/1a3rEW8liXfOlxZSx8KZiQLfM8rPjkaWK" TargetMode="External"/><Relationship Id="rId241" Type="http://schemas.openxmlformats.org/officeDocument/2006/relationships/hyperlink" Target="https://drive.google.com/file/d/1yAErEn1vt-OG9CzirmaUG6E3PdkKjb0z/view?usp=drivesdk" TargetMode="External"/><Relationship Id="rId1074" Type="http://schemas.openxmlformats.org/officeDocument/2006/relationships/hyperlink" Target="https://drive.google.com/file/d/18shZqDouieXpTa1OTm7D5nRn5E-RFcbS/view?usp=drivesdk" TargetMode="External"/><Relationship Id="rId240" Type="http://schemas.openxmlformats.org/officeDocument/2006/relationships/hyperlink" Target="https://lh5.googleusercontent.com/d/1xtGzteATjE-_xTl5YghOdhN1StgVtffT" TargetMode="External"/><Relationship Id="rId1075" Type="http://schemas.openxmlformats.org/officeDocument/2006/relationships/hyperlink" Target="https://lh5.googleusercontent.com/d/1OJYzzOjx1XTgVLBW2Ap1aficBadDq2Gc" TargetMode="External"/><Relationship Id="rId1076" Type="http://schemas.openxmlformats.org/officeDocument/2006/relationships/hyperlink" Target="https://drive.google.com/file/d/15sK9orYpm2T3922SJ-f25N0gxCFmKcl1/view?usp=drivesdk" TargetMode="External"/><Relationship Id="rId246" Type="http://schemas.openxmlformats.org/officeDocument/2006/relationships/hyperlink" Target="https://lh5.googleusercontent.com/d/1OZTU1Ww9ssDqhYy8tbADYpg0u-m8R20M" TargetMode="External"/><Relationship Id="rId1077" Type="http://schemas.openxmlformats.org/officeDocument/2006/relationships/hyperlink" Target="https://lh5.googleusercontent.com/d/1KJu2y9gFTshmjP2AHHSXqsFCc1BJqW5e" TargetMode="External"/><Relationship Id="rId245" Type="http://schemas.openxmlformats.org/officeDocument/2006/relationships/hyperlink" Target="https://drive.google.com/file/d/1ZZ0Q7hrCt22OG2MEeNjLich_R8NkN6B-/view?usp=drivesdk" TargetMode="External"/><Relationship Id="rId1078" Type="http://schemas.openxmlformats.org/officeDocument/2006/relationships/hyperlink" Target="https://drive.google.com/file/d/1jIUrNGuiBBwh11xO0hu2BU89lMfJuVYE/view?usp=drivesdk" TargetMode="External"/><Relationship Id="rId244" Type="http://schemas.openxmlformats.org/officeDocument/2006/relationships/hyperlink" Target="https://lh5.googleusercontent.com/d/1MROnDXGBwEBH7NmbliOkVedWnEoAvHpt" TargetMode="External"/><Relationship Id="rId1079" Type="http://schemas.openxmlformats.org/officeDocument/2006/relationships/hyperlink" Target="https://lh5.googleusercontent.com/d/1WvLDTNk-sWr1yzP0RKjT6_8BdNepvyRM" TargetMode="External"/><Relationship Id="rId243" Type="http://schemas.openxmlformats.org/officeDocument/2006/relationships/hyperlink" Target="https://drive.google.com/file/d/1LAA5y1L0Osyii5u8q4gJWK32285dlniL/view?usp=drivesdk" TargetMode="External"/><Relationship Id="rId239" Type="http://schemas.openxmlformats.org/officeDocument/2006/relationships/hyperlink" Target="https://drive.google.com/file/d/16WgCOKg_WNKuRsNG9a8LrQu6eTuih5jx/view?usp=drivesdk" TargetMode="External"/><Relationship Id="rId238" Type="http://schemas.openxmlformats.org/officeDocument/2006/relationships/hyperlink" Target="https://lh5.googleusercontent.com/d/1bXC1oXN8lveLLH5_PTtSNsSqFzwVulGL" TargetMode="External"/><Relationship Id="rId237" Type="http://schemas.openxmlformats.org/officeDocument/2006/relationships/hyperlink" Target="https://drive.google.com/file/d/1YNW2XlvknbvNwNQmaXO8BwtERSqNuMvT/view?usp=drivesdk" TargetMode="External"/><Relationship Id="rId236" Type="http://schemas.openxmlformats.org/officeDocument/2006/relationships/hyperlink" Target="https://lh5.googleusercontent.com/d/1LJX120gtRCMR1K4AFOM1tI7QB6xgxfI0" TargetMode="External"/><Relationship Id="rId1060" Type="http://schemas.openxmlformats.org/officeDocument/2006/relationships/hyperlink" Target="https://drive.google.com/file/d/1EQTw81pdzej6BTm9npYODK4Ix50JGwyR/view?usp=drivesdk" TargetMode="External"/><Relationship Id="rId1061" Type="http://schemas.openxmlformats.org/officeDocument/2006/relationships/hyperlink" Target="https://lh5.googleusercontent.com/d/1g6wyTsrYuT3ZElZy2Hf21IBPCe3-9K4Y" TargetMode="External"/><Relationship Id="rId231" Type="http://schemas.openxmlformats.org/officeDocument/2006/relationships/hyperlink" Target="https://drive.google.com/file/d/10qifHhROCtjkqzKu4HsaPPIP0n44luLU/view?usp=drivesdk" TargetMode="External"/><Relationship Id="rId1062" Type="http://schemas.openxmlformats.org/officeDocument/2006/relationships/hyperlink" Target="https://drive.google.com/file/d/1HFmYnqoiDy_UgB8fQxz1L1qyW_Krdi_l/view?usp=drivesdk" TargetMode="External"/><Relationship Id="rId230" Type="http://schemas.openxmlformats.org/officeDocument/2006/relationships/hyperlink" Target="https://lh5.googleusercontent.com/d/1Plxo_NlOxjoZcJMkyQMOYjoLr7RhCrS5" TargetMode="External"/><Relationship Id="rId1063" Type="http://schemas.openxmlformats.org/officeDocument/2006/relationships/hyperlink" Target="https://lh5.googleusercontent.com/d/1rRmacDvflIxO9C4N0PbnIZNC_BE0hTij" TargetMode="External"/><Relationship Id="rId1064" Type="http://schemas.openxmlformats.org/officeDocument/2006/relationships/hyperlink" Target="https://drive.google.com/file/d/1MUykMEWgN_sKyy0ZRrvgWZIvaiPLNsEK/view?usp=drivesdk" TargetMode="External"/><Relationship Id="rId1065" Type="http://schemas.openxmlformats.org/officeDocument/2006/relationships/hyperlink" Target="https://lh5.googleusercontent.com/d/1Sl5s3gyTBAJ9gfgQM6s81kKm1X8Lb62Z" TargetMode="External"/><Relationship Id="rId235" Type="http://schemas.openxmlformats.org/officeDocument/2006/relationships/hyperlink" Target="https://drive.google.com/file/d/1EkogE-IBHLNJ2rn9X_RBNUOWabdRsH0U/view?usp=drivesdk" TargetMode="External"/><Relationship Id="rId1066" Type="http://schemas.openxmlformats.org/officeDocument/2006/relationships/hyperlink" Target="https://drive.google.com/file/d/11KvtGw1HVD7rQD1tv5HQnfhU0trRNDB7/view?usp=drivesdk" TargetMode="External"/><Relationship Id="rId234" Type="http://schemas.openxmlformats.org/officeDocument/2006/relationships/hyperlink" Target="https://lh5.googleusercontent.com/d/1MUmImOimu_MsQwfQ2MC3mEYHrYxth9UZ" TargetMode="External"/><Relationship Id="rId1067" Type="http://schemas.openxmlformats.org/officeDocument/2006/relationships/hyperlink" Target="https://lh5.googleusercontent.com/d/1WqTQHFooVZA1RdxujIS5Yfop-8H6UhzR" TargetMode="External"/><Relationship Id="rId233" Type="http://schemas.openxmlformats.org/officeDocument/2006/relationships/hyperlink" Target="https://drive.google.com/file/d/16cyo7mEREc0F7XFmVb3rkdixcTRKoZLC/view?usp=drivesdk" TargetMode="External"/><Relationship Id="rId1068" Type="http://schemas.openxmlformats.org/officeDocument/2006/relationships/hyperlink" Target="https://drive.google.com/file/d/1TSd7lQ-tC6iAOWJyajR51GG28RGurQ2Q/view?usp=drivesdk" TargetMode="External"/><Relationship Id="rId232" Type="http://schemas.openxmlformats.org/officeDocument/2006/relationships/hyperlink" Target="https://lh5.googleusercontent.com/d/1U1jqRChI42p80e9DUalNCQh1wRLjAm8q" TargetMode="External"/><Relationship Id="rId1069" Type="http://schemas.openxmlformats.org/officeDocument/2006/relationships/hyperlink" Target="https://lh5.googleusercontent.com/d/1-mWgwzzaOuTF4S_bN7EnHPALeXAU-bDM" TargetMode="External"/><Relationship Id="rId1015" Type="http://schemas.openxmlformats.org/officeDocument/2006/relationships/hyperlink" Target="https://drive.google.com/file/d/13ko6oon8spfyKVwHsKbU7AH5DfmkOfzf/view?usp=drivesdk" TargetMode="External"/><Relationship Id="rId1016" Type="http://schemas.openxmlformats.org/officeDocument/2006/relationships/hyperlink" Target="https://lh5.googleusercontent.com/d/18hLYnpsxoXyMYNJ7oePGrwlDkeC5pxQ9" TargetMode="External"/><Relationship Id="rId1017" Type="http://schemas.openxmlformats.org/officeDocument/2006/relationships/hyperlink" Target="https://drive.google.com/file/d/1rjDcLFL6ZewZBbhjLnsPo6H02861aa6f/view?usp=drivesdk" TargetMode="External"/><Relationship Id="rId1018" Type="http://schemas.openxmlformats.org/officeDocument/2006/relationships/hyperlink" Target="https://lh5.googleusercontent.com/d/1rOxcdxU61T_-IVbG5jfe087N3rvmtiTr" TargetMode="External"/><Relationship Id="rId1019" Type="http://schemas.openxmlformats.org/officeDocument/2006/relationships/hyperlink" Target="https://drive.google.com/file/d/1aouT-pvcIbaXFglSomlUjHQn2rDWlf-3/view?usp=drivesdk" TargetMode="External"/><Relationship Id="rId1010" Type="http://schemas.openxmlformats.org/officeDocument/2006/relationships/hyperlink" Target="https://drive.google.com/file/d/1X9knYF0QRfbsi8VhzAGqSKbikTuxPeGv/view?usp=drivesdk" TargetMode="External"/><Relationship Id="rId1011" Type="http://schemas.openxmlformats.org/officeDocument/2006/relationships/hyperlink" Target="https://lh5.googleusercontent.com/d/1tdwIKqurYfSBKSRQVB7GnnHEYDqwCD1t" TargetMode="External"/><Relationship Id="rId1012" Type="http://schemas.openxmlformats.org/officeDocument/2006/relationships/hyperlink" Target="https://drive.google.com/file/d/1s7VliX--FMJ4F40Q6dtmm-gYPWvtLvC5/view?usp=drivesdk" TargetMode="External"/><Relationship Id="rId1013" Type="http://schemas.openxmlformats.org/officeDocument/2006/relationships/hyperlink" Target="https://drive.google.com/file/d/1cXGBiu1Jd7eqjzizds_9XIsUuWtE27oA/view?usp=drivesdk" TargetMode="External"/><Relationship Id="rId1014" Type="http://schemas.openxmlformats.org/officeDocument/2006/relationships/hyperlink" Target="https://lh5.googleusercontent.com/d/1BrN7waJGYNAo_3EQkwGQBOvvP77SwqY7" TargetMode="External"/><Relationship Id="rId1004" Type="http://schemas.openxmlformats.org/officeDocument/2006/relationships/hyperlink" Target="https://drive.google.com/file/d/18AfS7Ni7dkqww5BqCO6qAoXj89S1C2IO/view?usp=drivesdk" TargetMode="External"/><Relationship Id="rId1005" Type="http://schemas.openxmlformats.org/officeDocument/2006/relationships/hyperlink" Target="https://lh5.googleusercontent.com/d/1bcRQ3wQtHD_HB49ksppAyzSaRDCgAWJc" TargetMode="External"/><Relationship Id="rId1006" Type="http://schemas.openxmlformats.org/officeDocument/2006/relationships/hyperlink" Target="https://drive.google.com/file/d/1fYBCxLnGw0Gaw04RYvZHPUzFI-qW-mip/view?usp=drivesdk" TargetMode="External"/><Relationship Id="rId1007" Type="http://schemas.openxmlformats.org/officeDocument/2006/relationships/hyperlink" Target="https://lh5.googleusercontent.com/d/1o8yPGaxtoDck6oJYyQRpbFnMHhNDUaYm" TargetMode="External"/><Relationship Id="rId1008" Type="http://schemas.openxmlformats.org/officeDocument/2006/relationships/hyperlink" Target="https://drive.google.com/file/d/1VIAEG1aeMo4tByYKE1kZyXBAQtlh-E9R/view?usp=drivesdk" TargetMode="External"/><Relationship Id="rId1009" Type="http://schemas.openxmlformats.org/officeDocument/2006/relationships/hyperlink" Target="https://lh5.googleusercontent.com/d/19RIBDXOc3aRohu2-mEmSwSf2gEaZtlB3" TargetMode="External"/><Relationship Id="rId1000" Type="http://schemas.openxmlformats.org/officeDocument/2006/relationships/hyperlink" Target="https://drive.google.com/file/d/1WnxOMIdJ0CQE9-jVCTa0JXYE7ciszg67/view?usp=drivesdk" TargetMode="External"/><Relationship Id="rId1001" Type="http://schemas.openxmlformats.org/officeDocument/2006/relationships/hyperlink" Target="https://lh5.googleusercontent.com/d/1JJyNjhLYZ7GJA6fW8unhjhrtpqIIQOEX" TargetMode="External"/><Relationship Id="rId1002" Type="http://schemas.openxmlformats.org/officeDocument/2006/relationships/hyperlink" Target="https://drive.google.com/file/d/1s_2UD91CLy1w16pWzuIjMRl4K5N7tIuQ/view?usp=drivesdk" TargetMode="External"/><Relationship Id="rId1003" Type="http://schemas.openxmlformats.org/officeDocument/2006/relationships/hyperlink" Target="https://lh5.googleusercontent.com/d/1pq25t70QFqlcOWVFqay8eUcOg-BJgNt7" TargetMode="External"/><Relationship Id="rId1037" Type="http://schemas.openxmlformats.org/officeDocument/2006/relationships/hyperlink" Target="https://lh5.googleusercontent.com/d/1Uk0ASo1uDF-Le8cEM1cVDtWmTLywdaB7" TargetMode="External"/><Relationship Id="rId1038" Type="http://schemas.openxmlformats.org/officeDocument/2006/relationships/hyperlink" Target="https://drive.google.com/file/d/1CSq6g4ud7ri4-YSerqwl2Yv2re7iC5bN/view?usp=drivesdk" TargetMode="External"/><Relationship Id="rId1039" Type="http://schemas.openxmlformats.org/officeDocument/2006/relationships/hyperlink" Target="https://lh5.googleusercontent.com/d/1ckJY1-PJ1vCQrApjC4agA273g35L9b2X" TargetMode="External"/><Relationship Id="rId206" Type="http://schemas.openxmlformats.org/officeDocument/2006/relationships/hyperlink" Target="https://drive.google.com/file/d/1zSvU6Elb2Yx3pvNYRYgjAW25lzPond4O/view?usp=drivesdk" TargetMode="External"/><Relationship Id="rId205" Type="http://schemas.openxmlformats.org/officeDocument/2006/relationships/hyperlink" Target="https://lh5.googleusercontent.com/d/19KGqcvpJPRWw7SrXV8dOSzXC-0g98aeH" TargetMode="External"/><Relationship Id="rId204" Type="http://schemas.openxmlformats.org/officeDocument/2006/relationships/hyperlink" Target="https://drive.google.com/file/d/1Tmbag725UVn523Wi7SXtBHVhTULeWv2G/view?usp=drivesdk" TargetMode="External"/><Relationship Id="rId203" Type="http://schemas.openxmlformats.org/officeDocument/2006/relationships/hyperlink" Target="https://lh5.googleusercontent.com/d/1DgAIpcorG8LcNtAmL8hN9xK919Zz1Udx" TargetMode="External"/><Relationship Id="rId209" Type="http://schemas.openxmlformats.org/officeDocument/2006/relationships/hyperlink" Target="https://lh5.googleusercontent.com/d/1HNk-tJ_cPGBtcMUP5LhEG8Te_iRnVOX-" TargetMode="External"/><Relationship Id="rId208" Type="http://schemas.openxmlformats.org/officeDocument/2006/relationships/hyperlink" Target="https://drive.google.com/file/d/1F5ckWNoqQgzOlrJe_BvFvjMuSVN390Vm/view?usp=drivesdk" TargetMode="External"/><Relationship Id="rId207" Type="http://schemas.openxmlformats.org/officeDocument/2006/relationships/hyperlink" Target="https://lh5.googleusercontent.com/d/1-06zEHnwqg0xRCW4UgOnFd8zA_pAB744" TargetMode="External"/><Relationship Id="rId1030" Type="http://schemas.openxmlformats.org/officeDocument/2006/relationships/hyperlink" Target="https://lh5.googleusercontent.com/d/1eFv7R7q_-8LTY6hLcYqdb0U8e5qNCsJa" TargetMode="External"/><Relationship Id="rId1031" Type="http://schemas.openxmlformats.org/officeDocument/2006/relationships/hyperlink" Target="https://drive.google.com/file/d/1wqU_wibTD9JyLM-XNyjCWc-Yyp47cD1p/view?usp=drivesdk" TargetMode="External"/><Relationship Id="rId1032" Type="http://schemas.openxmlformats.org/officeDocument/2006/relationships/hyperlink" Target="https://lh5.googleusercontent.com/d/1AOr7pWcPQXrsG_1lRkCxA7FEkRhGQHH0" TargetMode="External"/><Relationship Id="rId202" Type="http://schemas.openxmlformats.org/officeDocument/2006/relationships/hyperlink" Target="https://drive.google.com/file/d/1XDsf1a1UcGdUIYp4mi6xiFn3Iveb9HCE/view?usp=drivesdk" TargetMode="External"/><Relationship Id="rId1033" Type="http://schemas.openxmlformats.org/officeDocument/2006/relationships/hyperlink" Target="https://drive.google.com/file/d/1SrARtgiIQS6NUs8hEjJW6YIfdv0KxwpK/view?usp=drivesdk" TargetMode="External"/><Relationship Id="rId201" Type="http://schemas.openxmlformats.org/officeDocument/2006/relationships/hyperlink" Target="https://lh5.googleusercontent.com/d/12irtP0B2aC0Eqhy6r1KPGiE6yBHd6hkD" TargetMode="External"/><Relationship Id="rId1034" Type="http://schemas.openxmlformats.org/officeDocument/2006/relationships/hyperlink" Target="https://lh5.googleusercontent.com/d/1pH0IlA5aiH9DPFMRteNwbbbepA6YaA47" TargetMode="External"/><Relationship Id="rId200" Type="http://schemas.openxmlformats.org/officeDocument/2006/relationships/hyperlink" Target="https://drive.google.com/file/d/1N3GugfQwWizT10G18mbzMUOPd5Jgbq-0/view?usp=drivesdk" TargetMode="External"/><Relationship Id="rId1035" Type="http://schemas.openxmlformats.org/officeDocument/2006/relationships/hyperlink" Target="https://drive.google.com/file/d/1Qm9wm7VweK1dCxG7sDAQHvP2csgV_vkl/view?usp=drivesdk" TargetMode="External"/><Relationship Id="rId1036" Type="http://schemas.openxmlformats.org/officeDocument/2006/relationships/hyperlink" Target="https://drive.google.com/file/d/1DqnvGUT0JdhAySgXK6SGgHwTBGudjidV/view?usp=drivesdk" TargetMode="External"/><Relationship Id="rId1026" Type="http://schemas.openxmlformats.org/officeDocument/2006/relationships/hyperlink" Target="https://lh5.googleusercontent.com/d/1bv7DP75WfBOQVhprInAbTbPxjNOn5Av4" TargetMode="External"/><Relationship Id="rId1027" Type="http://schemas.openxmlformats.org/officeDocument/2006/relationships/hyperlink" Target="https://drive.google.com/file/d/1y5pKSyQPFb3GC8wHvL0cXVWtLAPYrwUB/view?usp=drivesdk" TargetMode="External"/><Relationship Id="rId1028" Type="http://schemas.openxmlformats.org/officeDocument/2006/relationships/hyperlink" Target="https://lh5.googleusercontent.com/d/1cVyGyh_o861MbBI4lpCUoFu22ARgLMp8" TargetMode="External"/><Relationship Id="rId1029" Type="http://schemas.openxmlformats.org/officeDocument/2006/relationships/hyperlink" Target="https://drive.google.com/file/d/11LqsTmSBJ0rsdlHMxFxmtk4X8TMWa2bb/view?usp=drivesdk" TargetMode="External"/><Relationship Id="rId1020" Type="http://schemas.openxmlformats.org/officeDocument/2006/relationships/hyperlink" Target="https://lh5.googleusercontent.com/d/1AfWjBeRFbO33ACecVFYGn04-ETPVZBL6" TargetMode="External"/><Relationship Id="rId1021" Type="http://schemas.openxmlformats.org/officeDocument/2006/relationships/hyperlink" Target="https://drive.google.com/file/d/1h3osPSzuK-l8oPeIeW3KnSoH2EHaSiNB/view?usp=drivesdk" TargetMode="External"/><Relationship Id="rId1022" Type="http://schemas.openxmlformats.org/officeDocument/2006/relationships/hyperlink" Target="https://lh5.googleusercontent.com/d/1Z76oICF3nPMnhtTV-JtsKKoTxvogWLzx" TargetMode="External"/><Relationship Id="rId1023" Type="http://schemas.openxmlformats.org/officeDocument/2006/relationships/hyperlink" Target="https://drive.google.com/file/d/1tbr2Xlj8KjVcu2aJCRZ_0EOLTOtQcpZu/view?usp=drivesdk" TargetMode="External"/><Relationship Id="rId1024" Type="http://schemas.openxmlformats.org/officeDocument/2006/relationships/hyperlink" Target="https://lh5.googleusercontent.com/d/14emU8Jy0kqkqS_akvSuTf3wg1cInAozK" TargetMode="External"/><Relationship Id="rId1025" Type="http://schemas.openxmlformats.org/officeDocument/2006/relationships/hyperlink" Target="https://drive.google.com/file/d/159c6-E8u03M6qOaaqnaNVGw_CrBVNOyM/view?usp=drivesdk" TargetMode="External"/><Relationship Id="rId1090" Type="http://schemas.openxmlformats.org/officeDocument/2006/relationships/hyperlink" Target="https://drive.google.com/file/d/1I5ycZPIt3uFhzazHnPlbP0u0aXV0UXZT/view?usp=drivesdk" TargetMode="External"/><Relationship Id="rId1091" Type="http://schemas.openxmlformats.org/officeDocument/2006/relationships/hyperlink" Target="https://lh5.googleusercontent.com/d/1-szYcfPiK0tip1iklqd0lqX6BDfOWXS4" TargetMode="External"/><Relationship Id="rId1092" Type="http://schemas.openxmlformats.org/officeDocument/2006/relationships/hyperlink" Target="https://drive.google.com/file/d/1vWIeA7NSuqPuP3eCMencTmhMn8BfwWDd/view?usp=drivesdk" TargetMode="External"/><Relationship Id="rId1093" Type="http://schemas.openxmlformats.org/officeDocument/2006/relationships/hyperlink" Target="https://lh5.googleusercontent.com/d/1CvhFqpwDhhiW1_bsUWVMvQZcHsjZh5G3" TargetMode="External"/><Relationship Id="rId1094" Type="http://schemas.openxmlformats.org/officeDocument/2006/relationships/hyperlink" Target="https://drive.google.com/file/d/1KvCiLPEs0qF2mAXqIznvcwBpFc8bkoFR/view?usp=drivesdk" TargetMode="External"/><Relationship Id="rId1095" Type="http://schemas.openxmlformats.org/officeDocument/2006/relationships/hyperlink" Target="https://lh5.googleusercontent.com/d/1iHe_w7YdP5mykPXFLBA3A7m5todcq_DK" TargetMode="External"/><Relationship Id="rId1096" Type="http://schemas.openxmlformats.org/officeDocument/2006/relationships/hyperlink" Target="https://drive.google.com/file/d/1NMH3_KuvmgQgqyRqpLE8FAu1cDyA_A_g/view?usp=drivesdk" TargetMode="External"/><Relationship Id="rId1097" Type="http://schemas.openxmlformats.org/officeDocument/2006/relationships/hyperlink" Target="https://lh5.googleusercontent.com/d/1nrpVVs-U2wy3U9je5eZMkOJgJV51PV0C" TargetMode="External"/><Relationship Id="rId1098" Type="http://schemas.openxmlformats.org/officeDocument/2006/relationships/hyperlink" Target="https://drive.google.com/file/d/1ONtIkuBaavByTDw-Zdh5a-fX_aHZq6-i/view?usp=drivesdk" TargetMode="External"/><Relationship Id="rId1099" Type="http://schemas.openxmlformats.org/officeDocument/2006/relationships/hyperlink" Target="https://lh5.googleusercontent.com/d/1ZjFvaaNG7_2fAK2TluuBM46Rh8Za3Axp" TargetMode="External"/><Relationship Id="rId1080" Type="http://schemas.openxmlformats.org/officeDocument/2006/relationships/hyperlink" Target="https://drive.google.com/file/d/1VwBos4GwgdHWKeTZBPvztzAKF_j8GnN-/view?usp=drivesdk" TargetMode="External"/><Relationship Id="rId1081" Type="http://schemas.openxmlformats.org/officeDocument/2006/relationships/hyperlink" Target="https://lh5.googleusercontent.com/d/1Ck4ZG4o3J5bNBYAzMA4CZur2B7nbpb_L" TargetMode="External"/><Relationship Id="rId1082" Type="http://schemas.openxmlformats.org/officeDocument/2006/relationships/hyperlink" Target="https://drive.google.com/file/d/1eyKapDvroaQLedBGHjQ64pkOXPfVWVml/view?usp=drivesdk" TargetMode="External"/><Relationship Id="rId1083" Type="http://schemas.openxmlformats.org/officeDocument/2006/relationships/hyperlink" Target="https://lh5.googleusercontent.com/d/1xWVSDEwp1nBW2J1cW4DZZtPSjgSrPiFC" TargetMode="External"/><Relationship Id="rId1084" Type="http://schemas.openxmlformats.org/officeDocument/2006/relationships/hyperlink" Target="https://drive.google.com/file/d/18uSw_PQZUQLgHpEh3OdfX0il9zG5VeWM/view?usp=drivesdk" TargetMode="External"/><Relationship Id="rId1085" Type="http://schemas.openxmlformats.org/officeDocument/2006/relationships/hyperlink" Target="https://lh5.googleusercontent.com/d/1LwFUIathufeyG5BYBYIQHjyALtlyk_8x" TargetMode="External"/><Relationship Id="rId1086" Type="http://schemas.openxmlformats.org/officeDocument/2006/relationships/hyperlink" Target="https://drive.google.com/file/d/1aOaJZCpX1O3ClPn6CrjgPJDIXuUGmj7D/view?usp=drivesdk" TargetMode="External"/><Relationship Id="rId1087" Type="http://schemas.openxmlformats.org/officeDocument/2006/relationships/hyperlink" Target="https://lh5.googleusercontent.com/d/1D58Gm7c0nzkJN1ZvFVIhXpmHNdxvq1yp" TargetMode="External"/><Relationship Id="rId1088" Type="http://schemas.openxmlformats.org/officeDocument/2006/relationships/hyperlink" Target="https://drive.google.com/file/d/1MNkX3rW0mCWdzMIoIdZ3U8ezwtXxiJMj/view?usp=drivesdk" TargetMode="External"/><Relationship Id="rId1089" Type="http://schemas.openxmlformats.org/officeDocument/2006/relationships/hyperlink" Target="https://lh5.googleusercontent.com/d/1cI_QyOIAS868KWut8IPZdoDEHqKUCNGi" TargetMode="External"/><Relationship Id="rId509" Type="http://schemas.openxmlformats.org/officeDocument/2006/relationships/hyperlink" Target="https://drive.google.com/file/d/1OMg7NPN9nQbxgwMoRjJQ0i8081SyrWJ2/view?usp=drivesdk" TargetMode="External"/><Relationship Id="rId508" Type="http://schemas.openxmlformats.org/officeDocument/2006/relationships/hyperlink" Target="https://lh5.googleusercontent.com/d/10pQQq8gahEcs5xNfCt6P80cBsSSzdC31" TargetMode="External"/><Relationship Id="rId503" Type="http://schemas.openxmlformats.org/officeDocument/2006/relationships/hyperlink" Target="https://drive.google.com/file/d/13-YIDwnFJTdRix5rl_PUn6spqAChKy-s/view?usp=drivesdk" TargetMode="External"/><Relationship Id="rId502" Type="http://schemas.openxmlformats.org/officeDocument/2006/relationships/hyperlink" Target="https://lh5.googleusercontent.com/d/1YOE1y8-FaEmVLwihcE69Wg3n6hR3EmlK" TargetMode="External"/><Relationship Id="rId501" Type="http://schemas.openxmlformats.org/officeDocument/2006/relationships/hyperlink" Target="https://drive.google.com/file/d/1muQNWMgPGAkdLUBjN9H8Ps0ZJOcRTuCa/view?usp=drivesdk" TargetMode="External"/><Relationship Id="rId500" Type="http://schemas.openxmlformats.org/officeDocument/2006/relationships/hyperlink" Target="https://lh5.googleusercontent.com/d/1KR71CCWQqhdm8IhnkmuwbkXSz2jRaKDv" TargetMode="External"/><Relationship Id="rId507" Type="http://schemas.openxmlformats.org/officeDocument/2006/relationships/hyperlink" Target="https://drive.google.com/file/d/17EVNPLMCxczhtOszrBX4tSGtIRCIFCdE/view?usp=drivesdk" TargetMode="External"/><Relationship Id="rId506" Type="http://schemas.openxmlformats.org/officeDocument/2006/relationships/hyperlink" Target="https://lh5.googleusercontent.com/d/1kiGPfZhmKB3VUyIy9NzKw-2gbbyItxcF" TargetMode="External"/><Relationship Id="rId505" Type="http://schemas.openxmlformats.org/officeDocument/2006/relationships/hyperlink" Target="https://drive.google.com/file/d/1JiF9wwcI_eGNBjIMz9CZiMBkCrTTRuI9/view?usp=drivesdk" TargetMode="External"/><Relationship Id="rId504" Type="http://schemas.openxmlformats.org/officeDocument/2006/relationships/hyperlink" Target="https://lh5.googleusercontent.com/d/1TAzEBJJy3w_FG6gVL8Co858mKlxRRUmF" TargetMode="External"/><Relationship Id="rId1114" Type="http://schemas.openxmlformats.org/officeDocument/2006/relationships/hyperlink" Target="https://drive.google.com/file/d/1iVFRWKO5Nw0W7eHqiqio9T7cl8Us8wuu/view?usp=drivesdk" TargetMode="External"/><Relationship Id="rId1115" Type="http://schemas.openxmlformats.org/officeDocument/2006/relationships/hyperlink" Target="https://lh5.googleusercontent.com/d/1T1YKh-zRGkMp1pRT7jBD5u3BrvrqRu_s" TargetMode="External"/><Relationship Id="rId1116" Type="http://schemas.openxmlformats.org/officeDocument/2006/relationships/hyperlink" Target="https://drive.google.com/file/d/19MK7dgraEI9T44Ulfu_jh_Syzj-z6J-s/view?usp=drivesdk" TargetMode="External"/><Relationship Id="rId1117" Type="http://schemas.openxmlformats.org/officeDocument/2006/relationships/hyperlink" Target="https://lh5.googleusercontent.com/d/1_TnqQfV7uJiYJjngPwcP0mZ_fgSPTKpM" TargetMode="External"/><Relationship Id="rId1118" Type="http://schemas.openxmlformats.org/officeDocument/2006/relationships/hyperlink" Target="https://lh5.googleusercontent.com/d/1XCu2ARgNfjlmvBTgNkjAGFyKOPrrfONx" TargetMode="External"/><Relationship Id="rId1119" Type="http://schemas.openxmlformats.org/officeDocument/2006/relationships/hyperlink" Target="https://drive.google.com/file/d/1ONSgLwit3TcettiqDL7NitaZKg7TV_Xp/view?usp=drivesdk" TargetMode="External"/><Relationship Id="rId525" Type="http://schemas.openxmlformats.org/officeDocument/2006/relationships/hyperlink" Target="https://drive.google.com/file/d/1-U7rOBwWMsGT5LXSyLjERnWSgO5yIlBl/view?usp=drivesdk" TargetMode="External"/><Relationship Id="rId524" Type="http://schemas.openxmlformats.org/officeDocument/2006/relationships/hyperlink" Target="https://lh5.googleusercontent.com/d/14Lzb9ngwEfDCxwXssSWi_AU6pNng3kbs" TargetMode="External"/><Relationship Id="rId523" Type="http://schemas.openxmlformats.org/officeDocument/2006/relationships/hyperlink" Target="https://drive.google.com/file/d/1lAc4os7HAsq7JE9TM6Aj4MEk4AdrmkfA/view?usp=drivesdk" TargetMode="External"/><Relationship Id="rId522" Type="http://schemas.openxmlformats.org/officeDocument/2006/relationships/hyperlink" Target="https://lh5.googleusercontent.com/d/1NWFl7nr8hPekDp7RQF95g811L5OEzoRO" TargetMode="External"/><Relationship Id="rId529" Type="http://schemas.openxmlformats.org/officeDocument/2006/relationships/hyperlink" Target="https://drive.google.com/file/d/1ybcBDJnInnwpck-A9lXT0Rx5WzCFUJmI/view?usp=drivesdk" TargetMode="External"/><Relationship Id="rId528" Type="http://schemas.openxmlformats.org/officeDocument/2006/relationships/hyperlink" Target="https://lh5.googleusercontent.com/d/1Q__2KaQZoZxypQ-ecmc5n2FG_kD9Tn8J" TargetMode="External"/><Relationship Id="rId527" Type="http://schemas.openxmlformats.org/officeDocument/2006/relationships/hyperlink" Target="https://drive.google.com/file/d/1Fst8iGaRrNtIHYoltc_EMYK9J-PRXq6w/view?usp=drivesdk" TargetMode="External"/><Relationship Id="rId526" Type="http://schemas.openxmlformats.org/officeDocument/2006/relationships/hyperlink" Target="https://lh5.googleusercontent.com/d/1S3iBdEl7nm0CsqkswgijRdl_SOyWFkQ-" TargetMode="External"/><Relationship Id="rId521" Type="http://schemas.openxmlformats.org/officeDocument/2006/relationships/hyperlink" Target="https://drive.google.com/file/d/1BXBvXh3ecPJ-5dDJr2FH2I7g3mJoIhFW/view?usp=drivesdk" TargetMode="External"/><Relationship Id="rId1110" Type="http://schemas.openxmlformats.org/officeDocument/2006/relationships/hyperlink" Target="https://drive.google.com/file/d/11maVx-VnBJ7rOXonC1NORy8LHw8W5OQz/view?usp=drivesdk" TargetMode="External"/><Relationship Id="rId520" Type="http://schemas.openxmlformats.org/officeDocument/2006/relationships/hyperlink" Target="https://lh5.googleusercontent.com/d/1srhDpr7h3s5q-nGW1V1C0Qk5d77IU-So" TargetMode="External"/><Relationship Id="rId1111" Type="http://schemas.openxmlformats.org/officeDocument/2006/relationships/hyperlink" Target="https://lh5.googleusercontent.com/d/1LLcFgL8vC7X_OQsYNwkpx1zAG3EoClXv" TargetMode="External"/><Relationship Id="rId1112" Type="http://schemas.openxmlformats.org/officeDocument/2006/relationships/hyperlink" Target="https://drive.google.com/file/d/1z74pm7URrEOIjuGV83HcxQm3moreSgTW/view?usp=drivesdk" TargetMode="External"/><Relationship Id="rId1113" Type="http://schemas.openxmlformats.org/officeDocument/2006/relationships/hyperlink" Target="https://lh5.googleusercontent.com/d/1aGmcrckuYf4GviVmhvaEDpH7nnsFoJbF" TargetMode="External"/><Relationship Id="rId1103" Type="http://schemas.openxmlformats.org/officeDocument/2006/relationships/hyperlink" Target="https://lh5.googleusercontent.com/d/1mIBwNYkHd1loPHuACFdWAqFP5ASBD-Hx" TargetMode="External"/><Relationship Id="rId1104" Type="http://schemas.openxmlformats.org/officeDocument/2006/relationships/hyperlink" Target="https://drive.google.com/file/d/1BUrF9zBpo9oaJbRwK7kKRz-uPzpykOZW/view?usp=drivesdk" TargetMode="External"/><Relationship Id="rId1105" Type="http://schemas.openxmlformats.org/officeDocument/2006/relationships/hyperlink" Target="https://lh5.googleusercontent.com/d/19WM_Pa4VFfuUvCHra16rAGr-k0vjEQxB" TargetMode="External"/><Relationship Id="rId1106" Type="http://schemas.openxmlformats.org/officeDocument/2006/relationships/hyperlink" Target="https://drive.google.com/file/d/13m5aGr-RbPqCIBPD0uOTJ4oLlvaRZ8Oh/view?usp=drivesdk" TargetMode="External"/><Relationship Id="rId1107" Type="http://schemas.openxmlformats.org/officeDocument/2006/relationships/hyperlink" Target="https://lh5.googleusercontent.com/d/1iQ8hioj3MUMEOPGIvAmfrjNMEH1s4B9s" TargetMode="External"/><Relationship Id="rId1108" Type="http://schemas.openxmlformats.org/officeDocument/2006/relationships/hyperlink" Target="https://drive.google.com/file/d/1gNnDknQkROYkqPCO4yw5aW2cfPeaKVL5/view?usp=drivesdk" TargetMode="External"/><Relationship Id="rId1109" Type="http://schemas.openxmlformats.org/officeDocument/2006/relationships/hyperlink" Target="https://lh5.googleusercontent.com/d/1RaIH_xjp5bXw7oBy-dOKxYBpDowEsETn" TargetMode="External"/><Relationship Id="rId519" Type="http://schemas.openxmlformats.org/officeDocument/2006/relationships/hyperlink" Target="https://drive.google.com/file/d/1q09-5We3sEvna4GEQAPj8UMCXQ486dhk/view?usp=drivesdk" TargetMode="External"/><Relationship Id="rId514" Type="http://schemas.openxmlformats.org/officeDocument/2006/relationships/hyperlink" Target="https://lh5.googleusercontent.com/d/1JgwBgsYSkyMjDurzl4V79z5w3SIZHenx" TargetMode="External"/><Relationship Id="rId513" Type="http://schemas.openxmlformats.org/officeDocument/2006/relationships/hyperlink" Target="https://drive.google.com/file/d/1z6B-uJW3waXqGFRuefcktrGPZf-69kze/view?usp=drivesdk" TargetMode="External"/><Relationship Id="rId512" Type="http://schemas.openxmlformats.org/officeDocument/2006/relationships/hyperlink" Target="https://lh5.googleusercontent.com/d/182_Hhm9HUYgXHRHsBQiYwxw2XXZhhQeD" TargetMode="External"/><Relationship Id="rId511" Type="http://schemas.openxmlformats.org/officeDocument/2006/relationships/hyperlink" Target="https://drive.google.com/file/d/1wiO3bCCPjokEJGqtKYN6GWTEmAiEr9bY/view?usp=drivesdk" TargetMode="External"/><Relationship Id="rId518" Type="http://schemas.openxmlformats.org/officeDocument/2006/relationships/hyperlink" Target="https://lh5.googleusercontent.com/d/1k2JmnGW2Ptw55wFBVfkb_nXNohNQGWzb" TargetMode="External"/><Relationship Id="rId517" Type="http://schemas.openxmlformats.org/officeDocument/2006/relationships/hyperlink" Target="https://drive.google.com/file/d/1e6CsglbzN0iXdrugYKXZyGnIFbenveSP/view?usp=drivesdk" TargetMode="External"/><Relationship Id="rId516" Type="http://schemas.openxmlformats.org/officeDocument/2006/relationships/hyperlink" Target="https://lh5.googleusercontent.com/d/1Pg7w-PaHWHMq21Jy7seY-qfb2j0QLNNn" TargetMode="External"/><Relationship Id="rId515" Type="http://schemas.openxmlformats.org/officeDocument/2006/relationships/hyperlink" Target="https://drive.google.com/file/d/1D9fGNYQfFD2xfg7yipGgTPtg9TW272Dq/view?usp=drivesdk" TargetMode="External"/><Relationship Id="rId510" Type="http://schemas.openxmlformats.org/officeDocument/2006/relationships/hyperlink" Target="https://lh5.googleusercontent.com/d/18mWG6MHTcTLoW4lGkntCKNLfYSh4lb7K" TargetMode="External"/><Relationship Id="rId1100" Type="http://schemas.openxmlformats.org/officeDocument/2006/relationships/hyperlink" Target="https://drive.google.com/file/d/1HNGY4RIOZHl3D2qE130Z9TCFWCXIjVI-/view?usp=drivesdk" TargetMode="External"/><Relationship Id="rId1101" Type="http://schemas.openxmlformats.org/officeDocument/2006/relationships/hyperlink" Target="https://lh5.googleusercontent.com/d/1p2NgZAI2IIbk3MUU7dEFTq6Q__BAYUv7" TargetMode="External"/><Relationship Id="rId1102" Type="http://schemas.openxmlformats.org/officeDocument/2006/relationships/hyperlink" Target="https://drive.google.com/file/d/1neMSG3z6bL6MJBG9CboAjnHTHWP5C3ik/view?usp=drivesdk" TargetMode="External"/><Relationship Id="rId590" Type="http://schemas.openxmlformats.org/officeDocument/2006/relationships/hyperlink" Target="https://drive.google.com/file/d/1YoRLrrpYyWetopheQ1mhV5tsgDxS_1vh/view?usp=drivesdk" TargetMode="External"/><Relationship Id="rId589" Type="http://schemas.openxmlformats.org/officeDocument/2006/relationships/hyperlink" Target="https://lh5.googleusercontent.com/d/1kDM1yRU6nwwwEre1N3MKvcs_1WKLu5Sj" TargetMode="External"/><Relationship Id="rId588" Type="http://schemas.openxmlformats.org/officeDocument/2006/relationships/hyperlink" Target="https://drive.google.com/file/d/1t2fwb1tLWC7ONs4jRaiM4Bo_rR3RKfih/view?usp=drivesdk" TargetMode="External"/><Relationship Id="rId1170" Type="http://schemas.openxmlformats.org/officeDocument/2006/relationships/hyperlink" Target="https://lh5.googleusercontent.com/d/1I1FFvhKk2uF9B0-E5ebrsoZeO_pDvIb6" TargetMode="External"/><Relationship Id="rId1171" Type="http://schemas.openxmlformats.org/officeDocument/2006/relationships/hyperlink" Target="https://drive.google.com/file/d/1tykojL__JsqG1uw5JJHVQny9NbTVtouG/view?usp=drivesdk" TargetMode="External"/><Relationship Id="rId583" Type="http://schemas.openxmlformats.org/officeDocument/2006/relationships/hyperlink" Target="https://lh5.googleusercontent.com/d/1OUzmuXxU2G2bkx9ItItXtRINzzlLbMhX" TargetMode="External"/><Relationship Id="rId1172" Type="http://schemas.openxmlformats.org/officeDocument/2006/relationships/hyperlink" Target="https://lh5.googleusercontent.com/d/1RpIpGVvK8ec0rSQgwkFHuRWV5ffUBxC2" TargetMode="External"/><Relationship Id="rId582" Type="http://schemas.openxmlformats.org/officeDocument/2006/relationships/hyperlink" Target="https://drive.google.com/file/d/1ZKSTa1v7PUlzKP1JNTS9UpqQ5Qk9bTl2/view?usp=drivesdk" TargetMode="External"/><Relationship Id="rId1173" Type="http://schemas.openxmlformats.org/officeDocument/2006/relationships/hyperlink" Target="https://drive.google.com/file/d/1mwsGC1e1wNvYTehgoXOw6xqIUc1toFIW/view?usp=drivesdk" TargetMode="External"/><Relationship Id="rId581" Type="http://schemas.openxmlformats.org/officeDocument/2006/relationships/hyperlink" Target="https://lh5.googleusercontent.com/d/1N7zEHogITp1hBnR6MI-uQA5tSSAeOeOq" TargetMode="External"/><Relationship Id="rId1174" Type="http://schemas.openxmlformats.org/officeDocument/2006/relationships/hyperlink" Target="https://lh5.googleusercontent.com/d/1kDJaZTzD3QYTlvVtWs_Bs5BMnvoDOi_s" TargetMode="External"/><Relationship Id="rId580" Type="http://schemas.openxmlformats.org/officeDocument/2006/relationships/hyperlink" Target="https://lh5.googleusercontent.com/d/1Dx7TVZUzKVFoZBpD0KH-cdlVn1Qi8bMV" TargetMode="External"/><Relationship Id="rId1175" Type="http://schemas.openxmlformats.org/officeDocument/2006/relationships/hyperlink" Target="https://drive.google.com/file/d/1XWMEQ4bsWrlnBTlvjVOIR-YR5nT4OTko/view?usp=drivesdk" TargetMode="External"/><Relationship Id="rId587" Type="http://schemas.openxmlformats.org/officeDocument/2006/relationships/hyperlink" Target="https://lh5.googleusercontent.com/d/1YXZQg4WV7-dlOkeUky6FwKk01ouVekQq" TargetMode="External"/><Relationship Id="rId1176" Type="http://schemas.openxmlformats.org/officeDocument/2006/relationships/hyperlink" Target="https://lh5.googleusercontent.com/d/1hmaLllWDwk7a_7ZS_gY1LRO6YVhVSseB" TargetMode="External"/><Relationship Id="rId586" Type="http://schemas.openxmlformats.org/officeDocument/2006/relationships/hyperlink" Target="https://drive.google.com/file/d/1DnWFkVsj9pliuMRXFE1uLiLB671kVfVQ/view?usp=drivesdk" TargetMode="External"/><Relationship Id="rId1177" Type="http://schemas.openxmlformats.org/officeDocument/2006/relationships/hyperlink" Target="https://drive.google.com/file/d/1i5eBRTOR3kkPVWcwWTsMDsOJtxf0YMA2/view?usp=drivesdk" TargetMode="External"/><Relationship Id="rId585" Type="http://schemas.openxmlformats.org/officeDocument/2006/relationships/hyperlink" Target="https://lh5.googleusercontent.com/d/1eAKLiJW0-U68kmVTY76sA043p5qbTdZg" TargetMode="External"/><Relationship Id="rId1178" Type="http://schemas.openxmlformats.org/officeDocument/2006/relationships/hyperlink" Target="https://lh5.googleusercontent.com/d/1f7Vs15oUYjc-6c-DThPixBb3xZIx_D-h" TargetMode="External"/><Relationship Id="rId584" Type="http://schemas.openxmlformats.org/officeDocument/2006/relationships/hyperlink" Target="https://drive.google.com/file/d/1BseONDlyE3hRCYWG5dlt5Fa7DlqnY04X/view?usp=drivesdk" TargetMode="External"/><Relationship Id="rId1179" Type="http://schemas.openxmlformats.org/officeDocument/2006/relationships/hyperlink" Target="https://lh5.googleusercontent.com/d/1OQ8QSsb8H4yq6FggzsbUyGjjdzCuScls" TargetMode="External"/><Relationship Id="rId1169" Type="http://schemas.openxmlformats.org/officeDocument/2006/relationships/hyperlink" Target="https://drive.google.com/file/d/1P7JDrxMmnPR1K7pGENG9hmOUiA0YNB8Y/view?usp=drivesdk" TargetMode="External"/><Relationship Id="rId579" Type="http://schemas.openxmlformats.org/officeDocument/2006/relationships/hyperlink" Target="https://drive.google.com/file/d/1QJWjHyDVdgAHLoN0tovGBY47waVQmX3p/view?usp=drivesdk" TargetMode="External"/><Relationship Id="rId578" Type="http://schemas.openxmlformats.org/officeDocument/2006/relationships/hyperlink" Target="https://lh5.googleusercontent.com/d/1MDsWq-_QNME0f6hVfyz26ghTPJLuWgs5" TargetMode="External"/><Relationship Id="rId577" Type="http://schemas.openxmlformats.org/officeDocument/2006/relationships/hyperlink" Target="https://drive.google.com/file/d/1wa98BO2BUehuWs0iQWN9L8jIDl3373Pw/view?usp=drivesdk" TargetMode="External"/><Relationship Id="rId1160" Type="http://schemas.openxmlformats.org/officeDocument/2006/relationships/hyperlink" Target="https://lh5.googleusercontent.com/d/1yB0sCDZ2Mxw-qnLLOleehv_vtfSONQUk" TargetMode="External"/><Relationship Id="rId572" Type="http://schemas.openxmlformats.org/officeDocument/2006/relationships/hyperlink" Target="https://lh5.googleusercontent.com/d/12gg_LAhL2y_uoCv6XUw2R9eNUubsRHKf" TargetMode="External"/><Relationship Id="rId1161" Type="http://schemas.openxmlformats.org/officeDocument/2006/relationships/hyperlink" Target="https://drive.google.com/file/d/1qxYJ8_Mx_WbuzLWhPAF4L1OKmgfd-vhW/view?usp=drivesdk" TargetMode="External"/><Relationship Id="rId571" Type="http://schemas.openxmlformats.org/officeDocument/2006/relationships/hyperlink" Target="https://drive.google.com/file/d/1Deif5dpeaIT5EQ5lz80OZ5cxvZmr9qw9/view?usp=drivesdk" TargetMode="External"/><Relationship Id="rId1162" Type="http://schemas.openxmlformats.org/officeDocument/2006/relationships/hyperlink" Target="https://lh5.googleusercontent.com/d/1sZaqqYAM2JrhZLLI8XZZcpf-sZTsZL4z" TargetMode="External"/><Relationship Id="rId570" Type="http://schemas.openxmlformats.org/officeDocument/2006/relationships/hyperlink" Target="https://lh5.googleusercontent.com/d/1jLDVPS6PMJ1O9nE6bek3cEPHefq9NGU0" TargetMode="External"/><Relationship Id="rId1163" Type="http://schemas.openxmlformats.org/officeDocument/2006/relationships/hyperlink" Target="https://drive.google.com/file/d/1S9YhAhIWP7Wu90uNvdg5bNSiDfajdjXG/view?usp=drivesdk" TargetMode="External"/><Relationship Id="rId1164" Type="http://schemas.openxmlformats.org/officeDocument/2006/relationships/hyperlink" Target="https://lh5.googleusercontent.com/d/12C61VAyycwahVEs5WXVJ8eZTVD268VMu" TargetMode="External"/><Relationship Id="rId576" Type="http://schemas.openxmlformats.org/officeDocument/2006/relationships/hyperlink" Target="https://lh5.googleusercontent.com/d/15Wu-8UlOPdOjK5rTdadUpg6k3VXcLxXM" TargetMode="External"/><Relationship Id="rId1165" Type="http://schemas.openxmlformats.org/officeDocument/2006/relationships/hyperlink" Target="https://drive.google.com/file/d/1ynQcYrqWggbjGk1sMriIt7mseBqK5vIG/view?usp=drivesdk" TargetMode="External"/><Relationship Id="rId575" Type="http://schemas.openxmlformats.org/officeDocument/2006/relationships/hyperlink" Target="https://drive.google.com/file/d/1OiIaxjekkQHARQoxXzH8BFCf_a8WrkB3/view?usp=drivesdk" TargetMode="External"/><Relationship Id="rId1166" Type="http://schemas.openxmlformats.org/officeDocument/2006/relationships/hyperlink" Target="https://lh5.googleusercontent.com/d/1CEj_Om6SXaxTcWay2FOSinHTSubL01La" TargetMode="External"/><Relationship Id="rId574" Type="http://schemas.openxmlformats.org/officeDocument/2006/relationships/hyperlink" Target="https://lh5.googleusercontent.com/d/1NEYmg9UEUsyDlWU39yYbuoVZarmkZ0Vh" TargetMode="External"/><Relationship Id="rId1167" Type="http://schemas.openxmlformats.org/officeDocument/2006/relationships/hyperlink" Target="https://drive.google.com/file/d/1DFBmc_nMGXD1IhIunoURcXv4Ev6_oGKG/view?usp=drivesdk" TargetMode="External"/><Relationship Id="rId573" Type="http://schemas.openxmlformats.org/officeDocument/2006/relationships/hyperlink" Target="https://drive.google.com/file/d/1pgaqtoD2J-XtDlpebF3JbRe3aFi7Q_nS/view?usp=drivesdk" TargetMode="External"/><Relationship Id="rId1168" Type="http://schemas.openxmlformats.org/officeDocument/2006/relationships/hyperlink" Target="https://lh5.googleusercontent.com/d/1qygOC5r53g74n8jttPq4V1dqn1gy39WG" TargetMode="External"/><Relationship Id="rId1190" Type="http://schemas.openxmlformats.org/officeDocument/2006/relationships/hyperlink" Target="https://lh5.googleusercontent.com/d/1lcLqITs32VK1ihy1wMy1wKul0rc1HZmG" TargetMode="External"/><Relationship Id="rId1191" Type="http://schemas.openxmlformats.org/officeDocument/2006/relationships/hyperlink" Target="https://drive.google.com/file/d/1kP-ga7gZsID43Y4VeENo6ZAYZ77-YXY8/view?usp=drivesdk" TargetMode="External"/><Relationship Id="rId1192" Type="http://schemas.openxmlformats.org/officeDocument/2006/relationships/hyperlink" Target="https://lh5.googleusercontent.com/d/1HrL9l0wVuBuO7fNyZEF1m4ykZ9ydkk6k" TargetMode="External"/><Relationship Id="rId1193" Type="http://schemas.openxmlformats.org/officeDocument/2006/relationships/hyperlink" Target="https://drive.google.com/file/d/1wxfQkeOxZWoO7z40TF2Jd_fmyj8u6fht/view?usp=drivesdk" TargetMode="External"/><Relationship Id="rId1194" Type="http://schemas.openxmlformats.org/officeDocument/2006/relationships/hyperlink" Target="https://lh5.googleusercontent.com/d/1QnAArVacq9mme4DpwzdHU_ejuk5F3lwq" TargetMode="External"/><Relationship Id="rId1195" Type="http://schemas.openxmlformats.org/officeDocument/2006/relationships/hyperlink" Target="https://drive.google.com/file/d/1O_iRCUQk0F3kQlXHf1xlMM1moShfU9ir/view?usp=drivesdk" TargetMode="External"/><Relationship Id="rId1196" Type="http://schemas.openxmlformats.org/officeDocument/2006/relationships/hyperlink" Target="https://lh5.googleusercontent.com/d/1_imt5bS0sGma9h5gU-VgdtS_iqOf3wlY" TargetMode="External"/><Relationship Id="rId1197" Type="http://schemas.openxmlformats.org/officeDocument/2006/relationships/hyperlink" Target="https://drive.google.com/file/d/1DNVGsLbwddhK4S2iLsYHxWvo7QYgXZ4o/view?usp=drivesdk" TargetMode="External"/><Relationship Id="rId1198" Type="http://schemas.openxmlformats.org/officeDocument/2006/relationships/hyperlink" Target="https://lh5.googleusercontent.com/d/1nNiLnE9cpGG_bCQJwHjaMIou-MxY2Jjj" TargetMode="External"/><Relationship Id="rId1199" Type="http://schemas.openxmlformats.org/officeDocument/2006/relationships/hyperlink" Target="https://drive.google.com/file/d/1LhbVBFAh0qa7HeVzMsO_3D_-lwpGbLn7/view?usp=drivesdk" TargetMode="External"/><Relationship Id="rId599" Type="http://schemas.openxmlformats.org/officeDocument/2006/relationships/hyperlink" Target="https://lh5.googleusercontent.com/d/1G30J6n0PYfdUk3lLxyzIRfiiUPUkSaQx" TargetMode="External"/><Relationship Id="rId1180" Type="http://schemas.openxmlformats.org/officeDocument/2006/relationships/hyperlink" Target="https://drive.google.com/file/d/1AucO896ldesCCVjKPC78_N7hB3jnWfvy/view?usp=drivesdk" TargetMode="External"/><Relationship Id="rId1181" Type="http://schemas.openxmlformats.org/officeDocument/2006/relationships/hyperlink" Target="https://lh5.googleusercontent.com/d/1bdDbuaQXfDRuf-nNCWHmjCRi3D4mzd40" TargetMode="External"/><Relationship Id="rId1182" Type="http://schemas.openxmlformats.org/officeDocument/2006/relationships/hyperlink" Target="https://drive.google.com/file/d/1KKA7fVNDqrDvWLecMEW-YGONpqB6eCh5/view?usp=drivesdk" TargetMode="External"/><Relationship Id="rId594" Type="http://schemas.openxmlformats.org/officeDocument/2006/relationships/hyperlink" Target="https://drive.google.com/file/d/133HRvDNcDcTAljb-yQfgZjR__yn2028l/view?usp=drivesdk" TargetMode="External"/><Relationship Id="rId1183" Type="http://schemas.openxmlformats.org/officeDocument/2006/relationships/hyperlink" Target="https://lh5.googleusercontent.com/d/155tqHi3lHE8gPsyS6b5Ubpp6I7eRSet9" TargetMode="External"/><Relationship Id="rId593" Type="http://schemas.openxmlformats.org/officeDocument/2006/relationships/hyperlink" Target="https://lh5.googleusercontent.com/d/1IYkAqyOwER98xK5xOhQi7EK6Hqg3XBTC" TargetMode="External"/><Relationship Id="rId1184" Type="http://schemas.openxmlformats.org/officeDocument/2006/relationships/hyperlink" Target="https://lh5.googleusercontent.com/d/1D8xGJCivGEG_HYs-YaClRl-TPprWF6zO" TargetMode="External"/><Relationship Id="rId592" Type="http://schemas.openxmlformats.org/officeDocument/2006/relationships/hyperlink" Target="https://drive.google.com/file/d/1FEUXp_pr9idWXRNCw3NoLZE8rThfsGZk/view?usp=drivesdk" TargetMode="External"/><Relationship Id="rId1185" Type="http://schemas.openxmlformats.org/officeDocument/2006/relationships/hyperlink" Target="https://drive.google.com/file/d/1l5bAaR6ytFyiLqd6XsQJL8k4fcLfTVIf/view?usp=drivesdk" TargetMode="External"/><Relationship Id="rId591" Type="http://schemas.openxmlformats.org/officeDocument/2006/relationships/hyperlink" Target="https://lh5.googleusercontent.com/d/1KrapvcgmThCp8UEbD00uKXcOUVtLevUl" TargetMode="External"/><Relationship Id="rId1186" Type="http://schemas.openxmlformats.org/officeDocument/2006/relationships/hyperlink" Target="https://lh5.googleusercontent.com/d/1rANkYCQ1icUznCs9wBcz5HsEdDH0Kwq9" TargetMode="External"/><Relationship Id="rId598" Type="http://schemas.openxmlformats.org/officeDocument/2006/relationships/hyperlink" Target="https://drive.google.com/file/d/1F4JFqXJOxuR5juwCGGEQuiBcYbg9W97d/view?usp=drivesdk" TargetMode="External"/><Relationship Id="rId1187" Type="http://schemas.openxmlformats.org/officeDocument/2006/relationships/hyperlink" Target="https://drive.google.com/file/d/1QbiDeJLVJ51PjVPVbferhS_hF4U_0d_o/view?usp=drivesdk" TargetMode="External"/><Relationship Id="rId597" Type="http://schemas.openxmlformats.org/officeDocument/2006/relationships/hyperlink" Target="https://lh5.googleusercontent.com/d/105fxaWzjSA8lnIuwBZhvDpVFMY9aBmFs" TargetMode="External"/><Relationship Id="rId1188" Type="http://schemas.openxmlformats.org/officeDocument/2006/relationships/hyperlink" Target="https://lh5.googleusercontent.com/d/1CWmgOoppE8Z1oDZQ0AWqsef33ay1g8bj" TargetMode="External"/><Relationship Id="rId596" Type="http://schemas.openxmlformats.org/officeDocument/2006/relationships/hyperlink" Target="https://drive.google.com/file/d/15xq45KTDoIeGkN-VGWIdhMcqntPld9-w/view?usp=drivesdk" TargetMode="External"/><Relationship Id="rId1189" Type="http://schemas.openxmlformats.org/officeDocument/2006/relationships/hyperlink" Target="https://drive.google.com/file/d/1NbWFF45kMhEHD4NETPpYPwqAktVSbtSs/view?usp=drivesdk" TargetMode="External"/><Relationship Id="rId595" Type="http://schemas.openxmlformats.org/officeDocument/2006/relationships/hyperlink" Target="https://lh5.googleusercontent.com/d/13wbWam-tPOVUF7zxmoI1oIa6HVeMSWrg" TargetMode="External"/><Relationship Id="rId1136" Type="http://schemas.openxmlformats.org/officeDocument/2006/relationships/hyperlink" Target="https://lh5.googleusercontent.com/d/1e20eohcurqSovVVjFZlEcllNy8zyVQ_E" TargetMode="External"/><Relationship Id="rId1137" Type="http://schemas.openxmlformats.org/officeDocument/2006/relationships/hyperlink" Target="https://drive.google.com/file/d/1qfg5T5s-AduRAXqFeZkcr9JnzsF7bjcl/view?usp=drivesdk" TargetMode="External"/><Relationship Id="rId1138" Type="http://schemas.openxmlformats.org/officeDocument/2006/relationships/hyperlink" Target="https://lh5.googleusercontent.com/d/1po_htnjzoYwu3BkqvYYkfPI-UcNhVzoB" TargetMode="External"/><Relationship Id="rId1139" Type="http://schemas.openxmlformats.org/officeDocument/2006/relationships/hyperlink" Target="https://drive.google.com/file/d/1Y5bCZzJoshr4vLYLFNe1xBqdSwysRdY6/view?usp=drivesdk" TargetMode="External"/><Relationship Id="rId547" Type="http://schemas.openxmlformats.org/officeDocument/2006/relationships/hyperlink" Target="https://drive.google.com/file/d/14stS3XzqPlhWaUKIOCc3f_NuA_QDuBLV/view?usp=drivesdk" TargetMode="External"/><Relationship Id="rId546" Type="http://schemas.openxmlformats.org/officeDocument/2006/relationships/hyperlink" Target="https://lh5.googleusercontent.com/d/1Wnlbtb3scVv4HFDXnun35wbWw00a9XQt" TargetMode="External"/><Relationship Id="rId545" Type="http://schemas.openxmlformats.org/officeDocument/2006/relationships/hyperlink" Target="https://drive.google.com/file/d/1FE6VLR4kAsrf2ta2Z0jKevTWQ1Uwnc3z/view?usp=drivesdk" TargetMode="External"/><Relationship Id="rId544" Type="http://schemas.openxmlformats.org/officeDocument/2006/relationships/hyperlink" Target="https://lh5.googleusercontent.com/d/1W_r_wwH6MNZHDeIwgr0X8UnzWLyh2lFm" TargetMode="External"/><Relationship Id="rId549" Type="http://schemas.openxmlformats.org/officeDocument/2006/relationships/hyperlink" Target="https://drive.google.com/file/d/1hJqnP1EKhLe6K5dBsOEiqtZCHCFl8wF-/view?usp=drivesdk" TargetMode="External"/><Relationship Id="rId548" Type="http://schemas.openxmlformats.org/officeDocument/2006/relationships/hyperlink" Target="https://lh5.googleusercontent.com/d/1SoefMKR_qTrTJ-H01fINxxzyJ-tQ6SKU" TargetMode="External"/><Relationship Id="rId1130" Type="http://schemas.openxmlformats.org/officeDocument/2006/relationships/hyperlink" Target="https://lh5.googleusercontent.com/d/1rLwQuw5ZVTf6Q0x24qN1We0DVZYfHlO8" TargetMode="External"/><Relationship Id="rId1131" Type="http://schemas.openxmlformats.org/officeDocument/2006/relationships/hyperlink" Target="https://drive.google.com/file/d/1obE38KvLLvCvX2as5ho8ICUuOZaqBYqG/view?usp=drivesdk" TargetMode="External"/><Relationship Id="rId543" Type="http://schemas.openxmlformats.org/officeDocument/2006/relationships/hyperlink" Target="https://drive.google.com/file/d/1cwpRUHUfxrUN5YuMPSeJ23sPs1IfaPY9/view?usp=drivesdk" TargetMode="External"/><Relationship Id="rId1132" Type="http://schemas.openxmlformats.org/officeDocument/2006/relationships/hyperlink" Target="https://lh5.googleusercontent.com/d/1dHjqw89UYWxM_s5jWKnpC4RR8SiiCZS0" TargetMode="External"/><Relationship Id="rId542" Type="http://schemas.openxmlformats.org/officeDocument/2006/relationships/hyperlink" Target="https://lh5.googleusercontent.com/d/1bMPUpIZQ07DFmph7dtzY7KNKpctsn0uz" TargetMode="External"/><Relationship Id="rId1133" Type="http://schemas.openxmlformats.org/officeDocument/2006/relationships/hyperlink" Target="https://drive.google.com/file/d/1EcoQ6pu5eEFNm_dJ_z8dodiqpcNdeer-/view?usp=drivesdk" TargetMode="External"/><Relationship Id="rId541" Type="http://schemas.openxmlformats.org/officeDocument/2006/relationships/hyperlink" Target="https://drive.google.com/file/d/15rgvY36f87No6sk8bk0uv8Jw8fhFEjst/view?usp=drivesdk" TargetMode="External"/><Relationship Id="rId1134" Type="http://schemas.openxmlformats.org/officeDocument/2006/relationships/hyperlink" Target="https://lh5.googleusercontent.com/d/1f07Q9e7nSvmX5wI3rfbPvjXNKYTmb6P-" TargetMode="External"/><Relationship Id="rId540" Type="http://schemas.openxmlformats.org/officeDocument/2006/relationships/hyperlink" Target="https://lh5.googleusercontent.com/d/1X_zvSn84Me4lPZwMxLsh-8bGY502LyAU" TargetMode="External"/><Relationship Id="rId1135" Type="http://schemas.openxmlformats.org/officeDocument/2006/relationships/hyperlink" Target="https://drive.google.com/file/d/1DEdPnjkByZXW-fCSfeHdMuPg5k-0mb35/view?usp=drivesdk" TargetMode="External"/><Relationship Id="rId1125" Type="http://schemas.openxmlformats.org/officeDocument/2006/relationships/hyperlink" Target="https://drive.google.com/file/d/1W2OdFDwytRzAAezRwhu4sGNOqxwvdlme/view?usp=drivesdk" TargetMode="External"/><Relationship Id="rId1126" Type="http://schemas.openxmlformats.org/officeDocument/2006/relationships/hyperlink" Target="https://lh5.googleusercontent.com/d/1DK2HbYDRiOQ9lRpCsKAfEJNK0TrpEqQB" TargetMode="External"/><Relationship Id="rId1127" Type="http://schemas.openxmlformats.org/officeDocument/2006/relationships/hyperlink" Target="https://drive.google.com/file/d/1W1ikJp-mTYNgSHoW0T7m6_d-RJuZntHy/view?usp=drivesdk" TargetMode="External"/><Relationship Id="rId1128" Type="http://schemas.openxmlformats.org/officeDocument/2006/relationships/hyperlink" Target="https://lh5.googleusercontent.com/d/1K-3_cGFdqAzhmO7vzeC1j5wxoCbzbp-q" TargetMode="External"/><Relationship Id="rId1129" Type="http://schemas.openxmlformats.org/officeDocument/2006/relationships/hyperlink" Target="https://drive.google.com/file/d/1oLWQNORZHPLLcOD2ymoqPPDcbR-HjxlM/view?usp=drivesdk" TargetMode="External"/><Relationship Id="rId536" Type="http://schemas.openxmlformats.org/officeDocument/2006/relationships/hyperlink" Target="https://lh5.googleusercontent.com/d/1AvWohzKTQjnuEdC6yp4DajSSgqTMz5IR" TargetMode="External"/><Relationship Id="rId535" Type="http://schemas.openxmlformats.org/officeDocument/2006/relationships/hyperlink" Target="https://drive.google.com/file/d/14BAGdO6XeZIi4kfKKk5agof1Fh9wHVKk/view?usp=drivesdk" TargetMode="External"/><Relationship Id="rId534" Type="http://schemas.openxmlformats.org/officeDocument/2006/relationships/hyperlink" Target="https://lh5.googleusercontent.com/d/1jRcgB7X1sb6aCvpfmiGbYGPsh22SUKGf" TargetMode="External"/><Relationship Id="rId533" Type="http://schemas.openxmlformats.org/officeDocument/2006/relationships/hyperlink" Target="https://drive.google.com/file/d/1h6nvNpWnzVOm9vBytBM_gds7VVAslUMD/view?usp=drivesdk" TargetMode="External"/><Relationship Id="rId539" Type="http://schemas.openxmlformats.org/officeDocument/2006/relationships/hyperlink" Target="https://drive.google.com/file/d/13gUkxJfdd0NaOq1OhoKaTOjcqoK8eZ-3/view?usp=drivesdk" TargetMode="External"/><Relationship Id="rId538" Type="http://schemas.openxmlformats.org/officeDocument/2006/relationships/hyperlink" Target="https://lh5.googleusercontent.com/d/1tCPDaA-C6KnmdYv70KtOuM-FDSodth2Y" TargetMode="External"/><Relationship Id="rId537" Type="http://schemas.openxmlformats.org/officeDocument/2006/relationships/hyperlink" Target="https://drive.google.com/file/d/1Guowe3CdpFrwrNRH49yD54t5Mq3COuh3/view?usp=drivesdk" TargetMode="External"/><Relationship Id="rId1120" Type="http://schemas.openxmlformats.org/officeDocument/2006/relationships/hyperlink" Target="https://lh5.googleusercontent.com/d/1tbE2mFWHmrjPkMZCTZDAR496edfBzHI4" TargetMode="External"/><Relationship Id="rId532" Type="http://schemas.openxmlformats.org/officeDocument/2006/relationships/hyperlink" Target="https://lh5.googleusercontent.com/d/1_gmBtSik7_iN9jkcRztI6hA_EGMW3Mkc" TargetMode="External"/><Relationship Id="rId1121" Type="http://schemas.openxmlformats.org/officeDocument/2006/relationships/hyperlink" Target="https://drive.google.com/file/d/1m3AnxfR-MEybcM12Vn0myNB92wk9R29q/view?usp=drivesdk" TargetMode="External"/><Relationship Id="rId531" Type="http://schemas.openxmlformats.org/officeDocument/2006/relationships/hyperlink" Target="https://drive.google.com/file/d/1QmJ00MMptwz0Bh3YGgIcIWD26IkWSqUt/view?usp=drivesdk" TargetMode="External"/><Relationship Id="rId1122" Type="http://schemas.openxmlformats.org/officeDocument/2006/relationships/hyperlink" Target="https://lh5.googleusercontent.com/d/1JpA4sost2BpFsv4Ys5rAw5Ka1GOzX8r-" TargetMode="External"/><Relationship Id="rId530" Type="http://schemas.openxmlformats.org/officeDocument/2006/relationships/hyperlink" Target="https://lh5.googleusercontent.com/d/1T9pL40ijgNyLXz6pSlKZNCUOsWgfBNNF" TargetMode="External"/><Relationship Id="rId1123" Type="http://schemas.openxmlformats.org/officeDocument/2006/relationships/hyperlink" Target="https://drive.google.com/file/d/1GTnHMPhLKEC1iUuKge-FwpKIoOdfNi-W/view?usp=drivesdk" TargetMode="External"/><Relationship Id="rId1124" Type="http://schemas.openxmlformats.org/officeDocument/2006/relationships/hyperlink" Target="https://lh5.googleusercontent.com/d/12rYsePBAhOOczyl1OzGOxpiRtd8Gxl7T" TargetMode="External"/><Relationship Id="rId1158" Type="http://schemas.openxmlformats.org/officeDocument/2006/relationships/hyperlink" Target="https://lh5.googleusercontent.com/d/1tj6HqJjp2BoZZ2HaUx3ell5ghtrGOyWl" TargetMode="External"/><Relationship Id="rId1159" Type="http://schemas.openxmlformats.org/officeDocument/2006/relationships/hyperlink" Target="https://drive.google.com/file/d/18NDbBxUW1FaKr1ffUrGBrD6qX1IARBEY/view?usp=drivesdk" TargetMode="External"/><Relationship Id="rId569" Type="http://schemas.openxmlformats.org/officeDocument/2006/relationships/hyperlink" Target="https://drive.google.com/file/d/1-9XoIVdJOn25-WPf7xbju8Cw9uREbwf1/view?usp=drivesdk" TargetMode="External"/><Relationship Id="rId568" Type="http://schemas.openxmlformats.org/officeDocument/2006/relationships/hyperlink" Target="https://lh5.googleusercontent.com/d/1lH4mm4FnXLtpdHomjf4o3M676xPVt8lx" TargetMode="External"/><Relationship Id="rId567" Type="http://schemas.openxmlformats.org/officeDocument/2006/relationships/hyperlink" Target="https://drive.google.com/file/d/1WitDx5pJr4qXUbdlVuClnKOtkavRtf9r/view?usp=drivesdk" TargetMode="External"/><Relationship Id="rId566" Type="http://schemas.openxmlformats.org/officeDocument/2006/relationships/hyperlink" Target="https://lh5.googleusercontent.com/d/148kaRhdjGB650AfQcuCLaflXGGmUALYo" TargetMode="External"/><Relationship Id="rId561" Type="http://schemas.openxmlformats.org/officeDocument/2006/relationships/hyperlink" Target="https://drive.google.com/file/d/11MY-Yg6Gi6fb1A112via5hwdyhbDfFdh/view?usp=drivesdk" TargetMode="External"/><Relationship Id="rId1150" Type="http://schemas.openxmlformats.org/officeDocument/2006/relationships/hyperlink" Target="https://lh5.googleusercontent.com/d/1oEOe5_iB99h_xkxaUUToR25Tjmr5CwC1" TargetMode="External"/><Relationship Id="rId560" Type="http://schemas.openxmlformats.org/officeDocument/2006/relationships/hyperlink" Target="https://lh5.googleusercontent.com/d/1kn1ss5X6oeXOkzpOUUOsFaKw8L7fv0z7" TargetMode="External"/><Relationship Id="rId1151" Type="http://schemas.openxmlformats.org/officeDocument/2006/relationships/hyperlink" Target="https://drive.google.com/file/d/1B3D9NXWfP7m2m_al_ylKlqf6tJ3vF5Yb/view?usp=drivesdk" TargetMode="External"/><Relationship Id="rId1152" Type="http://schemas.openxmlformats.org/officeDocument/2006/relationships/hyperlink" Target="https://lh5.googleusercontent.com/d/1E9EnG1965O1aZuqobxjEThkKNZw78No6" TargetMode="External"/><Relationship Id="rId1153" Type="http://schemas.openxmlformats.org/officeDocument/2006/relationships/hyperlink" Target="https://drive.google.com/file/d/1Tuiwa1y3gPPCJbhdYaDoX1J1VJVanXDb/view?usp=drivesdk" TargetMode="External"/><Relationship Id="rId565" Type="http://schemas.openxmlformats.org/officeDocument/2006/relationships/hyperlink" Target="https://drive.google.com/file/d/15fSBG-1IRJUin3MU18-LI4tDh0GzWakJ/view?usp=drivesdk" TargetMode="External"/><Relationship Id="rId1154" Type="http://schemas.openxmlformats.org/officeDocument/2006/relationships/hyperlink" Target="https://lh5.googleusercontent.com/d/18di8zGQbaG9-KTMt8-kEOZq4NZRWHG91" TargetMode="External"/><Relationship Id="rId564" Type="http://schemas.openxmlformats.org/officeDocument/2006/relationships/hyperlink" Target="https://lh5.googleusercontent.com/d/1kyQjFZ0lhEPdLSA5CBfQDXXPLPwlOdKy" TargetMode="External"/><Relationship Id="rId1155" Type="http://schemas.openxmlformats.org/officeDocument/2006/relationships/hyperlink" Target="https://drive.google.com/file/d/1L1130I0Oxl6t9nEyun6u9YlSgw-G-B73/view?usp=drivesdk" TargetMode="External"/><Relationship Id="rId563" Type="http://schemas.openxmlformats.org/officeDocument/2006/relationships/hyperlink" Target="https://drive.google.com/file/d/1fH0cknGfsVWcsvEEa4j_OTXHMIu6LtDK/view?usp=drivesdk" TargetMode="External"/><Relationship Id="rId1156" Type="http://schemas.openxmlformats.org/officeDocument/2006/relationships/hyperlink" Target="https://lh5.googleusercontent.com/d/1p-Rtf_bADfKA_dki0Bb_FDlyZ8x8xAFt" TargetMode="External"/><Relationship Id="rId562" Type="http://schemas.openxmlformats.org/officeDocument/2006/relationships/hyperlink" Target="https://lh5.googleusercontent.com/d/1IPu-b_F2npyg25oML1_GKpobKPWOvEIk" TargetMode="External"/><Relationship Id="rId1157" Type="http://schemas.openxmlformats.org/officeDocument/2006/relationships/hyperlink" Target="https://drive.google.com/file/d/1iQwSR3YvaWKtzKbXYZ060qFnM0IN2b1b/view?usp=drivesdk" TargetMode="External"/><Relationship Id="rId1147" Type="http://schemas.openxmlformats.org/officeDocument/2006/relationships/hyperlink" Target="https://drive.google.com/file/d/19ptaXW6MtDmpiLDGT9QvSXzEmGTvw9P1/view?usp=drivesdk" TargetMode="External"/><Relationship Id="rId1148" Type="http://schemas.openxmlformats.org/officeDocument/2006/relationships/hyperlink" Target="https://lh5.googleusercontent.com/d/1AWg0Y3P6Q9RCbeKkUowpBAPoViEBPkfH" TargetMode="External"/><Relationship Id="rId1149" Type="http://schemas.openxmlformats.org/officeDocument/2006/relationships/hyperlink" Target="https://drive.google.com/file/d/1vDjtzOjxYDrebBOI3tsxd8qI1RHIovR8/view?usp=drivesdk" TargetMode="External"/><Relationship Id="rId558" Type="http://schemas.openxmlformats.org/officeDocument/2006/relationships/hyperlink" Target="https://lh5.googleusercontent.com/d/1U_0b5OrtfqneSYgr7W6vXz23vBmmBZwI" TargetMode="External"/><Relationship Id="rId557" Type="http://schemas.openxmlformats.org/officeDocument/2006/relationships/hyperlink" Target="https://drive.google.com/file/d/17dEoak-0IvfUWXsRUlwzwrXxkY5Nxw67/view?usp=drivesdk" TargetMode="External"/><Relationship Id="rId556" Type="http://schemas.openxmlformats.org/officeDocument/2006/relationships/hyperlink" Target="https://lh5.googleusercontent.com/d/1lHcF53oQEkD0YkONb7FdrxsBuk4aH8AL" TargetMode="External"/><Relationship Id="rId555" Type="http://schemas.openxmlformats.org/officeDocument/2006/relationships/hyperlink" Target="https://drive.google.com/file/d/11PELhsKb4yklCWFyJ8uw2YmuIwslaCPt/view?usp=drivesdk" TargetMode="External"/><Relationship Id="rId559" Type="http://schemas.openxmlformats.org/officeDocument/2006/relationships/hyperlink" Target="https://drive.google.com/file/d/1q4m9NgY9IZsD7yZNgMne01xvAhVxFIyY/view?usp=drivesdk" TargetMode="External"/><Relationship Id="rId550" Type="http://schemas.openxmlformats.org/officeDocument/2006/relationships/hyperlink" Target="https://lh5.googleusercontent.com/d/1R9BvvHncnTwSMBF9zlgh0Skl-oqoflff" TargetMode="External"/><Relationship Id="rId1140" Type="http://schemas.openxmlformats.org/officeDocument/2006/relationships/hyperlink" Target="https://lh5.googleusercontent.com/d/1VkuT3goB1oArpADOhmF8ElePTSCtB1Yh" TargetMode="External"/><Relationship Id="rId1141" Type="http://schemas.openxmlformats.org/officeDocument/2006/relationships/hyperlink" Target="https://drive.google.com/file/d/1U0ZNWCijG4CEvW6ELdq7zzwjijx-lUp6/view?usp=drivesdk" TargetMode="External"/><Relationship Id="rId1142" Type="http://schemas.openxmlformats.org/officeDocument/2006/relationships/hyperlink" Target="https://lh5.googleusercontent.com/d/1jKkqmD8SAVQuqmFJF27uLirky6KUmUYX" TargetMode="External"/><Relationship Id="rId554" Type="http://schemas.openxmlformats.org/officeDocument/2006/relationships/hyperlink" Target="https://lh5.googleusercontent.com/d/1G_oAKs75J-goqaPKhcRBHUYBs7Mi0tBK" TargetMode="External"/><Relationship Id="rId1143" Type="http://schemas.openxmlformats.org/officeDocument/2006/relationships/hyperlink" Target="https://drive.google.com/file/d/1dTKDVpFvkG_H0D42FZCTuKNBxKl4eI9Z/view?usp=drivesdk" TargetMode="External"/><Relationship Id="rId553" Type="http://schemas.openxmlformats.org/officeDocument/2006/relationships/hyperlink" Target="https://drive.google.com/file/d/1vYpToyuG7VibTdfZAVX-4r0ZqCFIwrCW/view?usp=drivesdk" TargetMode="External"/><Relationship Id="rId1144" Type="http://schemas.openxmlformats.org/officeDocument/2006/relationships/hyperlink" Target="https://lh5.googleusercontent.com/d/15srlvaRLm3WgcBBZgLqZWv2DEUpSwRiB" TargetMode="External"/><Relationship Id="rId552" Type="http://schemas.openxmlformats.org/officeDocument/2006/relationships/hyperlink" Target="https://lh5.googleusercontent.com/d/1e7OCM0lYYdG_L-93El9tUmG8Tyt92Wv6" TargetMode="External"/><Relationship Id="rId1145" Type="http://schemas.openxmlformats.org/officeDocument/2006/relationships/hyperlink" Target="https://drive.google.com/file/d/1c3POBTxhRse6gXYnfH3D3VD43quoFGs3/view?usp=drivesdk" TargetMode="External"/><Relationship Id="rId551" Type="http://schemas.openxmlformats.org/officeDocument/2006/relationships/hyperlink" Target="https://drive.google.com/file/d/1a1HTyul1mdLm2h2_Kxxw30Fv8ItxTci_/view?usp=drivesdk" TargetMode="External"/><Relationship Id="rId1146" Type="http://schemas.openxmlformats.org/officeDocument/2006/relationships/hyperlink" Target="https://lh5.googleusercontent.com/d/1MlzFTVRQ3ZAf7u62QLB4sriIJnf08WHL" TargetMode="External"/><Relationship Id="rId495" Type="http://schemas.openxmlformats.org/officeDocument/2006/relationships/hyperlink" Target="https://drive.google.com/file/d/1HignqHGWk6CNykX7Dy4QcysU2lqVKPmJ/view?usp=drivesdk" TargetMode="External"/><Relationship Id="rId494" Type="http://schemas.openxmlformats.org/officeDocument/2006/relationships/hyperlink" Target="https://lh5.googleusercontent.com/d/12-Apj_ZGNL0xD6U-uwuvYHir50FSxcd2" TargetMode="External"/><Relationship Id="rId493" Type="http://schemas.openxmlformats.org/officeDocument/2006/relationships/hyperlink" Target="https://drive.google.com/file/d/12ixDm8gWgZe8mrKsVhC6ra7LuW_S4_H-/view?usp=drivesdk" TargetMode="External"/><Relationship Id="rId492" Type="http://schemas.openxmlformats.org/officeDocument/2006/relationships/hyperlink" Target="https://lh5.googleusercontent.com/d/1r0buZEXcq20cC27ZIPAWDXMxFhWKCOLt" TargetMode="External"/><Relationship Id="rId499" Type="http://schemas.openxmlformats.org/officeDocument/2006/relationships/hyperlink" Target="https://drive.google.com/file/d/1O4DzA_XSMVw3L4nEMpF4ZRQcUSS-TqW-/view?usp=drivesdk" TargetMode="External"/><Relationship Id="rId498" Type="http://schemas.openxmlformats.org/officeDocument/2006/relationships/hyperlink" Target="https://lh5.googleusercontent.com/d/1RCtmtycRtozuF8U2LCjrpvHNpCS3MjiO" TargetMode="External"/><Relationship Id="rId497" Type="http://schemas.openxmlformats.org/officeDocument/2006/relationships/hyperlink" Target="https://drive.google.com/file/d/1UQQelc6r8s283dXmxulfDqCH8XLCrBxf/view?usp=drivesdk" TargetMode="External"/><Relationship Id="rId496" Type="http://schemas.openxmlformats.org/officeDocument/2006/relationships/hyperlink" Target="https://lh5.googleusercontent.com/d/1irO6Rsr8tvaEJDTgt54DxthORRyEGAnr" TargetMode="External"/><Relationship Id="rId1213" Type="http://schemas.openxmlformats.org/officeDocument/2006/relationships/hyperlink" Target="https://drive.google.com/file/d/1gzHoNMcYupjl57zXZcrR8BIoGrJWFDCr/view?usp=drivesdk" TargetMode="External"/><Relationship Id="rId1214" Type="http://schemas.openxmlformats.org/officeDocument/2006/relationships/hyperlink" Target="https://lh5.googleusercontent.com/d/1mlOn0Acgojb4oDQmxG0UIPu0ktbkAbbc" TargetMode="External"/><Relationship Id="rId1215" Type="http://schemas.openxmlformats.org/officeDocument/2006/relationships/hyperlink" Target="https://drive.google.com/file/d/14hRy9bNB33tWf5x0miCN0ZbvEZcI-CJo/view?usp=drivesdk" TargetMode="External"/><Relationship Id="rId1216" Type="http://schemas.openxmlformats.org/officeDocument/2006/relationships/hyperlink" Target="https://lh5.googleusercontent.com/d/1-Gusb68gcalFYXsux-ukvC9FkUIz7w6_" TargetMode="External"/><Relationship Id="rId1217" Type="http://schemas.openxmlformats.org/officeDocument/2006/relationships/hyperlink" Target="https://drive.google.com/file/d/15ztBM0Yhu0IkIFXsHYRBEotgWZDFK2gi/view?usp=drivesdk" TargetMode="External"/><Relationship Id="rId1218" Type="http://schemas.openxmlformats.org/officeDocument/2006/relationships/hyperlink" Target="https://lh5.googleusercontent.com/d/1x-MhyD041LBY2fThjRvFvaQrqvibnLDA" TargetMode="External"/><Relationship Id="rId1219" Type="http://schemas.openxmlformats.org/officeDocument/2006/relationships/hyperlink" Target="https://drive.google.com/file/d/12rsNOZYmUvfjmGqMjwIycgO8uZr576f3/view?usp=drivesdk" TargetMode="External"/><Relationship Id="rId1210" Type="http://schemas.openxmlformats.org/officeDocument/2006/relationships/hyperlink" Target="https://lh5.googleusercontent.com/d/1InLQv2VMi9TC8lylI7Xt9KUs0SfJsOtL" TargetMode="External"/><Relationship Id="rId1211" Type="http://schemas.openxmlformats.org/officeDocument/2006/relationships/hyperlink" Target="https://drive.google.com/file/d/1IIPiD0JVtElZYP8A9Gp2EIMPvrKRNaJy/view?usp=drivesdk" TargetMode="External"/><Relationship Id="rId1212" Type="http://schemas.openxmlformats.org/officeDocument/2006/relationships/hyperlink" Target="https://lh5.googleusercontent.com/d/1n2FWFfmPQZJ0klI3sbBZU7xYR9GnUCFk" TargetMode="External"/><Relationship Id="rId1202" Type="http://schemas.openxmlformats.org/officeDocument/2006/relationships/hyperlink" Target="https://lh5.googleusercontent.com/d/1giP9swpnwXlmitzbcGeuEujpzzG0ijeK" TargetMode="External"/><Relationship Id="rId1203" Type="http://schemas.openxmlformats.org/officeDocument/2006/relationships/hyperlink" Target="https://drive.google.com/file/d/1zJOFomyMh0C9abhR57SZEgkiKkmAf141/view?usp=drivesdk" TargetMode="External"/><Relationship Id="rId1204" Type="http://schemas.openxmlformats.org/officeDocument/2006/relationships/hyperlink" Target="https://lh5.googleusercontent.com/d/1etURJWANQv2q02nPZyu-QWex-qbXO0bh" TargetMode="External"/><Relationship Id="rId1205" Type="http://schemas.openxmlformats.org/officeDocument/2006/relationships/hyperlink" Target="https://drive.google.com/file/d/1g3LR7ZXeU6NMQYNe_TU6WIuVlvPyBQ-O/view?usp=drivesdk" TargetMode="External"/><Relationship Id="rId1206" Type="http://schemas.openxmlformats.org/officeDocument/2006/relationships/hyperlink" Target="https://lh5.googleusercontent.com/d/15JYC_iVvBXirjx87I0Mq0ssiB4CoREl4" TargetMode="External"/><Relationship Id="rId1207" Type="http://schemas.openxmlformats.org/officeDocument/2006/relationships/hyperlink" Target="https://drive.google.com/file/d/1ymyK67XuTSiZL3fd1IwP-tFhdGJJIfB4/view?usp=drivesdk" TargetMode="External"/><Relationship Id="rId1208" Type="http://schemas.openxmlformats.org/officeDocument/2006/relationships/hyperlink" Target="https://lh5.googleusercontent.com/d/1Kb2J9XSeY0IWFN5TEtqCXmfEJPP2nA8b" TargetMode="External"/><Relationship Id="rId1209" Type="http://schemas.openxmlformats.org/officeDocument/2006/relationships/hyperlink" Target="https://drive.google.com/file/d/1z4DgWClg8lR5J2s-IvRrWMqHkllQAyxV/view?usp=drivesdk" TargetMode="External"/><Relationship Id="rId1200" Type="http://schemas.openxmlformats.org/officeDocument/2006/relationships/hyperlink" Target="https://lh5.googleusercontent.com/d/1on8wiZ_Y-UaJIaTamT0mcRMwpTVORA3O" TargetMode="External"/><Relationship Id="rId1201" Type="http://schemas.openxmlformats.org/officeDocument/2006/relationships/hyperlink" Target="https://drive.google.com/file/d/1dJDRtaKhydQnd5xrMEi8_z7dPBZz5_1F/view?usp=drivesdk" TargetMode="External"/><Relationship Id="rId1235" Type="http://schemas.openxmlformats.org/officeDocument/2006/relationships/hyperlink" Target="https://drive.google.com/file/d/1I0Zvcq9MSXgVlTjWilDRPu1cfJJxuWCW/view?usp=drivesdk" TargetMode="External"/><Relationship Id="rId1236" Type="http://schemas.openxmlformats.org/officeDocument/2006/relationships/hyperlink" Target="https://lh5.googleusercontent.com/d/1Gxn37TNKhXKSf4i--OtRm0sDfk5gqOuw" TargetMode="External"/><Relationship Id="rId1237" Type="http://schemas.openxmlformats.org/officeDocument/2006/relationships/hyperlink" Target="https://drive.google.com/file/d/1NwVJ8kAMQUouDasreE_6RWid1MSeVThg/view?usp=drivesdk" TargetMode="External"/><Relationship Id="rId1238" Type="http://schemas.openxmlformats.org/officeDocument/2006/relationships/hyperlink" Target="https://lh5.googleusercontent.com/d/1mYAFvfRquQba1B3IA02duF96_rY4Mjil" TargetMode="External"/><Relationship Id="rId1239" Type="http://schemas.openxmlformats.org/officeDocument/2006/relationships/hyperlink" Target="https://drive.google.com/file/d/1tNZ25iUQ-8KyqHXIWUj6WveqjCTGt36u/view?usp=drivesdk" TargetMode="External"/><Relationship Id="rId409" Type="http://schemas.openxmlformats.org/officeDocument/2006/relationships/hyperlink" Target="https://drive.google.com/file/d/100p746DDcKQHyRmW02VIH14oPVS_d8WM/view?usp=drivesdk" TargetMode="External"/><Relationship Id="rId404" Type="http://schemas.openxmlformats.org/officeDocument/2006/relationships/hyperlink" Target="https://lh5.googleusercontent.com/d/1nrmr4LSib4AwLjxijLwTyMkA5_Tvn0IC" TargetMode="External"/><Relationship Id="rId403" Type="http://schemas.openxmlformats.org/officeDocument/2006/relationships/hyperlink" Target="https://drive.google.com/file/d/1P0YmaL6J2CqQ1qpo-3IBmU4HQO4Uwp57/view?usp=drivesdk" TargetMode="External"/><Relationship Id="rId402" Type="http://schemas.openxmlformats.org/officeDocument/2006/relationships/hyperlink" Target="https://lh5.googleusercontent.com/d/1xrJ_gND1uDQ7VTeRkUva2iJlhBQ6M9RT" TargetMode="External"/><Relationship Id="rId401" Type="http://schemas.openxmlformats.org/officeDocument/2006/relationships/hyperlink" Target="https://drive.google.com/file/d/1j0uDFogVyJteKaYNAjX7jpvRjrx3Svkv/view?usp=drivesdk" TargetMode="External"/><Relationship Id="rId408" Type="http://schemas.openxmlformats.org/officeDocument/2006/relationships/hyperlink" Target="https://lh5.googleusercontent.com/d/1Ucbxw2Mx1V59T5-2lMdSL4hsEEa1Yjtt" TargetMode="External"/><Relationship Id="rId407" Type="http://schemas.openxmlformats.org/officeDocument/2006/relationships/hyperlink" Target="https://drive.google.com/file/d/1YK5wgYaJpoP6z9fslztq0CDakExpKdHq/view?usp=drivesdk" TargetMode="External"/><Relationship Id="rId406" Type="http://schemas.openxmlformats.org/officeDocument/2006/relationships/hyperlink" Target="https://lh5.googleusercontent.com/d/15Kf-ec7OUR3ITDlZCPTyfn53HWmteKab" TargetMode="External"/><Relationship Id="rId405" Type="http://schemas.openxmlformats.org/officeDocument/2006/relationships/hyperlink" Target="https://drive.google.com/file/d/1YFZBr5gujRwRegL30QLTcFlgHcqygCT7/view?usp=drivesdk" TargetMode="External"/><Relationship Id="rId1230" Type="http://schemas.openxmlformats.org/officeDocument/2006/relationships/hyperlink" Target="https://drive.google.com/file/d/114rEjPUTm5IssEGNCDwJXGKIWWTvxKQa/view?usp=drivesdk" TargetMode="External"/><Relationship Id="rId400" Type="http://schemas.openxmlformats.org/officeDocument/2006/relationships/hyperlink" Target="https://lh5.googleusercontent.com/d/1N48IoLsTb1yuljhQ3XAlWk4IMp6VmUVY" TargetMode="External"/><Relationship Id="rId1231" Type="http://schemas.openxmlformats.org/officeDocument/2006/relationships/hyperlink" Target="https://lh5.googleusercontent.com/d/1AIQUPRymncxw7vDzZz4oe_2xS3LIE3Ji" TargetMode="External"/><Relationship Id="rId1232" Type="http://schemas.openxmlformats.org/officeDocument/2006/relationships/hyperlink" Target="https://lh5.googleusercontent.com/d/1OjwMUUdZMmvuMn0i0JM0fGVTKfso8UFi" TargetMode="External"/><Relationship Id="rId1233" Type="http://schemas.openxmlformats.org/officeDocument/2006/relationships/hyperlink" Target="https://drive.google.com/file/d/12SbUl1-JZ09o5_qy_eDsi44AwSH3uWLA/view?usp=drivesdk" TargetMode="External"/><Relationship Id="rId1234" Type="http://schemas.openxmlformats.org/officeDocument/2006/relationships/hyperlink" Target="https://lh5.googleusercontent.com/d/15EcKAMVi-SLh3T-NVZ0DbXeiVuqXlaBy" TargetMode="External"/><Relationship Id="rId1224" Type="http://schemas.openxmlformats.org/officeDocument/2006/relationships/hyperlink" Target="https://lh5.googleusercontent.com/d/10VzmPn6w-Fw6Ne2I4gHNDUf1BjpwqMdI" TargetMode="External"/><Relationship Id="rId1225" Type="http://schemas.openxmlformats.org/officeDocument/2006/relationships/hyperlink" Target="https://drive.google.com/file/d/1Aw9VRkJ_kkE04_fsaiJyKMwFiu04DKE2/view?usp=drivesdk" TargetMode="External"/><Relationship Id="rId1226" Type="http://schemas.openxmlformats.org/officeDocument/2006/relationships/hyperlink" Target="https://lh5.googleusercontent.com/d/1GmGToX6kiH0TttXyWgb6eVyZMKetIaKv" TargetMode="External"/><Relationship Id="rId1227" Type="http://schemas.openxmlformats.org/officeDocument/2006/relationships/hyperlink" Target="https://drive.google.com/file/d/1ZzyJwLHDubK4ra8y1_R-IrRadUyb945_/view?usp=drivesdk" TargetMode="External"/><Relationship Id="rId1228" Type="http://schemas.openxmlformats.org/officeDocument/2006/relationships/hyperlink" Target="https://lh5.googleusercontent.com/d/1CM31RjiYxEQ0FN9X-2vHDOV9z8k2-5ml" TargetMode="External"/><Relationship Id="rId1229" Type="http://schemas.openxmlformats.org/officeDocument/2006/relationships/hyperlink" Target="https://lh5.googleusercontent.com/d/1TE4FFmwDpUGrGGxCPsoC6zjQYH3q7Ce9" TargetMode="External"/><Relationship Id="rId1220" Type="http://schemas.openxmlformats.org/officeDocument/2006/relationships/hyperlink" Target="https://lh5.googleusercontent.com/d/1I1_3k3tjf82nj3txR-zXaAtVemq5YiOh" TargetMode="External"/><Relationship Id="rId1221" Type="http://schemas.openxmlformats.org/officeDocument/2006/relationships/hyperlink" Target="https://drive.google.com/file/d/1HVhUr-HmM9vKIIYbrKyNcbfgAxiUZ57k/view?usp=drivesdk" TargetMode="External"/><Relationship Id="rId1222" Type="http://schemas.openxmlformats.org/officeDocument/2006/relationships/hyperlink" Target="https://lh5.googleusercontent.com/d/1YZa4DzF_W7K7UOvdRjmdzmMyI5JvMOGS" TargetMode="External"/><Relationship Id="rId1223" Type="http://schemas.openxmlformats.org/officeDocument/2006/relationships/hyperlink" Target="https://drive.google.com/file/d/1bwM3XVV7S28ryrlz64LiwIccYbjTDrlA/view?usp=drivesdk" TargetMode="External"/><Relationship Id="rId469" Type="http://schemas.openxmlformats.org/officeDocument/2006/relationships/hyperlink" Target="https://drive.google.com/file/d/1e5v9vCT63QemLx6THxRHi8Xourw2LVKX/view?usp=drivesdk" TargetMode="External"/><Relationship Id="rId468" Type="http://schemas.openxmlformats.org/officeDocument/2006/relationships/hyperlink" Target="https://lh5.googleusercontent.com/d/1FezFWAZ7Balequ4hm34GANiy_-rxpPcO" TargetMode="External"/><Relationship Id="rId467" Type="http://schemas.openxmlformats.org/officeDocument/2006/relationships/hyperlink" Target="https://drive.google.com/file/d/11oUmnDHr9ZGBFJp3lQu8CqstfedLnTGL/view?usp=drivesdk" TargetMode="External"/><Relationship Id="rId1290" Type="http://schemas.openxmlformats.org/officeDocument/2006/relationships/hyperlink" Target="https://lh5.googleusercontent.com/d/1yL8MEJko0sMl3uIR_RfoS5ERoP4qqruJ" TargetMode="External"/><Relationship Id="rId1291" Type="http://schemas.openxmlformats.org/officeDocument/2006/relationships/hyperlink" Target="https://drive.google.com/file/d/1RPQt1OGmE8dYGrRENUpsK_GJdy4JXr1E/view?usp=drivesdk" TargetMode="External"/><Relationship Id="rId1292" Type="http://schemas.openxmlformats.org/officeDocument/2006/relationships/hyperlink" Target="https://lh5.googleusercontent.com/d/1BU0Lv6iJO_aJvx2JIb7zcAI9kNCMWgVT" TargetMode="External"/><Relationship Id="rId462" Type="http://schemas.openxmlformats.org/officeDocument/2006/relationships/hyperlink" Target="https://lh5.googleusercontent.com/d/1pXactzX3sVn45HIRSZBQmT1HAu3FqMgw" TargetMode="External"/><Relationship Id="rId1293" Type="http://schemas.openxmlformats.org/officeDocument/2006/relationships/hyperlink" Target="https://drive.google.com/file/d/1dRjNwtZAtY8l4wIptw7IvPCdsFAvEOyL/view?usp=drivesdk" TargetMode="External"/><Relationship Id="rId461" Type="http://schemas.openxmlformats.org/officeDocument/2006/relationships/hyperlink" Target="https://drive.google.com/file/d/1RPBmc-Zi_DTLH_Z1hVxBbk3mGATqxllc/view?usp=drivesdk" TargetMode="External"/><Relationship Id="rId1294" Type="http://schemas.openxmlformats.org/officeDocument/2006/relationships/hyperlink" Target="https://lh5.googleusercontent.com/d/15r6vGOcyP8sKgG6_u3u1F57MxdaSN4Tr" TargetMode="External"/><Relationship Id="rId460" Type="http://schemas.openxmlformats.org/officeDocument/2006/relationships/hyperlink" Target="https://lh5.googleusercontent.com/d/1zrjM3X6rvntPxxOrn6Z7Uy-udPaeYXMg" TargetMode="External"/><Relationship Id="rId1295" Type="http://schemas.openxmlformats.org/officeDocument/2006/relationships/hyperlink" Target="https://drive.google.com/file/d/16TQV6AB8WysPVGwrVn1eB4WXh_3XRWVG/view?usp=drivesdk" TargetMode="External"/><Relationship Id="rId1296" Type="http://schemas.openxmlformats.org/officeDocument/2006/relationships/hyperlink" Target="https://lh5.googleusercontent.com/d/1taUVtPVMVX0Jq6yMubrLNNIkHnf0CTzb" TargetMode="External"/><Relationship Id="rId466" Type="http://schemas.openxmlformats.org/officeDocument/2006/relationships/hyperlink" Target="https://lh5.googleusercontent.com/d/1MrWGGB9WpLPGuLW5sc_yUFoXgHQeaiPl" TargetMode="External"/><Relationship Id="rId1297" Type="http://schemas.openxmlformats.org/officeDocument/2006/relationships/hyperlink" Target="https://drive.google.com/file/d/18XjQ--wNyfllxA0EwfEzmEAJHjsUPIMO/view?usp=drivesdk" TargetMode="External"/><Relationship Id="rId465" Type="http://schemas.openxmlformats.org/officeDocument/2006/relationships/hyperlink" Target="https://drive.google.com/file/d/1CdR4GVBssWM4k1wCdqPYqsEiTJfIfEku/view?usp=drivesdk" TargetMode="External"/><Relationship Id="rId1298" Type="http://schemas.openxmlformats.org/officeDocument/2006/relationships/hyperlink" Target="https://lh5.googleusercontent.com/d/1ij5m0-IQ1pam4Xn3io67vS4A_yviXLxk" TargetMode="External"/><Relationship Id="rId464" Type="http://schemas.openxmlformats.org/officeDocument/2006/relationships/hyperlink" Target="https://lh5.googleusercontent.com/d/1yQsOZ0-Qy1eknZl-YHR0KS7-2Q4BsZdF" TargetMode="External"/><Relationship Id="rId1299" Type="http://schemas.openxmlformats.org/officeDocument/2006/relationships/hyperlink" Target="https://drive.google.com/file/d/1G7ZI_oi6gTS6uLc24bR0X3j9hfvb1Fje/view?usp=drivesdk" TargetMode="External"/><Relationship Id="rId463" Type="http://schemas.openxmlformats.org/officeDocument/2006/relationships/hyperlink" Target="https://drive.google.com/file/d/1IgdPLyL6UTYfaXeirtdNyNp2Smy1qDkb/view?usp=drivesdk" TargetMode="External"/><Relationship Id="rId459" Type="http://schemas.openxmlformats.org/officeDocument/2006/relationships/hyperlink" Target="https://drive.google.com/file/d/1y3ybQ_QhZ4bwND_17ZkRnckF-n9JeiYt/view?usp=drivesdk" TargetMode="External"/><Relationship Id="rId458" Type="http://schemas.openxmlformats.org/officeDocument/2006/relationships/hyperlink" Target="https://lh5.googleusercontent.com/d/1vQZKUxqEXO4HGCqm3dql_T6AkPV3Wm4u" TargetMode="External"/><Relationship Id="rId457" Type="http://schemas.openxmlformats.org/officeDocument/2006/relationships/hyperlink" Target="https://drive.google.com/file/d/155RRGMRAcU55H7rE9h1Zr10geLN0PPuL/view?usp=drivesdk" TargetMode="External"/><Relationship Id="rId456" Type="http://schemas.openxmlformats.org/officeDocument/2006/relationships/hyperlink" Target="https://lh5.googleusercontent.com/d/16HXkyL7BkIIhuYI0qiil18YRtH5sfwEb" TargetMode="External"/><Relationship Id="rId1280" Type="http://schemas.openxmlformats.org/officeDocument/2006/relationships/hyperlink" Target="https://lh5.googleusercontent.com/d/1mwx10EhW5PIyhwDiUjIog5VcXHkHWWwD" TargetMode="External"/><Relationship Id="rId1281" Type="http://schemas.openxmlformats.org/officeDocument/2006/relationships/hyperlink" Target="https://drive.google.com/file/d/1L_4OkusZ_eRW7Vcfik5yh8R3n9Sfu74q/view?usp=drivesdk" TargetMode="External"/><Relationship Id="rId451" Type="http://schemas.openxmlformats.org/officeDocument/2006/relationships/hyperlink" Target="https://drive.google.com/file/d/1fL1qB2GbvDPp7xTTlL_C6uyN17DGm_wv/view?usp=drivesdk" TargetMode="External"/><Relationship Id="rId1282" Type="http://schemas.openxmlformats.org/officeDocument/2006/relationships/hyperlink" Target="https://lh5.googleusercontent.com/d/1VsMxBIr38CuWiTKSEkLC6k-hGh3WHOB6" TargetMode="External"/><Relationship Id="rId450" Type="http://schemas.openxmlformats.org/officeDocument/2006/relationships/hyperlink" Target="https://lh5.googleusercontent.com/d/1zNqwv3MXVjofhdRjxr9PIgijeOz73wRS" TargetMode="External"/><Relationship Id="rId1283" Type="http://schemas.openxmlformats.org/officeDocument/2006/relationships/hyperlink" Target="https://drive.google.com/file/d/18GUORMaH7vPi1mdSts7qiZhVCUJvhAx_/view?usp=drivesdk" TargetMode="External"/><Relationship Id="rId1284" Type="http://schemas.openxmlformats.org/officeDocument/2006/relationships/hyperlink" Target="https://lh5.googleusercontent.com/d/1IpvLHg7bVU2E3Z5e4w5gCnmnyeFdMfLe" TargetMode="External"/><Relationship Id="rId1285" Type="http://schemas.openxmlformats.org/officeDocument/2006/relationships/hyperlink" Target="https://drive.google.com/file/d/1ajhheTBRJT5_jebFy8n1j3Ut_Xj9zaqB/view?usp=drivesdk" TargetMode="External"/><Relationship Id="rId455" Type="http://schemas.openxmlformats.org/officeDocument/2006/relationships/hyperlink" Target="https://drive.google.com/file/d/1m5EnD6d_-z2By0tE0nM7wKVZzWIh3dY1/view?usp=drivesdk" TargetMode="External"/><Relationship Id="rId1286" Type="http://schemas.openxmlformats.org/officeDocument/2006/relationships/hyperlink" Target="https://lh5.googleusercontent.com/d/11RYpVEYnwmZKnTpSGEz4sCHOqb9vmKsB" TargetMode="External"/><Relationship Id="rId454" Type="http://schemas.openxmlformats.org/officeDocument/2006/relationships/hyperlink" Target="https://lh5.googleusercontent.com/d/1oAWh3ZSYRnTuo8NYWIyGthgB59Bi6us5" TargetMode="External"/><Relationship Id="rId1287" Type="http://schemas.openxmlformats.org/officeDocument/2006/relationships/hyperlink" Target="https://drive.google.com/file/d/1tN9U_hRoXDpDNz-M2rlBT7O2BLWG9t8M/view?usp=drivesdk" TargetMode="External"/><Relationship Id="rId453" Type="http://schemas.openxmlformats.org/officeDocument/2006/relationships/hyperlink" Target="https://drive.google.com/file/d/12QSyzEjt0OOWCc29n3focKFnPJxLKJYb/view?usp=drivesdk" TargetMode="External"/><Relationship Id="rId1288" Type="http://schemas.openxmlformats.org/officeDocument/2006/relationships/hyperlink" Target="https://lh5.googleusercontent.com/d/1QiBFLMyc2wG5hHc9cf-Ib0H-ih3JoY5Z" TargetMode="External"/><Relationship Id="rId452" Type="http://schemas.openxmlformats.org/officeDocument/2006/relationships/hyperlink" Target="https://lh5.googleusercontent.com/d/1qAYS9y75-CI7gG1HdePdjNRV4Wy3_bko" TargetMode="External"/><Relationship Id="rId1289" Type="http://schemas.openxmlformats.org/officeDocument/2006/relationships/hyperlink" Target="https://drive.google.com/file/d/16oNVQu81rPd7R8Kwl567qVLGU4R6xQVS/view?usp=drivesdk" TargetMode="External"/><Relationship Id="rId491" Type="http://schemas.openxmlformats.org/officeDocument/2006/relationships/hyperlink" Target="https://drive.google.com/file/d/157rSOAplzQxNgmPjUzawBoZttuJdfTqu/view?usp=drivesdk" TargetMode="External"/><Relationship Id="rId490" Type="http://schemas.openxmlformats.org/officeDocument/2006/relationships/hyperlink" Target="https://lh5.googleusercontent.com/d/1qogKoM4JWAT5M6vtIaOcx0vhArBWO4nQ" TargetMode="External"/><Relationship Id="rId489" Type="http://schemas.openxmlformats.org/officeDocument/2006/relationships/hyperlink" Target="https://drive.google.com/file/d/1MiACVqi0T1Y0gXNK1DLTpSOSt5-XbRtj/view?usp=drivesdk" TargetMode="External"/><Relationship Id="rId484" Type="http://schemas.openxmlformats.org/officeDocument/2006/relationships/hyperlink" Target="https://lh5.googleusercontent.com/d/164F-KPBEH1yYE6bfudxM6EmdV_LjlQHX" TargetMode="External"/><Relationship Id="rId483" Type="http://schemas.openxmlformats.org/officeDocument/2006/relationships/hyperlink" Target="https://drive.google.com/file/d/1YVxFBC4Fwm48l0bf5Qsx4Y9hfFLVS7qP/view?usp=drivesdk" TargetMode="External"/><Relationship Id="rId482" Type="http://schemas.openxmlformats.org/officeDocument/2006/relationships/hyperlink" Target="https://lh5.googleusercontent.com/d/1vkEBa-fvxHGqXWr_nNUzeQQdmYeGERN_" TargetMode="External"/><Relationship Id="rId481" Type="http://schemas.openxmlformats.org/officeDocument/2006/relationships/hyperlink" Target="https://drive.google.com/file/d/1fbp0MVecpGOFaQBy-w9ed7QkYEPFwC25/view?usp=drivesdk" TargetMode="External"/><Relationship Id="rId488" Type="http://schemas.openxmlformats.org/officeDocument/2006/relationships/hyperlink" Target="https://lh5.googleusercontent.com/d/1wsTjCwq-pAK3zrLumN7nQcUR00bvhaZm" TargetMode="External"/><Relationship Id="rId487" Type="http://schemas.openxmlformats.org/officeDocument/2006/relationships/hyperlink" Target="https://drive.google.com/file/d/1xT9RWUm8MOtkRF14TenOKRjkTwrCh49H/view?usp=drivesdk" TargetMode="External"/><Relationship Id="rId486" Type="http://schemas.openxmlformats.org/officeDocument/2006/relationships/hyperlink" Target="https://lh5.googleusercontent.com/d/16KIGA6hkYcgy29_GuRUao4pFgWu9yncW" TargetMode="External"/><Relationship Id="rId485" Type="http://schemas.openxmlformats.org/officeDocument/2006/relationships/hyperlink" Target="https://drive.google.com/file/d/1R13YijVvwmLdZ0HAKXS3N9Ktz6t5rk0N/view?usp=drivesdk" TargetMode="External"/><Relationship Id="rId480" Type="http://schemas.openxmlformats.org/officeDocument/2006/relationships/hyperlink" Target="https://lh5.googleusercontent.com/d/1ZUUEzh2XLyQUYu4Ae6qXbwbHNy7aXJOj" TargetMode="External"/><Relationship Id="rId479" Type="http://schemas.openxmlformats.org/officeDocument/2006/relationships/hyperlink" Target="https://drive.google.com/file/d/1xONm3Ab0Q0fsroj3IGOUewu29miVfBnQ/view?usp=drivesdk" TargetMode="External"/><Relationship Id="rId478" Type="http://schemas.openxmlformats.org/officeDocument/2006/relationships/hyperlink" Target="https://lh5.googleusercontent.com/d/1p9Vay9zhx1kCNFH3rsSGUjF1YDE8A6Fn" TargetMode="External"/><Relationship Id="rId473" Type="http://schemas.openxmlformats.org/officeDocument/2006/relationships/hyperlink" Target="https://drive.google.com/file/d/17P69zmX6NF1Fv2XGEHbI3bwM1nGetTiQ/view?usp=drivesdk" TargetMode="External"/><Relationship Id="rId472" Type="http://schemas.openxmlformats.org/officeDocument/2006/relationships/hyperlink" Target="https://lh5.googleusercontent.com/d/1s9fUVNhKDafygNNAKHbNIAJ5Rpzghjiy" TargetMode="External"/><Relationship Id="rId471" Type="http://schemas.openxmlformats.org/officeDocument/2006/relationships/hyperlink" Target="https://drive.google.com/file/d/15YSktzZzSpZ6WYDdn-LQDVdYpy_av7if/view?usp=drivesdk" TargetMode="External"/><Relationship Id="rId470" Type="http://schemas.openxmlformats.org/officeDocument/2006/relationships/hyperlink" Target="https://lh5.googleusercontent.com/d/1xRRNY-2P816XBanGNcROOrNVUYc45ud0" TargetMode="External"/><Relationship Id="rId477" Type="http://schemas.openxmlformats.org/officeDocument/2006/relationships/hyperlink" Target="https://drive.google.com/file/d/11-FSYa7ms6uYe3KTSsHkzIobtwD55qqk/view?usp=drivesdk" TargetMode="External"/><Relationship Id="rId476" Type="http://schemas.openxmlformats.org/officeDocument/2006/relationships/hyperlink" Target="https://lh5.googleusercontent.com/d/1Dv_-EPa-GXsOgofMDihA96lL3Fd5QEOa" TargetMode="External"/><Relationship Id="rId475" Type="http://schemas.openxmlformats.org/officeDocument/2006/relationships/hyperlink" Target="https://drive.google.com/file/d/1Wt9cKtv0gnEs5rIIT5RCYCW5lP2RTArA/view?usp=drivesdk" TargetMode="External"/><Relationship Id="rId474" Type="http://schemas.openxmlformats.org/officeDocument/2006/relationships/hyperlink" Target="https://lh5.googleusercontent.com/d/10UBBkuBwiRnefJh99y_6yENIF1SQHvQd" TargetMode="External"/><Relationship Id="rId1257" Type="http://schemas.openxmlformats.org/officeDocument/2006/relationships/hyperlink" Target="https://drive.google.com/file/d/1ukAVEz4gKvxHoaeO3LYgIuBNKYYPU-Bi/view?usp=drivesdk" TargetMode="External"/><Relationship Id="rId1258" Type="http://schemas.openxmlformats.org/officeDocument/2006/relationships/hyperlink" Target="https://lh5.googleusercontent.com/d/1_uucTwerwGZ0dp9okkp3HbIJLAxoldJi" TargetMode="External"/><Relationship Id="rId1259" Type="http://schemas.openxmlformats.org/officeDocument/2006/relationships/hyperlink" Target="https://drive.google.com/file/d/11eVnHlBm1lB-y6Op9_Q-x6L4Wkz3oES_/view?usp=drivesdk" TargetMode="External"/><Relationship Id="rId426" Type="http://schemas.openxmlformats.org/officeDocument/2006/relationships/hyperlink" Target="https://lh5.googleusercontent.com/d/1kpx0vW27rv9VhaKF6dsqA8Fd7mCnLS0j" TargetMode="External"/><Relationship Id="rId425" Type="http://schemas.openxmlformats.org/officeDocument/2006/relationships/hyperlink" Target="https://drive.google.com/file/d/1Nnm0ev-a0wPy32QCBLjcqaIFUEIeQYi7/view?usp=drivesdk" TargetMode="External"/><Relationship Id="rId424" Type="http://schemas.openxmlformats.org/officeDocument/2006/relationships/hyperlink" Target="https://lh5.googleusercontent.com/d/1JE5MFc4KxPbnEtLfFhoprl7AoCmWq0-Z" TargetMode="External"/><Relationship Id="rId423" Type="http://schemas.openxmlformats.org/officeDocument/2006/relationships/hyperlink" Target="https://drive.google.com/file/d/1PAVfvmYFpB06kDQWRr4h7tL6hleeDHMC/view?usp=drivesdk" TargetMode="External"/><Relationship Id="rId429" Type="http://schemas.openxmlformats.org/officeDocument/2006/relationships/hyperlink" Target="https://drive.google.com/file/d/1XR0WwgLtjIqgqpsaiPPkKxUQVZpWIExw/view?usp=drivesdk" TargetMode="External"/><Relationship Id="rId428" Type="http://schemas.openxmlformats.org/officeDocument/2006/relationships/hyperlink" Target="https://lh5.googleusercontent.com/d/1maGcMw4Ry8DLi0EOdNOT6MNwr2xWpJmr" TargetMode="External"/><Relationship Id="rId427" Type="http://schemas.openxmlformats.org/officeDocument/2006/relationships/hyperlink" Target="https://drive.google.com/file/d/1UhHTFzbEYHEvf3tV1H5BfSf_la1u9xpg/view?usp=drivesdk" TargetMode="External"/><Relationship Id="rId1250" Type="http://schemas.openxmlformats.org/officeDocument/2006/relationships/hyperlink" Target="https://lh5.googleusercontent.com/d/10oxADqy84lIvBV96T22V_n3OECDOCERa" TargetMode="External"/><Relationship Id="rId1251" Type="http://schemas.openxmlformats.org/officeDocument/2006/relationships/hyperlink" Target="https://drive.google.com/file/d/1RXxfnUNz36j52iJcVYJSs0sxYDYKCra0/view?usp=drivesdk" TargetMode="External"/><Relationship Id="rId1252" Type="http://schemas.openxmlformats.org/officeDocument/2006/relationships/hyperlink" Target="https://lh5.googleusercontent.com/d/1TTVWM837vazPUZZ8ptgiYWMBp4Mb7SCC" TargetMode="External"/><Relationship Id="rId422" Type="http://schemas.openxmlformats.org/officeDocument/2006/relationships/hyperlink" Target="https://lh5.googleusercontent.com/d/1btL_lBJ4y-2n5EZhwZA9zFJCTTcDCCWt" TargetMode="External"/><Relationship Id="rId1253" Type="http://schemas.openxmlformats.org/officeDocument/2006/relationships/hyperlink" Target="https://drive.google.com/file/d/1bJ-asKsj3wp8lxwkqK1My1rHUvyRljHi/view?usp=drivesdk" TargetMode="External"/><Relationship Id="rId421" Type="http://schemas.openxmlformats.org/officeDocument/2006/relationships/hyperlink" Target="https://drive.google.com/file/d/1jQF-y_m3TjDDj5syJw9_SVzIeuDywWOA/view?usp=drivesdk" TargetMode="External"/><Relationship Id="rId1254" Type="http://schemas.openxmlformats.org/officeDocument/2006/relationships/hyperlink" Target="https://lh5.googleusercontent.com/d/1k3VXtGW1_JjI_86IknVjn4mxLPkRPNRb" TargetMode="External"/><Relationship Id="rId420" Type="http://schemas.openxmlformats.org/officeDocument/2006/relationships/hyperlink" Target="https://lh5.googleusercontent.com/d/14VfkYA43lLYzvWXGbBi0ato9lB7NE0w1" TargetMode="External"/><Relationship Id="rId1255" Type="http://schemas.openxmlformats.org/officeDocument/2006/relationships/hyperlink" Target="https://drive.google.com/file/d/1UL1uUZRja6mm97BXUL--ggeqo3Q5GRvy/view?usp=drivesdk" TargetMode="External"/><Relationship Id="rId1256" Type="http://schemas.openxmlformats.org/officeDocument/2006/relationships/hyperlink" Target="https://lh5.googleusercontent.com/d/1LcZC4Y2ACySLZ7VeQrBc29uYocmNJlUY" TargetMode="External"/><Relationship Id="rId1246" Type="http://schemas.openxmlformats.org/officeDocument/2006/relationships/hyperlink" Target="https://lh5.googleusercontent.com/d/1NXVWTsXHoX94oJdDBZtc3_Yint-aMQ9c" TargetMode="External"/><Relationship Id="rId1247" Type="http://schemas.openxmlformats.org/officeDocument/2006/relationships/hyperlink" Target="https://drive.google.com/file/d/1CsI1WBPHcvTbjbPijIRS6YFpC68eDZ95/view?usp=drivesdk" TargetMode="External"/><Relationship Id="rId1248" Type="http://schemas.openxmlformats.org/officeDocument/2006/relationships/hyperlink" Target="https://lh5.googleusercontent.com/d/12unAgULDkoz2wy6gL8NDf6tHAwcm3Jf9" TargetMode="External"/><Relationship Id="rId1249" Type="http://schemas.openxmlformats.org/officeDocument/2006/relationships/hyperlink" Target="https://drive.google.com/file/d/1MzlZDGcqDajUm_1f2GdMQrZUHnEUo3ie/view?usp=drivesdk" TargetMode="External"/><Relationship Id="rId415" Type="http://schemas.openxmlformats.org/officeDocument/2006/relationships/hyperlink" Target="https://drive.google.com/file/d/1VWtkLGhjdVpHYq9-gmD8xx6PFygmoXci/view?usp=drivesdk" TargetMode="External"/><Relationship Id="rId414" Type="http://schemas.openxmlformats.org/officeDocument/2006/relationships/hyperlink" Target="https://lh5.googleusercontent.com/d/1w2On9Vcfzgb53NBMPGW71KOM2T8q0B4e" TargetMode="External"/><Relationship Id="rId413" Type="http://schemas.openxmlformats.org/officeDocument/2006/relationships/hyperlink" Target="https://drive.google.com/file/d/1IY7FV9u8jOFjWOGcStv4opEfcbQkZlgk/view?usp=drivesdk" TargetMode="External"/><Relationship Id="rId412" Type="http://schemas.openxmlformats.org/officeDocument/2006/relationships/hyperlink" Target="https://lh5.googleusercontent.com/d/14PjxKC0_qMirv4HoN0nZKkfM3GxpOk2H" TargetMode="External"/><Relationship Id="rId419" Type="http://schemas.openxmlformats.org/officeDocument/2006/relationships/hyperlink" Target="https://drive.google.com/file/d/13loXTQeROPcK8RSbA6e8GD4Ct-uVFFgB/view?usp=drivesdk" TargetMode="External"/><Relationship Id="rId418" Type="http://schemas.openxmlformats.org/officeDocument/2006/relationships/hyperlink" Target="https://lh5.googleusercontent.com/d/1wWxMNY19RIsSvW1EJ05UMVRaM1FyXVr-" TargetMode="External"/><Relationship Id="rId417" Type="http://schemas.openxmlformats.org/officeDocument/2006/relationships/hyperlink" Target="https://drive.google.com/file/d/1nyQHcQqcJZty4X4ugFZFBaIAYk2fkF1X/view?usp=drivesdk" TargetMode="External"/><Relationship Id="rId416" Type="http://schemas.openxmlformats.org/officeDocument/2006/relationships/hyperlink" Target="https://lh5.googleusercontent.com/d/1DWbIaIhIodDGE6AUZvrMtk4URNueY4al" TargetMode="External"/><Relationship Id="rId1240" Type="http://schemas.openxmlformats.org/officeDocument/2006/relationships/hyperlink" Target="https://lh5.googleusercontent.com/d/1T7MskqBYve6Uf1316h9NNjKHixWx3x5d" TargetMode="External"/><Relationship Id="rId1241" Type="http://schemas.openxmlformats.org/officeDocument/2006/relationships/hyperlink" Target="https://drive.google.com/file/d/1m8l0GlFZ9dHC4-cScMSaHJT7_TbabhzU/view?usp=drivesdk" TargetMode="External"/><Relationship Id="rId411" Type="http://schemas.openxmlformats.org/officeDocument/2006/relationships/hyperlink" Target="https://drive.google.com/file/d/1outDmNq68d_r90iTiP1ScA9BPmGi9tge/view?usp=drivesdk" TargetMode="External"/><Relationship Id="rId1242" Type="http://schemas.openxmlformats.org/officeDocument/2006/relationships/hyperlink" Target="https://lh5.googleusercontent.com/d/1dxhJYAPhGIYCZZL7SAdGosgaIsQW3PkU" TargetMode="External"/><Relationship Id="rId410" Type="http://schemas.openxmlformats.org/officeDocument/2006/relationships/hyperlink" Target="https://lh5.googleusercontent.com/d/13Wt-oiiu7t36XU1b725KVpnKIyTjHuKL" TargetMode="External"/><Relationship Id="rId1243" Type="http://schemas.openxmlformats.org/officeDocument/2006/relationships/hyperlink" Target="https://drive.google.com/file/d/1E2E4Chqim9SAbBgHTiFovGrv2v_hmLpL/view?usp=drivesdk" TargetMode="External"/><Relationship Id="rId1244" Type="http://schemas.openxmlformats.org/officeDocument/2006/relationships/hyperlink" Target="https://lh5.googleusercontent.com/d/1uFEo22WIHmdEfa-wjyfRUebM0YB7f4iG" TargetMode="External"/><Relationship Id="rId1245" Type="http://schemas.openxmlformats.org/officeDocument/2006/relationships/hyperlink" Target="https://drive.google.com/file/d/1LSn2PrQlq4-nnDZOdycVbGYf1p2CW7C0/view?usp=drivesdk" TargetMode="External"/><Relationship Id="rId1279" Type="http://schemas.openxmlformats.org/officeDocument/2006/relationships/hyperlink" Target="https://drive.google.com/file/d/12xkQ864eHbKYxbMYSURxu-lvCk816FSi/view?usp=drivesdk" TargetMode="External"/><Relationship Id="rId448" Type="http://schemas.openxmlformats.org/officeDocument/2006/relationships/hyperlink" Target="https://lh5.googleusercontent.com/d/115xBkw0w0JCwyx8vNcQVx_aQyjjCrHT7" TargetMode="External"/><Relationship Id="rId447" Type="http://schemas.openxmlformats.org/officeDocument/2006/relationships/hyperlink" Target="https://drive.google.com/file/d/1ldLZY6OcabjAx_S6X9lzTJiW3-9y295g/view?usp=drivesdk" TargetMode="External"/><Relationship Id="rId446" Type="http://schemas.openxmlformats.org/officeDocument/2006/relationships/hyperlink" Target="https://lh5.googleusercontent.com/d/1G09xQsMG3xfnxJXlTn3ZUSRyft3juIe_" TargetMode="External"/><Relationship Id="rId445" Type="http://schemas.openxmlformats.org/officeDocument/2006/relationships/hyperlink" Target="https://drive.google.com/file/d/1HLAXVBWKwhyvSxOaHieA4pQrK6Dd46HK/view?usp=drivesdk" TargetMode="External"/><Relationship Id="rId449" Type="http://schemas.openxmlformats.org/officeDocument/2006/relationships/hyperlink" Target="https://drive.google.com/file/d/1aGgYKs6vm4SiZIqvcRPijBJi17WnnNfp/view?usp=drivesdk" TargetMode="External"/><Relationship Id="rId1270" Type="http://schemas.openxmlformats.org/officeDocument/2006/relationships/hyperlink" Target="https://lh5.googleusercontent.com/d/1lXCrUp0riMHmTANM7D-qhJoUVIc9Agcb" TargetMode="External"/><Relationship Id="rId440" Type="http://schemas.openxmlformats.org/officeDocument/2006/relationships/hyperlink" Target="https://lh5.googleusercontent.com/d/1t8rz73Lf99VEd3c5Bvs7D7gb3amjpPrd" TargetMode="External"/><Relationship Id="rId1271" Type="http://schemas.openxmlformats.org/officeDocument/2006/relationships/hyperlink" Target="https://drive.google.com/file/d/1wdC83RT7dk59S-RVpuohHHM-AkNQ7xvV/view?usp=drivesdk" TargetMode="External"/><Relationship Id="rId1272" Type="http://schemas.openxmlformats.org/officeDocument/2006/relationships/hyperlink" Target="https://lh5.googleusercontent.com/d/14OU5-5ipfqLllldW2XV-nIZhJEuZvsGK" TargetMode="External"/><Relationship Id="rId1273" Type="http://schemas.openxmlformats.org/officeDocument/2006/relationships/hyperlink" Target="https://drive.google.com/file/d/1c1GBl9cRfM4-0fhqkRnGEroIHjE9l6ZU/view?usp=drivesdk" TargetMode="External"/><Relationship Id="rId1274" Type="http://schemas.openxmlformats.org/officeDocument/2006/relationships/hyperlink" Target="https://lh5.googleusercontent.com/d/1qfJdACi5ntVit3s6yn7XDrfguNYr4T7M" TargetMode="External"/><Relationship Id="rId444" Type="http://schemas.openxmlformats.org/officeDocument/2006/relationships/hyperlink" Target="https://lh5.googleusercontent.com/d/1_XL-WmUVIGL7cpMg_qPTeljgy8BjEY-A" TargetMode="External"/><Relationship Id="rId1275" Type="http://schemas.openxmlformats.org/officeDocument/2006/relationships/hyperlink" Target="https://drive.google.com/file/d/1x5tLo5I816zdzUBeRi0GdfnpI6M_pWDK/view?usp=drivesdk" TargetMode="External"/><Relationship Id="rId443" Type="http://schemas.openxmlformats.org/officeDocument/2006/relationships/hyperlink" Target="https://drive.google.com/file/d/101hbrr4a3QP2-IvcIbjNSgiCS8R5M-MK/view?usp=drivesdk" TargetMode="External"/><Relationship Id="rId1276" Type="http://schemas.openxmlformats.org/officeDocument/2006/relationships/hyperlink" Target="https://lh5.googleusercontent.com/d/1PLiBip91PbRM2ci7V8n1od8FBldnFfGt" TargetMode="External"/><Relationship Id="rId442" Type="http://schemas.openxmlformats.org/officeDocument/2006/relationships/hyperlink" Target="https://lh5.googleusercontent.com/d/1xz10Fmbe5CQM14WDTxwr-serQI59VM62" TargetMode="External"/><Relationship Id="rId1277" Type="http://schemas.openxmlformats.org/officeDocument/2006/relationships/hyperlink" Target="https://drive.google.com/file/d/1eEKOVueLYzxHhEaOh7b0HV_3iRWeTuPk/view?usp=drivesdk" TargetMode="External"/><Relationship Id="rId441" Type="http://schemas.openxmlformats.org/officeDocument/2006/relationships/hyperlink" Target="https://drive.google.com/file/d/1nSTfLGeB1c0Jpbfguc_Yg4LncdJEEvZq/view?usp=drivesdk" TargetMode="External"/><Relationship Id="rId1278" Type="http://schemas.openxmlformats.org/officeDocument/2006/relationships/hyperlink" Target="https://lh5.googleusercontent.com/d/1irJff7EjJnTC_5h_A4EQk3POfyDaaMJt" TargetMode="External"/><Relationship Id="rId1268" Type="http://schemas.openxmlformats.org/officeDocument/2006/relationships/hyperlink" Target="https://lh5.googleusercontent.com/d/1S1Rw2W1CM4TASe23TUtyZ3tgYMp4pvwM" TargetMode="External"/><Relationship Id="rId1269" Type="http://schemas.openxmlformats.org/officeDocument/2006/relationships/hyperlink" Target="https://drive.google.com/file/d/1P0gDsIw6hoCy6raCa01DZoyqxF4eMi4B/view?usp=drivesdk" TargetMode="External"/><Relationship Id="rId437" Type="http://schemas.openxmlformats.org/officeDocument/2006/relationships/hyperlink" Target="https://drive.google.com/file/d/1JSSs9vmQnInYdNuiIDus4BJ64_TWpeBC/view?usp=drivesdk" TargetMode="External"/><Relationship Id="rId436" Type="http://schemas.openxmlformats.org/officeDocument/2006/relationships/hyperlink" Target="https://lh5.googleusercontent.com/d/1_lor1oxUewuSz9qMHrk1gIgNET18LCDk" TargetMode="External"/><Relationship Id="rId435" Type="http://schemas.openxmlformats.org/officeDocument/2006/relationships/hyperlink" Target="https://drive.google.com/file/d/1WZmgSuhoShKzHk7BPxsR0oJLFllEbUvV/view?usp=drivesdk" TargetMode="External"/><Relationship Id="rId434" Type="http://schemas.openxmlformats.org/officeDocument/2006/relationships/hyperlink" Target="https://lh5.googleusercontent.com/d/1GAwCHnWVePnI3c5sLPEvQO0PufUyznmQ" TargetMode="External"/><Relationship Id="rId439" Type="http://schemas.openxmlformats.org/officeDocument/2006/relationships/hyperlink" Target="https://drive.google.com/file/d/1GB-5JWDUAHOULyURJQMVi9KTFc15fSrM/view?usp=drivesdk" TargetMode="External"/><Relationship Id="rId438" Type="http://schemas.openxmlformats.org/officeDocument/2006/relationships/hyperlink" Target="https://lh5.googleusercontent.com/d/1KhliTb2DcdDoXaI_YgIWRCUCiY92Xv85" TargetMode="External"/><Relationship Id="rId1260" Type="http://schemas.openxmlformats.org/officeDocument/2006/relationships/hyperlink" Target="https://lh5.googleusercontent.com/d/1rVzMMp9hr_JZvTMDKwnN8sFjIZaS1Lme" TargetMode="External"/><Relationship Id="rId1261" Type="http://schemas.openxmlformats.org/officeDocument/2006/relationships/hyperlink" Target="https://drive.google.com/file/d/1nh1Rsqg-rym38uKg0nmni1XxG5GgZ41K/view?usp=drivesdk" TargetMode="External"/><Relationship Id="rId1262" Type="http://schemas.openxmlformats.org/officeDocument/2006/relationships/hyperlink" Target="https://lh5.googleusercontent.com/d/17o8ncys5oDkfKiOnjIPnttePvUFINF4U" TargetMode="External"/><Relationship Id="rId1263" Type="http://schemas.openxmlformats.org/officeDocument/2006/relationships/hyperlink" Target="https://drive.google.com/file/d/1CZAj9TuLJSClz7h5txCp1KRRaseEOkdu/view?usp=drivesdk" TargetMode="External"/><Relationship Id="rId433" Type="http://schemas.openxmlformats.org/officeDocument/2006/relationships/hyperlink" Target="https://drive.google.com/file/d/1SRFRuC_DgOYUlGpqnug4MzYRJbKxBoRk/view?usp=drivesdk" TargetMode="External"/><Relationship Id="rId1264" Type="http://schemas.openxmlformats.org/officeDocument/2006/relationships/hyperlink" Target="https://lh5.googleusercontent.com/d/19MT-zKWSry9TAOnx1K_ogfHWE2B1VmPo" TargetMode="External"/><Relationship Id="rId432" Type="http://schemas.openxmlformats.org/officeDocument/2006/relationships/hyperlink" Target="https://lh5.googleusercontent.com/d/1TVwPbYeFxnkRnRxulQZCHV1TuGSNZkwm" TargetMode="External"/><Relationship Id="rId1265" Type="http://schemas.openxmlformats.org/officeDocument/2006/relationships/hyperlink" Target="https://drive.google.com/file/d/1bcDZKd_f3GEd_nAp9e8GPqllQ0CpJ0kA/view?usp=drivesdk" TargetMode="External"/><Relationship Id="rId431" Type="http://schemas.openxmlformats.org/officeDocument/2006/relationships/hyperlink" Target="https://drive.google.com/file/d/1v_BGGchhn5DXqgp8s87H8Tw_Kf-Srxki/view?usp=drivesdk" TargetMode="External"/><Relationship Id="rId1266" Type="http://schemas.openxmlformats.org/officeDocument/2006/relationships/hyperlink" Target="https://lh5.googleusercontent.com/d/1zoXybWfssveoW82DazZr9zfkuIeSjS43" TargetMode="External"/><Relationship Id="rId430" Type="http://schemas.openxmlformats.org/officeDocument/2006/relationships/hyperlink" Target="https://lh5.googleusercontent.com/d/1OZWA_54Yl3xWAJGN6B7LkEK9_qE95yYR" TargetMode="External"/><Relationship Id="rId1267" Type="http://schemas.openxmlformats.org/officeDocument/2006/relationships/hyperlink" Target="https://drive.google.com/file/d/1F2-hF9CzwT2-RwCVvWJxJn3RDDwvq3Oj/view?usp=drivesdk" TargetMode="External"/><Relationship Id="rId1" Type="http://schemas.openxmlformats.org/officeDocument/2006/relationships/hyperlink" Target="https://lh5.googleusercontent.com/d/18-lbP1-Wos582ONhKWf1fNdWsOwMspox" TargetMode="External"/><Relationship Id="rId2" Type="http://schemas.openxmlformats.org/officeDocument/2006/relationships/hyperlink" Target="https://drive.google.com/file/d/18HXnOcN2owWyM5ZRojVVLwYRRhWurUhr/view?usp=drivesdk" TargetMode="External"/><Relationship Id="rId3" Type="http://schemas.openxmlformats.org/officeDocument/2006/relationships/hyperlink" Target="https://lh5.googleusercontent.com/d/1tPvfdyeyVqKynkTJgJr1IA4tsqvm8cv-" TargetMode="External"/><Relationship Id="rId4" Type="http://schemas.openxmlformats.org/officeDocument/2006/relationships/hyperlink" Target="https://drive.google.com/file/d/141_LMBDHo0t6WR1G4TroPWA-5IC3JHUX/view?usp=drivesdk" TargetMode="External"/><Relationship Id="rId9" Type="http://schemas.openxmlformats.org/officeDocument/2006/relationships/hyperlink" Target="https://lh5.googleusercontent.com/d/182iHAiC8r8Kw1LT9QnFuCfb1WxwcvJNC" TargetMode="External"/><Relationship Id="rId5" Type="http://schemas.openxmlformats.org/officeDocument/2006/relationships/hyperlink" Target="https://lh5.googleusercontent.com/d/1qcGwrhSyTzQDHBP3r5oXecsAjTqC2rJE" TargetMode="External"/><Relationship Id="rId6" Type="http://schemas.openxmlformats.org/officeDocument/2006/relationships/hyperlink" Target="https://drive.google.com/file/d/1w9taLYg_TYlDoUDcZNagKvD7FcXN7MmI/view?usp=drivesdk" TargetMode="External"/><Relationship Id="rId7" Type="http://schemas.openxmlformats.org/officeDocument/2006/relationships/hyperlink" Target="https://lh5.googleusercontent.com/d/1QZOpuzmDoQCXdD5WV6uqJWPAw5cNOad7" TargetMode="External"/><Relationship Id="rId8" Type="http://schemas.openxmlformats.org/officeDocument/2006/relationships/hyperlink" Target="https://drive.google.com/file/d/15KnV7vuM1GYqHInx7NkBGPFNVyznySj0/view?usp=drivesdk" TargetMode="External"/><Relationship Id="rId808" Type="http://schemas.openxmlformats.org/officeDocument/2006/relationships/hyperlink" Target="https://lh5.googleusercontent.com/d/1s6b64kQXQk18bJH0zCdVU857MSdIU2nM" TargetMode="External"/><Relationship Id="rId807" Type="http://schemas.openxmlformats.org/officeDocument/2006/relationships/hyperlink" Target="https://drive.google.com/file/d/1TDy5rPoMLzXZCdyjTNNdGMyFeKWaLT60/view?usp=drivesdk" TargetMode="External"/><Relationship Id="rId806" Type="http://schemas.openxmlformats.org/officeDocument/2006/relationships/hyperlink" Target="https://lh5.googleusercontent.com/d/1ppmKmqzuRas5916LavsbsKMokDJ0-EKG" TargetMode="External"/><Relationship Id="rId805" Type="http://schemas.openxmlformats.org/officeDocument/2006/relationships/hyperlink" Target="https://drive.google.com/file/d/1HAlS8CLjN-Em7_lZjFK6KnwHW2Hf4Yky/view?usp=drivesdk" TargetMode="External"/><Relationship Id="rId809" Type="http://schemas.openxmlformats.org/officeDocument/2006/relationships/hyperlink" Target="https://drive.google.com/file/d/1rEsAzAu8E-nUu1tyW6wOoVg2rylUrRGP/view?usp=drivesdk" TargetMode="External"/><Relationship Id="rId800" Type="http://schemas.openxmlformats.org/officeDocument/2006/relationships/hyperlink" Target="https://lh5.googleusercontent.com/d/1BVpyxa6T7y1mjyRlUOFCQSGO6FO1MuNs" TargetMode="External"/><Relationship Id="rId804" Type="http://schemas.openxmlformats.org/officeDocument/2006/relationships/hyperlink" Target="https://lh5.googleusercontent.com/d/1DhscnPte0z_LFiqgtpvezdhZGkVnF3vU" TargetMode="External"/><Relationship Id="rId803" Type="http://schemas.openxmlformats.org/officeDocument/2006/relationships/hyperlink" Target="https://drive.google.com/file/d/1TCxsvXYtRLxLjNNsaEX84Cs3JMbc5ZTE/view?usp=drivesdk" TargetMode="External"/><Relationship Id="rId802" Type="http://schemas.openxmlformats.org/officeDocument/2006/relationships/hyperlink" Target="https://lh5.googleusercontent.com/d/1ygMDWsnUxcPtRQZLUXyVkdNMAJfCCR9I" TargetMode="External"/><Relationship Id="rId801" Type="http://schemas.openxmlformats.org/officeDocument/2006/relationships/hyperlink" Target="https://drive.google.com/file/d/1ypxRQgRwwjZLOM3JMiEQntXucKDGb04e/view?usp=drivesdk" TargetMode="External"/><Relationship Id="rId1334" Type="http://schemas.openxmlformats.org/officeDocument/2006/relationships/hyperlink" Target="https://lh5.googleusercontent.com/d/1Z3Xx8am_law_IfcNzqX17Mf1Z5PwQU9j" TargetMode="External"/><Relationship Id="rId1335" Type="http://schemas.openxmlformats.org/officeDocument/2006/relationships/hyperlink" Target="https://drive.google.com/file/d/1FBcqgO_20I7IGihNOZDbXPsKIaulrl0z/view?usp=drivesdk" TargetMode="External"/><Relationship Id="rId1336" Type="http://schemas.openxmlformats.org/officeDocument/2006/relationships/hyperlink" Target="https://lh5.googleusercontent.com/d/1WyT_TW4C82pOyDtWvgyhB3sdM9fWrP4G" TargetMode="External"/><Relationship Id="rId1337" Type="http://schemas.openxmlformats.org/officeDocument/2006/relationships/hyperlink" Target="https://drive.google.com/file/d/1bf5tumiag3H1PNdIaS1spVsiTor5hzny/view?usp=drivesdk" TargetMode="External"/><Relationship Id="rId1338" Type="http://schemas.openxmlformats.org/officeDocument/2006/relationships/hyperlink" Target="https://lh5.googleusercontent.com/d/1cQp0HQbhUefpKVtybyVvyDiLnhZxnDMa" TargetMode="External"/><Relationship Id="rId1339" Type="http://schemas.openxmlformats.org/officeDocument/2006/relationships/hyperlink" Target="https://drive.google.com/file/d/1_GQ7t-AztYEVlMrscGeV82eK9oW0rxx2/view?usp=drivesdk" TargetMode="External"/><Relationship Id="rId745" Type="http://schemas.openxmlformats.org/officeDocument/2006/relationships/hyperlink" Target="https://drive.google.com/file/d/1zgrH05B4OrsrcV3X_CTS8WWp0yy-svS_/view?usp=drivesdk" TargetMode="External"/><Relationship Id="rId744" Type="http://schemas.openxmlformats.org/officeDocument/2006/relationships/hyperlink" Target="https://lh5.googleusercontent.com/d/1LmHTujFYz794NIBzkEt0_W5AtUuGARd9" TargetMode="External"/><Relationship Id="rId743" Type="http://schemas.openxmlformats.org/officeDocument/2006/relationships/hyperlink" Target="https://drive.google.com/file/d/1eujj9WyG8Hudmai9_3NB_u4D9vGlhV04/view?usp=drivesdk" TargetMode="External"/><Relationship Id="rId742" Type="http://schemas.openxmlformats.org/officeDocument/2006/relationships/hyperlink" Target="https://lh5.googleusercontent.com/d/10WAW_5urqk8s9Bn8EpUgw3dzfQqvVif5" TargetMode="External"/><Relationship Id="rId749" Type="http://schemas.openxmlformats.org/officeDocument/2006/relationships/hyperlink" Target="https://drive.google.com/file/d/1GJnsvJZe6_wVzwQYa_H0bjqwwOAwche7/view?usp=drivesdk" TargetMode="External"/><Relationship Id="rId748" Type="http://schemas.openxmlformats.org/officeDocument/2006/relationships/hyperlink" Target="https://lh5.googleusercontent.com/d/19h45UV6cAejvlJvoCX7AJALMRlOI32Ec" TargetMode="External"/><Relationship Id="rId747" Type="http://schemas.openxmlformats.org/officeDocument/2006/relationships/hyperlink" Target="https://drive.google.com/file/d/1eMs2Fb1PLNNJ0RkCDTXzPyJreuO7fM9N/view?usp=drivesdk" TargetMode="External"/><Relationship Id="rId746" Type="http://schemas.openxmlformats.org/officeDocument/2006/relationships/hyperlink" Target="https://lh5.googleusercontent.com/d/10nUCTFqTCfO94PCZjjlbwNsbxjWVzwTH" TargetMode="External"/><Relationship Id="rId741" Type="http://schemas.openxmlformats.org/officeDocument/2006/relationships/hyperlink" Target="https://drive.google.com/file/d/1oD9CYzrLDWzLt3Et57FXRaQigpWSRnap/view?usp=drivesdk" TargetMode="External"/><Relationship Id="rId1330" Type="http://schemas.openxmlformats.org/officeDocument/2006/relationships/hyperlink" Target="https://lh5.googleusercontent.com/d/1ko4h-qsHeC_0K3xY2SCRejH_p3Ci_M1m" TargetMode="External"/><Relationship Id="rId740" Type="http://schemas.openxmlformats.org/officeDocument/2006/relationships/hyperlink" Target="https://lh5.googleusercontent.com/d/196-jYLhAY3wNWv_Mt3Jt4TNRUTTZ8w3x" TargetMode="External"/><Relationship Id="rId1331" Type="http://schemas.openxmlformats.org/officeDocument/2006/relationships/hyperlink" Target="https://drive.google.com/file/d/1iWBtaNMg3kY1IpbAMdCx4m8oofRJlrUT/view?usp=drivesdk" TargetMode="External"/><Relationship Id="rId1332" Type="http://schemas.openxmlformats.org/officeDocument/2006/relationships/hyperlink" Target="https://lh5.googleusercontent.com/d/1AV4Wiv-1d4kh3l2GR9z47dTfociXPoiK" TargetMode="External"/><Relationship Id="rId1333" Type="http://schemas.openxmlformats.org/officeDocument/2006/relationships/hyperlink" Target="https://drive.google.com/file/d/1J13uibAIOJyAeORcscYjIF-a1TE2sAyO/view?usp=drivesdk" TargetMode="External"/><Relationship Id="rId1323" Type="http://schemas.openxmlformats.org/officeDocument/2006/relationships/hyperlink" Target="https://drive.google.com/file/d/1f1ZpS1cbvCFfK1mr1ycXXMq5IUJVJwRQ/view?usp=drivesdk" TargetMode="External"/><Relationship Id="rId1324" Type="http://schemas.openxmlformats.org/officeDocument/2006/relationships/hyperlink" Target="https://lh5.googleusercontent.com/d/14MnZHc1-pN6ISOU9GjnF443PJY8a6i_8" TargetMode="External"/><Relationship Id="rId1325" Type="http://schemas.openxmlformats.org/officeDocument/2006/relationships/hyperlink" Target="https://drive.google.com/file/d/14XzbrXtbYp1jnoxds8_ME8CVIBCFqILc/view?usp=drivesdk" TargetMode="External"/><Relationship Id="rId1326" Type="http://schemas.openxmlformats.org/officeDocument/2006/relationships/hyperlink" Target="https://lh5.googleusercontent.com/d/1CMPwMg1Vc1J30_8YCx8yDmjUyKp2gBq5" TargetMode="External"/><Relationship Id="rId1327" Type="http://schemas.openxmlformats.org/officeDocument/2006/relationships/hyperlink" Target="https://drive.google.com/file/d/1ZxZjjsjQS9v-RJE0RdRbLIL9qhwKVYeT/view?usp=drivesdk" TargetMode="External"/><Relationship Id="rId1328" Type="http://schemas.openxmlformats.org/officeDocument/2006/relationships/hyperlink" Target="https://lh5.googleusercontent.com/d/1T9SNZalVBRJ2pgusCyKPKPUOGfZWrw7k" TargetMode="External"/><Relationship Id="rId1329" Type="http://schemas.openxmlformats.org/officeDocument/2006/relationships/hyperlink" Target="https://drive.google.com/file/d/1p7CUSQBD5buRZYkE93AE5OnuAfVfRYkZ/view?usp=drivesdk" TargetMode="External"/><Relationship Id="rId739" Type="http://schemas.openxmlformats.org/officeDocument/2006/relationships/hyperlink" Target="https://drive.google.com/file/d/1T1NFuojwvjmpm20YL-jAIUiWgII56vy1/view?usp=drivesdk" TargetMode="External"/><Relationship Id="rId734" Type="http://schemas.openxmlformats.org/officeDocument/2006/relationships/hyperlink" Target="https://lh5.googleusercontent.com/d/1MEU_KrXgqIeByGVwKcrkidJkCOStsy0E" TargetMode="External"/><Relationship Id="rId733" Type="http://schemas.openxmlformats.org/officeDocument/2006/relationships/hyperlink" Target="https://drive.google.com/file/d/1a_yjnChzfsuViLPgRpL6VMM1MeexiRVG/view?usp=drivesdk" TargetMode="External"/><Relationship Id="rId732" Type="http://schemas.openxmlformats.org/officeDocument/2006/relationships/hyperlink" Target="https://lh5.googleusercontent.com/d/1QmZUlWS6ixX6abzkV8QZeFKu7HqmzOkc" TargetMode="External"/><Relationship Id="rId731" Type="http://schemas.openxmlformats.org/officeDocument/2006/relationships/hyperlink" Target="https://drive.google.com/file/d/1hmEPyRNyaur5ariTLszQJdL7Ychiovhu/view?usp=drivesdk" TargetMode="External"/><Relationship Id="rId738" Type="http://schemas.openxmlformats.org/officeDocument/2006/relationships/hyperlink" Target="https://lh5.googleusercontent.com/d/1FQDIZisbo8V7k2-Y4TJLwiGcG-XgeZ4h" TargetMode="External"/><Relationship Id="rId737" Type="http://schemas.openxmlformats.org/officeDocument/2006/relationships/hyperlink" Target="https://drive.google.com/file/d/1jsrLuZgWxjXDC3TeUasLWyo9N-ri4VTn/view?usp=drivesdk" TargetMode="External"/><Relationship Id="rId736" Type="http://schemas.openxmlformats.org/officeDocument/2006/relationships/hyperlink" Target="https://lh5.googleusercontent.com/d/1hM-o0T6TaO-YLuOIbvqS8M0M0noZ-SgU" TargetMode="External"/><Relationship Id="rId735" Type="http://schemas.openxmlformats.org/officeDocument/2006/relationships/hyperlink" Target="https://drive.google.com/file/d/1BzKEbt6bNYXy6sUfR9xTZK7htZVTAvEc/view?usp=drivesdk" TargetMode="External"/><Relationship Id="rId730" Type="http://schemas.openxmlformats.org/officeDocument/2006/relationships/hyperlink" Target="https://lh5.googleusercontent.com/d/1ugHbb2R_DDyiAb4xTV-3gWQmIPXh_tFt" TargetMode="External"/><Relationship Id="rId1320" Type="http://schemas.openxmlformats.org/officeDocument/2006/relationships/hyperlink" Target="https://lh5.googleusercontent.com/d/1WUYbpY5PTYetnkOUEvpLlmncHNtOvjhN" TargetMode="External"/><Relationship Id="rId1321" Type="http://schemas.openxmlformats.org/officeDocument/2006/relationships/hyperlink" Target="https://drive.google.com/file/d/12_yM27ChxaZBN5bbdGFwCSnJ5cV5Tl_s/view?usp=drivesdk" TargetMode="External"/><Relationship Id="rId1322" Type="http://schemas.openxmlformats.org/officeDocument/2006/relationships/hyperlink" Target="https://lh5.googleusercontent.com/d/1HGdPDg5s9GWJ9ivwFlsyl5zydDuC0_ib" TargetMode="External"/><Relationship Id="rId1356" Type="http://schemas.openxmlformats.org/officeDocument/2006/relationships/hyperlink" Target="https://lh5.googleusercontent.com/d/17-NRiis_9HAIqrdSiQ8jxa2w3oagIU2d" TargetMode="External"/><Relationship Id="rId1357" Type="http://schemas.openxmlformats.org/officeDocument/2006/relationships/hyperlink" Target="https://drive.google.com/file/d/1tqWfNrdnu5S2DwnyTP3Ze1Ck-WOhurcp/view?usp=drivesdk" TargetMode="External"/><Relationship Id="rId1358" Type="http://schemas.openxmlformats.org/officeDocument/2006/relationships/hyperlink" Target="https://lh5.googleusercontent.com/d/1OlJ00iepbKkDeNjnGNAiL6c_gfZ1zgve" TargetMode="External"/><Relationship Id="rId1359" Type="http://schemas.openxmlformats.org/officeDocument/2006/relationships/hyperlink" Target="https://drive.google.com/file/d/17qZZ-d31WJIhe8_XC3KQDgEvBruMwN9-/view?usp=drivesdk" TargetMode="External"/><Relationship Id="rId767" Type="http://schemas.openxmlformats.org/officeDocument/2006/relationships/hyperlink" Target="https://drive.google.com/file/d/1f1ovuNlDvjuJGJdpmymovw8kIx83qNhL/view?usp=drivesdk" TargetMode="External"/><Relationship Id="rId766" Type="http://schemas.openxmlformats.org/officeDocument/2006/relationships/hyperlink" Target="https://lh5.googleusercontent.com/d/1lyDl1sp-NrKXLx017LejgF9QduJLCFkz" TargetMode="External"/><Relationship Id="rId765" Type="http://schemas.openxmlformats.org/officeDocument/2006/relationships/hyperlink" Target="https://drive.google.com/file/d/1ciOBI549WIVVVl4Rz3WLvup8Kd-tJBJ6/view?usp=drivesdk" TargetMode="External"/><Relationship Id="rId764" Type="http://schemas.openxmlformats.org/officeDocument/2006/relationships/hyperlink" Target="https://lh5.googleusercontent.com/d/1YvDENU2VDvrx6ATZuMPjhugElrggxw4S" TargetMode="External"/><Relationship Id="rId769" Type="http://schemas.openxmlformats.org/officeDocument/2006/relationships/hyperlink" Target="https://drive.google.com/file/d/1CWfjs9N0NF3DVhz06db3LKtxfRynP4R3/view?usp=drivesdk" TargetMode="External"/><Relationship Id="rId768" Type="http://schemas.openxmlformats.org/officeDocument/2006/relationships/hyperlink" Target="https://lh5.googleusercontent.com/d/1gDFMiVdyY8Wa3S8lxm9wMzpebvp5aOFf" TargetMode="External"/><Relationship Id="rId1350" Type="http://schemas.openxmlformats.org/officeDocument/2006/relationships/hyperlink" Target="https://lh5.googleusercontent.com/d/1DFi4s5_k06ho39RCVkEqanKwhOhAuvMQ" TargetMode="External"/><Relationship Id="rId1351" Type="http://schemas.openxmlformats.org/officeDocument/2006/relationships/hyperlink" Target="https://drive.google.com/file/d/1DqeAtuDx4Iqkt0eCCyRmG1TBkahnKgxK/view?usp=drivesdk" TargetMode="External"/><Relationship Id="rId763" Type="http://schemas.openxmlformats.org/officeDocument/2006/relationships/hyperlink" Target="https://drive.google.com/file/d/1oMhujXtqc39huJyOK8U4Hyla2qir_hlG/view?usp=drivesdk" TargetMode="External"/><Relationship Id="rId1352" Type="http://schemas.openxmlformats.org/officeDocument/2006/relationships/hyperlink" Target="https://lh5.googleusercontent.com/d/1dGn3xC8Rl9PF2r4ullhYudvomK4c6JzX" TargetMode="External"/><Relationship Id="rId762" Type="http://schemas.openxmlformats.org/officeDocument/2006/relationships/hyperlink" Target="https://lh5.googleusercontent.com/d/1l_isRSZ0tSKXpOy8pLAXSKrpA6xjRobE" TargetMode="External"/><Relationship Id="rId1353" Type="http://schemas.openxmlformats.org/officeDocument/2006/relationships/hyperlink" Target="https://drive.google.com/file/d/1EMFmxb4iL_TtvOm7THMaIjJFuD_FzihB/view?usp=drivesdk" TargetMode="External"/><Relationship Id="rId761" Type="http://schemas.openxmlformats.org/officeDocument/2006/relationships/hyperlink" Target="https://drive.google.com/file/d/1OhgJQiNS1vIXwycx2KiAS94PDRoSF6zJ/view?usp=drivesdk" TargetMode="External"/><Relationship Id="rId1354" Type="http://schemas.openxmlformats.org/officeDocument/2006/relationships/hyperlink" Target="https://lh5.googleusercontent.com/d/10QCxJ-zMY99sjcvDvqRbMJ-_rvBmP15m" TargetMode="External"/><Relationship Id="rId760" Type="http://schemas.openxmlformats.org/officeDocument/2006/relationships/hyperlink" Target="https://lh5.googleusercontent.com/d/1mR2-nm6pIYKhc28j26aHWQ1PH8Borf24" TargetMode="External"/><Relationship Id="rId1355" Type="http://schemas.openxmlformats.org/officeDocument/2006/relationships/hyperlink" Target="https://drive.google.com/file/d/1Nli5FwzVjakN8RBhnis22c0QjARWLg4C/view?usp=drivesdk" TargetMode="External"/><Relationship Id="rId1345" Type="http://schemas.openxmlformats.org/officeDocument/2006/relationships/hyperlink" Target="https://drive.google.com/file/d/1A-q7SoVRA6gZpAoa4ZTW0gXYoOFrv_kL/view?usp=drivesdk" TargetMode="External"/><Relationship Id="rId1346" Type="http://schemas.openxmlformats.org/officeDocument/2006/relationships/hyperlink" Target="https://lh5.googleusercontent.com/d/1mwBrYqmOdYOn98e04OZcmrnCDgVF9j2y" TargetMode="External"/><Relationship Id="rId1347" Type="http://schemas.openxmlformats.org/officeDocument/2006/relationships/hyperlink" Target="https://drive.google.com/file/d/1w-dP2KU2HdDE3dJuNCQCTX2XIyz8cJBx/view?usp=drivesdk" TargetMode="External"/><Relationship Id="rId1348" Type="http://schemas.openxmlformats.org/officeDocument/2006/relationships/hyperlink" Target="https://lh5.googleusercontent.com/d/1OmzgqVzOrXOD9W0T3u6YbsDuuL1ztphv" TargetMode="External"/><Relationship Id="rId1349" Type="http://schemas.openxmlformats.org/officeDocument/2006/relationships/hyperlink" Target="https://drive.google.com/file/d/12uZfkrlmhE2iN2w3ChlNL8Hrt-XYkqwY/view?usp=drivesdk" TargetMode="External"/><Relationship Id="rId756" Type="http://schemas.openxmlformats.org/officeDocument/2006/relationships/hyperlink" Target="https://lh5.googleusercontent.com/d/1Uch4sW_KVA4efcwausSpCO7uo0OGgRB_" TargetMode="External"/><Relationship Id="rId755" Type="http://schemas.openxmlformats.org/officeDocument/2006/relationships/hyperlink" Target="https://drive.google.com/file/d/1ihOx-CztViN1PKHGFVpUMDzKatsgViG8/view?usp=drivesdk" TargetMode="External"/><Relationship Id="rId754" Type="http://schemas.openxmlformats.org/officeDocument/2006/relationships/hyperlink" Target="https://lh5.googleusercontent.com/d/1Sni214xF92rQxmyQxw3BbXEBsFxlGPhJ" TargetMode="External"/><Relationship Id="rId753" Type="http://schemas.openxmlformats.org/officeDocument/2006/relationships/hyperlink" Target="https://drive.google.com/file/d/1v-d3_2YrV_gc759UL-odr3vywj1Cl0C2/view?usp=drivesdk" TargetMode="External"/><Relationship Id="rId759" Type="http://schemas.openxmlformats.org/officeDocument/2006/relationships/hyperlink" Target="https://drive.google.com/file/d/1WOPmpvGioijxzzusR8HUqld3-w5qSsR_/view?usp=drivesdk" TargetMode="External"/><Relationship Id="rId758" Type="http://schemas.openxmlformats.org/officeDocument/2006/relationships/hyperlink" Target="https://lh5.googleusercontent.com/d/1keB2Fn_pqUYObLutA8XJ1hywCzuzXRrT" TargetMode="External"/><Relationship Id="rId757" Type="http://schemas.openxmlformats.org/officeDocument/2006/relationships/hyperlink" Target="https://drive.google.com/file/d/1kDihp6HlKZhe3f_LoOtRnCbwRAfYlvyU/view?usp=drivesdk" TargetMode="External"/><Relationship Id="rId1340" Type="http://schemas.openxmlformats.org/officeDocument/2006/relationships/hyperlink" Target="https://lh5.googleusercontent.com/d/1734ti4DE0OQuqUqVWPIe-HakBseuTndd" TargetMode="External"/><Relationship Id="rId752" Type="http://schemas.openxmlformats.org/officeDocument/2006/relationships/hyperlink" Target="https://lh5.googleusercontent.com/d/1qDhjesEaygFp5NiaLk5DXqw2SE1RtV9C" TargetMode="External"/><Relationship Id="rId1341" Type="http://schemas.openxmlformats.org/officeDocument/2006/relationships/hyperlink" Target="https://drive.google.com/file/d/1CTbEOmIUf-60xebln_Ba7W0FIaG3oG5k/view?usp=drivesdk" TargetMode="External"/><Relationship Id="rId751" Type="http://schemas.openxmlformats.org/officeDocument/2006/relationships/hyperlink" Target="https://lh5.googleusercontent.com/d/1oEWJk8PzXHunRmhBR1mc8v1fD4vvvxJa" TargetMode="External"/><Relationship Id="rId1342" Type="http://schemas.openxmlformats.org/officeDocument/2006/relationships/hyperlink" Target="https://lh5.googleusercontent.com/d/12Hd2dK3oVBabAMH7_q4Z7CC8_stb7Xqj" TargetMode="External"/><Relationship Id="rId750" Type="http://schemas.openxmlformats.org/officeDocument/2006/relationships/hyperlink" Target="https://lh5.googleusercontent.com/d/15PB4o5r04w7zPF5ofyu1QdObkt4VwtNK" TargetMode="External"/><Relationship Id="rId1343" Type="http://schemas.openxmlformats.org/officeDocument/2006/relationships/hyperlink" Target="https://drive.google.com/file/d/1HBsJKl5hXEguRNQeb21cx0lIf7fTpBxp/view?usp=drivesdk" TargetMode="External"/><Relationship Id="rId1344" Type="http://schemas.openxmlformats.org/officeDocument/2006/relationships/hyperlink" Target="https://lh5.googleusercontent.com/d/1LFEnYfaRkViYyNtcgtkJBYgR92k7eMhZ" TargetMode="External"/><Relationship Id="rId709" Type="http://schemas.openxmlformats.org/officeDocument/2006/relationships/hyperlink" Target="https://drive.google.com/file/d/16ktnIIeeydvCbChw2Xmtib9tyFLl1ja4/view?usp=drivesdk" TargetMode="External"/><Relationship Id="rId708" Type="http://schemas.openxmlformats.org/officeDocument/2006/relationships/hyperlink" Target="https://lh5.googleusercontent.com/d/1yDOXJTG04_CBk56sqDBi-T4fwdVokie2" TargetMode="External"/><Relationship Id="rId707" Type="http://schemas.openxmlformats.org/officeDocument/2006/relationships/hyperlink" Target="https://drive.google.com/file/d/1zJD5gReJ2WxKfZlkQt08vRNbTUejHZ68/view?usp=drivesdk" TargetMode="External"/><Relationship Id="rId706" Type="http://schemas.openxmlformats.org/officeDocument/2006/relationships/hyperlink" Target="https://lh5.googleusercontent.com/d/1xzLmr0i4iLDazPFoAulyepGDq2CyHQ5e" TargetMode="External"/><Relationship Id="rId701" Type="http://schemas.openxmlformats.org/officeDocument/2006/relationships/hyperlink" Target="https://drive.google.com/file/d/1lYD5ShlTm1AY3rdOv3zBsCDI_fGc_bic/view?usp=drivesdk" TargetMode="External"/><Relationship Id="rId700" Type="http://schemas.openxmlformats.org/officeDocument/2006/relationships/hyperlink" Target="https://lh5.googleusercontent.com/d/17t2c38KULfy5VAsRd9zFUfr4ujRtstDa" TargetMode="External"/><Relationship Id="rId705" Type="http://schemas.openxmlformats.org/officeDocument/2006/relationships/hyperlink" Target="https://drive.google.com/file/d/1auskKs8Ljb1mZJkvGv7KXgnV-HZYjNFi/view?usp=drivesdk" TargetMode="External"/><Relationship Id="rId704" Type="http://schemas.openxmlformats.org/officeDocument/2006/relationships/hyperlink" Target="https://lh5.googleusercontent.com/d/1ynNFJXG1umWj_U_IkCxsroNv7uz9XRhd" TargetMode="External"/><Relationship Id="rId703" Type="http://schemas.openxmlformats.org/officeDocument/2006/relationships/hyperlink" Target="https://drive.google.com/file/d/1KjtzkvPUDifSCB2cxMQBZFKzJxin_isV/view?usp=drivesdk" TargetMode="External"/><Relationship Id="rId702" Type="http://schemas.openxmlformats.org/officeDocument/2006/relationships/hyperlink" Target="https://lh5.googleusercontent.com/d/1KQbOaQtklkZ_CAn6L4HSTC19MdGvul4D" TargetMode="External"/><Relationship Id="rId1312" Type="http://schemas.openxmlformats.org/officeDocument/2006/relationships/hyperlink" Target="https://lh5.googleusercontent.com/d/1CVrcTAdFZ0606XMTV1OM_mArI6VNTz-e" TargetMode="External"/><Relationship Id="rId1313" Type="http://schemas.openxmlformats.org/officeDocument/2006/relationships/hyperlink" Target="https://drive.google.com/file/d/1-3-B_iNJds1Jv86lJ87LPSKFYY81kQZS/view?usp=drivesdk" TargetMode="External"/><Relationship Id="rId1314" Type="http://schemas.openxmlformats.org/officeDocument/2006/relationships/hyperlink" Target="https://lh5.googleusercontent.com/d/11A-p7SktU6UARZYvXagMVKis4U0Q7oS1" TargetMode="External"/><Relationship Id="rId1315" Type="http://schemas.openxmlformats.org/officeDocument/2006/relationships/hyperlink" Target="https://drive.google.com/file/d/1iEwIALNEmVAgcLNz6GPz7aL8rR5kGWtO/view?usp=drivesdk" TargetMode="External"/><Relationship Id="rId1316" Type="http://schemas.openxmlformats.org/officeDocument/2006/relationships/hyperlink" Target="https://lh5.googleusercontent.com/d/1snQ7FVfrzfagRN3vB04FfGpbCjtxZTYa" TargetMode="External"/><Relationship Id="rId1317" Type="http://schemas.openxmlformats.org/officeDocument/2006/relationships/hyperlink" Target="https://drive.google.com/file/d/1HSxx8R4nThb7RUJD9p8yLDqoqdffiqgP/view?usp=drivesdk" TargetMode="External"/><Relationship Id="rId1318" Type="http://schemas.openxmlformats.org/officeDocument/2006/relationships/hyperlink" Target="https://lh5.googleusercontent.com/d/1Rig2PbSnOyF_vNmrsc3dSn22lPNbWydu" TargetMode="External"/><Relationship Id="rId1319" Type="http://schemas.openxmlformats.org/officeDocument/2006/relationships/hyperlink" Target="https://drive.google.com/file/d/17nquMvKbkdPvOp2yqTIwtozNEVfqKDXw/view?usp=drivesdk" TargetMode="External"/><Relationship Id="rId729" Type="http://schemas.openxmlformats.org/officeDocument/2006/relationships/hyperlink" Target="https://drive.google.com/file/d/1GcyHEzhCQc-VinIKD3zHnjr2DyS7xe70/view?usp=drivesdk" TargetMode="External"/><Relationship Id="rId728" Type="http://schemas.openxmlformats.org/officeDocument/2006/relationships/hyperlink" Target="https://lh5.googleusercontent.com/d/1BWcGHppYhTJ-lS6y1hYjOnASc_6_VVyh" TargetMode="External"/><Relationship Id="rId723" Type="http://schemas.openxmlformats.org/officeDocument/2006/relationships/hyperlink" Target="https://drive.google.com/file/d/1ugCaYHS6Z2jrkd7pTlFgz-RFuIKkBbvv/view?usp=drivesdk" TargetMode="External"/><Relationship Id="rId722" Type="http://schemas.openxmlformats.org/officeDocument/2006/relationships/hyperlink" Target="https://lh5.googleusercontent.com/d/1zRlypSOK-mIZekahNo_OSkS7QGe1hiex" TargetMode="External"/><Relationship Id="rId721" Type="http://schemas.openxmlformats.org/officeDocument/2006/relationships/hyperlink" Target="https://drive.google.com/file/d/1BY_5Z64W285SZ6CWmj5rUY_qXpIVofRb/view?usp=drivesdk" TargetMode="External"/><Relationship Id="rId720" Type="http://schemas.openxmlformats.org/officeDocument/2006/relationships/hyperlink" Target="https://lh5.googleusercontent.com/d/1zl59eaAKw3YlDduYhwWVnDQc7GMRDsUW" TargetMode="External"/><Relationship Id="rId727" Type="http://schemas.openxmlformats.org/officeDocument/2006/relationships/hyperlink" Target="https://drive.google.com/file/d/1l8G_uOIbizDKjvVxZdWFLi8fblAvYw6a/view?usp=drivesdk" TargetMode="External"/><Relationship Id="rId726" Type="http://schemas.openxmlformats.org/officeDocument/2006/relationships/hyperlink" Target="https://lh5.googleusercontent.com/d/1jT04_LxCyEd-D8gG8hwTgPMdSnroxlVj" TargetMode="External"/><Relationship Id="rId725" Type="http://schemas.openxmlformats.org/officeDocument/2006/relationships/hyperlink" Target="https://drive.google.com/file/d/1ZvgTJ9b_yfNW-cJEBJOT_D2ox6f1mKeC/view?usp=drivesdk" TargetMode="External"/><Relationship Id="rId724" Type="http://schemas.openxmlformats.org/officeDocument/2006/relationships/hyperlink" Target="https://lh5.googleusercontent.com/d/1UROj0wAcCquf6t2HDvWroNyw7GJ0T5kq" TargetMode="External"/><Relationship Id="rId1310" Type="http://schemas.openxmlformats.org/officeDocument/2006/relationships/hyperlink" Target="https://lh5.googleusercontent.com/d/1cRT8ahVgMHLvJm67mRy-er8p5JSIErSK" TargetMode="External"/><Relationship Id="rId1311" Type="http://schemas.openxmlformats.org/officeDocument/2006/relationships/hyperlink" Target="https://drive.google.com/file/d/1nmu3V-K1OlenXV0L8TdGFLxg9v0W0nE7/view?usp=drivesdk" TargetMode="External"/><Relationship Id="rId1301" Type="http://schemas.openxmlformats.org/officeDocument/2006/relationships/hyperlink" Target="https://drive.google.com/file/d/1yWMxUSw6UdZgtJ5HTTUImCI5Cn5Po_uz/view?usp=drivesdk" TargetMode="External"/><Relationship Id="rId1302" Type="http://schemas.openxmlformats.org/officeDocument/2006/relationships/hyperlink" Target="https://lh5.googleusercontent.com/d/1XMDlc8zCyyxC1WzmgliIKxoKxvcQShgp" TargetMode="External"/><Relationship Id="rId1303" Type="http://schemas.openxmlformats.org/officeDocument/2006/relationships/hyperlink" Target="https://drive.google.com/file/d/1gG5zUkpuk0uc2X1tIqbVI-yOdqKQDMBa/view?usp=drivesdk" TargetMode="External"/><Relationship Id="rId1304" Type="http://schemas.openxmlformats.org/officeDocument/2006/relationships/hyperlink" Target="https://lh5.googleusercontent.com/d/1DGbsC1hw-9L6fPm2mTlW04h89VPEVehQ" TargetMode="External"/><Relationship Id="rId1305" Type="http://schemas.openxmlformats.org/officeDocument/2006/relationships/hyperlink" Target="https://drive.google.com/file/d/1E0ruZxDADITmD600uS9KICtUsxUzr8Yt/view?usp=drivesdk" TargetMode="External"/><Relationship Id="rId1306" Type="http://schemas.openxmlformats.org/officeDocument/2006/relationships/hyperlink" Target="https://lh5.googleusercontent.com/d/1ZF5po8YTiUSFiP5SZEiDjFUsUprxZY8l" TargetMode="External"/><Relationship Id="rId1307" Type="http://schemas.openxmlformats.org/officeDocument/2006/relationships/hyperlink" Target="https://drive.google.com/file/d/1dobKeh4XQGHK6Mx62xSbVfGUsQDuKWtY/view?usp=drivesdk" TargetMode="External"/><Relationship Id="rId1308" Type="http://schemas.openxmlformats.org/officeDocument/2006/relationships/hyperlink" Target="https://lh5.googleusercontent.com/d/1XNezoAxhOg8abuP3qyHcfsGawfp7aPtj" TargetMode="External"/><Relationship Id="rId1309" Type="http://schemas.openxmlformats.org/officeDocument/2006/relationships/hyperlink" Target="https://drive.google.com/file/d/1Quwl47smZPdauoebnJ0q9uFjoU4wNvtA/view?usp=drivesdk" TargetMode="External"/><Relationship Id="rId719" Type="http://schemas.openxmlformats.org/officeDocument/2006/relationships/hyperlink" Target="https://drive.google.com/file/d/1f9o1AV32KgnojGvVFAAe6Fx4h9F1v4Y_/view?usp=drivesdk" TargetMode="External"/><Relationship Id="rId718" Type="http://schemas.openxmlformats.org/officeDocument/2006/relationships/hyperlink" Target="https://lh5.googleusercontent.com/d/1XAf_5lKXg7mCs4ebXgnIUpYMXDbrTsq2" TargetMode="External"/><Relationship Id="rId717" Type="http://schemas.openxmlformats.org/officeDocument/2006/relationships/hyperlink" Target="https://drive.google.com/file/d/1CSQQ-Ah9zHQDhsauByADjuhPE8JRYJff/view?usp=drivesdk" TargetMode="External"/><Relationship Id="rId712" Type="http://schemas.openxmlformats.org/officeDocument/2006/relationships/hyperlink" Target="https://lh5.googleusercontent.com/d/1gZNjpY9oy905s2Ggz0yMK1-U3exVfbU1" TargetMode="External"/><Relationship Id="rId711" Type="http://schemas.openxmlformats.org/officeDocument/2006/relationships/hyperlink" Target="https://drive.google.com/file/d/16Y90WUnAoNM-yYL_ZS0mR8KOi0cHLtuh/view?usp=drivesdk" TargetMode="External"/><Relationship Id="rId710" Type="http://schemas.openxmlformats.org/officeDocument/2006/relationships/hyperlink" Target="https://lh5.googleusercontent.com/d/18eRZHnDcFPbfcpglFmdjFc0dfsXyPMva" TargetMode="External"/><Relationship Id="rId716" Type="http://schemas.openxmlformats.org/officeDocument/2006/relationships/hyperlink" Target="https://lh5.googleusercontent.com/d/1unuqbBwXC19f4pErgVUOpoxF2ETRljDm" TargetMode="External"/><Relationship Id="rId715" Type="http://schemas.openxmlformats.org/officeDocument/2006/relationships/hyperlink" Target="https://drive.google.com/file/d/1Lpl7BlwadlOrAg2w4rqN3zwGenLsnnnq/view?usp=drivesdk" TargetMode="External"/><Relationship Id="rId714" Type="http://schemas.openxmlformats.org/officeDocument/2006/relationships/hyperlink" Target="https://lh5.googleusercontent.com/d/14Nz4kfPk4mTElLIVNCeYKgdymHO_mLje" TargetMode="External"/><Relationship Id="rId713" Type="http://schemas.openxmlformats.org/officeDocument/2006/relationships/hyperlink" Target="https://drive.google.com/file/d/1mZr3xlq35_s9qgWJW-Ge0FhT6eCC3zsj/view?usp=drivesdk" TargetMode="External"/><Relationship Id="rId1300" Type="http://schemas.openxmlformats.org/officeDocument/2006/relationships/hyperlink" Target="https://lh5.googleusercontent.com/d/16fFXpjbyXZHLC8UGJyuTDr-v-LlrP0sh" TargetMode="External"/><Relationship Id="rId1378" Type="http://schemas.openxmlformats.org/officeDocument/2006/relationships/hyperlink" Target="https://lh5.googleusercontent.com/d/1KsqyzAaAsStK3iC6A3cqhkOLQYtqJgqI" TargetMode="External"/><Relationship Id="rId1379" Type="http://schemas.openxmlformats.org/officeDocument/2006/relationships/hyperlink" Target="https://drive.google.com/file/d/15_0xJzFloyX0qHGEcGzjvJQJtoH6U1gg/view?usp=drivesdk" TargetMode="External"/><Relationship Id="rId789" Type="http://schemas.openxmlformats.org/officeDocument/2006/relationships/hyperlink" Target="https://lh5.googleusercontent.com/d/128HJQpmp7lMSE1iw-osw9Dk76uZlXY2K" TargetMode="External"/><Relationship Id="rId788" Type="http://schemas.openxmlformats.org/officeDocument/2006/relationships/hyperlink" Target="https://drive.google.com/file/d/1-VijzVzp_kqdfOsVT1c4qSX53m0FmG5u/view?usp=drivesdk" TargetMode="External"/><Relationship Id="rId787" Type="http://schemas.openxmlformats.org/officeDocument/2006/relationships/hyperlink" Target="https://lh5.googleusercontent.com/d/1VdXXyuclGistUXn6aAjDdazO40Gp-v8C" TargetMode="External"/><Relationship Id="rId786" Type="http://schemas.openxmlformats.org/officeDocument/2006/relationships/hyperlink" Target="https://lh5.googleusercontent.com/d/1W2CD6RGSoouqfobz2yKrSH1BopgH27F8" TargetMode="External"/><Relationship Id="rId781" Type="http://schemas.openxmlformats.org/officeDocument/2006/relationships/hyperlink" Target="https://drive.google.com/file/d/1eVMiOJmqgvbBsY142qiX5CdUkv0pBJGA/view?usp=drivesdk" TargetMode="External"/><Relationship Id="rId1370" Type="http://schemas.openxmlformats.org/officeDocument/2006/relationships/hyperlink" Target="https://lh5.googleusercontent.com/d/1q5nchticQJLyWGbavkNk7HCDrl1U-d97" TargetMode="External"/><Relationship Id="rId780" Type="http://schemas.openxmlformats.org/officeDocument/2006/relationships/hyperlink" Target="https://lh5.googleusercontent.com/d/1pj0JXXX4Jwmu_RZolymMx6egwE5-_41Q" TargetMode="External"/><Relationship Id="rId1371" Type="http://schemas.openxmlformats.org/officeDocument/2006/relationships/hyperlink" Target="https://drive.google.com/file/d/10mJkE7Dd2vyhbs_zZLPvtYmHEBvE4rGt/view?usp=drivesdk" TargetMode="External"/><Relationship Id="rId1372" Type="http://schemas.openxmlformats.org/officeDocument/2006/relationships/hyperlink" Target="https://lh5.googleusercontent.com/d/1ZEvcm5ZKfnaXcdkEzwjwMu7pSwtgXHDc" TargetMode="External"/><Relationship Id="rId1373" Type="http://schemas.openxmlformats.org/officeDocument/2006/relationships/hyperlink" Target="https://drive.google.com/file/d/1Welx-Jz8kiA7s_hJU7l92ypCVMh1pQbZ/view?usp=drivesdk" TargetMode="External"/><Relationship Id="rId785" Type="http://schemas.openxmlformats.org/officeDocument/2006/relationships/hyperlink" Target="https://drive.google.com/file/d/1iwNXbnZ6a94CCUmRan5YIyQwTVVktf5_/view?usp=drivesdk" TargetMode="External"/><Relationship Id="rId1374" Type="http://schemas.openxmlformats.org/officeDocument/2006/relationships/hyperlink" Target="https://lh5.googleusercontent.com/d/1GI-wBxcORqI0O3p9l3ePs1nyY0RLZLjp" TargetMode="External"/><Relationship Id="rId784" Type="http://schemas.openxmlformats.org/officeDocument/2006/relationships/hyperlink" Target="https://lh5.googleusercontent.com/d/1GuHrpFxg5WvxswJ6W6NyvSoermOgMdDm" TargetMode="External"/><Relationship Id="rId1375" Type="http://schemas.openxmlformats.org/officeDocument/2006/relationships/hyperlink" Target="https://drive.google.com/file/d/15QxgAInu8ex6RfltMCMWt89Y2Aa9vnv_/view?usp=drivesdk" TargetMode="External"/><Relationship Id="rId783" Type="http://schemas.openxmlformats.org/officeDocument/2006/relationships/hyperlink" Target="https://drive.google.com/file/d/1DpxYe6NuzJU6Ei6hrI7n8RVeYkZ2NKpv/view?usp=drivesdk" TargetMode="External"/><Relationship Id="rId1376" Type="http://schemas.openxmlformats.org/officeDocument/2006/relationships/hyperlink" Target="https://lh5.googleusercontent.com/d/1hmnpYia5SLRjbTDSCNPCI_bLejvMzyec" TargetMode="External"/><Relationship Id="rId782" Type="http://schemas.openxmlformats.org/officeDocument/2006/relationships/hyperlink" Target="https://lh5.googleusercontent.com/d/1xTxuuQ5N4hI5QQ77Ya5IKPjkfHbGdmPQ" TargetMode="External"/><Relationship Id="rId1377" Type="http://schemas.openxmlformats.org/officeDocument/2006/relationships/hyperlink" Target="https://drive.google.com/file/d/1T2DvIsLMSAV4U3Liv3p_QUbobY84QZtg/view?usp=drivesdk" TargetMode="External"/><Relationship Id="rId1367" Type="http://schemas.openxmlformats.org/officeDocument/2006/relationships/hyperlink" Target="https://drive.google.com/file/d/1UDUMd81GBsUyvBz1sKk_4n1x2nDMKvRR/view?usp=drivesdk" TargetMode="External"/><Relationship Id="rId1368" Type="http://schemas.openxmlformats.org/officeDocument/2006/relationships/hyperlink" Target="https://lh5.googleusercontent.com/d/12b2OgxzvylcZI94l3fWzemDso4RLckXb" TargetMode="External"/><Relationship Id="rId1369" Type="http://schemas.openxmlformats.org/officeDocument/2006/relationships/hyperlink" Target="https://drive.google.com/file/d/1GB720k7rPsRTJzNEWLNxzKIkmJK5HCyX/view?usp=drivesdk" TargetMode="External"/><Relationship Id="rId778" Type="http://schemas.openxmlformats.org/officeDocument/2006/relationships/hyperlink" Target="https://lh5.googleusercontent.com/d/1ZSRvtHun45269Jz6Te9I2ObCO0Ny47ah" TargetMode="External"/><Relationship Id="rId777" Type="http://schemas.openxmlformats.org/officeDocument/2006/relationships/hyperlink" Target="https://drive.google.com/file/d/1hEJJde8ioXYuyRVYBt32MI97siKEfhK6/view?usp=drivesdk" TargetMode="External"/><Relationship Id="rId776" Type="http://schemas.openxmlformats.org/officeDocument/2006/relationships/hyperlink" Target="https://lh5.googleusercontent.com/d/17qdLo7LB_37WyxPyzOjhtnP1gNMqlMAu" TargetMode="External"/><Relationship Id="rId775" Type="http://schemas.openxmlformats.org/officeDocument/2006/relationships/hyperlink" Target="https://drive.google.com/file/d/1RIhGDC22ozXhWOLBa3zQfMwS2uoAUyD3/view?usp=drivesdk" TargetMode="External"/><Relationship Id="rId779" Type="http://schemas.openxmlformats.org/officeDocument/2006/relationships/hyperlink" Target="https://drive.google.com/file/d/1UwlosFdzm9sWjAIOt0GVOPBCtXKUgYxQ/view?usp=drivesdk" TargetMode="External"/><Relationship Id="rId770" Type="http://schemas.openxmlformats.org/officeDocument/2006/relationships/hyperlink" Target="https://lh5.googleusercontent.com/d/1WGbIQwbP2JQ7QXN_fkkFC_9lEZALqgUU" TargetMode="External"/><Relationship Id="rId1360" Type="http://schemas.openxmlformats.org/officeDocument/2006/relationships/hyperlink" Target="https://lh5.googleusercontent.com/d/1vX6-SVrv3GdHAoXdMrREjPnDxIvz7wK4" TargetMode="External"/><Relationship Id="rId1361" Type="http://schemas.openxmlformats.org/officeDocument/2006/relationships/hyperlink" Target="https://drive.google.com/file/d/1zlLltWiyMX7ubTg0EMHN5TEX2Hbgazxm/view?usp=drivesdk" TargetMode="External"/><Relationship Id="rId1362" Type="http://schemas.openxmlformats.org/officeDocument/2006/relationships/hyperlink" Target="https://lh5.googleusercontent.com/d/1JCgj5EK7A1Qt8VlHwpjZXL_jdM0aaRXo" TargetMode="External"/><Relationship Id="rId774" Type="http://schemas.openxmlformats.org/officeDocument/2006/relationships/hyperlink" Target="https://lh5.googleusercontent.com/d/14FNZpmPDUTTzjXGD0bmzmtB1r1471MAx" TargetMode="External"/><Relationship Id="rId1363" Type="http://schemas.openxmlformats.org/officeDocument/2006/relationships/hyperlink" Target="https://drive.google.com/file/d/1YrUn-BgPFU3CB0IOsBAKURrzsKTgu2Yl/view?usp=drivesdk" TargetMode="External"/><Relationship Id="rId773" Type="http://schemas.openxmlformats.org/officeDocument/2006/relationships/hyperlink" Target="https://drive.google.com/file/d/1gPmNy_nSPim-ZZQs3SgCeh6PmH_LOJHH/view?usp=drivesdk" TargetMode="External"/><Relationship Id="rId1364" Type="http://schemas.openxmlformats.org/officeDocument/2006/relationships/hyperlink" Target="https://lh5.googleusercontent.com/d/1rF16tusWhGqmm4l4o9XcCqQ9YU1Fkqhx" TargetMode="External"/><Relationship Id="rId772" Type="http://schemas.openxmlformats.org/officeDocument/2006/relationships/hyperlink" Target="https://lh5.googleusercontent.com/d/1scDs49Cq6-ZGn2w3M3ZsfOOs8-prFzIb" TargetMode="External"/><Relationship Id="rId1365" Type="http://schemas.openxmlformats.org/officeDocument/2006/relationships/hyperlink" Target="https://drive.google.com/file/d/1cHgBnV9jeo79J-KfA18pTYYsO8EOSjGq/view?usp=drivesdk" TargetMode="External"/><Relationship Id="rId771" Type="http://schemas.openxmlformats.org/officeDocument/2006/relationships/hyperlink" Target="https://drive.google.com/file/d/1vrDM4OBtiRJW8fl-uZ2mFe2Mkczr2R3d/view?usp=drivesdk" TargetMode="External"/><Relationship Id="rId1366" Type="http://schemas.openxmlformats.org/officeDocument/2006/relationships/hyperlink" Target="https://lh5.googleusercontent.com/d/159aIcQGhv8-AnRmLZ-98Iy7sWElukAvi" TargetMode="External"/><Relationship Id="rId1390" Type="http://schemas.openxmlformats.org/officeDocument/2006/relationships/hyperlink" Target="https://lh5.googleusercontent.com/d/1AGgoGrASrluedmULONTXcUuldT3gtOEg" TargetMode="External"/><Relationship Id="rId1391" Type="http://schemas.openxmlformats.org/officeDocument/2006/relationships/hyperlink" Target="https://drive.google.com/file/d/180tBelvEFeE5eMHmfkgFw5rKPZ3J9tqP/view?usp=drivesdk" TargetMode="External"/><Relationship Id="rId1392" Type="http://schemas.openxmlformats.org/officeDocument/2006/relationships/hyperlink" Target="https://lh5.googleusercontent.com/d/1aAXknAceAzmwczh_B-u2t3HCg5N3KaAF" TargetMode="External"/><Relationship Id="rId1393" Type="http://schemas.openxmlformats.org/officeDocument/2006/relationships/hyperlink" Target="https://drive.google.com/file/d/1FzR0lhrWFl0Z8SYvIsHOOEsdku6_Y_zs/view?usp=drivesdk" TargetMode="External"/><Relationship Id="rId1394" Type="http://schemas.openxmlformats.org/officeDocument/2006/relationships/hyperlink" Target="https://lh5.googleusercontent.com/d/1ZFVZzDyIgdVAyMucWyGG4Bu8F6zkTTO7" TargetMode="External"/><Relationship Id="rId1395" Type="http://schemas.openxmlformats.org/officeDocument/2006/relationships/hyperlink" Target="https://drive.google.com/file/d/159t1PVODRCvFyRg249nNRTew47zkptLu/view?usp=drivesdk" TargetMode="External"/><Relationship Id="rId1396" Type="http://schemas.openxmlformats.org/officeDocument/2006/relationships/hyperlink" Target="https://lh5.googleusercontent.com/d/11Y-_47JmPotFJ57jsH4ARw6w5g7La-qK" TargetMode="External"/><Relationship Id="rId1397" Type="http://schemas.openxmlformats.org/officeDocument/2006/relationships/hyperlink" Target="https://drive.google.com/file/d/1mmXQ63Ghu8QSP_f_ux7WZSahHPmKyb2v/view?usp=drivesdk" TargetMode="External"/><Relationship Id="rId1398" Type="http://schemas.openxmlformats.org/officeDocument/2006/relationships/hyperlink" Target="https://lh5.googleusercontent.com/d/1fkkqZFJmgwIxezOuZqJ7Y_viRtu8z2dp" TargetMode="External"/><Relationship Id="rId1399" Type="http://schemas.openxmlformats.org/officeDocument/2006/relationships/hyperlink" Target="https://drive.google.com/file/d/1YBNhyFsEIvR6eQSh_U-PSu0NQauRN8YZ/view?usp=drivesdk" TargetMode="External"/><Relationship Id="rId1389" Type="http://schemas.openxmlformats.org/officeDocument/2006/relationships/hyperlink" Target="https://drive.google.com/file/d/19F2SNh3qUsR9p2XydjRgsnCTLs33whgN/view?usp=drivesdk" TargetMode="External"/><Relationship Id="rId799" Type="http://schemas.openxmlformats.org/officeDocument/2006/relationships/hyperlink" Target="https://drive.google.com/file/d/1q6M2GUrC0xoo04w7EQOcfba5sXNOlkxM/view?usp=drivesdk" TargetMode="External"/><Relationship Id="rId798" Type="http://schemas.openxmlformats.org/officeDocument/2006/relationships/hyperlink" Target="https://lh5.googleusercontent.com/d/16_s9p_zJZAHnZgQNzkB8M4oKY-tu-_oO" TargetMode="External"/><Relationship Id="rId797" Type="http://schemas.openxmlformats.org/officeDocument/2006/relationships/hyperlink" Target="https://drive.google.com/file/d/1JPSR-yICLoN8GZaPwv-GHXVlqDia_mgb/view?usp=drivesdk" TargetMode="External"/><Relationship Id="rId1380" Type="http://schemas.openxmlformats.org/officeDocument/2006/relationships/hyperlink" Target="https://lh5.googleusercontent.com/d/19RxmIQ_TpL0LsETsvKO5i6GvX3KRSRWu" TargetMode="External"/><Relationship Id="rId792" Type="http://schemas.openxmlformats.org/officeDocument/2006/relationships/hyperlink" Target="https://lh5.googleusercontent.com/d/1SFDjFBlcdM30RmHRvzaMCb8PY5i0oMFW" TargetMode="External"/><Relationship Id="rId1381" Type="http://schemas.openxmlformats.org/officeDocument/2006/relationships/hyperlink" Target="https://drive.google.com/file/d/1gV1xAtve6I9cvI6jEiudCgGBmoKRO4je/view?usp=drivesdk" TargetMode="External"/><Relationship Id="rId791" Type="http://schemas.openxmlformats.org/officeDocument/2006/relationships/hyperlink" Target="https://lh5.googleusercontent.com/d/1CPT3cbROLy4nYp5nWDfRgnP3JY5gL-F0" TargetMode="External"/><Relationship Id="rId1382" Type="http://schemas.openxmlformats.org/officeDocument/2006/relationships/hyperlink" Target="https://lh5.googleusercontent.com/d/189GBgDRX-8-XSluVq6NKuVSgImMfQyRY" TargetMode="External"/><Relationship Id="rId790" Type="http://schemas.openxmlformats.org/officeDocument/2006/relationships/hyperlink" Target="https://drive.google.com/file/d/1Z5_0B2i-7xwz7U2o-ry8DVQ3wMfSeLRl/view?usp=drivesdk" TargetMode="External"/><Relationship Id="rId1383" Type="http://schemas.openxmlformats.org/officeDocument/2006/relationships/hyperlink" Target="https://drive.google.com/file/d/1WhBK6N37ncDaVpZU2C-emG395eSuVw_e/view?usp=drivesdk" TargetMode="External"/><Relationship Id="rId1384" Type="http://schemas.openxmlformats.org/officeDocument/2006/relationships/hyperlink" Target="https://lh5.googleusercontent.com/d/1vgkrSyLhXejxhWLjUrYKnP-tIEXQgVlL" TargetMode="External"/><Relationship Id="rId796" Type="http://schemas.openxmlformats.org/officeDocument/2006/relationships/hyperlink" Target="https://lh5.googleusercontent.com/d/1j7xDymleUeqLfoR5nWLSHCopkI9X7aKl" TargetMode="External"/><Relationship Id="rId1385" Type="http://schemas.openxmlformats.org/officeDocument/2006/relationships/hyperlink" Target="https://drive.google.com/file/d/1EePSuqzkh7uHxSnJOlHYzSFWAttowgsq/view?usp=drivesdk" TargetMode="External"/><Relationship Id="rId795" Type="http://schemas.openxmlformats.org/officeDocument/2006/relationships/hyperlink" Target="https://drive.google.com/file/d/1jsHUeyGBDcmVnSHMAAFmlmO79o_43VpV/view?usp=drivesdk" TargetMode="External"/><Relationship Id="rId1386" Type="http://schemas.openxmlformats.org/officeDocument/2006/relationships/hyperlink" Target="https://lh5.googleusercontent.com/d/1f-bYiBdg5cn4hA6jIr9YnwjGNk3_E8f7" TargetMode="External"/><Relationship Id="rId794" Type="http://schemas.openxmlformats.org/officeDocument/2006/relationships/hyperlink" Target="https://lh5.googleusercontent.com/d/1W-zZcHIdZ4VAZhMKKyjTuBMiP7_LsnD0" TargetMode="External"/><Relationship Id="rId1387" Type="http://schemas.openxmlformats.org/officeDocument/2006/relationships/hyperlink" Target="https://drive.google.com/file/d/1Ta2G3iQSI9FaXZ5yDjNx8-x2w6gKa8g8/view?usp=drivesdk" TargetMode="External"/><Relationship Id="rId793" Type="http://schemas.openxmlformats.org/officeDocument/2006/relationships/hyperlink" Target="https://drive.google.com/file/d/1ZBzWVGNFZfyAEWxjEi-vvDOO_xuJSVNU/view?usp=drivesdk" TargetMode="External"/><Relationship Id="rId1388" Type="http://schemas.openxmlformats.org/officeDocument/2006/relationships/hyperlink" Target="https://lh5.googleusercontent.com/d/1StJkwogYd3Y3h4lBBqOokG4Q9KD6oVhe" TargetMode="External"/><Relationship Id="rId1455" Type="http://schemas.openxmlformats.org/officeDocument/2006/relationships/hyperlink" Target="https://drive.google.com/file/d/1NCR5lZ79amZEfU1OngROCh1JLOgLNkiX/view?usp=drivesdk" TargetMode="External"/><Relationship Id="rId1456" Type="http://schemas.openxmlformats.org/officeDocument/2006/relationships/hyperlink" Target="https://lh5.googleusercontent.com/d/1z-xNDLLC590QqJ5P7zdz4rYOA2ZhLthP" TargetMode="External"/><Relationship Id="rId1457" Type="http://schemas.openxmlformats.org/officeDocument/2006/relationships/hyperlink" Target="https://drive.google.com/file/d/1EEx0tC4XpBFeCiqzcXx5At-OtbLDHRbA/view?usp=drivesdk" TargetMode="External"/><Relationship Id="rId1458" Type="http://schemas.openxmlformats.org/officeDocument/2006/relationships/hyperlink" Target="https://lh5.googleusercontent.com/d/1IPw0Vzp9CFvTSkF6yiIub5lHL0LaIrdL" TargetMode="External"/><Relationship Id="rId1459" Type="http://schemas.openxmlformats.org/officeDocument/2006/relationships/hyperlink" Target="https://drive.google.com/file/d/1F7JZDEb9Jy_yYFz9PbidE_un9Q74sYgA/view?usp=drivesdk" TargetMode="External"/><Relationship Id="rId629" Type="http://schemas.openxmlformats.org/officeDocument/2006/relationships/hyperlink" Target="https://lh5.googleusercontent.com/d/17qXDR4JTd72mKP93PgK-c1eSMmnNRU9d" TargetMode="External"/><Relationship Id="rId624" Type="http://schemas.openxmlformats.org/officeDocument/2006/relationships/hyperlink" Target="https://drive.google.com/file/d/1Ysrvt1OXv9i9g5Ta9R2Mzy7GmiGJbivx/view?usp=drivesdk" TargetMode="External"/><Relationship Id="rId623" Type="http://schemas.openxmlformats.org/officeDocument/2006/relationships/hyperlink" Target="https://lh5.googleusercontent.com/d/1RGIuSWJ-UyyFZDLdPIPmowJMhrg9cF42" TargetMode="External"/><Relationship Id="rId622" Type="http://schemas.openxmlformats.org/officeDocument/2006/relationships/hyperlink" Target="https://drive.google.com/file/d/1RCNSgETFDuXtRv1R8w_Dm2TXGtFxkoSC/view?usp=drivesdk" TargetMode="External"/><Relationship Id="rId621" Type="http://schemas.openxmlformats.org/officeDocument/2006/relationships/hyperlink" Target="https://lh5.googleusercontent.com/d/1L_Ru1YKUV9rFEbwRDi4gL7hdiwDiCpFZ" TargetMode="External"/><Relationship Id="rId628" Type="http://schemas.openxmlformats.org/officeDocument/2006/relationships/hyperlink" Target="https://drive.google.com/file/d/1tjCLsWSw57JK53ukUlx0zjHZQe3Ta4NN/view?usp=drivesdk" TargetMode="External"/><Relationship Id="rId627" Type="http://schemas.openxmlformats.org/officeDocument/2006/relationships/hyperlink" Target="https://lh5.googleusercontent.com/d/1n2xc3vDf-BArtpH5W8oX6RDS_ebqRtbT" TargetMode="External"/><Relationship Id="rId626" Type="http://schemas.openxmlformats.org/officeDocument/2006/relationships/hyperlink" Target="https://drive.google.com/file/d/1t9Y6g2GXsGdyeoSqcJwTKadsWJ1jO6A7/view?usp=drivesdk" TargetMode="External"/><Relationship Id="rId625" Type="http://schemas.openxmlformats.org/officeDocument/2006/relationships/hyperlink" Target="https://lh5.googleusercontent.com/d/1-plDusthcljjYK3kNCpx4UBOQ52ePQ_D" TargetMode="External"/><Relationship Id="rId1450" Type="http://schemas.openxmlformats.org/officeDocument/2006/relationships/hyperlink" Target="https://lh5.googleusercontent.com/d/143cXZZjblTSksiIGGacG2loeUoB_9Hjr" TargetMode="External"/><Relationship Id="rId620" Type="http://schemas.openxmlformats.org/officeDocument/2006/relationships/hyperlink" Target="https://drive.google.com/file/d/1rVfUWgJA1UT-d5nPkR3nEPVRkD2kMWvA/view?usp=drivesdk" TargetMode="External"/><Relationship Id="rId1451" Type="http://schemas.openxmlformats.org/officeDocument/2006/relationships/hyperlink" Target="https://drive.google.com/file/d/1fcYi47LhWb87o4GLUj3ovUet5kgQZXlQ/view?usp=drivesdk" TargetMode="External"/><Relationship Id="rId1452" Type="http://schemas.openxmlformats.org/officeDocument/2006/relationships/hyperlink" Target="https://lh5.googleusercontent.com/d/1XaDaihtEjMO169i3A6jJCwBLAWOntUVl" TargetMode="External"/><Relationship Id="rId1453" Type="http://schemas.openxmlformats.org/officeDocument/2006/relationships/hyperlink" Target="https://drive.google.com/file/d/1Afy-QaJCByaRgcfLXUUaVz0snYM_El9C/view?usp=drivesdk" TargetMode="External"/><Relationship Id="rId1454" Type="http://schemas.openxmlformats.org/officeDocument/2006/relationships/hyperlink" Target="https://lh5.googleusercontent.com/d/1FUcKBnSf5voqvm71GaCL_FzJfRuuiXfr" TargetMode="External"/><Relationship Id="rId1444" Type="http://schemas.openxmlformats.org/officeDocument/2006/relationships/hyperlink" Target="https://lh5.googleusercontent.com/d/14RxUPV4RZyGvzpFLNMfBLUw4ZWatu7YI" TargetMode="External"/><Relationship Id="rId1445" Type="http://schemas.openxmlformats.org/officeDocument/2006/relationships/hyperlink" Target="https://drive.google.com/file/d/12t_mccDxXheeaZkTYDToAa2EmO7b-qwI/view?usp=drivesdk" TargetMode="External"/><Relationship Id="rId1446" Type="http://schemas.openxmlformats.org/officeDocument/2006/relationships/hyperlink" Target="https://lh5.googleusercontent.com/d/1ByBHdysIfUpBWtqHe5OdFti_DxRLgvPk" TargetMode="External"/><Relationship Id="rId1447" Type="http://schemas.openxmlformats.org/officeDocument/2006/relationships/hyperlink" Target="https://drive.google.com/file/d/1XZOkkwn-vFpEUMtZg0qNgha8t_w0oxD9/view?usp=drivesdk" TargetMode="External"/><Relationship Id="rId1448" Type="http://schemas.openxmlformats.org/officeDocument/2006/relationships/hyperlink" Target="https://lh5.googleusercontent.com/d/1FmigK8S_9qp4xYV7FdF7DsBChJnt28_8" TargetMode="External"/><Relationship Id="rId1449" Type="http://schemas.openxmlformats.org/officeDocument/2006/relationships/hyperlink" Target="https://drive.google.com/file/d/1_93cE-Sd2RYQdEIMg6gV7ufbsRXqYn_G/view?usp=drivesdk" TargetMode="External"/><Relationship Id="rId619" Type="http://schemas.openxmlformats.org/officeDocument/2006/relationships/hyperlink" Target="https://lh5.googleusercontent.com/d/154jIshrPqLJwmxqMdDYUJSazKrWa38Eq" TargetMode="External"/><Relationship Id="rId618" Type="http://schemas.openxmlformats.org/officeDocument/2006/relationships/hyperlink" Target="https://drive.google.com/file/d/1sKQllCXhgj8USV_EbJx1hxHnThJmm9sy/view?usp=drivesdk" TargetMode="External"/><Relationship Id="rId613" Type="http://schemas.openxmlformats.org/officeDocument/2006/relationships/hyperlink" Target="https://lh5.googleusercontent.com/d/1lXxquYT0ePEykgZbaUFf7E5X0OZWYOWj" TargetMode="External"/><Relationship Id="rId612" Type="http://schemas.openxmlformats.org/officeDocument/2006/relationships/hyperlink" Target="https://drive.google.com/file/d/1aYQLlzP4LtTWt1HkteiqbJbNfmTqIpAO/view?usp=drivesdk" TargetMode="External"/><Relationship Id="rId611" Type="http://schemas.openxmlformats.org/officeDocument/2006/relationships/hyperlink" Target="https://lh5.googleusercontent.com/d/1M7rFszqHoPl4YjUWQFe9X5WcL6x_PM85" TargetMode="External"/><Relationship Id="rId610" Type="http://schemas.openxmlformats.org/officeDocument/2006/relationships/hyperlink" Target="https://drive.google.com/file/d/1lTbQomm9RfEWA-Dh45RDtf-QpNh982Z9/view?usp=drivesdk" TargetMode="External"/><Relationship Id="rId617" Type="http://schemas.openxmlformats.org/officeDocument/2006/relationships/hyperlink" Target="https://lh5.googleusercontent.com/d/1O700DKnRynn771ok6ngdWiBSMcNmvuaY" TargetMode="External"/><Relationship Id="rId616" Type="http://schemas.openxmlformats.org/officeDocument/2006/relationships/hyperlink" Target="https://drive.google.com/file/d/1Hy9CsnjiJrUbQktX63BEZHSwqUHSDF88/view?usp=drivesdk" TargetMode="External"/><Relationship Id="rId615" Type="http://schemas.openxmlformats.org/officeDocument/2006/relationships/hyperlink" Target="https://lh5.googleusercontent.com/d/1BuLrNxg7KnhuBKWRVafGgNSuGsoMmyfH" TargetMode="External"/><Relationship Id="rId614" Type="http://schemas.openxmlformats.org/officeDocument/2006/relationships/hyperlink" Target="https://drive.google.com/file/d/1rsJNz92734-Bevl_dbb3q0OjFSJduYwB/view?usp=drivesdk" TargetMode="External"/><Relationship Id="rId1440" Type="http://schemas.openxmlformats.org/officeDocument/2006/relationships/hyperlink" Target="https://lh5.googleusercontent.com/d/1v4XZMPMJurEAAirDH1LUBBmefYfibrFM" TargetMode="External"/><Relationship Id="rId1441" Type="http://schemas.openxmlformats.org/officeDocument/2006/relationships/hyperlink" Target="https://drive.google.com/file/d/1yFTUoxq47vpESKDjib-Y56M1S5CQ8P8M/view?usp=drivesdk" TargetMode="External"/><Relationship Id="rId1442" Type="http://schemas.openxmlformats.org/officeDocument/2006/relationships/hyperlink" Target="https://lh5.googleusercontent.com/d/1HbjmUEQ4kLD-lZ0W_zlyKJkqb6CVuF7Q" TargetMode="External"/><Relationship Id="rId1443" Type="http://schemas.openxmlformats.org/officeDocument/2006/relationships/hyperlink" Target="https://drive.google.com/file/d/1Ht36vfhT336_c_FazUX1nSQ38s_9SCUq/view?usp=drivesdk" TargetMode="External"/><Relationship Id="rId1477" Type="http://schemas.openxmlformats.org/officeDocument/2006/relationships/hyperlink" Target="https://drive.google.com/file/d/19FDcrW-64E_DU1PVzFh56D-wWB81KRxU/view?usp=drivesdk" TargetMode="External"/><Relationship Id="rId1478" Type="http://schemas.openxmlformats.org/officeDocument/2006/relationships/hyperlink" Target="https://lh5.googleusercontent.com/d/1FNsO6oDyHWRoUJEcKR-S4BS40BF6jl6_" TargetMode="External"/><Relationship Id="rId1479" Type="http://schemas.openxmlformats.org/officeDocument/2006/relationships/hyperlink" Target="https://drive.google.com/file/d/19NRE2_spCCK0BJMkz2xAVaVDXD9W0MiZ/view?usp=drivesdk" TargetMode="External"/><Relationship Id="rId646" Type="http://schemas.openxmlformats.org/officeDocument/2006/relationships/hyperlink" Target="https://drive.google.com/file/d/1Y6_GmnW7dNgSH5zEnvJSYt3SYCrHMleN/view?usp=drivesdk" TargetMode="External"/><Relationship Id="rId645" Type="http://schemas.openxmlformats.org/officeDocument/2006/relationships/hyperlink" Target="https://lh5.googleusercontent.com/d/1yuxCGJIWwTnkgMRooHMAfSHj2FN4rino" TargetMode="External"/><Relationship Id="rId644" Type="http://schemas.openxmlformats.org/officeDocument/2006/relationships/hyperlink" Target="https://drive.google.com/file/d/1V_xvMTwC7vVYTCkh2zoMh5MZu2Gcya5U/view?usp=drivesdk" TargetMode="External"/><Relationship Id="rId643" Type="http://schemas.openxmlformats.org/officeDocument/2006/relationships/hyperlink" Target="https://lh5.googleusercontent.com/d/1G6-xT7u1bVJ53WnT1czcMrU8tN2dnejK" TargetMode="External"/><Relationship Id="rId649" Type="http://schemas.openxmlformats.org/officeDocument/2006/relationships/hyperlink" Target="https://lh5.googleusercontent.com/d/1nuemi20ys9Nw0NWy7wK6iji3cV9Wrog6" TargetMode="External"/><Relationship Id="rId648" Type="http://schemas.openxmlformats.org/officeDocument/2006/relationships/hyperlink" Target="https://drive.google.com/file/d/1W6AB7zXpF4gcxKl0c2YUeapgqt5LMevs/view?usp=drivesdk" TargetMode="External"/><Relationship Id="rId647" Type="http://schemas.openxmlformats.org/officeDocument/2006/relationships/hyperlink" Target="https://lh5.googleusercontent.com/d/1V3HmkyniVNjlhOjVin4dG5vnxcsjif_w" TargetMode="External"/><Relationship Id="rId1470" Type="http://schemas.openxmlformats.org/officeDocument/2006/relationships/hyperlink" Target="https://lh5.googleusercontent.com/d/19b3CGoIwyEG3Ll5fPITkvAEDBADQ5S2F" TargetMode="External"/><Relationship Id="rId1471" Type="http://schemas.openxmlformats.org/officeDocument/2006/relationships/hyperlink" Target="https://drive.google.com/file/d/1FpZOWMX6YflARDVVGGvPiL2EnZMFyINh/view?usp=drivesdk" TargetMode="External"/><Relationship Id="rId1472" Type="http://schemas.openxmlformats.org/officeDocument/2006/relationships/hyperlink" Target="https://lh5.googleusercontent.com/d/1O-lKknwJcUf8uIfqftApcaHwD5z_tGzt" TargetMode="External"/><Relationship Id="rId642" Type="http://schemas.openxmlformats.org/officeDocument/2006/relationships/hyperlink" Target="https://drive.google.com/file/d/1L7IAuYuySHVH0ZcrK1CBBbnUfmT3M9Q0/view?usp=drivesdk" TargetMode="External"/><Relationship Id="rId1473" Type="http://schemas.openxmlformats.org/officeDocument/2006/relationships/hyperlink" Target="https://drive.google.com/file/d/14lrEHE4sdHzS5o7KM4AX2jIfBbCUUWwG/view?usp=drivesdk" TargetMode="External"/><Relationship Id="rId641" Type="http://schemas.openxmlformats.org/officeDocument/2006/relationships/hyperlink" Target="https://lh5.googleusercontent.com/d/1uvyIH39gSRJ4hXhgI9B1Z9WQD_VJEAmi" TargetMode="External"/><Relationship Id="rId1474" Type="http://schemas.openxmlformats.org/officeDocument/2006/relationships/hyperlink" Target="https://lh5.googleusercontent.com/d/12_r8MouoLAz39GrUa9XoBsKdTrOz2lrt" TargetMode="External"/><Relationship Id="rId640" Type="http://schemas.openxmlformats.org/officeDocument/2006/relationships/hyperlink" Target="https://drive.google.com/file/d/1oxHWDlJdf1hyYoMN-lQePrjV3sbY5kya/view?usp=drivesdk" TargetMode="External"/><Relationship Id="rId1475" Type="http://schemas.openxmlformats.org/officeDocument/2006/relationships/hyperlink" Target="https://drive.google.com/file/d/1EMnS4Ok8JPD4dEUN2bz2y_ooIXqpQS9B/view?usp=drivesdk" TargetMode="External"/><Relationship Id="rId1476" Type="http://schemas.openxmlformats.org/officeDocument/2006/relationships/hyperlink" Target="https://lh5.googleusercontent.com/d/1LZ5SEZ9CqJvOQlm271sGX-bhKVlNboNh" TargetMode="External"/><Relationship Id="rId1466" Type="http://schemas.openxmlformats.org/officeDocument/2006/relationships/hyperlink" Target="https://lh5.googleusercontent.com/d/13-XCoFajQOiqkxOb5MtjNVSsXbTI39SW" TargetMode="External"/><Relationship Id="rId1467" Type="http://schemas.openxmlformats.org/officeDocument/2006/relationships/hyperlink" Target="https://drive.google.com/file/d/1MCU1qI7XcEqkNIAKtqIO3U_IvE3sp9SZ/view?usp=drivesdk" TargetMode="External"/><Relationship Id="rId1468" Type="http://schemas.openxmlformats.org/officeDocument/2006/relationships/hyperlink" Target="https://lh5.googleusercontent.com/d/1FT9EFdBQJo6dF3uaOGormYLjg11zmV1j" TargetMode="External"/><Relationship Id="rId1469" Type="http://schemas.openxmlformats.org/officeDocument/2006/relationships/hyperlink" Target="https://drive.google.com/file/d/1sj1ZLybk5VRD6CkzIV1MQL5tS6FtLL6y/view?usp=drivesdk" TargetMode="External"/><Relationship Id="rId635" Type="http://schemas.openxmlformats.org/officeDocument/2006/relationships/hyperlink" Target="https://lh5.googleusercontent.com/d/1sW32eyTQjvyoQY_oN5D_PABkwFJ6lgmJ" TargetMode="External"/><Relationship Id="rId634" Type="http://schemas.openxmlformats.org/officeDocument/2006/relationships/hyperlink" Target="https://drive.google.com/file/d/1pkgp2tyjHTtgZZtrlKnLAF71AU_3Ciq_/view?usp=drivesdk" TargetMode="External"/><Relationship Id="rId633" Type="http://schemas.openxmlformats.org/officeDocument/2006/relationships/hyperlink" Target="https://lh5.googleusercontent.com/d/1DTYB6RHYnliNaNcTdGMI7IMf6vsD-1s5" TargetMode="External"/><Relationship Id="rId632" Type="http://schemas.openxmlformats.org/officeDocument/2006/relationships/hyperlink" Target="https://drive.google.com/file/d/1WBK4eSksBQ_gGRyTjhzEi10rNLBc_PvA/view?usp=drivesdk" TargetMode="External"/><Relationship Id="rId639" Type="http://schemas.openxmlformats.org/officeDocument/2006/relationships/hyperlink" Target="https://lh5.googleusercontent.com/d/1DrnTyJrKJeCL2igd5gcbp09vgzwE-qVh" TargetMode="External"/><Relationship Id="rId638" Type="http://schemas.openxmlformats.org/officeDocument/2006/relationships/hyperlink" Target="https://drive.google.com/file/d/1mMxnLxMDMCE9qeOJhM-6tw1ZPNZlMuP6/view?usp=drivesdk" TargetMode="External"/><Relationship Id="rId637" Type="http://schemas.openxmlformats.org/officeDocument/2006/relationships/hyperlink" Target="https://lh5.googleusercontent.com/d/11OprIm5Eh-oalT44QtwZMO4tgxjJS0Ic" TargetMode="External"/><Relationship Id="rId636" Type="http://schemas.openxmlformats.org/officeDocument/2006/relationships/hyperlink" Target="https://drive.google.com/file/d/1PjKU3UQ7ilm4EOrxAYwJ6LDRfd-0-dSO/view?usp=drivesdk" TargetMode="External"/><Relationship Id="rId1460" Type="http://schemas.openxmlformats.org/officeDocument/2006/relationships/hyperlink" Target="https://lh5.googleusercontent.com/d/17QgpKDm3dHXgC5YdJ2VG7lkkgYfd7sxy" TargetMode="External"/><Relationship Id="rId1461" Type="http://schemas.openxmlformats.org/officeDocument/2006/relationships/hyperlink" Target="https://drive.google.com/file/d/1ndkEGdBCsNOB0yR7RL6KA8Yb8YH9fBwb/view?usp=drivesdk" TargetMode="External"/><Relationship Id="rId631" Type="http://schemas.openxmlformats.org/officeDocument/2006/relationships/hyperlink" Target="https://lh5.googleusercontent.com/d/1lVxEnId39eSymjpLQ89S-EjGsXOZy6uh" TargetMode="External"/><Relationship Id="rId1462" Type="http://schemas.openxmlformats.org/officeDocument/2006/relationships/hyperlink" Target="https://lh5.googleusercontent.com/d/1V2cUPzTXU_SnLzr-ysBH3NzlxA28A7C4" TargetMode="External"/><Relationship Id="rId630" Type="http://schemas.openxmlformats.org/officeDocument/2006/relationships/hyperlink" Target="https://drive.google.com/file/d/1tF27o8HXvXxTkpqf3JdT5a_hfkBu6QTC/view?usp=drivesdk" TargetMode="External"/><Relationship Id="rId1463" Type="http://schemas.openxmlformats.org/officeDocument/2006/relationships/hyperlink" Target="https://drive.google.com/file/d/13cQ8ybeurI0nxSEmMYbwLhnMSH_f6lJT/view?usp=drivesdk" TargetMode="External"/><Relationship Id="rId1464" Type="http://schemas.openxmlformats.org/officeDocument/2006/relationships/hyperlink" Target="https://lh5.googleusercontent.com/d/1YJGCuZkHFZ5TDrPwwfp8zl2FGSCQp0rZ" TargetMode="External"/><Relationship Id="rId1465" Type="http://schemas.openxmlformats.org/officeDocument/2006/relationships/hyperlink" Target="https://drive.google.com/file/d/1bPc_TqzUHyWcwVgJhyw17MIaOixOPhX7/view?usp=drivesdk" TargetMode="External"/><Relationship Id="rId1411" Type="http://schemas.openxmlformats.org/officeDocument/2006/relationships/hyperlink" Target="https://drive.google.com/file/d/1ouqO-3Mq55QsBsFmwB9w2NCJmFrqp_TZ/view?usp=drivesdk" TargetMode="External"/><Relationship Id="rId1412" Type="http://schemas.openxmlformats.org/officeDocument/2006/relationships/hyperlink" Target="https://lh5.googleusercontent.com/d/1u_6huERRaqCxN1fUcDErjuZODbJEp6np" TargetMode="External"/><Relationship Id="rId1413" Type="http://schemas.openxmlformats.org/officeDocument/2006/relationships/hyperlink" Target="https://drive.google.com/file/d/1wL2XDWEeEiW55K4lSklFt1l2z9fPsIGt/view?usp=drivesdk" TargetMode="External"/><Relationship Id="rId1414" Type="http://schemas.openxmlformats.org/officeDocument/2006/relationships/hyperlink" Target="https://lh5.googleusercontent.com/d/1yyIXoaRsDAuA7eo0PPNag_FTLX_oZK4p" TargetMode="External"/><Relationship Id="rId1415" Type="http://schemas.openxmlformats.org/officeDocument/2006/relationships/hyperlink" Target="https://drive.google.com/file/d/1izoeoEIoSQv5UxmYLy2pKX-YXghdl_1S/view?usp=drivesdk" TargetMode="External"/><Relationship Id="rId1416" Type="http://schemas.openxmlformats.org/officeDocument/2006/relationships/hyperlink" Target="https://lh5.googleusercontent.com/d/1arb7kZ5XfzMCTv6GXNmEtcbmofy-vvDc" TargetMode="External"/><Relationship Id="rId1417" Type="http://schemas.openxmlformats.org/officeDocument/2006/relationships/hyperlink" Target="https://drive.google.com/file/d/1kaw0uqhLyOExiFLYJCwDoOYLpXrSL1R2/view?usp=drivesdk" TargetMode="External"/><Relationship Id="rId1418" Type="http://schemas.openxmlformats.org/officeDocument/2006/relationships/hyperlink" Target="https://lh5.googleusercontent.com/d/1CiSi4isflCwwjHgNvAj_LXkWZO2TQGwD" TargetMode="External"/><Relationship Id="rId1419" Type="http://schemas.openxmlformats.org/officeDocument/2006/relationships/hyperlink" Target="https://drive.google.com/file/d/1dR6IAb7CBj9hUeItrh73J1he4Bz3AlAf/view?usp=drivesdk" TargetMode="External"/><Relationship Id="rId1410" Type="http://schemas.openxmlformats.org/officeDocument/2006/relationships/hyperlink" Target="https://lh5.googleusercontent.com/d/1CHUs8wgjWrW-Ph1myI13OSk87Q3X5gwt" TargetMode="External"/><Relationship Id="rId1400" Type="http://schemas.openxmlformats.org/officeDocument/2006/relationships/hyperlink" Target="https://lh5.googleusercontent.com/d/16RQR1qVc69zzmww77l93G7hq0lAU1MHg" TargetMode="External"/><Relationship Id="rId1401" Type="http://schemas.openxmlformats.org/officeDocument/2006/relationships/hyperlink" Target="https://drive.google.com/file/d/1Rdo8BiG2vS-DGzxco5q1VaLgdbLEUoYd/view?usp=drivesdk" TargetMode="External"/><Relationship Id="rId1402" Type="http://schemas.openxmlformats.org/officeDocument/2006/relationships/hyperlink" Target="https://lh5.googleusercontent.com/d/1oOTG9WQPC9HpLmPQSU9BsvPKIo6r3yh_" TargetMode="External"/><Relationship Id="rId1403" Type="http://schemas.openxmlformats.org/officeDocument/2006/relationships/hyperlink" Target="https://drive.google.com/file/d/19SgYpWmXc3YbYp4ekpCC4PSIu6KSqPxz/view?usp=drivesdk" TargetMode="External"/><Relationship Id="rId1404" Type="http://schemas.openxmlformats.org/officeDocument/2006/relationships/hyperlink" Target="https://lh5.googleusercontent.com/d/1bs94eYSKxCPl36MOHP1nqgiUqhPQ1qTN" TargetMode="External"/><Relationship Id="rId1405" Type="http://schemas.openxmlformats.org/officeDocument/2006/relationships/hyperlink" Target="https://drive.google.com/file/d/1aQkDI0u27ZFvQZCKwDp1kWaLu-EJOZSp/view?usp=drivesdk" TargetMode="External"/><Relationship Id="rId1406" Type="http://schemas.openxmlformats.org/officeDocument/2006/relationships/hyperlink" Target="https://lh5.googleusercontent.com/d/1E-1SV1XwyvfkG9vo-5f_NJ7szKWzt2Jt" TargetMode="External"/><Relationship Id="rId1407" Type="http://schemas.openxmlformats.org/officeDocument/2006/relationships/hyperlink" Target="https://drive.google.com/file/d/1ieKRET3eipOGAHxK2eCQKsDIHzhkr_1m/view?usp=drivesdk" TargetMode="External"/><Relationship Id="rId1408" Type="http://schemas.openxmlformats.org/officeDocument/2006/relationships/hyperlink" Target="https://lh5.googleusercontent.com/d/17jtoqCbTlGGHzV7Wl_31ZQg3B2MgWj16" TargetMode="External"/><Relationship Id="rId1409" Type="http://schemas.openxmlformats.org/officeDocument/2006/relationships/hyperlink" Target="https://drive.google.com/file/d/1tBH5dftsQS7OcoKsfKWJz_vWfbf0PDTF/view?usp=drivesdk" TargetMode="External"/><Relationship Id="rId1433" Type="http://schemas.openxmlformats.org/officeDocument/2006/relationships/hyperlink" Target="https://drive.google.com/file/d/1F9wpap_DbFTPNVKbURAjTNXwCmx0bJmF/view?usp=drivesdk" TargetMode="External"/><Relationship Id="rId1434" Type="http://schemas.openxmlformats.org/officeDocument/2006/relationships/hyperlink" Target="https://lh5.googleusercontent.com/d/1DHjVkMBADJvDn_pxnILFwCgsr9QxhrKF" TargetMode="External"/><Relationship Id="rId1435" Type="http://schemas.openxmlformats.org/officeDocument/2006/relationships/hyperlink" Target="https://drive.google.com/file/d/1GG_fz0ezf1Jr8Hxa3A_DmJ2Eg5DGBKdN/view?usp=drivesdk" TargetMode="External"/><Relationship Id="rId1436" Type="http://schemas.openxmlformats.org/officeDocument/2006/relationships/hyperlink" Target="https://lh5.googleusercontent.com/d/1YB1Fo8Ac3HAufxavPCN1xmDLTEKplsG6" TargetMode="External"/><Relationship Id="rId1437" Type="http://schemas.openxmlformats.org/officeDocument/2006/relationships/hyperlink" Target="https://drive.google.com/file/d/11C4UH-0nf-EulmEEsxMXUQ-0nQUHM9yg/view?usp=drivesdk" TargetMode="External"/><Relationship Id="rId1438" Type="http://schemas.openxmlformats.org/officeDocument/2006/relationships/hyperlink" Target="https://lh5.googleusercontent.com/d/1VUdJBOCLDwLpCkat5kfEwhGgO_9l7H63" TargetMode="External"/><Relationship Id="rId1439" Type="http://schemas.openxmlformats.org/officeDocument/2006/relationships/hyperlink" Target="https://drive.google.com/file/d/18hJzTuWMt6znRgIj6xB_eA4I1WmpxMWg/view?usp=drivesdk" TargetMode="External"/><Relationship Id="rId609" Type="http://schemas.openxmlformats.org/officeDocument/2006/relationships/hyperlink" Target="https://lh5.googleusercontent.com/d/1JlT4SEXcKT1m8vNDtGNw-peVlBrCIdi8" TargetMode="External"/><Relationship Id="rId608" Type="http://schemas.openxmlformats.org/officeDocument/2006/relationships/hyperlink" Target="https://drive.google.com/file/d/1_jNFhkomYcX9Uxm_fxnSsFlxkPvHDLyQ/view?usp=drivesdk" TargetMode="External"/><Relationship Id="rId607" Type="http://schemas.openxmlformats.org/officeDocument/2006/relationships/hyperlink" Target="https://lh5.googleusercontent.com/d/1BQzznD_v8NEGGeCovSgm3G-1KLLOgW79" TargetMode="External"/><Relationship Id="rId602" Type="http://schemas.openxmlformats.org/officeDocument/2006/relationships/hyperlink" Target="https://drive.google.com/file/d/1t0lSWd0VfNfM_q0MKL1dDnerAmvI2LxP/view?usp=drivesdk" TargetMode="External"/><Relationship Id="rId601" Type="http://schemas.openxmlformats.org/officeDocument/2006/relationships/hyperlink" Target="https://lh5.googleusercontent.com/d/1z6nmxlxKiUWoChJ3MILt1cCkpftpgncR" TargetMode="External"/><Relationship Id="rId600" Type="http://schemas.openxmlformats.org/officeDocument/2006/relationships/hyperlink" Target="https://drive.google.com/file/d/1nKm-reiVL-5P-PhGBXPCTgaCrbgYxFZs/view?usp=drivesdk" TargetMode="External"/><Relationship Id="rId606" Type="http://schemas.openxmlformats.org/officeDocument/2006/relationships/hyperlink" Target="https://drive.google.com/file/d/1js7R-q4GEdyYa9b-h8UU0jydR2cDJb8x/view?usp=drivesdk" TargetMode="External"/><Relationship Id="rId605" Type="http://schemas.openxmlformats.org/officeDocument/2006/relationships/hyperlink" Target="https://lh5.googleusercontent.com/d/13cwDmpJG7tyrHUevlBW-G5osT-cObTpV" TargetMode="External"/><Relationship Id="rId604" Type="http://schemas.openxmlformats.org/officeDocument/2006/relationships/hyperlink" Target="https://drive.google.com/file/d/1jOTucBIQs6775MWv2n2Qn_I2Bdx9rV95/view?usp=drivesdk" TargetMode="External"/><Relationship Id="rId603" Type="http://schemas.openxmlformats.org/officeDocument/2006/relationships/hyperlink" Target="https://lh5.googleusercontent.com/d/1B_c41Zf_idGzbZ6yY1-gzkH4jhsTCLRy" TargetMode="External"/><Relationship Id="rId1430" Type="http://schemas.openxmlformats.org/officeDocument/2006/relationships/hyperlink" Target="https://lh5.googleusercontent.com/d/1kCIWYDBtH1ZrKKJQCk427c308Ye6nJIT" TargetMode="External"/><Relationship Id="rId1431" Type="http://schemas.openxmlformats.org/officeDocument/2006/relationships/hyperlink" Target="https://drive.google.com/file/d/1kYdQalaaKloaP7q7DUPw-VfobiCb8suP/view?usp=drivesdk" TargetMode="External"/><Relationship Id="rId1432" Type="http://schemas.openxmlformats.org/officeDocument/2006/relationships/hyperlink" Target="https://lh5.googleusercontent.com/d/1Jcvsx8HTEIU9AyaPf79IZXCHWCkkdt9g" TargetMode="External"/><Relationship Id="rId1422" Type="http://schemas.openxmlformats.org/officeDocument/2006/relationships/hyperlink" Target="https://lh5.googleusercontent.com/d/1wMVK0jnJkf9PX53wOCqdzrqUfEOWXfpW" TargetMode="External"/><Relationship Id="rId1423" Type="http://schemas.openxmlformats.org/officeDocument/2006/relationships/hyperlink" Target="https://drive.google.com/file/d/1BdPWVzkH6CaAAC1a0jftT-0QXgHyQ3W7/view?usp=drivesdk" TargetMode="External"/><Relationship Id="rId1424" Type="http://schemas.openxmlformats.org/officeDocument/2006/relationships/hyperlink" Target="https://lh5.googleusercontent.com/d/1Rq7-1HEyP7yIhlzjK4o0OvOJX1HhgbYL" TargetMode="External"/><Relationship Id="rId1425" Type="http://schemas.openxmlformats.org/officeDocument/2006/relationships/hyperlink" Target="https://drive.google.com/file/d/1ZLuEBer-DpZe-hC81PBmt0OcJqO-fyqI/view?usp=drivesdk" TargetMode="External"/><Relationship Id="rId1426" Type="http://schemas.openxmlformats.org/officeDocument/2006/relationships/hyperlink" Target="https://lh5.googleusercontent.com/d/1J0wqRhl28CQNtuvmranpxnc6WwuOeYr7" TargetMode="External"/><Relationship Id="rId1427" Type="http://schemas.openxmlformats.org/officeDocument/2006/relationships/hyperlink" Target="https://drive.google.com/file/d/1YVgJA3ciRcS1LRAWLI_hwtyq-uamQUkI/view?usp=drivesdk" TargetMode="External"/><Relationship Id="rId1428" Type="http://schemas.openxmlformats.org/officeDocument/2006/relationships/hyperlink" Target="https://lh5.googleusercontent.com/d/1tpWXOEwpRBV7_MnQ2Ifx85GKjLgTMX0i" TargetMode="External"/><Relationship Id="rId1429" Type="http://schemas.openxmlformats.org/officeDocument/2006/relationships/hyperlink" Target="https://drive.google.com/file/d/1HoCfIyk8iDrHyqmcVC5PO28HNsLR_uc2/view?usp=drivesdk" TargetMode="External"/><Relationship Id="rId1420" Type="http://schemas.openxmlformats.org/officeDocument/2006/relationships/hyperlink" Target="https://lh5.googleusercontent.com/d/14ubF5nQHdQFhz0BsZDgFaSvFIlx6kVIE" TargetMode="External"/><Relationship Id="rId1421" Type="http://schemas.openxmlformats.org/officeDocument/2006/relationships/hyperlink" Target="https://drive.google.com/file/d/1sAIY8UOlQm3uUsL_zTKr7Lvra8RsY0Mu/view?usp=drivesdk" TargetMode="External"/><Relationship Id="rId699" Type="http://schemas.openxmlformats.org/officeDocument/2006/relationships/hyperlink" Target="https://drive.google.com/file/d/1EgxyS0P6YZRQIvOwEwVNvzUlBkwkpdnm/view?usp=drivesdk" TargetMode="External"/><Relationship Id="rId698" Type="http://schemas.openxmlformats.org/officeDocument/2006/relationships/hyperlink" Target="https://lh5.googleusercontent.com/d/1T01N-kr3CUG4G8442iE3PEMRyl6oVKXH" TargetMode="External"/><Relationship Id="rId693" Type="http://schemas.openxmlformats.org/officeDocument/2006/relationships/hyperlink" Target="https://drive.google.com/file/d/1Xt88P5pOeuqtFITXa7H7lQND1tyEStCp/view?usp=drivesdk" TargetMode="External"/><Relationship Id="rId692" Type="http://schemas.openxmlformats.org/officeDocument/2006/relationships/hyperlink" Target="https://lh5.googleusercontent.com/d/1nlbe9JkWwW8IB7LltMkE4jaEsqwFcQzP" TargetMode="External"/><Relationship Id="rId691" Type="http://schemas.openxmlformats.org/officeDocument/2006/relationships/hyperlink" Target="https://drive.google.com/file/d/1xcEFVnsD1D1c0UmG-VCdyHB1qFDQwvmj/view?usp=drivesdk" TargetMode="External"/><Relationship Id="rId690" Type="http://schemas.openxmlformats.org/officeDocument/2006/relationships/hyperlink" Target="https://lh5.googleusercontent.com/d/1M-U_h399N7IJ7GFH11eashTjCU-KldLG" TargetMode="External"/><Relationship Id="rId697" Type="http://schemas.openxmlformats.org/officeDocument/2006/relationships/hyperlink" Target="https://drive.google.com/file/d/18gqpd2KlAw7P-BWwtn_opS3NYn4ZRnBy/view?usp=drivesdk" TargetMode="External"/><Relationship Id="rId696" Type="http://schemas.openxmlformats.org/officeDocument/2006/relationships/hyperlink" Target="https://lh5.googleusercontent.com/d/1Ys39rQH_sal5HG-qLBFyHupaS_xDyegz" TargetMode="External"/><Relationship Id="rId695" Type="http://schemas.openxmlformats.org/officeDocument/2006/relationships/hyperlink" Target="https://drive.google.com/file/d/1fj38zQ4JFiFmCk3jens_nxCW_ozyaZhC/view?usp=drivesdk" TargetMode="External"/><Relationship Id="rId694" Type="http://schemas.openxmlformats.org/officeDocument/2006/relationships/hyperlink" Target="https://lh5.googleusercontent.com/d/14Lc5huX-ltbMxqnzEgRuqvsUcAf8JbP2" TargetMode="External"/><Relationship Id="rId1499" Type="http://schemas.openxmlformats.org/officeDocument/2006/relationships/hyperlink" Target="https://drive.google.com/file/d/1k9pyUga9yVwJwGEBy636uH_b_44p_ydh/view?usp=drivesdk" TargetMode="External"/><Relationship Id="rId668" Type="http://schemas.openxmlformats.org/officeDocument/2006/relationships/hyperlink" Target="https://drive.google.com/file/d/17Q-HhlhvR3Yw16PIFHyRlgdTmoj7uT7b/view?usp=drivesdk" TargetMode="External"/><Relationship Id="rId667" Type="http://schemas.openxmlformats.org/officeDocument/2006/relationships/hyperlink" Target="https://lh5.googleusercontent.com/d/1QlytoyxIcvSrZtDVXfpPwz5Phl5W5HDT" TargetMode="External"/><Relationship Id="rId666" Type="http://schemas.openxmlformats.org/officeDocument/2006/relationships/hyperlink" Target="https://drive.google.com/file/d/1gG1bVOnJ8wklb3n3DEWWasvoWyZJue_O/view?usp=drivesdk" TargetMode="External"/><Relationship Id="rId665" Type="http://schemas.openxmlformats.org/officeDocument/2006/relationships/hyperlink" Target="https://lh5.googleusercontent.com/d/16hSqlrti2Qad5QN8xgPvBwvstLXOTK8E" TargetMode="External"/><Relationship Id="rId669" Type="http://schemas.openxmlformats.org/officeDocument/2006/relationships/hyperlink" Target="https://lh5.googleusercontent.com/d/1tnqPQ2CZLBmlr6sogRhTEkesYftj1eKK" TargetMode="External"/><Relationship Id="rId1490" Type="http://schemas.openxmlformats.org/officeDocument/2006/relationships/hyperlink" Target="https://lh5.googleusercontent.com/d/1MPK3J1eyZG1mru4FmTUux-t8gnrjns_4" TargetMode="External"/><Relationship Id="rId660" Type="http://schemas.openxmlformats.org/officeDocument/2006/relationships/hyperlink" Target="https://drive.google.com/file/d/1Vkz2dKazDHWaIwn3Q7Ayz2VoqK9WIzTm/view?usp=drivesdk" TargetMode="External"/><Relationship Id="rId1491" Type="http://schemas.openxmlformats.org/officeDocument/2006/relationships/hyperlink" Target="https://drive.google.com/file/d/1VYe9BCgJKDJTZT7mpuJwIXuaJvXvrjXU/view?usp=drivesdk" TargetMode="External"/><Relationship Id="rId1492" Type="http://schemas.openxmlformats.org/officeDocument/2006/relationships/hyperlink" Target="https://lh5.googleusercontent.com/d/1uOcbMB-YPYV7SI1WntQLet_M1DeFOoM_" TargetMode="External"/><Relationship Id="rId1493" Type="http://schemas.openxmlformats.org/officeDocument/2006/relationships/hyperlink" Target="https://drive.google.com/file/d/1VgPsdWWn93ESzeS5Mibhwug28S1gz2rk/view?usp=drivesdk" TargetMode="External"/><Relationship Id="rId1494" Type="http://schemas.openxmlformats.org/officeDocument/2006/relationships/hyperlink" Target="https://lh5.googleusercontent.com/d/1Yky3bHUzStg6ArdpA0XPE1AX8QRYJXAA" TargetMode="External"/><Relationship Id="rId664" Type="http://schemas.openxmlformats.org/officeDocument/2006/relationships/hyperlink" Target="https://drive.google.com/file/d/1fHT1r8gQWCfBDmyZTNLOh5oxRlIX5IbF/view?usp=drivesdk" TargetMode="External"/><Relationship Id="rId1495" Type="http://schemas.openxmlformats.org/officeDocument/2006/relationships/hyperlink" Target="https://drive.google.com/file/d/1hgA1IRNlm9XXqHj3PlhccyJU4nXweAeK/view?usp=drivesdk" TargetMode="External"/><Relationship Id="rId663" Type="http://schemas.openxmlformats.org/officeDocument/2006/relationships/hyperlink" Target="https://lh5.googleusercontent.com/d/1xOd8bik_YACQYJcy55CGKmS1seKGfQqR" TargetMode="External"/><Relationship Id="rId1496" Type="http://schemas.openxmlformats.org/officeDocument/2006/relationships/hyperlink" Target="https://lh5.googleusercontent.com/d/1foXA0g0xDYrhKJbjOy7qWp62TYARevfJ" TargetMode="External"/><Relationship Id="rId662" Type="http://schemas.openxmlformats.org/officeDocument/2006/relationships/hyperlink" Target="https://drive.google.com/file/d/1LxKBoPdTI3zDIlabszl8t_PvSgD3EgAm/view?usp=drivesdk" TargetMode="External"/><Relationship Id="rId1497" Type="http://schemas.openxmlformats.org/officeDocument/2006/relationships/hyperlink" Target="https://drive.google.com/file/d/1hn6JKZbNTM2oTqOSm258suNUCbIB3K-W/view?usp=drivesdk" TargetMode="External"/><Relationship Id="rId661" Type="http://schemas.openxmlformats.org/officeDocument/2006/relationships/hyperlink" Target="https://lh5.googleusercontent.com/d/1qjRnOm729hIC5CadvlhfMs9JAQhxPmj6" TargetMode="External"/><Relationship Id="rId1498" Type="http://schemas.openxmlformats.org/officeDocument/2006/relationships/hyperlink" Target="https://lh5.googleusercontent.com/d/1ziypGe_MJzoWS-w0qrmyxHDfaOGe_gjr" TargetMode="External"/><Relationship Id="rId1488" Type="http://schemas.openxmlformats.org/officeDocument/2006/relationships/hyperlink" Target="https://lh5.googleusercontent.com/d/1_ZpTEeM8zoRQAW-nhxj7xPmORlAw_Hnm" TargetMode="External"/><Relationship Id="rId1489" Type="http://schemas.openxmlformats.org/officeDocument/2006/relationships/hyperlink" Target="https://drive.google.com/file/d/1Z46_nmEl4gxz4poLROwFMtCF5ogE23Ui/view?usp=drivesdk" TargetMode="External"/><Relationship Id="rId657" Type="http://schemas.openxmlformats.org/officeDocument/2006/relationships/hyperlink" Target="https://lh5.googleusercontent.com/d/1zqBg31l5ECIKi1Uikos2CE39Dkg-CCEA" TargetMode="External"/><Relationship Id="rId656" Type="http://schemas.openxmlformats.org/officeDocument/2006/relationships/hyperlink" Target="https://drive.google.com/file/d/1msUb9BeOq5XXlrWA0gkC60Di1CE8T2Lh/view?usp=drivesdk" TargetMode="External"/><Relationship Id="rId655" Type="http://schemas.openxmlformats.org/officeDocument/2006/relationships/hyperlink" Target="https://lh5.googleusercontent.com/d/17NNCMTDB798vaP0_zSpxyh1RGz0QEvz_" TargetMode="External"/><Relationship Id="rId654" Type="http://schemas.openxmlformats.org/officeDocument/2006/relationships/hyperlink" Target="https://drive.google.com/file/d/1eHl535q7TQXb9vewxYlZocNXgGqrfC7h/view?usp=drivesdk" TargetMode="External"/><Relationship Id="rId659" Type="http://schemas.openxmlformats.org/officeDocument/2006/relationships/hyperlink" Target="https://lh5.googleusercontent.com/d/1h-Yr-CZLfol-porKfXS26RY8-3x7ARDd" TargetMode="External"/><Relationship Id="rId658" Type="http://schemas.openxmlformats.org/officeDocument/2006/relationships/hyperlink" Target="https://drive.google.com/file/d/1wuSZ-VKr5kVhLyAIpxFO3Cx-p61pDboG/view?usp=drivesdk" TargetMode="External"/><Relationship Id="rId1480" Type="http://schemas.openxmlformats.org/officeDocument/2006/relationships/hyperlink" Target="https://lh5.googleusercontent.com/d/1jhEjxKcKu5b7eWN6G5QhNmbfU1ToynzW" TargetMode="External"/><Relationship Id="rId1481" Type="http://schemas.openxmlformats.org/officeDocument/2006/relationships/hyperlink" Target="https://drive.google.com/file/d/1ET4HkuoWZ37zxiRxxrA1kyFI-5a-vtPN/view?usp=drivesdk" TargetMode="External"/><Relationship Id="rId1482" Type="http://schemas.openxmlformats.org/officeDocument/2006/relationships/hyperlink" Target="https://lh5.googleusercontent.com/d/1xmgKLSAZ6Ha5T6iyAVuk2rPt8ryNEuEg" TargetMode="External"/><Relationship Id="rId1483" Type="http://schemas.openxmlformats.org/officeDocument/2006/relationships/hyperlink" Target="https://drive.google.com/file/d/1BhR5S8eXQPO7yDsw-DS7zx2P_SIe8oke/view?usp=drivesdk" TargetMode="External"/><Relationship Id="rId653" Type="http://schemas.openxmlformats.org/officeDocument/2006/relationships/hyperlink" Target="https://lh5.googleusercontent.com/d/13EvnGY4oZ46aYhThSZPTNpFVwJq7Qp7M" TargetMode="External"/><Relationship Id="rId1484" Type="http://schemas.openxmlformats.org/officeDocument/2006/relationships/hyperlink" Target="https://lh5.googleusercontent.com/d/1lPS2VkORip8e6aw4GjnqzvLq_DtK_5pD" TargetMode="External"/><Relationship Id="rId652" Type="http://schemas.openxmlformats.org/officeDocument/2006/relationships/hyperlink" Target="https://drive.google.com/file/d/1S7U0N2XQWuhiX9YkpiIgDc5W1IKGSNfh/view?usp=drivesdk" TargetMode="External"/><Relationship Id="rId1485" Type="http://schemas.openxmlformats.org/officeDocument/2006/relationships/hyperlink" Target="https://drive.google.com/file/d/1yMj5emZgujmzSD8Y6wvZQR7lgi6HMKeB/view?usp=drivesdk" TargetMode="External"/><Relationship Id="rId651" Type="http://schemas.openxmlformats.org/officeDocument/2006/relationships/hyperlink" Target="https://lh5.googleusercontent.com/d/1owC_WNn2tTxrHa2otz4Y0xsZb7jpbG9d" TargetMode="External"/><Relationship Id="rId1486" Type="http://schemas.openxmlformats.org/officeDocument/2006/relationships/hyperlink" Target="https://lh5.googleusercontent.com/d/133J-wQap_gohiC-kBZ8fd0ILDKJF2LkG" TargetMode="External"/><Relationship Id="rId650" Type="http://schemas.openxmlformats.org/officeDocument/2006/relationships/hyperlink" Target="https://drive.google.com/file/d/17aA-_6j8OzdOZbV1eHUL_g9IjIm_tdQO/view?usp=drivesdk" TargetMode="External"/><Relationship Id="rId1487" Type="http://schemas.openxmlformats.org/officeDocument/2006/relationships/hyperlink" Target="https://drive.google.com/file/d/15ewiDcxI_6ykV-YjaADyjqzC7VrltbNX/view?usp=drivesdk" TargetMode="External"/><Relationship Id="rId689" Type="http://schemas.openxmlformats.org/officeDocument/2006/relationships/hyperlink" Target="https://drive.google.com/file/d/1UBT45eWA47Y1DbWlTEyeQ-FL8zSEDe_R/view?usp=drivesdk" TargetMode="External"/><Relationship Id="rId688" Type="http://schemas.openxmlformats.org/officeDocument/2006/relationships/hyperlink" Target="https://lh5.googleusercontent.com/d/1FtLXNhcZx6J0mUnGUcMjk3AoSF4Z2yOp" TargetMode="External"/><Relationship Id="rId687" Type="http://schemas.openxmlformats.org/officeDocument/2006/relationships/hyperlink" Target="https://drive.google.com/file/d/13HSzxwuRHAJOJVYbgWE230pr2NIKKHYG/view?usp=drivesdk" TargetMode="External"/><Relationship Id="rId682" Type="http://schemas.openxmlformats.org/officeDocument/2006/relationships/hyperlink" Target="https://drive.google.com/file/d/1LjxkDlEbdKYqs40gLd_ENZJiy22n1Ol1/view?usp=drivesdk" TargetMode="External"/><Relationship Id="rId681" Type="http://schemas.openxmlformats.org/officeDocument/2006/relationships/hyperlink" Target="https://lh5.googleusercontent.com/d/1fJktdXdjqJWIN1Itmf-bG_6DAndPMcbO" TargetMode="External"/><Relationship Id="rId680" Type="http://schemas.openxmlformats.org/officeDocument/2006/relationships/hyperlink" Target="https://drive.google.com/file/d/1Nx1IDFvC7e1MtbL85AvjGT-3fyuU9Ls8/view?usp=drivesdk" TargetMode="External"/><Relationship Id="rId686" Type="http://schemas.openxmlformats.org/officeDocument/2006/relationships/hyperlink" Target="https://lh5.googleusercontent.com/d/1hZ2QWcVS6AsPXqx5K0ni0iddl-nHapw5" TargetMode="External"/><Relationship Id="rId685" Type="http://schemas.openxmlformats.org/officeDocument/2006/relationships/hyperlink" Target="https://drive.google.com/file/d/1C5M7zIDBGFS3e374eKJW_HAabhVPdr1H/view?usp=drivesdk" TargetMode="External"/><Relationship Id="rId684" Type="http://schemas.openxmlformats.org/officeDocument/2006/relationships/hyperlink" Target="https://lh5.googleusercontent.com/d/1a6gd_Gm_Od08HmRurDZEUpzPZ-w2a5rH" TargetMode="External"/><Relationship Id="rId683" Type="http://schemas.openxmlformats.org/officeDocument/2006/relationships/hyperlink" Target="https://lh5.googleusercontent.com/d/1cr4QYR9lfNF2-tRdEyoMaH0TgBoSDKiI" TargetMode="External"/><Relationship Id="rId679" Type="http://schemas.openxmlformats.org/officeDocument/2006/relationships/hyperlink" Target="https://lh5.googleusercontent.com/d/1OMmNxqGVocCP3j8N_rWfgYSK5XW2qZ7p" TargetMode="External"/><Relationship Id="rId678" Type="http://schemas.openxmlformats.org/officeDocument/2006/relationships/hyperlink" Target="https://drive.google.com/file/d/11KZLu2lMm_g4-Rs2suSjL5UjRl-HyHSi/view?usp=drivesdk" TargetMode="External"/><Relationship Id="rId677" Type="http://schemas.openxmlformats.org/officeDocument/2006/relationships/hyperlink" Target="https://lh5.googleusercontent.com/d/1twL9zUrxzW5a3OkTHdcubnI9LVL6zb1_" TargetMode="External"/><Relationship Id="rId676" Type="http://schemas.openxmlformats.org/officeDocument/2006/relationships/hyperlink" Target="https://drive.google.com/file/d/1luJ8pU4mwVrXCwMj-Q3IwWVKkf7pAXGx/view?usp=drivesdk" TargetMode="External"/><Relationship Id="rId671" Type="http://schemas.openxmlformats.org/officeDocument/2006/relationships/hyperlink" Target="https://lh5.googleusercontent.com/d/1_SH2YUt47qDckatFMJaSEgQmBUPmWdVO" TargetMode="External"/><Relationship Id="rId670" Type="http://schemas.openxmlformats.org/officeDocument/2006/relationships/hyperlink" Target="https://drive.google.com/file/d/16J3jQ2Kj-Ti81MsKazbvG5zJn48piL0E/view?usp=drivesdk" TargetMode="External"/><Relationship Id="rId675" Type="http://schemas.openxmlformats.org/officeDocument/2006/relationships/hyperlink" Target="https://lh5.googleusercontent.com/d/1KFxN-w6CkJ0shJ5C7CKj_oegxMSUmsob" TargetMode="External"/><Relationship Id="rId674" Type="http://schemas.openxmlformats.org/officeDocument/2006/relationships/hyperlink" Target="https://drive.google.com/file/d/1442HJ2m-csqfHgqmGkFz0CZr1SgJayRo/view?usp=drivesdk" TargetMode="External"/><Relationship Id="rId673" Type="http://schemas.openxmlformats.org/officeDocument/2006/relationships/hyperlink" Target="https://lh5.googleusercontent.com/d/1nP5lQHXW9gNCOJGCjrb8YnGzD-ff3mtD" TargetMode="External"/><Relationship Id="rId672" Type="http://schemas.openxmlformats.org/officeDocument/2006/relationships/hyperlink" Target="https://drive.google.com/file/d/14qJC4UcVlGZIB1I6KbmqJB031W2aMJUM/view?usp=drivesdk" TargetMode="External"/><Relationship Id="rId190" Type="http://schemas.openxmlformats.org/officeDocument/2006/relationships/hyperlink" Target="https://drive.google.com/file/d/1uD0E9J84H4eOIyJXCuhvN1uXigNl1g5r/view?usp=drivesdk" TargetMode="External"/><Relationship Id="rId194" Type="http://schemas.openxmlformats.org/officeDocument/2006/relationships/hyperlink" Target="https://drive.google.com/file/d/1t4yWYNWcD9xpDBr7yw-douSvVxCNKbkC/view?usp=drivesdk" TargetMode="External"/><Relationship Id="rId193" Type="http://schemas.openxmlformats.org/officeDocument/2006/relationships/hyperlink" Target="https://lh5.googleusercontent.com/d/1vSmteFngTlwWZ8JZYzB-b4VNNXW1vltk" TargetMode="External"/><Relationship Id="rId192" Type="http://schemas.openxmlformats.org/officeDocument/2006/relationships/hyperlink" Target="https://drive.google.com/file/d/1vxX315NMZHKItXoaZg6HIZXPOCSg991C/view?usp=drivesdk" TargetMode="External"/><Relationship Id="rId191" Type="http://schemas.openxmlformats.org/officeDocument/2006/relationships/hyperlink" Target="https://lh5.googleusercontent.com/d/1GYXm0UK1HJrbnD83afaz0ZYTE_VVJtI5" TargetMode="External"/><Relationship Id="rId187" Type="http://schemas.openxmlformats.org/officeDocument/2006/relationships/hyperlink" Target="https://lh5.googleusercontent.com/d/1jD2FxmTYV5b-jYnkQQ7RfxgBjqjSxB5B" TargetMode="External"/><Relationship Id="rId186" Type="http://schemas.openxmlformats.org/officeDocument/2006/relationships/hyperlink" Target="https://drive.google.com/file/d/1tTLRWfoBxhRCqqlJ10trnzT855Vrrlj0/view?usp=drivesdk" TargetMode="External"/><Relationship Id="rId185" Type="http://schemas.openxmlformats.org/officeDocument/2006/relationships/hyperlink" Target="https://lh5.googleusercontent.com/d/1rMo5JN80P-StmTVLXMFG2YxJrA1XqRrk" TargetMode="External"/><Relationship Id="rId184" Type="http://schemas.openxmlformats.org/officeDocument/2006/relationships/hyperlink" Target="https://drive.google.com/file/d/11oCbIcQv4JcZ7OyRLM0t6ZRd72m5WZKc/view?usp=drivesdk" TargetMode="External"/><Relationship Id="rId189" Type="http://schemas.openxmlformats.org/officeDocument/2006/relationships/hyperlink" Target="https://lh5.googleusercontent.com/d/1fsIkmnMPkQ-f1tjpgjSdHSLAxPDvCgaH" TargetMode="External"/><Relationship Id="rId188" Type="http://schemas.openxmlformats.org/officeDocument/2006/relationships/hyperlink" Target="https://drive.google.com/file/d/1JV1cucEeHeXgnjYPT1fkWNb0-g5LHel-/view?usp=drivesdk" TargetMode="External"/><Relationship Id="rId183" Type="http://schemas.openxmlformats.org/officeDocument/2006/relationships/hyperlink" Target="https://lh5.googleusercontent.com/d/1iPaGZQKJ0rC7BEDx-c1UN0Xm7ynzVVRk" TargetMode="External"/><Relationship Id="rId182" Type="http://schemas.openxmlformats.org/officeDocument/2006/relationships/hyperlink" Target="https://drive.google.com/file/d/1dKo1GCnsxAJjY3Yq2E3-YO6F_9w97R95/view?usp=drivesdk" TargetMode="External"/><Relationship Id="rId181" Type="http://schemas.openxmlformats.org/officeDocument/2006/relationships/hyperlink" Target="https://lh5.googleusercontent.com/d/1vwoeNewFegKldQBP-jXZCjAXUzlf5-oz" TargetMode="External"/><Relationship Id="rId180" Type="http://schemas.openxmlformats.org/officeDocument/2006/relationships/hyperlink" Target="https://drive.google.com/file/d/14VCFI5iVr2fRcL1zPgtUtL5MMdirtBBK/view?usp=drivesdk" TargetMode="External"/><Relationship Id="rId176" Type="http://schemas.openxmlformats.org/officeDocument/2006/relationships/hyperlink" Target="https://drive.google.com/file/d/1_I2oSzULgi8tWOhy3HF-ozCQ1VaiZt2G/view?usp=drivesdk" TargetMode="External"/><Relationship Id="rId175" Type="http://schemas.openxmlformats.org/officeDocument/2006/relationships/hyperlink" Target="https://lh5.googleusercontent.com/d/1xOtR0of6if6bYKYypy9e--DvjDPkmioq" TargetMode="External"/><Relationship Id="rId174" Type="http://schemas.openxmlformats.org/officeDocument/2006/relationships/hyperlink" Target="https://drive.google.com/file/d/1MqJzn2S704WrIJX-uF8Kgj60-uDZSitI/view?usp=drivesdk" TargetMode="External"/><Relationship Id="rId173" Type="http://schemas.openxmlformats.org/officeDocument/2006/relationships/hyperlink" Target="https://lh5.googleusercontent.com/d/1ego6DHU1CskZ52FnIJCiVuoitjQ-bmny" TargetMode="External"/><Relationship Id="rId179" Type="http://schemas.openxmlformats.org/officeDocument/2006/relationships/hyperlink" Target="https://lh5.googleusercontent.com/d/1_JS8W0xqb0Q2x8iMkMRjnpfgdMv96cCp" TargetMode="External"/><Relationship Id="rId178" Type="http://schemas.openxmlformats.org/officeDocument/2006/relationships/hyperlink" Target="https://drive.google.com/file/d/1ZU8yaAzWdYKDFlWBXc3vOldfdIGY712H/view?usp=drivesdk" TargetMode="External"/><Relationship Id="rId177" Type="http://schemas.openxmlformats.org/officeDocument/2006/relationships/hyperlink" Target="https://lh5.googleusercontent.com/d/1M6FN_lD7nXm86vPI2LDGkmMIVzBcgSS3" TargetMode="External"/><Relationship Id="rId198" Type="http://schemas.openxmlformats.org/officeDocument/2006/relationships/hyperlink" Target="https://drive.google.com/file/d/1eHX1gaujb7nLkSp7fcIIQmKoQ-imu1vy/view?usp=drivesdk" TargetMode="External"/><Relationship Id="rId197" Type="http://schemas.openxmlformats.org/officeDocument/2006/relationships/hyperlink" Target="https://lh5.googleusercontent.com/d/1SjQxSSjRRshN46fT0_LCOJXFP3Ns-OOS" TargetMode="External"/><Relationship Id="rId196" Type="http://schemas.openxmlformats.org/officeDocument/2006/relationships/hyperlink" Target="https://drive.google.com/file/d/1q1hmMfXmZM2y03MRuuKzVUkwMFRLmiaD/view?usp=drivesdk" TargetMode="External"/><Relationship Id="rId195" Type="http://schemas.openxmlformats.org/officeDocument/2006/relationships/hyperlink" Target="https://lh5.googleusercontent.com/d/1EkwQJgmWgqfcXo6pnJy4bp4fQx6dzyWw" TargetMode="External"/><Relationship Id="rId199" Type="http://schemas.openxmlformats.org/officeDocument/2006/relationships/hyperlink" Target="https://lh5.googleusercontent.com/d/1fqKyZUv06QHmk3kySYQrwBawTFQh41MQ" TargetMode="External"/><Relationship Id="rId150" Type="http://schemas.openxmlformats.org/officeDocument/2006/relationships/hyperlink" Target="https://drive.google.com/file/d/1WFN5hIw3JgqQ4ammFga4EaW5uflAVKoc/view?usp=drivesdk" TargetMode="External"/><Relationship Id="rId149" Type="http://schemas.openxmlformats.org/officeDocument/2006/relationships/hyperlink" Target="https://lh5.googleusercontent.com/d/1WgmfLLnSvT7KnKaLQqMNMrm3566QhZUU" TargetMode="External"/><Relationship Id="rId148" Type="http://schemas.openxmlformats.org/officeDocument/2006/relationships/hyperlink" Target="https://drive.google.com/file/d/1FpEn821yI7YdvkTf-6lWmcP3RNkQ25s1/view?usp=drivesdk" TargetMode="External"/><Relationship Id="rId143" Type="http://schemas.openxmlformats.org/officeDocument/2006/relationships/hyperlink" Target="https://lh5.googleusercontent.com/d/1CzJ7AqhU1V9uH13XkOsuyX1nFAumNiYQ" TargetMode="External"/><Relationship Id="rId142" Type="http://schemas.openxmlformats.org/officeDocument/2006/relationships/hyperlink" Target="https://drive.google.com/file/d/1hXrc_5JPOdllBT0WfbbWSy3rgIUtq9FM/view?usp=drivesdk" TargetMode="External"/><Relationship Id="rId141" Type="http://schemas.openxmlformats.org/officeDocument/2006/relationships/hyperlink" Target="https://lh5.googleusercontent.com/d/1Pw96L52X_rsE8C4oaW7_PGFfsrTX5mhK" TargetMode="External"/><Relationship Id="rId140" Type="http://schemas.openxmlformats.org/officeDocument/2006/relationships/hyperlink" Target="https://drive.google.com/file/d/1YxB6ANLVzrTVqXgBZ3Q8hOZTvL73Z6vR/view?usp=drivesdk" TargetMode="External"/><Relationship Id="rId147" Type="http://schemas.openxmlformats.org/officeDocument/2006/relationships/hyperlink" Target="https://lh5.googleusercontent.com/d/1y9-eVMml1IthSqMWQAhwQYOHqZjT6m5H" TargetMode="External"/><Relationship Id="rId146" Type="http://schemas.openxmlformats.org/officeDocument/2006/relationships/hyperlink" Target="https://drive.google.com/file/d/1Yps7taksV0mtRGx9AIjDnUoAqHthF87K/view?usp=drivesdk" TargetMode="External"/><Relationship Id="rId145" Type="http://schemas.openxmlformats.org/officeDocument/2006/relationships/hyperlink" Target="https://lh5.googleusercontent.com/d/1Xvzy1vzetGcso43FkA1obvfCqt9R_LrS" TargetMode="External"/><Relationship Id="rId144" Type="http://schemas.openxmlformats.org/officeDocument/2006/relationships/hyperlink" Target="https://drive.google.com/file/d/1bIzoQL5FzRCJxHeXY5abG6FBUchMxfeA/view?usp=drivesdk" TargetMode="External"/><Relationship Id="rId139" Type="http://schemas.openxmlformats.org/officeDocument/2006/relationships/hyperlink" Target="https://lh5.googleusercontent.com/d/1uK83acQpmj_ei1X-z8qV44KVeLwN0pOT" TargetMode="External"/><Relationship Id="rId138" Type="http://schemas.openxmlformats.org/officeDocument/2006/relationships/hyperlink" Target="https://drive.google.com/file/d/1kFuAEXzlJ0Zn7Gj-9w9amhwNbg7AdL5j/view?usp=drivesdk" TargetMode="External"/><Relationship Id="rId137" Type="http://schemas.openxmlformats.org/officeDocument/2006/relationships/hyperlink" Target="https://lh5.googleusercontent.com/d/1NZYkTLXhh3vlRyIVT3ViTHETeLKLpgnW" TargetMode="External"/><Relationship Id="rId132" Type="http://schemas.openxmlformats.org/officeDocument/2006/relationships/hyperlink" Target="https://drive.google.com/file/d/12I7mrFWgItHY0XAWxaIhiOlgxT45uhvq/view?usp=drivesdk" TargetMode="External"/><Relationship Id="rId131" Type="http://schemas.openxmlformats.org/officeDocument/2006/relationships/hyperlink" Target="https://lh5.googleusercontent.com/d/1IL1gREtQjWlAjNv1sA2EJtir3S-lT2jC" TargetMode="External"/><Relationship Id="rId130" Type="http://schemas.openxmlformats.org/officeDocument/2006/relationships/hyperlink" Target="https://drive.google.com/file/d/1CdyiuzWzX8GnlvHO8Npzra2LGPIVTAp0/view?usp=drivesdk" TargetMode="External"/><Relationship Id="rId136" Type="http://schemas.openxmlformats.org/officeDocument/2006/relationships/hyperlink" Target="https://drive.google.com/file/d/1W2veplCbgnZ71YjgUXZAS2YV8_HSERl2/view?usp=drivesdk" TargetMode="External"/><Relationship Id="rId135" Type="http://schemas.openxmlformats.org/officeDocument/2006/relationships/hyperlink" Target="https://lh5.googleusercontent.com/d/1-2bqpXgi36iLyhj9icjM6F2YIkIIu-CP" TargetMode="External"/><Relationship Id="rId134" Type="http://schemas.openxmlformats.org/officeDocument/2006/relationships/hyperlink" Target="https://drive.google.com/file/d/1TgWqZwZh4Wn2Fjcu0lrEU3IZFN6ieun8/view?usp=drivesdk" TargetMode="External"/><Relationship Id="rId133" Type="http://schemas.openxmlformats.org/officeDocument/2006/relationships/hyperlink" Target="https://lh5.googleusercontent.com/d/1xTBLxxWlRhGF2Z3Lonm0m7ay5H05o27E" TargetMode="External"/><Relationship Id="rId172" Type="http://schemas.openxmlformats.org/officeDocument/2006/relationships/hyperlink" Target="https://drive.google.com/file/d/10KmywXfmZM_QOnLiIZ02bu496wZfL9aU/view?usp=drivesdk" TargetMode="External"/><Relationship Id="rId171" Type="http://schemas.openxmlformats.org/officeDocument/2006/relationships/hyperlink" Target="https://lh5.googleusercontent.com/d/13BQrqoFCez8XXivE0ubLxxGFXAizkHV7" TargetMode="External"/><Relationship Id="rId170" Type="http://schemas.openxmlformats.org/officeDocument/2006/relationships/hyperlink" Target="https://drive.google.com/file/d/1ekvmfvWcgYrqN8FyUWqkCkW1-lpiBcAI/view?usp=drivesdk" TargetMode="External"/><Relationship Id="rId165" Type="http://schemas.openxmlformats.org/officeDocument/2006/relationships/hyperlink" Target="https://lh5.googleusercontent.com/d/1Hp3dJ4p3onz7RnPcAWxCMrVFQxgFovA5" TargetMode="External"/><Relationship Id="rId164" Type="http://schemas.openxmlformats.org/officeDocument/2006/relationships/hyperlink" Target="https://drive.google.com/file/d/1l8xW7Zh3lOaHg4grhx3jUFDGaqZF7h40/view?usp=drivesdk" TargetMode="External"/><Relationship Id="rId163" Type="http://schemas.openxmlformats.org/officeDocument/2006/relationships/hyperlink" Target="https://lh5.googleusercontent.com/d/1CmTOHms1shMOdRRpaHJUmaXkjtKhGBx4" TargetMode="External"/><Relationship Id="rId162" Type="http://schemas.openxmlformats.org/officeDocument/2006/relationships/hyperlink" Target="https://drive.google.com/file/d/1h7sCz-DyvKeRwqUfbGF8LxYv736dkTvY/view?usp=drivesdk" TargetMode="External"/><Relationship Id="rId169" Type="http://schemas.openxmlformats.org/officeDocument/2006/relationships/hyperlink" Target="https://lh5.googleusercontent.com/d/1ogEMKhMQ_n8fRShn1a8AIl0puPeRGfyJ" TargetMode="External"/><Relationship Id="rId168" Type="http://schemas.openxmlformats.org/officeDocument/2006/relationships/hyperlink" Target="https://drive.google.com/file/d/1IxxyEk0YZSzWLqw-8nZaAqax_EImpNyr/view?usp=drivesdk" TargetMode="External"/><Relationship Id="rId167" Type="http://schemas.openxmlformats.org/officeDocument/2006/relationships/hyperlink" Target="https://lh5.googleusercontent.com/d/1_GkTFWmESvn_c1NqOTHJPog4MavHnUcw" TargetMode="External"/><Relationship Id="rId166" Type="http://schemas.openxmlformats.org/officeDocument/2006/relationships/hyperlink" Target="https://drive.google.com/file/d/14hNLjR03iuSk3unuSLEETzunbb3DPZq6/view?usp=drivesdk" TargetMode="External"/><Relationship Id="rId161" Type="http://schemas.openxmlformats.org/officeDocument/2006/relationships/hyperlink" Target="https://lh5.googleusercontent.com/d/1HIUR9MnNKLZJi3FkKCfoo1HRxXWoMlWu" TargetMode="External"/><Relationship Id="rId160" Type="http://schemas.openxmlformats.org/officeDocument/2006/relationships/hyperlink" Target="https://drive.google.com/file/d/1fJyMWGXMBGuQfUwrUx0Zw_H0VGd6PK9_/view?usp=drivesdk" TargetMode="External"/><Relationship Id="rId159" Type="http://schemas.openxmlformats.org/officeDocument/2006/relationships/hyperlink" Target="https://lh5.googleusercontent.com/d/1SpVdE8Uml6QlwA3j6cj5ZFMcNlr40Ghr" TargetMode="External"/><Relationship Id="rId154" Type="http://schemas.openxmlformats.org/officeDocument/2006/relationships/hyperlink" Target="https://drive.google.com/file/d/18NpDj9Iu0ivKQ0s01Hpv4J8o0n2dVR5U/view?usp=drivesdk" TargetMode="External"/><Relationship Id="rId153" Type="http://schemas.openxmlformats.org/officeDocument/2006/relationships/hyperlink" Target="https://lh5.googleusercontent.com/d/1sIFYxmf-LGBJN8-k5aT3swLTnmatPG_J" TargetMode="External"/><Relationship Id="rId152" Type="http://schemas.openxmlformats.org/officeDocument/2006/relationships/hyperlink" Target="https://drive.google.com/file/d/1enVTCdyfqTOtolpalTdTDeDZmXTeqMjs/view?usp=drivesdk" TargetMode="External"/><Relationship Id="rId151" Type="http://schemas.openxmlformats.org/officeDocument/2006/relationships/hyperlink" Target="https://lh5.googleusercontent.com/d/17FLJCYVVFh8m1bQKgNKltlkJrlFu-11A" TargetMode="External"/><Relationship Id="rId158" Type="http://schemas.openxmlformats.org/officeDocument/2006/relationships/hyperlink" Target="https://drive.google.com/file/d/1_TxGMZhNRmXAB9vjgao8SPuwTQphy7QI/view?usp=drivesdk" TargetMode="External"/><Relationship Id="rId157" Type="http://schemas.openxmlformats.org/officeDocument/2006/relationships/hyperlink" Target="https://lh5.googleusercontent.com/d/1XgpsxvnNkoHMicdqr_GWeMwRunGSnXQ_" TargetMode="External"/><Relationship Id="rId156" Type="http://schemas.openxmlformats.org/officeDocument/2006/relationships/hyperlink" Target="https://drive.google.com/file/d/1fltoHuCyi8xWRgckVWAeT0MnyUb-Dhxt/view?usp=drivesdk" TargetMode="External"/><Relationship Id="rId155" Type="http://schemas.openxmlformats.org/officeDocument/2006/relationships/hyperlink" Target="https://lh5.googleusercontent.com/d/1zM4fK3GT2SqS8YgRlJh1GMhz09iRx0E4" TargetMode="External"/><Relationship Id="rId1510" Type="http://schemas.openxmlformats.org/officeDocument/2006/relationships/hyperlink" Target="https://lh5.googleusercontent.com/d/1GVzc4L5DIskNgJGnLeMxBCKtd2bS5OeM" TargetMode="External"/><Relationship Id="rId1511" Type="http://schemas.openxmlformats.org/officeDocument/2006/relationships/hyperlink" Target="https://drive.google.com/file/d/1CGadJVxl_Yiqblu2_pvI3yJFgA6gfsqV/view?usp=drivesdk" TargetMode="External"/><Relationship Id="rId1512" Type="http://schemas.openxmlformats.org/officeDocument/2006/relationships/hyperlink" Target="https://lh5.googleusercontent.com/d/1X2B8fUslirzI2SEeFsA0Eo0qxFTHlPmG" TargetMode="External"/><Relationship Id="rId1513" Type="http://schemas.openxmlformats.org/officeDocument/2006/relationships/hyperlink" Target="https://drive.google.com/file/d/1uHkqzCQoIaazODEzjdbp8h9qewgm3qBe/view?usp=drivesdk" TargetMode="External"/><Relationship Id="rId1514" Type="http://schemas.openxmlformats.org/officeDocument/2006/relationships/hyperlink" Target="https://lh5.googleusercontent.com/d/1tZJknu6OAZ00Pp14o9gaOf20JmTyKYo5" TargetMode="External"/><Relationship Id="rId1515" Type="http://schemas.openxmlformats.org/officeDocument/2006/relationships/hyperlink" Target="https://drive.google.com/file/d/1S5h-B5Tje7NFlgRkwlf9-SDyIW-fzK5L/view?usp=drivesdk" TargetMode="External"/><Relationship Id="rId1516" Type="http://schemas.openxmlformats.org/officeDocument/2006/relationships/hyperlink" Target="https://lh5.googleusercontent.com/d/10FaiJ6z1njV9HXuHmUyeED5mfE63ojfN" TargetMode="External"/><Relationship Id="rId1517" Type="http://schemas.openxmlformats.org/officeDocument/2006/relationships/hyperlink" Target="https://drive.google.com/file/d/1yAfBgKh4L9RiADrieXyaUBgFEBOsz0hT/view?usp=drivesdk" TargetMode="External"/><Relationship Id="rId1518" Type="http://schemas.openxmlformats.org/officeDocument/2006/relationships/hyperlink" Target="https://lh5.googleusercontent.com/d/15OiuoMvjsB9sPhBhuWbJ-R7bSBRFyjQ7" TargetMode="External"/><Relationship Id="rId1519" Type="http://schemas.openxmlformats.org/officeDocument/2006/relationships/hyperlink" Target="https://drive.google.com/file/d/14_t3Q7eHQ67rGzc6NQCXB2xn70WYP34E/view?usp=drivesdk" TargetMode="External"/><Relationship Id="rId1500" Type="http://schemas.openxmlformats.org/officeDocument/2006/relationships/hyperlink" Target="https://lh5.googleusercontent.com/d/1saTCK3H0zKduuZXCGWVk32aua-2uWnal" TargetMode="External"/><Relationship Id="rId1501" Type="http://schemas.openxmlformats.org/officeDocument/2006/relationships/hyperlink" Target="https://drive.google.com/file/d/17D4sHLLjyAwKLuWMQFkgndpuihBmnO83/view?usp=drivesdk" TargetMode="External"/><Relationship Id="rId1502" Type="http://schemas.openxmlformats.org/officeDocument/2006/relationships/hyperlink" Target="https://lh5.googleusercontent.com/d/1nVQ3eXdRnpLw9ssQ0BhcJlJTdEfwrxwX" TargetMode="External"/><Relationship Id="rId1503" Type="http://schemas.openxmlformats.org/officeDocument/2006/relationships/hyperlink" Target="https://drive.google.com/file/d/1HJSKOUjhD4oSu6pK2BW4NPSsWRNpZM7D/view?usp=drivesdk" TargetMode="External"/><Relationship Id="rId1504" Type="http://schemas.openxmlformats.org/officeDocument/2006/relationships/hyperlink" Target="https://lh5.googleusercontent.com/d/1-BOkYxxoZQsYd358NPaR7Q1eBy79akOo" TargetMode="External"/><Relationship Id="rId1505" Type="http://schemas.openxmlformats.org/officeDocument/2006/relationships/hyperlink" Target="https://drive.google.com/file/d/1o_sPNnEM5jiodIEGMVxh_h46r23SWje_/view?usp=drivesdk" TargetMode="External"/><Relationship Id="rId1506" Type="http://schemas.openxmlformats.org/officeDocument/2006/relationships/hyperlink" Target="https://lh5.googleusercontent.com/d/1jXYTUvDXgqBKvkJv5r66aeYs-rFdUyPF" TargetMode="External"/><Relationship Id="rId1507" Type="http://schemas.openxmlformats.org/officeDocument/2006/relationships/hyperlink" Target="https://drive.google.com/file/d/1w3zDDFAVAKjKXptUe9T62RsbBXUjBadc/view?usp=drivesdk" TargetMode="External"/><Relationship Id="rId1508" Type="http://schemas.openxmlformats.org/officeDocument/2006/relationships/hyperlink" Target="https://lh5.googleusercontent.com/d/1BIbhRuKnykm2tMwyIFwoBtoCWw0gDAcm" TargetMode="External"/><Relationship Id="rId1509" Type="http://schemas.openxmlformats.org/officeDocument/2006/relationships/hyperlink" Target="https://drive.google.com/file/d/165GErTD6epHDuIRZEPF8vmufAzbY4oJ_/view?usp=drivesdk" TargetMode="External"/><Relationship Id="rId1576" Type="http://schemas.openxmlformats.org/officeDocument/2006/relationships/hyperlink" Target="https://lh5.googleusercontent.com/d/1PuCDnxEArvuIObr3ZqIAqs4cyljr8TkV" TargetMode="External"/><Relationship Id="rId1577" Type="http://schemas.openxmlformats.org/officeDocument/2006/relationships/hyperlink" Target="https://drive.google.com/file/d/1a4GN4QuVOP9aiUOl64LPfARmDr2PZ2tm/view?usp=drivesdk" TargetMode="External"/><Relationship Id="rId1578" Type="http://schemas.openxmlformats.org/officeDocument/2006/relationships/hyperlink" Target="https://lh5.googleusercontent.com/d/1zdhBJN6t13VbJhz_jqj7lnEwWiLZjC5Q" TargetMode="External"/><Relationship Id="rId1579" Type="http://schemas.openxmlformats.org/officeDocument/2006/relationships/hyperlink" Target="https://drive.google.com/file/d/18qM9Nn0UtFrD2-LKDRcaKNU6AkddkMn2/view?usp=drivesdk" TargetMode="External"/><Relationship Id="rId987" Type="http://schemas.openxmlformats.org/officeDocument/2006/relationships/hyperlink" Target="https://drive.google.com/file/d/1Q7oBUmqQk2Ku8SW3UpU6YNodyfOZ2q41/view?usp=drivesdk" TargetMode="External"/><Relationship Id="rId986" Type="http://schemas.openxmlformats.org/officeDocument/2006/relationships/hyperlink" Target="https://lh5.googleusercontent.com/d/14HQ_XbrNqRhJx6EirVgF2DTxMssNXBYQ" TargetMode="External"/><Relationship Id="rId985" Type="http://schemas.openxmlformats.org/officeDocument/2006/relationships/hyperlink" Target="https://drive.google.com/file/d/1kjmnkXSuioODgUEHXqM4qVs2x3jtLHBw/view?usp=drivesdk" TargetMode="External"/><Relationship Id="rId984" Type="http://schemas.openxmlformats.org/officeDocument/2006/relationships/hyperlink" Target="https://lh5.googleusercontent.com/d/1LDa4TwBSlihUIXd5EOcvDp98bX59fMql" TargetMode="External"/><Relationship Id="rId989" Type="http://schemas.openxmlformats.org/officeDocument/2006/relationships/hyperlink" Target="https://lh5.googleusercontent.com/d/1Hfbk13vwJC_ZLSsrhdWctzgdN4n7fsIq" TargetMode="External"/><Relationship Id="rId988" Type="http://schemas.openxmlformats.org/officeDocument/2006/relationships/hyperlink" Target="https://drive.google.com/file/d/1lztjI6NHPpUKx3kGIXcbG9iTZooXPjRM/view?usp=drivesdk" TargetMode="External"/><Relationship Id="rId1570" Type="http://schemas.openxmlformats.org/officeDocument/2006/relationships/hyperlink" Target="https://lh5.googleusercontent.com/d/1KcZ-1OajRVD1WMXOmtHAtO4a0JERXrvf" TargetMode="External"/><Relationship Id="rId1571" Type="http://schemas.openxmlformats.org/officeDocument/2006/relationships/hyperlink" Target="https://drive.google.com/file/d/1_V1858Tq5QhiEjfQofktCJt-VSlD_siP/view?usp=drivesdk" TargetMode="External"/><Relationship Id="rId983" Type="http://schemas.openxmlformats.org/officeDocument/2006/relationships/hyperlink" Target="https://drive.google.com/file/d/1qU9YclP_t3ncF5IUV4bInyo9yNcX4KhH/view?usp=drivesdk" TargetMode="External"/><Relationship Id="rId1572" Type="http://schemas.openxmlformats.org/officeDocument/2006/relationships/hyperlink" Target="https://lh5.googleusercontent.com/d/1Zb015rEBTb7zPGUKeFv2L7e2de02u9dz" TargetMode="External"/><Relationship Id="rId982" Type="http://schemas.openxmlformats.org/officeDocument/2006/relationships/hyperlink" Target="https://lh5.googleusercontent.com/d/12_31nUjRjZ5AeIf6BBfymSxBF2Yo3VHK" TargetMode="External"/><Relationship Id="rId1573" Type="http://schemas.openxmlformats.org/officeDocument/2006/relationships/hyperlink" Target="https://drive.google.com/file/d/10cEeGmt5n7G0RD-TwFc-uTUSBuFmAjXv/view?usp=drivesdk" TargetMode="External"/><Relationship Id="rId981" Type="http://schemas.openxmlformats.org/officeDocument/2006/relationships/hyperlink" Target="https://drive.google.com/file/d/1oZRTyGbAHEZAEXz_Kf8NGe-1VXQ68YVG/view?usp=drivesdk" TargetMode="External"/><Relationship Id="rId1574" Type="http://schemas.openxmlformats.org/officeDocument/2006/relationships/hyperlink" Target="https://lh5.googleusercontent.com/d/1TrWS5Yyrr_V-nHKXVyAYitFCn_HSLVhU" TargetMode="External"/><Relationship Id="rId980" Type="http://schemas.openxmlformats.org/officeDocument/2006/relationships/hyperlink" Target="https://lh5.googleusercontent.com/d/1Lg8hmvTTENRGuN82RRL4VWuspCeA5GwL" TargetMode="External"/><Relationship Id="rId1575" Type="http://schemas.openxmlformats.org/officeDocument/2006/relationships/hyperlink" Target="https://drive.google.com/file/d/1p3klAYn4RA1DQ9Eb4zjJ8o6VpdK6M0r0/view?usp=drivesdk" TargetMode="External"/><Relationship Id="rId1565" Type="http://schemas.openxmlformats.org/officeDocument/2006/relationships/hyperlink" Target="https://drive.google.com/file/d/1BiJXgWEF508r-bAlaSu04zdDTUmsapXN/view?usp=drivesdk" TargetMode="External"/><Relationship Id="rId1566" Type="http://schemas.openxmlformats.org/officeDocument/2006/relationships/hyperlink" Target="https://lh5.googleusercontent.com/d/1ebsYPICFJZ-q8LGRLZn2E-Rsgcrs9msA" TargetMode="External"/><Relationship Id="rId1567" Type="http://schemas.openxmlformats.org/officeDocument/2006/relationships/hyperlink" Target="https://drive.google.com/file/d/1ne9iKb0wJuwimwa6oM-kQv6NP0DUncW4/view?usp=drivesdk" TargetMode="External"/><Relationship Id="rId1568" Type="http://schemas.openxmlformats.org/officeDocument/2006/relationships/hyperlink" Target="https://lh5.googleusercontent.com/d/1DP-YVVDbbRg-VW438mhsDooVoSkV-AF3" TargetMode="External"/><Relationship Id="rId1569" Type="http://schemas.openxmlformats.org/officeDocument/2006/relationships/hyperlink" Target="https://drive.google.com/file/d/1J_lHIjLVScnvbnlFes38W1UkOAaQmUcp/view?usp=drivesdk" TargetMode="External"/><Relationship Id="rId976" Type="http://schemas.openxmlformats.org/officeDocument/2006/relationships/hyperlink" Target="https://lh5.googleusercontent.com/d/1Q1Yjb6TJgfwa6MZTe_szQK3IJ539O6y7" TargetMode="External"/><Relationship Id="rId975" Type="http://schemas.openxmlformats.org/officeDocument/2006/relationships/hyperlink" Target="https://drive.google.com/file/d/1yz9gNrAP1sct4JdmKUrsEHMA5rOB0fjK/view?usp=drivesdk" TargetMode="External"/><Relationship Id="rId974" Type="http://schemas.openxmlformats.org/officeDocument/2006/relationships/hyperlink" Target="https://lh5.googleusercontent.com/d/1tO3__IYHefEwPZa1vepYNbQ9dkGVbpc3" TargetMode="External"/><Relationship Id="rId973" Type="http://schemas.openxmlformats.org/officeDocument/2006/relationships/hyperlink" Target="https://drive.google.com/file/d/1I_eu-Za799uGX1HuK_Q2NLTQfhliOG6y/view?usp=drivesdk" TargetMode="External"/><Relationship Id="rId979" Type="http://schemas.openxmlformats.org/officeDocument/2006/relationships/hyperlink" Target="https://drive.google.com/file/d/10zUS2Cv6iPMrlR1aDpe0q2flgDitToQo/view?usp=drivesdk" TargetMode="External"/><Relationship Id="rId978" Type="http://schemas.openxmlformats.org/officeDocument/2006/relationships/hyperlink" Target="https://lh5.googleusercontent.com/d/1F8wSMfTDiuwD1VNTHwtLS7Y1l3NDKFse" TargetMode="External"/><Relationship Id="rId977" Type="http://schemas.openxmlformats.org/officeDocument/2006/relationships/hyperlink" Target="https://drive.google.com/file/d/1NTusMIy5MPGnWT19mANRdPyLLBjcexmL/view?usp=drivesdk" TargetMode="External"/><Relationship Id="rId1560" Type="http://schemas.openxmlformats.org/officeDocument/2006/relationships/hyperlink" Target="https://lh5.googleusercontent.com/d/1pAtsb78eHNrTQ2T3VQ0rLugGLpbxsY5O" TargetMode="External"/><Relationship Id="rId972" Type="http://schemas.openxmlformats.org/officeDocument/2006/relationships/hyperlink" Target="https://lh5.googleusercontent.com/d/1In9RzTX7WShkrvu6IK_VnuMVno1mojRQ" TargetMode="External"/><Relationship Id="rId1561" Type="http://schemas.openxmlformats.org/officeDocument/2006/relationships/hyperlink" Target="https://drive.google.com/file/d/1qZwiEjnATYkjJjq1vmFVWFwWC6uBHuch/view?usp=drivesdk" TargetMode="External"/><Relationship Id="rId971" Type="http://schemas.openxmlformats.org/officeDocument/2006/relationships/hyperlink" Target="https://drive.google.com/file/d/1vMCjSQoo2YuYLychu6KY3l9VY1K9NYDs/view?usp=drivesdk" TargetMode="External"/><Relationship Id="rId1562" Type="http://schemas.openxmlformats.org/officeDocument/2006/relationships/hyperlink" Target="https://lh5.googleusercontent.com/d/1jZ-gCjxlDCJdrYPmD5k9HFUOHTVN3SaD" TargetMode="External"/><Relationship Id="rId970" Type="http://schemas.openxmlformats.org/officeDocument/2006/relationships/hyperlink" Target="https://lh5.googleusercontent.com/d/1rQbLcO0W8ak_87tmm93zfxqhKMa7OV9X" TargetMode="External"/><Relationship Id="rId1563" Type="http://schemas.openxmlformats.org/officeDocument/2006/relationships/hyperlink" Target="https://drive.google.com/file/d/1oSr7rO9xVbqU1Jm_Fo2ZgFozikJ790QN/view?usp=drivesdk" TargetMode="External"/><Relationship Id="rId1564" Type="http://schemas.openxmlformats.org/officeDocument/2006/relationships/hyperlink" Target="https://lh5.googleusercontent.com/d/1YiHcad_9nyMJhWrPmOxhw9-M13X6at8E" TargetMode="External"/><Relationship Id="rId1598" Type="http://schemas.openxmlformats.org/officeDocument/2006/relationships/hyperlink" Target="https://drive.google.com/file/d/12rDydYGWMKrMQ0k9nyeQDPs0tlTWW_En/view?usp=drivesdk" TargetMode="External"/><Relationship Id="rId1599" Type="http://schemas.openxmlformats.org/officeDocument/2006/relationships/hyperlink" Target="https://lh5.googleusercontent.com/d/1VBeLbZrrRVLoRnY-l0BxO_iERPAhCjh2" TargetMode="External"/><Relationship Id="rId1590" Type="http://schemas.openxmlformats.org/officeDocument/2006/relationships/hyperlink" Target="https://lh5.googleusercontent.com/d/1tg94moAd1WI_FzIWF7ftf9011VTqb4Je" TargetMode="External"/><Relationship Id="rId1591" Type="http://schemas.openxmlformats.org/officeDocument/2006/relationships/hyperlink" Target="https://drive.google.com/file/d/1TZZ0IRd20jq-qad1gKXNQmMEUSHyQF94/view?usp=drivesdk" TargetMode="External"/><Relationship Id="rId1592" Type="http://schemas.openxmlformats.org/officeDocument/2006/relationships/hyperlink" Target="https://lh5.googleusercontent.com/d/1US14LLowPMDtTnEIMh368X2O0T7YlB7T" TargetMode="External"/><Relationship Id="rId1593" Type="http://schemas.openxmlformats.org/officeDocument/2006/relationships/hyperlink" Target="https://drive.google.com/file/d/1AYPbP-oQxWVqe3_HH1UCY7Ei9fFDgAJv/view?usp=drivesdk" TargetMode="External"/><Relationship Id="rId1594" Type="http://schemas.openxmlformats.org/officeDocument/2006/relationships/hyperlink" Target="https://lh5.googleusercontent.com/d/1F5XWs1C9jh3hXhM-Y5_5BamJDzAhnFsy" TargetMode="External"/><Relationship Id="rId1595" Type="http://schemas.openxmlformats.org/officeDocument/2006/relationships/hyperlink" Target="https://lh5.googleusercontent.com/d/1_RxKZN4lLT6Fp9HsuGeb7no25NDEsxz_" TargetMode="External"/><Relationship Id="rId1596" Type="http://schemas.openxmlformats.org/officeDocument/2006/relationships/hyperlink" Target="https://drive.google.com/file/d/1W8CE5_mSSbwzY1r6KAHZN3pMiWFyclHX/view?usp=drivesdk" TargetMode="External"/><Relationship Id="rId1597" Type="http://schemas.openxmlformats.org/officeDocument/2006/relationships/hyperlink" Target="https://lh5.googleusercontent.com/d/1nKZFs7yIWwF1m870tikWfC2bnKAA3v14" TargetMode="External"/><Relationship Id="rId1587" Type="http://schemas.openxmlformats.org/officeDocument/2006/relationships/hyperlink" Target="https://drive.google.com/file/d/1Mc4FC90VYGuz5DJJ7RuV5LX0VwUDfA4y/view?usp=drivesdk" TargetMode="External"/><Relationship Id="rId1588" Type="http://schemas.openxmlformats.org/officeDocument/2006/relationships/hyperlink" Target="https://lh5.googleusercontent.com/d/1z1qdWp9MEBbyeLs3C7BjaQKe0wl-koMZ" TargetMode="External"/><Relationship Id="rId1589" Type="http://schemas.openxmlformats.org/officeDocument/2006/relationships/hyperlink" Target="https://drive.google.com/file/d/1f93pwkvDkCk0dXNWCHhBVvuRUk4ExQyi/view?usp=drivesdk" TargetMode="External"/><Relationship Id="rId998" Type="http://schemas.openxmlformats.org/officeDocument/2006/relationships/hyperlink" Target="https://drive.google.com/file/d/10zLoBBk2dyr50Pmyiyf8VhVikEMxdSfG/view?usp=drivesdk" TargetMode="External"/><Relationship Id="rId997" Type="http://schemas.openxmlformats.org/officeDocument/2006/relationships/hyperlink" Target="https://lh5.googleusercontent.com/d/1BvJ08bTwhm3PC-II8n4x4ICjSs3-IbdH" TargetMode="External"/><Relationship Id="rId996" Type="http://schemas.openxmlformats.org/officeDocument/2006/relationships/hyperlink" Target="https://drive.google.com/file/d/1V9umGkz4Yvfxz_JhFNAetzYADGRqpF07/view?usp=drivesdk" TargetMode="External"/><Relationship Id="rId995" Type="http://schemas.openxmlformats.org/officeDocument/2006/relationships/hyperlink" Target="https://lh5.googleusercontent.com/d/15iy2cR_QegF-rTwVhd9ai60-RVF2LGrX" TargetMode="External"/><Relationship Id="rId999" Type="http://schemas.openxmlformats.org/officeDocument/2006/relationships/hyperlink" Target="https://lh5.googleusercontent.com/d/1WAiiowfCC1aeL3MVQH-w_dizCbneRxII" TargetMode="External"/><Relationship Id="rId990" Type="http://schemas.openxmlformats.org/officeDocument/2006/relationships/hyperlink" Target="https://drive.google.com/file/d/10rp7qjRxQlEmjSNHpzEzQugt4kZExTmq/view?usp=drivesdk" TargetMode="External"/><Relationship Id="rId1580" Type="http://schemas.openxmlformats.org/officeDocument/2006/relationships/hyperlink" Target="https://lh5.googleusercontent.com/d/1Ql4MSRUCdsatHZTx7NxiOyvzbOy501TX" TargetMode="External"/><Relationship Id="rId1581" Type="http://schemas.openxmlformats.org/officeDocument/2006/relationships/hyperlink" Target="https://drive.google.com/file/d/1WWoZfBLeKNk9sOgMWFuu-MJ67TIgA99f/view?usp=drivesdk" TargetMode="External"/><Relationship Id="rId1582" Type="http://schemas.openxmlformats.org/officeDocument/2006/relationships/hyperlink" Target="https://lh5.googleusercontent.com/d/1wxR4lsJ7_C9eB2hpbTJrUpK0jgzmVJJN" TargetMode="External"/><Relationship Id="rId994" Type="http://schemas.openxmlformats.org/officeDocument/2006/relationships/hyperlink" Target="https://drive.google.com/file/d/1VRLmv7SbXgQ-WwuypyxVL49JjPvnbJkq/view?usp=drivesdk" TargetMode="External"/><Relationship Id="rId1583" Type="http://schemas.openxmlformats.org/officeDocument/2006/relationships/hyperlink" Target="https://drive.google.com/file/d/1w005a788Mb4KQ-LSfkejSVgfMY9muahZ/view?usp=drivesdk" TargetMode="External"/><Relationship Id="rId993" Type="http://schemas.openxmlformats.org/officeDocument/2006/relationships/hyperlink" Target="https://lh5.googleusercontent.com/d/1LWoyGUzPdJAEKE5RSdxtP4qezVKNNjPm" TargetMode="External"/><Relationship Id="rId1584" Type="http://schemas.openxmlformats.org/officeDocument/2006/relationships/hyperlink" Target="https://lh5.googleusercontent.com/d/1ahtKA1aarM6VSq2N5N234h61Jli87Xof" TargetMode="External"/><Relationship Id="rId992" Type="http://schemas.openxmlformats.org/officeDocument/2006/relationships/hyperlink" Target="https://drive.google.com/file/d/1Y_L4qcqBvOIYKMyGKsBGh8QjHu4iAxwa/view?usp=drivesdk" TargetMode="External"/><Relationship Id="rId1585" Type="http://schemas.openxmlformats.org/officeDocument/2006/relationships/hyperlink" Target="https://drive.google.com/file/d/11WoPIA9D4fA-9YHkbHm2Q4Qy-4nNbcGP/view?usp=drivesdk" TargetMode="External"/><Relationship Id="rId991" Type="http://schemas.openxmlformats.org/officeDocument/2006/relationships/hyperlink" Target="https://lh5.googleusercontent.com/d/1YMfGR2hW6qTA5_JiHviqImnnB2kwC80R" TargetMode="External"/><Relationship Id="rId1586" Type="http://schemas.openxmlformats.org/officeDocument/2006/relationships/hyperlink" Target="https://lh5.googleusercontent.com/d/1SHgvF6LV4ZtN2JuielUmLRyArMJ8OPTC" TargetMode="External"/><Relationship Id="rId1532" Type="http://schemas.openxmlformats.org/officeDocument/2006/relationships/hyperlink" Target="https://lh5.googleusercontent.com/d/1FEitf3mVXK9pqA8Rv7uPHJxTjWPQ7Aec" TargetMode="External"/><Relationship Id="rId1533" Type="http://schemas.openxmlformats.org/officeDocument/2006/relationships/hyperlink" Target="https://drive.google.com/file/d/1qENIhlJRQCOh2aG8I7NCZEKpnPFg1HWw/view?usp=drivesdk" TargetMode="External"/><Relationship Id="rId1534" Type="http://schemas.openxmlformats.org/officeDocument/2006/relationships/hyperlink" Target="https://lh5.googleusercontent.com/d/1Qu_PwUsGy8sxeVHMAgWuZVk9bvBdjWEv" TargetMode="External"/><Relationship Id="rId1535" Type="http://schemas.openxmlformats.org/officeDocument/2006/relationships/hyperlink" Target="https://drive.google.com/file/d/11cn0WXE0kI4j8wxiyPLu6LaCIbe1eOgv/view?usp=drivesdk" TargetMode="External"/><Relationship Id="rId1536" Type="http://schemas.openxmlformats.org/officeDocument/2006/relationships/hyperlink" Target="https://lh5.googleusercontent.com/d/1wGNToNZsTGQuGbF1kX0prEW_VKHrUcPu" TargetMode="External"/><Relationship Id="rId1537" Type="http://schemas.openxmlformats.org/officeDocument/2006/relationships/hyperlink" Target="https://drive.google.com/file/d/1EUBogCq8hMW62Y7NpXZFoHN5nnLWDFNn/view?usp=drivesdk" TargetMode="External"/><Relationship Id="rId1538" Type="http://schemas.openxmlformats.org/officeDocument/2006/relationships/hyperlink" Target="https://lh5.googleusercontent.com/d/10BnMoLIANeJy0WI6CjGzPAWLUp1dNMB8" TargetMode="External"/><Relationship Id="rId1539" Type="http://schemas.openxmlformats.org/officeDocument/2006/relationships/hyperlink" Target="https://drive.google.com/file/d/124aCZvE5o5srqjK6eSVY-1IMtP8PScOy/view?usp=drivesdk" TargetMode="External"/><Relationship Id="rId949" Type="http://schemas.openxmlformats.org/officeDocument/2006/relationships/hyperlink" Target="https://drive.google.com/file/d/1C7ocF01FR9d49gy5v9a3nMZZr2v0Wnkq/view?usp=drivesdk" TargetMode="External"/><Relationship Id="rId948" Type="http://schemas.openxmlformats.org/officeDocument/2006/relationships/hyperlink" Target="https://lh5.googleusercontent.com/d/1xvwPAyQHXPb63L8fm4eXMEmoTrGzlS5u" TargetMode="External"/><Relationship Id="rId943" Type="http://schemas.openxmlformats.org/officeDocument/2006/relationships/hyperlink" Target="https://drive.google.com/file/d/1WMG_RiFrD38QHCeTSoAZr3Bf8ZVSvL4L/view?usp=drivesdk" TargetMode="External"/><Relationship Id="rId942" Type="http://schemas.openxmlformats.org/officeDocument/2006/relationships/hyperlink" Target="https://lh5.googleusercontent.com/d/1r9UEeoOE6hU2fzD8MBpbvsWA7i-AyEJy" TargetMode="External"/><Relationship Id="rId941" Type="http://schemas.openxmlformats.org/officeDocument/2006/relationships/hyperlink" Target="https://drive.google.com/file/d/1vieY3-bODKTYyTO2Vh-L9VyqJ4XbIl4l/view?usp=drivesdk" TargetMode="External"/><Relationship Id="rId940" Type="http://schemas.openxmlformats.org/officeDocument/2006/relationships/hyperlink" Target="https://lh5.googleusercontent.com/d/1OdfLMyXHcOj1npVN4Dy8mQ1GadjlMj4I" TargetMode="External"/><Relationship Id="rId947" Type="http://schemas.openxmlformats.org/officeDocument/2006/relationships/hyperlink" Target="https://drive.google.com/file/d/1Svx3_xK8ixdzqMuiuOw3655osdj1-FYB/view?usp=drivesdk" TargetMode="External"/><Relationship Id="rId946" Type="http://schemas.openxmlformats.org/officeDocument/2006/relationships/hyperlink" Target="https://lh5.googleusercontent.com/d/1s8iKGt7bYgSX2EvEMZtuavqpc-7SahOI" TargetMode="External"/><Relationship Id="rId945" Type="http://schemas.openxmlformats.org/officeDocument/2006/relationships/hyperlink" Target="https://drive.google.com/file/d/1Ir9BgN4URq8qlDg4F2ZfFdqhvBcYhfn4/view?usp=drivesdk" TargetMode="External"/><Relationship Id="rId944" Type="http://schemas.openxmlformats.org/officeDocument/2006/relationships/hyperlink" Target="https://lh5.googleusercontent.com/d/14Xb1SeV2qgE3z2dd3uxFG1Sm6ar2l9px" TargetMode="External"/><Relationship Id="rId1530" Type="http://schemas.openxmlformats.org/officeDocument/2006/relationships/hyperlink" Target="https://lh5.googleusercontent.com/d/1n1iPSgLowXZqONzi9N1Eu9N8SvVCeICY" TargetMode="External"/><Relationship Id="rId1531" Type="http://schemas.openxmlformats.org/officeDocument/2006/relationships/hyperlink" Target="https://drive.google.com/file/d/13D54MhcB8IkewrhgByXjP-T8lKeAZuMw/view?usp=drivesdk" TargetMode="External"/><Relationship Id="rId1521" Type="http://schemas.openxmlformats.org/officeDocument/2006/relationships/hyperlink" Target="https://drive.google.com/file/d/1a4TtmncoylglkibdXn-zFkrR6gv6Hk4i/view?usp=drivesdk" TargetMode="External"/><Relationship Id="rId1522" Type="http://schemas.openxmlformats.org/officeDocument/2006/relationships/hyperlink" Target="https://lh5.googleusercontent.com/d/1Y4rh-LCnRo4Lwbbrups7qImJ48rw-Cm3" TargetMode="External"/><Relationship Id="rId1523" Type="http://schemas.openxmlformats.org/officeDocument/2006/relationships/hyperlink" Target="https://drive.google.com/file/d/1G2VeaUb9ehU0tOu8dQLy8-7hbewvhIl8/view?usp=drivesdk" TargetMode="External"/><Relationship Id="rId1524" Type="http://schemas.openxmlformats.org/officeDocument/2006/relationships/hyperlink" Target="https://lh5.googleusercontent.com/d/1eeyowrzxTg1NBFXpyIPWByIuLtyIxQea" TargetMode="External"/><Relationship Id="rId1525" Type="http://schemas.openxmlformats.org/officeDocument/2006/relationships/hyperlink" Target="https://drive.google.com/file/d/1_hUW2KfcmWYitybgv8gFGc8m_21O8uWy/view?usp=drivesdk" TargetMode="External"/><Relationship Id="rId1526" Type="http://schemas.openxmlformats.org/officeDocument/2006/relationships/hyperlink" Target="https://lh5.googleusercontent.com/d/1enFWmHk7hM9Ry-Wj7eh82hcA8iqHFMu4" TargetMode="External"/><Relationship Id="rId1527" Type="http://schemas.openxmlformats.org/officeDocument/2006/relationships/hyperlink" Target="https://drive.google.com/file/d/1L5Of5zOVLEDaz9ZztQ5uWN254LJ9tzqH/view?usp=drivesdk" TargetMode="External"/><Relationship Id="rId1528" Type="http://schemas.openxmlformats.org/officeDocument/2006/relationships/hyperlink" Target="https://lh5.googleusercontent.com/d/1TWxmgt6nLPPhNoCH0hfPssGFk1DDBQzn" TargetMode="External"/><Relationship Id="rId1529" Type="http://schemas.openxmlformats.org/officeDocument/2006/relationships/hyperlink" Target="https://drive.google.com/file/d/1cl85HRG1HXqiCUrVa_vk3AZenHUstoUp/view?usp=drivesdk" TargetMode="External"/><Relationship Id="rId939" Type="http://schemas.openxmlformats.org/officeDocument/2006/relationships/hyperlink" Target="https://drive.google.com/file/d/1d1MQ1qWz5hpDyGagFf2ErheIt3YVY051/view?usp=drivesdk" TargetMode="External"/><Relationship Id="rId938" Type="http://schemas.openxmlformats.org/officeDocument/2006/relationships/hyperlink" Target="https://lh5.googleusercontent.com/d/18ZcX72MnnZXq0YEvCTH-yXEO-tT_99XU" TargetMode="External"/><Relationship Id="rId937" Type="http://schemas.openxmlformats.org/officeDocument/2006/relationships/hyperlink" Target="https://drive.google.com/file/d/1Pj_0UFAAXe7i0bAi7q5RRK596c7VExPl/view?usp=drivesdk" TargetMode="External"/><Relationship Id="rId932" Type="http://schemas.openxmlformats.org/officeDocument/2006/relationships/hyperlink" Target="https://lh5.googleusercontent.com/d/1lNC6Z_EAuDItqGCT7yCYNipRcNOoR0om" TargetMode="External"/><Relationship Id="rId931" Type="http://schemas.openxmlformats.org/officeDocument/2006/relationships/hyperlink" Target="https://drive.google.com/file/d/18zPHXIWMivo7Wfqu4ZAnF4oFSJhE06gI/view?usp=drivesdk" TargetMode="External"/><Relationship Id="rId930" Type="http://schemas.openxmlformats.org/officeDocument/2006/relationships/hyperlink" Target="https://lh5.googleusercontent.com/d/1UbhzNYO7_3fDQbnDSjkloioUBYCB1DMh" TargetMode="External"/><Relationship Id="rId936" Type="http://schemas.openxmlformats.org/officeDocument/2006/relationships/hyperlink" Target="https://lh5.googleusercontent.com/d/1pgf_LxaWoq94ADFQMhgPyeadhEMbA5dI" TargetMode="External"/><Relationship Id="rId935" Type="http://schemas.openxmlformats.org/officeDocument/2006/relationships/hyperlink" Target="https://drive.google.com/file/d/13jSHtDybdkMKvfw14xuAQ3YvHWQT5q9n/view?usp=drivesdk" TargetMode="External"/><Relationship Id="rId934" Type="http://schemas.openxmlformats.org/officeDocument/2006/relationships/hyperlink" Target="https://lh5.googleusercontent.com/d/1VVdKsl3cr2wpH9kebgVo6Ax3OHfko2g1" TargetMode="External"/><Relationship Id="rId933" Type="http://schemas.openxmlformats.org/officeDocument/2006/relationships/hyperlink" Target="https://drive.google.com/file/d/1XAZozo7nCCbeAZuqhnwzZ1sQZPOBi8lF/view?usp=drivesdk" TargetMode="External"/><Relationship Id="rId1520" Type="http://schemas.openxmlformats.org/officeDocument/2006/relationships/hyperlink" Target="https://lh5.googleusercontent.com/d/1WYOJ56RR-AJ5xOYfqEUXdKXBi-6dtvME" TargetMode="External"/><Relationship Id="rId1554" Type="http://schemas.openxmlformats.org/officeDocument/2006/relationships/hyperlink" Target="https://lh5.googleusercontent.com/d/1IYjH9nmnJVthHMwcD2N6YHE2rabMryhM" TargetMode="External"/><Relationship Id="rId1555" Type="http://schemas.openxmlformats.org/officeDocument/2006/relationships/hyperlink" Target="https://drive.google.com/file/d/1EwqPW7lUvgwYGfjrbXvNMVBR9PJZVLk8/view?usp=drivesdk" TargetMode="External"/><Relationship Id="rId1556" Type="http://schemas.openxmlformats.org/officeDocument/2006/relationships/hyperlink" Target="https://lh5.googleusercontent.com/d/1ZwwcC7SPcsL9k69TnLmJVgoDOfCCcH1g" TargetMode="External"/><Relationship Id="rId1557" Type="http://schemas.openxmlformats.org/officeDocument/2006/relationships/hyperlink" Target="https://drive.google.com/file/d/1RYmksBzCDKdQ5ruqPFXzheIZC9xZ82Wt/view?usp=drivesdk" TargetMode="External"/><Relationship Id="rId1558" Type="http://schemas.openxmlformats.org/officeDocument/2006/relationships/hyperlink" Target="https://lh5.googleusercontent.com/d/1oz5vEWlCBiNFYSBWSjxloHDeuqerpmLk" TargetMode="External"/><Relationship Id="rId1559" Type="http://schemas.openxmlformats.org/officeDocument/2006/relationships/hyperlink" Target="https://drive.google.com/file/d/1aNlQt5ERQAbpWZojbg5tpEHZxZA6O1Lv/view?usp=drivesdk" TargetMode="External"/><Relationship Id="rId965" Type="http://schemas.openxmlformats.org/officeDocument/2006/relationships/hyperlink" Target="https://drive.google.com/file/d/1T5SjAq1Kx6m4UsfCoyK_6WRcty4cinXI/view?usp=drivesdk" TargetMode="External"/><Relationship Id="rId964" Type="http://schemas.openxmlformats.org/officeDocument/2006/relationships/hyperlink" Target="https://lh5.googleusercontent.com/d/1SdquLdKRIB_M-Ff9vfhI5nAxtWJsmZVW" TargetMode="External"/><Relationship Id="rId963" Type="http://schemas.openxmlformats.org/officeDocument/2006/relationships/hyperlink" Target="https://drive.google.com/file/d/1bNXgmZLRW-9OqTIQW4bJ_f9khshT4lMz/view?usp=drivesdk" TargetMode="External"/><Relationship Id="rId962" Type="http://schemas.openxmlformats.org/officeDocument/2006/relationships/hyperlink" Target="https://lh5.googleusercontent.com/d/1u2bQTceSaatoh0uUT1Gi9R-e8LG4n6sq" TargetMode="External"/><Relationship Id="rId969" Type="http://schemas.openxmlformats.org/officeDocument/2006/relationships/hyperlink" Target="https://drive.google.com/file/d/1zds63hb6VRkthMl9bBV89x64t_i2g38R/view?usp=drivesdk" TargetMode="External"/><Relationship Id="rId968" Type="http://schemas.openxmlformats.org/officeDocument/2006/relationships/hyperlink" Target="https://lh5.googleusercontent.com/d/1XeTcdsZJ-9XfZPNt12D0geCzdmMMskGg" TargetMode="External"/><Relationship Id="rId967" Type="http://schemas.openxmlformats.org/officeDocument/2006/relationships/hyperlink" Target="https://drive.google.com/file/d/1-53z3VMh9y5xkGzxfBCUeCfHq3_-3Dyl/view?usp=drivesdk" TargetMode="External"/><Relationship Id="rId966" Type="http://schemas.openxmlformats.org/officeDocument/2006/relationships/hyperlink" Target="https://lh5.googleusercontent.com/d/1tzbNAGADC9re1SzxHkV4Q6wfFnJzbSLz" TargetMode="External"/><Relationship Id="rId961" Type="http://schemas.openxmlformats.org/officeDocument/2006/relationships/hyperlink" Target="https://drive.google.com/file/d/14Zx77ecteEPez1qXRgyV9F3HoG8NxzRE/view?usp=drivesdk" TargetMode="External"/><Relationship Id="rId1550" Type="http://schemas.openxmlformats.org/officeDocument/2006/relationships/hyperlink" Target="https://lh5.googleusercontent.com/d/1P3dxongsFvR6x9Mq6RRvJT1NgDIw9vIS" TargetMode="External"/><Relationship Id="rId960" Type="http://schemas.openxmlformats.org/officeDocument/2006/relationships/hyperlink" Target="https://lh5.googleusercontent.com/d/1EF3EvZW6djo-J262ioo3bUvBuqOw01mI" TargetMode="External"/><Relationship Id="rId1551" Type="http://schemas.openxmlformats.org/officeDocument/2006/relationships/hyperlink" Target="https://drive.google.com/file/d/1jsBG5wC1fjMKZI6FoXmRXa4EHirw1ILk/view?usp=drivesdk" TargetMode="External"/><Relationship Id="rId1552" Type="http://schemas.openxmlformats.org/officeDocument/2006/relationships/hyperlink" Target="https://lh5.googleusercontent.com/d/1B4C4cknsTZdupoXnGImFiJ8Q3hI4XkfP" TargetMode="External"/><Relationship Id="rId1553" Type="http://schemas.openxmlformats.org/officeDocument/2006/relationships/hyperlink" Target="https://drive.google.com/file/d/1w4CXWudjUCDjr6phfweNYwTr2w-Ga9lu/view?usp=drivesdk" TargetMode="External"/><Relationship Id="rId1543" Type="http://schemas.openxmlformats.org/officeDocument/2006/relationships/hyperlink" Target="https://drive.google.com/file/d/1nm_DUyKqUjdLkX86AOkyaEjixdAc4SHh/view?usp=drivesdk" TargetMode="External"/><Relationship Id="rId1544" Type="http://schemas.openxmlformats.org/officeDocument/2006/relationships/hyperlink" Target="https://lh5.googleusercontent.com/d/1RQolqh9ttOp4Ric3L6yPcXaZDxgP8aHb" TargetMode="External"/><Relationship Id="rId1545" Type="http://schemas.openxmlformats.org/officeDocument/2006/relationships/hyperlink" Target="https://drive.google.com/file/d/1xp4FldFms6waaxLfKb5inpLIb7yBAOMB/view?usp=drivesdk" TargetMode="External"/><Relationship Id="rId1546" Type="http://schemas.openxmlformats.org/officeDocument/2006/relationships/hyperlink" Target="https://lh5.googleusercontent.com/d/1NihbDRUE9uWMzz9UQaAfu4wBZi1zQHsg" TargetMode="External"/><Relationship Id="rId1547" Type="http://schemas.openxmlformats.org/officeDocument/2006/relationships/hyperlink" Target="https://drive.google.com/file/d/1dKLpBUBP3vyt_nyIwePGtPU95em2J6Dv/view?usp=drivesdk" TargetMode="External"/><Relationship Id="rId1548" Type="http://schemas.openxmlformats.org/officeDocument/2006/relationships/hyperlink" Target="https://lh5.googleusercontent.com/d/1j0cNCSJS4_Vtd2O6FOF05b6s6tzrY32D" TargetMode="External"/><Relationship Id="rId1549" Type="http://schemas.openxmlformats.org/officeDocument/2006/relationships/hyperlink" Target="https://drive.google.com/file/d/1UQGO-UYe0Udor3HqWb8i-Mf-KdL0o_Xw/view?usp=drivesdk" TargetMode="External"/><Relationship Id="rId959" Type="http://schemas.openxmlformats.org/officeDocument/2006/relationships/hyperlink" Target="https://drive.google.com/file/d/1-qgzZ_fBrH0hsWV5fsXm_pPRhrl2rWmY/view?usp=drivesdk" TargetMode="External"/><Relationship Id="rId954" Type="http://schemas.openxmlformats.org/officeDocument/2006/relationships/hyperlink" Target="https://lh5.googleusercontent.com/d/1IqH-cdJYeeAyzkytxDDl5zYOw18LkztW" TargetMode="External"/><Relationship Id="rId953" Type="http://schemas.openxmlformats.org/officeDocument/2006/relationships/hyperlink" Target="https://drive.google.com/file/d/1lUyirK5yqW9j7P1P_3nWx-jdZRkMUkVV/view?usp=drivesdk" TargetMode="External"/><Relationship Id="rId952" Type="http://schemas.openxmlformats.org/officeDocument/2006/relationships/hyperlink" Target="https://lh5.googleusercontent.com/d/17SwudX9axP2OCXwcXkvUiV3YOy1pxrNC" TargetMode="External"/><Relationship Id="rId951" Type="http://schemas.openxmlformats.org/officeDocument/2006/relationships/hyperlink" Target="https://drive.google.com/file/d/1vGGlt3-ihX7eBTKXYmD847pj5CvvvLAn/view?usp=drivesdk" TargetMode="External"/><Relationship Id="rId958" Type="http://schemas.openxmlformats.org/officeDocument/2006/relationships/hyperlink" Target="https://lh5.googleusercontent.com/d/1BcVpWXF3_9oACefZXRGEOoU3VCuQMoFZ" TargetMode="External"/><Relationship Id="rId957" Type="http://schemas.openxmlformats.org/officeDocument/2006/relationships/hyperlink" Target="https://drive.google.com/file/d/1A-u8Tz7bv3F8Av3kDJ7GSSygUpZb4aUx/view?usp=drivesdk" TargetMode="External"/><Relationship Id="rId956" Type="http://schemas.openxmlformats.org/officeDocument/2006/relationships/hyperlink" Target="https://lh5.googleusercontent.com/d/1Ry3VtS6901ou6dmkPNNxnsLxgprx9Vdv" TargetMode="External"/><Relationship Id="rId955" Type="http://schemas.openxmlformats.org/officeDocument/2006/relationships/hyperlink" Target="https://drive.google.com/file/d/15pUs26CBf-byAF13PGzXQdDk4JMSA_Fr/view?usp=drivesdk" TargetMode="External"/><Relationship Id="rId950" Type="http://schemas.openxmlformats.org/officeDocument/2006/relationships/hyperlink" Target="https://lh5.googleusercontent.com/d/1Q0NRl8tN6rjtcO6AasvNxx5hO2i3BW2e" TargetMode="External"/><Relationship Id="rId1540" Type="http://schemas.openxmlformats.org/officeDocument/2006/relationships/hyperlink" Target="https://lh5.googleusercontent.com/d/1dNB4RdTsPXWtaqYwuw4eLsggBnrC5WAn" TargetMode="External"/><Relationship Id="rId1541" Type="http://schemas.openxmlformats.org/officeDocument/2006/relationships/hyperlink" Target="https://drive.google.com/file/d/19ySFH0nxLAPs90EoR15QwXvLzck2HmXt/view?usp=drivesdk" TargetMode="External"/><Relationship Id="rId1542" Type="http://schemas.openxmlformats.org/officeDocument/2006/relationships/hyperlink" Target="https://lh5.googleusercontent.com/d/1-jwj9h563XcrgC1hc8sCUYVS_uLWcTep" TargetMode="External"/><Relationship Id="rId107" Type="http://schemas.openxmlformats.org/officeDocument/2006/relationships/hyperlink" Target="https://lh5.googleusercontent.com/d/1vhVsHdoyysVnbkeJT2I6r9OTp0aDH_an" TargetMode="External"/><Relationship Id="rId106" Type="http://schemas.openxmlformats.org/officeDocument/2006/relationships/hyperlink" Target="https://drive.google.com/file/d/1BflgMVIfuiNXV5xEe064StvUJYE3l3FO/view?usp=drivesdk" TargetMode="External"/><Relationship Id="rId105" Type="http://schemas.openxmlformats.org/officeDocument/2006/relationships/hyperlink" Target="https://lh5.googleusercontent.com/d/1okrU9O2ubnMnQVGUvOJLVO14F5DVnl3b" TargetMode="External"/><Relationship Id="rId104" Type="http://schemas.openxmlformats.org/officeDocument/2006/relationships/hyperlink" Target="https://drive.google.com/file/d/17gO40ap1HAENUDouM2XS4UiTHqvizxuY/view?usp=drivesdk" TargetMode="External"/><Relationship Id="rId109" Type="http://schemas.openxmlformats.org/officeDocument/2006/relationships/hyperlink" Target="https://lh5.googleusercontent.com/d/1LwHG9PUpuT-fLGPfQ2h9T5cYu4777DCd" TargetMode="External"/><Relationship Id="rId108" Type="http://schemas.openxmlformats.org/officeDocument/2006/relationships/hyperlink" Target="https://drive.google.com/file/d/1CUywAc1Vzwmj_JfdEHDcT7ymTfcLE3vQ/view?usp=drivesdk" TargetMode="External"/><Relationship Id="rId103" Type="http://schemas.openxmlformats.org/officeDocument/2006/relationships/hyperlink" Target="https://lh5.googleusercontent.com/d/1wWNX7Oel1bdXyjgck56WtuIn_5qjJn7J" TargetMode="External"/><Relationship Id="rId102" Type="http://schemas.openxmlformats.org/officeDocument/2006/relationships/hyperlink" Target="https://drive.google.com/file/d/1ExSs1QIsSlICeMzBFUh0PzNYTXHPIuaz/view?usp=drivesdk" TargetMode="External"/><Relationship Id="rId101" Type="http://schemas.openxmlformats.org/officeDocument/2006/relationships/hyperlink" Target="https://lh5.googleusercontent.com/d/1AaeBpypvU24m3gltm4pbmnPqPZ1dQJzl" TargetMode="External"/><Relationship Id="rId100" Type="http://schemas.openxmlformats.org/officeDocument/2006/relationships/hyperlink" Target="https://drive.google.com/file/d/1nLzg9Q1bI2RupfFXvmwfZjOo4Djo-69u/view?usp=drivesdk" TargetMode="External"/><Relationship Id="rId129" Type="http://schemas.openxmlformats.org/officeDocument/2006/relationships/hyperlink" Target="https://lh5.googleusercontent.com/d/12KoTnUF9zZSRTw4WWriSRCD89gJ50O-V" TargetMode="External"/><Relationship Id="rId128" Type="http://schemas.openxmlformats.org/officeDocument/2006/relationships/hyperlink" Target="https://drive.google.com/file/d/1qJTn6EqOGNOmt6Mg0Gcz8I8aA8RjIy8K/view?usp=drivesdk" TargetMode="External"/><Relationship Id="rId127" Type="http://schemas.openxmlformats.org/officeDocument/2006/relationships/hyperlink" Target="https://lh5.googleusercontent.com/d/1__CzxsoZkJcR-kZ2n2Qo5EQBmi-WvbcM" TargetMode="External"/><Relationship Id="rId126" Type="http://schemas.openxmlformats.org/officeDocument/2006/relationships/hyperlink" Target="https://drive.google.com/file/d/16IT_W4y53PYq4Jv8McQGOUeqvBeXoMd3/view?usp=drivesdk" TargetMode="External"/><Relationship Id="rId121" Type="http://schemas.openxmlformats.org/officeDocument/2006/relationships/hyperlink" Target="https://lh5.googleusercontent.com/d/1lrV2n1qCZNF1ZRIBsTZukfOdcdYmRBL9" TargetMode="External"/><Relationship Id="rId120" Type="http://schemas.openxmlformats.org/officeDocument/2006/relationships/hyperlink" Target="https://drive.google.com/file/d/1l2rttujZ9L0BFP8RTQdrIqoCATrsWq88/view?usp=drivesdk" TargetMode="External"/><Relationship Id="rId125" Type="http://schemas.openxmlformats.org/officeDocument/2006/relationships/hyperlink" Target="https://lh5.googleusercontent.com/d/12dK96YxXZTGZ3Rzf8RnswqqUKeBgah1i" TargetMode="External"/><Relationship Id="rId124" Type="http://schemas.openxmlformats.org/officeDocument/2006/relationships/hyperlink" Target="https://drive.google.com/file/d/1_FTKixmjo4lCSf1x-T6c7ipPiFwT4my7/view?usp=drivesdk" TargetMode="External"/><Relationship Id="rId123" Type="http://schemas.openxmlformats.org/officeDocument/2006/relationships/hyperlink" Target="https://lh5.googleusercontent.com/d/1cb6g3guQf4Kbh9z2ev72jYLZlJ32K-A5" TargetMode="External"/><Relationship Id="rId122" Type="http://schemas.openxmlformats.org/officeDocument/2006/relationships/hyperlink" Target="https://drive.google.com/file/d/1V4DA2JL9vn7G8lYh9fz-4GfDHJSBkw4b/view?usp=drivesdk" TargetMode="External"/><Relationship Id="rId118" Type="http://schemas.openxmlformats.org/officeDocument/2006/relationships/hyperlink" Target="https://drive.google.com/file/d/1758GxlKglsz81KnavSqck1dYKJeAPGm1/view?usp=drivesdk" TargetMode="External"/><Relationship Id="rId117" Type="http://schemas.openxmlformats.org/officeDocument/2006/relationships/hyperlink" Target="https://lh5.googleusercontent.com/d/1cL2StfC-kHXJyTw-5m4qN0loVH6fiGup" TargetMode="External"/><Relationship Id="rId116" Type="http://schemas.openxmlformats.org/officeDocument/2006/relationships/hyperlink" Target="https://drive.google.com/file/d/1mY2PYgXMTmxBQDxzvTq6sxI_-FUz9A4x/view?usp=drivesdk" TargetMode="External"/><Relationship Id="rId115" Type="http://schemas.openxmlformats.org/officeDocument/2006/relationships/hyperlink" Target="https://lh5.googleusercontent.com/d/1tQ9OrDzA0nUXhkXw2FIYXSARvoBQ7RgR" TargetMode="External"/><Relationship Id="rId119" Type="http://schemas.openxmlformats.org/officeDocument/2006/relationships/hyperlink" Target="https://lh5.googleusercontent.com/d/1U323yLfvOmA0_n30B56v92h6J00KGECD" TargetMode="External"/><Relationship Id="rId110" Type="http://schemas.openxmlformats.org/officeDocument/2006/relationships/hyperlink" Target="https://drive.google.com/file/d/1QFPA4eXXqaeLGcZVSGIK7WbyribYazFG/view?usp=drivesdk" TargetMode="External"/><Relationship Id="rId114" Type="http://schemas.openxmlformats.org/officeDocument/2006/relationships/hyperlink" Target="https://drive.google.com/file/d/1MS06RpbCH0emJKOVetoaqmcSL3l29tWj/view?usp=drivesdk" TargetMode="External"/><Relationship Id="rId113" Type="http://schemas.openxmlformats.org/officeDocument/2006/relationships/hyperlink" Target="https://lh5.googleusercontent.com/d/1BFYKywVe2d-Pw78Gzi_7_YzuRbx3yMzy" TargetMode="External"/><Relationship Id="rId112" Type="http://schemas.openxmlformats.org/officeDocument/2006/relationships/hyperlink" Target="https://drive.google.com/file/d/1x5wKSkz--Wl6B4Q-lqp1uJ7QSmM19mLg/view?usp=drivesdk" TargetMode="External"/><Relationship Id="rId111" Type="http://schemas.openxmlformats.org/officeDocument/2006/relationships/hyperlink" Target="https://lh5.googleusercontent.com/d/1P3tSvwkWBPzhzHEXv54ehAc57bz-_AjC" TargetMode="External"/><Relationship Id="rId1610" Type="http://schemas.openxmlformats.org/officeDocument/2006/relationships/hyperlink" Target="https://drive.google.com/file/d/1JB8oFVFlAJtxetdSHxDM_ADCOPF-ltOS/view?usp=drivesdk" TargetMode="External"/><Relationship Id="rId1611" Type="http://schemas.openxmlformats.org/officeDocument/2006/relationships/hyperlink" Target="https://lh5.googleusercontent.com/d/1MWZFEMKRlnT3akdR0DOACs8pl4j1QrBi" TargetMode="External"/><Relationship Id="rId1612" Type="http://schemas.openxmlformats.org/officeDocument/2006/relationships/hyperlink" Target="https://drive.google.com/file/d/1_6OOlNSz18z3NHV5qHs9x1IoGSSyJ9K_/view?usp=drivesdk" TargetMode="External"/><Relationship Id="rId1613" Type="http://schemas.openxmlformats.org/officeDocument/2006/relationships/hyperlink" Target="https://lh5.googleusercontent.com/d/16zKGFe7EjjSlqi7aNo9_g5qFDFvceoWp" TargetMode="External"/><Relationship Id="rId1614" Type="http://schemas.openxmlformats.org/officeDocument/2006/relationships/hyperlink" Target="https://drive.google.com/file/d/1EiYk6zXpqDg4JNHTtgS1xez3lH26SplY/view?usp=drivesdk" TargetMode="External"/><Relationship Id="rId1615" Type="http://schemas.openxmlformats.org/officeDocument/2006/relationships/hyperlink" Target="https://lh5.googleusercontent.com/d/1MjIO5V4ISycV2VLUelSgROnHQMKLpqoQ" TargetMode="External"/><Relationship Id="rId1616" Type="http://schemas.openxmlformats.org/officeDocument/2006/relationships/hyperlink" Target="https://drive.google.com/file/d/11nFj13lzAax305yNimmrxv9g2J73tvmd/view?usp=drivesdk" TargetMode="External"/><Relationship Id="rId907" Type="http://schemas.openxmlformats.org/officeDocument/2006/relationships/hyperlink" Target="https://drive.google.com/file/d/1eqFAObFZFvPqccmazR7Porw8lx5EufLO/view?usp=drivesdk" TargetMode="External"/><Relationship Id="rId1617" Type="http://schemas.openxmlformats.org/officeDocument/2006/relationships/hyperlink" Target="https://lh5.googleusercontent.com/d/1HQs6uNVsIh5IGlB3kHQ2r1GjOJQfF1oV" TargetMode="External"/><Relationship Id="rId906" Type="http://schemas.openxmlformats.org/officeDocument/2006/relationships/hyperlink" Target="https://lh5.googleusercontent.com/d/1JFSfSODvguwmPjG0EXea0sIauTWvQQya" TargetMode="External"/><Relationship Id="rId1618" Type="http://schemas.openxmlformats.org/officeDocument/2006/relationships/hyperlink" Target="https://drive.google.com/file/d/1Cg3DxxFTDHwF_TGkw3SlHi3CRQM-Ecae/view?usp=drivesdk" TargetMode="External"/><Relationship Id="rId905" Type="http://schemas.openxmlformats.org/officeDocument/2006/relationships/hyperlink" Target="https://drive.google.com/file/d/1s1EbMk1DBWoVPDpenS2yfCpjxqurLMV1/view?usp=drivesdk" TargetMode="External"/><Relationship Id="rId1619" Type="http://schemas.openxmlformats.org/officeDocument/2006/relationships/hyperlink" Target="https://lh5.googleusercontent.com/d/17sATn5X_O2NkXbkHnydczr1CfUp4R-zH" TargetMode="External"/><Relationship Id="rId904" Type="http://schemas.openxmlformats.org/officeDocument/2006/relationships/hyperlink" Target="https://lh5.googleusercontent.com/d/1jjCSQ_U4xFFvU5jnUXMprXaqulzxkhBg" TargetMode="External"/><Relationship Id="rId909" Type="http://schemas.openxmlformats.org/officeDocument/2006/relationships/hyperlink" Target="https://drive.google.com/file/d/1A0ViViavboeZIM4zwIARhUejp-PBe8g7/view?usp=drivesdk" TargetMode="External"/><Relationship Id="rId908" Type="http://schemas.openxmlformats.org/officeDocument/2006/relationships/hyperlink" Target="https://lh5.googleusercontent.com/d/1jNCocyoej6zczaSdLrKM5yvUnbwDuFOT" TargetMode="External"/><Relationship Id="rId903" Type="http://schemas.openxmlformats.org/officeDocument/2006/relationships/hyperlink" Target="https://drive.google.com/file/d/1KRYH5d7iu2a4yTg9bDKkjLTnJHorfSkL/view?usp=drivesdk" TargetMode="External"/><Relationship Id="rId902" Type="http://schemas.openxmlformats.org/officeDocument/2006/relationships/hyperlink" Target="https://lh5.googleusercontent.com/d/18qPTUBB71AyBhp4bVKYZ2IaQHY7mR2ny" TargetMode="External"/><Relationship Id="rId901" Type="http://schemas.openxmlformats.org/officeDocument/2006/relationships/hyperlink" Target="https://drive.google.com/file/d/1KxQai2m2JKreb4YEWWrk4AtIjIdrBBTW/view?usp=drivesdk" TargetMode="External"/><Relationship Id="rId900" Type="http://schemas.openxmlformats.org/officeDocument/2006/relationships/hyperlink" Target="https://lh5.googleusercontent.com/d/13Xgxu0HU4y3P9XKCNCS9m2GmTSBVdggE" TargetMode="External"/><Relationship Id="rId1600" Type="http://schemas.openxmlformats.org/officeDocument/2006/relationships/hyperlink" Target="https://drive.google.com/file/d/1LLfmtreeSXA--N66FNRSWVCn3b7hFgC1/view?usp=drivesdk" TargetMode="External"/><Relationship Id="rId1601" Type="http://schemas.openxmlformats.org/officeDocument/2006/relationships/hyperlink" Target="https://lh5.googleusercontent.com/d/1ZcXH7kwPuE2sgyk6WdZTp4-VnvsUeVcz" TargetMode="External"/><Relationship Id="rId1602" Type="http://schemas.openxmlformats.org/officeDocument/2006/relationships/hyperlink" Target="https://drive.google.com/file/d/1TKau83cf8m3MdOE2F_-XLtkuZyqqucwJ/view?usp=drivesdk" TargetMode="External"/><Relationship Id="rId1603" Type="http://schemas.openxmlformats.org/officeDocument/2006/relationships/hyperlink" Target="https://lh5.googleusercontent.com/d/1Xr8YNPirpeIcyMwm_qK6js-wm5wTqqSv" TargetMode="External"/><Relationship Id="rId1604" Type="http://schemas.openxmlformats.org/officeDocument/2006/relationships/hyperlink" Target="https://drive.google.com/file/d/1D6xmzThRCwQwXNaSIUHu8lZLWyEu8HBz/view?usp=drivesdk" TargetMode="External"/><Relationship Id="rId1605" Type="http://schemas.openxmlformats.org/officeDocument/2006/relationships/hyperlink" Target="https://lh5.googleusercontent.com/d/1IgUaXjhpbt7ijvUhg5KmIQjT0Qn32znX" TargetMode="External"/><Relationship Id="rId1606" Type="http://schemas.openxmlformats.org/officeDocument/2006/relationships/hyperlink" Target="https://drive.google.com/file/d/1uDvjGqY9c_4N5_DEZvIf_-_GZsP8PHg4/view?usp=drivesdk" TargetMode="External"/><Relationship Id="rId1607" Type="http://schemas.openxmlformats.org/officeDocument/2006/relationships/hyperlink" Target="https://lh5.googleusercontent.com/d/15GlJJEyiVq-ZrRgA68_fCtqiREO14JhR" TargetMode="External"/><Relationship Id="rId1608" Type="http://schemas.openxmlformats.org/officeDocument/2006/relationships/hyperlink" Target="https://drive.google.com/file/d/1i-81NPXEBB-93SQNsrfkLonMgYnC1J0q/view?usp=drivesdk" TargetMode="External"/><Relationship Id="rId1609" Type="http://schemas.openxmlformats.org/officeDocument/2006/relationships/hyperlink" Target="https://lh5.googleusercontent.com/d/1PrwU482QZenyTgjQ-S7LoYu6Sx_qd5Rc" TargetMode="External"/><Relationship Id="rId1631" Type="http://schemas.openxmlformats.org/officeDocument/2006/relationships/hyperlink" Target="https://lh5.googleusercontent.com/d/1UHcUeF3XUf11lPO5uHQ2Ao0jz9i78Sfe" TargetMode="External"/><Relationship Id="rId1632" Type="http://schemas.openxmlformats.org/officeDocument/2006/relationships/hyperlink" Target="https://drive.google.com/file/d/1UYu8qQwCMvMJfODU4rIkmsfG_VnSB8q-/view?usp=drivesdk" TargetMode="External"/><Relationship Id="rId1633" Type="http://schemas.openxmlformats.org/officeDocument/2006/relationships/hyperlink" Target="https://lh5.googleusercontent.com/d/1q3J_LJTl8XpDG-YxbzUNziaV7Q-w7xnI" TargetMode="External"/><Relationship Id="rId1634" Type="http://schemas.openxmlformats.org/officeDocument/2006/relationships/hyperlink" Target="https://drive.google.com/file/d/1-pHHUyctHZC6DDD7_jnCuaH6H-I5amxq/view?usp=drivesdk" TargetMode="External"/><Relationship Id="rId1635" Type="http://schemas.openxmlformats.org/officeDocument/2006/relationships/hyperlink" Target="https://lh5.googleusercontent.com/d/1uCiZ8QX7DMgOLAa8ynEzyNkMGPNaqLQr" TargetMode="External"/><Relationship Id="rId1636" Type="http://schemas.openxmlformats.org/officeDocument/2006/relationships/hyperlink" Target="https://drive.google.com/file/d/11ontYA8Dm9qwBQAl_h1koqWDYTEBtfHk/view?usp=drivesdk" TargetMode="External"/><Relationship Id="rId1637" Type="http://schemas.openxmlformats.org/officeDocument/2006/relationships/hyperlink" Target="https://lh5.googleusercontent.com/d/1exBaCBXL0_e7IaD5kII2QNTZZTEZ1koR" TargetMode="External"/><Relationship Id="rId1638" Type="http://schemas.openxmlformats.org/officeDocument/2006/relationships/hyperlink" Target="https://drive.google.com/file/d/1giHqMElKcJBGI2nnEhKkbSN_cqCXicgX/view?usp=drivesdk" TargetMode="External"/><Relationship Id="rId929" Type="http://schemas.openxmlformats.org/officeDocument/2006/relationships/hyperlink" Target="https://drive.google.com/file/d/10qI-CjTqASreHITP2lU97M-3pQ3wn5rr/view?usp=drivesdk" TargetMode="External"/><Relationship Id="rId1639" Type="http://schemas.openxmlformats.org/officeDocument/2006/relationships/hyperlink" Target="https://lh5.googleusercontent.com/d/1UpU8pYB-5u4Gvem73UbOdebAK1Oo57jy" TargetMode="External"/><Relationship Id="rId928" Type="http://schemas.openxmlformats.org/officeDocument/2006/relationships/hyperlink" Target="https://lh5.googleusercontent.com/d/117Vaapfojude4kV8ORq1-zIvDAGS_LwS" TargetMode="External"/><Relationship Id="rId927" Type="http://schemas.openxmlformats.org/officeDocument/2006/relationships/hyperlink" Target="https://drive.google.com/file/d/1L6Ixruf-J65Qtenwyrqnp6iuCF3T6d_o/view?usp=drivesdk" TargetMode="External"/><Relationship Id="rId926" Type="http://schemas.openxmlformats.org/officeDocument/2006/relationships/hyperlink" Target="https://lh5.googleusercontent.com/d/19ha4Ixbekt_UkN03BetPyuzV_IvSomku" TargetMode="External"/><Relationship Id="rId921" Type="http://schemas.openxmlformats.org/officeDocument/2006/relationships/hyperlink" Target="https://drive.google.com/file/d/1CpTKtLnu_qFVRPSrdXBpl5AfuH4INuxK/view?usp=drivesdk" TargetMode="External"/><Relationship Id="rId920" Type="http://schemas.openxmlformats.org/officeDocument/2006/relationships/hyperlink" Target="https://lh5.googleusercontent.com/d/11-7jZVv-0_kXUCKPBhe4DDikWjKUV7uZ" TargetMode="External"/><Relationship Id="rId925" Type="http://schemas.openxmlformats.org/officeDocument/2006/relationships/hyperlink" Target="https://drive.google.com/file/d/1VMgk-5U5VwVfQmYRQ8-obMrTJCI9hWrB/view?usp=drivesdk" TargetMode="External"/><Relationship Id="rId924" Type="http://schemas.openxmlformats.org/officeDocument/2006/relationships/hyperlink" Target="https://lh5.googleusercontent.com/d/1F9XminEABZMB8rj_QIdnIPLviuN3TRFJ" TargetMode="External"/><Relationship Id="rId923" Type="http://schemas.openxmlformats.org/officeDocument/2006/relationships/hyperlink" Target="https://drive.google.com/file/d/1jQfuQAKDRlDSOXh8QMzIr2qtM-ikXgZp/view?usp=drivesdk" TargetMode="External"/><Relationship Id="rId922" Type="http://schemas.openxmlformats.org/officeDocument/2006/relationships/hyperlink" Target="https://lh5.googleusercontent.com/d/1HeCdehg3-w5byw21QGqXTGOT5tGAoZtN" TargetMode="External"/><Relationship Id="rId1630" Type="http://schemas.openxmlformats.org/officeDocument/2006/relationships/hyperlink" Target="https://drive.google.com/file/d/1JpOvDtO6_uMHZm0XxSi_bHvlPB2XX8ik/view?usp=drivesdk" TargetMode="External"/><Relationship Id="rId1620" Type="http://schemas.openxmlformats.org/officeDocument/2006/relationships/hyperlink" Target="https://drive.google.com/file/d/1EvBcu-ED0F-yGL4Kp60tRY11kED-QxcV/view?usp=drivesdk" TargetMode="External"/><Relationship Id="rId1621" Type="http://schemas.openxmlformats.org/officeDocument/2006/relationships/hyperlink" Target="https://lh5.googleusercontent.com/d/14bZ_lpWB9QGhs4n_guMTJnuBKMiBt7qk" TargetMode="External"/><Relationship Id="rId1622" Type="http://schemas.openxmlformats.org/officeDocument/2006/relationships/hyperlink" Target="https://drive.google.com/file/d/1Lu9Zvj2Jn5Oj4PrgfIzgRdq6mOqydfJU/view?usp=drivesdk" TargetMode="External"/><Relationship Id="rId1623" Type="http://schemas.openxmlformats.org/officeDocument/2006/relationships/hyperlink" Target="https://lh5.googleusercontent.com/d/1H3OmJo5C1498EU_b5vbncy-O8NHcTzZn" TargetMode="External"/><Relationship Id="rId1624" Type="http://schemas.openxmlformats.org/officeDocument/2006/relationships/hyperlink" Target="https://drive.google.com/file/d/1BuhIFv_piBwn4_YIrRNN6CGetkfxsc0x/view?usp=drivesdk" TargetMode="External"/><Relationship Id="rId1625" Type="http://schemas.openxmlformats.org/officeDocument/2006/relationships/hyperlink" Target="https://lh5.googleusercontent.com/d/1sWEk7vo-r3LVfq4w2MrTpEJUszs2YWRh" TargetMode="External"/><Relationship Id="rId1626" Type="http://schemas.openxmlformats.org/officeDocument/2006/relationships/hyperlink" Target="https://drive.google.com/file/d/1waYP_Q-nHaQyE6jgtIMv663RkEsqyUFA/view?usp=drivesdk" TargetMode="External"/><Relationship Id="rId1627" Type="http://schemas.openxmlformats.org/officeDocument/2006/relationships/hyperlink" Target="https://lh5.googleusercontent.com/d/1m720GlVt-pxIWba1WefSU3N62W9PSXlU" TargetMode="External"/><Relationship Id="rId918" Type="http://schemas.openxmlformats.org/officeDocument/2006/relationships/hyperlink" Target="https://lh5.googleusercontent.com/d/1sG1QLm93JwnEWTirLGTtBGSPF1bdLki_" TargetMode="External"/><Relationship Id="rId1628" Type="http://schemas.openxmlformats.org/officeDocument/2006/relationships/hyperlink" Target="https://drive.google.com/file/d/1S5bSbJhr8RTj6mw4TZTmotNl4lsKQ4X7/view?usp=drivesdk" TargetMode="External"/><Relationship Id="rId917" Type="http://schemas.openxmlformats.org/officeDocument/2006/relationships/hyperlink" Target="https://drive.google.com/file/d/1W_kt7EtxmH6efvhdzeKc3nA5zcbDpb0-/view?usp=drivesdk" TargetMode="External"/><Relationship Id="rId1629" Type="http://schemas.openxmlformats.org/officeDocument/2006/relationships/hyperlink" Target="https://lh5.googleusercontent.com/d/1BGjZuw1eoMXyZZOpEoZjXHityaQgOT5b" TargetMode="External"/><Relationship Id="rId916" Type="http://schemas.openxmlformats.org/officeDocument/2006/relationships/hyperlink" Target="https://lh5.googleusercontent.com/d/1e9hkCx7DSnSVRHk2Vsa4_EOo82NbjfJb" TargetMode="External"/><Relationship Id="rId915" Type="http://schemas.openxmlformats.org/officeDocument/2006/relationships/hyperlink" Target="https://drive.google.com/file/d/1M7GOOHLntrzWDgbvg1fL_s8dhnoNsUJC/view?usp=drivesdk" TargetMode="External"/><Relationship Id="rId919" Type="http://schemas.openxmlformats.org/officeDocument/2006/relationships/hyperlink" Target="https://drive.google.com/file/d/1rPDQ8zbClo03i76KtVDB8Gmq8d3fLALQ/view?usp=drivesdk" TargetMode="External"/><Relationship Id="rId910" Type="http://schemas.openxmlformats.org/officeDocument/2006/relationships/hyperlink" Target="https://lh5.googleusercontent.com/d/1kRtDkpaVmCeiP-uO2RfkzKvUJTlyNrMq" TargetMode="External"/><Relationship Id="rId914" Type="http://schemas.openxmlformats.org/officeDocument/2006/relationships/hyperlink" Target="https://lh5.googleusercontent.com/d/1lq2fYyeELuvuScJiuJ3I8FPn3ZqZyWjN" TargetMode="External"/><Relationship Id="rId913" Type="http://schemas.openxmlformats.org/officeDocument/2006/relationships/hyperlink" Target="https://drive.google.com/file/d/1-hYebf0vLOnISf2mafxkCCCd2Azz5W_w/view?usp=drivesdk" TargetMode="External"/><Relationship Id="rId912" Type="http://schemas.openxmlformats.org/officeDocument/2006/relationships/hyperlink" Target="https://lh5.googleusercontent.com/d/1PqpvO9RzqjQpHwUxQUJtrirfpvEz36S9" TargetMode="External"/><Relationship Id="rId911" Type="http://schemas.openxmlformats.org/officeDocument/2006/relationships/hyperlink" Target="https://drive.google.com/file/d/1nfHvBPCfdWQGIWk67P8idLGFnQu-Fw1P/view?usp=drivesdk" TargetMode="External"/><Relationship Id="rId1697" Type="http://schemas.openxmlformats.org/officeDocument/2006/relationships/hyperlink" Target="https://lh5.googleusercontent.com/d/1U9fz-ZV3Rq2Kq-KkCtVjRCJQlQGGhYl0" TargetMode="External"/><Relationship Id="rId1698" Type="http://schemas.openxmlformats.org/officeDocument/2006/relationships/hyperlink" Target="https://drive.google.com/file/d/1IuaVSuJ1KRRI3XIaRrnePFZhqiZjCWqm/view?usp=drivesdk" TargetMode="External"/><Relationship Id="rId1699" Type="http://schemas.openxmlformats.org/officeDocument/2006/relationships/hyperlink" Target="https://lh5.googleusercontent.com/d/14Zz3mAM9aN426GKlycKy1GmEu4xCn7rf" TargetMode="External"/><Relationship Id="rId866" Type="http://schemas.openxmlformats.org/officeDocument/2006/relationships/hyperlink" Target="https://lh5.googleusercontent.com/d/1XHd9KHFHcxH8WF_gyeTcY-UZU-rsbKNm" TargetMode="External"/><Relationship Id="rId865" Type="http://schemas.openxmlformats.org/officeDocument/2006/relationships/hyperlink" Target="https://drive.google.com/file/d/1nlb3ln-V7Mhgs6NqyFAcCUKF9PJ51npE/view?usp=drivesdk" TargetMode="External"/><Relationship Id="rId864" Type="http://schemas.openxmlformats.org/officeDocument/2006/relationships/hyperlink" Target="https://lh5.googleusercontent.com/d/1jBAZiVP7RP8ISbwF-oZq_1h-rZt6pSbV" TargetMode="External"/><Relationship Id="rId863" Type="http://schemas.openxmlformats.org/officeDocument/2006/relationships/hyperlink" Target="https://drive.google.com/file/d/15HyMkD0ESgFFHwumL681w-4nUCO6gPvo/view?usp=drivesdk" TargetMode="External"/><Relationship Id="rId869" Type="http://schemas.openxmlformats.org/officeDocument/2006/relationships/hyperlink" Target="https://drive.google.com/file/d/1ufa9WYZlnMRz4kb1ONzBWdHzobWOq6wu/view?usp=drivesdk" TargetMode="External"/><Relationship Id="rId868" Type="http://schemas.openxmlformats.org/officeDocument/2006/relationships/hyperlink" Target="https://lh5.googleusercontent.com/d/1kIRy3YJRUw2flJ8hq90gKaukfxsFFzl3" TargetMode="External"/><Relationship Id="rId867" Type="http://schemas.openxmlformats.org/officeDocument/2006/relationships/hyperlink" Target="https://drive.google.com/file/d/1V3eO471SRLWQMhudyrrXvRBqqiLsdqQj/view?usp=drivesdk" TargetMode="External"/><Relationship Id="rId1690" Type="http://schemas.openxmlformats.org/officeDocument/2006/relationships/hyperlink" Target="https://drive.google.com/file/d/1Kc-ngMjw4VRgNs45mDJepaqMVFgX3ScR/view?usp=drivesdk" TargetMode="External"/><Relationship Id="rId1691" Type="http://schemas.openxmlformats.org/officeDocument/2006/relationships/hyperlink" Target="https://lh5.googleusercontent.com/d/1PiEbplqt0SfPQlR7AzJvi3dEy2FoWyZU" TargetMode="External"/><Relationship Id="rId1692" Type="http://schemas.openxmlformats.org/officeDocument/2006/relationships/hyperlink" Target="https://drive.google.com/file/d/1yWCQgRn36V-ntv34Syv9P79P0PvPT2tN/view?usp=drivesdk" TargetMode="External"/><Relationship Id="rId862" Type="http://schemas.openxmlformats.org/officeDocument/2006/relationships/hyperlink" Target="https://lh5.googleusercontent.com/d/1bO-94WBLF-mryGR6BgzdDUR1LE8WIMsS" TargetMode="External"/><Relationship Id="rId1693" Type="http://schemas.openxmlformats.org/officeDocument/2006/relationships/hyperlink" Target="https://lh5.googleusercontent.com/d/1v5YrQsSgzm3rvjf7PRo2HoR99Ui-cq1d" TargetMode="External"/><Relationship Id="rId861" Type="http://schemas.openxmlformats.org/officeDocument/2006/relationships/hyperlink" Target="https://drive.google.com/file/d/1p7Vojk9bErXzw_v6j8ArS5QEriZ71Uka/view?usp=drivesdk" TargetMode="External"/><Relationship Id="rId1694" Type="http://schemas.openxmlformats.org/officeDocument/2006/relationships/hyperlink" Target="https://drive.google.com/file/d/18BvPBU2S4_ah_IKI8zldrlGPSTtu_0y4/view?usp=drivesdk" TargetMode="External"/><Relationship Id="rId860" Type="http://schemas.openxmlformats.org/officeDocument/2006/relationships/hyperlink" Target="https://lh5.googleusercontent.com/d/1RoLmhOrBEMDn5d2RT1mWDjysyh6DmlJh" TargetMode="External"/><Relationship Id="rId1695" Type="http://schemas.openxmlformats.org/officeDocument/2006/relationships/hyperlink" Target="https://lh5.googleusercontent.com/d/1CLDc2asXpXjEJNnvZTTikBdZk9hi91ME" TargetMode="External"/><Relationship Id="rId1696" Type="http://schemas.openxmlformats.org/officeDocument/2006/relationships/hyperlink" Target="https://drive.google.com/file/d/1m320_37FYLYLJ2bllU_Vv34xodAzNDd2/view?usp=drivesdk" TargetMode="External"/><Relationship Id="rId1686" Type="http://schemas.openxmlformats.org/officeDocument/2006/relationships/hyperlink" Target="https://drive.google.com/file/d/1UhBXKvQaPj_a2XuxvwAEpX_tMFgqAvGQ/view?usp=drivesdk" TargetMode="External"/><Relationship Id="rId1687" Type="http://schemas.openxmlformats.org/officeDocument/2006/relationships/hyperlink" Target="https://lh5.googleusercontent.com/d/1kSH37P5YoBy_hrxUE-zHmDNvihIrQS3J" TargetMode="External"/><Relationship Id="rId1688" Type="http://schemas.openxmlformats.org/officeDocument/2006/relationships/hyperlink" Target="https://drive.google.com/file/d/1Bh4aYLn_ErajoS-nPqQHFEvgIJpPCyke/view?usp=drivesdk" TargetMode="External"/><Relationship Id="rId1689" Type="http://schemas.openxmlformats.org/officeDocument/2006/relationships/hyperlink" Target="https://lh5.googleusercontent.com/d/1fztYxLCFrDUfFA7UtPT7Af3TsDQ5qwwp" TargetMode="External"/><Relationship Id="rId855" Type="http://schemas.openxmlformats.org/officeDocument/2006/relationships/hyperlink" Target="https://drive.google.com/file/d/1SSEnTWzp9nvX7fUCsfSP1OfGiVLpeHT_/view?usp=drivesdk" TargetMode="External"/><Relationship Id="rId854" Type="http://schemas.openxmlformats.org/officeDocument/2006/relationships/hyperlink" Target="https://lh5.googleusercontent.com/d/1znNBH4Xu5NV1M_nXK_T63xcLBZ4e-ZpI" TargetMode="External"/><Relationship Id="rId853" Type="http://schemas.openxmlformats.org/officeDocument/2006/relationships/hyperlink" Target="https://drive.google.com/file/d/1NG7CtuSkutnXFr2CYyTXVxL3hR1zI4Px/view?usp=drivesdk" TargetMode="External"/><Relationship Id="rId852" Type="http://schemas.openxmlformats.org/officeDocument/2006/relationships/hyperlink" Target="https://lh5.googleusercontent.com/d/1dfGDsFt-ovkKJO0ZTW_--B8YcDpUnMWU" TargetMode="External"/><Relationship Id="rId859" Type="http://schemas.openxmlformats.org/officeDocument/2006/relationships/hyperlink" Target="https://drive.google.com/file/d/1qKRY5KfqJiXDZ71T9WX2NvQ-8O6A7OXR/view?usp=drivesdk" TargetMode="External"/><Relationship Id="rId858" Type="http://schemas.openxmlformats.org/officeDocument/2006/relationships/hyperlink" Target="https://lh5.googleusercontent.com/d/1Ie5cVOX98GTO1rgxv9yk9NYivVKVEDXe" TargetMode="External"/><Relationship Id="rId857" Type="http://schemas.openxmlformats.org/officeDocument/2006/relationships/hyperlink" Target="https://drive.google.com/file/d/1KXhXO88ocRSGclLl6IfydLyV946HtPQV/view?usp=drivesdk" TargetMode="External"/><Relationship Id="rId856" Type="http://schemas.openxmlformats.org/officeDocument/2006/relationships/hyperlink" Target="https://lh5.googleusercontent.com/d/1L6iJomgrzndQs5oBRo2s9cU-oendoLHK" TargetMode="External"/><Relationship Id="rId1680" Type="http://schemas.openxmlformats.org/officeDocument/2006/relationships/hyperlink" Target="https://drive.google.com/file/d/1lB4C0pQTYVG01dEZCGeK_OT3xwphjg-7/view?usp=drivesdk" TargetMode="External"/><Relationship Id="rId1681" Type="http://schemas.openxmlformats.org/officeDocument/2006/relationships/hyperlink" Target="https://lh5.googleusercontent.com/d/16A2k1zbbomePHZ8sgRBW8malrV7UPZoZ" TargetMode="External"/><Relationship Id="rId851" Type="http://schemas.openxmlformats.org/officeDocument/2006/relationships/hyperlink" Target="https://drive.google.com/file/d/18SWgz_1HSfWiZGboEhG5PS5wW4ITclhg/view?usp=drivesdk" TargetMode="External"/><Relationship Id="rId1682" Type="http://schemas.openxmlformats.org/officeDocument/2006/relationships/hyperlink" Target="https://drive.google.com/file/d/1UF34_iPdY9blDEvBzSbJtZgvwW4UaAM5/view?usp=drivesdk" TargetMode="External"/><Relationship Id="rId850" Type="http://schemas.openxmlformats.org/officeDocument/2006/relationships/hyperlink" Target="https://lh5.googleusercontent.com/d/1ASFLw1OD57DdzQK9V3e7dPaqSAlP5TFS" TargetMode="External"/><Relationship Id="rId1683" Type="http://schemas.openxmlformats.org/officeDocument/2006/relationships/hyperlink" Target="https://lh5.googleusercontent.com/d/1ZBhwNkp0iwwvedvNkiJw6hmi5_WpmPIw" TargetMode="External"/><Relationship Id="rId1684" Type="http://schemas.openxmlformats.org/officeDocument/2006/relationships/hyperlink" Target="https://drive.google.com/file/d/1FCYXbrCSfNXMs6BThx_-fBlxht0lTLjB/view?usp=drivesdk" TargetMode="External"/><Relationship Id="rId1685" Type="http://schemas.openxmlformats.org/officeDocument/2006/relationships/hyperlink" Target="https://lh5.googleusercontent.com/d/1i6DTA_cdJR67VIg5wDWlbLORCKDRGENS" TargetMode="External"/><Relationship Id="rId888" Type="http://schemas.openxmlformats.org/officeDocument/2006/relationships/hyperlink" Target="https://lh5.googleusercontent.com/d/1EJzvHufRqAkZ1S2DiUbUjg59UuDaxNiA" TargetMode="External"/><Relationship Id="rId887" Type="http://schemas.openxmlformats.org/officeDocument/2006/relationships/hyperlink" Target="https://drive.google.com/file/d/1yDE-l_XXBkpjc_24oApAcYskO5Yt9SEi/view?usp=drivesdk" TargetMode="External"/><Relationship Id="rId886" Type="http://schemas.openxmlformats.org/officeDocument/2006/relationships/hyperlink" Target="https://lh5.googleusercontent.com/d/19KD-s_dmbEx71XZTwH-4VodDYN5BKUv_" TargetMode="External"/><Relationship Id="rId885" Type="http://schemas.openxmlformats.org/officeDocument/2006/relationships/hyperlink" Target="https://drive.google.com/file/d/1RfsyyQkt17Ld38IBpjAbKsq0is5tJO7t/view?usp=drivesdk" TargetMode="External"/><Relationship Id="rId889" Type="http://schemas.openxmlformats.org/officeDocument/2006/relationships/hyperlink" Target="https://drive.google.com/file/d/1f2fiPTPp-d2mbJxwImyLldiZOZIpeP4l/view?usp=drivesdk" TargetMode="External"/><Relationship Id="rId880" Type="http://schemas.openxmlformats.org/officeDocument/2006/relationships/hyperlink" Target="https://lh5.googleusercontent.com/d/189BHCR6NboiPMiIrOGzMeDcV70jqUjfK" TargetMode="External"/><Relationship Id="rId884" Type="http://schemas.openxmlformats.org/officeDocument/2006/relationships/hyperlink" Target="https://lh5.googleusercontent.com/d/1mRfjEBPiEU5W4_ACL9Shlu5sG5MsBCXV" TargetMode="External"/><Relationship Id="rId883" Type="http://schemas.openxmlformats.org/officeDocument/2006/relationships/hyperlink" Target="https://drive.google.com/file/d/1238Nh2kReDgiCMyypVVgUfpHkl_9u1ZD/view?usp=drivesdk" TargetMode="External"/><Relationship Id="rId882" Type="http://schemas.openxmlformats.org/officeDocument/2006/relationships/hyperlink" Target="https://lh5.googleusercontent.com/d/1nDfYhNORPkwrHSzmR04oj2yJbMu6alQQ" TargetMode="External"/><Relationship Id="rId881" Type="http://schemas.openxmlformats.org/officeDocument/2006/relationships/hyperlink" Target="https://drive.google.com/file/d/11Wvjy3bo3wTV_jg8Tv1rqNU5QN-0DABq/view?usp=drivesdk" TargetMode="External"/><Relationship Id="rId877" Type="http://schemas.openxmlformats.org/officeDocument/2006/relationships/hyperlink" Target="https://drive.google.com/file/d/1SGzC32gEZDraKuBNb9r96ZNpxpY-jvB9/view?usp=drivesdk" TargetMode="External"/><Relationship Id="rId876" Type="http://schemas.openxmlformats.org/officeDocument/2006/relationships/hyperlink" Target="https://lh5.googleusercontent.com/d/1zcAtBQQ_oAzOMz3Dq_QFYswtvoHm7Bzr" TargetMode="External"/><Relationship Id="rId875" Type="http://schemas.openxmlformats.org/officeDocument/2006/relationships/hyperlink" Target="https://drive.google.com/file/d/1mYXaQKGLsE8pEifW4qzxNJrG5I_4HqYY/view?usp=drivesdk" TargetMode="External"/><Relationship Id="rId874" Type="http://schemas.openxmlformats.org/officeDocument/2006/relationships/hyperlink" Target="https://lh5.googleusercontent.com/d/1p3kyRoOyDSA5U_ixXP11eoNwnMSFwF2b" TargetMode="External"/><Relationship Id="rId879" Type="http://schemas.openxmlformats.org/officeDocument/2006/relationships/hyperlink" Target="https://drive.google.com/file/d/1Ods4AUy7jHcKty-OuRLhRmm93_iXaZ-o/view?usp=drivesdk" TargetMode="External"/><Relationship Id="rId878" Type="http://schemas.openxmlformats.org/officeDocument/2006/relationships/hyperlink" Target="https://lh5.googleusercontent.com/d/1q91H7FI8Rbq1RS3Lm0r2-EE9uUPTeW0v" TargetMode="External"/><Relationship Id="rId873" Type="http://schemas.openxmlformats.org/officeDocument/2006/relationships/hyperlink" Target="https://drive.google.com/file/d/15CzCX7bYWp0nYjQGD32Q5y9Hay2Bg9rl/view?usp=drivesdk" TargetMode="External"/><Relationship Id="rId872" Type="http://schemas.openxmlformats.org/officeDocument/2006/relationships/hyperlink" Target="https://lh5.googleusercontent.com/d/1z-Ll8YpfdWOtM2SaJpHK9LLUVoyY51PV" TargetMode="External"/><Relationship Id="rId871" Type="http://schemas.openxmlformats.org/officeDocument/2006/relationships/hyperlink" Target="https://drive.google.com/file/d/1x1nA80rTvsb1zrS2rVwclFEAUvG5npKN/view?usp=drivesdk" TargetMode="External"/><Relationship Id="rId870" Type="http://schemas.openxmlformats.org/officeDocument/2006/relationships/hyperlink" Target="https://lh5.googleusercontent.com/d/1kLMttJo9kxXolqJtHraywFIVUoMDr5Bw" TargetMode="External"/><Relationship Id="rId1653" Type="http://schemas.openxmlformats.org/officeDocument/2006/relationships/hyperlink" Target="https://lh5.googleusercontent.com/d/1wblBa9sqZXK34jKYlLKIJey6F3C2uewx" TargetMode="External"/><Relationship Id="rId1654" Type="http://schemas.openxmlformats.org/officeDocument/2006/relationships/hyperlink" Target="https://drive.google.com/file/d/1WM3ryQc6KjXxkwpzkDqMKei4WFANrfzw/view?usp=drivesdk" TargetMode="External"/><Relationship Id="rId1655" Type="http://schemas.openxmlformats.org/officeDocument/2006/relationships/hyperlink" Target="https://lh5.googleusercontent.com/d/1EwM7x2_fHXrVSoeqv5-Qargn2ISkUUPU" TargetMode="External"/><Relationship Id="rId1656" Type="http://schemas.openxmlformats.org/officeDocument/2006/relationships/hyperlink" Target="https://drive.google.com/file/d/10Ftv0ts-zxCGd21_sX3wiBn7pGeieILK/view?usp=drivesdk" TargetMode="External"/><Relationship Id="rId1657" Type="http://schemas.openxmlformats.org/officeDocument/2006/relationships/hyperlink" Target="https://lh5.googleusercontent.com/d/1jiNF3kYW91uw9gkVkoPyvqPv5mFl8WiB" TargetMode="External"/><Relationship Id="rId1658" Type="http://schemas.openxmlformats.org/officeDocument/2006/relationships/hyperlink" Target="https://drive.google.com/file/d/1jUL48enp3yW4jE-PGkVulGzRKx7B-RQe/view?usp=drivesdk" TargetMode="External"/><Relationship Id="rId1659" Type="http://schemas.openxmlformats.org/officeDocument/2006/relationships/hyperlink" Target="https://lh5.googleusercontent.com/d/1kpDamePgsch9rb1y6mvNxyuuP2pLJdSh" TargetMode="External"/><Relationship Id="rId829" Type="http://schemas.openxmlformats.org/officeDocument/2006/relationships/hyperlink" Target="https://drive.google.com/file/d/1JygJbShDdm4cEjvHzzWhpvOaOr__8FBs/view?usp=drivesdk" TargetMode="External"/><Relationship Id="rId828" Type="http://schemas.openxmlformats.org/officeDocument/2006/relationships/hyperlink" Target="https://lh5.googleusercontent.com/d/1uDl_4xBlbw5eT2rGoQWnhKu7zzPSfyIE" TargetMode="External"/><Relationship Id="rId827" Type="http://schemas.openxmlformats.org/officeDocument/2006/relationships/hyperlink" Target="https://drive.google.com/file/d/1LX3BdDpTqms5iJ5CNLFGBvxYzBXKoi6G/view?usp=drivesdk" TargetMode="External"/><Relationship Id="rId822" Type="http://schemas.openxmlformats.org/officeDocument/2006/relationships/hyperlink" Target="https://lh5.googleusercontent.com/d/1GYaLMojEt6yenmghgyXkliQPjmk0Ps7c" TargetMode="External"/><Relationship Id="rId821" Type="http://schemas.openxmlformats.org/officeDocument/2006/relationships/hyperlink" Target="https://drive.google.com/file/d/1KscPxItsNnVkuABCEVCBgzDzSh3l66Gl/view?usp=drivesdk" TargetMode="External"/><Relationship Id="rId820" Type="http://schemas.openxmlformats.org/officeDocument/2006/relationships/hyperlink" Target="https://lh5.googleusercontent.com/d/15e5564DD-rU4aNB_lkFjZfwP9opFJBXE" TargetMode="External"/><Relationship Id="rId826" Type="http://schemas.openxmlformats.org/officeDocument/2006/relationships/hyperlink" Target="https://lh5.googleusercontent.com/d/1GEDQrJdwHDGR8bQligZzjljmqg19kgG2" TargetMode="External"/><Relationship Id="rId825" Type="http://schemas.openxmlformats.org/officeDocument/2006/relationships/hyperlink" Target="https://drive.google.com/file/d/1n0sUT8Sra2BXpLhQBGMxSS3ihjeiMbDj/view?usp=drivesdk" TargetMode="External"/><Relationship Id="rId824" Type="http://schemas.openxmlformats.org/officeDocument/2006/relationships/hyperlink" Target="https://lh5.googleusercontent.com/d/1EaXV38ERgdHUA5zq2ogNuJmBZOI9gw0X" TargetMode="External"/><Relationship Id="rId823" Type="http://schemas.openxmlformats.org/officeDocument/2006/relationships/hyperlink" Target="https://drive.google.com/file/d/1v0Uu0F9mrJwI6AKQQ_EPOrbbV1CDv2iC/view?usp=drivesdk" TargetMode="External"/><Relationship Id="rId1650" Type="http://schemas.openxmlformats.org/officeDocument/2006/relationships/hyperlink" Target="https://drive.google.com/file/d/1ULNFCYEyEen0gobO_fFXjZBQFSFx2PoN/view?usp=drivesdk" TargetMode="External"/><Relationship Id="rId1651" Type="http://schemas.openxmlformats.org/officeDocument/2006/relationships/hyperlink" Target="https://lh5.googleusercontent.com/d/1acpv1rMBlwQh2iDfPuHa8bQzIPaJoriR" TargetMode="External"/><Relationship Id="rId1652" Type="http://schemas.openxmlformats.org/officeDocument/2006/relationships/hyperlink" Target="https://drive.google.com/file/d/1BVQiqBEE5gfYRhFzY3rzjdCW9XYZBZu9/view?usp=drivesdk" TargetMode="External"/><Relationship Id="rId1642" Type="http://schemas.openxmlformats.org/officeDocument/2006/relationships/hyperlink" Target="https://drive.google.com/file/d/1hHTBxCKVXfAA1VOxFP-8BkQRwJfc4mls/view?usp=drivesdk" TargetMode="External"/><Relationship Id="rId1643" Type="http://schemas.openxmlformats.org/officeDocument/2006/relationships/hyperlink" Target="https://lh5.googleusercontent.com/d/17y7vZXvDOcUP7suz3q4EkwmmN1SKXhVX" TargetMode="External"/><Relationship Id="rId1644" Type="http://schemas.openxmlformats.org/officeDocument/2006/relationships/hyperlink" Target="https://drive.google.com/file/d/18Q_3Xev1jvt_UASjO5KjSw1xZQQtFZah/view?usp=drivesdk" TargetMode="External"/><Relationship Id="rId1645" Type="http://schemas.openxmlformats.org/officeDocument/2006/relationships/hyperlink" Target="https://lh5.googleusercontent.com/d/196qCpuuI0_VGh4GqgPETsrdsOxe6JkAV" TargetMode="External"/><Relationship Id="rId1646" Type="http://schemas.openxmlformats.org/officeDocument/2006/relationships/hyperlink" Target="https://drive.google.com/file/d/17iPqTPjJ_LTKHuKvP_rSW4HdIAGa4Dlx/view?usp=drivesdk" TargetMode="External"/><Relationship Id="rId1647" Type="http://schemas.openxmlformats.org/officeDocument/2006/relationships/hyperlink" Target="https://lh5.googleusercontent.com/d/1MugJnfsTqAqAeRjbHnFelVFfblXeQzQz" TargetMode="External"/><Relationship Id="rId1648" Type="http://schemas.openxmlformats.org/officeDocument/2006/relationships/hyperlink" Target="https://drive.google.com/file/d/1mf94ECuk-dAjmZAl6CvS4ZOqcvRmf710/view?usp=drivesdk" TargetMode="External"/><Relationship Id="rId1649" Type="http://schemas.openxmlformats.org/officeDocument/2006/relationships/hyperlink" Target="https://lh5.googleusercontent.com/d/1TCX6p78hnJV-bl9ML8jnJJcaQvonyGM4" TargetMode="External"/><Relationship Id="rId819" Type="http://schemas.openxmlformats.org/officeDocument/2006/relationships/hyperlink" Target="https://drive.google.com/file/d/165vPT5R70LAeVJGjtz78d25WPjuBnIek/view?usp=drivesdk" TargetMode="External"/><Relationship Id="rId818" Type="http://schemas.openxmlformats.org/officeDocument/2006/relationships/hyperlink" Target="https://lh5.googleusercontent.com/d/1mdrLz0LysCmtH7JP3-7gOtEkkMc8MPky" TargetMode="External"/><Relationship Id="rId817" Type="http://schemas.openxmlformats.org/officeDocument/2006/relationships/hyperlink" Target="https://drive.google.com/file/d/1RvyDngcJlfGSpa_kXLBIGEP-drc4zRC8/view?usp=drivesdk" TargetMode="External"/><Relationship Id="rId816" Type="http://schemas.openxmlformats.org/officeDocument/2006/relationships/hyperlink" Target="https://lh5.googleusercontent.com/d/1Yit5_F2voODjTurAH7EmHrqHl2rgFsCE" TargetMode="External"/><Relationship Id="rId811" Type="http://schemas.openxmlformats.org/officeDocument/2006/relationships/hyperlink" Target="https://drive.google.com/file/d/18DD24L60qRxtBOb2NN-Ut7KXqs_Z3kDh/view?usp=drivesdk" TargetMode="External"/><Relationship Id="rId810" Type="http://schemas.openxmlformats.org/officeDocument/2006/relationships/hyperlink" Target="https://lh5.googleusercontent.com/d/1klo6btKImPZqUj_vnkTUIR00-MBBZnHX" TargetMode="External"/><Relationship Id="rId815" Type="http://schemas.openxmlformats.org/officeDocument/2006/relationships/hyperlink" Target="https://drive.google.com/file/d/1A05zLdtoROi1PpNz6fWWs9I28ygkYywN/view?usp=drivesdk" TargetMode="External"/><Relationship Id="rId814" Type="http://schemas.openxmlformats.org/officeDocument/2006/relationships/hyperlink" Target="https://lh5.googleusercontent.com/d/1o8AUImExe_zAqHsP-vnaG6WsIMB694X8" TargetMode="External"/><Relationship Id="rId813" Type="http://schemas.openxmlformats.org/officeDocument/2006/relationships/hyperlink" Target="https://drive.google.com/file/d/1yyPeIYzSbmokpVZgEA5pNNZIzJ977d6y/view?usp=drivesdk" TargetMode="External"/><Relationship Id="rId812" Type="http://schemas.openxmlformats.org/officeDocument/2006/relationships/hyperlink" Target="https://lh5.googleusercontent.com/d/16A5jvBTS157yqIPglBZMNDl9Z9__eS11" TargetMode="External"/><Relationship Id="rId1640" Type="http://schemas.openxmlformats.org/officeDocument/2006/relationships/hyperlink" Target="https://drive.google.com/file/d/19PBCBCnXzKYOXOXdQmw62rTJgpUcK4Bi/view?usp=drivesdk" TargetMode="External"/><Relationship Id="rId1641" Type="http://schemas.openxmlformats.org/officeDocument/2006/relationships/hyperlink" Target="https://lh5.googleusercontent.com/d/1UlcTnAfpFtmj6Eoo7Z-ehhewbVYnBQL6" TargetMode="External"/><Relationship Id="rId1675" Type="http://schemas.openxmlformats.org/officeDocument/2006/relationships/hyperlink" Target="https://lh5.googleusercontent.com/d/1pZQrQx95K8JpaiSR9Mc7Tf799yj-7iZw" TargetMode="External"/><Relationship Id="rId1676" Type="http://schemas.openxmlformats.org/officeDocument/2006/relationships/hyperlink" Target="https://drive.google.com/file/d/1oIpJ4JX6POr18exVlEsq_HrJ7ZUGAY8M/view?usp=drivesdk" TargetMode="External"/><Relationship Id="rId1677" Type="http://schemas.openxmlformats.org/officeDocument/2006/relationships/hyperlink" Target="https://lh5.googleusercontent.com/d/1DJOPnw1oKsH-HjrIt1ghsPENcjhCOvkj" TargetMode="External"/><Relationship Id="rId1678" Type="http://schemas.openxmlformats.org/officeDocument/2006/relationships/hyperlink" Target="https://drive.google.com/file/d/1CzXHATb_RchxPUBjtbx0AWZjXgZ0HrL1/view?usp=drivesdk" TargetMode="External"/><Relationship Id="rId1679" Type="http://schemas.openxmlformats.org/officeDocument/2006/relationships/hyperlink" Target="https://lh5.googleusercontent.com/d/1AjE-4lu_yy8V9ATmW21qB7W-qDQ2445U" TargetMode="External"/><Relationship Id="rId849" Type="http://schemas.openxmlformats.org/officeDocument/2006/relationships/hyperlink" Target="https://drive.google.com/file/d/1MWsNLH3bXRhphcY3MztSdnjynAYxLMD1/view?usp=drivesdk" TargetMode="External"/><Relationship Id="rId844" Type="http://schemas.openxmlformats.org/officeDocument/2006/relationships/hyperlink" Target="https://lh5.googleusercontent.com/d/1K4AvPEBWahhJSdae5LhBoBPutC_QrLrG" TargetMode="External"/><Relationship Id="rId843" Type="http://schemas.openxmlformats.org/officeDocument/2006/relationships/hyperlink" Target="https://drive.google.com/file/d/1aNWO-oiAA6A5qBuWuTU3dlsRwPed_dev/view?usp=drivesdk" TargetMode="External"/><Relationship Id="rId842" Type="http://schemas.openxmlformats.org/officeDocument/2006/relationships/hyperlink" Target="https://lh5.googleusercontent.com/d/1o34oggZDEPgbet53WFbUsKnQe069s38v" TargetMode="External"/><Relationship Id="rId841" Type="http://schemas.openxmlformats.org/officeDocument/2006/relationships/hyperlink" Target="https://drive.google.com/file/d/174P3-QSjZ_kEXbRHm_qqae6CRe51qfnV/view?usp=drivesdk" TargetMode="External"/><Relationship Id="rId848" Type="http://schemas.openxmlformats.org/officeDocument/2006/relationships/hyperlink" Target="https://lh5.googleusercontent.com/d/1aN8XJmuzcAJO-iXKVH0B0qNt_aIH3MJl" TargetMode="External"/><Relationship Id="rId847" Type="http://schemas.openxmlformats.org/officeDocument/2006/relationships/hyperlink" Target="https://drive.google.com/file/d/1M9zpGhGb205hsNAu73A6n7EkqbTjqR1I/view?usp=drivesdk" TargetMode="External"/><Relationship Id="rId846" Type="http://schemas.openxmlformats.org/officeDocument/2006/relationships/hyperlink" Target="https://lh5.googleusercontent.com/d/1U5lyYX9qPZAVN2hJHIQEtHr7vsO3U3wm" TargetMode="External"/><Relationship Id="rId845" Type="http://schemas.openxmlformats.org/officeDocument/2006/relationships/hyperlink" Target="https://drive.google.com/file/d/1ajB2HAS3Iu9Py8ZM7ljopVviPd_ZQ1ZQ/view?usp=drivesdk" TargetMode="External"/><Relationship Id="rId1670" Type="http://schemas.openxmlformats.org/officeDocument/2006/relationships/hyperlink" Target="https://drive.google.com/file/d/1ryRVdTed29sPOoLXMlOj3Bw13GcNneKS/view?usp=drivesdk" TargetMode="External"/><Relationship Id="rId840" Type="http://schemas.openxmlformats.org/officeDocument/2006/relationships/hyperlink" Target="https://lh5.googleusercontent.com/d/1w4vEigpsjTMYIwsrk8gLWlTacpbyf7uB" TargetMode="External"/><Relationship Id="rId1671" Type="http://schemas.openxmlformats.org/officeDocument/2006/relationships/hyperlink" Target="https://lh5.googleusercontent.com/d/1hgO5YQJi-S--tBHvKzBDpU3jTmz0eNSp" TargetMode="External"/><Relationship Id="rId1672" Type="http://schemas.openxmlformats.org/officeDocument/2006/relationships/hyperlink" Target="https://drive.google.com/file/d/1if6XP-w4G0-9EJK4sNWeIAvfuqUQAWz8/view?usp=drivesdk" TargetMode="External"/><Relationship Id="rId1673" Type="http://schemas.openxmlformats.org/officeDocument/2006/relationships/hyperlink" Target="https://lh5.googleusercontent.com/d/1BzBBFadqCL57He2xWzBWc7ZfKor-RhXE" TargetMode="External"/><Relationship Id="rId1674" Type="http://schemas.openxmlformats.org/officeDocument/2006/relationships/hyperlink" Target="https://drive.google.com/file/d/1Iuqb-OFXFpnbfjKwdvtPowgxmMdWHPEp/view?usp=drivesdk" TargetMode="External"/><Relationship Id="rId1664" Type="http://schemas.openxmlformats.org/officeDocument/2006/relationships/hyperlink" Target="https://drive.google.com/file/d/1tBnkGHes0sCHkzQSPhnPhN6ESbTamzUV/view?usp=drivesdk" TargetMode="External"/><Relationship Id="rId1665" Type="http://schemas.openxmlformats.org/officeDocument/2006/relationships/hyperlink" Target="https://lh5.googleusercontent.com/d/1l9te9nhDUyaa2Qx3QyGeOpVZP6pETkUl" TargetMode="External"/><Relationship Id="rId1666" Type="http://schemas.openxmlformats.org/officeDocument/2006/relationships/hyperlink" Target="https://drive.google.com/file/d/1hphdNs--YPb-5u9TUvj7Vz9MtVgFqmhX/view?usp=drivesdk" TargetMode="External"/><Relationship Id="rId1667" Type="http://schemas.openxmlformats.org/officeDocument/2006/relationships/hyperlink" Target="https://lh5.googleusercontent.com/d/1ubVjrFpEUgzikRZzdVOAFA4C0qprKmvk" TargetMode="External"/><Relationship Id="rId1668" Type="http://schemas.openxmlformats.org/officeDocument/2006/relationships/hyperlink" Target="https://drive.google.com/file/d/1wTw2M2OcVPbhIhbifhEfDHHfo6oaamRc/view?usp=drivesdk" TargetMode="External"/><Relationship Id="rId1669" Type="http://schemas.openxmlformats.org/officeDocument/2006/relationships/hyperlink" Target="https://lh5.googleusercontent.com/d/1VsHwdb4GH73S9qqIQ_KDEC_rNsNxFQOH" TargetMode="External"/><Relationship Id="rId839" Type="http://schemas.openxmlformats.org/officeDocument/2006/relationships/hyperlink" Target="https://drive.google.com/file/d/1EePW7zQpYEArnfsMCixYjamvI7gU3GjD/view?usp=drivesdk" TargetMode="External"/><Relationship Id="rId838" Type="http://schemas.openxmlformats.org/officeDocument/2006/relationships/hyperlink" Target="https://lh5.googleusercontent.com/d/1--2uV5Lap1aFuC6lC-9YGOBD9-GtmYjS" TargetMode="External"/><Relationship Id="rId833" Type="http://schemas.openxmlformats.org/officeDocument/2006/relationships/hyperlink" Target="https://drive.google.com/file/d/1MVVU5Z4f-3QmmCE_rncmDRA8P037KfH2/view?usp=drivesdk" TargetMode="External"/><Relationship Id="rId832" Type="http://schemas.openxmlformats.org/officeDocument/2006/relationships/hyperlink" Target="https://lh5.googleusercontent.com/d/1jXNs2gLT_CTwnRHVtmsHaZry7pf-OW3T" TargetMode="External"/><Relationship Id="rId831" Type="http://schemas.openxmlformats.org/officeDocument/2006/relationships/hyperlink" Target="https://drive.google.com/file/d/1j9FR5to3ZN0p7uHKKE5QhcrHUrGSHErC/view?usp=drivesdk" TargetMode="External"/><Relationship Id="rId830" Type="http://schemas.openxmlformats.org/officeDocument/2006/relationships/hyperlink" Target="https://lh5.googleusercontent.com/d/1t_ZljHDwIpGfhTsJnDtXmXd4-jiKatV7" TargetMode="External"/><Relationship Id="rId837" Type="http://schemas.openxmlformats.org/officeDocument/2006/relationships/hyperlink" Target="https://drive.google.com/file/d/1nGh3G0a0qkPQPGbQKG-57wkG6NVlMTPb/view?usp=drivesdk" TargetMode="External"/><Relationship Id="rId836" Type="http://schemas.openxmlformats.org/officeDocument/2006/relationships/hyperlink" Target="https://lh5.googleusercontent.com/d/1tDb-0z4XGNDh5rgVvZJSsBwD4Mm5kOVv" TargetMode="External"/><Relationship Id="rId835" Type="http://schemas.openxmlformats.org/officeDocument/2006/relationships/hyperlink" Target="https://drive.google.com/file/d/1bL2cztyHDTkd1rzzNO8xyBMp-MSqQwT5/view?usp=drivesdk" TargetMode="External"/><Relationship Id="rId834" Type="http://schemas.openxmlformats.org/officeDocument/2006/relationships/hyperlink" Target="https://lh5.googleusercontent.com/d/1TJQOw7c4aeTEj3vaeE_AnZZjl3RyWxY9" TargetMode="External"/><Relationship Id="rId1660" Type="http://schemas.openxmlformats.org/officeDocument/2006/relationships/hyperlink" Target="https://drive.google.com/file/d/1i6pFF6hcHJ47sTRMprAJ8N5bAd6WmmuK/view?usp=drivesdk" TargetMode="External"/><Relationship Id="rId1661" Type="http://schemas.openxmlformats.org/officeDocument/2006/relationships/hyperlink" Target="https://lh5.googleusercontent.com/d/1lFLekmVMitfarDRwu9Oz_u5MPxzR7ZpY" TargetMode="External"/><Relationship Id="rId1662" Type="http://schemas.openxmlformats.org/officeDocument/2006/relationships/hyperlink" Target="https://drive.google.com/file/d/1kAaqOtJq3Tl9daKabZKp5SOlpRYd93ko/view?usp=drivesdk" TargetMode="External"/><Relationship Id="rId1663" Type="http://schemas.openxmlformats.org/officeDocument/2006/relationships/hyperlink" Target="https://lh5.googleusercontent.com/d/1vrIN9ZXgOL-isTeug2mTlgbp3irKk1yq" TargetMode="External"/><Relationship Id="rId899" Type="http://schemas.openxmlformats.org/officeDocument/2006/relationships/hyperlink" Target="https://drive.google.com/file/d/1VefTHUHjUW790hVSOKYxp_J8KJpQw5Mw/view?usp=drivesdk" TargetMode="External"/><Relationship Id="rId898" Type="http://schemas.openxmlformats.org/officeDocument/2006/relationships/hyperlink" Target="https://lh5.googleusercontent.com/d/1PTmyEws9-miyPJy-r95vwzkey33ExM_C" TargetMode="External"/><Relationship Id="rId897" Type="http://schemas.openxmlformats.org/officeDocument/2006/relationships/hyperlink" Target="https://drive.google.com/file/d/1Rh-DJFJPOUevxZG8o10y1SMKDMg2wTCs/view?usp=drivesdk" TargetMode="External"/><Relationship Id="rId896" Type="http://schemas.openxmlformats.org/officeDocument/2006/relationships/hyperlink" Target="https://lh5.googleusercontent.com/d/1bmKx8tu34uc7RPTFkM9qC0YEM-V0bgwn" TargetMode="External"/><Relationship Id="rId891" Type="http://schemas.openxmlformats.org/officeDocument/2006/relationships/hyperlink" Target="https://drive.google.com/file/d/1q1Y3AmdlowOB92kTxCiLInhHyFa8_ped/view?usp=drivesdk" TargetMode="External"/><Relationship Id="rId890" Type="http://schemas.openxmlformats.org/officeDocument/2006/relationships/hyperlink" Target="https://lh5.googleusercontent.com/d/1_kbihRCvVCq4u9qrpdYTV59tNVy5sFip" TargetMode="External"/><Relationship Id="rId895" Type="http://schemas.openxmlformats.org/officeDocument/2006/relationships/hyperlink" Target="https://drive.google.com/file/d/1FmSf_2UV7EKVO9KzkJveYKMjel7DqnjJ/view?usp=drivesdk" TargetMode="External"/><Relationship Id="rId894" Type="http://schemas.openxmlformats.org/officeDocument/2006/relationships/hyperlink" Target="https://lh5.googleusercontent.com/d/1s9AFC9v5DmrvpgVUcLIhXHXTdIDma9bx" TargetMode="External"/><Relationship Id="rId893" Type="http://schemas.openxmlformats.org/officeDocument/2006/relationships/hyperlink" Target="https://drive.google.com/file/d/1yTmJjOthdzWs0bxWgRZ0Gkzom8GmxT_x/view?usp=drivesdk" TargetMode="External"/><Relationship Id="rId892" Type="http://schemas.openxmlformats.org/officeDocument/2006/relationships/hyperlink" Target="https://lh5.googleusercontent.com/d/1Xv0UC-6sqrQFjw8VZr8k5dbDQj1-FItf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NJ27VdZlLw0BrcMTpc-18jDVGhFJhu7a/view?usp=drivesdk" TargetMode="External"/><Relationship Id="rId391" Type="http://schemas.openxmlformats.org/officeDocument/2006/relationships/hyperlink" Target="https://lh5.googleusercontent.com/d/1KvzAeDpx3LD-1ObgSFxFntPMtEuc1fqg" TargetMode="External"/><Relationship Id="rId390" Type="http://schemas.openxmlformats.org/officeDocument/2006/relationships/hyperlink" Target="https://drive.google.com/file/d/1E9qJzaGXGsiaW74fa1YU7JtR63ln82oO/view?usp=drivesdk" TargetMode="External"/><Relationship Id="rId385" Type="http://schemas.openxmlformats.org/officeDocument/2006/relationships/hyperlink" Target="https://lh5.googleusercontent.com/d/1TKNhns88UPb4VRDzZRQt2tZCKIsE4l5e" TargetMode="External"/><Relationship Id="rId384" Type="http://schemas.openxmlformats.org/officeDocument/2006/relationships/hyperlink" Target="https://drive.google.com/file/d/1xhc6rD7MI_oTHmKihRw29Z0wiQ5qED7F/view?usp=drivesdk" TargetMode="External"/><Relationship Id="rId383" Type="http://schemas.openxmlformats.org/officeDocument/2006/relationships/hyperlink" Target="https://lh5.googleusercontent.com/d/1ydTptFZM_CQixNyfliOx1ZKhFTYjNiJq" TargetMode="External"/><Relationship Id="rId382" Type="http://schemas.openxmlformats.org/officeDocument/2006/relationships/hyperlink" Target="https://drive.google.com/file/d/1mUDr8Bl5enFh0Cg_kZADYiR-r0xLmxXf/view?usp=drivesdk" TargetMode="External"/><Relationship Id="rId389" Type="http://schemas.openxmlformats.org/officeDocument/2006/relationships/hyperlink" Target="https://lh5.googleusercontent.com/d/11QKbzTmhPLJ6Q91M9yfOUSF_zJmbUyeS" TargetMode="External"/><Relationship Id="rId388" Type="http://schemas.openxmlformats.org/officeDocument/2006/relationships/hyperlink" Target="https://drive.google.com/file/d/13fGXf9fMZCBzd-x8SndVmNEh-rUre1PN/view?usp=drivesdk" TargetMode="External"/><Relationship Id="rId387" Type="http://schemas.openxmlformats.org/officeDocument/2006/relationships/hyperlink" Target="https://lh5.googleusercontent.com/d/1AAUQ5LQfZuEppXQ82TkaLWl8HJFEzNvP" TargetMode="External"/><Relationship Id="rId386" Type="http://schemas.openxmlformats.org/officeDocument/2006/relationships/hyperlink" Target="https://drive.google.com/file/d/1u-zU3xllxbhHPF0cp9hkM9z3hbS_UifN/view?usp=drivesdk" TargetMode="External"/><Relationship Id="rId381" Type="http://schemas.openxmlformats.org/officeDocument/2006/relationships/hyperlink" Target="https://lh5.googleusercontent.com/d/1wgFDQbyEYdCQKMQWy_uwYzAJbMdYdMsJ" TargetMode="External"/><Relationship Id="rId380" Type="http://schemas.openxmlformats.org/officeDocument/2006/relationships/hyperlink" Target="https://drive.google.com/file/d/1HqPfYKgmUY3jO2qeUAYCuXjP0tzG8mWm/view?usp=drivesdk" TargetMode="External"/><Relationship Id="rId379" Type="http://schemas.openxmlformats.org/officeDocument/2006/relationships/hyperlink" Target="https://lh5.googleusercontent.com/d/1mi9O3mjV-nJTB_YB0K2hdl7ddXgX_CKH" TargetMode="External"/><Relationship Id="rId374" Type="http://schemas.openxmlformats.org/officeDocument/2006/relationships/hyperlink" Target="https://drive.google.com/file/d/1jSaeVOOl7wEJtSid6POGdM5-XK227len/view?usp=drivesdk" TargetMode="External"/><Relationship Id="rId373" Type="http://schemas.openxmlformats.org/officeDocument/2006/relationships/hyperlink" Target="https://lh5.googleusercontent.com/d/17tnx-iJiHPzHFkVaJwacUhZMyVQPWY86" TargetMode="External"/><Relationship Id="rId372" Type="http://schemas.openxmlformats.org/officeDocument/2006/relationships/hyperlink" Target="https://drive.google.com/file/d/1FZBi3T8zhsHao1uoQRyvwXCfKCQevP69/view?usp=drivesdk" TargetMode="External"/><Relationship Id="rId371" Type="http://schemas.openxmlformats.org/officeDocument/2006/relationships/hyperlink" Target="https://lh5.googleusercontent.com/d/1j6_cvlKRaBpX7fduL81D3W8WCqV98ezG" TargetMode="External"/><Relationship Id="rId378" Type="http://schemas.openxmlformats.org/officeDocument/2006/relationships/hyperlink" Target="https://drive.google.com/file/d/1mcBIYSJYYKXj1IJJBeu2332AFGh_WzMI/view?usp=drivesdk" TargetMode="External"/><Relationship Id="rId377" Type="http://schemas.openxmlformats.org/officeDocument/2006/relationships/hyperlink" Target="https://lh5.googleusercontent.com/d/1KZ9cvxh05TvnTRXicnN-_DUQ2o5BpcK0" TargetMode="External"/><Relationship Id="rId376" Type="http://schemas.openxmlformats.org/officeDocument/2006/relationships/hyperlink" Target="https://drive.google.com/file/d/1i4iMqTiBoLr0Urb9KejcAarhDvWLCfXU/view?usp=drivesdk" TargetMode="External"/><Relationship Id="rId375" Type="http://schemas.openxmlformats.org/officeDocument/2006/relationships/hyperlink" Target="https://lh5.googleusercontent.com/d/11S5-3x7A5or1GFesSUn3BgS4uUf4zAVg" TargetMode="External"/><Relationship Id="rId396" Type="http://schemas.openxmlformats.org/officeDocument/2006/relationships/hyperlink" Target="https://drive.google.com/file/d/1wFvlGKTUW-X6AcJjnuVbUZMm-aiqpkum/view?usp=drivesdk" TargetMode="External"/><Relationship Id="rId395" Type="http://schemas.openxmlformats.org/officeDocument/2006/relationships/hyperlink" Target="https://lh5.googleusercontent.com/d/1Lob7qULTcZ7rgny3NFBMur7KAUjhww7v" TargetMode="External"/><Relationship Id="rId394" Type="http://schemas.openxmlformats.org/officeDocument/2006/relationships/hyperlink" Target="https://drive.google.com/file/d/1hA-UMpJdI2-1UhIiPUlXGpN4IFDtc-pS/view?usp=drivesdk" TargetMode="External"/><Relationship Id="rId393" Type="http://schemas.openxmlformats.org/officeDocument/2006/relationships/hyperlink" Target="https://lh5.googleusercontent.com/d/1e8rCAfz8ZoaDoOOVC25q4Dmo0dSZEHla" TargetMode="External"/><Relationship Id="rId399" Type="http://schemas.openxmlformats.org/officeDocument/2006/relationships/hyperlink" Target="https://lh5.googleusercontent.com/d/1ud0W1AHDFXGVg2-maC4S6QB244Y6bNO4" TargetMode="External"/><Relationship Id="rId398" Type="http://schemas.openxmlformats.org/officeDocument/2006/relationships/hyperlink" Target="https://drive.google.com/file/d/16Sld9LqI2ThJronB-2COGWsUiBTtqQ7C/view?usp=drivesdk" TargetMode="External"/><Relationship Id="rId397" Type="http://schemas.openxmlformats.org/officeDocument/2006/relationships/hyperlink" Target="https://lh5.googleusercontent.com/d/1uojeJkOnVtug_KN3I0NGEMityQDctP8B" TargetMode="External"/><Relationship Id="rId1700" Type="http://schemas.openxmlformats.org/officeDocument/2006/relationships/hyperlink" Target="https://lh5.googleusercontent.com/d/19tsBl9Okwn5IhEdn69kqV_jMnDy8RRtD" TargetMode="External"/><Relationship Id="rId1701" Type="http://schemas.openxmlformats.org/officeDocument/2006/relationships/hyperlink" Target="https://drive.google.com/file/d/1bMfTf5mwzvJtqqtSReWLFLCK5uowBIOD/view?usp=drivesdk" TargetMode="External"/><Relationship Id="rId1702" Type="http://schemas.openxmlformats.org/officeDocument/2006/relationships/drawing" Target="../drawings/drawing4.xml"/><Relationship Id="rId40" Type="http://schemas.openxmlformats.org/officeDocument/2006/relationships/hyperlink" Target="https://drive.google.com/file/d/16WkorhM6UvJOyL4x-NOa6kZ_O_aFwO7u/view?usp=drivesdk" TargetMode="External"/><Relationship Id="rId42" Type="http://schemas.openxmlformats.org/officeDocument/2006/relationships/hyperlink" Target="https://drive.google.com/file/d/16K3mK3K4d4y70lJLkLA4g8CY7uKbZoZo/view?usp=drivesdk" TargetMode="External"/><Relationship Id="rId41" Type="http://schemas.openxmlformats.org/officeDocument/2006/relationships/hyperlink" Target="https://lh5.googleusercontent.com/d/1pririY-60-m_GGiRtSXngKCuGpo8tQe-" TargetMode="External"/><Relationship Id="rId44" Type="http://schemas.openxmlformats.org/officeDocument/2006/relationships/hyperlink" Target="https://drive.google.com/file/d/1GrNjqXiKhtNAWC-E0rINrPonjsYxIb7N/view?usp=drivesdk" TargetMode="External"/><Relationship Id="rId43" Type="http://schemas.openxmlformats.org/officeDocument/2006/relationships/hyperlink" Target="https://lh5.googleusercontent.com/d/1tPOM9eGMAUipFuyVVyDCD-C_RSo8dLr5" TargetMode="External"/><Relationship Id="rId46" Type="http://schemas.openxmlformats.org/officeDocument/2006/relationships/hyperlink" Target="https://drive.google.com/file/d/1mL9V4_7bW-lpyRHKqcPod0FeTpsAtf3i/view?usp=drivesdk" TargetMode="External"/><Relationship Id="rId45" Type="http://schemas.openxmlformats.org/officeDocument/2006/relationships/hyperlink" Target="https://lh5.googleusercontent.com/d/1Dlj57REotQ9D4cDKG6q-ngYGf8lGAVB6" TargetMode="External"/><Relationship Id="rId48" Type="http://schemas.openxmlformats.org/officeDocument/2006/relationships/hyperlink" Target="https://drive.google.com/file/d/1juZZ79czR7y9c3V9NqBMLX3KbYT7JYHi/view?usp=drivesdk" TargetMode="External"/><Relationship Id="rId47" Type="http://schemas.openxmlformats.org/officeDocument/2006/relationships/hyperlink" Target="https://lh5.googleusercontent.com/d/1ewMCwp-rlMI6sOZv8-AUq9oLO39snH99" TargetMode="External"/><Relationship Id="rId49" Type="http://schemas.openxmlformats.org/officeDocument/2006/relationships/hyperlink" Target="https://lh5.googleusercontent.com/d/10IZKc7_GD1h5u7WUuQHO1hq6TB_9D8YE" TargetMode="External"/><Relationship Id="rId31" Type="http://schemas.openxmlformats.org/officeDocument/2006/relationships/hyperlink" Target="https://lh5.googleusercontent.com/d/1NP417WIkLdTIcWVUSc5yQm4Ms6-JgFQU" TargetMode="External"/><Relationship Id="rId30" Type="http://schemas.openxmlformats.org/officeDocument/2006/relationships/hyperlink" Target="https://drive.google.com/file/d/12OFwhv5OeC3cB_hxEYz5haFll8kHdkoa/view?usp=drivesdk" TargetMode="External"/><Relationship Id="rId33" Type="http://schemas.openxmlformats.org/officeDocument/2006/relationships/hyperlink" Target="https://lh5.googleusercontent.com/d/1YH77T5XkChq7u-rcugxI3MgAC6Sy3z8Q" TargetMode="External"/><Relationship Id="rId32" Type="http://schemas.openxmlformats.org/officeDocument/2006/relationships/hyperlink" Target="https://drive.google.com/file/d/1Yjedm8xSkwC83n-0ytJawuVoCvJ6tZ0R/view?usp=drivesdk" TargetMode="External"/><Relationship Id="rId35" Type="http://schemas.openxmlformats.org/officeDocument/2006/relationships/hyperlink" Target="https://lh5.googleusercontent.com/d/104PZM-l1VPywgyHlSIvh5Roe3JrsvqXt" TargetMode="External"/><Relationship Id="rId34" Type="http://schemas.openxmlformats.org/officeDocument/2006/relationships/hyperlink" Target="https://drive.google.com/file/d/1d74bVAfW1GFmbP31-T27zoMJBorIqKRf/view?usp=drivesdk" TargetMode="External"/><Relationship Id="rId37" Type="http://schemas.openxmlformats.org/officeDocument/2006/relationships/hyperlink" Target="https://lh5.googleusercontent.com/d/1K0Jx29bAzmAfT_0Y1dxEdfPOTxxojlLs" TargetMode="External"/><Relationship Id="rId36" Type="http://schemas.openxmlformats.org/officeDocument/2006/relationships/hyperlink" Target="https://drive.google.com/file/d/19yE-Ns8YuI85OmpAsj4HOSU3_CAVFEqg/view?usp=drivesdk" TargetMode="External"/><Relationship Id="rId39" Type="http://schemas.openxmlformats.org/officeDocument/2006/relationships/hyperlink" Target="https://lh5.googleusercontent.com/d/16fOCVwm_XeYilGR1cFxmQYEGh8yYQ7JI" TargetMode="External"/><Relationship Id="rId38" Type="http://schemas.openxmlformats.org/officeDocument/2006/relationships/hyperlink" Target="https://drive.google.com/file/d/1ikHvKUrBJBIjHKSSq4vXsjfO8VxfKBBt/view?usp=drivesdk" TargetMode="External"/><Relationship Id="rId20" Type="http://schemas.openxmlformats.org/officeDocument/2006/relationships/hyperlink" Target="https://drive.google.com/file/d/1jsmnDBVKfSRBuwszpcMUwuC1oct-cInm/view?usp=drivesdk" TargetMode="External"/><Relationship Id="rId22" Type="http://schemas.openxmlformats.org/officeDocument/2006/relationships/hyperlink" Target="https://drive.google.com/file/d/115LevKkAP3WvlDcPcrLD2iIjn3nKOoGZ/view?usp=drivesdk" TargetMode="External"/><Relationship Id="rId21" Type="http://schemas.openxmlformats.org/officeDocument/2006/relationships/hyperlink" Target="https://lh5.googleusercontent.com/d/11bMPh9R-FjBv9Xr8SwsjqCZzs_vbGz3t" TargetMode="External"/><Relationship Id="rId24" Type="http://schemas.openxmlformats.org/officeDocument/2006/relationships/hyperlink" Target="https://drive.google.com/file/d/18sy8TqoKyQR2PqmD7j4ePWuhnymsdwa2/view?usp=drivesdk" TargetMode="External"/><Relationship Id="rId23" Type="http://schemas.openxmlformats.org/officeDocument/2006/relationships/hyperlink" Target="https://lh5.googleusercontent.com/d/1rsSIiJ7WtuHpwpuMbfq5hv-6IWRUvM2F" TargetMode="External"/><Relationship Id="rId26" Type="http://schemas.openxmlformats.org/officeDocument/2006/relationships/hyperlink" Target="https://drive.google.com/file/d/1cONPpBIVRznJmuornOxu2iOML1H5bkez/view?usp=drivesdk" TargetMode="External"/><Relationship Id="rId25" Type="http://schemas.openxmlformats.org/officeDocument/2006/relationships/hyperlink" Target="https://lh5.googleusercontent.com/d/1S8UChCpOqs_095wKGLCBC-0xSYuz0FqR" TargetMode="External"/><Relationship Id="rId28" Type="http://schemas.openxmlformats.org/officeDocument/2006/relationships/hyperlink" Target="https://drive.google.com/file/d/1w-dv1u-amf2y4X82GJWx4Alla4msQE3z/view?usp=drivesdk" TargetMode="External"/><Relationship Id="rId27" Type="http://schemas.openxmlformats.org/officeDocument/2006/relationships/hyperlink" Target="https://lh5.googleusercontent.com/d/1yJzubrPLPTykQ3sZL8b_MNQFOf1YplIL" TargetMode="External"/><Relationship Id="rId29" Type="http://schemas.openxmlformats.org/officeDocument/2006/relationships/hyperlink" Target="https://lh5.googleusercontent.com/d/1LE_xcbwuN-0NovlzYDoEwu3tdkb-IgzC" TargetMode="External"/><Relationship Id="rId11" Type="http://schemas.openxmlformats.org/officeDocument/2006/relationships/hyperlink" Target="https://lh5.googleusercontent.com/d/1AM7JmSNYij-0LAJt5QJIQcTUsCY5d-KB" TargetMode="External"/><Relationship Id="rId10" Type="http://schemas.openxmlformats.org/officeDocument/2006/relationships/hyperlink" Target="https://drive.google.com/file/d/1UKCins2hZuVKr6Mv2ywXyOYu2ChER4dF/view?usp=drivesdk" TargetMode="External"/><Relationship Id="rId13" Type="http://schemas.openxmlformats.org/officeDocument/2006/relationships/hyperlink" Target="https://lh5.googleusercontent.com/d/1Xx8HdDXR09h3HP0N47g0lacLwSkWxyj-" TargetMode="External"/><Relationship Id="rId12" Type="http://schemas.openxmlformats.org/officeDocument/2006/relationships/hyperlink" Target="https://drive.google.com/file/d/1E5Zya31Z4D4idaHx1hxUxpdPZ0SduOLF/view?usp=drivesdk" TargetMode="External"/><Relationship Id="rId15" Type="http://schemas.openxmlformats.org/officeDocument/2006/relationships/hyperlink" Target="https://lh5.googleusercontent.com/d/1fZxYSy7cv40dhOBNfxv8MUu173KAwRh9" TargetMode="External"/><Relationship Id="rId14" Type="http://schemas.openxmlformats.org/officeDocument/2006/relationships/hyperlink" Target="https://drive.google.com/file/d/1odqzTaQ1v-BjgSuO9EFODDzkFATXy6LZ/view?usp=drivesdk" TargetMode="External"/><Relationship Id="rId17" Type="http://schemas.openxmlformats.org/officeDocument/2006/relationships/hyperlink" Target="https://lh5.googleusercontent.com/d/1D-_UmuXYU3ArwMZjsJk6xBr3rFd3n_gr" TargetMode="External"/><Relationship Id="rId16" Type="http://schemas.openxmlformats.org/officeDocument/2006/relationships/hyperlink" Target="https://drive.google.com/file/d/1Ek_scsrbLHSoJRyGfxvsWjPu3ATcmqzL/view?usp=drivesdk" TargetMode="External"/><Relationship Id="rId19" Type="http://schemas.openxmlformats.org/officeDocument/2006/relationships/hyperlink" Target="https://lh5.googleusercontent.com/d/1TBeaEz7zRhaA__iuDUPPptkT3mQz0mZQ" TargetMode="External"/><Relationship Id="rId18" Type="http://schemas.openxmlformats.org/officeDocument/2006/relationships/hyperlink" Target="https://drive.google.com/file/d/1V4WHhZ_bR7OvghOVypwbRvSIhT_j-Cz8/view?usp=drivesdk" TargetMode="External"/><Relationship Id="rId84" Type="http://schemas.openxmlformats.org/officeDocument/2006/relationships/hyperlink" Target="https://drive.google.com/file/d/14E1pvAxCl3iopbID66BSfK3lh7kQmha-/view?usp=drivesdk" TargetMode="External"/><Relationship Id="rId83" Type="http://schemas.openxmlformats.org/officeDocument/2006/relationships/hyperlink" Target="https://lh5.googleusercontent.com/d/1w5jQg4Nyatq3YP8IGaUC6SeVPbchbHqA" TargetMode="External"/><Relationship Id="rId86" Type="http://schemas.openxmlformats.org/officeDocument/2006/relationships/hyperlink" Target="https://drive.google.com/file/d/11-xuRsKv9dBB2GTNG5YkgBgBefBqWXvg/view?usp=drivesdk" TargetMode="External"/><Relationship Id="rId85" Type="http://schemas.openxmlformats.org/officeDocument/2006/relationships/hyperlink" Target="https://lh5.googleusercontent.com/d/17kvzUJpMklJsRB4Yut4Sk-ylXHRaTpi6" TargetMode="External"/><Relationship Id="rId88" Type="http://schemas.openxmlformats.org/officeDocument/2006/relationships/hyperlink" Target="https://drive.google.com/file/d/1Nco-qP6Kj2K0jkbaArg3rhzJgu6Y9vRy/view?usp=drivesdk" TargetMode="External"/><Relationship Id="rId87" Type="http://schemas.openxmlformats.org/officeDocument/2006/relationships/hyperlink" Target="https://lh5.googleusercontent.com/d/11UAV36c6haTZi96p_qVcFummNfvwPHJq" TargetMode="External"/><Relationship Id="rId89" Type="http://schemas.openxmlformats.org/officeDocument/2006/relationships/hyperlink" Target="https://lh5.googleusercontent.com/d/1uNqc58zoutPauwHrzVVTIhhrAa0SxpKM" TargetMode="External"/><Relationship Id="rId80" Type="http://schemas.openxmlformats.org/officeDocument/2006/relationships/hyperlink" Target="https://drive.google.com/file/d/1LSZymh4fJTnriYZ9TwHVPSk9gHhVcg0M/view?usp=drivesdk" TargetMode="External"/><Relationship Id="rId82" Type="http://schemas.openxmlformats.org/officeDocument/2006/relationships/hyperlink" Target="https://drive.google.com/file/d/1Gv_FKgQNt6DXF-EDTp13v8jYQnq4z6Qr/view?usp=drivesdk" TargetMode="External"/><Relationship Id="rId81" Type="http://schemas.openxmlformats.org/officeDocument/2006/relationships/hyperlink" Target="https://lh5.googleusercontent.com/d/1l0b_6PTobj5qUfeZpTBWoPiCMcGrk7K7" TargetMode="External"/><Relationship Id="rId73" Type="http://schemas.openxmlformats.org/officeDocument/2006/relationships/hyperlink" Target="https://lh5.googleusercontent.com/d/1-xOZwXKQ31QN965YXgoKTM8YimxaoHRM" TargetMode="External"/><Relationship Id="rId72" Type="http://schemas.openxmlformats.org/officeDocument/2006/relationships/hyperlink" Target="https://drive.google.com/file/d/1CMldJhc_f5z4-lt5QNe3OMrOGKekOeWh/view?usp=drivesdk" TargetMode="External"/><Relationship Id="rId75" Type="http://schemas.openxmlformats.org/officeDocument/2006/relationships/hyperlink" Target="https://lh5.googleusercontent.com/d/15i8DR6yKc8itZ9UMdE_LSJ0R8SI0wZbl" TargetMode="External"/><Relationship Id="rId74" Type="http://schemas.openxmlformats.org/officeDocument/2006/relationships/hyperlink" Target="https://drive.google.com/file/d/1wNTZNS04GI7ijk7S3Js8Xcse_WHH0t9h/view?usp=drivesdk" TargetMode="External"/><Relationship Id="rId77" Type="http://schemas.openxmlformats.org/officeDocument/2006/relationships/hyperlink" Target="https://lh5.googleusercontent.com/d/1bAUsELwTXJzGgeA-3XNnNzCuQPJptps3" TargetMode="External"/><Relationship Id="rId76" Type="http://schemas.openxmlformats.org/officeDocument/2006/relationships/hyperlink" Target="https://drive.google.com/file/d/17NTMAELo9FQrKoINX4AO_yfz83HpfEft/view?usp=drivesdk" TargetMode="External"/><Relationship Id="rId79" Type="http://schemas.openxmlformats.org/officeDocument/2006/relationships/hyperlink" Target="https://lh5.googleusercontent.com/d/1eiTXyBY_tShmrKKZuhcWZiV1who-ohhn" TargetMode="External"/><Relationship Id="rId78" Type="http://schemas.openxmlformats.org/officeDocument/2006/relationships/hyperlink" Target="https://drive.google.com/file/d/1VK_rLZgjaELde-gxAZU39vunAtfctSC6/view?usp=drivesdk" TargetMode="External"/><Relationship Id="rId71" Type="http://schemas.openxmlformats.org/officeDocument/2006/relationships/hyperlink" Target="https://lh5.googleusercontent.com/d/1FVPEVdeGqDgxK7sokpVn6sIMZl4xhzCJ" TargetMode="External"/><Relationship Id="rId70" Type="http://schemas.openxmlformats.org/officeDocument/2006/relationships/hyperlink" Target="https://drive.google.com/file/d/16VhCZjRWgPFzp85RixGLxVcVzcB68BbT/view?usp=drivesdk" TargetMode="External"/><Relationship Id="rId62" Type="http://schemas.openxmlformats.org/officeDocument/2006/relationships/hyperlink" Target="https://drive.google.com/file/d/1Hi7HrmmbkW9swminfonNE2nmlB8k16OO/view?usp=drivesdk" TargetMode="External"/><Relationship Id="rId61" Type="http://schemas.openxmlformats.org/officeDocument/2006/relationships/hyperlink" Target="https://lh5.googleusercontent.com/d/1JcObjO7cCvaXXhe7cEvrHj6wEECNQSX2" TargetMode="External"/><Relationship Id="rId64" Type="http://schemas.openxmlformats.org/officeDocument/2006/relationships/hyperlink" Target="https://drive.google.com/file/d/1CaSd0Qal2dDxXB8xtf4D3CKEvOFa9LBN/view?usp=drivesdk" TargetMode="External"/><Relationship Id="rId63" Type="http://schemas.openxmlformats.org/officeDocument/2006/relationships/hyperlink" Target="https://lh5.googleusercontent.com/d/1YV16oS-jvU3k-8eSPD_6WsXae0xlxmap" TargetMode="External"/><Relationship Id="rId66" Type="http://schemas.openxmlformats.org/officeDocument/2006/relationships/hyperlink" Target="https://drive.google.com/file/d/1l-0HXBZxwxCQ4s65WojWTkLoFWwKqdKm/view?usp=drivesdk" TargetMode="External"/><Relationship Id="rId65" Type="http://schemas.openxmlformats.org/officeDocument/2006/relationships/hyperlink" Target="https://lh5.googleusercontent.com/d/1_3aqcPVeinqjAVCsNfB3zIqHXP8qZ4Hl" TargetMode="External"/><Relationship Id="rId68" Type="http://schemas.openxmlformats.org/officeDocument/2006/relationships/hyperlink" Target="https://drive.google.com/file/d/1t8IyX1nZlkYnjPDADxFvFzhhWObIJQED/view?usp=drivesdk" TargetMode="External"/><Relationship Id="rId67" Type="http://schemas.openxmlformats.org/officeDocument/2006/relationships/hyperlink" Target="https://lh5.googleusercontent.com/d/1qyyUtDZhtjq7WU11x0aXsZEbF96H61en" TargetMode="External"/><Relationship Id="rId60" Type="http://schemas.openxmlformats.org/officeDocument/2006/relationships/hyperlink" Target="https://drive.google.com/file/d/1bnysBCGV4e1xSDXT0JXQcGQ_JUhXKnVn/view?usp=drivesdk" TargetMode="External"/><Relationship Id="rId69" Type="http://schemas.openxmlformats.org/officeDocument/2006/relationships/hyperlink" Target="https://lh5.googleusercontent.com/d/1CrPX3_R3Hgg-jUmvs2s6UEu-wRiawoPG" TargetMode="External"/><Relationship Id="rId51" Type="http://schemas.openxmlformats.org/officeDocument/2006/relationships/hyperlink" Target="https://lh5.googleusercontent.com/d/1nmUOY9I9VgCseEwO3AbdYBnJ__z9fvhT" TargetMode="External"/><Relationship Id="rId50" Type="http://schemas.openxmlformats.org/officeDocument/2006/relationships/hyperlink" Target="https://drive.google.com/file/d/11C3PuujPrceK0qaiDWuphNrPcrKRhbop/view?usp=drivesdk" TargetMode="External"/><Relationship Id="rId53" Type="http://schemas.openxmlformats.org/officeDocument/2006/relationships/hyperlink" Target="https://lh5.googleusercontent.com/d/1ObrArqz13tf3TQk3pCQpVTI2BLG5Fs44" TargetMode="External"/><Relationship Id="rId52" Type="http://schemas.openxmlformats.org/officeDocument/2006/relationships/hyperlink" Target="https://drive.google.com/file/d/18mmIqD_PfkLcqt085K-RkdmVzenax19G/view?usp=drivesdk" TargetMode="External"/><Relationship Id="rId55" Type="http://schemas.openxmlformats.org/officeDocument/2006/relationships/hyperlink" Target="https://lh5.googleusercontent.com/d/1_6Bjxgc4hL7jt53-UUGGFbdYDsk6Q21d" TargetMode="External"/><Relationship Id="rId54" Type="http://schemas.openxmlformats.org/officeDocument/2006/relationships/hyperlink" Target="https://drive.google.com/file/d/1wYk0oVHgMMuUzYfWgFHJNngRTm6LMG3S/view?usp=drivesdk" TargetMode="External"/><Relationship Id="rId57" Type="http://schemas.openxmlformats.org/officeDocument/2006/relationships/hyperlink" Target="https://lh5.googleusercontent.com/d/12p33K5ine2GuxqWLMuC-MNVWtueug_a7" TargetMode="External"/><Relationship Id="rId56" Type="http://schemas.openxmlformats.org/officeDocument/2006/relationships/hyperlink" Target="https://drive.google.com/file/d/10UlmbKAU7D19shN0UaKPRHmV-8FdL3H0/view?usp=drivesdk" TargetMode="External"/><Relationship Id="rId59" Type="http://schemas.openxmlformats.org/officeDocument/2006/relationships/hyperlink" Target="https://lh5.googleusercontent.com/d/1VHYosnsqewod1845-ypEo1Yv7DlWHFgG" TargetMode="External"/><Relationship Id="rId58" Type="http://schemas.openxmlformats.org/officeDocument/2006/relationships/hyperlink" Target="https://drive.google.com/file/d/1Y1mo4XglJl5NusUAQRkrybWVaIAY2PjI/view?usp=drivesdk" TargetMode="External"/><Relationship Id="rId349" Type="http://schemas.openxmlformats.org/officeDocument/2006/relationships/hyperlink" Target="https://lh5.googleusercontent.com/d/1_fYB-T4uWs3xkVxF6Ma6_Tfh_tZMqRwL" TargetMode="External"/><Relationship Id="rId348" Type="http://schemas.openxmlformats.org/officeDocument/2006/relationships/hyperlink" Target="https://drive.google.com/file/d/10iq56HJVgzbRl6qphN3inRzCqotCOiwQ/view?usp=drivesdk" TargetMode="External"/><Relationship Id="rId347" Type="http://schemas.openxmlformats.org/officeDocument/2006/relationships/hyperlink" Target="https://lh5.googleusercontent.com/d/1xNKDCcB6ibdAJWQq4o3-owjr28J_sNRb" TargetMode="External"/><Relationship Id="rId346" Type="http://schemas.openxmlformats.org/officeDocument/2006/relationships/hyperlink" Target="https://drive.google.com/file/d/1RUtIK4j61Cr5yncGL-xTr8RyWQo3_vrR/view?usp=drivesdk" TargetMode="External"/><Relationship Id="rId341" Type="http://schemas.openxmlformats.org/officeDocument/2006/relationships/hyperlink" Target="https://lh5.googleusercontent.com/d/1WNOWa-3Ck494Mfgb7Owp-tit4GyAq5Wk" TargetMode="External"/><Relationship Id="rId340" Type="http://schemas.openxmlformats.org/officeDocument/2006/relationships/hyperlink" Target="https://drive.google.com/file/d/1YOs0siK3HvZkadlFek3AUIajBY3ZRV7v/view?usp=drivesdk" TargetMode="External"/><Relationship Id="rId345" Type="http://schemas.openxmlformats.org/officeDocument/2006/relationships/hyperlink" Target="https://lh5.googleusercontent.com/d/1jQrSA0FHBHPDKopDdBr7yC3wV2xcZJnV" TargetMode="External"/><Relationship Id="rId344" Type="http://schemas.openxmlformats.org/officeDocument/2006/relationships/hyperlink" Target="https://drive.google.com/file/d/19Ah8QThWs5dH_G3r0BjLGoW9XbuiZi-i/view?usp=drivesdk" TargetMode="External"/><Relationship Id="rId343" Type="http://schemas.openxmlformats.org/officeDocument/2006/relationships/hyperlink" Target="https://lh5.googleusercontent.com/d/1BTFDJGXQ93oY09tn4F6CQgoUHXJnVd4M" TargetMode="External"/><Relationship Id="rId342" Type="http://schemas.openxmlformats.org/officeDocument/2006/relationships/hyperlink" Target="https://drive.google.com/file/d/1-PzByfjHFQ_xJ3zTGBITHEenrs22HJpW/view?usp=drivesdk" TargetMode="External"/><Relationship Id="rId338" Type="http://schemas.openxmlformats.org/officeDocument/2006/relationships/hyperlink" Target="https://drive.google.com/file/d/1QVoqc4VAwf6aL_fChRdyehn_k8u27H__/view?usp=drivesdk" TargetMode="External"/><Relationship Id="rId337" Type="http://schemas.openxmlformats.org/officeDocument/2006/relationships/hyperlink" Target="https://lh5.googleusercontent.com/d/1Gl82B-4GturVj2_41NSl0_XTrjmdUP6i" TargetMode="External"/><Relationship Id="rId336" Type="http://schemas.openxmlformats.org/officeDocument/2006/relationships/hyperlink" Target="https://drive.google.com/file/d/13x04rw6IhaiS9T1jCW3-533kVamUJVcb/view?usp=drivesdk" TargetMode="External"/><Relationship Id="rId335" Type="http://schemas.openxmlformats.org/officeDocument/2006/relationships/hyperlink" Target="https://lh5.googleusercontent.com/d/1BfUm6YK7uBQeC0nfY-RlERY8vFOLnLtF" TargetMode="External"/><Relationship Id="rId339" Type="http://schemas.openxmlformats.org/officeDocument/2006/relationships/hyperlink" Target="https://lh5.googleusercontent.com/d/1JCp4SwUEFrKBi0ymyxwNLU1LvaThVYSP" TargetMode="External"/><Relationship Id="rId330" Type="http://schemas.openxmlformats.org/officeDocument/2006/relationships/hyperlink" Target="https://drive.google.com/file/d/1FvcnE7uo4EB9POaybr6QgenAob35CQPf/view?usp=drivesdk" TargetMode="External"/><Relationship Id="rId334" Type="http://schemas.openxmlformats.org/officeDocument/2006/relationships/hyperlink" Target="https://drive.google.com/file/d/1hEb8cA_083_iWX6okqStHGrR8QB5YLPE/view?usp=drivesdk" TargetMode="External"/><Relationship Id="rId333" Type="http://schemas.openxmlformats.org/officeDocument/2006/relationships/hyperlink" Target="https://lh5.googleusercontent.com/d/1i_H4THS1r0cClISPtwFd1vG62YEHRhyx" TargetMode="External"/><Relationship Id="rId332" Type="http://schemas.openxmlformats.org/officeDocument/2006/relationships/hyperlink" Target="https://drive.google.com/file/d/1LsBMy2jjTXwx6ctm2XC9dcRkV8jnfI5B/view?usp=drivesdk" TargetMode="External"/><Relationship Id="rId331" Type="http://schemas.openxmlformats.org/officeDocument/2006/relationships/hyperlink" Target="https://lh5.googleusercontent.com/d/17d0Ic-iNqb8xxpREr9D3ka3js28blfxh" TargetMode="External"/><Relationship Id="rId370" Type="http://schemas.openxmlformats.org/officeDocument/2006/relationships/hyperlink" Target="https://drive.google.com/file/d/1eaJAq5-gX6TTC91i6h-aJDv3ZqnA7E8h/view?usp=drivesdk" TargetMode="External"/><Relationship Id="rId369" Type="http://schemas.openxmlformats.org/officeDocument/2006/relationships/hyperlink" Target="https://lh5.googleusercontent.com/d/1t8EiZfTpWa3RmjLO80pr8iEiZdbhoEOu" TargetMode="External"/><Relationship Id="rId368" Type="http://schemas.openxmlformats.org/officeDocument/2006/relationships/hyperlink" Target="https://drive.google.com/file/d/1yIOSt4_o4YoN16afzI5ak7Tba5F__y-z/view?usp=drivesdk" TargetMode="External"/><Relationship Id="rId363" Type="http://schemas.openxmlformats.org/officeDocument/2006/relationships/hyperlink" Target="https://lh5.googleusercontent.com/d/18sd7q3b_MA7TuJRG9Oo1aoKXQMaDxB1T" TargetMode="External"/><Relationship Id="rId362" Type="http://schemas.openxmlformats.org/officeDocument/2006/relationships/hyperlink" Target="https://drive.google.com/file/d/1GXk6N1zZKzlk0VUElK-UQtG1NV18VJmf/view?usp=drivesdk" TargetMode="External"/><Relationship Id="rId361" Type="http://schemas.openxmlformats.org/officeDocument/2006/relationships/hyperlink" Target="https://lh5.googleusercontent.com/d/1g4skPizjIrfPYW-FRY7TSg9lXxQJPxcP" TargetMode="External"/><Relationship Id="rId360" Type="http://schemas.openxmlformats.org/officeDocument/2006/relationships/hyperlink" Target="https://drive.google.com/file/d/1PqQKv10V-w6f8l-FJIGATCsIgsg6yOWD/view?usp=drivesdk" TargetMode="External"/><Relationship Id="rId367" Type="http://schemas.openxmlformats.org/officeDocument/2006/relationships/hyperlink" Target="https://lh5.googleusercontent.com/d/15xSvkOMhCviwx43594NKkHDLS--QIvKN" TargetMode="External"/><Relationship Id="rId366" Type="http://schemas.openxmlformats.org/officeDocument/2006/relationships/hyperlink" Target="https://drive.google.com/file/d/1RgVhCgBQ9zFBS8W1MLtx227ktcH8T77a/view?usp=drivesdk" TargetMode="External"/><Relationship Id="rId365" Type="http://schemas.openxmlformats.org/officeDocument/2006/relationships/hyperlink" Target="https://lh5.googleusercontent.com/d/1pQGaPj-aKK8dxfviLM8TKyYZBgexbHOJ" TargetMode="External"/><Relationship Id="rId364" Type="http://schemas.openxmlformats.org/officeDocument/2006/relationships/hyperlink" Target="https://drive.google.com/file/d/1ALL7kko30xYMdq4ASfORTsCFrwCUwY4k/view?usp=drivesdk" TargetMode="External"/><Relationship Id="rId95" Type="http://schemas.openxmlformats.org/officeDocument/2006/relationships/hyperlink" Target="https://lh5.googleusercontent.com/d/1ZstqOJfX9PkZYJJoGQMM0fK46oPJISwF" TargetMode="External"/><Relationship Id="rId94" Type="http://schemas.openxmlformats.org/officeDocument/2006/relationships/hyperlink" Target="https://drive.google.com/file/d/1Nz4g2eVenTCfZuE2MVQ79086bdK3AlYz/view?usp=drivesdk" TargetMode="External"/><Relationship Id="rId97" Type="http://schemas.openxmlformats.org/officeDocument/2006/relationships/hyperlink" Target="https://lh5.googleusercontent.com/d/1ehZH4b-AA8sF9Vsq4SdIV6GRKkSmgP6U" TargetMode="External"/><Relationship Id="rId96" Type="http://schemas.openxmlformats.org/officeDocument/2006/relationships/hyperlink" Target="https://drive.google.com/file/d/1UKNEZvg-jNVCP4T7VjfwaeJuFSysFBYo/view?usp=drivesdk" TargetMode="External"/><Relationship Id="rId99" Type="http://schemas.openxmlformats.org/officeDocument/2006/relationships/hyperlink" Target="https://lh5.googleusercontent.com/d/1Tc8ENbmb2ObkWAlEuwNzhwOYP3lwDSZC" TargetMode="External"/><Relationship Id="rId98" Type="http://schemas.openxmlformats.org/officeDocument/2006/relationships/hyperlink" Target="https://drive.google.com/file/d/1T1DvGkRwCuxphxmjMMtDDTPeB4QO1Cbr/view?usp=drivesdk" TargetMode="External"/><Relationship Id="rId91" Type="http://schemas.openxmlformats.org/officeDocument/2006/relationships/hyperlink" Target="https://lh5.googleusercontent.com/d/1eFQ-7RhICLbRMoahXBkrZRQYCzw5yUBe" TargetMode="External"/><Relationship Id="rId90" Type="http://schemas.openxmlformats.org/officeDocument/2006/relationships/hyperlink" Target="https://drive.google.com/file/d/1a1PrnX2xasaL24lQ2i5-_15_4hjxv2qj/view?usp=drivesdk" TargetMode="External"/><Relationship Id="rId93" Type="http://schemas.openxmlformats.org/officeDocument/2006/relationships/hyperlink" Target="https://lh5.googleusercontent.com/d/1YFvb4HAqi0se-G3NZsMW8oos83wOJ02A" TargetMode="External"/><Relationship Id="rId92" Type="http://schemas.openxmlformats.org/officeDocument/2006/relationships/hyperlink" Target="https://drive.google.com/file/d/14Co082o2_xTVxJ7TtAjI7T5JhTz1TRju/view?usp=drivesdk" TargetMode="External"/><Relationship Id="rId359" Type="http://schemas.openxmlformats.org/officeDocument/2006/relationships/hyperlink" Target="https://lh5.googleusercontent.com/d/1ivMCdoc9BYhNuRacs_VzFipEPkCiwDme" TargetMode="External"/><Relationship Id="rId358" Type="http://schemas.openxmlformats.org/officeDocument/2006/relationships/hyperlink" Target="https://drive.google.com/file/d/1oWNAlCXwSPK3eoFLjRQD7G8GI9XL_Swf/view?usp=drivesdk" TargetMode="External"/><Relationship Id="rId357" Type="http://schemas.openxmlformats.org/officeDocument/2006/relationships/hyperlink" Target="https://lh5.googleusercontent.com/d/1xNHCS575TN374TuzOpHRzUmt6He6iO2w" TargetMode="External"/><Relationship Id="rId352" Type="http://schemas.openxmlformats.org/officeDocument/2006/relationships/hyperlink" Target="https://drive.google.com/file/d/18mZ3tBW54pyWu5EvY4SwzIJXo8gSvagQ/view?usp=drivesdk" TargetMode="External"/><Relationship Id="rId351" Type="http://schemas.openxmlformats.org/officeDocument/2006/relationships/hyperlink" Target="https://lh5.googleusercontent.com/d/1R6piRsZKL31g52NCGJ5GbvvJwVkDnAWG" TargetMode="External"/><Relationship Id="rId350" Type="http://schemas.openxmlformats.org/officeDocument/2006/relationships/hyperlink" Target="https://drive.google.com/file/d/1YiUccDJw2AS6iPMD7YYd-hUTyn_gVANp/view?usp=drivesdk" TargetMode="External"/><Relationship Id="rId356" Type="http://schemas.openxmlformats.org/officeDocument/2006/relationships/hyperlink" Target="https://drive.google.com/file/d/1jaqyXi_1G320fxngdPXAHvUn_AS3XeQO/view?usp=drivesdk" TargetMode="External"/><Relationship Id="rId355" Type="http://schemas.openxmlformats.org/officeDocument/2006/relationships/hyperlink" Target="https://lh5.googleusercontent.com/d/1U7Sm12Xfuc6c6YeKOnUELhZPSRgie5TC" TargetMode="External"/><Relationship Id="rId354" Type="http://schemas.openxmlformats.org/officeDocument/2006/relationships/hyperlink" Target="https://drive.google.com/file/d/14FyqEBnlS6WEWOKAUvPJLmvP3UEfW8v4/view?usp=drivesdk" TargetMode="External"/><Relationship Id="rId353" Type="http://schemas.openxmlformats.org/officeDocument/2006/relationships/hyperlink" Target="https://lh5.googleusercontent.com/d/1_l4NNQxikAnZJ9k49_dMd_bwDRG-rHGg" TargetMode="External"/><Relationship Id="rId305" Type="http://schemas.openxmlformats.org/officeDocument/2006/relationships/hyperlink" Target="https://lh5.googleusercontent.com/d/1qi_9Eoto5k9xoZ5k4xrzOwny8RKvrgc0" TargetMode="External"/><Relationship Id="rId304" Type="http://schemas.openxmlformats.org/officeDocument/2006/relationships/hyperlink" Target="https://drive.google.com/file/d/1rrGtxo-kCxFo3WoqiJHHGB7pKCYO1Zjc/view?usp=drivesdk" TargetMode="External"/><Relationship Id="rId303" Type="http://schemas.openxmlformats.org/officeDocument/2006/relationships/hyperlink" Target="https://lh5.googleusercontent.com/d/1n0uIQFPkHwxhy-tKxT4hCxDv8eKAqmST" TargetMode="External"/><Relationship Id="rId302" Type="http://schemas.openxmlformats.org/officeDocument/2006/relationships/hyperlink" Target="https://drive.google.com/file/d/1Q3VF6NLjOliftnzfWUZ7TFeQIixXSi9_/view?usp=drivesdk" TargetMode="External"/><Relationship Id="rId309" Type="http://schemas.openxmlformats.org/officeDocument/2006/relationships/hyperlink" Target="https://lh5.googleusercontent.com/d/1pucB0q2JWzCNhBuhaFskw7HjcDtKG202" TargetMode="External"/><Relationship Id="rId308" Type="http://schemas.openxmlformats.org/officeDocument/2006/relationships/hyperlink" Target="https://drive.google.com/file/d/1vzddASGG2fjzLwgbxSY8ydSILUllZwhb/view?usp=drivesdk" TargetMode="External"/><Relationship Id="rId307" Type="http://schemas.openxmlformats.org/officeDocument/2006/relationships/hyperlink" Target="https://lh5.googleusercontent.com/d/1QY0K6mCi0-E17q2JFLC4gb7sRsLwhL8T" TargetMode="External"/><Relationship Id="rId306" Type="http://schemas.openxmlformats.org/officeDocument/2006/relationships/hyperlink" Target="https://drive.google.com/file/d/1xrZRVHM0Y41gT6i6FlfqEHC9aBzolUgT/view?usp=drivesdk" TargetMode="External"/><Relationship Id="rId301" Type="http://schemas.openxmlformats.org/officeDocument/2006/relationships/hyperlink" Target="https://lh5.googleusercontent.com/d/1YgGEyy2XXktxlRC0tvJ9wJhnAvKRfQNX" TargetMode="External"/><Relationship Id="rId300" Type="http://schemas.openxmlformats.org/officeDocument/2006/relationships/hyperlink" Target="https://drive.google.com/file/d/1KUmaurSC8OudglWRoyyxj3NrXFknzczh/view?usp=drivesdk" TargetMode="External"/><Relationship Id="rId327" Type="http://schemas.openxmlformats.org/officeDocument/2006/relationships/hyperlink" Target="https://lh5.googleusercontent.com/d/19Lh-HGoZo8gZalfOBT7EySeLPImExjqZ" TargetMode="External"/><Relationship Id="rId326" Type="http://schemas.openxmlformats.org/officeDocument/2006/relationships/hyperlink" Target="https://drive.google.com/file/d/1o8rJnGuaJ9sDSGDsFjODqScvr-dQVcVT/view?usp=drivesdk" TargetMode="External"/><Relationship Id="rId325" Type="http://schemas.openxmlformats.org/officeDocument/2006/relationships/hyperlink" Target="https://lh5.googleusercontent.com/d/1oUT6oTn5Cpp3HY2pdh6ZptvAjzeuVUbc" TargetMode="External"/><Relationship Id="rId324" Type="http://schemas.openxmlformats.org/officeDocument/2006/relationships/hyperlink" Target="https://drive.google.com/file/d/15rH3UoJC2-orXzB1WKzJM8lEEkSkVT3b/view?usp=drivesdk" TargetMode="External"/><Relationship Id="rId329" Type="http://schemas.openxmlformats.org/officeDocument/2006/relationships/hyperlink" Target="https://lh5.googleusercontent.com/d/1caoHGrE6OQiEBFJzDDdJHNhSw9DrXToT" TargetMode="External"/><Relationship Id="rId328" Type="http://schemas.openxmlformats.org/officeDocument/2006/relationships/hyperlink" Target="https://drive.google.com/file/d/1FeSIRYXs-rUaYvJcspFZlVAVnKVio874/view?usp=drivesdk" TargetMode="External"/><Relationship Id="rId323" Type="http://schemas.openxmlformats.org/officeDocument/2006/relationships/hyperlink" Target="https://lh5.googleusercontent.com/d/1t5EjYOEoDbFdvJQSKlv_onTOeYMqF-xH" TargetMode="External"/><Relationship Id="rId322" Type="http://schemas.openxmlformats.org/officeDocument/2006/relationships/hyperlink" Target="https://drive.google.com/file/d/11gKdIYk8Jdya-aR9CEAYWFqWVfkPLAmi/view?usp=drivesdk" TargetMode="External"/><Relationship Id="rId321" Type="http://schemas.openxmlformats.org/officeDocument/2006/relationships/hyperlink" Target="https://lh5.googleusercontent.com/d/1q-HYJqj0OXIOyLO3d0DukO6AiyjUK99g" TargetMode="External"/><Relationship Id="rId320" Type="http://schemas.openxmlformats.org/officeDocument/2006/relationships/hyperlink" Target="https://drive.google.com/file/d/1YIaYzNiqo6lDrX2qwTkyQKbCpQ8PeyF8/view?usp=drivesdk" TargetMode="External"/><Relationship Id="rId316" Type="http://schemas.openxmlformats.org/officeDocument/2006/relationships/hyperlink" Target="https://drive.google.com/file/d/1rXnjFbVi121LLfQMyWsJLEkGR-WLz1NF/view?usp=drivesdk" TargetMode="External"/><Relationship Id="rId315" Type="http://schemas.openxmlformats.org/officeDocument/2006/relationships/hyperlink" Target="https://lh5.googleusercontent.com/d/1TbAoMz5_tPEB7oSv6-rUUFaX_Pl-qV6v" TargetMode="External"/><Relationship Id="rId314" Type="http://schemas.openxmlformats.org/officeDocument/2006/relationships/hyperlink" Target="https://drive.google.com/file/d/1mA-AMzsqUR9DP7G3GuCUS0EV_J1xknPs/view?usp=drivesdk" TargetMode="External"/><Relationship Id="rId313" Type="http://schemas.openxmlformats.org/officeDocument/2006/relationships/hyperlink" Target="https://lh5.googleusercontent.com/d/1vmLO-amYNnSwN0X9z-VbcDS46w2G3Uuv" TargetMode="External"/><Relationship Id="rId319" Type="http://schemas.openxmlformats.org/officeDocument/2006/relationships/hyperlink" Target="https://lh5.googleusercontent.com/d/1DWWwS7e0nIF3lvvTGXx-f0kZkQUdJvRa" TargetMode="External"/><Relationship Id="rId318" Type="http://schemas.openxmlformats.org/officeDocument/2006/relationships/hyperlink" Target="https://drive.google.com/file/d/1uat3Q0OveUqIU4cB-muMZ1oDFGHnNCKj/view?usp=drivesdk" TargetMode="External"/><Relationship Id="rId317" Type="http://schemas.openxmlformats.org/officeDocument/2006/relationships/hyperlink" Target="https://lh5.googleusercontent.com/d/1lCeFnO1VJTga-qisUh7HX7RpUJP52_pn" TargetMode="External"/><Relationship Id="rId312" Type="http://schemas.openxmlformats.org/officeDocument/2006/relationships/hyperlink" Target="https://drive.google.com/file/d/17DSjvdkbecLNTRJKAMhjdM03TOq8wy2b/view?usp=drivesdk" TargetMode="External"/><Relationship Id="rId311" Type="http://schemas.openxmlformats.org/officeDocument/2006/relationships/hyperlink" Target="https://lh5.googleusercontent.com/d/18KyBwdY2nFBkBNMUEhkKRxu7zVl42Icr" TargetMode="External"/><Relationship Id="rId310" Type="http://schemas.openxmlformats.org/officeDocument/2006/relationships/hyperlink" Target="https://drive.google.com/file/d/12yOpT3Ko0pte2TIKO3ygMX7SZGN4vTQm/view?usp=drivesdk" TargetMode="External"/><Relationship Id="rId297" Type="http://schemas.openxmlformats.org/officeDocument/2006/relationships/hyperlink" Target="https://lh5.googleusercontent.com/d/1kpVjfQU1p_46AzinGaokuMJLdSnCc3MR" TargetMode="External"/><Relationship Id="rId296" Type="http://schemas.openxmlformats.org/officeDocument/2006/relationships/hyperlink" Target="https://drive.google.com/file/d/1md5Y3Jf3g_kyYATqEr-qyLV2kUZsIJ9z/view?usp=drivesdk" TargetMode="External"/><Relationship Id="rId295" Type="http://schemas.openxmlformats.org/officeDocument/2006/relationships/hyperlink" Target="https://lh5.googleusercontent.com/d/1340uADwZN53fBb5vZU9yU6W1EUuOAFNL" TargetMode="External"/><Relationship Id="rId294" Type="http://schemas.openxmlformats.org/officeDocument/2006/relationships/hyperlink" Target="https://drive.google.com/file/d/1yhd1fZeWtUxM5vM8da2nCpYYK6_sEPWs/view?usp=drivesdk" TargetMode="External"/><Relationship Id="rId299" Type="http://schemas.openxmlformats.org/officeDocument/2006/relationships/hyperlink" Target="https://lh5.googleusercontent.com/d/10ZEOpdOi53_NaqmIGVhHDzT6tOT60ZQI" TargetMode="External"/><Relationship Id="rId298" Type="http://schemas.openxmlformats.org/officeDocument/2006/relationships/hyperlink" Target="https://drive.google.com/file/d/1Unk371TPaz0HhA7yYIp7FYeXgZ-FkuJ1/view?usp=drivesdk" TargetMode="External"/><Relationship Id="rId271" Type="http://schemas.openxmlformats.org/officeDocument/2006/relationships/hyperlink" Target="https://lh5.googleusercontent.com/d/1ZFoxIwtqrKYdY4WolPukYwiygm5AE8DN" TargetMode="External"/><Relationship Id="rId270" Type="http://schemas.openxmlformats.org/officeDocument/2006/relationships/hyperlink" Target="https://drive.google.com/file/d/18TeaPDUzrLKO9E8-5Fen7ULACEzscqOf/view?usp=drivesdk" TargetMode="External"/><Relationship Id="rId269" Type="http://schemas.openxmlformats.org/officeDocument/2006/relationships/hyperlink" Target="https://lh5.googleusercontent.com/d/1WnMhCHTnCACz9P02DlsFd_wfeeRBlVh1" TargetMode="External"/><Relationship Id="rId264" Type="http://schemas.openxmlformats.org/officeDocument/2006/relationships/hyperlink" Target="https://drive.google.com/file/d/1NJKwM7hkvdm_moTdD8BYwSx80r5yTZtV/view?usp=drivesdk" TargetMode="External"/><Relationship Id="rId263" Type="http://schemas.openxmlformats.org/officeDocument/2006/relationships/hyperlink" Target="https://lh5.googleusercontent.com/d/1mv2-Dpao_fzSXfNwzqPWs2a3KaoDyGxI" TargetMode="External"/><Relationship Id="rId262" Type="http://schemas.openxmlformats.org/officeDocument/2006/relationships/hyperlink" Target="https://drive.google.com/file/d/1jLPY_sL7D6yLnzsWRLmziE7RO9UkPS06/view?usp=drivesdk" TargetMode="External"/><Relationship Id="rId261" Type="http://schemas.openxmlformats.org/officeDocument/2006/relationships/hyperlink" Target="https://lh5.googleusercontent.com/d/1Z-DHSiMlj2p9R3UDt277NmpyO_rGtaQH" TargetMode="External"/><Relationship Id="rId268" Type="http://schemas.openxmlformats.org/officeDocument/2006/relationships/hyperlink" Target="https://drive.google.com/file/d/1B0HFbLL8gPB4nlyoOhN3CsSKMkW1E3dS/view?usp=drivesdk" TargetMode="External"/><Relationship Id="rId267" Type="http://schemas.openxmlformats.org/officeDocument/2006/relationships/hyperlink" Target="https://lh5.googleusercontent.com/d/12sVq_uU0ThbrDizaWzULHG3ZskfoGSWT" TargetMode="External"/><Relationship Id="rId266" Type="http://schemas.openxmlformats.org/officeDocument/2006/relationships/hyperlink" Target="https://drive.google.com/file/d/1ldDu1LxFWbyVLff3E_WJXC_Umhe0856j/view?usp=drivesdk" TargetMode="External"/><Relationship Id="rId265" Type="http://schemas.openxmlformats.org/officeDocument/2006/relationships/hyperlink" Target="https://lh5.googleusercontent.com/d/1SxgqyUu_XmFFZYgpN4QrgQKjtmJUskqs" TargetMode="External"/><Relationship Id="rId260" Type="http://schemas.openxmlformats.org/officeDocument/2006/relationships/hyperlink" Target="https://drive.google.com/file/d/1Ad1vrpHd2z91YekxedO0XDtbfiJT6hQk/view?usp=drivesdk" TargetMode="External"/><Relationship Id="rId259" Type="http://schemas.openxmlformats.org/officeDocument/2006/relationships/hyperlink" Target="https://lh5.googleusercontent.com/d/1ISVhnz9b-qVw4Bw-KiK6C7KOlNeIDy21" TargetMode="External"/><Relationship Id="rId258" Type="http://schemas.openxmlformats.org/officeDocument/2006/relationships/hyperlink" Target="https://drive.google.com/file/d/1iKkcmHHeldIbU5Sv_JB3QGXxnBSvLjxo/view?usp=drivesdk" TargetMode="External"/><Relationship Id="rId253" Type="http://schemas.openxmlformats.org/officeDocument/2006/relationships/hyperlink" Target="https://lh5.googleusercontent.com/d/1Rrxech3HVaFGn7CaxbjGT-SsoiTaq_wK" TargetMode="External"/><Relationship Id="rId252" Type="http://schemas.openxmlformats.org/officeDocument/2006/relationships/hyperlink" Target="https://drive.google.com/file/d/1DVkavC91H0nAUbeXxAPXm0b0CupY1gQu/view?usp=drivesdk" TargetMode="External"/><Relationship Id="rId251" Type="http://schemas.openxmlformats.org/officeDocument/2006/relationships/hyperlink" Target="https://lh5.googleusercontent.com/d/1sfKzz0me-cKCKyW9JBqhSjZluNjMXu7B" TargetMode="External"/><Relationship Id="rId250" Type="http://schemas.openxmlformats.org/officeDocument/2006/relationships/hyperlink" Target="https://drive.google.com/file/d/18dg6YpTZdBYt2kcudhKCbWjEUwPoUiRF/view?usp=drivesdk" TargetMode="External"/><Relationship Id="rId257" Type="http://schemas.openxmlformats.org/officeDocument/2006/relationships/hyperlink" Target="https://lh5.googleusercontent.com/d/1xNiipbcM52RIhc5VzhO4tbHgIhC5O3Zn" TargetMode="External"/><Relationship Id="rId256" Type="http://schemas.openxmlformats.org/officeDocument/2006/relationships/hyperlink" Target="https://drive.google.com/file/d/1sIo0-3CJiwQ0m2YyjBboDB1HFDE7YKXn/view?usp=drivesdk" TargetMode="External"/><Relationship Id="rId255" Type="http://schemas.openxmlformats.org/officeDocument/2006/relationships/hyperlink" Target="https://lh5.googleusercontent.com/d/1aSGhX9KtXGJosCDjwVar-VLWZuO9DRGe" TargetMode="External"/><Relationship Id="rId254" Type="http://schemas.openxmlformats.org/officeDocument/2006/relationships/hyperlink" Target="https://drive.google.com/file/d/1JI37JOlfm_WqCJ4UmEMjy9NtBb8UMILS/view?usp=drivesdk" TargetMode="External"/><Relationship Id="rId293" Type="http://schemas.openxmlformats.org/officeDocument/2006/relationships/hyperlink" Target="https://lh5.googleusercontent.com/d/1sO42SmCbVHwZX1bUP-31yuyg4rqk7LsD" TargetMode="External"/><Relationship Id="rId292" Type="http://schemas.openxmlformats.org/officeDocument/2006/relationships/hyperlink" Target="https://drive.google.com/file/d/1O_6N3NAravtPgdBMezXA8eeqSu3zaukj/view?usp=drivesdk" TargetMode="External"/><Relationship Id="rId291" Type="http://schemas.openxmlformats.org/officeDocument/2006/relationships/hyperlink" Target="https://lh5.googleusercontent.com/d/1-fdEDyZqOWFxRw2LSPuVm2N0L3iF95DC" TargetMode="External"/><Relationship Id="rId290" Type="http://schemas.openxmlformats.org/officeDocument/2006/relationships/hyperlink" Target="https://drive.google.com/file/d/1zhWCLouThwdLs4M5_IjqeC0bBAU3S7h9/view?usp=drivesdk" TargetMode="External"/><Relationship Id="rId286" Type="http://schemas.openxmlformats.org/officeDocument/2006/relationships/hyperlink" Target="https://drive.google.com/file/d/1H3wqi4jJ6g-Pe0S14wE2hCedX7UdevEp/view?usp=drivesdk" TargetMode="External"/><Relationship Id="rId285" Type="http://schemas.openxmlformats.org/officeDocument/2006/relationships/hyperlink" Target="https://lh5.googleusercontent.com/d/18L-i0s0N4Vmg--9OBn4JhQlblw7c-Fid" TargetMode="External"/><Relationship Id="rId284" Type="http://schemas.openxmlformats.org/officeDocument/2006/relationships/hyperlink" Target="https://drive.google.com/file/d/1R0Kww1D2rifJMNnQIb8qhkX3Ecf1sUOA/view?usp=drivesdk" TargetMode="External"/><Relationship Id="rId283" Type="http://schemas.openxmlformats.org/officeDocument/2006/relationships/hyperlink" Target="https://lh5.googleusercontent.com/d/1EWnfSRUOLKR4y6hTO_fNbhDKMZM1VHXc" TargetMode="External"/><Relationship Id="rId289" Type="http://schemas.openxmlformats.org/officeDocument/2006/relationships/hyperlink" Target="https://lh5.googleusercontent.com/d/1lF7PLi7sGn3J2CE11wwvhWk2QhYJpQQR" TargetMode="External"/><Relationship Id="rId288" Type="http://schemas.openxmlformats.org/officeDocument/2006/relationships/hyperlink" Target="https://drive.google.com/file/d/1KdvivLwHQn0mx9sSUa_f8h2RXqZpSOsS/view?usp=drivesdk" TargetMode="External"/><Relationship Id="rId287" Type="http://schemas.openxmlformats.org/officeDocument/2006/relationships/hyperlink" Target="https://lh5.googleusercontent.com/d/1bStCedML83ypehPlnERac1aPzSAAIipi" TargetMode="External"/><Relationship Id="rId282" Type="http://schemas.openxmlformats.org/officeDocument/2006/relationships/hyperlink" Target="https://drive.google.com/file/d/1Jne6UCSp5il6enuK0JW7gejzeOfMIrUL/view?usp=drivesdk" TargetMode="External"/><Relationship Id="rId281" Type="http://schemas.openxmlformats.org/officeDocument/2006/relationships/hyperlink" Target="https://lh5.googleusercontent.com/d/1E9X1P0aU-4Z_egKlLMQxHecgS4ZrF1HA" TargetMode="External"/><Relationship Id="rId280" Type="http://schemas.openxmlformats.org/officeDocument/2006/relationships/hyperlink" Target="https://drive.google.com/file/d/12TEWEwk-gwVVmssLZMI4TEMag0AtWv74/view?usp=drivesdk" TargetMode="External"/><Relationship Id="rId275" Type="http://schemas.openxmlformats.org/officeDocument/2006/relationships/hyperlink" Target="https://lh5.googleusercontent.com/d/1adXtDlMchO1knw96_E1Co-dZD5TWTdlC" TargetMode="External"/><Relationship Id="rId274" Type="http://schemas.openxmlformats.org/officeDocument/2006/relationships/hyperlink" Target="https://drive.google.com/file/d/1QAmjWTZ-6cEbqXPfV5UowvSZsW6RT3sM/view?usp=drivesdk" TargetMode="External"/><Relationship Id="rId273" Type="http://schemas.openxmlformats.org/officeDocument/2006/relationships/hyperlink" Target="https://lh5.googleusercontent.com/d/1roKTWIXFAw__4Mt4zpF0BepBnxbl-Vgj" TargetMode="External"/><Relationship Id="rId272" Type="http://schemas.openxmlformats.org/officeDocument/2006/relationships/hyperlink" Target="https://drive.google.com/file/d/1V20EZm-5tdCtoqKvbHCdW-b5ZWLR6DtM/view?usp=drivesdk" TargetMode="External"/><Relationship Id="rId279" Type="http://schemas.openxmlformats.org/officeDocument/2006/relationships/hyperlink" Target="https://lh5.googleusercontent.com/d/1vYVcf3Jsi8UHxYbdlo5qrw4CJzN-5jjk" TargetMode="External"/><Relationship Id="rId278" Type="http://schemas.openxmlformats.org/officeDocument/2006/relationships/hyperlink" Target="https://drive.google.com/file/d/1cahhGNB5lZ-wNU9y-ihpqWDgRKbH2kBm/view?usp=drivesdk" TargetMode="External"/><Relationship Id="rId277" Type="http://schemas.openxmlformats.org/officeDocument/2006/relationships/hyperlink" Target="https://lh5.googleusercontent.com/d/15ozbSqtAVMftHTcR0qJhTVKiFhPNdo_P" TargetMode="External"/><Relationship Id="rId276" Type="http://schemas.openxmlformats.org/officeDocument/2006/relationships/hyperlink" Target="https://drive.google.com/file/d/1QrjiYmELmYlLJvlQoQPKvh-yiK6S8GSS/view?usp=drivesdk" TargetMode="External"/><Relationship Id="rId1059" Type="http://schemas.openxmlformats.org/officeDocument/2006/relationships/hyperlink" Target="https://drive.google.com/file/d/11fKA91VjFMZunqAqkaM8ff7mvrJPTqHp/view?usp=drivesdk" TargetMode="External"/><Relationship Id="rId228" Type="http://schemas.openxmlformats.org/officeDocument/2006/relationships/hyperlink" Target="https://drive.google.com/file/d/1NpCNB3p0rlyR_M8IMscZDfcrXm-jzX5j/view?usp=drivesdk" TargetMode="External"/><Relationship Id="rId227" Type="http://schemas.openxmlformats.org/officeDocument/2006/relationships/hyperlink" Target="https://lh5.googleusercontent.com/d/1PW-v8KpI_piNdM152ukNebBVQGNntUeh" TargetMode="External"/><Relationship Id="rId226" Type="http://schemas.openxmlformats.org/officeDocument/2006/relationships/hyperlink" Target="https://drive.google.com/file/d/1tJxdkdAcGDP_YG-hBdWVSO0CLryV4TIf/view?usp=drivesdk" TargetMode="External"/><Relationship Id="rId225" Type="http://schemas.openxmlformats.org/officeDocument/2006/relationships/hyperlink" Target="https://lh5.googleusercontent.com/d/1mQTMVGfLKZhgIjYN6ApDEBoztffhPKWQ" TargetMode="External"/><Relationship Id="rId229" Type="http://schemas.openxmlformats.org/officeDocument/2006/relationships/hyperlink" Target="https://lh5.googleusercontent.com/d/12pAWQdzRczQERChqM2mq_DJ0kq5ywTir" TargetMode="External"/><Relationship Id="rId1050" Type="http://schemas.openxmlformats.org/officeDocument/2006/relationships/hyperlink" Target="https://lh5.googleusercontent.com/d/1oxAbLc_mZufunVRyXhny-s4vuMubIW1a" TargetMode="External"/><Relationship Id="rId220" Type="http://schemas.openxmlformats.org/officeDocument/2006/relationships/hyperlink" Target="https://drive.google.com/file/d/1yqwMzOYx9aGYINcBM1t_FQppUWRT_VCL/view?usp=drivesdk" TargetMode="External"/><Relationship Id="rId1051" Type="http://schemas.openxmlformats.org/officeDocument/2006/relationships/hyperlink" Target="https://drive.google.com/file/d/1CcM7cejAOO8j7WBsHy_n5y5wRpA4KYuT/view?usp=drivesdk" TargetMode="External"/><Relationship Id="rId1052" Type="http://schemas.openxmlformats.org/officeDocument/2006/relationships/hyperlink" Target="https://lh5.googleusercontent.com/d/1H3b2JqYPrCDZnzFi7Gb2lWYXeEYK8DNQ" TargetMode="External"/><Relationship Id="rId1053" Type="http://schemas.openxmlformats.org/officeDocument/2006/relationships/hyperlink" Target="https://drive.google.com/file/d/15LuU8bu9NuJaBtGUn91oiKWdlP9XjQ6P/view?usp=drivesdk" TargetMode="External"/><Relationship Id="rId1054" Type="http://schemas.openxmlformats.org/officeDocument/2006/relationships/hyperlink" Target="https://lh5.googleusercontent.com/d/1I0CyJDMKnqlsBRvk1jATV9F3LCqiwHux" TargetMode="External"/><Relationship Id="rId224" Type="http://schemas.openxmlformats.org/officeDocument/2006/relationships/hyperlink" Target="https://drive.google.com/file/d/1vN4LqSZdIX6H1rLyrUalY_V4-lXlU9z0/view?usp=drivesdk" TargetMode="External"/><Relationship Id="rId1055" Type="http://schemas.openxmlformats.org/officeDocument/2006/relationships/hyperlink" Target="https://drive.google.com/file/d/1fhvfeOv3yWEe2VjXtZ9sjS37I5BeIp3N/view?usp=drivesdk" TargetMode="External"/><Relationship Id="rId223" Type="http://schemas.openxmlformats.org/officeDocument/2006/relationships/hyperlink" Target="https://lh5.googleusercontent.com/d/160HfOAb27GLAMma2gRPnZXa15zjVP7tS" TargetMode="External"/><Relationship Id="rId1056" Type="http://schemas.openxmlformats.org/officeDocument/2006/relationships/hyperlink" Target="https://lh5.googleusercontent.com/d/1MDHHyiFmZXKnzz78YYL1aBGsizrMH3H8" TargetMode="External"/><Relationship Id="rId222" Type="http://schemas.openxmlformats.org/officeDocument/2006/relationships/hyperlink" Target="https://drive.google.com/file/d/1hOXjIiRihoslvQUzfSa8lREAPSJWbUXY/view?usp=drivesdk" TargetMode="External"/><Relationship Id="rId1057" Type="http://schemas.openxmlformats.org/officeDocument/2006/relationships/hyperlink" Target="https://drive.google.com/file/d/1qzkmbRpfz1fmaUqDm5AX0YGHa__td0Qh/view?usp=drivesdk" TargetMode="External"/><Relationship Id="rId221" Type="http://schemas.openxmlformats.org/officeDocument/2006/relationships/hyperlink" Target="https://lh5.googleusercontent.com/d/1SAD0r67GkE8B7UZ1V7ZtGyjY1En6gsXS" TargetMode="External"/><Relationship Id="rId1058" Type="http://schemas.openxmlformats.org/officeDocument/2006/relationships/hyperlink" Target="https://lh5.googleusercontent.com/d/1jP7PHb_ae4NlQ1WmpIqnQrpmBvnbsI5G" TargetMode="External"/><Relationship Id="rId1048" Type="http://schemas.openxmlformats.org/officeDocument/2006/relationships/hyperlink" Target="https://lh5.googleusercontent.com/d/1WskCqSBALPgwKi6wN9GOrV5fa7FEgdil" TargetMode="External"/><Relationship Id="rId1049" Type="http://schemas.openxmlformats.org/officeDocument/2006/relationships/hyperlink" Target="https://drive.google.com/file/d/17X3Wy3PCVEV0cQpJSbv4CV75NftvUAOp/view?usp=drivesdk" TargetMode="External"/><Relationship Id="rId217" Type="http://schemas.openxmlformats.org/officeDocument/2006/relationships/hyperlink" Target="https://lh5.googleusercontent.com/d/1N5DRWIYtj8CwTUlCQwY6EMDL3IsNf86x" TargetMode="External"/><Relationship Id="rId216" Type="http://schemas.openxmlformats.org/officeDocument/2006/relationships/hyperlink" Target="https://drive.google.com/file/d/1Yb09izuhywrzKGTsbPg31GfQgyNdkdbU/view?usp=drivesdk" TargetMode="External"/><Relationship Id="rId215" Type="http://schemas.openxmlformats.org/officeDocument/2006/relationships/hyperlink" Target="https://lh5.googleusercontent.com/d/1Fj2Yg7uMv_PZDmbpLZos6ryZPIvRj5cK" TargetMode="External"/><Relationship Id="rId214" Type="http://schemas.openxmlformats.org/officeDocument/2006/relationships/hyperlink" Target="https://drive.google.com/file/d/1z8Ft7jme8Iuc7zcXSriXekyNG9sPbIQ1/view?usp=drivesdk" TargetMode="External"/><Relationship Id="rId219" Type="http://schemas.openxmlformats.org/officeDocument/2006/relationships/hyperlink" Target="https://lh5.googleusercontent.com/d/1vFhQDfi_B4EgdPFlybM_tw4ahZsfsAdM" TargetMode="External"/><Relationship Id="rId218" Type="http://schemas.openxmlformats.org/officeDocument/2006/relationships/hyperlink" Target="https://drive.google.com/file/d/1F4sbrn6hnhQ2jKH5m6K2W3xtntE3S2m7/view?usp=drivesdk" TargetMode="External"/><Relationship Id="rId1040" Type="http://schemas.openxmlformats.org/officeDocument/2006/relationships/hyperlink" Target="https://lh5.googleusercontent.com/d/1a24obhat_8kPCA4VNmf5uJzcfJ2jMMhU" TargetMode="External"/><Relationship Id="rId1041" Type="http://schemas.openxmlformats.org/officeDocument/2006/relationships/hyperlink" Target="https://drive.google.com/file/d/1nrrlDRFdg3jJAE8AuJzvnAPCZl7w8z4o/view?usp=drivesdk" TargetMode="External"/><Relationship Id="rId1042" Type="http://schemas.openxmlformats.org/officeDocument/2006/relationships/hyperlink" Target="https://lh5.googleusercontent.com/d/1lyVubiEKRSR6NIeFW8EdtQBia2RJyXWW" TargetMode="External"/><Relationship Id="rId1043" Type="http://schemas.openxmlformats.org/officeDocument/2006/relationships/hyperlink" Target="https://drive.google.com/file/d/15_HzQeAc3ec0Bo9XTTZHfH82WUDTCFBl/view?usp=drivesdk" TargetMode="External"/><Relationship Id="rId213" Type="http://schemas.openxmlformats.org/officeDocument/2006/relationships/hyperlink" Target="https://lh5.googleusercontent.com/d/1UlskjHfz0lSZXs-A22s2U9sgEEgpZ11g" TargetMode="External"/><Relationship Id="rId1044" Type="http://schemas.openxmlformats.org/officeDocument/2006/relationships/hyperlink" Target="https://lh5.googleusercontent.com/d/18Uao6Nrkm5yNoy4FEVr1NoVEKySVFIbE" TargetMode="External"/><Relationship Id="rId212" Type="http://schemas.openxmlformats.org/officeDocument/2006/relationships/hyperlink" Target="https://drive.google.com/file/d/1rvVpxpWQ39IA2tFCLN44fQ2-_LK4HMHM/view?usp=drivesdk" TargetMode="External"/><Relationship Id="rId1045" Type="http://schemas.openxmlformats.org/officeDocument/2006/relationships/hyperlink" Target="https://drive.google.com/file/d/1iqNElQ4NDZEbeESYhraTlN3GuuWQcbAL/view?usp=drivesdk" TargetMode="External"/><Relationship Id="rId211" Type="http://schemas.openxmlformats.org/officeDocument/2006/relationships/hyperlink" Target="https://lh5.googleusercontent.com/d/1jxitZpMygwhK18TU1fJ8NaGaV-gHZanf" TargetMode="External"/><Relationship Id="rId1046" Type="http://schemas.openxmlformats.org/officeDocument/2006/relationships/hyperlink" Target="https://lh5.googleusercontent.com/d/1YWz3dl-nw8pciokeXL00woOoow0gwUvs" TargetMode="External"/><Relationship Id="rId210" Type="http://schemas.openxmlformats.org/officeDocument/2006/relationships/hyperlink" Target="https://drive.google.com/file/d/19pV4GFzysKyR3aX22BxN1KEAwE9K4lwe/view?usp=drivesdk" TargetMode="External"/><Relationship Id="rId1047" Type="http://schemas.openxmlformats.org/officeDocument/2006/relationships/hyperlink" Target="https://drive.google.com/file/d/14cb0TaHSoElJqW9MyLHr4O83en0YJfOs/view?usp=drivesdk" TargetMode="External"/><Relationship Id="rId249" Type="http://schemas.openxmlformats.org/officeDocument/2006/relationships/hyperlink" Target="https://lh5.googleusercontent.com/d/1nH7WXsTboHpiCYMoFbJDAkVnbt5aW9ro" TargetMode="External"/><Relationship Id="rId248" Type="http://schemas.openxmlformats.org/officeDocument/2006/relationships/hyperlink" Target="https://drive.google.com/file/d/1GzEOUL1XWyRRF1O-3Ji5j1RNvSWa2Wde/view?usp=drivesdk" TargetMode="External"/><Relationship Id="rId247" Type="http://schemas.openxmlformats.org/officeDocument/2006/relationships/hyperlink" Target="https://lh5.googleusercontent.com/d/1QXPQCXgADy-nDE6y-kB9TQOcquzSgQeH" TargetMode="External"/><Relationship Id="rId1070" Type="http://schemas.openxmlformats.org/officeDocument/2006/relationships/hyperlink" Target="https://lh5.googleusercontent.com/d/123ioYwLWEg5FgllWQ8-ZZ2cbmBKcdnoO" TargetMode="External"/><Relationship Id="rId1071" Type="http://schemas.openxmlformats.org/officeDocument/2006/relationships/hyperlink" Target="https://drive.google.com/file/d/1svZMYzriqglNG7ZeLgJ_UMI_TFr3O7xr/view?usp=drivesdk" TargetMode="External"/><Relationship Id="rId1072" Type="http://schemas.openxmlformats.org/officeDocument/2006/relationships/hyperlink" Target="https://lh5.googleusercontent.com/d/1MMbs7ajgp6yMl_cA3E3UOzWAQJ5bpiVJ" TargetMode="External"/><Relationship Id="rId242" Type="http://schemas.openxmlformats.org/officeDocument/2006/relationships/hyperlink" Target="https://drive.google.com/file/d/1Ehc8iJWPjXl3MJO2iCnZNHxWQLTi_5Du/view?usp=drivesdk" TargetMode="External"/><Relationship Id="rId1073" Type="http://schemas.openxmlformats.org/officeDocument/2006/relationships/hyperlink" Target="https://drive.google.com/file/d/1S5xgFjZ7H3o8AsNpIsX-QVAamBTlH-O2/view?usp=drivesdk" TargetMode="External"/><Relationship Id="rId241" Type="http://schemas.openxmlformats.org/officeDocument/2006/relationships/hyperlink" Target="https://lh5.googleusercontent.com/d/1RIat9blajqPeo_6EBqoC8FtiU6GvW1dl" TargetMode="External"/><Relationship Id="rId1074" Type="http://schemas.openxmlformats.org/officeDocument/2006/relationships/hyperlink" Target="https://lh5.googleusercontent.com/d/1IOlFCZ3j2adKkql8WiPO-8Wu_JN5Bv5m" TargetMode="External"/><Relationship Id="rId240" Type="http://schemas.openxmlformats.org/officeDocument/2006/relationships/hyperlink" Target="https://drive.google.com/file/d/1OkL8sGPVcPYO6K9tEpRmB3IbRX-eZqER/view?usp=drivesdk" TargetMode="External"/><Relationship Id="rId1075" Type="http://schemas.openxmlformats.org/officeDocument/2006/relationships/hyperlink" Target="https://drive.google.com/file/d/1LoGmmUxqFQExnvA4ddNHjQliee6Xks5E/view?usp=drivesdk" TargetMode="External"/><Relationship Id="rId1076" Type="http://schemas.openxmlformats.org/officeDocument/2006/relationships/hyperlink" Target="https://lh5.googleusercontent.com/d/1g6lykO5qSnVUulvsYeeSwy6RZ6N2wICX" TargetMode="External"/><Relationship Id="rId246" Type="http://schemas.openxmlformats.org/officeDocument/2006/relationships/hyperlink" Target="https://drive.google.com/file/d/1WBPjBX2TbtJHxCpWhhv44Cz0xEo5dYEu/view?usp=drivesdk" TargetMode="External"/><Relationship Id="rId1077" Type="http://schemas.openxmlformats.org/officeDocument/2006/relationships/hyperlink" Target="https://drive.google.com/file/d/1mmuE3DVoH8hnTVcRTbJhMgcfscAFniAs/view?usp=drivesdk" TargetMode="External"/><Relationship Id="rId245" Type="http://schemas.openxmlformats.org/officeDocument/2006/relationships/hyperlink" Target="https://lh5.googleusercontent.com/d/1VbPDlsFfwWKV6e5tW87FXik-31AKSRDs" TargetMode="External"/><Relationship Id="rId1078" Type="http://schemas.openxmlformats.org/officeDocument/2006/relationships/hyperlink" Target="https://lh5.googleusercontent.com/d/1duFY4oW6T5F4MisL21mJKC-PnWmn7qyz" TargetMode="External"/><Relationship Id="rId244" Type="http://schemas.openxmlformats.org/officeDocument/2006/relationships/hyperlink" Target="https://drive.google.com/file/d/1au7FVwheilQFrFjJPzKjgF2QG2lHUedl/view?usp=drivesdk" TargetMode="External"/><Relationship Id="rId1079" Type="http://schemas.openxmlformats.org/officeDocument/2006/relationships/hyperlink" Target="https://drive.google.com/file/d/1xIEmMPb8wd0Oe5Rrs-1ivkAPA_bC9dCZ/view?usp=drivesdk" TargetMode="External"/><Relationship Id="rId243" Type="http://schemas.openxmlformats.org/officeDocument/2006/relationships/hyperlink" Target="https://lh5.googleusercontent.com/d/1imM3BcnUT36OakkRP7pcXUp4LrRQQlFP" TargetMode="External"/><Relationship Id="rId239" Type="http://schemas.openxmlformats.org/officeDocument/2006/relationships/hyperlink" Target="https://lh5.googleusercontent.com/d/17kx2ENjcU8A36mNlHYa-XpfiNOruTk4F" TargetMode="External"/><Relationship Id="rId238" Type="http://schemas.openxmlformats.org/officeDocument/2006/relationships/hyperlink" Target="https://drive.google.com/file/d/12B1uPqApQBL6PQ0GezY0bXbi_EvSrS6X/view?usp=drivesdk" TargetMode="External"/><Relationship Id="rId237" Type="http://schemas.openxmlformats.org/officeDocument/2006/relationships/hyperlink" Target="https://lh5.googleusercontent.com/d/15JseGFk84fyyNH5m2WK6OmyQNSkwwpho" TargetMode="External"/><Relationship Id="rId236" Type="http://schemas.openxmlformats.org/officeDocument/2006/relationships/hyperlink" Target="https://drive.google.com/file/d/1v3dGfegfrZ0fVnmJuNBVj6UM5FcbNMjF/view?usp=drivesdk" TargetMode="External"/><Relationship Id="rId1060" Type="http://schemas.openxmlformats.org/officeDocument/2006/relationships/hyperlink" Target="https://lh5.googleusercontent.com/d/1xObmFucL69gdJSQFQVOhD1qcmLBfCU1i" TargetMode="External"/><Relationship Id="rId1061" Type="http://schemas.openxmlformats.org/officeDocument/2006/relationships/hyperlink" Target="https://drive.google.com/file/d/1N-cOiSZmLjXzSTU90GcJwiMnHLJe3sjz/view?usp=drivesdk" TargetMode="External"/><Relationship Id="rId231" Type="http://schemas.openxmlformats.org/officeDocument/2006/relationships/hyperlink" Target="https://lh5.googleusercontent.com/d/1reZ6DEAWtAPIph9VqoAnYwsxUI_jBaVo" TargetMode="External"/><Relationship Id="rId1062" Type="http://schemas.openxmlformats.org/officeDocument/2006/relationships/hyperlink" Target="https://lh5.googleusercontent.com/d/1ezxcegwsds2dCEvgGGnysTlA5HWkZI8v" TargetMode="External"/><Relationship Id="rId230" Type="http://schemas.openxmlformats.org/officeDocument/2006/relationships/hyperlink" Target="https://drive.google.com/file/d/1EgsXm005bndSMgpqYKcbn9FFGq7m5M3U/view?usp=drivesdk" TargetMode="External"/><Relationship Id="rId1063" Type="http://schemas.openxmlformats.org/officeDocument/2006/relationships/hyperlink" Target="https://drive.google.com/file/d/1GnsCxQc7wIRxyDyjkjEg-MZ4X4pITufE/view?usp=drivesdk" TargetMode="External"/><Relationship Id="rId1064" Type="http://schemas.openxmlformats.org/officeDocument/2006/relationships/hyperlink" Target="https://lh5.googleusercontent.com/d/1kSwWIJQmxCmMXYkfqWXRr3ok1Sod9UXD" TargetMode="External"/><Relationship Id="rId1065" Type="http://schemas.openxmlformats.org/officeDocument/2006/relationships/hyperlink" Target="https://drive.google.com/file/d/1YAJ_W-ym_nItg9y_zdsAdfcngpAnNsa8/view?usp=drivesdk" TargetMode="External"/><Relationship Id="rId235" Type="http://schemas.openxmlformats.org/officeDocument/2006/relationships/hyperlink" Target="https://lh5.googleusercontent.com/d/1QbJWMhIr9V_XIbNNhvVFHrSPPA70bwuA" TargetMode="External"/><Relationship Id="rId1066" Type="http://schemas.openxmlformats.org/officeDocument/2006/relationships/hyperlink" Target="https://lh5.googleusercontent.com/d/1klJX95m9dWqxy5PWW6ewUeJW9v9HHvAx" TargetMode="External"/><Relationship Id="rId234" Type="http://schemas.openxmlformats.org/officeDocument/2006/relationships/hyperlink" Target="https://drive.google.com/file/d/13hmnpVW2_WcOujlTLdFGVSYlcra9XiaK/view?usp=drivesdk" TargetMode="External"/><Relationship Id="rId1067" Type="http://schemas.openxmlformats.org/officeDocument/2006/relationships/hyperlink" Target="https://drive.google.com/file/d/1JK2waOUiBxKXF-BnIqGm77C36bxcyVjG/view?usp=drivesdk" TargetMode="External"/><Relationship Id="rId233" Type="http://schemas.openxmlformats.org/officeDocument/2006/relationships/hyperlink" Target="https://lh5.googleusercontent.com/d/1T-HE71HEwznZiI4F0orqzXwPK6p_eBmn" TargetMode="External"/><Relationship Id="rId1068" Type="http://schemas.openxmlformats.org/officeDocument/2006/relationships/hyperlink" Target="https://lh5.googleusercontent.com/d/1nyX3Cj96Mfa76OqTr1sepSiAOdxwRecC" TargetMode="External"/><Relationship Id="rId232" Type="http://schemas.openxmlformats.org/officeDocument/2006/relationships/hyperlink" Target="https://drive.google.com/file/d/1PGeNR15qemSXCVOZY5i6v98jP_mS7oP3/view?usp=drivesdk" TargetMode="External"/><Relationship Id="rId1069" Type="http://schemas.openxmlformats.org/officeDocument/2006/relationships/hyperlink" Target="https://drive.google.com/file/d/1SWI1T4o4FS23VvXAbu3E-Zij9goCX6zr/view?usp=drivesdk" TargetMode="External"/><Relationship Id="rId1015" Type="http://schemas.openxmlformats.org/officeDocument/2006/relationships/hyperlink" Target="https://drive.google.com/file/d/1u-j1JYdnfn-_gCtD-twE8uIQg-opZeV4/view?usp=drivesdk" TargetMode="External"/><Relationship Id="rId1016" Type="http://schemas.openxmlformats.org/officeDocument/2006/relationships/hyperlink" Target="https://lh5.googleusercontent.com/d/1WQgoaKkeG5dKklqczQyc1BM_ZB5GDjez" TargetMode="External"/><Relationship Id="rId1017" Type="http://schemas.openxmlformats.org/officeDocument/2006/relationships/hyperlink" Target="https://drive.google.com/file/d/1v7UqjShWNZz0pnyWlZdIgVoc5UfEUzdb/view?usp=drivesdk" TargetMode="External"/><Relationship Id="rId1018" Type="http://schemas.openxmlformats.org/officeDocument/2006/relationships/hyperlink" Target="https://lh5.googleusercontent.com/d/1WJR_cIkG9DM75V1SUKVRxHnX6BItqNXh" TargetMode="External"/><Relationship Id="rId1019" Type="http://schemas.openxmlformats.org/officeDocument/2006/relationships/hyperlink" Target="https://drive.google.com/file/d/1LDlzMSqAtb3rbTykf1vQDNYsJQazF3ju/view?usp=drivesdk" TargetMode="External"/><Relationship Id="rId1010" Type="http://schemas.openxmlformats.org/officeDocument/2006/relationships/hyperlink" Target="https://lh5.googleusercontent.com/d/1zTYIUTQPMhzzkjvHaPM3rJVUR1AOBOoe" TargetMode="External"/><Relationship Id="rId1011" Type="http://schemas.openxmlformats.org/officeDocument/2006/relationships/hyperlink" Target="https://drive.google.com/file/d/1Nbw9ehqc-mWDHrsCKLYUMr6tG80wN853/view?usp=drivesdk" TargetMode="External"/><Relationship Id="rId1012" Type="http://schemas.openxmlformats.org/officeDocument/2006/relationships/hyperlink" Target="https://lh5.googleusercontent.com/d/1iJRNjq7gObYpjyNLlnDIYQu94FV8q1NQ" TargetMode="External"/><Relationship Id="rId1013" Type="http://schemas.openxmlformats.org/officeDocument/2006/relationships/hyperlink" Target="https://drive.google.com/file/d/1DWc9cHY56nyr8U0WGAmGcbqwNNtUXIPQ/view?usp=drivesdk" TargetMode="External"/><Relationship Id="rId1014" Type="http://schemas.openxmlformats.org/officeDocument/2006/relationships/hyperlink" Target="https://lh5.googleusercontent.com/d/1Glml7vfDwP0OnSDvydKM9OgSdXO-qcp3" TargetMode="External"/><Relationship Id="rId1004" Type="http://schemas.openxmlformats.org/officeDocument/2006/relationships/hyperlink" Target="https://lh5.googleusercontent.com/d/1YhEaYSzEG_yBznlM0RIRZNnr9nEVPMgg" TargetMode="External"/><Relationship Id="rId1005" Type="http://schemas.openxmlformats.org/officeDocument/2006/relationships/hyperlink" Target="https://drive.google.com/file/d/1ql1OYdGZbqImI_4MsluFzDf6EbGpzT8V/view?usp=drivesdk" TargetMode="External"/><Relationship Id="rId1006" Type="http://schemas.openxmlformats.org/officeDocument/2006/relationships/hyperlink" Target="https://lh5.googleusercontent.com/d/1abdAzmAqvlMIp55xmB-GdmcxCppJRAip" TargetMode="External"/><Relationship Id="rId1007" Type="http://schemas.openxmlformats.org/officeDocument/2006/relationships/hyperlink" Target="https://drive.google.com/file/d/1INz_TAAKbMxmrScE97SoWJ5i4_9CRJBr/view?usp=drivesdk" TargetMode="External"/><Relationship Id="rId1008" Type="http://schemas.openxmlformats.org/officeDocument/2006/relationships/hyperlink" Target="https://lh5.googleusercontent.com/d/1hm-6ecbV2ZX0oE27DCPmx2o_eqessE08" TargetMode="External"/><Relationship Id="rId1009" Type="http://schemas.openxmlformats.org/officeDocument/2006/relationships/hyperlink" Target="https://drive.google.com/file/d/1aYrwtsCYdPZMTv6It8Jyg361unUEGTQa/view?usp=drivesdk" TargetMode="External"/><Relationship Id="rId1000" Type="http://schemas.openxmlformats.org/officeDocument/2006/relationships/hyperlink" Target="https://lh5.googleusercontent.com/d/17zqHcExxC33YW9SOsEWu59YKoNU8SGXK" TargetMode="External"/><Relationship Id="rId1001" Type="http://schemas.openxmlformats.org/officeDocument/2006/relationships/hyperlink" Target="https://drive.google.com/file/d/1kzkbWMkQ2toxOGHldcTdXQtcgDd19Eyq/view?usp=drivesdk" TargetMode="External"/><Relationship Id="rId1002" Type="http://schemas.openxmlformats.org/officeDocument/2006/relationships/hyperlink" Target="https://lh5.googleusercontent.com/d/17ISfzTGqPcC4LbrGXroJ5_DSNeJ1f74p" TargetMode="External"/><Relationship Id="rId1003" Type="http://schemas.openxmlformats.org/officeDocument/2006/relationships/hyperlink" Target="https://drive.google.com/file/d/1y4-3_HvwVy62WnWVMBWBCuJYQuNAIIHx/view?usp=drivesdk" TargetMode="External"/><Relationship Id="rId1037" Type="http://schemas.openxmlformats.org/officeDocument/2006/relationships/hyperlink" Target="https://drive.google.com/file/d/12Uss0QTb1bHuoGdX7m3jR-puevATKa1D/view?usp=drivesdk" TargetMode="External"/><Relationship Id="rId1038" Type="http://schemas.openxmlformats.org/officeDocument/2006/relationships/hyperlink" Target="https://lh5.googleusercontent.com/d/1RMRXT1py9gJiEeYB9g6rADFr3QHkOR7I" TargetMode="External"/><Relationship Id="rId1039" Type="http://schemas.openxmlformats.org/officeDocument/2006/relationships/hyperlink" Target="https://drive.google.com/file/d/1BEnFxpyJ1ljQpIHuexEO_2skI39IcSKU/view?usp=drivesdk" TargetMode="External"/><Relationship Id="rId206" Type="http://schemas.openxmlformats.org/officeDocument/2006/relationships/hyperlink" Target="https://drive.google.com/file/d/1Vdxci1qWNYxiBZkh72OouI20l3JRfzic/view?usp=drivesdk" TargetMode="External"/><Relationship Id="rId205" Type="http://schemas.openxmlformats.org/officeDocument/2006/relationships/hyperlink" Target="https://lh5.googleusercontent.com/d/1AfCPfx3AhPkyGF6V0-s8pC86USCvMWX9" TargetMode="External"/><Relationship Id="rId204" Type="http://schemas.openxmlformats.org/officeDocument/2006/relationships/hyperlink" Target="https://drive.google.com/file/d/1yC5YFqDR91k9r3lIoGXDJnF0z2kkg-KW/view?usp=drivesdk" TargetMode="External"/><Relationship Id="rId203" Type="http://schemas.openxmlformats.org/officeDocument/2006/relationships/hyperlink" Target="https://lh5.googleusercontent.com/d/1WKS0-fY_Wi3Po2qWeWz42_AE8gAjpS__" TargetMode="External"/><Relationship Id="rId209" Type="http://schemas.openxmlformats.org/officeDocument/2006/relationships/hyperlink" Target="https://lh5.googleusercontent.com/d/1_7SNE6Tp3uUQE77hbRaKa2kgWBZh7UMo" TargetMode="External"/><Relationship Id="rId208" Type="http://schemas.openxmlformats.org/officeDocument/2006/relationships/hyperlink" Target="https://drive.google.com/file/d/15R76Sr8tzug918z48yMTWAXR-WWi_kao/view?usp=drivesdk" TargetMode="External"/><Relationship Id="rId207" Type="http://schemas.openxmlformats.org/officeDocument/2006/relationships/hyperlink" Target="https://lh5.googleusercontent.com/d/1peJWBf50O3Sktf6qjrgy3Dq2TjLCdWOB" TargetMode="External"/><Relationship Id="rId1030" Type="http://schemas.openxmlformats.org/officeDocument/2006/relationships/hyperlink" Target="https://lh5.googleusercontent.com/d/1A9h-NXJAON_xl9rbkwiFbdZS7r1yEHkh" TargetMode="External"/><Relationship Id="rId1031" Type="http://schemas.openxmlformats.org/officeDocument/2006/relationships/hyperlink" Target="https://drive.google.com/file/d/198ixtCVqBk7BEMNuBK3M9YHux1dGN1lr/view?usp=drivesdk" TargetMode="External"/><Relationship Id="rId1032" Type="http://schemas.openxmlformats.org/officeDocument/2006/relationships/hyperlink" Target="https://lh5.googleusercontent.com/d/1WuHtLjg0psvrpFWDW8CHk0KTOkqYHhln" TargetMode="External"/><Relationship Id="rId202" Type="http://schemas.openxmlformats.org/officeDocument/2006/relationships/hyperlink" Target="https://drive.google.com/file/d/1EfAbV91aXq-pugbAt9U2HHq6WVmQKEEf/view?usp=drivesdk" TargetMode="External"/><Relationship Id="rId1033" Type="http://schemas.openxmlformats.org/officeDocument/2006/relationships/hyperlink" Target="https://drive.google.com/file/d/13QL1WBQm0DARZSPoQqPp0rCIPjL0F8ud/view?usp=drivesdk" TargetMode="External"/><Relationship Id="rId201" Type="http://schemas.openxmlformats.org/officeDocument/2006/relationships/hyperlink" Target="https://lh5.googleusercontent.com/d/1aAQe9q0myFBSi8fob49Suntfy0GRZq9N" TargetMode="External"/><Relationship Id="rId1034" Type="http://schemas.openxmlformats.org/officeDocument/2006/relationships/hyperlink" Target="https://lh5.googleusercontent.com/d/1Lxsq-xqlAamO1DmQXLJbHoSHhD4nmBhx" TargetMode="External"/><Relationship Id="rId200" Type="http://schemas.openxmlformats.org/officeDocument/2006/relationships/hyperlink" Target="https://drive.google.com/file/d/1pJ1JOs4_SLrJulyUYYJEtgMIYTt1nWk0/view?usp=drivesdk" TargetMode="External"/><Relationship Id="rId1035" Type="http://schemas.openxmlformats.org/officeDocument/2006/relationships/hyperlink" Target="https://drive.google.com/file/d/1ftePTOZLZxDFC-Nt6TgmS9cm6_XKAjz8/view?usp=drivesdk" TargetMode="External"/><Relationship Id="rId1036" Type="http://schemas.openxmlformats.org/officeDocument/2006/relationships/hyperlink" Target="https://lh5.googleusercontent.com/d/1quReMVEx7JRrzsN4MDdGv1gN0d146Q_U" TargetMode="External"/><Relationship Id="rId1026" Type="http://schemas.openxmlformats.org/officeDocument/2006/relationships/hyperlink" Target="https://lh5.googleusercontent.com/d/12qcjZkTObOfTIaqh2KfgujNQAWrw-go_" TargetMode="External"/><Relationship Id="rId1027" Type="http://schemas.openxmlformats.org/officeDocument/2006/relationships/hyperlink" Target="https://drive.google.com/file/d/1jyoH1odGfZHj5HZ8P3HUcKJxvu67JqoT/view?usp=drivesdk" TargetMode="External"/><Relationship Id="rId1028" Type="http://schemas.openxmlformats.org/officeDocument/2006/relationships/hyperlink" Target="https://lh5.googleusercontent.com/d/1hpr-mXyhroFGVLO5jeUycYDwx_wdHGLg" TargetMode="External"/><Relationship Id="rId1029" Type="http://schemas.openxmlformats.org/officeDocument/2006/relationships/hyperlink" Target="https://drive.google.com/file/d/1U9jLg4yKCMWjGHmW8qUB9iElGHKRo4fn/view?usp=drivesdk" TargetMode="External"/><Relationship Id="rId1020" Type="http://schemas.openxmlformats.org/officeDocument/2006/relationships/hyperlink" Target="https://lh5.googleusercontent.com/d/1Kl6Y7LSXuLWMQckjhpizzJZujJ6AA8iN" TargetMode="External"/><Relationship Id="rId1021" Type="http://schemas.openxmlformats.org/officeDocument/2006/relationships/hyperlink" Target="https://drive.google.com/file/d/1CgPbs2yvlE9YgsoxtngPRCSabFDr8tH4/view?usp=drivesdk" TargetMode="External"/><Relationship Id="rId1022" Type="http://schemas.openxmlformats.org/officeDocument/2006/relationships/hyperlink" Target="https://lh5.googleusercontent.com/d/1zdT-dgbQnKIGfV7JYrFy3TLyQ-4d8FD0" TargetMode="External"/><Relationship Id="rId1023" Type="http://schemas.openxmlformats.org/officeDocument/2006/relationships/hyperlink" Target="https://drive.google.com/file/d/1ajKFijZLQx_TUeiSB2KxRc84gMi_zTV6/view?usp=drivesdk" TargetMode="External"/><Relationship Id="rId1024" Type="http://schemas.openxmlformats.org/officeDocument/2006/relationships/hyperlink" Target="https://lh5.googleusercontent.com/d/10Pl7cbGpaqBBJw1KXKGjnykM-JEcfYvL" TargetMode="External"/><Relationship Id="rId1025" Type="http://schemas.openxmlformats.org/officeDocument/2006/relationships/hyperlink" Target="https://drive.google.com/file/d/1i2FawhirRDkPy_-yVlgZNWeYcO3mrPvF/view?usp=drivesdk" TargetMode="External"/><Relationship Id="rId1090" Type="http://schemas.openxmlformats.org/officeDocument/2006/relationships/hyperlink" Target="https://lh5.googleusercontent.com/d/161s1ea513L_lI4zmGNQ7XKzObdMUYOJb" TargetMode="External"/><Relationship Id="rId1091" Type="http://schemas.openxmlformats.org/officeDocument/2006/relationships/hyperlink" Target="https://drive.google.com/file/d/1fxPnAFqP7RxzK5yehJjRPXJlnRakOoWd/view?usp=drivesdk" TargetMode="External"/><Relationship Id="rId1092" Type="http://schemas.openxmlformats.org/officeDocument/2006/relationships/hyperlink" Target="https://lh5.googleusercontent.com/d/1KmRUBssfolDHdEq4T9A5eJg1_1y_wwgb" TargetMode="External"/><Relationship Id="rId1093" Type="http://schemas.openxmlformats.org/officeDocument/2006/relationships/hyperlink" Target="https://drive.google.com/file/d/1kkIgRpE3qYzvsUC7avb-v4GyFADg7XXq/view?usp=drivesdk" TargetMode="External"/><Relationship Id="rId1094" Type="http://schemas.openxmlformats.org/officeDocument/2006/relationships/hyperlink" Target="https://lh5.googleusercontent.com/d/1-Q0I-kfGBsm0FXj4XLjBaf6H4DAO9VDC" TargetMode="External"/><Relationship Id="rId1095" Type="http://schemas.openxmlformats.org/officeDocument/2006/relationships/hyperlink" Target="https://drive.google.com/file/d/1S3ftKuE30f6iOWAXQDIy7b4o-GRjgYUp/view?usp=drivesdk" TargetMode="External"/><Relationship Id="rId1096" Type="http://schemas.openxmlformats.org/officeDocument/2006/relationships/hyperlink" Target="https://lh5.googleusercontent.com/d/1pwrMFDPaF_cha5VwaZ4G0WgrvVQjMpCE" TargetMode="External"/><Relationship Id="rId1097" Type="http://schemas.openxmlformats.org/officeDocument/2006/relationships/hyperlink" Target="https://drive.google.com/file/d/1A0pRzeDktZMGr4x3pdeMNf_g1VaQb4B_/view?usp=drivesdk" TargetMode="External"/><Relationship Id="rId1098" Type="http://schemas.openxmlformats.org/officeDocument/2006/relationships/hyperlink" Target="https://lh5.googleusercontent.com/d/1804OQdd8JLi0Fm0bm6lr2GtAM6wO80VL" TargetMode="External"/><Relationship Id="rId1099" Type="http://schemas.openxmlformats.org/officeDocument/2006/relationships/hyperlink" Target="https://drive.google.com/file/d/1C5OYlK8CVYB_LDTNnv2bc9DPlJTh_wUr/view?usp=drivesdk" TargetMode="External"/><Relationship Id="rId1080" Type="http://schemas.openxmlformats.org/officeDocument/2006/relationships/hyperlink" Target="https://lh5.googleusercontent.com/d/1KFMzXr8Q7TDv1AWXpP34Yfeoiu9qw0Qo" TargetMode="External"/><Relationship Id="rId1081" Type="http://schemas.openxmlformats.org/officeDocument/2006/relationships/hyperlink" Target="https://drive.google.com/file/d/1D4iKdXirvLKo4xVucbFuacclKCLk5vww/view?usp=drivesdk" TargetMode="External"/><Relationship Id="rId1082" Type="http://schemas.openxmlformats.org/officeDocument/2006/relationships/hyperlink" Target="https://lh5.googleusercontent.com/d/15E66z8CrtytXMJ6nhgpT_H0HpSizjnpn" TargetMode="External"/><Relationship Id="rId1083" Type="http://schemas.openxmlformats.org/officeDocument/2006/relationships/hyperlink" Target="https://drive.google.com/file/d/1E4Vmrewy2-XirzU874sRttPqVGZlfkMv/view?usp=drivesdk" TargetMode="External"/><Relationship Id="rId1084" Type="http://schemas.openxmlformats.org/officeDocument/2006/relationships/hyperlink" Target="https://lh5.googleusercontent.com/d/1U0Je_h7nRZtQ50TuQLGvMsf_yYRZ_XFe" TargetMode="External"/><Relationship Id="rId1085" Type="http://schemas.openxmlformats.org/officeDocument/2006/relationships/hyperlink" Target="https://drive.google.com/file/d/1VAqhdeOxmi1YV2mPf6WjAcGVKiJ79f68/view?usp=drivesdk" TargetMode="External"/><Relationship Id="rId1086" Type="http://schemas.openxmlformats.org/officeDocument/2006/relationships/hyperlink" Target="https://lh5.googleusercontent.com/d/1U_HgWC74-W8FJGUt3eTYNOsYOWtJWi_Z" TargetMode="External"/><Relationship Id="rId1087" Type="http://schemas.openxmlformats.org/officeDocument/2006/relationships/hyperlink" Target="https://drive.google.com/file/d/1s7iLbxncjElML6by9s6RcH7pni8kZTEt/view?usp=drivesdk" TargetMode="External"/><Relationship Id="rId1088" Type="http://schemas.openxmlformats.org/officeDocument/2006/relationships/hyperlink" Target="https://lh5.googleusercontent.com/d/1iaXOoSlvPdYgKEK6TrrrU9Nyan9-Y9mc" TargetMode="External"/><Relationship Id="rId1089" Type="http://schemas.openxmlformats.org/officeDocument/2006/relationships/hyperlink" Target="https://drive.google.com/file/d/1dHse-QzfDXgoWgb7qaBjYIY9fPlhmX8B/view?usp=drivesdk" TargetMode="External"/><Relationship Id="rId509" Type="http://schemas.openxmlformats.org/officeDocument/2006/relationships/hyperlink" Target="https://drive.google.com/file/d/1qm3maHnDcNqDrTVcTaCIXjk3ae7290pO/view?usp=drivesdk" TargetMode="External"/><Relationship Id="rId508" Type="http://schemas.openxmlformats.org/officeDocument/2006/relationships/hyperlink" Target="https://lh5.googleusercontent.com/d/1oy39dl8s_wQyICOZSNQXx-uWYIAFVYZr" TargetMode="External"/><Relationship Id="rId503" Type="http://schemas.openxmlformats.org/officeDocument/2006/relationships/hyperlink" Target="https://drive.google.com/file/d/1QrMIL2ytHrvaHo_JTOXJJ9SMukLBoiMt/view?usp=drivesdk" TargetMode="External"/><Relationship Id="rId502" Type="http://schemas.openxmlformats.org/officeDocument/2006/relationships/hyperlink" Target="https://lh5.googleusercontent.com/d/1Y9QP3XPorZvSHVDGqA40w0lTWDwejRGq" TargetMode="External"/><Relationship Id="rId501" Type="http://schemas.openxmlformats.org/officeDocument/2006/relationships/hyperlink" Target="https://drive.google.com/file/d/1SRHcfO19c_O2335R1FrqpyhFHJ_ExyBN/view?usp=drivesdk" TargetMode="External"/><Relationship Id="rId500" Type="http://schemas.openxmlformats.org/officeDocument/2006/relationships/hyperlink" Target="https://lh5.googleusercontent.com/d/1VTdRfTCw12JhJETLNL-ZUl1snG-NMYw7" TargetMode="External"/><Relationship Id="rId507" Type="http://schemas.openxmlformats.org/officeDocument/2006/relationships/hyperlink" Target="https://drive.google.com/file/d/1tdZ3epM-gXEPi8r4-N2UUWAWD2xxyoPv/view?usp=drivesdk" TargetMode="External"/><Relationship Id="rId506" Type="http://schemas.openxmlformats.org/officeDocument/2006/relationships/hyperlink" Target="https://lh5.googleusercontent.com/d/1C476f0sJSF5_LgpnEn8HlStQ6NLQnrpX" TargetMode="External"/><Relationship Id="rId505" Type="http://schemas.openxmlformats.org/officeDocument/2006/relationships/hyperlink" Target="https://drive.google.com/file/d/1pkgfGY1aAw2IxC8pGqg52I-bkSEng_i3/view?usp=drivesdk" TargetMode="External"/><Relationship Id="rId504" Type="http://schemas.openxmlformats.org/officeDocument/2006/relationships/hyperlink" Target="https://lh5.googleusercontent.com/d/115ODnIL2MSYY9bMEeTbdDvm8ckbkO8TC" TargetMode="External"/><Relationship Id="rId1114" Type="http://schemas.openxmlformats.org/officeDocument/2006/relationships/hyperlink" Target="https://lh5.googleusercontent.com/d/19BHNqa6I4m0cW6FL_JDxxrUf94qEsvWV" TargetMode="External"/><Relationship Id="rId1115" Type="http://schemas.openxmlformats.org/officeDocument/2006/relationships/hyperlink" Target="https://drive.google.com/file/d/1wOPqVZ8fxaGBMqucOoQx7JGjt8-w03O0/view?usp=drivesdk" TargetMode="External"/><Relationship Id="rId1116" Type="http://schemas.openxmlformats.org/officeDocument/2006/relationships/hyperlink" Target="https://lh5.googleusercontent.com/d/149VpxXVsYiqfNMozTd20qS1_Y4l8Li6A" TargetMode="External"/><Relationship Id="rId1117" Type="http://schemas.openxmlformats.org/officeDocument/2006/relationships/hyperlink" Target="https://drive.google.com/file/d/1qAJ_iwvdy7qLU9Ih-1SHh0wgq1PiRJUm/view?usp=drivesdk" TargetMode="External"/><Relationship Id="rId1118" Type="http://schemas.openxmlformats.org/officeDocument/2006/relationships/hyperlink" Target="https://lh5.googleusercontent.com/d/1MrdRH9tGfN_HUqrdlekaCh2MlzIAgctD" TargetMode="External"/><Relationship Id="rId1119" Type="http://schemas.openxmlformats.org/officeDocument/2006/relationships/hyperlink" Target="https://drive.google.com/file/d/1Ckbopr6IZKrnVlIcNgd_qnne-zoxAmAy/view?usp=drivesdk" TargetMode="External"/><Relationship Id="rId525" Type="http://schemas.openxmlformats.org/officeDocument/2006/relationships/hyperlink" Target="https://drive.google.com/file/d/1u88FiXtHFtKLubtj_p-8XqhJYXu7qB1A/view?usp=drivesdk" TargetMode="External"/><Relationship Id="rId524" Type="http://schemas.openxmlformats.org/officeDocument/2006/relationships/hyperlink" Target="https://lh5.googleusercontent.com/d/1NYCq0B4UDTJL919pRamoT5oJBKU7bqDN" TargetMode="External"/><Relationship Id="rId523" Type="http://schemas.openxmlformats.org/officeDocument/2006/relationships/hyperlink" Target="https://drive.google.com/file/d/19OsgI8qKhBocBPognHXe6ve655dUdPA2/view?usp=drivesdk" TargetMode="External"/><Relationship Id="rId522" Type="http://schemas.openxmlformats.org/officeDocument/2006/relationships/hyperlink" Target="https://lh5.googleusercontent.com/d/1bNhZ-rBmRjQHlO0eT1QuN-2kqngbrMqg" TargetMode="External"/><Relationship Id="rId529" Type="http://schemas.openxmlformats.org/officeDocument/2006/relationships/hyperlink" Target="https://drive.google.com/file/d/1hUO1dto7zL0UiLQAW12FSVX9EsXarLZx/view?usp=drivesdk" TargetMode="External"/><Relationship Id="rId528" Type="http://schemas.openxmlformats.org/officeDocument/2006/relationships/hyperlink" Target="https://lh5.googleusercontent.com/d/1t9ArfUCNRb0682U8uu789b4HrnIgyYAw" TargetMode="External"/><Relationship Id="rId527" Type="http://schemas.openxmlformats.org/officeDocument/2006/relationships/hyperlink" Target="https://drive.google.com/file/d/172uMt0Ev_fmXxsp5g_pYvKM_S_QYe_vw/view?usp=drivesdk" TargetMode="External"/><Relationship Id="rId526" Type="http://schemas.openxmlformats.org/officeDocument/2006/relationships/hyperlink" Target="https://lh5.googleusercontent.com/d/1qGUJ0NexKGIvOsvjvMdbT2DilqwfjiqQ" TargetMode="External"/><Relationship Id="rId521" Type="http://schemas.openxmlformats.org/officeDocument/2006/relationships/hyperlink" Target="https://drive.google.com/file/d/1ZfMt1SK0OPUt_DwZiH4O6lz5dL55jBtW/view?usp=drivesdk" TargetMode="External"/><Relationship Id="rId1110" Type="http://schemas.openxmlformats.org/officeDocument/2006/relationships/hyperlink" Target="https://lh5.googleusercontent.com/d/1jAgPIMXXrLNgpMAJBYQmd8o9DSAp9KHU" TargetMode="External"/><Relationship Id="rId520" Type="http://schemas.openxmlformats.org/officeDocument/2006/relationships/hyperlink" Target="https://lh5.googleusercontent.com/d/16v0_3jaw3Kk5oK1gFessCR5Np_VZYfZO" TargetMode="External"/><Relationship Id="rId1111" Type="http://schemas.openxmlformats.org/officeDocument/2006/relationships/hyperlink" Target="https://drive.google.com/file/d/1sPhB0_sKDYteIfGxvl7w0243HDIpYh7j/view?usp=drivesdk" TargetMode="External"/><Relationship Id="rId1112" Type="http://schemas.openxmlformats.org/officeDocument/2006/relationships/hyperlink" Target="https://lh5.googleusercontent.com/d/16Q7ylOpo2UEWWwo1R9vAghd84UFLFgxh" TargetMode="External"/><Relationship Id="rId1113" Type="http://schemas.openxmlformats.org/officeDocument/2006/relationships/hyperlink" Target="https://drive.google.com/file/d/1_vjdpl2gUFo3SqhtLJ_je7lz2m9ac2wn/view?usp=drivesdk" TargetMode="External"/><Relationship Id="rId1103" Type="http://schemas.openxmlformats.org/officeDocument/2006/relationships/hyperlink" Target="https://drive.google.com/file/d/15erAajGT7wbhQ8MOkV9u9_7_0zpFR6s9/view?usp=drivesdk" TargetMode="External"/><Relationship Id="rId1104" Type="http://schemas.openxmlformats.org/officeDocument/2006/relationships/hyperlink" Target="https://lh5.googleusercontent.com/d/1oJQLkxajA8ALxEktFgy_uqF868Q5xF8J" TargetMode="External"/><Relationship Id="rId1105" Type="http://schemas.openxmlformats.org/officeDocument/2006/relationships/hyperlink" Target="https://drive.google.com/file/d/1eQk8Mu2FWEVynoeoDryv0DTiKNcwrm9S/view?usp=drivesdk" TargetMode="External"/><Relationship Id="rId1106" Type="http://schemas.openxmlformats.org/officeDocument/2006/relationships/hyperlink" Target="https://lh5.googleusercontent.com/d/1shPAsMeVwAGEWKchDM-olj0PvPPhLJJL" TargetMode="External"/><Relationship Id="rId1107" Type="http://schemas.openxmlformats.org/officeDocument/2006/relationships/hyperlink" Target="https://drive.google.com/file/d/1WnxgPuqY8xI_XQMRAq10C6por-me4ZpF/view?usp=drivesdk" TargetMode="External"/><Relationship Id="rId1108" Type="http://schemas.openxmlformats.org/officeDocument/2006/relationships/hyperlink" Target="https://lh5.googleusercontent.com/d/1kj6SEXXoP7uBoL2qcfhmktX_NQmUCw3o" TargetMode="External"/><Relationship Id="rId1109" Type="http://schemas.openxmlformats.org/officeDocument/2006/relationships/hyperlink" Target="https://drive.google.com/file/d/1YZTpTDqPfDmIE38O7fbjQ6pOzwV2Aw5o/view?usp=drivesdk" TargetMode="External"/><Relationship Id="rId519" Type="http://schemas.openxmlformats.org/officeDocument/2006/relationships/hyperlink" Target="https://drive.google.com/file/d/1P6N_pC728K3qhLfEdmRo6QeVQPUeOLTt/view?usp=drivesdk" TargetMode="External"/><Relationship Id="rId514" Type="http://schemas.openxmlformats.org/officeDocument/2006/relationships/hyperlink" Target="https://lh5.googleusercontent.com/d/1OZ16xRv6uu_TEObt9UzmjEddHnS5aonI" TargetMode="External"/><Relationship Id="rId513" Type="http://schemas.openxmlformats.org/officeDocument/2006/relationships/hyperlink" Target="https://drive.google.com/file/d/1ScUz9uQSj8QGt6_aFylX6jDLVNFHqc7e/view?usp=drivesdk" TargetMode="External"/><Relationship Id="rId512" Type="http://schemas.openxmlformats.org/officeDocument/2006/relationships/hyperlink" Target="https://lh5.googleusercontent.com/d/1UmvjLPIZvQwt6Mv0qvWNWl36Jx5QKw7i" TargetMode="External"/><Relationship Id="rId511" Type="http://schemas.openxmlformats.org/officeDocument/2006/relationships/hyperlink" Target="https://drive.google.com/file/d/1T9fyMZ2aVqCwymxRBfoG2FUUA7IYNP5M/view?usp=drivesdk" TargetMode="External"/><Relationship Id="rId518" Type="http://schemas.openxmlformats.org/officeDocument/2006/relationships/hyperlink" Target="https://lh5.googleusercontent.com/d/1gBCvLXPhjH3TwRKV9ErLn0cz-0Zt83gd" TargetMode="External"/><Relationship Id="rId517" Type="http://schemas.openxmlformats.org/officeDocument/2006/relationships/hyperlink" Target="https://drive.google.com/file/d/1ToKopPa3I277pwUKWWzezWpYInU0ecic/view?usp=drivesdk" TargetMode="External"/><Relationship Id="rId516" Type="http://schemas.openxmlformats.org/officeDocument/2006/relationships/hyperlink" Target="https://lh5.googleusercontent.com/d/1n0GmVGowzzhZWKC605vAR84EYfX9PdkL" TargetMode="External"/><Relationship Id="rId515" Type="http://schemas.openxmlformats.org/officeDocument/2006/relationships/hyperlink" Target="https://drive.google.com/file/d/14hSBG8NpuOLBhRDudsADGX4njawWy-dl/view?usp=drivesdk" TargetMode="External"/><Relationship Id="rId510" Type="http://schemas.openxmlformats.org/officeDocument/2006/relationships/hyperlink" Target="https://lh5.googleusercontent.com/d/1yHUJLvvzycsEIKUudV2d_AY-qqwGd709" TargetMode="External"/><Relationship Id="rId1100" Type="http://schemas.openxmlformats.org/officeDocument/2006/relationships/hyperlink" Target="https://lh5.googleusercontent.com/d/1MhzpExeDRGfEQ0vF2Hwq01UgbecGS_nj" TargetMode="External"/><Relationship Id="rId1101" Type="http://schemas.openxmlformats.org/officeDocument/2006/relationships/hyperlink" Target="https://drive.google.com/file/d/1aYVMFZ923_stFwdBFKwlePAAKTMEvf94/view?usp=drivesdk" TargetMode="External"/><Relationship Id="rId1102" Type="http://schemas.openxmlformats.org/officeDocument/2006/relationships/hyperlink" Target="https://lh5.googleusercontent.com/d/1D5JBKhCWXQohNnejEAlAhyNDuxDOpqtt" TargetMode="External"/><Relationship Id="rId590" Type="http://schemas.openxmlformats.org/officeDocument/2006/relationships/hyperlink" Target="https://drive.google.com/file/d/17JeIF5264c831fgU6O1C-m8gf_XevHJj/view?usp=drivesdk" TargetMode="External"/><Relationship Id="rId589" Type="http://schemas.openxmlformats.org/officeDocument/2006/relationships/hyperlink" Target="https://lh5.googleusercontent.com/d/1AtxGOvFDoXWajG5ivtkwg5ZM5oWGaHAM" TargetMode="External"/><Relationship Id="rId588" Type="http://schemas.openxmlformats.org/officeDocument/2006/relationships/hyperlink" Target="https://drive.google.com/file/d/1-ggGh7rXCUvgYWnL49FKmp8RJhBq-i6f/view?usp=drivesdk" TargetMode="External"/><Relationship Id="rId1170" Type="http://schemas.openxmlformats.org/officeDocument/2006/relationships/hyperlink" Target="https://lh5.googleusercontent.com/d/1G4QzpHSZZ-qlfc7f1wRekSVr5fML1P-2" TargetMode="External"/><Relationship Id="rId1171" Type="http://schemas.openxmlformats.org/officeDocument/2006/relationships/hyperlink" Target="https://drive.google.com/file/d/1N0I2-RSN4z9uQlWwUB2sAlLpaBoJ-AnV/view?usp=drivesdk" TargetMode="External"/><Relationship Id="rId583" Type="http://schemas.openxmlformats.org/officeDocument/2006/relationships/hyperlink" Target="https://lh5.googleusercontent.com/d/1M0petjnMtySxUsYKPg7U-CZ9GnZZxoGe" TargetMode="External"/><Relationship Id="rId1172" Type="http://schemas.openxmlformats.org/officeDocument/2006/relationships/hyperlink" Target="https://lh5.googleusercontent.com/d/1sRpMzqo_AxSyF8raYQE7Xby6ujsK4Trj" TargetMode="External"/><Relationship Id="rId582" Type="http://schemas.openxmlformats.org/officeDocument/2006/relationships/hyperlink" Target="https://drive.google.com/file/d/1_H3U6Ix684MLMaMLMr1bHQfIoPa75GyU/view?usp=drivesdk" TargetMode="External"/><Relationship Id="rId1173" Type="http://schemas.openxmlformats.org/officeDocument/2006/relationships/hyperlink" Target="https://drive.google.com/file/d/1657drX2xtB_vh-v38Wwi-sqPm1rfs56g/view?usp=drivesdk" TargetMode="External"/><Relationship Id="rId581" Type="http://schemas.openxmlformats.org/officeDocument/2006/relationships/hyperlink" Target="https://lh5.googleusercontent.com/d/1OjwA-kAT4veZc491Z5C7e6s8O81vD1O4" TargetMode="External"/><Relationship Id="rId1174" Type="http://schemas.openxmlformats.org/officeDocument/2006/relationships/hyperlink" Target="https://lh5.googleusercontent.com/d/16wAzDb-psMNsrbPxyPc9lF6qAROHMh1K" TargetMode="External"/><Relationship Id="rId580" Type="http://schemas.openxmlformats.org/officeDocument/2006/relationships/hyperlink" Target="https://lh5.googleusercontent.com/d/1aqtGz95pZX_SNPrBJ8UamjtVujfB2BPY" TargetMode="External"/><Relationship Id="rId1175" Type="http://schemas.openxmlformats.org/officeDocument/2006/relationships/hyperlink" Target="https://drive.google.com/file/d/1b_vhp3oskUtERgFfJC04DBinu9h7Uhnv/view?usp=drivesdk" TargetMode="External"/><Relationship Id="rId587" Type="http://schemas.openxmlformats.org/officeDocument/2006/relationships/hyperlink" Target="https://lh5.googleusercontent.com/d/1IuVDCTIv_OeHrtdLl2tVRtXayaaciJXV" TargetMode="External"/><Relationship Id="rId1176" Type="http://schemas.openxmlformats.org/officeDocument/2006/relationships/hyperlink" Target="https://lh5.googleusercontent.com/d/1MWxHQ6AIPpBfsIEg_0AByxhqRyKLMe-G" TargetMode="External"/><Relationship Id="rId586" Type="http://schemas.openxmlformats.org/officeDocument/2006/relationships/hyperlink" Target="https://drive.google.com/file/d/1Q-8Tr5CZEtCaaoxDteGBmGtHWTOA5U2Y/view?usp=drivesdk" TargetMode="External"/><Relationship Id="rId1177" Type="http://schemas.openxmlformats.org/officeDocument/2006/relationships/hyperlink" Target="https://drive.google.com/file/d/1fB7PRycNq4B9AB1W8XbZ5yrx2UyM-Rvr/view?usp=drivesdk" TargetMode="External"/><Relationship Id="rId585" Type="http://schemas.openxmlformats.org/officeDocument/2006/relationships/hyperlink" Target="https://lh5.googleusercontent.com/d/1srjwiTW6Q6iQYA5AO3ospLGZYTOD0Vn_" TargetMode="External"/><Relationship Id="rId1178" Type="http://schemas.openxmlformats.org/officeDocument/2006/relationships/hyperlink" Target="https://lh5.googleusercontent.com/d/1dMMYR_XI6FNN36C38bDvW_mPo1AWSR6i" TargetMode="External"/><Relationship Id="rId584" Type="http://schemas.openxmlformats.org/officeDocument/2006/relationships/hyperlink" Target="https://drive.google.com/file/d/10FYAnYXvdKMzTucJXkQG9sznClUGf64h/view?usp=drivesdk" TargetMode="External"/><Relationship Id="rId1179" Type="http://schemas.openxmlformats.org/officeDocument/2006/relationships/hyperlink" Target="https://drive.google.com/file/d/1fTu_wkX8WTUrl7w_J1EUAZ5Dv_qbBHnK/view?usp=drivesdk" TargetMode="External"/><Relationship Id="rId1169" Type="http://schemas.openxmlformats.org/officeDocument/2006/relationships/hyperlink" Target="https://drive.google.com/file/d/1X-ENGDkuWat10qOp2ImDR1cnIXoZdY7I/view?usp=drivesdk" TargetMode="External"/><Relationship Id="rId579" Type="http://schemas.openxmlformats.org/officeDocument/2006/relationships/hyperlink" Target="https://drive.google.com/file/d/1sdCAE9n4DxgQ5hiP5WPMXeST2KMztU2N/view?usp=drivesdk" TargetMode="External"/><Relationship Id="rId578" Type="http://schemas.openxmlformats.org/officeDocument/2006/relationships/hyperlink" Target="https://lh5.googleusercontent.com/d/1ChVLI7SAwbmqzIF37vuOy9ay4tqTJY7S" TargetMode="External"/><Relationship Id="rId577" Type="http://schemas.openxmlformats.org/officeDocument/2006/relationships/hyperlink" Target="https://drive.google.com/file/d/1IWrowdP_qwXEKECT3FDv7BM66oo_2bBZ/view?usp=drivesdk" TargetMode="External"/><Relationship Id="rId1160" Type="http://schemas.openxmlformats.org/officeDocument/2006/relationships/hyperlink" Target="https://lh5.googleusercontent.com/d/1hSc9yu76f8RBblyNfQq-1tlNrWIzjx39" TargetMode="External"/><Relationship Id="rId572" Type="http://schemas.openxmlformats.org/officeDocument/2006/relationships/hyperlink" Target="https://drive.google.com/file/d/1z7kAnhruZn_qSZG8pRTz1_lD33MMsGEj/view?usp=drivesdk" TargetMode="External"/><Relationship Id="rId1161" Type="http://schemas.openxmlformats.org/officeDocument/2006/relationships/hyperlink" Target="https://drive.google.com/file/d/1T0p5DTJS8VXP-dNpimCgpGbfviqVb-_d/view?usp=drivesdk" TargetMode="External"/><Relationship Id="rId571" Type="http://schemas.openxmlformats.org/officeDocument/2006/relationships/hyperlink" Target="https://lh5.googleusercontent.com/d/1hkR3XSMOjAywvLJtwIjlysS7eRBAfvt1" TargetMode="External"/><Relationship Id="rId1162" Type="http://schemas.openxmlformats.org/officeDocument/2006/relationships/hyperlink" Target="https://lh5.googleusercontent.com/d/1bBP2_gsTj_7E_32t0R2qMMmb0Yf3i_V8" TargetMode="External"/><Relationship Id="rId570" Type="http://schemas.openxmlformats.org/officeDocument/2006/relationships/hyperlink" Target="https://drive.google.com/file/d/1M00OgZlcPlQdn8uUysFudI4GX_DY3QQK/view?usp=drivesdk" TargetMode="External"/><Relationship Id="rId1163" Type="http://schemas.openxmlformats.org/officeDocument/2006/relationships/hyperlink" Target="https://drive.google.com/file/d/1MtG74qqrNXu6aqrwyKTiD6IZaLPFLdS8/view?usp=drivesdk" TargetMode="External"/><Relationship Id="rId1164" Type="http://schemas.openxmlformats.org/officeDocument/2006/relationships/hyperlink" Target="https://lh5.googleusercontent.com/d/1985N9krAcRFvCZ9PDpieHJDDf_lCvOoA" TargetMode="External"/><Relationship Id="rId576" Type="http://schemas.openxmlformats.org/officeDocument/2006/relationships/hyperlink" Target="https://lh5.googleusercontent.com/d/17QUViZ__MKTWN28iQkfEW5Nmlq8oPo0f" TargetMode="External"/><Relationship Id="rId1165" Type="http://schemas.openxmlformats.org/officeDocument/2006/relationships/hyperlink" Target="https://drive.google.com/file/d/1YxRHOhlVoyg2ZywhRAFaZ1DE-Jm1RLym/view?usp=drivesdk" TargetMode="External"/><Relationship Id="rId575" Type="http://schemas.openxmlformats.org/officeDocument/2006/relationships/hyperlink" Target="https://lh5.googleusercontent.com/d/1Q5yIEv4YPpzw8tE3RSsL975mN7iJcxwp" TargetMode="External"/><Relationship Id="rId1166" Type="http://schemas.openxmlformats.org/officeDocument/2006/relationships/hyperlink" Target="https://lh5.googleusercontent.com/d/1aJSOPOOjjaW-HbyRLKyJw7_MWHldBOve" TargetMode="External"/><Relationship Id="rId574" Type="http://schemas.openxmlformats.org/officeDocument/2006/relationships/hyperlink" Target="https://drive.google.com/file/d/16hFpc52CELLxk9caA5oxiOI9cOGWW94i/view?usp=drivesdk" TargetMode="External"/><Relationship Id="rId1167" Type="http://schemas.openxmlformats.org/officeDocument/2006/relationships/hyperlink" Target="https://drive.google.com/file/d/1rzsEizxgr5BPFCwkPIMD_06cHJOSWS3w/view?usp=drivesdk" TargetMode="External"/><Relationship Id="rId573" Type="http://schemas.openxmlformats.org/officeDocument/2006/relationships/hyperlink" Target="https://lh5.googleusercontent.com/d/1c8uc8a6a7rR9Ys-ygdBOLBEAtJUd0a5W" TargetMode="External"/><Relationship Id="rId1168" Type="http://schemas.openxmlformats.org/officeDocument/2006/relationships/hyperlink" Target="https://lh5.googleusercontent.com/d/1nCnTXaNyfzD3la18Jhyj39yD-7nEOK4y" TargetMode="External"/><Relationship Id="rId1190" Type="http://schemas.openxmlformats.org/officeDocument/2006/relationships/hyperlink" Target="https://lh5.googleusercontent.com/d/10LusNelGQ3rKz_wFzCe00ntbBYjT2Oif" TargetMode="External"/><Relationship Id="rId1191" Type="http://schemas.openxmlformats.org/officeDocument/2006/relationships/hyperlink" Target="https://drive.google.com/file/d/1U1w2qkTRNucOhdXxaApae9cMJPPDSaSv/view?usp=drivesdk" TargetMode="External"/><Relationship Id="rId1192" Type="http://schemas.openxmlformats.org/officeDocument/2006/relationships/hyperlink" Target="https://lh5.googleusercontent.com/d/1oOUSIu6KXhHmPRlrjOSDo_zEYGvRSxGT" TargetMode="External"/><Relationship Id="rId1193" Type="http://schemas.openxmlformats.org/officeDocument/2006/relationships/hyperlink" Target="https://drive.google.com/file/d/1s-s2rjKB3C4YRJ8wKb1knDhZOk8UaNqO/view?usp=drivesdk" TargetMode="External"/><Relationship Id="rId1194" Type="http://schemas.openxmlformats.org/officeDocument/2006/relationships/hyperlink" Target="https://lh5.googleusercontent.com/d/1Sm2j6WPc9InBjasZmz9f4lc8Hq8YOBjZ" TargetMode="External"/><Relationship Id="rId1195" Type="http://schemas.openxmlformats.org/officeDocument/2006/relationships/hyperlink" Target="https://drive.google.com/file/d/1zIQtWyJng68FKLd9oB-22CvTeDkZ9hSg/view?usp=drivesdk" TargetMode="External"/><Relationship Id="rId1196" Type="http://schemas.openxmlformats.org/officeDocument/2006/relationships/hyperlink" Target="https://lh5.googleusercontent.com/d/1Kc-YFk6Oux50SPTC-1kWFhPIruzxcVQ6" TargetMode="External"/><Relationship Id="rId1197" Type="http://schemas.openxmlformats.org/officeDocument/2006/relationships/hyperlink" Target="https://drive.google.com/file/d/19zsQAnp2sVbqzBEGKGunkTDgDB7SLISx/view?usp=drivesdk" TargetMode="External"/><Relationship Id="rId1198" Type="http://schemas.openxmlformats.org/officeDocument/2006/relationships/hyperlink" Target="https://lh5.googleusercontent.com/d/1ZU5H_F3sWEg8AZubC_NDsSk7hF4QlkF3" TargetMode="External"/><Relationship Id="rId1199" Type="http://schemas.openxmlformats.org/officeDocument/2006/relationships/hyperlink" Target="https://drive.google.com/file/d/1FTRgoQnLiro3h3OChts87THVC3AqW1a7/view?usp=drivesdk" TargetMode="External"/><Relationship Id="rId599" Type="http://schemas.openxmlformats.org/officeDocument/2006/relationships/hyperlink" Target="https://drive.google.com/file/d/1imc40xEVT8nbLM5HuusXMENX2Y0DLyWP/view?usp=drivesdk" TargetMode="External"/><Relationship Id="rId1180" Type="http://schemas.openxmlformats.org/officeDocument/2006/relationships/hyperlink" Target="https://lh5.googleusercontent.com/d/11viuh4XU5HwgXtAJ2VOdd7UeoKeQYaGD" TargetMode="External"/><Relationship Id="rId1181" Type="http://schemas.openxmlformats.org/officeDocument/2006/relationships/hyperlink" Target="https://drive.google.com/file/d/1RXksrJqmLUNk6GLTe-96ZhR9LegZrL9S/view?usp=drivesdk" TargetMode="External"/><Relationship Id="rId1182" Type="http://schemas.openxmlformats.org/officeDocument/2006/relationships/hyperlink" Target="https://lh5.googleusercontent.com/d/1UY_hFjOlyUy1AlgwKCpPv-lxQNwZLMWi" TargetMode="External"/><Relationship Id="rId594" Type="http://schemas.openxmlformats.org/officeDocument/2006/relationships/hyperlink" Target="https://drive.google.com/file/d/1B2_rtxj9fW6aiFIb28zY6iARtvUcD_cG/view?usp=drivesdk" TargetMode="External"/><Relationship Id="rId1183" Type="http://schemas.openxmlformats.org/officeDocument/2006/relationships/hyperlink" Target="https://drive.google.com/file/d/1I467_o1Qzmf126xIGZOr0kVJDNLmOwIa/view?usp=drivesdk" TargetMode="External"/><Relationship Id="rId593" Type="http://schemas.openxmlformats.org/officeDocument/2006/relationships/hyperlink" Target="https://lh5.googleusercontent.com/d/1cabRnqiG0p6T2RuR3bvVUSN4WPXtfJb8" TargetMode="External"/><Relationship Id="rId1184" Type="http://schemas.openxmlformats.org/officeDocument/2006/relationships/hyperlink" Target="https://lh5.googleusercontent.com/d/1KJ8t3lj52D8kChysbvewMqndVZUppMdC" TargetMode="External"/><Relationship Id="rId592" Type="http://schemas.openxmlformats.org/officeDocument/2006/relationships/hyperlink" Target="https://drive.google.com/file/d/18AjUxmt9P9KRtTz9W3bih8LFBY7DikGl/view?usp=drivesdk" TargetMode="External"/><Relationship Id="rId1185" Type="http://schemas.openxmlformats.org/officeDocument/2006/relationships/hyperlink" Target="https://drive.google.com/file/d/1sFE1hysvjM2CLLIfxvxzccyDKM9tZaYt/view?usp=drivesdk" TargetMode="External"/><Relationship Id="rId591" Type="http://schemas.openxmlformats.org/officeDocument/2006/relationships/hyperlink" Target="https://lh5.googleusercontent.com/d/1P3NNSemaXQgsCGZp4XngLHtQYB6YB8vy" TargetMode="External"/><Relationship Id="rId1186" Type="http://schemas.openxmlformats.org/officeDocument/2006/relationships/hyperlink" Target="https://lh5.googleusercontent.com/d/13q5rs0oOzOhrn3ebHUDtggT0NXdOaXnj" TargetMode="External"/><Relationship Id="rId598" Type="http://schemas.openxmlformats.org/officeDocument/2006/relationships/hyperlink" Target="https://lh5.googleusercontent.com/d/1eBoFTEDJGKoJA3zu3snb2YRaM3CN5XV1" TargetMode="External"/><Relationship Id="rId1187" Type="http://schemas.openxmlformats.org/officeDocument/2006/relationships/hyperlink" Target="https://drive.google.com/file/d/1yFhvj1WGJ3c65ApfmAt5i_E02DiY8aDe/view?usp=drivesdk" TargetMode="External"/><Relationship Id="rId597" Type="http://schemas.openxmlformats.org/officeDocument/2006/relationships/hyperlink" Target="https://lh5.googleusercontent.com/d/19A4pYXk8fN4yQ8uwzmvn-XbVW9XW_-dc" TargetMode="External"/><Relationship Id="rId1188" Type="http://schemas.openxmlformats.org/officeDocument/2006/relationships/hyperlink" Target="https://lh5.googleusercontent.com/d/1IMCIEFO-3q_6KXCiqgMvgFEK1zhIcRkF" TargetMode="External"/><Relationship Id="rId596" Type="http://schemas.openxmlformats.org/officeDocument/2006/relationships/hyperlink" Target="https://drive.google.com/file/d/1vJ960eI-f5FmSi4IqeJZUldM29MyDEPJ/view?usp=drivesdk" TargetMode="External"/><Relationship Id="rId1189" Type="http://schemas.openxmlformats.org/officeDocument/2006/relationships/hyperlink" Target="https://drive.google.com/file/d/1xljaYQPTd1YwCarPGyHjTVb0e6mB9TVI/view?usp=drivesdk" TargetMode="External"/><Relationship Id="rId595" Type="http://schemas.openxmlformats.org/officeDocument/2006/relationships/hyperlink" Target="https://lh5.googleusercontent.com/d/16OQjHZ-fNeqrUXeRsZ_weIcVlrkUw0NT" TargetMode="External"/><Relationship Id="rId1136" Type="http://schemas.openxmlformats.org/officeDocument/2006/relationships/hyperlink" Target="https://lh5.googleusercontent.com/d/1_PdMWWge33-65brZGz3W9wmKqRYCHSPb" TargetMode="External"/><Relationship Id="rId1137" Type="http://schemas.openxmlformats.org/officeDocument/2006/relationships/hyperlink" Target="https://drive.google.com/file/d/1sk0Miuny4xHWyWhMVodF3Wa8mzruCW8B/view?usp=drivesdk" TargetMode="External"/><Relationship Id="rId1138" Type="http://schemas.openxmlformats.org/officeDocument/2006/relationships/hyperlink" Target="https://lh5.googleusercontent.com/d/160JGvnnFZtAXpU1fDprU8GXZRTybH4iM" TargetMode="External"/><Relationship Id="rId1139" Type="http://schemas.openxmlformats.org/officeDocument/2006/relationships/hyperlink" Target="https://drive.google.com/file/d/1AHkmwo3sjgk3BgRlp0fbNXvAtIENnEbn/view?usp=drivesdk" TargetMode="External"/><Relationship Id="rId547" Type="http://schemas.openxmlformats.org/officeDocument/2006/relationships/hyperlink" Target="https://drive.google.com/file/d/1doZi7R1RJv-i9hN3k0XvHPsqTwHBX9Re/view?usp=drivesdk" TargetMode="External"/><Relationship Id="rId546" Type="http://schemas.openxmlformats.org/officeDocument/2006/relationships/hyperlink" Target="https://lh5.googleusercontent.com/d/13JU3akCSz9SG7OUUoi4E-reRrIq7NoxS" TargetMode="External"/><Relationship Id="rId545" Type="http://schemas.openxmlformats.org/officeDocument/2006/relationships/hyperlink" Target="https://drive.google.com/file/d/1BXkeYvUQHUNFBq8tx4PLZNXWdaPPFWni/view?usp=drivesdk" TargetMode="External"/><Relationship Id="rId544" Type="http://schemas.openxmlformats.org/officeDocument/2006/relationships/hyperlink" Target="https://lh5.googleusercontent.com/d/1PQSAuX2naHhZZieupker8qDbF58cehq1" TargetMode="External"/><Relationship Id="rId549" Type="http://schemas.openxmlformats.org/officeDocument/2006/relationships/hyperlink" Target="https://drive.google.com/file/d/13Xd02WRUOJORhV_-dDntWbve3JSpqxcK/view?usp=drivesdk" TargetMode="External"/><Relationship Id="rId548" Type="http://schemas.openxmlformats.org/officeDocument/2006/relationships/hyperlink" Target="https://lh5.googleusercontent.com/d/1NP9tpXjBVjjoouOoSHgcr5oTcdDSLP5a" TargetMode="External"/><Relationship Id="rId1130" Type="http://schemas.openxmlformats.org/officeDocument/2006/relationships/hyperlink" Target="https://lh5.googleusercontent.com/d/1GDhARqfnBKVFZQ-Lp4Z6isfy2NsICgp0" TargetMode="External"/><Relationship Id="rId1131" Type="http://schemas.openxmlformats.org/officeDocument/2006/relationships/hyperlink" Target="https://drive.google.com/file/d/1fodf0B5jxPestvuhDBVxvg8D7O-5_Aj9/view?usp=drivesdk" TargetMode="External"/><Relationship Id="rId543" Type="http://schemas.openxmlformats.org/officeDocument/2006/relationships/hyperlink" Target="https://drive.google.com/file/d/15JpJrnoZeJvYPS_0PvX1eWXFOQfqJWgu/view?usp=drivesdk" TargetMode="External"/><Relationship Id="rId1132" Type="http://schemas.openxmlformats.org/officeDocument/2006/relationships/hyperlink" Target="https://lh5.googleusercontent.com/d/1XXW2lZQDrUzhorQ-3Y-radbitjUwuxMq" TargetMode="External"/><Relationship Id="rId542" Type="http://schemas.openxmlformats.org/officeDocument/2006/relationships/hyperlink" Target="https://lh5.googleusercontent.com/d/1mM2tuKyf8nkjEsyVgzR-pZDhPf8CD5y5" TargetMode="External"/><Relationship Id="rId1133" Type="http://schemas.openxmlformats.org/officeDocument/2006/relationships/hyperlink" Target="https://drive.google.com/file/d/1-77dnXd_7IIboHCSZHmFvCaPkZBs3J35/view?usp=drivesdk" TargetMode="External"/><Relationship Id="rId541" Type="http://schemas.openxmlformats.org/officeDocument/2006/relationships/hyperlink" Target="https://drive.google.com/file/d/1sb6fx80QuM63ZzrRv5z9chhZk9iUuqgN/view?usp=drivesdk" TargetMode="External"/><Relationship Id="rId1134" Type="http://schemas.openxmlformats.org/officeDocument/2006/relationships/hyperlink" Target="https://lh5.googleusercontent.com/d/1zpn9BQz0PMngmZxYWsTDUfM3_r_5bEFT" TargetMode="External"/><Relationship Id="rId540" Type="http://schemas.openxmlformats.org/officeDocument/2006/relationships/hyperlink" Target="https://lh5.googleusercontent.com/d/15bIXnwC0bvQw89fWckS3UWkvGxucKvso" TargetMode="External"/><Relationship Id="rId1135" Type="http://schemas.openxmlformats.org/officeDocument/2006/relationships/hyperlink" Target="https://drive.google.com/file/d/1lGyYcKb16mqiwhLZsQCfFlggxoRb_14M/view?usp=drivesdk" TargetMode="External"/><Relationship Id="rId1125" Type="http://schemas.openxmlformats.org/officeDocument/2006/relationships/hyperlink" Target="https://drive.google.com/file/d/19TL_z3PrZHi8_6fMJqhcak-XV3DUGUSy/view?usp=drivesdk" TargetMode="External"/><Relationship Id="rId1126" Type="http://schemas.openxmlformats.org/officeDocument/2006/relationships/hyperlink" Target="https://lh5.googleusercontent.com/d/1u4M0y5cPU5WX_88saeXnGPYTf9s-kJt5" TargetMode="External"/><Relationship Id="rId1127" Type="http://schemas.openxmlformats.org/officeDocument/2006/relationships/hyperlink" Target="https://drive.google.com/file/d/1gfrpplAzynOKZnmmU5UA_gqqxndQXGzo/view?usp=drivesdk" TargetMode="External"/><Relationship Id="rId1128" Type="http://schemas.openxmlformats.org/officeDocument/2006/relationships/hyperlink" Target="https://lh5.googleusercontent.com/d/1IiSc2ieP-8D7hgzBmnk37pGQGAhScVQ4" TargetMode="External"/><Relationship Id="rId1129" Type="http://schemas.openxmlformats.org/officeDocument/2006/relationships/hyperlink" Target="https://drive.google.com/file/d/1qDLXRQJOw23rcr8IvKgLRA-RIcWJ7qkb/view?usp=drivesdk" TargetMode="External"/><Relationship Id="rId536" Type="http://schemas.openxmlformats.org/officeDocument/2006/relationships/hyperlink" Target="https://lh5.googleusercontent.com/d/1j4LpR3Xu8BFTPix-MGjFoHl8-J6O0TEK" TargetMode="External"/><Relationship Id="rId535" Type="http://schemas.openxmlformats.org/officeDocument/2006/relationships/hyperlink" Target="https://drive.google.com/file/d/1FxBuEM0fyp0Ri3Ht1bY4dXi2i9IJLIQt/view?usp=drivesdk" TargetMode="External"/><Relationship Id="rId534" Type="http://schemas.openxmlformats.org/officeDocument/2006/relationships/hyperlink" Target="https://lh5.googleusercontent.com/d/19OEE2OZiO6xqkR0kXi3TE9Qiwo4zr38j" TargetMode="External"/><Relationship Id="rId533" Type="http://schemas.openxmlformats.org/officeDocument/2006/relationships/hyperlink" Target="https://drive.google.com/file/d/1ms4vfMKvobkDelyeHFwWODXs3eLLtZXY/view?usp=drivesdk" TargetMode="External"/><Relationship Id="rId539" Type="http://schemas.openxmlformats.org/officeDocument/2006/relationships/hyperlink" Target="https://drive.google.com/file/d/1pb5k-9HPwiHz7Dx7c-lOC9VnNkZijzPF/view?usp=drivesdk" TargetMode="External"/><Relationship Id="rId538" Type="http://schemas.openxmlformats.org/officeDocument/2006/relationships/hyperlink" Target="https://lh5.googleusercontent.com/d/1TnBx7gIs-m1rLMoG9co3c3tjVi9Xzc1O" TargetMode="External"/><Relationship Id="rId537" Type="http://schemas.openxmlformats.org/officeDocument/2006/relationships/hyperlink" Target="https://drive.google.com/file/d/1uy9E5Hlom1wWutBObTpf82HCl0pLvYPi/view?usp=drivesdk" TargetMode="External"/><Relationship Id="rId1120" Type="http://schemas.openxmlformats.org/officeDocument/2006/relationships/hyperlink" Target="https://lh5.googleusercontent.com/d/18sqUMF_CmGWG0M2U-zL58C1ajUrT4paR" TargetMode="External"/><Relationship Id="rId532" Type="http://schemas.openxmlformats.org/officeDocument/2006/relationships/hyperlink" Target="https://lh5.googleusercontent.com/d/1ppEKADooHlADNeXS-Jod9QHam793ElHC" TargetMode="External"/><Relationship Id="rId1121" Type="http://schemas.openxmlformats.org/officeDocument/2006/relationships/hyperlink" Target="https://drive.google.com/file/d/1NrWZhJZJiB0wJdwtoseLKuwTbzkHzurb/view?usp=drivesdk" TargetMode="External"/><Relationship Id="rId531" Type="http://schemas.openxmlformats.org/officeDocument/2006/relationships/hyperlink" Target="https://drive.google.com/file/d/1RPZUScr_9IzFMyWOoa6dIvpfJb2WiNUV/view?usp=drivesdk" TargetMode="External"/><Relationship Id="rId1122" Type="http://schemas.openxmlformats.org/officeDocument/2006/relationships/hyperlink" Target="https://lh5.googleusercontent.com/d/1HoRQLPszKfUCPxv5CCF_LlE1Y03DVxLU" TargetMode="External"/><Relationship Id="rId530" Type="http://schemas.openxmlformats.org/officeDocument/2006/relationships/hyperlink" Target="https://lh5.googleusercontent.com/d/143RV2Th3bwM1OgSVmSWnq5JhrkksQcZj" TargetMode="External"/><Relationship Id="rId1123" Type="http://schemas.openxmlformats.org/officeDocument/2006/relationships/hyperlink" Target="https://drive.google.com/file/d/1QLLLNzs_63Bb8cekDu1l0h6e4lV8SBmz/view?usp=drivesdk" TargetMode="External"/><Relationship Id="rId1124" Type="http://schemas.openxmlformats.org/officeDocument/2006/relationships/hyperlink" Target="https://lh5.googleusercontent.com/d/1CRRWxq6UBcNDcr8qk3O7-vBXKUsSKDUd" TargetMode="External"/><Relationship Id="rId1158" Type="http://schemas.openxmlformats.org/officeDocument/2006/relationships/hyperlink" Target="https://lh5.googleusercontent.com/d/1RLbmJo8tqQEDeiq-z-hQlXFHBTwysd0N" TargetMode="External"/><Relationship Id="rId1159" Type="http://schemas.openxmlformats.org/officeDocument/2006/relationships/hyperlink" Target="https://drive.google.com/file/d/1qjY28jpdb9PSEtkyJ7eBmQrJRacTBr0D/view?usp=drivesdk" TargetMode="External"/><Relationship Id="rId569" Type="http://schemas.openxmlformats.org/officeDocument/2006/relationships/hyperlink" Target="https://lh5.googleusercontent.com/d/1FDBB2YZ-BC-5B6jgwiPn6YVEjiR9f7bI" TargetMode="External"/><Relationship Id="rId568" Type="http://schemas.openxmlformats.org/officeDocument/2006/relationships/hyperlink" Target="https://drive.google.com/file/d/1vB_8E836XvckC-ZvUC9lUwA6Gik5EnEP/view?usp=drivesdk" TargetMode="External"/><Relationship Id="rId567" Type="http://schemas.openxmlformats.org/officeDocument/2006/relationships/hyperlink" Target="https://lh5.googleusercontent.com/d/14a-dJPt6JYhdXeTHZQR4MdchaNE09fER" TargetMode="External"/><Relationship Id="rId566" Type="http://schemas.openxmlformats.org/officeDocument/2006/relationships/hyperlink" Target="https://drive.google.com/file/d/1_HiB9j6a-xgsR3ANHTFFwIWxPqk1_MbY/view?usp=drivesdk" TargetMode="External"/><Relationship Id="rId561" Type="http://schemas.openxmlformats.org/officeDocument/2006/relationships/hyperlink" Target="https://lh5.googleusercontent.com/d/1ykjOsDyTbS9p4VsJiT-xZJoxzipGO_zY" TargetMode="External"/><Relationship Id="rId1150" Type="http://schemas.openxmlformats.org/officeDocument/2006/relationships/hyperlink" Target="https://lh5.googleusercontent.com/d/1TuDY_7WYgX5gxOiTvAriyx19-yc_lPIl" TargetMode="External"/><Relationship Id="rId560" Type="http://schemas.openxmlformats.org/officeDocument/2006/relationships/hyperlink" Target="https://drive.google.com/file/d/1JqiA6wJrpCLOcGCFR0i3ScJlPZuMU3IS/view?usp=drivesdk" TargetMode="External"/><Relationship Id="rId1151" Type="http://schemas.openxmlformats.org/officeDocument/2006/relationships/hyperlink" Target="https://drive.google.com/file/d/1YeKRMUQ-JAFkGGay0UgwOTM7we0SOQWo/view?usp=drivesdk" TargetMode="External"/><Relationship Id="rId1152" Type="http://schemas.openxmlformats.org/officeDocument/2006/relationships/hyperlink" Target="https://lh5.googleusercontent.com/d/1liEngRYIK5Yb0dQfpCwGEjbizZFhOfnG" TargetMode="External"/><Relationship Id="rId1153" Type="http://schemas.openxmlformats.org/officeDocument/2006/relationships/hyperlink" Target="https://drive.google.com/file/d/1kFG3ZOPL7Oo13EoYxK8S5mgyQQnxDiKc/view?usp=drivesdk" TargetMode="External"/><Relationship Id="rId565" Type="http://schemas.openxmlformats.org/officeDocument/2006/relationships/hyperlink" Target="https://lh5.googleusercontent.com/d/1mquZkmX_6Hst0fxtb-IGJZ0AzvhAIDaF" TargetMode="External"/><Relationship Id="rId1154" Type="http://schemas.openxmlformats.org/officeDocument/2006/relationships/hyperlink" Target="https://lh5.googleusercontent.com/d/15CHD7R8U95pGe6IE3PoAqjOMojQkH2ZD" TargetMode="External"/><Relationship Id="rId564" Type="http://schemas.openxmlformats.org/officeDocument/2006/relationships/hyperlink" Target="https://drive.google.com/file/d/1fqNcBKiIgC_UNB0CWMwMG1-hoFSymGqC/view?usp=drivesdk" TargetMode="External"/><Relationship Id="rId1155" Type="http://schemas.openxmlformats.org/officeDocument/2006/relationships/hyperlink" Target="https://drive.google.com/file/d/16JiGf3YbUQPCngMwZYTSLjVNbTjAEIFW/view?usp=drivesdk" TargetMode="External"/><Relationship Id="rId563" Type="http://schemas.openxmlformats.org/officeDocument/2006/relationships/hyperlink" Target="https://lh5.googleusercontent.com/d/1LbzNSYowOthVppFhP2r3xdi6PXPTl5XO" TargetMode="External"/><Relationship Id="rId1156" Type="http://schemas.openxmlformats.org/officeDocument/2006/relationships/hyperlink" Target="https://lh5.googleusercontent.com/d/1FN6JVQ_LS4fNBr01E7RURws1d95l9IU1" TargetMode="External"/><Relationship Id="rId562" Type="http://schemas.openxmlformats.org/officeDocument/2006/relationships/hyperlink" Target="https://drive.google.com/file/d/1i2_58ysV1fLsiBVeFX5ttke0A9zIuhpu/view?usp=drivesdk" TargetMode="External"/><Relationship Id="rId1157" Type="http://schemas.openxmlformats.org/officeDocument/2006/relationships/hyperlink" Target="https://drive.google.com/file/d/1foO35ta4ogzlR3cGx3QTCSwg3wlriV2r/view?usp=drivesdk" TargetMode="External"/><Relationship Id="rId1147" Type="http://schemas.openxmlformats.org/officeDocument/2006/relationships/hyperlink" Target="https://drive.google.com/file/d/1GCxldfUtLPc8Kx4apsPOpM-pQRot2Rgz/view?usp=drivesdk" TargetMode="External"/><Relationship Id="rId1148" Type="http://schemas.openxmlformats.org/officeDocument/2006/relationships/hyperlink" Target="https://lh5.googleusercontent.com/d/1MT0_3KIbRwLh6jDn4nQPqGsjIeY_FsyI" TargetMode="External"/><Relationship Id="rId1149" Type="http://schemas.openxmlformats.org/officeDocument/2006/relationships/hyperlink" Target="https://drive.google.com/file/d/1MeeeVmJm5ozhP6_qkI4-TC-Uw4drPisV/view?usp=drivesdk" TargetMode="External"/><Relationship Id="rId558" Type="http://schemas.openxmlformats.org/officeDocument/2006/relationships/hyperlink" Target="https://drive.google.com/file/d/1A6F-uNCMKilqaFrum6CUuE1RGqzX7mWD/view?usp=drivesdk" TargetMode="External"/><Relationship Id="rId557" Type="http://schemas.openxmlformats.org/officeDocument/2006/relationships/hyperlink" Target="https://lh5.googleusercontent.com/d/12YDZStQ7tlCL-eOyd6B-liixj-O_lreQ" TargetMode="External"/><Relationship Id="rId556" Type="http://schemas.openxmlformats.org/officeDocument/2006/relationships/hyperlink" Target="https://drive.google.com/file/d/1d933l3LJpqD6aGXZlpdqAn0REbyfQHUf/view?usp=drivesdk" TargetMode="External"/><Relationship Id="rId555" Type="http://schemas.openxmlformats.org/officeDocument/2006/relationships/hyperlink" Target="https://lh5.googleusercontent.com/d/1oTyc5IKO7RZYjaFg-4ia0CcGwz2Ntrk8" TargetMode="External"/><Relationship Id="rId559" Type="http://schemas.openxmlformats.org/officeDocument/2006/relationships/hyperlink" Target="https://lh5.googleusercontent.com/d/1-Pp_azjNYsGP6rjkew3ORke4kCJxbATt" TargetMode="External"/><Relationship Id="rId550" Type="http://schemas.openxmlformats.org/officeDocument/2006/relationships/hyperlink" Target="https://lh5.googleusercontent.com/d/1qCEihLDuHpPQkJoHYIna9QrqjSG7lDCC" TargetMode="External"/><Relationship Id="rId1140" Type="http://schemas.openxmlformats.org/officeDocument/2006/relationships/hyperlink" Target="https://lh5.googleusercontent.com/d/1kzSTSBKwTI4D7nWAFZNUu0RZEUvlLVhn" TargetMode="External"/><Relationship Id="rId1141" Type="http://schemas.openxmlformats.org/officeDocument/2006/relationships/hyperlink" Target="https://drive.google.com/file/d/19gV5I2dEhUlscWFUhgLy2llEV-djrPJm/view?usp=drivesdk" TargetMode="External"/><Relationship Id="rId1142" Type="http://schemas.openxmlformats.org/officeDocument/2006/relationships/hyperlink" Target="https://lh5.googleusercontent.com/d/1EWtNEW5LkjWKj1ghjBrh_K53hFa_G_oI" TargetMode="External"/><Relationship Id="rId554" Type="http://schemas.openxmlformats.org/officeDocument/2006/relationships/hyperlink" Target="https://lh5.googleusercontent.com/d/157PL87ebi_XQG5DiqOoTjxrieGOT5CAI" TargetMode="External"/><Relationship Id="rId1143" Type="http://schemas.openxmlformats.org/officeDocument/2006/relationships/hyperlink" Target="https://drive.google.com/file/d/1muKhtVe3GPvxyeU9PWFAnDcNmvHMe3Ky/view?usp=drivesdk" TargetMode="External"/><Relationship Id="rId553" Type="http://schemas.openxmlformats.org/officeDocument/2006/relationships/hyperlink" Target="https://drive.google.com/file/d/1lwdcGxCFpMxwQaG5tTifIwKVHvxJbEdH/view?usp=drivesdk" TargetMode="External"/><Relationship Id="rId1144" Type="http://schemas.openxmlformats.org/officeDocument/2006/relationships/hyperlink" Target="https://lh5.googleusercontent.com/d/1dpE_9SPYEz0ASG1wG827FB6yfjKkTumt" TargetMode="External"/><Relationship Id="rId552" Type="http://schemas.openxmlformats.org/officeDocument/2006/relationships/hyperlink" Target="https://lh5.googleusercontent.com/d/1sDxbIzQr0_TmKga9YMy3PX0d9lhX1-P1" TargetMode="External"/><Relationship Id="rId1145" Type="http://schemas.openxmlformats.org/officeDocument/2006/relationships/hyperlink" Target="https://drive.google.com/file/d/1Ibz3eifcW4RxnMhWogI8j5bcWTk2idvn/view?usp=drivesdk" TargetMode="External"/><Relationship Id="rId551" Type="http://schemas.openxmlformats.org/officeDocument/2006/relationships/hyperlink" Target="https://drive.google.com/file/d/1LYuFzgUPp2xy-EZbUzRu0NTyENdf-JZo/view?usp=drivesdk" TargetMode="External"/><Relationship Id="rId1146" Type="http://schemas.openxmlformats.org/officeDocument/2006/relationships/hyperlink" Target="https://lh5.googleusercontent.com/d/1GxDu7wIDVRNfMGbyXVx5ixDJopN-PwOi" TargetMode="External"/><Relationship Id="rId495" Type="http://schemas.openxmlformats.org/officeDocument/2006/relationships/hyperlink" Target="https://drive.google.com/file/d/1PrYt-KdXsihzAKv3vJznYHHIqKb-cC4d/view?usp=drivesdk" TargetMode="External"/><Relationship Id="rId494" Type="http://schemas.openxmlformats.org/officeDocument/2006/relationships/hyperlink" Target="https://lh5.googleusercontent.com/d/142pLKNZxFDJ3WKLqd0dgA2GqM8a-Ksl_" TargetMode="External"/><Relationship Id="rId493" Type="http://schemas.openxmlformats.org/officeDocument/2006/relationships/hyperlink" Target="https://drive.google.com/file/d/1b6agFwx7jfWX8nbZKs7OLG0G6sPypPsC/view?usp=drivesdk" TargetMode="External"/><Relationship Id="rId492" Type="http://schemas.openxmlformats.org/officeDocument/2006/relationships/hyperlink" Target="https://lh5.googleusercontent.com/d/1cCBsTe7tA9RCzvIhsczxq0XyijmwYwmu" TargetMode="External"/><Relationship Id="rId499" Type="http://schemas.openxmlformats.org/officeDocument/2006/relationships/hyperlink" Target="https://drive.google.com/file/d/1fDK-Dbd6kEay9RUivUP7QFxX6xXFENBR/view?usp=drivesdk" TargetMode="External"/><Relationship Id="rId498" Type="http://schemas.openxmlformats.org/officeDocument/2006/relationships/hyperlink" Target="https://lh5.googleusercontent.com/d/1dzo7nG5ciryz2AAioAc7OGP2OtLFEapd" TargetMode="External"/><Relationship Id="rId497" Type="http://schemas.openxmlformats.org/officeDocument/2006/relationships/hyperlink" Target="https://drive.google.com/file/d/1UciqDnRKkHTIm9U2K2d6c4DygZ0XMoCA/view?usp=drivesdk" TargetMode="External"/><Relationship Id="rId496" Type="http://schemas.openxmlformats.org/officeDocument/2006/relationships/hyperlink" Target="https://lh5.googleusercontent.com/d/1B62GNPMty4Xt0hG4KW36CljatBIGvssT" TargetMode="External"/><Relationship Id="rId1213" Type="http://schemas.openxmlformats.org/officeDocument/2006/relationships/hyperlink" Target="https://drive.google.com/file/d/1fjrpeSpp6Or5-E8o-NO3FCwWmYXeR4i8/view?usp=drivesdk" TargetMode="External"/><Relationship Id="rId1214" Type="http://schemas.openxmlformats.org/officeDocument/2006/relationships/hyperlink" Target="https://lh5.googleusercontent.com/d/1q8T6kiJSX6MDDAtaZUbNKLajO9-oiI1Z" TargetMode="External"/><Relationship Id="rId1215" Type="http://schemas.openxmlformats.org/officeDocument/2006/relationships/hyperlink" Target="https://drive.google.com/file/d/1bOG5ljftlvBsCbPhJ0OAH4mrztxl0BSq/view?usp=drivesdk" TargetMode="External"/><Relationship Id="rId1216" Type="http://schemas.openxmlformats.org/officeDocument/2006/relationships/hyperlink" Target="https://lh5.googleusercontent.com/d/1VWRp3Wuja-aEeeBDhvFm6SYJo8CFPKQO" TargetMode="External"/><Relationship Id="rId1217" Type="http://schemas.openxmlformats.org/officeDocument/2006/relationships/hyperlink" Target="https://drive.google.com/file/d/1y3zgSi9oNu5swbg6b8TxM9nzoOGPPyL6/view?usp=drivesdk" TargetMode="External"/><Relationship Id="rId1218" Type="http://schemas.openxmlformats.org/officeDocument/2006/relationships/hyperlink" Target="https://lh5.googleusercontent.com/d/1UzoVz7qAY4bgGty1S_3vgOnwO_vYUtlg" TargetMode="External"/><Relationship Id="rId1219" Type="http://schemas.openxmlformats.org/officeDocument/2006/relationships/hyperlink" Target="https://drive.google.com/file/d/184ELnONszXkqf6t9qG8DvWZOeznzZ_rk/view?usp=drivesdk" TargetMode="External"/><Relationship Id="rId1210" Type="http://schemas.openxmlformats.org/officeDocument/2006/relationships/hyperlink" Target="https://lh5.googleusercontent.com/d/1OlL0tpEz1d-v7pa16wcEjgGu6V_pcdvQ" TargetMode="External"/><Relationship Id="rId1211" Type="http://schemas.openxmlformats.org/officeDocument/2006/relationships/hyperlink" Target="https://drive.google.com/file/d/1oHmcb1dhhbzwDnB94RjdaoeEWA6jRZYJ/view?usp=drivesdk" TargetMode="External"/><Relationship Id="rId1212" Type="http://schemas.openxmlformats.org/officeDocument/2006/relationships/hyperlink" Target="https://lh5.googleusercontent.com/d/1tCjD5lQfMngC-wkW1__70vdCnozP8rXg" TargetMode="External"/><Relationship Id="rId1202" Type="http://schemas.openxmlformats.org/officeDocument/2006/relationships/hyperlink" Target="https://lh5.googleusercontent.com/d/1H-sOoUD1dIJzGlLTb9SBfmrcOzDYEasv" TargetMode="External"/><Relationship Id="rId1203" Type="http://schemas.openxmlformats.org/officeDocument/2006/relationships/hyperlink" Target="https://drive.google.com/file/d/1xyrkelchbpPGOWgvEnvArtbpWgt9K-Z7/view?usp=drivesdk" TargetMode="External"/><Relationship Id="rId1204" Type="http://schemas.openxmlformats.org/officeDocument/2006/relationships/hyperlink" Target="https://lh5.googleusercontent.com/d/1ACGoi6NjLjtf9zhQnaf7EQPmjSwgidiU" TargetMode="External"/><Relationship Id="rId1205" Type="http://schemas.openxmlformats.org/officeDocument/2006/relationships/hyperlink" Target="https://drive.google.com/file/d/1kmfomQ9cMBEukNTKHRM9B69PFulvcUQw/view?usp=drivesdk" TargetMode="External"/><Relationship Id="rId1206" Type="http://schemas.openxmlformats.org/officeDocument/2006/relationships/hyperlink" Target="https://lh5.googleusercontent.com/d/1XxFbGhZbnv8l2tR8w1pJPyMnQy7K9Uw3" TargetMode="External"/><Relationship Id="rId1207" Type="http://schemas.openxmlformats.org/officeDocument/2006/relationships/hyperlink" Target="https://drive.google.com/file/d/1p05PNbDdmrOq-fofmXL6J6-KYgn3TTnh/view?usp=drivesdk" TargetMode="External"/><Relationship Id="rId1208" Type="http://schemas.openxmlformats.org/officeDocument/2006/relationships/hyperlink" Target="https://lh5.googleusercontent.com/d/16dRyeUXWliZGrhd3RbXfUbfF5oyjC_Kr" TargetMode="External"/><Relationship Id="rId1209" Type="http://schemas.openxmlformats.org/officeDocument/2006/relationships/hyperlink" Target="https://drive.google.com/file/d/1LxL-88VNuOjSWeHUtCOA7__gPulbPwSL/view?usp=drivesdk" TargetMode="External"/><Relationship Id="rId1200" Type="http://schemas.openxmlformats.org/officeDocument/2006/relationships/hyperlink" Target="https://lh5.googleusercontent.com/d/1lxyWtrjoi5Rizf7PA_ExKWWlYW4ag2ES" TargetMode="External"/><Relationship Id="rId1201" Type="http://schemas.openxmlformats.org/officeDocument/2006/relationships/hyperlink" Target="https://drive.google.com/file/d/1h8o8aPAH3rE5fY2GX-rbb19qiJYcs1Zr/view?usp=drivesdk" TargetMode="External"/><Relationship Id="rId1235" Type="http://schemas.openxmlformats.org/officeDocument/2006/relationships/hyperlink" Target="https://lh5.googleusercontent.com/d/12opZQfPkBRdfq3m0ryyvWj6EHZRkVVvI" TargetMode="External"/><Relationship Id="rId1236" Type="http://schemas.openxmlformats.org/officeDocument/2006/relationships/hyperlink" Target="https://drive.google.com/file/d/1gVOZ8htgrwUP67UA4GplxaEryo2tL0U9/view?usp=drivesdk" TargetMode="External"/><Relationship Id="rId1237" Type="http://schemas.openxmlformats.org/officeDocument/2006/relationships/hyperlink" Target="https://lh5.googleusercontent.com/d/1ho0EX_vayQOBKoqeqziCPpfR9tOPYs_o" TargetMode="External"/><Relationship Id="rId1238" Type="http://schemas.openxmlformats.org/officeDocument/2006/relationships/hyperlink" Target="https://drive.google.com/file/d/1De6N-sO82GZ8fExGk5NfuEn0JaWsYrOy/view?usp=drivesdk" TargetMode="External"/><Relationship Id="rId1239" Type="http://schemas.openxmlformats.org/officeDocument/2006/relationships/hyperlink" Target="https://lh5.googleusercontent.com/d/1VDpcDz2uuc35xuVaqpOxWfuTx80QcOEb" TargetMode="External"/><Relationship Id="rId409" Type="http://schemas.openxmlformats.org/officeDocument/2006/relationships/hyperlink" Target="https://lh5.googleusercontent.com/d/1fMcimZhXl8GXHgz8vMmLn9F7OawIx5zv" TargetMode="External"/><Relationship Id="rId404" Type="http://schemas.openxmlformats.org/officeDocument/2006/relationships/hyperlink" Target="https://drive.google.com/file/d/1IxY1MZTVgr2e6QHU9mAfNjB7kI9YkHLB/view?usp=drivesdk" TargetMode="External"/><Relationship Id="rId403" Type="http://schemas.openxmlformats.org/officeDocument/2006/relationships/hyperlink" Target="https://lh5.googleusercontent.com/d/1CfWelTKyYHHm7yC4TreSNVY24hygFrga" TargetMode="External"/><Relationship Id="rId402" Type="http://schemas.openxmlformats.org/officeDocument/2006/relationships/hyperlink" Target="https://drive.google.com/file/d/1vwO4yZTdAZb1L9AOkW4RSqHIbJBuP25a/view?usp=drivesdk" TargetMode="External"/><Relationship Id="rId401" Type="http://schemas.openxmlformats.org/officeDocument/2006/relationships/hyperlink" Target="https://lh5.googleusercontent.com/d/1TaULK0C3pB_GeJ2ecttVobjRr-d6iq-i" TargetMode="External"/><Relationship Id="rId408" Type="http://schemas.openxmlformats.org/officeDocument/2006/relationships/hyperlink" Target="https://drive.google.com/file/d/1dxM_85T63Hw1zppu9QiKps3-KeP9XnKA/view?usp=drivesdk" TargetMode="External"/><Relationship Id="rId407" Type="http://schemas.openxmlformats.org/officeDocument/2006/relationships/hyperlink" Target="https://lh5.googleusercontent.com/d/1wiolRPpA_wVYIeJPGrcSACNZrfEFex6B" TargetMode="External"/><Relationship Id="rId406" Type="http://schemas.openxmlformats.org/officeDocument/2006/relationships/hyperlink" Target="https://drive.google.com/file/d/1p-o5xsgvCzsLZE38g7dsMh5Fb-Dq9u5g/view?usp=drivesdk" TargetMode="External"/><Relationship Id="rId405" Type="http://schemas.openxmlformats.org/officeDocument/2006/relationships/hyperlink" Target="https://lh5.googleusercontent.com/d/1kFNb7T3-_qY6F9g4RPQ-1wN1X23eaLRe" TargetMode="External"/><Relationship Id="rId1230" Type="http://schemas.openxmlformats.org/officeDocument/2006/relationships/hyperlink" Target="https://lh5.googleusercontent.com/d/1jshFB2u0y2so_QdS8YCtx6ysdrLl0fN7" TargetMode="External"/><Relationship Id="rId400" Type="http://schemas.openxmlformats.org/officeDocument/2006/relationships/hyperlink" Target="https://drive.google.com/file/d/1m4gLQU2tej_KpCpz_p64DzwkBQFiV6p9/view?usp=drivesdk" TargetMode="External"/><Relationship Id="rId1231" Type="http://schemas.openxmlformats.org/officeDocument/2006/relationships/hyperlink" Target="https://drive.google.com/file/d/1G-DD9Aq6IdgquF7UQt2Y-DojfEZfAB_e/view?usp=drivesdk" TargetMode="External"/><Relationship Id="rId1232" Type="http://schemas.openxmlformats.org/officeDocument/2006/relationships/hyperlink" Target="https://lh5.googleusercontent.com/d/1HXzJTiqrGto9Zi8MIPtJchkDnuDQMLR0" TargetMode="External"/><Relationship Id="rId1233" Type="http://schemas.openxmlformats.org/officeDocument/2006/relationships/hyperlink" Target="https://lh5.googleusercontent.com/d/1uC1EGuLefAbURSk-JnT9SOUZYkCBFeI5" TargetMode="External"/><Relationship Id="rId1234" Type="http://schemas.openxmlformats.org/officeDocument/2006/relationships/hyperlink" Target="https://drive.google.com/file/d/1ABTmgAYicFCdLeZ4TM8SyXeyfug50sUj/view?usp=drivesdk" TargetMode="External"/><Relationship Id="rId1224" Type="http://schemas.openxmlformats.org/officeDocument/2006/relationships/hyperlink" Target="https://lh5.googleusercontent.com/d/1T6mLw26lp0Sel2Bm8GvZtLKtmie5QpAy" TargetMode="External"/><Relationship Id="rId1225" Type="http://schemas.openxmlformats.org/officeDocument/2006/relationships/hyperlink" Target="https://drive.google.com/file/d/1dCoBiUHJGm2wsmeUoHOpit4I7wUCqUAZ/view?usp=drivesdk" TargetMode="External"/><Relationship Id="rId1226" Type="http://schemas.openxmlformats.org/officeDocument/2006/relationships/hyperlink" Target="https://lh5.googleusercontent.com/d/1OlPAn8XzPDEBDRSP2Z3Raw6OxTvUxBCA" TargetMode="External"/><Relationship Id="rId1227" Type="http://schemas.openxmlformats.org/officeDocument/2006/relationships/hyperlink" Target="https://drive.google.com/file/d/1KRlrvB8vAo6DHfSdwAOG6xWhNiXR6cyZ/view?usp=drivesdk" TargetMode="External"/><Relationship Id="rId1228" Type="http://schemas.openxmlformats.org/officeDocument/2006/relationships/hyperlink" Target="https://lh5.googleusercontent.com/d/1eybGdKN7tdH13ylDj_VdxfYfKohGXEm8" TargetMode="External"/><Relationship Id="rId1229" Type="http://schemas.openxmlformats.org/officeDocument/2006/relationships/hyperlink" Target="https://drive.google.com/file/d/1OzaFhMaSxQsyayghdPmce1CHrbYlAqMU/view?usp=drivesdk" TargetMode="External"/><Relationship Id="rId1220" Type="http://schemas.openxmlformats.org/officeDocument/2006/relationships/hyperlink" Target="https://lh5.googleusercontent.com/d/1BDPOzCkNptJ5qzpn_HaAmbVdOwtXtvnH" TargetMode="External"/><Relationship Id="rId1221" Type="http://schemas.openxmlformats.org/officeDocument/2006/relationships/hyperlink" Target="https://drive.google.com/file/d/1pUqKCPg4O-nttsGZysprRsb6OWUBbnIM/view?usp=drivesdk" TargetMode="External"/><Relationship Id="rId1222" Type="http://schemas.openxmlformats.org/officeDocument/2006/relationships/hyperlink" Target="https://lh5.googleusercontent.com/d/13nVARBII_AsN-Su6UEkQncFbIzqqo2lw" TargetMode="External"/><Relationship Id="rId1223" Type="http://schemas.openxmlformats.org/officeDocument/2006/relationships/hyperlink" Target="https://drive.google.com/file/d/1cuQy_TkcFrLGTDhBe4fRBMEu8ZtmgqMZ/view?usp=drivesdk" TargetMode="External"/><Relationship Id="rId469" Type="http://schemas.openxmlformats.org/officeDocument/2006/relationships/hyperlink" Target="https://lh5.googleusercontent.com/d/1vPPwWaeEwKhAcM2iYms7okSOiD3NMMhA" TargetMode="External"/><Relationship Id="rId468" Type="http://schemas.openxmlformats.org/officeDocument/2006/relationships/hyperlink" Target="https://drive.google.com/file/d/1fisCSZxl1GkHu8HcWQ7VRYybFrfDfcmb/view?usp=drivesdk" TargetMode="External"/><Relationship Id="rId467" Type="http://schemas.openxmlformats.org/officeDocument/2006/relationships/hyperlink" Target="https://lh5.googleusercontent.com/d/1mumJBI4-eVYtyijGTjXEj4KLJIuibAj8" TargetMode="External"/><Relationship Id="rId1290" Type="http://schemas.openxmlformats.org/officeDocument/2006/relationships/hyperlink" Target="https://drive.google.com/file/d/1sqXim6yZt24e9jDi21rO1_apIDIcRUWY/view?usp=drivesdk" TargetMode="External"/><Relationship Id="rId1291" Type="http://schemas.openxmlformats.org/officeDocument/2006/relationships/hyperlink" Target="https://lh5.googleusercontent.com/d/1Hxkp3EaqU0P4TeLl8U6WsSAb68Wh9b_i" TargetMode="External"/><Relationship Id="rId1292" Type="http://schemas.openxmlformats.org/officeDocument/2006/relationships/hyperlink" Target="https://drive.google.com/file/d/184D-xSlTkUz3zzJTE6KHJzl2m1CejTan/view?usp=drivesdk" TargetMode="External"/><Relationship Id="rId462" Type="http://schemas.openxmlformats.org/officeDocument/2006/relationships/hyperlink" Target="https://drive.google.com/file/d/1tl3qhmaGXwhbiffnc9vBr9kXotlgejc2/view?usp=drivesdk" TargetMode="External"/><Relationship Id="rId1293" Type="http://schemas.openxmlformats.org/officeDocument/2006/relationships/hyperlink" Target="https://lh5.googleusercontent.com/d/1dYJy-eH_sWHj0YaOMmQgXOCEyqlIK0ec" TargetMode="External"/><Relationship Id="rId461" Type="http://schemas.openxmlformats.org/officeDocument/2006/relationships/hyperlink" Target="https://lh5.googleusercontent.com/d/1zfM3CYTWYt5YEvvUYGFl1ucmAvhTE35i" TargetMode="External"/><Relationship Id="rId1294" Type="http://schemas.openxmlformats.org/officeDocument/2006/relationships/hyperlink" Target="https://drive.google.com/file/d/19URJsgayhjzQ-wI6JGb4JtC3u3qDFbHj/view?usp=drivesdk" TargetMode="External"/><Relationship Id="rId460" Type="http://schemas.openxmlformats.org/officeDocument/2006/relationships/hyperlink" Target="https://drive.google.com/file/d/1N33T24H456RK7C-E9ke9VDd5sWVmw7Fk/view?usp=drivesdk" TargetMode="External"/><Relationship Id="rId1295" Type="http://schemas.openxmlformats.org/officeDocument/2006/relationships/hyperlink" Target="https://lh5.googleusercontent.com/d/1i-JM4YzVNnr0gF5VI5mJXDgsmnQ5NWnU" TargetMode="External"/><Relationship Id="rId1296" Type="http://schemas.openxmlformats.org/officeDocument/2006/relationships/hyperlink" Target="https://drive.google.com/file/d/1G1eOA708SPG2Ttg90H-eBQJOOeU6yn1K/view?usp=drivesdk" TargetMode="External"/><Relationship Id="rId466" Type="http://schemas.openxmlformats.org/officeDocument/2006/relationships/hyperlink" Target="https://drive.google.com/file/d/1q2ptVKdcyp0MzR5UJek12TTHDIktjVED/view?usp=drivesdk" TargetMode="External"/><Relationship Id="rId1297" Type="http://schemas.openxmlformats.org/officeDocument/2006/relationships/hyperlink" Target="https://lh5.googleusercontent.com/d/1HJgbKrgZBJZXwyBQzkGNoWlsr7rnCW_J" TargetMode="External"/><Relationship Id="rId465" Type="http://schemas.openxmlformats.org/officeDocument/2006/relationships/hyperlink" Target="https://lh5.googleusercontent.com/d/1Ll-IJLRpcxUWLwzPXuK2rhOGWFp3J2U1" TargetMode="External"/><Relationship Id="rId1298" Type="http://schemas.openxmlformats.org/officeDocument/2006/relationships/hyperlink" Target="https://drive.google.com/file/d/1QTIw5aRRp3irJIwU2HpV1Vv-fWp_aru-/view?usp=drivesdk" TargetMode="External"/><Relationship Id="rId464" Type="http://schemas.openxmlformats.org/officeDocument/2006/relationships/hyperlink" Target="https://drive.google.com/file/d/1g8nTyDHFZ54oM1Iq8bLjMJtOrfzAgONU/view?usp=drivesdk" TargetMode="External"/><Relationship Id="rId1299" Type="http://schemas.openxmlformats.org/officeDocument/2006/relationships/hyperlink" Target="https://lh5.googleusercontent.com/d/1Dw0fkjWG9M5tBIh7OU-MI2rzS7kI3_6j" TargetMode="External"/><Relationship Id="rId463" Type="http://schemas.openxmlformats.org/officeDocument/2006/relationships/hyperlink" Target="https://lh5.googleusercontent.com/d/1lel4FKYQQOJJBsXk662me0BiBbMYJm1s" TargetMode="External"/><Relationship Id="rId459" Type="http://schemas.openxmlformats.org/officeDocument/2006/relationships/hyperlink" Target="https://lh5.googleusercontent.com/d/1fssktThMkk2aJ_GDHlA7nH1k4BoqpehB" TargetMode="External"/><Relationship Id="rId458" Type="http://schemas.openxmlformats.org/officeDocument/2006/relationships/hyperlink" Target="https://drive.google.com/file/d/1D4TRh4oHA_rfKAYiF-HbohrNdnsrroDM/view?usp=drivesdk" TargetMode="External"/><Relationship Id="rId457" Type="http://schemas.openxmlformats.org/officeDocument/2006/relationships/hyperlink" Target="https://lh5.googleusercontent.com/d/1NwF-xyla2xsIVbU3F-9nYBx0mCS0ATqa" TargetMode="External"/><Relationship Id="rId456" Type="http://schemas.openxmlformats.org/officeDocument/2006/relationships/hyperlink" Target="https://drive.google.com/file/d/1ouWClIPTeiOG2EDJpZ-ExuVRzGuJwlVS/view?usp=drivesdk" TargetMode="External"/><Relationship Id="rId1280" Type="http://schemas.openxmlformats.org/officeDocument/2006/relationships/hyperlink" Target="https://drive.google.com/file/d/1vW_pSQg-D6EEXM85-oFaYe2OAx8dW_nn/view?usp=drivesdk" TargetMode="External"/><Relationship Id="rId1281" Type="http://schemas.openxmlformats.org/officeDocument/2006/relationships/hyperlink" Target="https://lh5.googleusercontent.com/d/10WIkK3TM4fml0DfjM_7nA5ZtKV6QMu2M" TargetMode="External"/><Relationship Id="rId451" Type="http://schemas.openxmlformats.org/officeDocument/2006/relationships/hyperlink" Target="https://lh5.googleusercontent.com/d/1zablIFdexFThVdi-YJMCndh6XvJC4MqO" TargetMode="External"/><Relationship Id="rId1282" Type="http://schemas.openxmlformats.org/officeDocument/2006/relationships/hyperlink" Target="https://drive.google.com/file/d/1K3k-yJvjokld6-kb5HqRoqn7oYvFHvpX/view?usp=drivesdk" TargetMode="External"/><Relationship Id="rId450" Type="http://schemas.openxmlformats.org/officeDocument/2006/relationships/hyperlink" Target="https://drive.google.com/file/d/1xK1PFIGgoaCAWlA0zNsFaD5_NbMu6Jcz/view?usp=drivesdk" TargetMode="External"/><Relationship Id="rId1283" Type="http://schemas.openxmlformats.org/officeDocument/2006/relationships/hyperlink" Target="https://lh5.googleusercontent.com/d/1Ln92b8ygnseDWPYCi36nYeVpKJULH4bQ" TargetMode="External"/><Relationship Id="rId1284" Type="http://schemas.openxmlformats.org/officeDocument/2006/relationships/hyperlink" Target="https://drive.google.com/file/d/14sePWM6wozk5YYom_0U03oafvu3mTNNi/view?usp=drivesdk" TargetMode="External"/><Relationship Id="rId1285" Type="http://schemas.openxmlformats.org/officeDocument/2006/relationships/hyperlink" Target="https://lh5.googleusercontent.com/d/1GAv5QX69wfI2ZbFgQISV-7c-4eSOpEWb" TargetMode="External"/><Relationship Id="rId455" Type="http://schemas.openxmlformats.org/officeDocument/2006/relationships/hyperlink" Target="https://lh5.googleusercontent.com/d/1sDqc2SKhiJQsMJ1NAaBHzPH_hkfWgz2n" TargetMode="External"/><Relationship Id="rId1286" Type="http://schemas.openxmlformats.org/officeDocument/2006/relationships/hyperlink" Target="https://drive.google.com/file/d/162jyqXpywsMcDJ1UMHDVO-nTNd5YyAtx/view?usp=drivesdk" TargetMode="External"/><Relationship Id="rId454" Type="http://schemas.openxmlformats.org/officeDocument/2006/relationships/hyperlink" Target="https://drive.google.com/file/d/1Udkeh1u2IQ7fRG43GIUFe7mwG6t23uGY/view?usp=drivesdk" TargetMode="External"/><Relationship Id="rId1287" Type="http://schemas.openxmlformats.org/officeDocument/2006/relationships/hyperlink" Target="https://lh5.googleusercontent.com/d/1IzApc-ND_iP6rdx9fIjcu_UZSrA4eSi-" TargetMode="External"/><Relationship Id="rId453" Type="http://schemas.openxmlformats.org/officeDocument/2006/relationships/hyperlink" Target="https://lh5.googleusercontent.com/d/1OODxrl7SaOgrOoe0RfR50xvuK1MYVVyw" TargetMode="External"/><Relationship Id="rId1288" Type="http://schemas.openxmlformats.org/officeDocument/2006/relationships/hyperlink" Target="https://drive.google.com/file/d/1aMQo2iN2AvTSiI81elOSn3BmlUY1jlvE/view?usp=drivesdk" TargetMode="External"/><Relationship Id="rId452" Type="http://schemas.openxmlformats.org/officeDocument/2006/relationships/hyperlink" Target="https://drive.google.com/file/d/1xF_2HQ005Su2kijdrYGNNVQCoZu7j5kq/view?usp=drivesdk" TargetMode="External"/><Relationship Id="rId1289" Type="http://schemas.openxmlformats.org/officeDocument/2006/relationships/hyperlink" Target="https://lh5.googleusercontent.com/d/1IkS5iND_24gAfMZnje9nFjZmi9Roqflw" TargetMode="External"/><Relationship Id="rId491" Type="http://schemas.openxmlformats.org/officeDocument/2006/relationships/hyperlink" Target="https://drive.google.com/file/d/1I9TpQcP60hshX_iUSwoE0oK_OOYf0jeM/view?usp=drivesdk" TargetMode="External"/><Relationship Id="rId490" Type="http://schemas.openxmlformats.org/officeDocument/2006/relationships/hyperlink" Target="https://lh5.googleusercontent.com/d/1-q91GLMugmzpzJpFLZBG6ItLEyi1k7yy" TargetMode="External"/><Relationship Id="rId489" Type="http://schemas.openxmlformats.org/officeDocument/2006/relationships/hyperlink" Target="https://drive.google.com/file/d/1KG-JUPGHRZsTF2JpFzri00oWlor0V7uk/view?usp=drivesdk" TargetMode="External"/><Relationship Id="rId484" Type="http://schemas.openxmlformats.org/officeDocument/2006/relationships/hyperlink" Target="https://lh5.googleusercontent.com/d/1WuOo1sxbu0h1vXD-WBc8sw1i2BhLOJOO" TargetMode="External"/><Relationship Id="rId483" Type="http://schemas.openxmlformats.org/officeDocument/2006/relationships/hyperlink" Target="https://drive.google.com/file/d/1ooGq2srmucWe6O0G_kdG7LcoJD4sdw6v/view?usp=drivesdk" TargetMode="External"/><Relationship Id="rId482" Type="http://schemas.openxmlformats.org/officeDocument/2006/relationships/hyperlink" Target="https://lh5.googleusercontent.com/d/1SeSs0To9omyx8w2uCXWD1ObvMYkYGHt6" TargetMode="External"/><Relationship Id="rId481" Type="http://schemas.openxmlformats.org/officeDocument/2006/relationships/hyperlink" Target="https://drive.google.com/file/d/1qbjU0-vuoar7WWrsxFmuIxqNaT0lYxvV/view?usp=drivesdk" TargetMode="External"/><Relationship Id="rId488" Type="http://schemas.openxmlformats.org/officeDocument/2006/relationships/hyperlink" Target="https://lh5.googleusercontent.com/d/1fcdiwyWz2toknXDilD6wdLENHg7SR1SV" TargetMode="External"/><Relationship Id="rId487" Type="http://schemas.openxmlformats.org/officeDocument/2006/relationships/hyperlink" Target="https://drive.google.com/file/d/1xRCuP4u7iMlcxBxnScC-bQneWtSN7yPB/view?usp=drivesdk" TargetMode="External"/><Relationship Id="rId486" Type="http://schemas.openxmlformats.org/officeDocument/2006/relationships/hyperlink" Target="https://lh5.googleusercontent.com/d/1d0XUQ9ovK2pvDGvMFloGS89VCiHmbAFy" TargetMode="External"/><Relationship Id="rId485" Type="http://schemas.openxmlformats.org/officeDocument/2006/relationships/hyperlink" Target="https://drive.google.com/file/d/11Y7lXPuKgjMeFz9g5haFjVs4-sLqqsAf/view?usp=drivesdk" TargetMode="External"/><Relationship Id="rId480" Type="http://schemas.openxmlformats.org/officeDocument/2006/relationships/hyperlink" Target="https://lh5.googleusercontent.com/d/1h6VT4A5NLZAjGNnmFIAB_i38Argy9N6X" TargetMode="External"/><Relationship Id="rId479" Type="http://schemas.openxmlformats.org/officeDocument/2006/relationships/hyperlink" Target="https://drive.google.com/file/d/1ibeET9GxSJefEIcx_8ZuY9FhCGCkpQUg/view?usp=drivesdk" TargetMode="External"/><Relationship Id="rId478" Type="http://schemas.openxmlformats.org/officeDocument/2006/relationships/hyperlink" Target="https://lh5.googleusercontent.com/d/16indojgoSyW4PYIpO8V50d8PPS4yrokD" TargetMode="External"/><Relationship Id="rId473" Type="http://schemas.openxmlformats.org/officeDocument/2006/relationships/hyperlink" Target="https://lh5.googleusercontent.com/d/1O5zP2EkdFk6cjTGuk7BeFzkffYLcX40S" TargetMode="External"/><Relationship Id="rId472" Type="http://schemas.openxmlformats.org/officeDocument/2006/relationships/hyperlink" Target="https://drive.google.com/file/d/10iDnYbR8Y01hEZ8DZCjgz2QovAgIZof1/view?usp=drivesdk" TargetMode="External"/><Relationship Id="rId471" Type="http://schemas.openxmlformats.org/officeDocument/2006/relationships/hyperlink" Target="https://lh5.googleusercontent.com/d/1E7RYRbzYcWHeSXI4l8uezGKuHxiGAB8T" TargetMode="External"/><Relationship Id="rId470" Type="http://schemas.openxmlformats.org/officeDocument/2006/relationships/hyperlink" Target="https://drive.google.com/file/d/1Vna4sMQd4xn5mNCD2pMt2ykEVPp5ZMbc/view?usp=drivesdk" TargetMode="External"/><Relationship Id="rId477" Type="http://schemas.openxmlformats.org/officeDocument/2006/relationships/hyperlink" Target="https://drive.google.com/file/d/1GN754vox1LmtIWADRIAC7yO_hiblgaim/view?usp=drivesdk" TargetMode="External"/><Relationship Id="rId476" Type="http://schemas.openxmlformats.org/officeDocument/2006/relationships/hyperlink" Target="https://lh5.googleusercontent.com/d/1df7IloN3yMJJ10N5ZGBCngC_Q68yF2_V" TargetMode="External"/><Relationship Id="rId475" Type="http://schemas.openxmlformats.org/officeDocument/2006/relationships/hyperlink" Target="https://lh5.googleusercontent.com/d/15RpLs9_0nr9_AGQi2kawP3dKVUlQn1Mw" TargetMode="External"/><Relationship Id="rId474" Type="http://schemas.openxmlformats.org/officeDocument/2006/relationships/hyperlink" Target="https://drive.google.com/file/d/1CHlQKOGVeyZQmq8odvDIPEDqT-600JFX/view?usp=drivesdk" TargetMode="External"/><Relationship Id="rId1257" Type="http://schemas.openxmlformats.org/officeDocument/2006/relationships/hyperlink" Target="https://lh5.googleusercontent.com/d/1le1MiZFwJL9w2Lmo4_MjLBgI8y7Gv-EW" TargetMode="External"/><Relationship Id="rId1258" Type="http://schemas.openxmlformats.org/officeDocument/2006/relationships/hyperlink" Target="https://drive.google.com/file/d/1tIvPCz87O0Acgd8XjN0PFcERjx-Deem_/view?usp=drivesdk" TargetMode="External"/><Relationship Id="rId1259" Type="http://schemas.openxmlformats.org/officeDocument/2006/relationships/hyperlink" Target="https://lh5.googleusercontent.com/d/1blGzatDFB4Qpgge1JiawJ0Df8EAPolmN" TargetMode="External"/><Relationship Id="rId426" Type="http://schemas.openxmlformats.org/officeDocument/2006/relationships/hyperlink" Target="https://drive.google.com/file/d/1cYA57JrfKluFY3mYchZtv08KuuosqRzY/view?usp=drivesdk" TargetMode="External"/><Relationship Id="rId425" Type="http://schemas.openxmlformats.org/officeDocument/2006/relationships/hyperlink" Target="https://lh5.googleusercontent.com/d/1FSfjHU925l6KzzVuVwy_XA04O5jRK87j" TargetMode="External"/><Relationship Id="rId424" Type="http://schemas.openxmlformats.org/officeDocument/2006/relationships/hyperlink" Target="https://drive.google.com/file/d/1wVUBRi4_-fKR8a9cz4PyK3WBKxYYlrda/view?usp=drivesdk" TargetMode="External"/><Relationship Id="rId423" Type="http://schemas.openxmlformats.org/officeDocument/2006/relationships/hyperlink" Target="https://lh5.googleusercontent.com/d/1Ir9Bf9pj_zOZl8GqJwx0Hn3xJuUPyBhl" TargetMode="External"/><Relationship Id="rId429" Type="http://schemas.openxmlformats.org/officeDocument/2006/relationships/hyperlink" Target="https://lh5.googleusercontent.com/d/1YbMM_2cDX4NlU0IPftPjyHWrOa_eXs5U" TargetMode="External"/><Relationship Id="rId428" Type="http://schemas.openxmlformats.org/officeDocument/2006/relationships/hyperlink" Target="https://drive.google.com/file/d/1SFDq30k2FbGdVOi8j5bk1u5s0jzC93XP/view?usp=drivesdk" TargetMode="External"/><Relationship Id="rId427" Type="http://schemas.openxmlformats.org/officeDocument/2006/relationships/hyperlink" Target="https://lh5.googleusercontent.com/d/1fwxYwn7LjywH6f18gU7as-LX2DK0u043" TargetMode="External"/><Relationship Id="rId1250" Type="http://schemas.openxmlformats.org/officeDocument/2006/relationships/hyperlink" Target="https://drive.google.com/file/d/1U_8KZ3UghI3pEFrjEtiOU0XruYtDnggs/view?usp=drivesdk" TargetMode="External"/><Relationship Id="rId1251" Type="http://schemas.openxmlformats.org/officeDocument/2006/relationships/hyperlink" Target="https://lh5.googleusercontent.com/d/1ykcqR6tgydPXsee07e-xS03IR6oaBT1d" TargetMode="External"/><Relationship Id="rId1252" Type="http://schemas.openxmlformats.org/officeDocument/2006/relationships/hyperlink" Target="https://drive.google.com/file/d/1uy1KFGEJoSXueYNtWNNGh1bRlLS02N4U/view?usp=drivesdk" TargetMode="External"/><Relationship Id="rId422" Type="http://schemas.openxmlformats.org/officeDocument/2006/relationships/hyperlink" Target="https://drive.google.com/file/d/17aGPqM3fR-S5DA8WTQVbZRXSDQrtdYc4/view?usp=drivesdk" TargetMode="External"/><Relationship Id="rId1253" Type="http://schemas.openxmlformats.org/officeDocument/2006/relationships/hyperlink" Target="https://lh5.googleusercontent.com/d/1W2fjZniEDGcVaEN5-cmALm4ghmmpcI9H" TargetMode="External"/><Relationship Id="rId421" Type="http://schemas.openxmlformats.org/officeDocument/2006/relationships/hyperlink" Target="https://lh5.googleusercontent.com/d/17Fp5d68375OCRweXSJ8wOcIiICOR3JS5" TargetMode="External"/><Relationship Id="rId1254" Type="http://schemas.openxmlformats.org/officeDocument/2006/relationships/hyperlink" Target="https://drive.google.com/file/d/1fNPdfigbuUFXJQdQRnW83XN7Kt0LjyJv/view?usp=drivesdk" TargetMode="External"/><Relationship Id="rId420" Type="http://schemas.openxmlformats.org/officeDocument/2006/relationships/hyperlink" Target="https://drive.google.com/file/d/12XmLTCTW3s6XqY9yUbfb_XeJzLA9flXj/view?usp=drivesdk" TargetMode="External"/><Relationship Id="rId1255" Type="http://schemas.openxmlformats.org/officeDocument/2006/relationships/hyperlink" Target="https://lh5.googleusercontent.com/d/1aR4nooX7JWlTSswixEZHKGpQXwTlq-Be" TargetMode="External"/><Relationship Id="rId1256" Type="http://schemas.openxmlformats.org/officeDocument/2006/relationships/hyperlink" Target="https://drive.google.com/file/d/1tCiNwMSWejqt9ZewmIjsLZaaXFAxZZBg/view?usp=drivesdk" TargetMode="External"/><Relationship Id="rId1246" Type="http://schemas.openxmlformats.org/officeDocument/2006/relationships/hyperlink" Target="https://drive.google.com/file/d/1BrZfxC4NjBBWKFNWH-9dANJxbEHb6gs8/view?usp=drivesdk" TargetMode="External"/><Relationship Id="rId1247" Type="http://schemas.openxmlformats.org/officeDocument/2006/relationships/hyperlink" Target="https://lh5.googleusercontent.com/d/1mAHP9kHc-FRdLH5Pm8AjVfpT58pMx_-H" TargetMode="External"/><Relationship Id="rId1248" Type="http://schemas.openxmlformats.org/officeDocument/2006/relationships/hyperlink" Target="https://drive.google.com/file/d/1MJ_aM-RDo5wZGkGNRanDxkOM4WIE2BNL/view?usp=drivesdk" TargetMode="External"/><Relationship Id="rId1249" Type="http://schemas.openxmlformats.org/officeDocument/2006/relationships/hyperlink" Target="https://lh5.googleusercontent.com/d/1s52S3mx9H033-YLCqzxH4AIDI6LMUlw7" TargetMode="External"/><Relationship Id="rId415" Type="http://schemas.openxmlformats.org/officeDocument/2006/relationships/hyperlink" Target="https://lh5.googleusercontent.com/d/14yiD9lDcZmANB-D4S2op5C5rhyf1liUe" TargetMode="External"/><Relationship Id="rId414" Type="http://schemas.openxmlformats.org/officeDocument/2006/relationships/hyperlink" Target="https://drive.google.com/file/d/1xLdlAE6hoG5sI6SMixEJBPUZ2VkVCiDR/view?usp=drivesdk" TargetMode="External"/><Relationship Id="rId413" Type="http://schemas.openxmlformats.org/officeDocument/2006/relationships/hyperlink" Target="https://lh5.googleusercontent.com/d/1MfpXEmR-ZJ5_dpcGoyZhHXOOEVCoFrcu" TargetMode="External"/><Relationship Id="rId412" Type="http://schemas.openxmlformats.org/officeDocument/2006/relationships/hyperlink" Target="https://drive.google.com/file/d/1yBepSS57SumDUZF8X7ZNk19rCvX9VqXc/view?usp=drivesdk" TargetMode="External"/><Relationship Id="rId419" Type="http://schemas.openxmlformats.org/officeDocument/2006/relationships/hyperlink" Target="https://lh5.googleusercontent.com/d/1oP9MdC14uId4EOWIv9LqF9fwRUuLIQGl" TargetMode="External"/><Relationship Id="rId418" Type="http://schemas.openxmlformats.org/officeDocument/2006/relationships/hyperlink" Target="https://drive.google.com/file/d/1tzg_eHNIAr2HkW2sERP_qfi5pg8L7bLu/view?usp=drivesdk" TargetMode="External"/><Relationship Id="rId417" Type="http://schemas.openxmlformats.org/officeDocument/2006/relationships/hyperlink" Target="https://lh5.googleusercontent.com/d/1_qsJdQJaDpzYOA8tLlQnk0kLeKFILUiI" TargetMode="External"/><Relationship Id="rId416" Type="http://schemas.openxmlformats.org/officeDocument/2006/relationships/hyperlink" Target="https://drive.google.com/file/d/1HVN2AorvDFh48Ob1-x2nN7m-PfY5nsVo/view?usp=drivesdk" TargetMode="External"/><Relationship Id="rId1240" Type="http://schemas.openxmlformats.org/officeDocument/2006/relationships/hyperlink" Target="https://drive.google.com/file/d/1F719UfPC6O82a6TNoUJYU70PHbLcFp7H/view?usp=drivesdk" TargetMode="External"/><Relationship Id="rId1241" Type="http://schemas.openxmlformats.org/officeDocument/2006/relationships/hyperlink" Target="https://lh5.googleusercontent.com/d/1fgnqJqaIjap6G_jzPRlu0WqO4zMNOxFk" TargetMode="External"/><Relationship Id="rId411" Type="http://schemas.openxmlformats.org/officeDocument/2006/relationships/hyperlink" Target="https://lh5.googleusercontent.com/d/1ZNOeb8EgDGl1p8dqsjca-qtyoRjAUckj" TargetMode="External"/><Relationship Id="rId1242" Type="http://schemas.openxmlformats.org/officeDocument/2006/relationships/hyperlink" Target="https://drive.google.com/file/d/1sYOvbjVf6eJTMHQTGRYB4xmXKRs80idK/view?usp=drivesdk" TargetMode="External"/><Relationship Id="rId410" Type="http://schemas.openxmlformats.org/officeDocument/2006/relationships/hyperlink" Target="https://drive.google.com/file/d/1a_3Dmwg0YRIR3Z83fqyCIZWcWYFequ0-/view?usp=drivesdk" TargetMode="External"/><Relationship Id="rId1243" Type="http://schemas.openxmlformats.org/officeDocument/2006/relationships/hyperlink" Target="https://lh5.googleusercontent.com/d/15KDvaGA2iYWg5t14hGKqFnzEBsNcxyKR" TargetMode="External"/><Relationship Id="rId1244" Type="http://schemas.openxmlformats.org/officeDocument/2006/relationships/hyperlink" Target="https://drive.google.com/file/d/1YDEJYRL-LKOkRLu0bDnfnnxy-8uL4goP/view?usp=drivesdk" TargetMode="External"/><Relationship Id="rId1245" Type="http://schemas.openxmlformats.org/officeDocument/2006/relationships/hyperlink" Target="https://lh5.googleusercontent.com/d/1l_yTnUjaBxD4CEWNxQGZstv7bc3vBnkH" TargetMode="External"/><Relationship Id="rId1279" Type="http://schemas.openxmlformats.org/officeDocument/2006/relationships/hyperlink" Target="https://lh5.googleusercontent.com/d/1M6zGJZ0UtTkSwcn2QAXZxB6wjpx6QBoT" TargetMode="External"/><Relationship Id="rId448" Type="http://schemas.openxmlformats.org/officeDocument/2006/relationships/hyperlink" Target="https://drive.google.com/file/d/1RMc3zMylf20mYBaee0-V0adglht0dBPH/view?usp=drivesdk" TargetMode="External"/><Relationship Id="rId447" Type="http://schemas.openxmlformats.org/officeDocument/2006/relationships/hyperlink" Target="https://lh5.googleusercontent.com/d/1G-onwqtvZwy1Wx26f1tKt_GBE3W89JMR" TargetMode="External"/><Relationship Id="rId446" Type="http://schemas.openxmlformats.org/officeDocument/2006/relationships/hyperlink" Target="https://drive.google.com/file/d/1VPXkTGs8ejwM8EF7dMiVHCdWOBYFUU6g/view?usp=drivesdk" TargetMode="External"/><Relationship Id="rId445" Type="http://schemas.openxmlformats.org/officeDocument/2006/relationships/hyperlink" Target="https://lh5.googleusercontent.com/d/1gpro0HloAQ3bXSq2EjQtysFjM54sOUHn" TargetMode="External"/><Relationship Id="rId449" Type="http://schemas.openxmlformats.org/officeDocument/2006/relationships/hyperlink" Target="https://lh5.googleusercontent.com/d/1HyNVWzCbN-AAAvNa4IBGL2kRxEPfbg7a" TargetMode="External"/><Relationship Id="rId1270" Type="http://schemas.openxmlformats.org/officeDocument/2006/relationships/hyperlink" Target="https://drive.google.com/file/d/1NWkAqDPdVQ2ACeM6SglT8pNSjy7zjYl8/view?usp=drivesdk" TargetMode="External"/><Relationship Id="rId440" Type="http://schemas.openxmlformats.org/officeDocument/2006/relationships/hyperlink" Target="https://drive.google.com/file/d/1wI6jPwTe2Yng95ZbnlN-a4Y4G-5L_pko/view?usp=drivesdk" TargetMode="External"/><Relationship Id="rId1271" Type="http://schemas.openxmlformats.org/officeDocument/2006/relationships/hyperlink" Target="https://lh5.googleusercontent.com/d/1tR7ufN2wcBYpGv6ytGP7yfLQeOUcWZhP" TargetMode="External"/><Relationship Id="rId1272" Type="http://schemas.openxmlformats.org/officeDocument/2006/relationships/hyperlink" Target="https://drive.google.com/file/d/1dBx-6wEsn4HeYFTNXwKpZ1lCwvaTFm3T/view?usp=drivesdk" TargetMode="External"/><Relationship Id="rId1273" Type="http://schemas.openxmlformats.org/officeDocument/2006/relationships/hyperlink" Target="https://lh5.googleusercontent.com/d/12s8YV4xfQlTwKD8aoJLGPITIREjy0mDG" TargetMode="External"/><Relationship Id="rId1274" Type="http://schemas.openxmlformats.org/officeDocument/2006/relationships/hyperlink" Target="https://drive.google.com/file/d/15F64SXIw6faMj8xGF4pKpf_XWc9kkwBW/view?usp=drivesdk" TargetMode="External"/><Relationship Id="rId444" Type="http://schemas.openxmlformats.org/officeDocument/2006/relationships/hyperlink" Target="https://drive.google.com/file/d/1kAN-z27SJ8kVXiuPGn2CSv8BIq9vxSZH/view?usp=drivesdk" TargetMode="External"/><Relationship Id="rId1275" Type="http://schemas.openxmlformats.org/officeDocument/2006/relationships/hyperlink" Target="https://lh5.googleusercontent.com/d/18S-7oEUqd8DMWi-nnE29JDfPHGsGKPtQ" TargetMode="External"/><Relationship Id="rId443" Type="http://schemas.openxmlformats.org/officeDocument/2006/relationships/hyperlink" Target="https://lh5.googleusercontent.com/d/1zwAqyT2UJdu1b0BGrBtieEXn5cGttw5w" TargetMode="External"/><Relationship Id="rId1276" Type="http://schemas.openxmlformats.org/officeDocument/2006/relationships/hyperlink" Target="https://drive.google.com/file/d/1qcUK3WGoPUw2gORvXWyxceoPrY6qU8Sq/view?usp=drivesdk" TargetMode="External"/><Relationship Id="rId442" Type="http://schemas.openxmlformats.org/officeDocument/2006/relationships/hyperlink" Target="https://drive.google.com/file/d/1X9RsdnFXzFWQIS6KMvF2vq3eIq_jl7Sx/view?usp=drivesdk" TargetMode="External"/><Relationship Id="rId1277" Type="http://schemas.openxmlformats.org/officeDocument/2006/relationships/hyperlink" Target="https://lh5.googleusercontent.com/d/1-2k8mp8bzllDigpGfmryHSrjz5gGpPfK" TargetMode="External"/><Relationship Id="rId441" Type="http://schemas.openxmlformats.org/officeDocument/2006/relationships/hyperlink" Target="https://lh5.googleusercontent.com/d/1hkE-RSHgirWsNTEKtfx36sdOgqffEvP2" TargetMode="External"/><Relationship Id="rId1278" Type="http://schemas.openxmlformats.org/officeDocument/2006/relationships/hyperlink" Target="https://drive.google.com/file/d/1VYseC70tBU2Yu6A7Rb71HU3vSM3teY9y/view?usp=drivesdk" TargetMode="External"/><Relationship Id="rId1268" Type="http://schemas.openxmlformats.org/officeDocument/2006/relationships/hyperlink" Target="https://drive.google.com/file/d/1pADJ-hYTUpT4QVlltrkSJdUUgoDc94_Z/view?usp=drivesdk" TargetMode="External"/><Relationship Id="rId1269" Type="http://schemas.openxmlformats.org/officeDocument/2006/relationships/hyperlink" Target="https://lh5.googleusercontent.com/d/16_02IneUJnuPy41yMsqXeHCiaW3Vyfmt" TargetMode="External"/><Relationship Id="rId437" Type="http://schemas.openxmlformats.org/officeDocument/2006/relationships/hyperlink" Target="https://lh5.googleusercontent.com/d/18GCLXDLuy5aYHeDyJI_eBuntUQsJcI-M" TargetMode="External"/><Relationship Id="rId436" Type="http://schemas.openxmlformats.org/officeDocument/2006/relationships/hyperlink" Target="https://drive.google.com/file/d/1kVQNoNAINe-iF8sKBzPKuYgEmM75iNCa/view?usp=drivesdk" TargetMode="External"/><Relationship Id="rId435" Type="http://schemas.openxmlformats.org/officeDocument/2006/relationships/hyperlink" Target="https://lh5.googleusercontent.com/d/1TLebtnRtBhBRVUCMNgZ0LaAcoeuRveKs" TargetMode="External"/><Relationship Id="rId434" Type="http://schemas.openxmlformats.org/officeDocument/2006/relationships/hyperlink" Target="https://drive.google.com/file/d/1vxTNitjQyzMsg9RheRFTtBqk9A_6eYsA/view?usp=drivesdk" TargetMode="External"/><Relationship Id="rId439" Type="http://schemas.openxmlformats.org/officeDocument/2006/relationships/hyperlink" Target="https://lh5.googleusercontent.com/d/1FRASG3NTy992D3abfzW3MP7IKxSk37ls" TargetMode="External"/><Relationship Id="rId438" Type="http://schemas.openxmlformats.org/officeDocument/2006/relationships/hyperlink" Target="https://drive.google.com/file/d/1snG3RsV_T5QmHpygW3zCG4Htp4TQEQDC/view?usp=drivesdk" TargetMode="External"/><Relationship Id="rId1260" Type="http://schemas.openxmlformats.org/officeDocument/2006/relationships/hyperlink" Target="https://drive.google.com/file/d/1SVjfk60kVWN2TVzNbLTJ_OfYqsZ3EkxW/view?usp=drivesdk" TargetMode="External"/><Relationship Id="rId1261" Type="http://schemas.openxmlformats.org/officeDocument/2006/relationships/hyperlink" Target="https://lh5.googleusercontent.com/d/1n4QtJTQHjhX800bb1j61iNSMwmoOdbiE" TargetMode="External"/><Relationship Id="rId1262" Type="http://schemas.openxmlformats.org/officeDocument/2006/relationships/hyperlink" Target="https://drive.google.com/file/d/1uHoatkn97lQPOQ_7dwVJkf2VDy3hwP9R/view?usp=drivesdk" TargetMode="External"/><Relationship Id="rId1263" Type="http://schemas.openxmlformats.org/officeDocument/2006/relationships/hyperlink" Target="https://lh5.googleusercontent.com/d/1xtFXiNDS_8esjt4ulZyAkU74Ys2FqyW9" TargetMode="External"/><Relationship Id="rId433" Type="http://schemas.openxmlformats.org/officeDocument/2006/relationships/hyperlink" Target="https://lh5.googleusercontent.com/d/1NxpfyO4uEluxqseUw1TZOQusxbIkb5ej" TargetMode="External"/><Relationship Id="rId1264" Type="http://schemas.openxmlformats.org/officeDocument/2006/relationships/hyperlink" Target="https://drive.google.com/file/d/1LHivqLzyGODOaJt4pdwQrdLKmCEONpvc/view?usp=drivesdk" TargetMode="External"/><Relationship Id="rId432" Type="http://schemas.openxmlformats.org/officeDocument/2006/relationships/hyperlink" Target="https://drive.google.com/file/d/15otmYEpChrFS-en9V7nZE75dYwYaS4kB/view?usp=drivesdk" TargetMode="External"/><Relationship Id="rId1265" Type="http://schemas.openxmlformats.org/officeDocument/2006/relationships/hyperlink" Target="https://lh5.googleusercontent.com/d/1rBz6C9EQQ5gsZwlFBBk_GTQhwfLfpKOs" TargetMode="External"/><Relationship Id="rId431" Type="http://schemas.openxmlformats.org/officeDocument/2006/relationships/hyperlink" Target="https://lh5.googleusercontent.com/d/19M_23rsdIg3KzN-kc1SA4RXLg8Tb-8ef" TargetMode="External"/><Relationship Id="rId1266" Type="http://schemas.openxmlformats.org/officeDocument/2006/relationships/hyperlink" Target="https://drive.google.com/file/d/1GwX-VTCKmth5tnTPEBTtjJqWzU9Iwdy4/view?usp=drivesdk" TargetMode="External"/><Relationship Id="rId430" Type="http://schemas.openxmlformats.org/officeDocument/2006/relationships/hyperlink" Target="https://drive.google.com/file/d/1vzamLopVC52sYkwGdh-nKRGVe3fz0T4P/view?usp=drivesdk" TargetMode="External"/><Relationship Id="rId1267" Type="http://schemas.openxmlformats.org/officeDocument/2006/relationships/hyperlink" Target="https://lh5.googleusercontent.com/d/1SdEFkVKAaUQb8kfusr4yQZJWMl12kpFc" TargetMode="External"/><Relationship Id="rId1" Type="http://schemas.openxmlformats.org/officeDocument/2006/relationships/hyperlink" Target="https://lh5.googleusercontent.com/d/1OCZ183nrqKPKTQv9QdOX_5Mo3ALegEjh" TargetMode="External"/><Relationship Id="rId2" Type="http://schemas.openxmlformats.org/officeDocument/2006/relationships/hyperlink" Target="https://drive.google.com/file/d/1lTxcaP2F56eglcC9Yl7kvaTeIEg-H66S/view?usp=drivesdk" TargetMode="External"/><Relationship Id="rId3" Type="http://schemas.openxmlformats.org/officeDocument/2006/relationships/hyperlink" Target="https://lh5.googleusercontent.com/d/1TAO9uWwrnR9jceqAGDWc29HtHOt02J_I" TargetMode="External"/><Relationship Id="rId4" Type="http://schemas.openxmlformats.org/officeDocument/2006/relationships/hyperlink" Target="https://drive.google.com/file/d/1eyakFcLPIBb0g05fLGOHVO8XCxEBB1Fr/view?usp=drivesdk" TargetMode="External"/><Relationship Id="rId9" Type="http://schemas.openxmlformats.org/officeDocument/2006/relationships/hyperlink" Target="https://lh5.googleusercontent.com/d/1NqRlDze86VN9KqRyAgkmLnC6zvz02YL4" TargetMode="External"/><Relationship Id="rId5" Type="http://schemas.openxmlformats.org/officeDocument/2006/relationships/hyperlink" Target="https://lh5.googleusercontent.com/d/1wmJuP8tCj9_MZNcoLMQYIFliF3D74Bqy" TargetMode="External"/><Relationship Id="rId6" Type="http://schemas.openxmlformats.org/officeDocument/2006/relationships/hyperlink" Target="https://drive.google.com/file/d/1Me8-YdFm_i4pl6MCVcHRVmzDMcn0joU1/view?usp=drivesdk" TargetMode="External"/><Relationship Id="rId7" Type="http://schemas.openxmlformats.org/officeDocument/2006/relationships/hyperlink" Target="https://lh5.googleusercontent.com/d/1x7_Dy5B30CyK0eTf4Jm1AoFkLHpiSP_T" TargetMode="External"/><Relationship Id="rId8" Type="http://schemas.openxmlformats.org/officeDocument/2006/relationships/hyperlink" Target="https://drive.google.com/file/d/1dukl6TLXp_kqgaM842_o-r4dgM1gbR0K/view?usp=drivesdk" TargetMode="External"/><Relationship Id="rId808" Type="http://schemas.openxmlformats.org/officeDocument/2006/relationships/hyperlink" Target="https://drive.google.com/file/d/1rWY_jy-MxY4YxQiT7ZLXIRCc9xy56eQf/view?usp=drivesdk" TargetMode="External"/><Relationship Id="rId807" Type="http://schemas.openxmlformats.org/officeDocument/2006/relationships/hyperlink" Target="https://lh5.googleusercontent.com/d/1s1osZyt6_vukgzY4gvKgoqir2YVgmxsu" TargetMode="External"/><Relationship Id="rId806" Type="http://schemas.openxmlformats.org/officeDocument/2006/relationships/hyperlink" Target="https://drive.google.com/file/d/17VdavaEX1kGC5Bjysdlfn_fgVepHUg9h/view?usp=drivesdk" TargetMode="External"/><Relationship Id="rId805" Type="http://schemas.openxmlformats.org/officeDocument/2006/relationships/hyperlink" Target="https://lh5.googleusercontent.com/d/19Q7l8wNnF-7nmxOkcUydODdofoxKChBo" TargetMode="External"/><Relationship Id="rId809" Type="http://schemas.openxmlformats.org/officeDocument/2006/relationships/hyperlink" Target="https://lh5.googleusercontent.com/d/1RWtPoHmy35cRsi_q2t3S23zEFCjS1WdB" TargetMode="External"/><Relationship Id="rId800" Type="http://schemas.openxmlformats.org/officeDocument/2006/relationships/hyperlink" Target="https://drive.google.com/file/d/1EfIw_Cr3P5ZqbPy_-137P17jRClwGDK2/view?usp=drivesdk" TargetMode="External"/><Relationship Id="rId804" Type="http://schemas.openxmlformats.org/officeDocument/2006/relationships/hyperlink" Target="https://drive.google.com/file/d/1wMshq5SsBM18TU0SWNSf5EflIIpUN8bX/view?usp=drivesdk" TargetMode="External"/><Relationship Id="rId803" Type="http://schemas.openxmlformats.org/officeDocument/2006/relationships/hyperlink" Target="https://lh5.googleusercontent.com/d/1P7tBUd9-Z0xseZmXMs8wQETgIMzg5dcU" TargetMode="External"/><Relationship Id="rId802" Type="http://schemas.openxmlformats.org/officeDocument/2006/relationships/hyperlink" Target="https://drive.google.com/file/d/1SOn7VfIadThHwv0z-QyfDnOBZpsN7SLW/view?usp=drivesdk" TargetMode="External"/><Relationship Id="rId801" Type="http://schemas.openxmlformats.org/officeDocument/2006/relationships/hyperlink" Target="https://lh5.googleusercontent.com/d/1KtPewRyRBTXKnOix90ASW6LMoD7qzVPb" TargetMode="External"/><Relationship Id="rId1334" Type="http://schemas.openxmlformats.org/officeDocument/2006/relationships/hyperlink" Target="https://drive.google.com/file/d/1EDup2bPczhH35qW2hBqEtcfoSBawYIbr/view?usp=drivesdk" TargetMode="External"/><Relationship Id="rId1335" Type="http://schemas.openxmlformats.org/officeDocument/2006/relationships/hyperlink" Target="https://lh5.googleusercontent.com/d/1swt0Dv7XA8QPOAeJVlM8o3_UHzBemzbk" TargetMode="External"/><Relationship Id="rId1336" Type="http://schemas.openxmlformats.org/officeDocument/2006/relationships/hyperlink" Target="https://drive.google.com/file/d/1-odRCPYsNQU2hhEQVwl0hwEP7RjvUeSn/view?usp=drivesdk" TargetMode="External"/><Relationship Id="rId1337" Type="http://schemas.openxmlformats.org/officeDocument/2006/relationships/hyperlink" Target="https://lh5.googleusercontent.com/d/1sJciDPke_c7KY-moK3lp5Zw3abmdomSR" TargetMode="External"/><Relationship Id="rId1338" Type="http://schemas.openxmlformats.org/officeDocument/2006/relationships/hyperlink" Target="https://drive.google.com/file/d/198i0j8ODRUgOgUmjw70qM2K6MMno_tyV/view?usp=drivesdk" TargetMode="External"/><Relationship Id="rId1339" Type="http://schemas.openxmlformats.org/officeDocument/2006/relationships/hyperlink" Target="https://lh5.googleusercontent.com/d/1JV7tKvecRF0Wx5YpWZNLBcErToxPQB5U" TargetMode="External"/><Relationship Id="rId745" Type="http://schemas.openxmlformats.org/officeDocument/2006/relationships/hyperlink" Target="https://lh5.googleusercontent.com/d/1B5WikWhqgDjcQijkrKzIcNDhuKBrTPHG" TargetMode="External"/><Relationship Id="rId744" Type="http://schemas.openxmlformats.org/officeDocument/2006/relationships/hyperlink" Target="https://drive.google.com/file/d/1aptNze9Peb5l2qpi8TPYkXxkOo_o9YuZ/view?usp=drivesdk" TargetMode="External"/><Relationship Id="rId743" Type="http://schemas.openxmlformats.org/officeDocument/2006/relationships/hyperlink" Target="https://lh5.googleusercontent.com/d/1XbaKV4m7J-QEihfB_McTAG1EY84WXXuk" TargetMode="External"/><Relationship Id="rId742" Type="http://schemas.openxmlformats.org/officeDocument/2006/relationships/hyperlink" Target="https://drive.google.com/file/d/1cPyUrlD1AgH2BvO81zj_sCbsGSl4rjA1/view?usp=drivesdk" TargetMode="External"/><Relationship Id="rId749" Type="http://schemas.openxmlformats.org/officeDocument/2006/relationships/hyperlink" Target="https://lh5.googleusercontent.com/d/12OF16gQsleZr6qGrxjMeCllyH7TtjBE3" TargetMode="External"/><Relationship Id="rId748" Type="http://schemas.openxmlformats.org/officeDocument/2006/relationships/hyperlink" Target="https://drive.google.com/file/d/10iS5r6RJ4cIl-brMj-Z-fvLiRSwF6g_b/view?usp=drivesdk" TargetMode="External"/><Relationship Id="rId747" Type="http://schemas.openxmlformats.org/officeDocument/2006/relationships/hyperlink" Target="https://lh5.googleusercontent.com/d/1q985nzQ95dQNw1qikEofsf0fexpVdkmB" TargetMode="External"/><Relationship Id="rId746" Type="http://schemas.openxmlformats.org/officeDocument/2006/relationships/hyperlink" Target="https://drive.google.com/file/d/1OkxWg8z_vOIkSU_0Vb6o9vDE5A_VzHwQ/view?usp=drivesdk" TargetMode="External"/><Relationship Id="rId741" Type="http://schemas.openxmlformats.org/officeDocument/2006/relationships/hyperlink" Target="https://lh5.googleusercontent.com/d/1n4dy3m2tx3awvyMrUqs8OLo4IdS0J1Hx" TargetMode="External"/><Relationship Id="rId1330" Type="http://schemas.openxmlformats.org/officeDocument/2006/relationships/hyperlink" Target="https://drive.google.com/file/d/1IPtG3VgBfkn-zlwLe1nUC0j3c5gWjCQa/view?usp=drivesdk" TargetMode="External"/><Relationship Id="rId740" Type="http://schemas.openxmlformats.org/officeDocument/2006/relationships/hyperlink" Target="https://drive.google.com/file/d/1SdTSB4tT63Ej3q9_xX7DDRqGvXCV69qN/view?usp=drivesdk" TargetMode="External"/><Relationship Id="rId1331" Type="http://schemas.openxmlformats.org/officeDocument/2006/relationships/hyperlink" Target="https://lh5.googleusercontent.com/d/1JyEXNhji9wC4Bva20KPzHrK7fJ94jd50" TargetMode="External"/><Relationship Id="rId1332" Type="http://schemas.openxmlformats.org/officeDocument/2006/relationships/hyperlink" Target="https://drive.google.com/file/d/1BajnLMT__hI_Aj82iw6lFT3WSIMZpOWf/view?usp=drivesdk" TargetMode="External"/><Relationship Id="rId1333" Type="http://schemas.openxmlformats.org/officeDocument/2006/relationships/hyperlink" Target="https://lh5.googleusercontent.com/d/1LRT9PSiXwtCA30Pja_a-44f-stK84eoY" TargetMode="External"/><Relationship Id="rId1323" Type="http://schemas.openxmlformats.org/officeDocument/2006/relationships/hyperlink" Target="https://lh5.googleusercontent.com/d/1ZSphVk8Tk1BN2USY4BbyxSgbkVH-Xo_T" TargetMode="External"/><Relationship Id="rId1324" Type="http://schemas.openxmlformats.org/officeDocument/2006/relationships/hyperlink" Target="https://drive.google.com/file/d/1uBie9ntWgKjIShrtVNxmchBvB4ZT1_lr/view?usp=drivesdk" TargetMode="External"/><Relationship Id="rId1325" Type="http://schemas.openxmlformats.org/officeDocument/2006/relationships/hyperlink" Target="https://lh5.googleusercontent.com/d/1x4T6Rzt_eZpRtfBRnfiVV3H_yeHjB20g" TargetMode="External"/><Relationship Id="rId1326" Type="http://schemas.openxmlformats.org/officeDocument/2006/relationships/hyperlink" Target="https://drive.google.com/file/d/1Ki3_FHEiyMTI28zcMr4T02KnQvNKUWpD/view?usp=drivesdk" TargetMode="External"/><Relationship Id="rId1327" Type="http://schemas.openxmlformats.org/officeDocument/2006/relationships/hyperlink" Target="https://lh5.googleusercontent.com/d/1kP-y2_H3pWsRBun_yZMZxX0YshTsCpud" TargetMode="External"/><Relationship Id="rId1328" Type="http://schemas.openxmlformats.org/officeDocument/2006/relationships/hyperlink" Target="https://drive.google.com/file/d/12Z9ZYU0PcXuQKDd2R-kUYpwN8TWyYPlb/view?usp=drivesdk" TargetMode="External"/><Relationship Id="rId1329" Type="http://schemas.openxmlformats.org/officeDocument/2006/relationships/hyperlink" Target="https://lh5.googleusercontent.com/d/1vYAMecNegaIuvo2_-rGPSFbtg5OGQhI-" TargetMode="External"/><Relationship Id="rId739" Type="http://schemas.openxmlformats.org/officeDocument/2006/relationships/hyperlink" Target="https://lh5.googleusercontent.com/d/1h1Pb259TGflU3K_rP_SaKitiVfjDDkpv" TargetMode="External"/><Relationship Id="rId734" Type="http://schemas.openxmlformats.org/officeDocument/2006/relationships/hyperlink" Target="https://drive.google.com/file/d/1JZzbmZlqktdcqzf08Rydlsi22AinLgIk/view?usp=drivesdk" TargetMode="External"/><Relationship Id="rId733" Type="http://schemas.openxmlformats.org/officeDocument/2006/relationships/hyperlink" Target="https://lh5.googleusercontent.com/d/1dkIfatv-6c4poNvpHvYuW8DgUUEg7g9t" TargetMode="External"/><Relationship Id="rId732" Type="http://schemas.openxmlformats.org/officeDocument/2006/relationships/hyperlink" Target="https://drive.google.com/file/d/1EA2YeV5lG3E4TKrNtzw6eQcjESVfd8U-/view?usp=drivesdk" TargetMode="External"/><Relationship Id="rId731" Type="http://schemas.openxmlformats.org/officeDocument/2006/relationships/hyperlink" Target="https://lh5.googleusercontent.com/d/1cwQrWZZblfZVKdV_65y02-rijOScGxTZ" TargetMode="External"/><Relationship Id="rId738" Type="http://schemas.openxmlformats.org/officeDocument/2006/relationships/hyperlink" Target="https://drive.google.com/file/d/14Y9PsRFIwABZjMoPLZT1T9D5U1zLr8ZA/view?usp=drivesdk" TargetMode="External"/><Relationship Id="rId737" Type="http://schemas.openxmlformats.org/officeDocument/2006/relationships/hyperlink" Target="https://lh5.googleusercontent.com/d/1VjxVYVTCKktUokA0ZUUNMTOuNjcGLRSj" TargetMode="External"/><Relationship Id="rId736" Type="http://schemas.openxmlformats.org/officeDocument/2006/relationships/hyperlink" Target="https://drive.google.com/file/d/1-sQ3jU2wsoYZMLnBtMkFaKGPSltieDww/view?usp=drivesdk" TargetMode="External"/><Relationship Id="rId735" Type="http://schemas.openxmlformats.org/officeDocument/2006/relationships/hyperlink" Target="https://lh5.googleusercontent.com/d/13CUXqtCaXsoYpj49qBAzcSRRp4USzkpv" TargetMode="External"/><Relationship Id="rId730" Type="http://schemas.openxmlformats.org/officeDocument/2006/relationships/hyperlink" Target="https://drive.google.com/file/d/14uVjX44m-58mNT_P-Qw3tdfFYc28c8kU/view?usp=drivesdk" TargetMode="External"/><Relationship Id="rId1320" Type="http://schemas.openxmlformats.org/officeDocument/2006/relationships/hyperlink" Target="https://drive.google.com/file/d/18naD7rXTOtGcvmuAgZswJbdRWTMS8ZJr/view?usp=drivesdk" TargetMode="External"/><Relationship Id="rId1321" Type="http://schemas.openxmlformats.org/officeDocument/2006/relationships/hyperlink" Target="https://lh5.googleusercontent.com/d/1KHd1IPPeRkSFyvpgETSPfREJIJTHOdqi" TargetMode="External"/><Relationship Id="rId1322" Type="http://schemas.openxmlformats.org/officeDocument/2006/relationships/hyperlink" Target="https://drive.google.com/file/d/1cdcdyGX1kP8pgWzLVfReoGgDsh-Pq6ut/view?usp=drivesdk" TargetMode="External"/><Relationship Id="rId1356" Type="http://schemas.openxmlformats.org/officeDocument/2006/relationships/hyperlink" Target="https://drive.google.com/file/d/1wFbMxusl6Lg1fJrttqPYO6n4Hni_Qm5V/view?usp=drivesdk" TargetMode="External"/><Relationship Id="rId1357" Type="http://schemas.openxmlformats.org/officeDocument/2006/relationships/hyperlink" Target="https://lh5.googleusercontent.com/d/1hnk1yEhidhULQrViQ7Dk7W2J-J1Bi5-2" TargetMode="External"/><Relationship Id="rId1358" Type="http://schemas.openxmlformats.org/officeDocument/2006/relationships/hyperlink" Target="https://drive.google.com/file/d/1bq8huc5UA_NqE_c8Bziu2u2PcZLizTTc/view?usp=drivesdk" TargetMode="External"/><Relationship Id="rId1359" Type="http://schemas.openxmlformats.org/officeDocument/2006/relationships/hyperlink" Target="https://lh5.googleusercontent.com/d/1yD_OT5WV6pfDdYLq-IWs7h2COBQQT_3D" TargetMode="External"/><Relationship Id="rId767" Type="http://schemas.openxmlformats.org/officeDocument/2006/relationships/hyperlink" Target="https://lh5.googleusercontent.com/d/1fjLBKRM1aV9WuWubkIhg-hxVEh6VfQBO" TargetMode="External"/><Relationship Id="rId766" Type="http://schemas.openxmlformats.org/officeDocument/2006/relationships/hyperlink" Target="https://drive.google.com/file/d/1wu3rgE-hDYVqvPCttXcrOWJ0SYY8ugcj/view?usp=drivesdk" TargetMode="External"/><Relationship Id="rId765" Type="http://schemas.openxmlformats.org/officeDocument/2006/relationships/hyperlink" Target="https://lh5.googleusercontent.com/d/1Nr09ceHsxha7TTjiEEow0dUOnc9w5qgV" TargetMode="External"/><Relationship Id="rId764" Type="http://schemas.openxmlformats.org/officeDocument/2006/relationships/hyperlink" Target="https://drive.google.com/file/d/1FxgCatXHtFgggK5m84MAUyqt8cHTCsnR/view?usp=drivesdk" TargetMode="External"/><Relationship Id="rId769" Type="http://schemas.openxmlformats.org/officeDocument/2006/relationships/hyperlink" Target="https://lh5.googleusercontent.com/d/1AuiaID24-eJMQH2RwwMyzvtJGU3XCkfh" TargetMode="External"/><Relationship Id="rId768" Type="http://schemas.openxmlformats.org/officeDocument/2006/relationships/hyperlink" Target="https://drive.google.com/file/d/1XCbSkbAGzxD1TMR90bldct7GGw5d71yv/view?usp=drivesdk" TargetMode="External"/><Relationship Id="rId1350" Type="http://schemas.openxmlformats.org/officeDocument/2006/relationships/hyperlink" Target="https://drive.google.com/file/d/1tuR_tulW9c9Gc4aAVpHyp5x1_JPibna5/view?usp=drivesdk" TargetMode="External"/><Relationship Id="rId1351" Type="http://schemas.openxmlformats.org/officeDocument/2006/relationships/hyperlink" Target="https://lh5.googleusercontent.com/d/11SfL7ED8KQI7rCbD0xX77i8dcyg8YPBL" TargetMode="External"/><Relationship Id="rId763" Type="http://schemas.openxmlformats.org/officeDocument/2006/relationships/hyperlink" Target="https://lh5.googleusercontent.com/d/1MDfJs7FtdLQq_9S0eW1wCDyV6EcZvwrB" TargetMode="External"/><Relationship Id="rId1352" Type="http://schemas.openxmlformats.org/officeDocument/2006/relationships/hyperlink" Target="https://drive.google.com/file/d/1Ht6MaDTxewqxKNGlOS2kLLTMWZ0y8_DT/view?usp=drivesdk" TargetMode="External"/><Relationship Id="rId762" Type="http://schemas.openxmlformats.org/officeDocument/2006/relationships/hyperlink" Target="https://drive.google.com/file/d/1s3_T5uiRRdJMt_nfGkhOCkYZyR3W6_Pi/view?usp=drivesdk" TargetMode="External"/><Relationship Id="rId1353" Type="http://schemas.openxmlformats.org/officeDocument/2006/relationships/hyperlink" Target="https://lh5.googleusercontent.com/d/1PH4gaLEcS1K1irDjxQK7Bh9GVRhV_YNt" TargetMode="External"/><Relationship Id="rId761" Type="http://schemas.openxmlformats.org/officeDocument/2006/relationships/hyperlink" Target="https://lh5.googleusercontent.com/d/18Eoj4Cnh6J9J88nuU0GXap0lDXPqQj_J" TargetMode="External"/><Relationship Id="rId1354" Type="http://schemas.openxmlformats.org/officeDocument/2006/relationships/hyperlink" Target="https://drive.google.com/file/d/1eX_u00HnPAEwoOae_aHtorzvC18r6ayk/view?usp=drivesdk" TargetMode="External"/><Relationship Id="rId760" Type="http://schemas.openxmlformats.org/officeDocument/2006/relationships/hyperlink" Target="https://drive.google.com/file/d/1yrGLhj8aY54xukpxDZCseiZQOOLVK3Kh/view?usp=drivesdk" TargetMode="External"/><Relationship Id="rId1355" Type="http://schemas.openxmlformats.org/officeDocument/2006/relationships/hyperlink" Target="https://lh5.googleusercontent.com/d/1Pu542iVYMQ8oplRf6dlE9WUI_8EoHvpW" TargetMode="External"/><Relationship Id="rId1345" Type="http://schemas.openxmlformats.org/officeDocument/2006/relationships/hyperlink" Target="https://lh5.googleusercontent.com/d/1HybTNIAqNsYcRMyrBjRhVgg4fRX-bXLX" TargetMode="External"/><Relationship Id="rId1346" Type="http://schemas.openxmlformats.org/officeDocument/2006/relationships/hyperlink" Target="https://drive.google.com/file/d/1R0IFzxSRcu3ts37qjUzjpn9vqlgNEB2i/view?usp=drivesdk" TargetMode="External"/><Relationship Id="rId1347" Type="http://schemas.openxmlformats.org/officeDocument/2006/relationships/hyperlink" Target="https://lh5.googleusercontent.com/d/19ve7L-Zynh7xjqx2mZt9VSKDuVBSrX5P" TargetMode="External"/><Relationship Id="rId1348" Type="http://schemas.openxmlformats.org/officeDocument/2006/relationships/hyperlink" Target="https://drive.google.com/file/d/1ui1QuJ9luRxevt8r0v21KGxVZT1F9y9J/view?usp=drivesdk" TargetMode="External"/><Relationship Id="rId1349" Type="http://schemas.openxmlformats.org/officeDocument/2006/relationships/hyperlink" Target="https://lh5.googleusercontent.com/d/1dE__8hfPW-cLLsiK1N7P9zY6GWzqNMHm" TargetMode="External"/><Relationship Id="rId756" Type="http://schemas.openxmlformats.org/officeDocument/2006/relationships/hyperlink" Target="https://drive.google.com/file/d/1RM3uiqKXrjTFQdsshBGqSsl5mZ8xYUqk/view?usp=drivesdk" TargetMode="External"/><Relationship Id="rId755" Type="http://schemas.openxmlformats.org/officeDocument/2006/relationships/hyperlink" Target="https://lh5.googleusercontent.com/d/126oF0FPneDGVxAcKhhyBbBLK6F4-Je_H" TargetMode="External"/><Relationship Id="rId754" Type="http://schemas.openxmlformats.org/officeDocument/2006/relationships/hyperlink" Target="https://drive.google.com/file/d/1Hk40fqvL5WXw6zZqbSXxxvjUJEhsfpoy/view?usp=drivesdk" TargetMode="External"/><Relationship Id="rId753" Type="http://schemas.openxmlformats.org/officeDocument/2006/relationships/hyperlink" Target="https://lh5.googleusercontent.com/d/1HnCSvYrhoT1aN5Ld1wPNQpaWPhM1cK8K" TargetMode="External"/><Relationship Id="rId759" Type="http://schemas.openxmlformats.org/officeDocument/2006/relationships/hyperlink" Target="https://lh5.googleusercontent.com/d/1NVwfWfgemDHF5X03amoI00vGGY2A7vhU" TargetMode="External"/><Relationship Id="rId758" Type="http://schemas.openxmlformats.org/officeDocument/2006/relationships/hyperlink" Target="https://drive.google.com/file/d/1jUDH_CiRs7FNj-XponcPYVvEHauca0Sz/view?usp=drivesdk" TargetMode="External"/><Relationship Id="rId757" Type="http://schemas.openxmlformats.org/officeDocument/2006/relationships/hyperlink" Target="https://lh5.googleusercontent.com/d/1otYwflUuIKEijXIjpOB4Ssd7s4a5iEKG" TargetMode="External"/><Relationship Id="rId1340" Type="http://schemas.openxmlformats.org/officeDocument/2006/relationships/hyperlink" Target="https://drive.google.com/file/d/1Vdwya_xk3dtgF1ZvPHWJbZ6V3ClHKW4D/view?usp=drivesdk" TargetMode="External"/><Relationship Id="rId752" Type="http://schemas.openxmlformats.org/officeDocument/2006/relationships/hyperlink" Target="https://drive.google.com/file/d/1ZqMdyxu3QnklSetkUtObJNl5LaEIRqCG/view?usp=drivesdk" TargetMode="External"/><Relationship Id="rId1341" Type="http://schemas.openxmlformats.org/officeDocument/2006/relationships/hyperlink" Target="https://lh5.googleusercontent.com/d/1iumkGII8CWeHPJPm1Ds7Vzl2bwNidr8-" TargetMode="External"/><Relationship Id="rId751" Type="http://schemas.openxmlformats.org/officeDocument/2006/relationships/hyperlink" Target="https://lh5.googleusercontent.com/d/180cjJiGiEgZciZxPkLm7VmunEwa9s4FJ" TargetMode="External"/><Relationship Id="rId1342" Type="http://schemas.openxmlformats.org/officeDocument/2006/relationships/hyperlink" Target="https://drive.google.com/file/d/1nT8tXES7uZxeyS5XFx6ABaPq1pQue5uf/view?usp=drivesdk" TargetMode="External"/><Relationship Id="rId750" Type="http://schemas.openxmlformats.org/officeDocument/2006/relationships/hyperlink" Target="https://drive.google.com/file/d/1ksYNKQX-6fMadX6jsIlbKu_g2-FJpACP/view?usp=drivesdk" TargetMode="External"/><Relationship Id="rId1343" Type="http://schemas.openxmlformats.org/officeDocument/2006/relationships/hyperlink" Target="https://lh5.googleusercontent.com/d/1UxR3IAdYPhZfXsMX9D703QwBRZZSNWRZ" TargetMode="External"/><Relationship Id="rId1344" Type="http://schemas.openxmlformats.org/officeDocument/2006/relationships/hyperlink" Target="https://drive.google.com/file/d/1hSD9A70dQ9tJIqXTIFdTId7KdZgHOKPA/view?usp=drivesdk" TargetMode="External"/><Relationship Id="rId709" Type="http://schemas.openxmlformats.org/officeDocument/2006/relationships/hyperlink" Target="https://lh5.googleusercontent.com/d/1qKwfeeAnVZ_gCdfNmNPSlqmKy9A_51bM" TargetMode="External"/><Relationship Id="rId708" Type="http://schemas.openxmlformats.org/officeDocument/2006/relationships/hyperlink" Target="https://drive.google.com/file/d/1I6jzIp6260mtxTdLK4H2Gh3ej9DKLzQ_/view?usp=drivesdk" TargetMode="External"/><Relationship Id="rId707" Type="http://schemas.openxmlformats.org/officeDocument/2006/relationships/hyperlink" Target="https://lh5.googleusercontent.com/d/1B4XRl-ozPbY9m3l1Vl1YQk9RooXTHl-h" TargetMode="External"/><Relationship Id="rId706" Type="http://schemas.openxmlformats.org/officeDocument/2006/relationships/hyperlink" Target="https://drive.google.com/file/d/1R7bfpFTnWkdFUnMlFqCqP_k0pGt9ZubH/view?usp=drivesdk" TargetMode="External"/><Relationship Id="rId701" Type="http://schemas.openxmlformats.org/officeDocument/2006/relationships/hyperlink" Target="https://lh5.googleusercontent.com/d/169zMweX_WoVlMO3grmpfDuokEBuhI9ME" TargetMode="External"/><Relationship Id="rId700" Type="http://schemas.openxmlformats.org/officeDocument/2006/relationships/hyperlink" Target="https://drive.google.com/file/d/1LYC-xbyrgHraKZw270cMPypBwhrkfUVE/view?usp=drivesdk" TargetMode="External"/><Relationship Id="rId705" Type="http://schemas.openxmlformats.org/officeDocument/2006/relationships/hyperlink" Target="https://lh5.googleusercontent.com/d/1Xw1E_LQX54pfdVUDVNxjOTX-CP7UQF5_" TargetMode="External"/><Relationship Id="rId704" Type="http://schemas.openxmlformats.org/officeDocument/2006/relationships/hyperlink" Target="https://drive.google.com/file/d/1TgOOhTUsRi22vdDQcFmHoYBJBVXLKtSa/view?usp=drivesdk" TargetMode="External"/><Relationship Id="rId703" Type="http://schemas.openxmlformats.org/officeDocument/2006/relationships/hyperlink" Target="https://lh5.googleusercontent.com/d/1x-rSVLfTv0zr_C4LpsfhaH9ekm7BFT3R" TargetMode="External"/><Relationship Id="rId702" Type="http://schemas.openxmlformats.org/officeDocument/2006/relationships/hyperlink" Target="https://drive.google.com/file/d/1NV_z8RkWpVYm29-tKGVP6zwcRldid7Iq/view?usp=drivesdk" TargetMode="External"/><Relationship Id="rId1312" Type="http://schemas.openxmlformats.org/officeDocument/2006/relationships/hyperlink" Target="https://drive.google.com/file/d/1Htqzd__ECor0_-CXo8CvV-ZDYcT3CZBR/view?usp=drivesdk" TargetMode="External"/><Relationship Id="rId1313" Type="http://schemas.openxmlformats.org/officeDocument/2006/relationships/hyperlink" Target="https://lh5.googleusercontent.com/d/1KzvUuFqnnKgHkFs4Dh3goh_IYnvF_XTC" TargetMode="External"/><Relationship Id="rId1314" Type="http://schemas.openxmlformats.org/officeDocument/2006/relationships/hyperlink" Target="https://drive.google.com/file/d/1bRDEkeWOU3SGpFDR6T9ojvvUyfKzWAOV/view?usp=drivesdk" TargetMode="External"/><Relationship Id="rId1315" Type="http://schemas.openxmlformats.org/officeDocument/2006/relationships/hyperlink" Target="https://lh5.googleusercontent.com/d/1D7tNY1tpXw_hvMmVF8QEMMmle49mG0j4" TargetMode="External"/><Relationship Id="rId1316" Type="http://schemas.openxmlformats.org/officeDocument/2006/relationships/hyperlink" Target="https://drive.google.com/file/d/1nNC01CFmj0CKE48KWS1I0GH68O7WS3fb/view?usp=drivesdk" TargetMode="External"/><Relationship Id="rId1317" Type="http://schemas.openxmlformats.org/officeDocument/2006/relationships/hyperlink" Target="https://lh5.googleusercontent.com/d/1qQ1ljObe0kZqZHTPMNda22R7SafkB7eD" TargetMode="External"/><Relationship Id="rId1318" Type="http://schemas.openxmlformats.org/officeDocument/2006/relationships/hyperlink" Target="https://drive.google.com/file/d/1fz5W7oNpBhfKlY7vEiNLVPBzPh9UTCKo/view?usp=drivesdk" TargetMode="External"/><Relationship Id="rId1319" Type="http://schemas.openxmlformats.org/officeDocument/2006/relationships/hyperlink" Target="https://lh5.googleusercontent.com/d/1uGxonlBwb8-trHxP9_5ePaSkmG62R22k" TargetMode="External"/><Relationship Id="rId729" Type="http://schemas.openxmlformats.org/officeDocument/2006/relationships/hyperlink" Target="https://lh5.googleusercontent.com/d/1dcUsvqJM5Xd937PUpyQVl9eQPhD3YzpL" TargetMode="External"/><Relationship Id="rId728" Type="http://schemas.openxmlformats.org/officeDocument/2006/relationships/hyperlink" Target="https://drive.google.com/file/d/1Zhg9OtdFXVWHgYYshDRFX4JqB1BxpPq_/view?usp=drivesdk" TargetMode="External"/><Relationship Id="rId723" Type="http://schemas.openxmlformats.org/officeDocument/2006/relationships/hyperlink" Target="https://lh5.googleusercontent.com/d/1BLW5SppzC1OHLK_micsS5K_ly25Fxwn9" TargetMode="External"/><Relationship Id="rId722" Type="http://schemas.openxmlformats.org/officeDocument/2006/relationships/hyperlink" Target="https://drive.google.com/file/d/1kehHfbRZ9drFhGUozjGsBgTwEC3jCjdB/view?usp=drivesdk" TargetMode="External"/><Relationship Id="rId721" Type="http://schemas.openxmlformats.org/officeDocument/2006/relationships/hyperlink" Target="https://lh5.googleusercontent.com/d/11yFMfVxq3xzqaMrpm7H6meXVhs0IEf8M" TargetMode="External"/><Relationship Id="rId720" Type="http://schemas.openxmlformats.org/officeDocument/2006/relationships/hyperlink" Target="https://drive.google.com/file/d/1cHxggPMJvpcOQsuooFukb_bDRJ_12QF2/view?usp=drivesdk" TargetMode="External"/><Relationship Id="rId727" Type="http://schemas.openxmlformats.org/officeDocument/2006/relationships/hyperlink" Target="https://lh5.googleusercontent.com/d/1c54NsqRCxl1rD7HF42lIkEKcw3JsrJS5" TargetMode="External"/><Relationship Id="rId726" Type="http://schemas.openxmlformats.org/officeDocument/2006/relationships/hyperlink" Target="https://drive.google.com/file/d/17H10FlUHZW2Eo_wgU7CPIfnV83F9iZZr/view?usp=drivesdk" TargetMode="External"/><Relationship Id="rId725" Type="http://schemas.openxmlformats.org/officeDocument/2006/relationships/hyperlink" Target="https://lh5.googleusercontent.com/d/1tAdg8JKpT9hvhw8mQwFeW4CXIqXaK6U9" TargetMode="External"/><Relationship Id="rId724" Type="http://schemas.openxmlformats.org/officeDocument/2006/relationships/hyperlink" Target="https://drive.google.com/file/d/1V2VmwTbgXV1LC2GWnAiwFwf13Ab3xItN/view?usp=drivesdk" TargetMode="External"/><Relationship Id="rId1310" Type="http://schemas.openxmlformats.org/officeDocument/2006/relationships/hyperlink" Target="https://drive.google.com/file/d/1ZMjsd6LUgWVouQbdIMvKNGQFdAAaJHQa/view?usp=drivesdk" TargetMode="External"/><Relationship Id="rId1311" Type="http://schemas.openxmlformats.org/officeDocument/2006/relationships/hyperlink" Target="https://lh5.googleusercontent.com/d/1TITpu_Mw6H7zMZM1waO_ZoQ8sFRiwbQm" TargetMode="External"/><Relationship Id="rId1301" Type="http://schemas.openxmlformats.org/officeDocument/2006/relationships/hyperlink" Target="https://lh5.googleusercontent.com/d/1AwyFUAifOqFc1IBcyOfONL06xsU2HW69" TargetMode="External"/><Relationship Id="rId1302" Type="http://schemas.openxmlformats.org/officeDocument/2006/relationships/hyperlink" Target="https://drive.google.com/file/d/1EE9eqCErYpYI_pBMzlvP8l--99lfcKk6/view?usp=drivesdk" TargetMode="External"/><Relationship Id="rId1303" Type="http://schemas.openxmlformats.org/officeDocument/2006/relationships/hyperlink" Target="https://lh5.googleusercontent.com/d/138LQU3F0GBrah0hsayPy02_wp4UHzZXQ" TargetMode="External"/><Relationship Id="rId1304" Type="http://schemas.openxmlformats.org/officeDocument/2006/relationships/hyperlink" Target="https://drive.google.com/file/d/1C93-Yv-iyX0G2he4fRxJO2x5XmiAy7C2/view?usp=drivesdk" TargetMode="External"/><Relationship Id="rId1305" Type="http://schemas.openxmlformats.org/officeDocument/2006/relationships/hyperlink" Target="https://lh5.googleusercontent.com/d/1Cbxpi5T9N4PxehOU_hnh5jpeDvS6eNLd" TargetMode="External"/><Relationship Id="rId1306" Type="http://schemas.openxmlformats.org/officeDocument/2006/relationships/hyperlink" Target="https://drive.google.com/file/d/1W5FXGkvuKCsqozNlIRxh9s1Csg_y-g1W/view?usp=drivesdk" TargetMode="External"/><Relationship Id="rId1307" Type="http://schemas.openxmlformats.org/officeDocument/2006/relationships/hyperlink" Target="https://lh5.googleusercontent.com/d/1iZvL72ActxXVGqXcMbswanZD6jjDaD6U" TargetMode="External"/><Relationship Id="rId1308" Type="http://schemas.openxmlformats.org/officeDocument/2006/relationships/hyperlink" Target="https://drive.google.com/file/d/1z2C0yMmCGyABW5nBhP8fokOEZc4IRLiZ/view?usp=drivesdk" TargetMode="External"/><Relationship Id="rId1309" Type="http://schemas.openxmlformats.org/officeDocument/2006/relationships/hyperlink" Target="https://lh5.googleusercontent.com/d/1cvc7T4Mob1CdWZCcHlt-dWsHRB136BAJ" TargetMode="External"/><Relationship Id="rId719" Type="http://schemas.openxmlformats.org/officeDocument/2006/relationships/hyperlink" Target="https://lh5.googleusercontent.com/d/1sTJyq8jlFoa3WVchf0-i23nrbmtfkebD" TargetMode="External"/><Relationship Id="rId718" Type="http://schemas.openxmlformats.org/officeDocument/2006/relationships/hyperlink" Target="https://drive.google.com/file/d/10WM4_ZHYg0IEfG1dZlMaPs1I9em_s3Yt/view?usp=drivesdk" TargetMode="External"/><Relationship Id="rId717" Type="http://schemas.openxmlformats.org/officeDocument/2006/relationships/hyperlink" Target="https://lh5.googleusercontent.com/d/1_qPRMGXS42vMaT1XNCvolXQx-ab-SuQ6" TargetMode="External"/><Relationship Id="rId712" Type="http://schemas.openxmlformats.org/officeDocument/2006/relationships/hyperlink" Target="https://drive.google.com/file/d/1dxJtaQOK3FHINLcQlBf7ZI6oyTPPnaGM/view?usp=drivesdk" TargetMode="External"/><Relationship Id="rId711" Type="http://schemas.openxmlformats.org/officeDocument/2006/relationships/hyperlink" Target="https://lh5.googleusercontent.com/d/1AUuJs6P9WiRZTux_wlFRag8UrpQKrk4L" TargetMode="External"/><Relationship Id="rId710" Type="http://schemas.openxmlformats.org/officeDocument/2006/relationships/hyperlink" Target="https://drive.google.com/file/d/1oTlb5ypv1LLl1sFLdwFEjJG-75NOwU1H/view?usp=drivesdk" TargetMode="External"/><Relationship Id="rId716" Type="http://schemas.openxmlformats.org/officeDocument/2006/relationships/hyperlink" Target="https://drive.google.com/file/d/1BL4zG-Jr52ab5K1bZTRZg05KhJMK5LjP/view?usp=drivesdk" TargetMode="External"/><Relationship Id="rId715" Type="http://schemas.openxmlformats.org/officeDocument/2006/relationships/hyperlink" Target="https://lh5.googleusercontent.com/d/1rk1oCuMb900clzvgOCMH_jnryt2uJfsB" TargetMode="External"/><Relationship Id="rId714" Type="http://schemas.openxmlformats.org/officeDocument/2006/relationships/hyperlink" Target="https://drive.google.com/file/d/1iodbGwIy9AK07tQ-9NVyND9fqDVDlCAO/view?usp=drivesdk" TargetMode="External"/><Relationship Id="rId713" Type="http://schemas.openxmlformats.org/officeDocument/2006/relationships/hyperlink" Target="https://lh5.googleusercontent.com/d/1iyM5dVfXDP-VlvG_A_h_a9vqYqQTE5HP" TargetMode="External"/><Relationship Id="rId1300" Type="http://schemas.openxmlformats.org/officeDocument/2006/relationships/hyperlink" Target="https://drive.google.com/file/d/1ZhL11DgGGAyXHkO_dvd1Tm14fzSD9wnJ/view?usp=drivesdk" TargetMode="External"/><Relationship Id="rId1378" Type="http://schemas.openxmlformats.org/officeDocument/2006/relationships/hyperlink" Target="https://drive.google.com/file/d/1hv2P27t1QYtp3hTWVlnPENBaWtsdPPlx/view?usp=drivesdk" TargetMode="External"/><Relationship Id="rId1379" Type="http://schemas.openxmlformats.org/officeDocument/2006/relationships/hyperlink" Target="https://lh5.googleusercontent.com/d/1sPDlyomJQg_ZYEqSCRwmu_etIk7IO75y" TargetMode="External"/><Relationship Id="rId789" Type="http://schemas.openxmlformats.org/officeDocument/2006/relationships/hyperlink" Target="https://lh5.googleusercontent.com/d/1G75IQTX6vNGtalBc98IurNYC27cEeOfk" TargetMode="External"/><Relationship Id="rId788" Type="http://schemas.openxmlformats.org/officeDocument/2006/relationships/hyperlink" Target="https://drive.google.com/file/d/1sz2O_qVsMYe1ZJOkRdEUSCrgGM4emcY8/view?usp=drivesdk" TargetMode="External"/><Relationship Id="rId787" Type="http://schemas.openxmlformats.org/officeDocument/2006/relationships/hyperlink" Target="https://lh5.googleusercontent.com/d/12GPxWN9tHN8coTdCnJsf5kGjNlagF_mf" TargetMode="External"/><Relationship Id="rId786" Type="http://schemas.openxmlformats.org/officeDocument/2006/relationships/hyperlink" Target="https://drive.google.com/file/d/1OqGurlFlXS8D5FRTdhXrT1FWTt3o5U89/view?usp=drivesdk" TargetMode="External"/><Relationship Id="rId781" Type="http://schemas.openxmlformats.org/officeDocument/2006/relationships/hyperlink" Target="https://lh5.googleusercontent.com/d/1AIlZcdZHUHNhb0uiVOE1JObQrEJnce6i" TargetMode="External"/><Relationship Id="rId1370" Type="http://schemas.openxmlformats.org/officeDocument/2006/relationships/hyperlink" Target="https://drive.google.com/file/d/1o6ymOPZNTV4vm58KFn6hfXrfhAgpEdAF/view?usp=drivesdk" TargetMode="External"/><Relationship Id="rId780" Type="http://schemas.openxmlformats.org/officeDocument/2006/relationships/hyperlink" Target="https://drive.google.com/file/d/1hSkhvMFJ-VePoyX6sskHzOlWUK0Jwgda/view?usp=drivesdk" TargetMode="External"/><Relationship Id="rId1371" Type="http://schemas.openxmlformats.org/officeDocument/2006/relationships/hyperlink" Target="https://lh5.googleusercontent.com/d/1t7ZCDU-YwiQNAkPRpR7DEIeyet8QXAEl" TargetMode="External"/><Relationship Id="rId1372" Type="http://schemas.openxmlformats.org/officeDocument/2006/relationships/hyperlink" Target="https://drive.google.com/file/d/1u9-dP8fsCqpX3Nn1Q4G9BQjeGx6OtpQX/view?usp=drivesdk" TargetMode="External"/><Relationship Id="rId1373" Type="http://schemas.openxmlformats.org/officeDocument/2006/relationships/hyperlink" Target="https://lh5.googleusercontent.com/d/1mAE3Th7_2MttvJ_fsyQuH_uRI4hrM3Qp" TargetMode="External"/><Relationship Id="rId785" Type="http://schemas.openxmlformats.org/officeDocument/2006/relationships/hyperlink" Target="https://lh5.googleusercontent.com/d/12DnN8gdrtEHoPbZTnYQbjTBh3iRzVAF-" TargetMode="External"/><Relationship Id="rId1374" Type="http://schemas.openxmlformats.org/officeDocument/2006/relationships/hyperlink" Target="https://drive.google.com/file/d/1FKZ-v-vAQ41KKhqSQhGiAIhBki2otIo-/view?usp=drivesdk" TargetMode="External"/><Relationship Id="rId784" Type="http://schemas.openxmlformats.org/officeDocument/2006/relationships/hyperlink" Target="https://drive.google.com/file/d/1Rg2yNNSTWlMrVpsBfmkNbu2879EnDnho/view?usp=drivesdk" TargetMode="External"/><Relationship Id="rId1375" Type="http://schemas.openxmlformats.org/officeDocument/2006/relationships/hyperlink" Target="https://lh5.googleusercontent.com/d/1Yf6p3zFjLBJ7yEIGLZ17OHhLEr9-an_0" TargetMode="External"/><Relationship Id="rId783" Type="http://schemas.openxmlformats.org/officeDocument/2006/relationships/hyperlink" Target="https://lh5.googleusercontent.com/d/10Yh4CT6RwVsoHQCMGqIxb4xZ5Mw0Nyvc" TargetMode="External"/><Relationship Id="rId1376" Type="http://schemas.openxmlformats.org/officeDocument/2006/relationships/hyperlink" Target="https://drive.google.com/file/d/1LnwhP0sgACtqfNYknBde4ZGS9421JF3i/view?usp=drivesdk" TargetMode="External"/><Relationship Id="rId782" Type="http://schemas.openxmlformats.org/officeDocument/2006/relationships/hyperlink" Target="https://drive.google.com/file/d/163FWr-BBx_2pE1TJPBVxrYigu6KWkKyj/view?usp=drivesdk" TargetMode="External"/><Relationship Id="rId1377" Type="http://schemas.openxmlformats.org/officeDocument/2006/relationships/hyperlink" Target="https://lh5.googleusercontent.com/d/1-dfyQANnGVijqUm6EyaT3D1c1uoe002v" TargetMode="External"/><Relationship Id="rId1367" Type="http://schemas.openxmlformats.org/officeDocument/2006/relationships/hyperlink" Target="https://lh5.googleusercontent.com/d/1GL9jCfy_FMdk6WRw3GpeA51VELmrI1vO" TargetMode="External"/><Relationship Id="rId1368" Type="http://schemas.openxmlformats.org/officeDocument/2006/relationships/hyperlink" Target="https://drive.google.com/file/d/1hNqsOZAqN0NluRLSomwXBkJ7A46mOd1k/view?usp=drivesdk" TargetMode="External"/><Relationship Id="rId1369" Type="http://schemas.openxmlformats.org/officeDocument/2006/relationships/hyperlink" Target="https://lh5.googleusercontent.com/d/16qG-kQ89Rgp5INpSnJ1z-PPUXyZK6ubm" TargetMode="External"/><Relationship Id="rId778" Type="http://schemas.openxmlformats.org/officeDocument/2006/relationships/hyperlink" Target="https://drive.google.com/file/d/1zbXe_wg8X66s6MZEHEMuPfVBUpRKJ1Jh/view?usp=drivesdk" TargetMode="External"/><Relationship Id="rId777" Type="http://schemas.openxmlformats.org/officeDocument/2006/relationships/hyperlink" Target="https://lh5.googleusercontent.com/d/1bxQeFWS69ad7t_eaq2Hm_XKG0LcF6I_P" TargetMode="External"/><Relationship Id="rId776" Type="http://schemas.openxmlformats.org/officeDocument/2006/relationships/hyperlink" Target="https://drive.google.com/file/d/1yTvgb5yqu8CTZXd332OQj71_kq7JjV3b/view?usp=drivesdk" TargetMode="External"/><Relationship Id="rId775" Type="http://schemas.openxmlformats.org/officeDocument/2006/relationships/hyperlink" Target="https://lh5.googleusercontent.com/d/1aNd6nOGPqq6gzqJEMNDe8CQ147wtWSW3" TargetMode="External"/><Relationship Id="rId779" Type="http://schemas.openxmlformats.org/officeDocument/2006/relationships/hyperlink" Target="https://lh5.googleusercontent.com/d/1HPKe7cTu-Sj_KsVgYHvlb3dhVprqgkaR" TargetMode="External"/><Relationship Id="rId770" Type="http://schemas.openxmlformats.org/officeDocument/2006/relationships/hyperlink" Target="https://drive.google.com/file/d/1a0eq--whaz-4lHmCNYk8wOfQkOo8mmHG/view?usp=drivesdk" TargetMode="External"/><Relationship Id="rId1360" Type="http://schemas.openxmlformats.org/officeDocument/2006/relationships/hyperlink" Target="https://drive.google.com/file/d/1fTjCFpI5un_WZzKxnzIYBcrnfayFnV0r/view?usp=drivesdk" TargetMode="External"/><Relationship Id="rId1361" Type="http://schemas.openxmlformats.org/officeDocument/2006/relationships/hyperlink" Target="https://lh5.googleusercontent.com/d/1RUgP9KTMx89oPjguANQlg8GVfdJeydCb" TargetMode="External"/><Relationship Id="rId1362" Type="http://schemas.openxmlformats.org/officeDocument/2006/relationships/hyperlink" Target="https://drive.google.com/file/d/1EZ8Ao2NRja0sSNSYxSXtiHTnXixVmXZi/view?usp=drivesdk" TargetMode="External"/><Relationship Id="rId774" Type="http://schemas.openxmlformats.org/officeDocument/2006/relationships/hyperlink" Target="https://drive.google.com/file/d/1kPi6WQoxXHa2u5Qk2WOfkumrAoale-5Y/view?usp=drivesdk" TargetMode="External"/><Relationship Id="rId1363" Type="http://schemas.openxmlformats.org/officeDocument/2006/relationships/hyperlink" Target="https://lh5.googleusercontent.com/d/1EG9ErYiDtR-U8FLb_54LSWwRhGcJ5aFn" TargetMode="External"/><Relationship Id="rId773" Type="http://schemas.openxmlformats.org/officeDocument/2006/relationships/hyperlink" Target="https://lh5.googleusercontent.com/d/1VuS5wxGUvlp1bACdiJTOZFS5n3eLxroR" TargetMode="External"/><Relationship Id="rId1364" Type="http://schemas.openxmlformats.org/officeDocument/2006/relationships/hyperlink" Target="https://drive.google.com/file/d/1eTOSDrvxtnqHayVJ02Yk2gO42Ny3VNEZ/view?usp=drivesdk" TargetMode="External"/><Relationship Id="rId772" Type="http://schemas.openxmlformats.org/officeDocument/2006/relationships/hyperlink" Target="https://drive.google.com/file/d/1j-w5sx7ZL2e-w2sdlWK_lZ5Qd6YK3k0H/view?usp=drivesdk" TargetMode="External"/><Relationship Id="rId1365" Type="http://schemas.openxmlformats.org/officeDocument/2006/relationships/hyperlink" Target="https://lh5.googleusercontent.com/d/1ervWWHLzFboeeiXKWc4t7LA7WmDkQNcu" TargetMode="External"/><Relationship Id="rId771" Type="http://schemas.openxmlformats.org/officeDocument/2006/relationships/hyperlink" Target="https://lh5.googleusercontent.com/d/1uYhNAwjNOiiqCacexd02T7U0A2SvvHrc" TargetMode="External"/><Relationship Id="rId1366" Type="http://schemas.openxmlformats.org/officeDocument/2006/relationships/hyperlink" Target="https://drive.google.com/file/d/1HH2ckPPIT8TIbgjhPEjuXxl6O4DGACn_/view?usp=drivesdk" TargetMode="External"/><Relationship Id="rId1390" Type="http://schemas.openxmlformats.org/officeDocument/2006/relationships/hyperlink" Target="https://drive.google.com/file/d/1KV7JLZmZwhfOT9J1v2B4egWDnC2D1Cfw/view?usp=drivesdk" TargetMode="External"/><Relationship Id="rId1391" Type="http://schemas.openxmlformats.org/officeDocument/2006/relationships/hyperlink" Target="https://lh5.googleusercontent.com/d/19Ar_eIWVRThYomR8rMuIlHh5Rc8r4qz5" TargetMode="External"/><Relationship Id="rId1392" Type="http://schemas.openxmlformats.org/officeDocument/2006/relationships/hyperlink" Target="https://drive.google.com/file/d/1G7DkH1CZUaCCh3TEQ-2-VO4IfpJsHoBJ/view?usp=drivesdk" TargetMode="External"/><Relationship Id="rId1393" Type="http://schemas.openxmlformats.org/officeDocument/2006/relationships/hyperlink" Target="https://lh5.googleusercontent.com/d/1AtEjNlQJ1IFgX5bDcyifFfejvN6M8krz" TargetMode="External"/><Relationship Id="rId1394" Type="http://schemas.openxmlformats.org/officeDocument/2006/relationships/hyperlink" Target="https://drive.google.com/file/d/1ofpVLAv6JzFimtNpRhE5-IO_yd8Y9THl/view?usp=drivesdk" TargetMode="External"/><Relationship Id="rId1395" Type="http://schemas.openxmlformats.org/officeDocument/2006/relationships/hyperlink" Target="https://lh5.googleusercontent.com/d/194wqIOxCI-VLYfIbgMYGLbT_6JJIkh5U" TargetMode="External"/><Relationship Id="rId1396" Type="http://schemas.openxmlformats.org/officeDocument/2006/relationships/hyperlink" Target="https://drive.google.com/file/d/1WgmpSyAdZ_MmMXukD5Z7OBVtsho6nlTm/view?usp=drivesdk" TargetMode="External"/><Relationship Id="rId1397" Type="http://schemas.openxmlformats.org/officeDocument/2006/relationships/hyperlink" Target="https://lh5.googleusercontent.com/d/1pMYWphHWkJa-tiAWgsCHnZzSS5j8P_7P" TargetMode="External"/><Relationship Id="rId1398" Type="http://schemas.openxmlformats.org/officeDocument/2006/relationships/hyperlink" Target="https://drive.google.com/file/d/1WEkRWFnHU-sVSPNyvP8xmVHNHDtb0FB9/view?usp=drivesdk" TargetMode="External"/><Relationship Id="rId1399" Type="http://schemas.openxmlformats.org/officeDocument/2006/relationships/hyperlink" Target="https://lh5.googleusercontent.com/d/1Egu3RlYLEg0yZsEU2YLBCaa7jmmvDXhB" TargetMode="External"/><Relationship Id="rId1389" Type="http://schemas.openxmlformats.org/officeDocument/2006/relationships/hyperlink" Target="https://lh5.googleusercontent.com/d/1zYRGLol-wj86sRROfr_TrHXwtJ0gUUgW" TargetMode="External"/><Relationship Id="rId799" Type="http://schemas.openxmlformats.org/officeDocument/2006/relationships/hyperlink" Target="https://lh5.googleusercontent.com/d/19WSr8Z5FpDYMwWI5i6BqtkeDRdB9Ov-X" TargetMode="External"/><Relationship Id="rId798" Type="http://schemas.openxmlformats.org/officeDocument/2006/relationships/hyperlink" Target="https://drive.google.com/file/d/1UipOfl3vS3moxy9yUo6rDTgolEpVGyKJ/view?usp=drivesdk" TargetMode="External"/><Relationship Id="rId797" Type="http://schemas.openxmlformats.org/officeDocument/2006/relationships/hyperlink" Target="https://lh5.googleusercontent.com/d/1XSClSjDm8gL9NJOwunB2u4vR1krB-I1d" TargetMode="External"/><Relationship Id="rId1380" Type="http://schemas.openxmlformats.org/officeDocument/2006/relationships/hyperlink" Target="https://drive.google.com/file/d/1xC73C4vtxCjSOPet8VDsASVEtJswPdAW/view?usp=drivesdk" TargetMode="External"/><Relationship Id="rId792" Type="http://schemas.openxmlformats.org/officeDocument/2006/relationships/hyperlink" Target="https://drive.google.com/file/d/1iv_0g_Uxatfxa7Ds4YJeBkX92w5XXQ35/view?usp=drivesdk" TargetMode="External"/><Relationship Id="rId1381" Type="http://schemas.openxmlformats.org/officeDocument/2006/relationships/hyperlink" Target="https://lh5.googleusercontent.com/d/11ZqNaifOQyDQCdLsoi_QBNlzHogBpsyq" TargetMode="External"/><Relationship Id="rId791" Type="http://schemas.openxmlformats.org/officeDocument/2006/relationships/hyperlink" Target="https://lh5.googleusercontent.com/d/1HLVTUkEl5Z33OD0ghwlUuuv8rgdA3C2n" TargetMode="External"/><Relationship Id="rId1382" Type="http://schemas.openxmlformats.org/officeDocument/2006/relationships/hyperlink" Target="https://drive.google.com/file/d/10jFJ5yWN-1riGyJJ5MWYhNu0uqbPmW4L/view?usp=drivesdk" TargetMode="External"/><Relationship Id="rId790" Type="http://schemas.openxmlformats.org/officeDocument/2006/relationships/hyperlink" Target="https://drive.google.com/file/d/13wYKMsD6QBmvV_CGcsNiZnv0Fm4WvRiN/view?usp=drivesdk" TargetMode="External"/><Relationship Id="rId1383" Type="http://schemas.openxmlformats.org/officeDocument/2006/relationships/hyperlink" Target="https://lh5.googleusercontent.com/d/1GmjSs51TfA38RbhUZ7yeGSzVvw9NHvab" TargetMode="External"/><Relationship Id="rId1384" Type="http://schemas.openxmlformats.org/officeDocument/2006/relationships/hyperlink" Target="https://drive.google.com/file/d/1liZNBLscoDOhbl4CrQM29b_vMqVkYvnx/view?usp=drivesdk" TargetMode="External"/><Relationship Id="rId796" Type="http://schemas.openxmlformats.org/officeDocument/2006/relationships/hyperlink" Target="https://drive.google.com/file/d/1mfXnj2P-0r2nlfubmhStVAl2PAERYydv/view?usp=drivesdk" TargetMode="External"/><Relationship Id="rId1385" Type="http://schemas.openxmlformats.org/officeDocument/2006/relationships/hyperlink" Target="https://lh5.googleusercontent.com/d/1GOGDf88E7t9KQqFRYszEUtY2BU89Q29r" TargetMode="External"/><Relationship Id="rId795" Type="http://schemas.openxmlformats.org/officeDocument/2006/relationships/hyperlink" Target="https://lh5.googleusercontent.com/d/1pPVwKCoTDRBPzQHtin2X4skSrnCHBCak" TargetMode="External"/><Relationship Id="rId1386" Type="http://schemas.openxmlformats.org/officeDocument/2006/relationships/hyperlink" Target="https://drive.google.com/file/d/1gYZguG8PWjQ5YVQueABgNXjiAFOGHruC/view?usp=drivesdk" TargetMode="External"/><Relationship Id="rId794" Type="http://schemas.openxmlformats.org/officeDocument/2006/relationships/hyperlink" Target="https://drive.google.com/file/d/1ixns3eiRy7Igp1t3i9w65mA1BvfGqzKr/view?usp=drivesdk" TargetMode="External"/><Relationship Id="rId1387" Type="http://schemas.openxmlformats.org/officeDocument/2006/relationships/hyperlink" Target="https://lh5.googleusercontent.com/d/1_WyjLs4fKb_eDqCo_KOKT_VtIAtc5D8u" TargetMode="External"/><Relationship Id="rId793" Type="http://schemas.openxmlformats.org/officeDocument/2006/relationships/hyperlink" Target="https://lh5.googleusercontent.com/d/1FqZLpFD61aQVI_Ys7XgHqw920VURsylG" TargetMode="External"/><Relationship Id="rId1388" Type="http://schemas.openxmlformats.org/officeDocument/2006/relationships/hyperlink" Target="https://drive.google.com/file/d/1Z5NjF_Z0rwHMLt0glZEaKw530BTLB3QB/view?usp=drivesdk" TargetMode="External"/><Relationship Id="rId1455" Type="http://schemas.openxmlformats.org/officeDocument/2006/relationships/hyperlink" Target="https://lh5.googleusercontent.com/d/1djCpg51wEvAVPNPATy4OqXOubPcMlzgs" TargetMode="External"/><Relationship Id="rId1456" Type="http://schemas.openxmlformats.org/officeDocument/2006/relationships/hyperlink" Target="https://drive.google.com/file/d/1SZuLphRcME7GZoT38Gmtwzzn1lXp2Lkd/view?usp=drivesdk" TargetMode="External"/><Relationship Id="rId1457" Type="http://schemas.openxmlformats.org/officeDocument/2006/relationships/hyperlink" Target="https://lh5.googleusercontent.com/d/1X0w2gBrQyKOil6qNAo0X6j2xUTgcNAq1" TargetMode="External"/><Relationship Id="rId1458" Type="http://schemas.openxmlformats.org/officeDocument/2006/relationships/hyperlink" Target="https://drive.google.com/file/d/1p8-X-BACeYEQQlvZx26vq8UguA0-babV/view?usp=drivesdk" TargetMode="External"/><Relationship Id="rId1459" Type="http://schemas.openxmlformats.org/officeDocument/2006/relationships/hyperlink" Target="https://lh5.googleusercontent.com/d/1ZhTDF4eBjWu5WPl6kicgMC3t7vrBHXsZ" TargetMode="External"/><Relationship Id="rId629" Type="http://schemas.openxmlformats.org/officeDocument/2006/relationships/hyperlink" Target="https://lh5.googleusercontent.com/d/1O_TXeRv0upxrhcNHcy5EtlqI8Y3Dmax9" TargetMode="External"/><Relationship Id="rId624" Type="http://schemas.openxmlformats.org/officeDocument/2006/relationships/hyperlink" Target="https://drive.google.com/file/d/11phOy7NhGZjo-GN0OAKgH6j8c-zHVR4W/view?usp=drivesdk" TargetMode="External"/><Relationship Id="rId623" Type="http://schemas.openxmlformats.org/officeDocument/2006/relationships/hyperlink" Target="https://lh5.googleusercontent.com/d/1kGBgj1scfyj1yIz0f6jHGA0YtFobuc3X" TargetMode="External"/><Relationship Id="rId622" Type="http://schemas.openxmlformats.org/officeDocument/2006/relationships/hyperlink" Target="https://drive.google.com/file/d/1WDAzDFaqZwqXR96OcZ38AM9QcYzV-NZq/view?usp=drivesdk" TargetMode="External"/><Relationship Id="rId621" Type="http://schemas.openxmlformats.org/officeDocument/2006/relationships/hyperlink" Target="https://lh5.googleusercontent.com/d/1gD96U3yUZTzvBl2nk-wZrNiSeFweIr_x" TargetMode="External"/><Relationship Id="rId628" Type="http://schemas.openxmlformats.org/officeDocument/2006/relationships/hyperlink" Target="https://drive.google.com/file/d/1E7gery72OUCFC_iTtll6vFTbpE2qN7no/view?usp=drivesdk" TargetMode="External"/><Relationship Id="rId627" Type="http://schemas.openxmlformats.org/officeDocument/2006/relationships/hyperlink" Target="https://lh5.googleusercontent.com/d/10vpIOAIOm45nCy15NjsnK-PkSdoDns07" TargetMode="External"/><Relationship Id="rId626" Type="http://schemas.openxmlformats.org/officeDocument/2006/relationships/hyperlink" Target="https://drive.google.com/file/d/1TwtXaab7J_aqot6JDXepXbHAt9rFl4A4/view?usp=drivesdk" TargetMode="External"/><Relationship Id="rId625" Type="http://schemas.openxmlformats.org/officeDocument/2006/relationships/hyperlink" Target="https://lh5.googleusercontent.com/d/1jMKN5zNDsp_uMzcagb4dhjraE4uI1H-P" TargetMode="External"/><Relationship Id="rId1450" Type="http://schemas.openxmlformats.org/officeDocument/2006/relationships/hyperlink" Target="https://drive.google.com/file/d/1WRQCD5jZzm5XwVp218AO1FLCbBUsY39h/view?usp=drivesdk" TargetMode="External"/><Relationship Id="rId620" Type="http://schemas.openxmlformats.org/officeDocument/2006/relationships/hyperlink" Target="https://drive.google.com/file/d/1YdK-UGdT3byRx0Dx3YDnV9tuB83WLH-m/view?usp=drivesdk" TargetMode="External"/><Relationship Id="rId1451" Type="http://schemas.openxmlformats.org/officeDocument/2006/relationships/hyperlink" Target="https://lh5.googleusercontent.com/d/1SrdeutBED09VkpZ0xWSlVVK17ZF19ulV" TargetMode="External"/><Relationship Id="rId1452" Type="http://schemas.openxmlformats.org/officeDocument/2006/relationships/hyperlink" Target="https://drive.google.com/file/d/1XyJ8ls6IiwMR9WAUiUyaYYoFmmuG-gsX/view?usp=drivesdk" TargetMode="External"/><Relationship Id="rId1453" Type="http://schemas.openxmlformats.org/officeDocument/2006/relationships/hyperlink" Target="https://lh5.googleusercontent.com/d/1J_RCb5H111F5gitK85Gcip7Xpqt8PeZq" TargetMode="External"/><Relationship Id="rId1454" Type="http://schemas.openxmlformats.org/officeDocument/2006/relationships/hyperlink" Target="https://drive.google.com/file/d/1103aqtwrIG62-PggCs925LAzQMIMumMF/view?usp=drivesdk" TargetMode="External"/><Relationship Id="rId1444" Type="http://schemas.openxmlformats.org/officeDocument/2006/relationships/hyperlink" Target="https://drive.google.com/file/d/1OjUiVDN4lmfosKTKgFeaU9Sga2G-PHN_/view?usp=drivesdk" TargetMode="External"/><Relationship Id="rId1445" Type="http://schemas.openxmlformats.org/officeDocument/2006/relationships/hyperlink" Target="https://lh5.googleusercontent.com/d/163GSAsGzvZd2G_nPTOzgNstMpnRU_YES" TargetMode="External"/><Relationship Id="rId1446" Type="http://schemas.openxmlformats.org/officeDocument/2006/relationships/hyperlink" Target="https://drive.google.com/file/d/1C58ZpZTl-ztiAmlJR6Veh7mSksYtJsMg/view?usp=drivesdk" TargetMode="External"/><Relationship Id="rId1447" Type="http://schemas.openxmlformats.org/officeDocument/2006/relationships/hyperlink" Target="https://lh5.googleusercontent.com/d/1Ie9fQ6GIfS_KkgaByf_hh5JYfPvSHhpr" TargetMode="External"/><Relationship Id="rId1448" Type="http://schemas.openxmlformats.org/officeDocument/2006/relationships/hyperlink" Target="https://drive.google.com/file/d/1q2avw5TEjA0Ug5XvU3EO1xEIRpiBIDcU/view?usp=drivesdk" TargetMode="External"/><Relationship Id="rId1449" Type="http://schemas.openxmlformats.org/officeDocument/2006/relationships/hyperlink" Target="https://lh5.googleusercontent.com/d/14dqIJpsknxJ_IujGwJidI3mpMmPh_Pt-" TargetMode="External"/><Relationship Id="rId619" Type="http://schemas.openxmlformats.org/officeDocument/2006/relationships/hyperlink" Target="https://lh5.googleusercontent.com/d/1YmAUDyu_kiY3SHl1iZ8cmoiC6eBzv9Jm" TargetMode="External"/><Relationship Id="rId618" Type="http://schemas.openxmlformats.org/officeDocument/2006/relationships/hyperlink" Target="https://drive.google.com/file/d/1diWJLr2ZgmqBCLB8gJQIAe5Vv7sUl_2D/view?usp=drivesdk" TargetMode="External"/><Relationship Id="rId613" Type="http://schemas.openxmlformats.org/officeDocument/2006/relationships/hyperlink" Target="https://drive.google.com/file/d/15IcUrN6JAepZYb7oHhfw4IpOVuR656ue/view?usp=drivesdk" TargetMode="External"/><Relationship Id="rId612" Type="http://schemas.openxmlformats.org/officeDocument/2006/relationships/hyperlink" Target="https://lh5.googleusercontent.com/d/1ygajz8b5eU5gVcGEPr8gXIsmBU0oIgMf" TargetMode="External"/><Relationship Id="rId611" Type="http://schemas.openxmlformats.org/officeDocument/2006/relationships/hyperlink" Target="https://drive.google.com/file/d/1yB6OADO3bhvBh4jtYfv9pLEZHtYu1OHn/view?usp=drivesdk" TargetMode="External"/><Relationship Id="rId610" Type="http://schemas.openxmlformats.org/officeDocument/2006/relationships/hyperlink" Target="https://lh5.googleusercontent.com/d/1lRasfwUMkE3l_pjcMCbz7Vkt59T3xs55" TargetMode="External"/><Relationship Id="rId617" Type="http://schemas.openxmlformats.org/officeDocument/2006/relationships/hyperlink" Target="https://lh5.googleusercontent.com/d/1WrN8xNdVcqrdZATIK3V3xYRJIWPU1rLL" TargetMode="External"/><Relationship Id="rId616" Type="http://schemas.openxmlformats.org/officeDocument/2006/relationships/hyperlink" Target="https://lh5.googleusercontent.com/d/1BF5qfpmzExDKNVeAfNmIGrdIxL71zYWc" TargetMode="External"/><Relationship Id="rId615" Type="http://schemas.openxmlformats.org/officeDocument/2006/relationships/hyperlink" Target="https://drive.google.com/file/d/16itpzjM9UssELcWIWWQ2KaY_9evm3OLh/view?usp=drivesdk" TargetMode="External"/><Relationship Id="rId614" Type="http://schemas.openxmlformats.org/officeDocument/2006/relationships/hyperlink" Target="https://lh5.googleusercontent.com/d/1Bv7xHWlWN4xKx_Zf1o_EZOPamIgg6gNJ" TargetMode="External"/><Relationship Id="rId1440" Type="http://schemas.openxmlformats.org/officeDocument/2006/relationships/hyperlink" Target="https://drive.google.com/file/d/1M7t4LguButBw-datVsnT1SUpro3uGy9k/view?usp=drivesdk" TargetMode="External"/><Relationship Id="rId1441" Type="http://schemas.openxmlformats.org/officeDocument/2006/relationships/hyperlink" Target="https://lh5.googleusercontent.com/d/1FqBxz34BqXriLyYXqyqoGfxEG16_jdCT" TargetMode="External"/><Relationship Id="rId1442" Type="http://schemas.openxmlformats.org/officeDocument/2006/relationships/hyperlink" Target="https://drive.google.com/file/d/17ddOQkPG_U5_RSkyGzvqruqDgqmtgYfC/view?usp=drivesdk" TargetMode="External"/><Relationship Id="rId1443" Type="http://schemas.openxmlformats.org/officeDocument/2006/relationships/hyperlink" Target="https://lh5.googleusercontent.com/d/1ToEe8VaCAr36TBWj4jNhYQCqQD-8xwci" TargetMode="External"/><Relationship Id="rId1477" Type="http://schemas.openxmlformats.org/officeDocument/2006/relationships/hyperlink" Target="https://lh5.googleusercontent.com/d/13wcd4EBMvU2r3DqG0hscQlG7dXOqUBgA" TargetMode="External"/><Relationship Id="rId1478" Type="http://schemas.openxmlformats.org/officeDocument/2006/relationships/hyperlink" Target="https://drive.google.com/file/d/1aU-juckRzta7TtGeYiZO0iZHk0Zc0bnA/view?usp=drivesdk" TargetMode="External"/><Relationship Id="rId1479" Type="http://schemas.openxmlformats.org/officeDocument/2006/relationships/hyperlink" Target="https://lh5.googleusercontent.com/d/1gYaPYG6gD8QUvL5z_dr6B66V1IT4xZUm" TargetMode="External"/><Relationship Id="rId646" Type="http://schemas.openxmlformats.org/officeDocument/2006/relationships/hyperlink" Target="https://drive.google.com/file/d/1w1NPhuTWByJZkJc0zlAq6yCG6BPoDIo0/view?usp=drivesdk" TargetMode="External"/><Relationship Id="rId645" Type="http://schemas.openxmlformats.org/officeDocument/2006/relationships/hyperlink" Target="https://lh5.googleusercontent.com/d/1psQeTDbiUx0tD5Y8zXvoMTfC6S_dmJbq" TargetMode="External"/><Relationship Id="rId644" Type="http://schemas.openxmlformats.org/officeDocument/2006/relationships/hyperlink" Target="https://drive.google.com/file/d/1iDSidqP3l7uJsPXFIBm5K22lsRXjEa44/view?usp=drivesdk" TargetMode="External"/><Relationship Id="rId643" Type="http://schemas.openxmlformats.org/officeDocument/2006/relationships/hyperlink" Target="https://lh5.googleusercontent.com/d/1lk2Vd2GN67ODAgoXpO_jtWLz_nvrpTfS" TargetMode="External"/><Relationship Id="rId649" Type="http://schemas.openxmlformats.org/officeDocument/2006/relationships/hyperlink" Target="https://lh5.googleusercontent.com/d/1Llt5lEpKDJRCwtRF_93AIw-0WZ0Kd5bt" TargetMode="External"/><Relationship Id="rId648" Type="http://schemas.openxmlformats.org/officeDocument/2006/relationships/hyperlink" Target="https://drive.google.com/file/d/1vJlsjMW2vBI0HGqB_W5I1ruCNj17Wej3/view?usp=drivesdk" TargetMode="External"/><Relationship Id="rId647" Type="http://schemas.openxmlformats.org/officeDocument/2006/relationships/hyperlink" Target="https://lh5.googleusercontent.com/d/1OwjPYS18Vw3KGlPNRZMaHsr9hlrL0wIt" TargetMode="External"/><Relationship Id="rId1470" Type="http://schemas.openxmlformats.org/officeDocument/2006/relationships/hyperlink" Target="https://drive.google.com/file/d/1y_oryO6jM5RYFhvbNUlCcWb_Z4cMtSSh/view?usp=drivesdk" TargetMode="External"/><Relationship Id="rId1471" Type="http://schemas.openxmlformats.org/officeDocument/2006/relationships/hyperlink" Target="https://lh5.googleusercontent.com/d/1lgjkqKOsTBqZ4cNbJ2S6vbBJkRHzgpEz" TargetMode="External"/><Relationship Id="rId1472" Type="http://schemas.openxmlformats.org/officeDocument/2006/relationships/hyperlink" Target="https://drive.google.com/file/d/1qQQ5Yt7SBzNHApPWzizAUbLN7OhgxSwK/view?usp=drivesdk" TargetMode="External"/><Relationship Id="rId642" Type="http://schemas.openxmlformats.org/officeDocument/2006/relationships/hyperlink" Target="https://drive.google.com/file/d/1De7L46ND1L8R5tevaYWN2ANtIEVEtZ7I/view?usp=drivesdk" TargetMode="External"/><Relationship Id="rId1473" Type="http://schemas.openxmlformats.org/officeDocument/2006/relationships/hyperlink" Target="https://lh5.googleusercontent.com/d/1X-q7BaZeHWASUDF2j6l9VlgjdxyPF8Zq" TargetMode="External"/><Relationship Id="rId641" Type="http://schemas.openxmlformats.org/officeDocument/2006/relationships/hyperlink" Target="https://lh5.googleusercontent.com/d/1Ac9OXi2a2amY81UouYKPFy7SEwVfzbvU" TargetMode="External"/><Relationship Id="rId1474" Type="http://schemas.openxmlformats.org/officeDocument/2006/relationships/hyperlink" Target="https://drive.google.com/file/d/1jhrHd8pbEDS_bdvIeWm0nzggI_klw8E3/view?usp=drivesdk" TargetMode="External"/><Relationship Id="rId640" Type="http://schemas.openxmlformats.org/officeDocument/2006/relationships/hyperlink" Target="https://drive.google.com/file/d/1RTmwBh9r2mawhBKlJ1TPvXgQDRTPAwv4/view?usp=drivesdk" TargetMode="External"/><Relationship Id="rId1475" Type="http://schemas.openxmlformats.org/officeDocument/2006/relationships/hyperlink" Target="https://lh5.googleusercontent.com/d/12XByPXPlKJIONuf-Xb07xNild9Dd2U6H" TargetMode="External"/><Relationship Id="rId1476" Type="http://schemas.openxmlformats.org/officeDocument/2006/relationships/hyperlink" Target="https://drive.google.com/file/d/1hmE2cCwt8Dd2EgeKxGpjxSk15b7uf8TS/view?usp=drivesdk" TargetMode="External"/><Relationship Id="rId1466" Type="http://schemas.openxmlformats.org/officeDocument/2006/relationships/hyperlink" Target="https://drive.google.com/file/d/1TsWKv4RmwnOIhIO-7c74A7aX8YgnWumQ/view?usp=drivesdk" TargetMode="External"/><Relationship Id="rId1467" Type="http://schemas.openxmlformats.org/officeDocument/2006/relationships/hyperlink" Target="https://lh5.googleusercontent.com/d/1eAVRl84mQ96z8qWuTwndBGQEVvGplvnX" TargetMode="External"/><Relationship Id="rId1468" Type="http://schemas.openxmlformats.org/officeDocument/2006/relationships/hyperlink" Target="https://drive.google.com/file/d/1SSW7kq3PF9gK_TbSaT1byK4oCAL4rKyR/view?usp=drivesdk" TargetMode="External"/><Relationship Id="rId1469" Type="http://schemas.openxmlformats.org/officeDocument/2006/relationships/hyperlink" Target="https://lh5.googleusercontent.com/d/1BC7pfQZVKgRyf_p6igIsVriFtID6QUDB" TargetMode="External"/><Relationship Id="rId635" Type="http://schemas.openxmlformats.org/officeDocument/2006/relationships/hyperlink" Target="https://lh5.googleusercontent.com/d/13NaJCYcay3hptDpOTJ_-1fmZBb40SNuW" TargetMode="External"/><Relationship Id="rId634" Type="http://schemas.openxmlformats.org/officeDocument/2006/relationships/hyperlink" Target="https://drive.google.com/file/d/1Jh3S8OD7b2bwT7JujeJrTuI1z41yu7pG/view?usp=drivesdk" TargetMode="External"/><Relationship Id="rId633" Type="http://schemas.openxmlformats.org/officeDocument/2006/relationships/hyperlink" Target="https://lh5.googleusercontent.com/d/1--y_0WikxCLbQwPPp0kNg8gSYsUveoLj" TargetMode="External"/><Relationship Id="rId632" Type="http://schemas.openxmlformats.org/officeDocument/2006/relationships/hyperlink" Target="https://drive.google.com/file/d/1vyplKbyS9S30zcdE8fbUWdQTZWPesK8w/view?usp=drivesdk" TargetMode="External"/><Relationship Id="rId639" Type="http://schemas.openxmlformats.org/officeDocument/2006/relationships/hyperlink" Target="https://lh5.googleusercontent.com/d/1p7lGu7tQJ6pMYyFxn9_d56ON26j1KuJm" TargetMode="External"/><Relationship Id="rId638" Type="http://schemas.openxmlformats.org/officeDocument/2006/relationships/hyperlink" Target="https://drive.google.com/file/d/1NApDr6yBIwZWoZgpy_1wAe9bLGcm_wGZ/view?usp=drivesdk" TargetMode="External"/><Relationship Id="rId637" Type="http://schemas.openxmlformats.org/officeDocument/2006/relationships/hyperlink" Target="https://lh5.googleusercontent.com/d/1y110JZCvKYkBbhYpf_474ZUjHAb0IWPR" TargetMode="External"/><Relationship Id="rId636" Type="http://schemas.openxmlformats.org/officeDocument/2006/relationships/hyperlink" Target="https://drive.google.com/file/d/10MqZYdGoU6Umuc0lWtqmdW2G_OEjkyqF/view?usp=drivesdk" TargetMode="External"/><Relationship Id="rId1460" Type="http://schemas.openxmlformats.org/officeDocument/2006/relationships/hyperlink" Target="https://drive.google.com/file/d/1ijDKzTujaVG2WHlAS6oeHgl-3BGlxhSm/view?usp=drivesdk" TargetMode="External"/><Relationship Id="rId1461" Type="http://schemas.openxmlformats.org/officeDocument/2006/relationships/hyperlink" Target="https://lh5.googleusercontent.com/d/13O8N3pWYxbm40KrzHqdja713vv4c6Se1" TargetMode="External"/><Relationship Id="rId631" Type="http://schemas.openxmlformats.org/officeDocument/2006/relationships/hyperlink" Target="https://lh5.googleusercontent.com/d/1K-IqZNSjhofYwa78g7noiYr0MTvqajyl" TargetMode="External"/><Relationship Id="rId1462" Type="http://schemas.openxmlformats.org/officeDocument/2006/relationships/hyperlink" Target="https://drive.google.com/file/d/1d0rsDZzb0g1yNX-tdaz5av4pmRRCnHpM/view?usp=drivesdk" TargetMode="External"/><Relationship Id="rId630" Type="http://schemas.openxmlformats.org/officeDocument/2006/relationships/hyperlink" Target="https://drive.google.com/file/d/1FBoEbUfi91seGLCCj8QHJfpIS-FVHjX3/view?usp=drivesdk" TargetMode="External"/><Relationship Id="rId1463" Type="http://schemas.openxmlformats.org/officeDocument/2006/relationships/hyperlink" Target="https://lh5.googleusercontent.com/d/1nYFzauoAgOI3e25NlvPRG6BUdbCTpZz7" TargetMode="External"/><Relationship Id="rId1464" Type="http://schemas.openxmlformats.org/officeDocument/2006/relationships/hyperlink" Target="https://drive.google.com/file/d/1-c9IEjngNVlelhP9-yTbSh_dY9alfOlO/view?usp=drivesdk" TargetMode="External"/><Relationship Id="rId1465" Type="http://schemas.openxmlformats.org/officeDocument/2006/relationships/hyperlink" Target="https://lh5.googleusercontent.com/d/1_ZayB0tPYTf0gJDUNew-CihwG3MLPARn" TargetMode="External"/><Relationship Id="rId1411" Type="http://schemas.openxmlformats.org/officeDocument/2006/relationships/hyperlink" Target="https://lh5.googleusercontent.com/d/1QwG4CAbFG8LPhgH_o573CuNksq2P5Xsx" TargetMode="External"/><Relationship Id="rId1412" Type="http://schemas.openxmlformats.org/officeDocument/2006/relationships/hyperlink" Target="https://drive.google.com/file/d/12no7TEhBI6ORmcG5s4tr-29gxnuoN8_L/view?usp=drivesdk" TargetMode="External"/><Relationship Id="rId1413" Type="http://schemas.openxmlformats.org/officeDocument/2006/relationships/hyperlink" Target="https://lh5.googleusercontent.com/d/1Zg1uVqqUSJrZi2nSZR-4KVbOlsiJhXai" TargetMode="External"/><Relationship Id="rId1414" Type="http://schemas.openxmlformats.org/officeDocument/2006/relationships/hyperlink" Target="https://drive.google.com/file/d/1DdXP2I9okqXXUw0sx6RL24zj2Q1fJKaA/view?usp=drivesdk" TargetMode="External"/><Relationship Id="rId1415" Type="http://schemas.openxmlformats.org/officeDocument/2006/relationships/hyperlink" Target="https://lh5.googleusercontent.com/d/1dLavsPf55L-tT_MWuq577oRv8CeN2ID-" TargetMode="External"/><Relationship Id="rId1416" Type="http://schemas.openxmlformats.org/officeDocument/2006/relationships/hyperlink" Target="https://drive.google.com/file/d/17hcY6Wqai3JB8l8nXP2AdEZoRDuBcuS8/view?usp=drivesdk" TargetMode="External"/><Relationship Id="rId1417" Type="http://schemas.openxmlformats.org/officeDocument/2006/relationships/hyperlink" Target="https://lh5.googleusercontent.com/d/1N3g-6W_iETeY4cXY4vF86kTxVaJ0381w" TargetMode="External"/><Relationship Id="rId1418" Type="http://schemas.openxmlformats.org/officeDocument/2006/relationships/hyperlink" Target="https://drive.google.com/file/d/1Pi3cHMRhWH2I8sz8XX8AXsiLz0X-YPtS/view?usp=drivesdk" TargetMode="External"/><Relationship Id="rId1419" Type="http://schemas.openxmlformats.org/officeDocument/2006/relationships/hyperlink" Target="https://lh5.googleusercontent.com/d/1iOg3c24XU1HIlMcHtOG-kGvYvEyMkkf4" TargetMode="External"/><Relationship Id="rId1410" Type="http://schemas.openxmlformats.org/officeDocument/2006/relationships/hyperlink" Target="https://drive.google.com/file/d/1esAs9DXAUd5XQ9zYVSks95u8GFWbB8yU/view?usp=drivesdk" TargetMode="External"/><Relationship Id="rId1400" Type="http://schemas.openxmlformats.org/officeDocument/2006/relationships/hyperlink" Target="https://drive.google.com/file/d/1O7iyVu00Vi4oXZ8liQD6RO-KSII7xu_n/view?usp=drivesdk" TargetMode="External"/><Relationship Id="rId1401" Type="http://schemas.openxmlformats.org/officeDocument/2006/relationships/hyperlink" Target="https://lh5.googleusercontent.com/d/1-25fzREyBQxg7iZP3bVOu1JnH81GnZpZ" TargetMode="External"/><Relationship Id="rId1402" Type="http://schemas.openxmlformats.org/officeDocument/2006/relationships/hyperlink" Target="https://drive.google.com/file/d/1w_5J_ahXt1ubMSPOznl4fERinYXikB-8/view?usp=drivesdk" TargetMode="External"/><Relationship Id="rId1403" Type="http://schemas.openxmlformats.org/officeDocument/2006/relationships/hyperlink" Target="https://lh5.googleusercontent.com/d/1LteeCMtTa3V2LQtQxczBfI5P45bleYlI" TargetMode="External"/><Relationship Id="rId1404" Type="http://schemas.openxmlformats.org/officeDocument/2006/relationships/hyperlink" Target="https://drive.google.com/file/d/1arG2R3jgg7CAD3YX_qkbnnnICrFXTd3I/view?usp=drivesdk" TargetMode="External"/><Relationship Id="rId1405" Type="http://schemas.openxmlformats.org/officeDocument/2006/relationships/hyperlink" Target="https://lh5.googleusercontent.com/d/1S32Z83WYu16Ag6dTqMFOTuIyi_uyfk-6" TargetMode="External"/><Relationship Id="rId1406" Type="http://schemas.openxmlformats.org/officeDocument/2006/relationships/hyperlink" Target="https://drive.google.com/file/d/1MPHvSRgiunIXJKxdNCGjCgS9Be8g8miJ/view?usp=drivesdk" TargetMode="External"/><Relationship Id="rId1407" Type="http://schemas.openxmlformats.org/officeDocument/2006/relationships/hyperlink" Target="https://lh5.googleusercontent.com/d/1sHNBITPoAJYWZD0BCerssRdSp5PbRKUu" TargetMode="External"/><Relationship Id="rId1408" Type="http://schemas.openxmlformats.org/officeDocument/2006/relationships/hyperlink" Target="https://drive.google.com/file/d/1KwuePrYOO3joAvw0iKGtFrk4mtC0N8_s/view?usp=drivesdk" TargetMode="External"/><Relationship Id="rId1409" Type="http://schemas.openxmlformats.org/officeDocument/2006/relationships/hyperlink" Target="https://lh5.googleusercontent.com/d/1Zeh80bxji-dWnfV0m837kTtnrJKAY94g" TargetMode="External"/><Relationship Id="rId1433" Type="http://schemas.openxmlformats.org/officeDocument/2006/relationships/hyperlink" Target="https://lh5.googleusercontent.com/d/1CDrpuQU8n-Ol2A9GdmAfeRNSRiFylyKJ" TargetMode="External"/><Relationship Id="rId1434" Type="http://schemas.openxmlformats.org/officeDocument/2006/relationships/hyperlink" Target="https://drive.google.com/file/d/1F6HvDxPsp4WG4d36g3DYIhFWHHR2Zl-B/view?usp=drivesdk" TargetMode="External"/><Relationship Id="rId1435" Type="http://schemas.openxmlformats.org/officeDocument/2006/relationships/hyperlink" Target="https://lh5.googleusercontent.com/d/1equeSsK_2hdq-vsXiUuDAUZM8rz1kudy" TargetMode="External"/><Relationship Id="rId1436" Type="http://schemas.openxmlformats.org/officeDocument/2006/relationships/hyperlink" Target="https://drive.google.com/file/d/13eTjJi5elwxV1PKiEXBqpewbZcUfz9gu/view?usp=drivesdk" TargetMode="External"/><Relationship Id="rId1437" Type="http://schemas.openxmlformats.org/officeDocument/2006/relationships/hyperlink" Target="https://lh5.googleusercontent.com/d/1hWVE5PKSy7KKiek80vBe4vjzwK70KJmJ" TargetMode="External"/><Relationship Id="rId1438" Type="http://schemas.openxmlformats.org/officeDocument/2006/relationships/hyperlink" Target="https://drive.google.com/file/d/1xx2KjRBdGMrzqJLAj-zpkZRXHoMgbDrO/view?usp=drivesdk" TargetMode="External"/><Relationship Id="rId1439" Type="http://schemas.openxmlformats.org/officeDocument/2006/relationships/hyperlink" Target="https://lh5.googleusercontent.com/d/1u859nwQYHsJQVZHwJuKEnZKfoYpBRAog" TargetMode="External"/><Relationship Id="rId609" Type="http://schemas.openxmlformats.org/officeDocument/2006/relationships/hyperlink" Target="https://drive.google.com/file/d/1dcpTf6jxEq5fZpeu1DOne37LwfbeCIZ0/view?usp=drivesdk" TargetMode="External"/><Relationship Id="rId608" Type="http://schemas.openxmlformats.org/officeDocument/2006/relationships/hyperlink" Target="https://lh5.googleusercontent.com/d/1_x0Ffc3Jo0_j67x2T3XZejAgkPdkfSmK" TargetMode="External"/><Relationship Id="rId607" Type="http://schemas.openxmlformats.org/officeDocument/2006/relationships/hyperlink" Target="https://drive.google.com/file/d/11cGZn-hC467Dr7wB5JvmhYdB4tAEe6b_/view?usp=drivesdk" TargetMode="External"/><Relationship Id="rId602" Type="http://schemas.openxmlformats.org/officeDocument/2006/relationships/hyperlink" Target="https://lh5.googleusercontent.com/d/17zl-gG1UwiqWcbKOT9hj7mdSf3QUy_gl" TargetMode="External"/><Relationship Id="rId601" Type="http://schemas.openxmlformats.org/officeDocument/2006/relationships/hyperlink" Target="https://drive.google.com/file/d/1Z6DifrnPkyckl2CqnMlVvsXjpOBxGPRM/view?usp=drivesdk" TargetMode="External"/><Relationship Id="rId600" Type="http://schemas.openxmlformats.org/officeDocument/2006/relationships/hyperlink" Target="https://lh5.googleusercontent.com/d/1lCvVNtvoQlxtpFoytLqBsXCkn2pSHGle" TargetMode="External"/><Relationship Id="rId606" Type="http://schemas.openxmlformats.org/officeDocument/2006/relationships/hyperlink" Target="https://lh5.googleusercontent.com/d/1gsXcY6dYGh9esVPECtp_KeUwZGduGsKJ" TargetMode="External"/><Relationship Id="rId605" Type="http://schemas.openxmlformats.org/officeDocument/2006/relationships/hyperlink" Target="https://drive.google.com/file/d/1DJ6pb-QzyalMVU1kt0PxzylSvhtXcd-X/view?usp=drivesdk" TargetMode="External"/><Relationship Id="rId604" Type="http://schemas.openxmlformats.org/officeDocument/2006/relationships/hyperlink" Target="https://lh5.googleusercontent.com/d/1CSp5CjvTwU6lAzn8RB4jb0nyKm7_nPSp" TargetMode="External"/><Relationship Id="rId603" Type="http://schemas.openxmlformats.org/officeDocument/2006/relationships/hyperlink" Target="https://drive.google.com/file/d/1D7HObYAU6_oicz4FhrHVusHhUDypaCfi/view?usp=drivesdk" TargetMode="External"/><Relationship Id="rId1430" Type="http://schemas.openxmlformats.org/officeDocument/2006/relationships/hyperlink" Target="https://drive.google.com/file/d/16hP9jo29g3jP_jFMUmxAtYqcmX8BTU78/view?usp=drivesdk" TargetMode="External"/><Relationship Id="rId1431" Type="http://schemas.openxmlformats.org/officeDocument/2006/relationships/hyperlink" Target="https://lh5.googleusercontent.com/d/1cQSa2i4fv18tdRTLscbfcAHWHiKH0k6W" TargetMode="External"/><Relationship Id="rId1432" Type="http://schemas.openxmlformats.org/officeDocument/2006/relationships/hyperlink" Target="https://drive.google.com/file/d/1IvC61JG-9kGil608hvDzqIg74D0VHPkx/view?usp=drivesdk" TargetMode="External"/><Relationship Id="rId1422" Type="http://schemas.openxmlformats.org/officeDocument/2006/relationships/hyperlink" Target="https://drive.google.com/file/d/1l1pDgUkClePoxdXXz3ruQrMwnRLh_X7_/view?usp=drivesdk" TargetMode="External"/><Relationship Id="rId1423" Type="http://schemas.openxmlformats.org/officeDocument/2006/relationships/hyperlink" Target="https://lh5.googleusercontent.com/d/1rGHppryPWDY_DlT9aUpRN72b_RDUMZmP" TargetMode="External"/><Relationship Id="rId1424" Type="http://schemas.openxmlformats.org/officeDocument/2006/relationships/hyperlink" Target="https://drive.google.com/file/d/1Zk9bypGEQg6oE4TWqpvQ0r4ezGEnEN9q/view?usp=drivesdk" TargetMode="External"/><Relationship Id="rId1425" Type="http://schemas.openxmlformats.org/officeDocument/2006/relationships/hyperlink" Target="https://lh5.googleusercontent.com/d/1HxPwdaPyBAkKnNtT6RCIXBdxnnBmLkS5" TargetMode="External"/><Relationship Id="rId1426" Type="http://schemas.openxmlformats.org/officeDocument/2006/relationships/hyperlink" Target="https://drive.google.com/file/d/1R-jlGTaH-bq8b2PHHZDoEEJdk4apssCG/view?usp=drivesdk" TargetMode="External"/><Relationship Id="rId1427" Type="http://schemas.openxmlformats.org/officeDocument/2006/relationships/hyperlink" Target="https://lh5.googleusercontent.com/d/1G_NlbKIEYJO0CG9QZQ4oFIni8SB0ZYFi" TargetMode="External"/><Relationship Id="rId1428" Type="http://schemas.openxmlformats.org/officeDocument/2006/relationships/hyperlink" Target="https://drive.google.com/file/d/1gAMiz0nyJ-hDcxw1jtTkekDSWs7-jhAF/view?usp=drivesdk" TargetMode="External"/><Relationship Id="rId1429" Type="http://schemas.openxmlformats.org/officeDocument/2006/relationships/hyperlink" Target="https://lh5.googleusercontent.com/d/1nfNDHpcHbn66pXdry9PgPKEkWE_AwSqJ" TargetMode="External"/><Relationship Id="rId1420" Type="http://schemas.openxmlformats.org/officeDocument/2006/relationships/hyperlink" Target="https://drive.google.com/file/d/11xMPVlv-OLzr4yoJ5Ygzdomq8LVoutci/view?usp=drivesdk" TargetMode="External"/><Relationship Id="rId1421" Type="http://schemas.openxmlformats.org/officeDocument/2006/relationships/hyperlink" Target="https://lh5.googleusercontent.com/d/1cDaPymsjplyfBXnC22umUCpASLL4LBW8" TargetMode="External"/><Relationship Id="rId699" Type="http://schemas.openxmlformats.org/officeDocument/2006/relationships/hyperlink" Target="https://lh5.googleusercontent.com/d/1YnbLkL4ONbvUJebRb9Qoadzncx-wfGIA" TargetMode="External"/><Relationship Id="rId698" Type="http://schemas.openxmlformats.org/officeDocument/2006/relationships/hyperlink" Target="https://drive.google.com/file/d/1za7_Y2m-0tqIJkJ_NfiipkJrhpHee4_u/view?usp=drivesdk" TargetMode="External"/><Relationship Id="rId693" Type="http://schemas.openxmlformats.org/officeDocument/2006/relationships/hyperlink" Target="https://lh5.googleusercontent.com/d/1_6VU0lj-BJeyw_F-jUDzd9Hxv57uWfDN" TargetMode="External"/><Relationship Id="rId692" Type="http://schemas.openxmlformats.org/officeDocument/2006/relationships/hyperlink" Target="https://drive.google.com/file/d/1bk-RqK6-hdT1ms59_5T5YpDl9iTy_F0P/view?usp=drivesdk" TargetMode="External"/><Relationship Id="rId691" Type="http://schemas.openxmlformats.org/officeDocument/2006/relationships/hyperlink" Target="https://lh5.googleusercontent.com/d/1pShWwp0udgHR0AXRGtvp7zAXnCdwmTxp" TargetMode="External"/><Relationship Id="rId690" Type="http://schemas.openxmlformats.org/officeDocument/2006/relationships/hyperlink" Target="https://drive.google.com/file/d/1j-klncCgGm3tezDKmk9S2T3N0TelHv08/view?usp=drivesdk" TargetMode="External"/><Relationship Id="rId697" Type="http://schemas.openxmlformats.org/officeDocument/2006/relationships/hyperlink" Target="https://lh5.googleusercontent.com/d/1rHH0Utinysl6uERQvMt6e6gFsRPcJD-U" TargetMode="External"/><Relationship Id="rId696" Type="http://schemas.openxmlformats.org/officeDocument/2006/relationships/hyperlink" Target="https://drive.google.com/file/d/1lw1Wx8UpTB2_VTSB9VAu4dXC1_e31Qoq/view?usp=drivesdk" TargetMode="External"/><Relationship Id="rId695" Type="http://schemas.openxmlformats.org/officeDocument/2006/relationships/hyperlink" Target="https://lh5.googleusercontent.com/d/1Z-0bGyYAkEv4WnMYZ5etxggXVPMpXuR7" TargetMode="External"/><Relationship Id="rId694" Type="http://schemas.openxmlformats.org/officeDocument/2006/relationships/hyperlink" Target="https://drive.google.com/file/d/1V-4QKpk_E4Fh2ypTzsgMZ5sEpeJOGhNt/view?usp=drivesdk" TargetMode="External"/><Relationship Id="rId1499" Type="http://schemas.openxmlformats.org/officeDocument/2006/relationships/hyperlink" Target="https://lh5.googleusercontent.com/d/1y_WN-QPCn_J5LLSwy8-EErnTTncPQ7qK" TargetMode="External"/><Relationship Id="rId668" Type="http://schemas.openxmlformats.org/officeDocument/2006/relationships/hyperlink" Target="https://drive.google.com/file/d/1gYifugxRm1JMHFk8MNrFpJclNGC75YZu/view?usp=drivesdk" TargetMode="External"/><Relationship Id="rId667" Type="http://schemas.openxmlformats.org/officeDocument/2006/relationships/hyperlink" Target="https://lh5.googleusercontent.com/d/1O1522BACAjNgkFikDBpCdVgMalWi1MyP" TargetMode="External"/><Relationship Id="rId666" Type="http://schemas.openxmlformats.org/officeDocument/2006/relationships/hyperlink" Target="https://drive.google.com/file/d/1ASj9shzMNLvnToAN6pev_hNF90DxiK1p/view?usp=drivesdk" TargetMode="External"/><Relationship Id="rId665" Type="http://schemas.openxmlformats.org/officeDocument/2006/relationships/hyperlink" Target="https://lh5.googleusercontent.com/d/1SfLzdb6PRLhVbjoRii9JY9jvpuQNAbdf" TargetMode="External"/><Relationship Id="rId669" Type="http://schemas.openxmlformats.org/officeDocument/2006/relationships/hyperlink" Target="https://lh5.googleusercontent.com/d/1dO5P_0kIewPDW9-li3-IT7PKSSaQMOET" TargetMode="External"/><Relationship Id="rId1490" Type="http://schemas.openxmlformats.org/officeDocument/2006/relationships/hyperlink" Target="https://drive.google.com/file/d/1lWzkxGeU5aEkkDDpf8pgzNulzpx13pM3/view?usp=drivesdk" TargetMode="External"/><Relationship Id="rId660" Type="http://schemas.openxmlformats.org/officeDocument/2006/relationships/hyperlink" Target="https://drive.google.com/file/d/15Jh9TxkqL7GhP9n-24XliItgMjYyQC8C/view?usp=drivesdk" TargetMode="External"/><Relationship Id="rId1491" Type="http://schemas.openxmlformats.org/officeDocument/2006/relationships/hyperlink" Target="https://lh5.googleusercontent.com/d/1Ngj6oHaRUPIgzYAYlFh9XN_Y3twZ2a_d" TargetMode="External"/><Relationship Id="rId1492" Type="http://schemas.openxmlformats.org/officeDocument/2006/relationships/hyperlink" Target="https://drive.google.com/file/d/16TvT0wOSyoG9-zZ1W7i4euzabG0a1IFH/view?usp=drivesdk" TargetMode="External"/><Relationship Id="rId1493" Type="http://schemas.openxmlformats.org/officeDocument/2006/relationships/hyperlink" Target="https://lh5.googleusercontent.com/d/1YGq-6_FVXtMoQGmq7G_FlWuTAEAWr0y5" TargetMode="External"/><Relationship Id="rId1494" Type="http://schemas.openxmlformats.org/officeDocument/2006/relationships/hyperlink" Target="https://drive.google.com/file/d/1OYI5vBZhSJmnzqZlcp2YjzLyx6TBBOCw/view?usp=drivesdk" TargetMode="External"/><Relationship Id="rId664" Type="http://schemas.openxmlformats.org/officeDocument/2006/relationships/hyperlink" Target="https://drive.google.com/file/d/1QvuM3uF5NnnXXgNdOiRUJXjQ-OrabTtL/view?usp=drivesdk" TargetMode="External"/><Relationship Id="rId1495" Type="http://schemas.openxmlformats.org/officeDocument/2006/relationships/hyperlink" Target="https://lh5.googleusercontent.com/d/1Cls_5rogqy_ZAGNcIR6bAiKHl-j9EcYE" TargetMode="External"/><Relationship Id="rId663" Type="http://schemas.openxmlformats.org/officeDocument/2006/relationships/hyperlink" Target="https://lh5.googleusercontent.com/d/1AtBEES4suCWg5ay2E-d-hJzmxXhGCb3-" TargetMode="External"/><Relationship Id="rId1496" Type="http://schemas.openxmlformats.org/officeDocument/2006/relationships/hyperlink" Target="https://drive.google.com/file/d/1hd7UBAHKWQvwmV8vGaZhUWSnyOJ4l_FR/view?usp=drivesdk" TargetMode="External"/><Relationship Id="rId662" Type="http://schemas.openxmlformats.org/officeDocument/2006/relationships/hyperlink" Target="https://drive.google.com/file/d/18xfAmE2JeEwHK3d1Ijh60bVRVUf5cuwD/view?usp=drivesdk" TargetMode="External"/><Relationship Id="rId1497" Type="http://schemas.openxmlformats.org/officeDocument/2006/relationships/hyperlink" Target="https://lh5.googleusercontent.com/d/1STDXwQ4ewwIe1zT3-b972c2-fmwMZGub" TargetMode="External"/><Relationship Id="rId661" Type="http://schemas.openxmlformats.org/officeDocument/2006/relationships/hyperlink" Target="https://lh5.googleusercontent.com/d/1FpQlqbMIEeWX_Sm-IzXJD5ML9he-7TC5" TargetMode="External"/><Relationship Id="rId1498" Type="http://schemas.openxmlformats.org/officeDocument/2006/relationships/hyperlink" Target="https://drive.google.com/file/d/139467fnMr7vgogrzN6lcl8L2Di1Cnxp5/view?usp=drivesdk" TargetMode="External"/><Relationship Id="rId1488" Type="http://schemas.openxmlformats.org/officeDocument/2006/relationships/hyperlink" Target="https://drive.google.com/file/d/1_PmbxnYljaOxnuGtUFp4KMSDh50PNufc/view?usp=drivesdk" TargetMode="External"/><Relationship Id="rId1489" Type="http://schemas.openxmlformats.org/officeDocument/2006/relationships/hyperlink" Target="https://lh5.googleusercontent.com/d/1-ffdJ0msISUOcO1YIVDnyRxZOLs3ySlD" TargetMode="External"/><Relationship Id="rId657" Type="http://schemas.openxmlformats.org/officeDocument/2006/relationships/hyperlink" Target="https://lh5.googleusercontent.com/d/1W_RZM1IMTsOEqjv-73ZDVQURDjYjDv4e" TargetMode="External"/><Relationship Id="rId656" Type="http://schemas.openxmlformats.org/officeDocument/2006/relationships/hyperlink" Target="https://drive.google.com/file/d/13Z57h-e_KfYekm7bJb2l3io1ysOWKjg-/view?usp=drivesdk" TargetMode="External"/><Relationship Id="rId655" Type="http://schemas.openxmlformats.org/officeDocument/2006/relationships/hyperlink" Target="https://lh5.googleusercontent.com/d/11LyxXOL5eiVlGVYSpJbAsEnntdU6jHKA" TargetMode="External"/><Relationship Id="rId654" Type="http://schemas.openxmlformats.org/officeDocument/2006/relationships/hyperlink" Target="https://drive.google.com/file/d/1MgZsqOthpt5NveLwGsswttOQSLpRixbK/view?usp=drivesdk" TargetMode="External"/><Relationship Id="rId659" Type="http://schemas.openxmlformats.org/officeDocument/2006/relationships/hyperlink" Target="https://lh5.googleusercontent.com/d/1rRQYfi0ZEwE6s0R3DMYAazGMep27mBLq" TargetMode="External"/><Relationship Id="rId658" Type="http://schemas.openxmlformats.org/officeDocument/2006/relationships/hyperlink" Target="https://drive.google.com/file/d/1q1yDY_ab_ZD5txbErsoFCGCneaeq9mjW/view?usp=drivesdk" TargetMode="External"/><Relationship Id="rId1480" Type="http://schemas.openxmlformats.org/officeDocument/2006/relationships/hyperlink" Target="https://drive.google.com/file/d/197M8K-QSnPJXX0-3Ok6i7SSS0zpi5_SW/view?usp=drivesdk" TargetMode="External"/><Relationship Id="rId1481" Type="http://schemas.openxmlformats.org/officeDocument/2006/relationships/hyperlink" Target="https://lh5.googleusercontent.com/d/1GDsIjgUfU-MBttkQeRCSM90KVGThQct6" TargetMode="External"/><Relationship Id="rId1482" Type="http://schemas.openxmlformats.org/officeDocument/2006/relationships/hyperlink" Target="https://drive.google.com/file/d/1MtiXL8SzSDOvZ-B9J3qKcSuxf1XD4Xa6/view?usp=drivesdk" TargetMode="External"/><Relationship Id="rId1483" Type="http://schemas.openxmlformats.org/officeDocument/2006/relationships/hyperlink" Target="https://lh5.googleusercontent.com/d/14YCqJmT2-EZVRPwcml9h3-A-umxHPGs7" TargetMode="External"/><Relationship Id="rId653" Type="http://schemas.openxmlformats.org/officeDocument/2006/relationships/hyperlink" Target="https://lh5.googleusercontent.com/d/1s5MmO6_5LBPYCwaWas-LbPm6UmAoeIsO" TargetMode="External"/><Relationship Id="rId1484" Type="http://schemas.openxmlformats.org/officeDocument/2006/relationships/hyperlink" Target="https://drive.google.com/file/d/1v6Fe4jjQ98nreUSDz_Sv8fhf-qPE9Cvj/view?usp=drivesdk" TargetMode="External"/><Relationship Id="rId652" Type="http://schemas.openxmlformats.org/officeDocument/2006/relationships/hyperlink" Target="https://drive.google.com/file/d/1WbO6fDL2U1Z4IT3Zy1MJUvO0pwrOOc5M/view?usp=drivesdk" TargetMode="External"/><Relationship Id="rId1485" Type="http://schemas.openxmlformats.org/officeDocument/2006/relationships/hyperlink" Target="https://lh5.googleusercontent.com/d/1NpNgBNMJHZpW9_uaWTwDat_Q4GgY3Zek" TargetMode="External"/><Relationship Id="rId651" Type="http://schemas.openxmlformats.org/officeDocument/2006/relationships/hyperlink" Target="https://lh5.googleusercontent.com/d/1HpbWaAHMbqUNXQf4CzWwBsgliDuUxvsr" TargetMode="External"/><Relationship Id="rId1486" Type="http://schemas.openxmlformats.org/officeDocument/2006/relationships/hyperlink" Target="https://drive.google.com/file/d/14C3HCqtQ4j-4rt32KJkD-MnM-xylZCEd/view?usp=drivesdk" TargetMode="External"/><Relationship Id="rId650" Type="http://schemas.openxmlformats.org/officeDocument/2006/relationships/hyperlink" Target="https://drive.google.com/file/d/1gg_ue0pVdyirSRXU9pqMYUF9dD8J1JcZ/view?usp=drivesdk" TargetMode="External"/><Relationship Id="rId1487" Type="http://schemas.openxmlformats.org/officeDocument/2006/relationships/hyperlink" Target="https://lh5.googleusercontent.com/d/1D5JzRdlVjlzI1jPs-ZCsgXAM3FFG5HE9" TargetMode="External"/><Relationship Id="rId689" Type="http://schemas.openxmlformats.org/officeDocument/2006/relationships/hyperlink" Target="https://lh5.googleusercontent.com/d/1VSU3AAAngV_LFkjP26k_x_3ESpBFh3-T" TargetMode="External"/><Relationship Id="rId688" Type="http://schemas.openxmlformats.org/officeDocument/2006/relationships/hyperlink" Target="https://drive.google.com/file/d/1V-TVztsm9WDNAhhofFKbCClRqoqaTpFd/view?usp=drivesdk" TargetMode="External"/><Relationship Id="rId687" Type="http://schemas.openxmlformats.org/officeDocument/2006/relationships/hyperlink" Target="https://lh5.googleusercontent.com/d/13ypWfuC0_1TaPjFLyhIXXJTZ-fl-gIr0" TargetMode="External"/><Relationship Id="rId682" Type="http://schemas.openxmlformats.org/officeDocument/2006/relationships/hyperlink" Target="https://drive.google.com/file/d/1TyBn6oKujUrmEZLxvuATER1Co3Fz5J-I/view?usp=drivesdk" TargetMode="External"/><Relationship Id="rId681" Type="http://schemas.openxmlformats.org/officeDocument/2006/relationships/hyperlink" Target="https://lh5.googleusercontent.com/d/12xlwykMiVfYT67yUgnQXWYuyf5MfHnHN" TargetMode="External"/><Relationship Id="rId680" Type="http://schemas.openxmlformats.org/officeDocument/2006/relationships/hyperlink" Target="https://drive.google.com/file/d/1GmbDgj7umWjPB-PxNPj4MC5IvzvJWnfx/view?usp=drivesdk" TargetMode="External"/><Relationship Id="rId686" Type="http://schemas.openxmlformats.org/officeDocument/2006/relationships/hyperlink" Target="https://drive.google.com/file/d/1Grd2Xc6g_AC1t3hmXO8YD-cbeF8yefHp/view?usp=drivesdk" TargetMode="External"/><Relationship Id="rId685" Type="http://schemas.openxmlformats.org/officeDocument/2006/relationships/hyperlink" Target="https://lh5.googleusercontent.com/d/1oxORO01P1Y7L024tw7U--e7Dt7gUYc-E" TargetMode="External"/><Relationship Id="rId684" Type="http://schemas.openxmlformats.org/officeDocument/2006/relationships/hyperlink" Target="https://drive.google.com/file/d/1KZ0xlHc_MnfYySa3oTnu37BIB4UuiJ2P/view?usp=drivesdk" TargetMode="External"/><Relationship Id="rId683" Type="http://schemas.openxmlformats.org/officeDocument/2006/relationships/hyperlink" Target="https://lh5.googleusercontent.com/d/1nxRdi20AjeA49fiPrvOC8OHcXQ3ZN2yz" TargetMode="External"/><Relationship Id="rId679" Type="http://schemas.openxmlformats.org/officeDocument/2006/relationships/hyperlink" Target="https://lh5.googleusercontent.com/d/1WGj0u37rtWUj3PAk200eUg0HN_pZB8IL" TargetMode="External"/><Relationship Id="rId678" Type="http://schemas.openxmlformats.org/officeDocument/2006/relationships/hyperlink" Target="https://drive.google.com/file/d/12NQ9EzKooI9XrUtQLAopzjILN-dvm9qh/view?usp=drivesdk" TargetMode="External"/><Relationship Id="rId677" Type="http://schemas.openxmlformats.org/officeDocument/2006/relationships/hyperlink" Target="https://lh5.googleusercontent.com/d/1dCll_pfyYQzF35Hs_WY9pobowIhQxjYR" TargetMode="External"/><Relationship Id="rId676" Type="http://schemas.openxmlformats.org/officeDocument/2006/relationships/hyperlink" Target="https://drive.google.com/file/d/1j83TvN-XFcMnhVKMMPRHFxI7WdrwRKRb/view?usp=drivesdk" TargetMode="External"/><Relationship Id="rId671" Type="http://schemas.openxmlformats.org/officeDocument/2006/relationships/hyperlink" Target="https://lh5.googleusercontent.com/d/1Pvr_AHrt2aSeeW3RA7GAxhnlCWM1c8Qx" TargetMode="External"/><Relationship Id="rId670" Type="http://schemas.openxmlformats.org/officeDocument/2006/relationships/hyperlink" Target="https://drive.google.com/file/d/1kfNe2puNzvh2e1bO3_5s0RGwSvvyKRAk/view?usp=drivesdk" TargetMode="External"/><Relationship Id="rId675" Type="http://schemas.openxmlformats.org/officeDocument/2006/relationships/hyperlink" Target="https://lh5.googleusercontent.com/d/19-rvCIjoNPx2Pr9wBHJRVow3fI-4qHeK" TargetMode="External"/><Relationship Id="rId674" Type="http://schemas.openxmlformats.org/officeDocument/2006/relationships/hyperlink" Target="https://drive.google.com/file/d/1u7_HNdofd4ZvMGUL4tPMcsTl63ABXE0O/view?usp=drivesdk" TargetMode="External"/><Relationship Id="rId673" Type="http://schemas.openxmlformats.org/officeDocument/2006/relationships/hyperlink" Target="https://lh5.googleusercontent.com/d/1NhR06VWxpEuxQj_r7Y-wsVOM-2EKXYZg" TargetMode="External"/><Relationship Id="rId672" Type="http://schemas.openxmlformats.org/officeDocument/2006/relationships/hyperlink" Target="https://drive.google.com/file/d/1gngIPRoBV7evk0EKJluYg2kP8xEQm4UG/view?usp=drivesdk" TargetMode="External"/><Relationship Id="rId190" Type="http://schemas.openxmlformats.org/officeDocument/2006/relationships/hyperlink" Target="https://drive.google.com/file/d/1fPRhmMH4d83x4fEex26wn9xitkq9PfPk/view?usp=drivesdk" TargetMode="External"/><Relationship Id="rId194" Type="http://schemas.openxmlformats.org/officeDocument/2006/relationships/hyperlink" Target="https://drive.google.com/file/d/1599I7cXyMwl_h9Zsw5P8s_kkBd1szpsN/view?usp=drivesdk" TargetMode="External"/><Relationship Id="rId193" Type="http://schemas.openxmlformats.org/officeDocument/2006/relationships/hyperlink" Target="https://lh5.googleusercontent.com/d/1M7k8Yr8VmwyQinWvzUpmkvwsSfAmhSpN" TargetMode="External"/><Relationship Id="rId192" Type="http://schemas.openxmlformats.org/officeDocument/2006/relationships/hyperlink" Target="https://drive.google.com/file/d/1VuRpSgyJi9jrdRzPwB37sP4swu6ngayu/view?usp=drivesdk" TargetMode="External"/><Relationship Id="rId191" Type="http://schemas.openxmlformats.org/officeDocument/2006/relationships/hyperlink" Target="https://lh5.googleusercontent.com/d/1geQH2WOXBe5a8lzcdbOEP6_jVb7XQCby" TargetMode="External"/><Relationship Id="rId187" Type="http://schemas.openxmlformats.org/officeDocument/2006/relationships/hyperlink" Target="https://lh5.googleusercontent.com/d/1O_h8g2DeNtkZRu904d09NS4AIYKZNFcL" TargetMode="External"/><Relationship Id="rId186" Type="http://schemas.openxmlformats.org/officeDocument/2006/relationships/hyperlink" Target="https://drive.google.com/file/d/15meJyRmipg8mYEXfJMczdR6uYmvX1p5h/view?usp=drivesdk" TargetMode="External"/><Relationship Id="rId185" Type="http://schemas.openxmlformats.org/officeDocument/2006/relationships/hyperlink" Target="https://lh5.googleusercontent.com/d/1B7e2lKEQg_rkZtBmJ5dpodhy0Jy8UFuZ" TargetMode="External"/><Relationship Id="rId184" Type="http://schemas.openxmlformats.org/officeDocument/2006/relationships/hyperlink" Target="https://drive.google.com/file/d/1Qnh1KJsms0vfC1I2DdlzIBZ1E3RxFEBn/view?usp=drivesdk" TargetMode="External"/><Relationship Id="rId189" Type="http://schemas.openxmlformats.org/officeDocument/2006/relationships/hyperlink" Target="https://lh5.googleusercontent.com/d/1-weo10BHEFD4BmAl6nyaDODtegAWeIKF" TargetMode="External"/><Relationship Id="rId188" Type="http://schemas.openxmlformats.org/officeDocument/2006/relationships/hyperlink" Target="https://drive.google.com/file/d/16cxqNHmK5rdfFYTYLMJuR9STqe9cRwj7/view?usp=drivesdk" TargetMode="External"/><Relationship Id="rId183" Type="http://schemas.openxmlformats.org/officeDocument/2006/relationships/hyperlink" Target="https://lh5.googleusercontent.com/d/1tMoW8VVky7qmMxGx13ycy-4z4BJoOkyK" TargetMode="External"/><Relationship Id="rId182" Type="http://schemas.openxmlformats.org/officeDocument/2006/relationships/hyperlink" Target="https://drive.google.com/file/d/1kpUJiCLvXkd9cdb0esIhkjgMtFu0Fsv8/view?usp=drivesdk" TargetMode="External"/><Relationship Id="rId181" Type="http://schemas.openxmlformats.org/officeDocument/2006/relationships/hyperlink" Target="https://lh5.googleusercontent.com/d/1OFBmMMuXVyme0pFkC1LpZQTe_G6j_R1I" TargetMode="External"/><Relationship Id="rId180" Type="http://schemas.openxmlformats.org/officeDocument/2006/relationships/hyperlink" Target="https://drive.google.com/file/d/11NxfGIof_fguEzJIzMuYDewOBfkxTMaV/view?usp=drivesdk" TargetMode="External"/><Relationship Id="rId176" Type="http://schemas.openxmlformats.org/officeDocument/2006/relationships/hyperlink" Target="https://drive.google.com/file/d/1Z4WB_CkSSI0OoAUbRIkFJxkzd9N998Cl/view?usp=drivesdk" TargetMode="External"/><Relationship Id="rId175" Type="http://schemas.openxmlformats.org/officeDocument/2006/relationships/hyperlink" Target="https://lh5.googleusercontent.com/d/1Jev_8ezmKEuAynw-kMjLtc_CcD3c3702" TargetMode="External"/><Relationship Id="rId174" Type="http://schemas.openxmlformats.org/officeDocument/2006/relationships/hyperlink" Target="https://drive.google.com/file/d/10iP926qvHZlg7hhkxjaKnrf0mMQ3ILMO/view?usp=drivesdk" TargetMode="External"/><Relationship Id="rId173" Type="http://schemas.openxmlformats.org/officeDocument/2006/relationships/hyperlink" Target="https://lh5.googleusercontent.com/d/1xJzMEsOc8jVebEEsIgkLNEbFEHN1PXwE" TargetMode="External"/><Relationship Id="rId179" Type="http://schemas.openxmlformats.org/officeDocument/2006/relationships/hyperlink" Target="https://lh5.googleusercontent.com/d/1IJYecPzSdLija5m7F7EJhR7jVmnqEqTD" TargetMode="External"/><Relationship Id="rId178" Type="http://schemas.openxmlformats.org/officeDocument/2006/relationships/hyperlink" Target="https://drive.google.com/file/d/1EphmQpDq5_AFtyIV8qq5cowPRcrrD3mh/view?usp=drivesdk" TargetMode="External"/><Relationship Id="rId177" Type="http://schemas.openxmlformats.org/officeDocument/2006/relationships/hyperlink" Target="https://lh5.googleusercontent.com/d/1ywd9Zpv6Z_LHEth2KBGIvII7m1Xx3oOP" TargetMode="External"/><Relationship Id="rId198" Type="http://schemas.openxmlformats.org/officeDocument/2006/relationships/hyperlink" Target="https://drive.google.com/file/d/1AYZWJdZlDuFi3wKvohKuUENhV5-oRJg3/view?usp=drivesdk" TargetMode="External"/><Relationship Id="rId197" Type="http://schemas.openxmlformats.org/officeDocument/2006/relationships/hyperlink" Target="https://lh5.googleusercontent.com/d/1D9s5L785LiAEswtRLVWnVKOgqY064I9S" TargetMode="External"/><Relationship Id="rId196" Type="http://schemas.openxmlformats.org/officeDocument/2006/relationships/hyperlink" Target="https://drive.google.com/file/d/1W_Ratw_SvQjryyYxOtWIH2m_LypDhXLi/view?usp=drivesdk" TargetMode="External"/><Relationship Id="rId195" Type="http://schemas.openxmlformats.org/officeDocument/2006/relationships/hyperlink" Target="https://lh5.googleusercontent.com/d/1yzOoEn39Taw0rhxyTRNG9n-zrnD1MtWm" TargetMode="External"/><Relationship Id="rId199" Type="http://schemas.openxmlformats.org/officeDocument/2006/relationships/hyperlink" Target="https://lh5.googleusercontent.com/d/1N1ipAs0nrKh1x-PeIc3s9LmsSpPxN9BQ" TargetMode="External"/><Relationship Id="rId150" Type="http://schemas.openxmlformats.org/officeDocument/2006/relationships/hyperlink" Target="https://drive.google.com/file/d/1BR7dzp2bJK2MlI5rSsesKPdCDGlOt3PP/view?usp=drivesdk" TargetMode="External"/><Relationship Id="rId149" Type="http://schemas.openxmlformats.org/officeDocument/2006/relationships/hyperlink" Target="https://lh5.googleusercontent.com/d/1dI6uPn3xEoLCLhUcZLjeuFMom0kn_fTi" TargetMode="External"/><Relationship Id="rId148" Type="http://schemas.openxmlformats.org/officeDocument/2006/relationships/hyperlink" Target="https://drive.google.com/file/d/15Ndc6Zp3Uu2gymbYN1dfbYIwfJp2cYO0/view?usp=drivesdk" TargetMode="External"/><Relationship Id="rId143" Type="http://schemas.openxmlformats.org/officeDocument/2006/relationships/hyperlink" Target="https://lh5.googleusercontent.com/d/164Cr5gQ-a_8gZRyiXZw5w7SZeOqCyaam" TargetMode="External"/><Relationship Id="rId142" Type="http://schemas.openxmlformats.org/officeDocument/2006/relationships/hyperlink" Target="https://drive.google.com/file/d/11SJ5Kf4G29SEzuPjd9k5OUI7LKoMkSoS/view?usp=drivesdk" TargetMode="External"/><Relationship Id="rId141" Type="http://schemas.openxmlformats.org/officeDocument/2006/relationships/hyperlink" Target="https://lh5.googleusercontent.com/d/1Dq4Cawgqh2NtUVAuUODS4epyO787FyNG" TargetMode="External"/><Relationship Id="rId140" Type="http://schemas.openxmlformats.org/officeDocument/2006/relationships/hyperlink" Target="https://drive.google.com/file/d/1j0EKnFtUMEg_vbc3vOtK1QsjKdl5mbTB/view?usp=drivesdk" TargetMode="External"/><Relationship Id="rId147" Type="http://schemas.openxmlformats.org/officeDocument/2006/relationships/hyperlink" Target="https://lh5.googleusercontent.com/d/1PKvsM3vZ9wEhSrK440dXALACFHSQc3Ui" TargetMode="External"/><Relationship Id="rId146" Type="http://schemas.openxmlformats.org/officeDocument/2006/relationships/hyperlink" Target="https://drive.google.com/file/d/13GKuWDhHLfQXPECLJD7T5PafPqD3LxfW/view?usp=drivesdk" TargetMode="External"/><Relationship Id="rId145" Type="http://schemas.openxmlformats.org/officeDocument/2006/relationships/hyperlink" Target="https://lh5.googleusercontent.com/d/1tq1-lf0paYVzuGbp00MlZ2Th1YsQoGjO" TargetMode="External"/><Relationship Id="rId144" Type="http://schemas.openxmlformats.org/officeDocument/2006/relationships/hyperlink" Target="https://drive.google.com/file/d/1QvnbneaEnzymqp8wGTlSjpxPwakKm5lm/view?usp=drivesdk" TargetMode="External"/><Relationship Id="rId139" Type="http://schemas.openxmlformats.org/officeDocument/2006/relationships/hyperlink" Target="https://lh5.googleusercontent.com/d/1-gaSA-j7sAw7U9nBjQNXBPH4JzHAZ8a_" TargetMode="External"/><Relationship Id="rId138" Type="http://schemas.openxmlformats.org/officeDocument/2006/relationships/hyperlink" Target="https://drive.google.com/file/d/1bw7VKg9uFn-nnnlin9EPmCMok159MPsZ/view?usp=drivesdk" TargetMode="External"/><Relationship Id="rId137" Type="http://schemas.openxmlformats.org/officeDocument/2006/relationships/hyperlink" Target="https://lh5.googleusercontent.com/d/15tpIlc1dAnh948a9gmZzm0WYGHK3BZpm" TargetMode="External"/><Relationship Id="rId132" Type="http://schemas.openxmlformats.org/officeDocument/2006/relationships/hyperlink" Target="https://drive.google.com/file/d/1N0Uuup2cVnVsSiuYKfmWkafeNoYttgKU/view?usp=drivesdk" TargetMode="External"/><Relationship Id="rId131" Type="http://schemas.openxmlformats.org/officeDocument/2006/relationships/hyperlink" Target="https://lh5.googleusercontent.com/d/11TU6lv94hZovJRiyHxK7moyp1J7SFJxM" TargetMode="External"/><Relationship Id="rId130" Type="http://schemas.openxmlformats.org/officeDocument/2006/relationships/hyperlink" Target="https://drive.google.com/file/d/1QbvWryDe7XiIOvNf2t_ckIdQ77inrNTa/view?usp=drivesdk" TargetMode="External"/><Relationship Id="rId136" Type="http://schemas.openxmlformats.org/officeDocument/2006/relationships/hyperlink" Target="https://drive.google.com/file/d/10pnXjAnfREeVw0-be_AgwSd1hPyMs8ID/view?usp=drivesdk" TargetMode="External"/><Relationship Id="rId135" Type="http://schemas.openxmlformats.org/officeDocument/2006/relationships/hyperlink" Target="https://lh5.googleusercontent.com/d/12gf30F7vxCC9iY6Xled3SRDv8_W7RyEp" TargetMode="External"/><Relationship Id="rId134" Type="http://schemas.openxmlformats.org/officeDocument/2006/relationships/hyperlink" Target="https://drive.google.com/file/d/1_ZGGy13Wuhk7kTkhCx4v0Mwq9lcdic4t/view?usp=drivesdk" TargetMode="External"/><Relationship Id="rId133" Type="http://schemas.openxmlformats.org/officeDocument/2006/relationships/hyperlink" Target="https://lh5.googleusercontent.com/d/1OpBc9MTwTMg58thwbi2-saGbDtf9Qmbp" TargetMode="External"/><Relationship Id="rId172" Type="http://schemas.openxmlformats.org/officeDocument/2006/relationships/hyperlink" Target="https://drive.google.com/file/d/12dMskcCTzmuFl2pP5-KY88FYm3ki4HuE/view?usp=drivesdk" TargetMode="External"/><Relationship Id="rId171" Type="http://schemas.openxmlformats.org/officeDocument/2006/relationships/hyperlink" Target="https://lh5.googleusercontent.com/d/134R51EsJkPP7SEtpLfOkfJuYl1aebC8P" TargetMode="External"/><Relationship Id="rId170" Type="http://schemas.openxmlformats.org/officeDocument/2006/relationships/hyperlink" Target="https://drive.google.com/file/d/1etMm_yWJjoDfXu6sfx5COmstgOVhd35s/view?usp=drivesdk" TargetMode="External"/><Relationship Id="rId165" Type="http://schemas.openxmlformats.org/officeDocument/2006/relationships/hyperlink" Target="https://lh5.googleusercontent.com/d/1MipQSOQKkFzqokUIRwtB25dmOOrx0Ln5" TargetMode="External"/><Relationship Id="rId164" Type="http://schemas.openxmlformats.org/officeDocument/2006/relationships/hyperlink" Target="https://drive.google.com/file/d/1W-orsE1FqXpW09CyKvZqyuQTr8gXlZEU/view?usp=drivesdk" TargetMode="External"/><Relationship Id="rId163" Type="http://schemas.openxmlformats.org/officeDocument/2006/relationships/hyperlink" Target="https://lh5.googleusercontent.com/d/1jFGsSIDqI_1oWoONxyM66rY_ZdNXxcDD" TargetMode="External"/><Relationship Id="rId162" Type="http://schemas.openxmlformats.org/officeDocument/2006/relationships/hyperlink" Target="https://drive.google.com/file/d/1TU3y9zFE_RBujSqSXjZetbjPlkp-Zoj2/view?usp=drivesdk" TargetMode="External"/><Relationship Id="rId169" Type="http://schemas.openxmlformats.org/officeDocument/2006/relationships/hyperlink" Target="https://lh5.googleusercontent.com/d/1l7ouAJCTytsOvXSBMGZgonFjvLEwp9zn" TargetMode="External"/><Relationship Id="rId168" Type="http://schemas.openxmlformats.org/officeDocument/2006/relationships/hyperlink" Target="https://drive.google.com/file/d/1vBYbjiL77isNonqVD_XKdjnDR2HvZiLr/view?usp=drivesdk" TargetMode="External"/><Relationship Id="rId167" Type="http://schemas.openxmlformats.org/officeDocument/2006/relationships/hyperlink" Target="https://lh5.googleusercontent.com/d/1oVSneZjaRC1KOZcv545sccUSJ7H2n8Vw" TargetMode="External"/><Relationship Id="rId166" Type="http://schemas.openxmlformats.org/officeDocument/2006/relationships/hyperlink" Target="https://drive.google.com/file/d/1s0SRQBQ_fD68RAKbfUT-zwcWNYu5MwUe/view?usp=drivesdk" TargetMode="External"/><Relationship Id="rId161" Type="http://schemas.openxmlformats.org/officeDocument/2006/relationships/hyperlink" Target="https://lh5.googleusercontent.com/d/17OysKuSguYbZJNdJCw0iGHyw0lqWAMX3" TargetMode="External"/><Relationship Id="rId160" Type="http://schemas.openxmlformats.org/officeDocument/2006/relationships/hyperlink" Target="https://drive.google.com/file/d/1nv9XNu_ck6R9O_GGSL8tjwc3caCaNqSi/view?usp=drivesdk" TargetMode="External"/><Relationship Id="rId159" Type="http://schemas.openxmlformats.org/officeDocument/2006/relationships/hyperlink" Target="https://lh5.googleusercontent.com/d/1_mxj32Jm4xmG1c5ayOmPHoYrhr7AnQLm" TargetMode="External"/><Relationship Id="rId154" Type="http://schemas.openxmlformats.org/officeDocument/2006/relationships/hyperlink" Target="https://drive.google.com/file/d/1zn6IL3HZ3_71ACNzy1IcQBqpZqkpvdwK/view?usp=drivesdk" TargetMode="External"/><Relationship Id="rId153" Type="http://schemas.openxmlformats.org/officeDocument/2006/relationships/hyperlink" Target="https://lh5.googleusercontent.com/d/1X_kJtJ7FKYo1kPtWxaPtLQ3ZuHZLH5r8" TargetMode="External"/><Relationship Id="rId152" Type="http://schemas.openxmlformats.org/officeDocument/2006/relationships/hyperlink" Target="https://drive.google.com/file/d/1nHIkLOYG1sa0iJpT3kMlae5Y_y6pikph/view?usp=drivesdk" TargetMode="External"/><Relationship Id="rId151" Type="http://schemas.openxmlformats.org/officeDocument/2006/relationships/hyperlink" Target="https://lh5.googleusercontent.com/d/1oHzSQOuhL85x4WRIWp1NNMHM6QCsrbMs" TargetMode="External"/><Relationship Id="rId158" Type="http://schemas.openxmlformats.org/officeDocument/2006/relationships/hyperlink" Target="https://drive.google.com/file/d/1LqLN1FVz418-zHedMMbBJ4Wn575V8Z-y/view?usp=drivesdk" TargetMode="External"/><Relationship Id="rId157" Type="http://schemas.openxmlformats.org/officeDocument/2006/relationships/hyperlink" Target="https://lh5.googleusercontent.com/d/1PWqrYmjcTehFLcvYhd69apNGIriavupq" TargetMode="External"/><Relationship Id="rId156" Type="http://schemas.openxmlformats.org/officeDocument/2006/relationships/hyperlink" Target="https://drive.google.com/file/d/1HHB3sVQKEhYs0YZeK-VxdpVRRhnmdfA0/view?usp=drivesdk" TargetMode="External"/><Relationship Id="rId155" Type="http://schemas.openxmlformats.org/officeDocument/2006/relationships/hyperlink" Target="https://lh5.googleusercontent.com/d/1ZTPOnqsXPlYv0o7SoX1Ip2Wg4ltHa8fc" TargetMode="External"/><Relationship Id="rId1510" Type="http://schemas.openxmlformats.org/officeDocument/2006/relationships/hyperlink" Target="https://drive.google.com/file/d/1za05zNuwSm7T2MxCmJ4Jv_WROB_Dast1/view?usp=drivesdk" TargetMode="External"/><Relationship Id="rId1511" Type="http://schemas.openxmlformats.org/officeDocument/2006/relationships/hyperlink" Target="https://lh5.googleusercontent.com/d/1J8PSa6putNwK4oaMVMszMngjkP1TI00F" TargetMode="External"/><Relationship Id="rId1512" Type="http://schemas.openxmlformats.org/officeDocument/2006/relationships/hyperlink" Target="https://drive.google.com/file/d/1ZYG97TEVe_LFI4YKrBdddnVBN4XWO4lC/view?usp=drivesdk" TargetMode="External"/><Relationship Id="rId1513" Type="http://schemas.openxmlformats.org/officeDocument/2006/relationships/hyperlink" Target="https://lh5.googleusercontent.com/d/1hsfVzjmdXCVliOOLfm-QzPqjgE_TxcS0" TargetMode="External"/><Relationship Id="rId1514" Type="http://schemas.openxmlformats.org/officeDocument/2006/relationships/hyperlink" Target="https://drive.google.com/file/d/1GQG7iaQQHZ9ojQ9AP3aZtHt_F_y7zVC1/view?usp=drivesdk" TargetMode="External"/><Relationship Id="rId1515" Type="http://schemas.openxmlformats.org/officeDocument/2006/relationships/hyperlink" Target="https://lh5.googleusercontent.com/d/1O2uw4w1nXQA0IiQJeU0AAKBras3ZaHdg" TargetMode="External"/><Relationship Id="rId1516" Type="http://schemas.openxmlformats.org/officeDocument/2006/relationships/hyperlink" Target="https://drive.google.com/file/d/1ddnDai1S8bSKFVl2iddA3_PXBgsTB-Cz/view?usp=drivesdk" TargetMode="External"/><Relationship Id="rId1517" Type="http://schemas.openxmlformats.org/officeDocument/2006/relationships/hyperlink" Target="https://lh5.googleusercontent.com/d/1xbF18QY5fRlK76FTZHTPC0f2TSyC6exW" TargetMode="External"/><Relationship Id="rId1518" Type="http://schemas.openxmlformats.org/officeDocument/2006/relationships/hyperlink" Target="https://drive.google.com/file/d/1OKHp73AbUK-VphQ9IUSwoKGwYK4MAwEH/view?usp=drivesdk" TargetMode="External"/><Relationship Id="rId1519" Type="http://schemas.openxmlformats.org/officeDocument/2006/relationships/hyperlink" Target="https://lh5.googleusercontent.com/d/1vAeG2YPnImTDreof6wWPYH7D6bSb7dcw" TargetMode="External"/><Relationship Id="rId1500" Type="http://schemas.openxmlformats.org/officeDocument/2006/relationships/hyperlink" Target="https://drive.google.com/file/d/14ub6BmSoKSUFceSh8ULGQDcNEUH29BC7/view?usp=drivesdk" TargetMode="External"/><Relationship Id="rId1501" Type="http://schemas.openxmlformats.org/officeDocument/2006/relationships/hyperlink" Target="https://lh5.googleusercontent.com/d/1gYdxPdm9sa3aeaNW3wq6Dh5GfJ_VDTwE" TargetMode="External"/><Relationship Id="rId1502" Type="http://schemas.openxmlformats.org/officeDocument/2006/relationships/hyperlink" Target="https://drive.google.com/file/d/1FtJRveiLTNjhtX9mhc0iIj2yElUjXogc/view?usp=drivesdk" TargetMode="External"/><Relationship Id="rId1503" Type="http://schemas.openxmlformats.org/officeDocument/2006/relationships/hyperlink" Target="https://lh5.googleusercontent.com/d/18EYETK0TBXon6MLKDLKa-3u1HbQvQz31" TargetMode="External"/><Relationship Id="rId1504" Type="http://schemas.openxmlformats.org/officeDocument/2006/relationships/hyperlink" Target="https://drive.google.com/file/d/1ieAasWdqO6vTpneADtRxcV_h6fkFI_JJ/view?usp=drivesdk" TargetMode="External"/><Relationship Id="rId1505" Type="http://schemas.openxmlformats.org/officeDocument/2006/relationships/hyperlink" Target="https://lh5.googleusercontent.com/d/1Mg9SiEHs8D3rFZPytKuMvhUl_RyI1bbi" TargetMode="External"/><Relationship Id="rId1506" Type="http://schemas.openxmlformats.org/officeDocument/2006/relationships/hyperlink" Target="https://drive.google.com/file/d/1VSnI5mO3jNyUvyqGEB3FUPWHOfsZibjI/view?usp=drivesdk" TargetMode="External"/><Relationship Id="rId1507" Type="http://schemas.openxmlformats.org/officeDocument/2006/relationships/hyperlink" Target="https://lh5.googleusercontent.com/d/1KkVNlwBHy-FJ3EecjVJvUdb9aZER0TXk" TargetMode="External"/><Relationship Id="rId1508" Type="http://schemas.openxmlformats.org/officeDocument/2006/relationships/hyperlink" Target="https://drive.google.com/file/d/13hcM_7NE0yD4taoLkavbwycNI8KqjGZh/view?usp=drivesdk" TargetMode="External"/><Relationship Id="rId1509" Type="http://schemas.openxmlformats.org/officeDocument/2006/relationships/hyperlink" Target="https://lh5.googleusercontent.com/d/1K13iYlforADUSI-hdDohp30VnUA3vp_A" TargetMode="External"/><Relationship Id="rId1576" Type="http://schemas.openxmlformats.org/officeDocument/2006/relationships/hyperlink" Target="https://drive.google.com/file/d/1Dp7pWBg7Ue8JpiGXCGZoTwBEbtenEKdb/view?usp=drivesdk" TargetMode="External"/><Relationship Id="rId1577" Type="http://schemas.openxmlformats.org/officeDocument/2006/relationships/hyperlink" Target="https://lh5.googleusercontent.com/d/1a2yzJaqkHJa9NEQfGdniZ0AwciwohVMd" TargetMode="External"/><Relationship Id="rId1578" Type="http://schemas.openxmlformats.org/officeDocument/2006/relationships/hyperlink" Target="https://drive.google.com/file/d/1QkC4VG_968I7iAevxvdnhfhwXgMxQNR6/view?usp=drivesdk" TargetMode="External"/><Relationship Id="rId1579" Type="http://schemas.openxmlformats.org/officeDocument/2006/relationships/hyperlink" Target="https://lh5.googleusercontent.com/d/1dgtAV2F4CfBIUG6fPPg31t25TGGkVoGZ" TargetMode="External"/><Relationship Id="rId987" Type="http://schemas.openxmlformats.org/officeDocument/2006/relationships/hyperlink" Target="https://drive.google.com/file/d/1ya4gqRN9Ty9HBhlLrPqpgS4oyxCcOMFE/view?usp=drivesdk" TargetMode="External"/><Relationship Id="rId986" Type="http://schemas.openxmlformats.org/officeDocument/2006/relationships/hyperlink" Target="https://lh5.googleusercontent.com/d/1Wlmj29okGpVIsLt8mik5YBWthhrI-ByI" TargetMode="External"/><Relationship Id="rId985" Type="http://schemas.openxmlformats.org/officeDocument/2006/relationships/hyperlink" Target="https://drive.google.com/file/d/1naLzNI1InC7tDj2VO6-VILq_gIgu-_C7/view?usp=drivesdk" TargetMode="External"/><Relationship Id="rId984" Type="http://schemas.openxmlformats.org/officeDocument/2006/relationships/hyperlink" Target="https://lh5.googleusercontent.com/d/1dPSpbStqxu_r04oDTChS1_6H8n5YxIzc" TargetMode="External"/><Relationship Id="rId989" Type="http://schemas.openxmlformats.org/officeDocument/2006/relationships/hyperlink" Target="https://drive.google.com/file/d/1wH2FFVhFPVfrYYGEhbwF4vI1iaCPRtLB/view?usp=drivesdk" TargetMode="External"/><Relationship Id="rId988" Type="http://schemas.openxmlformats.org/officeDocument/2006/relationships/hyperlink" Target="https://lh5.googleusercontent.com/d/1cr3jGRBeJ4P53aj0KQTxPtnxjITb2SAd" TargetMode="External"/><Relationship Id="rId1570" Type="http://schemas.openxmlformats.org/officeDocument/2006/relationships/hyperlink" Target="https://drive.google.com/file/d/1M1qADP5TdDs6T7JTCuVdM6tyJ_alg8ZG/view?usp=drivesdk" TargetMode="External"/><Relationship Id="rId1571" Type="http://schemas.openxmlformats.org/officeDocument/2006/relationships/hyperlink" Target="https://lh5.googleusercontent.com/d/1zpZqARrKAenTQao7wbHqvmzF8ySy1oTk" TargetMode="External"/><Relationship Id="rId983" Type="http://schemas.openxmlformats.org/officeDocument/2006/relationships/hyperlink" Target="https://drive.google.com/file/d/1Kwgsf79wwO_X3-nxdidiTvWl1SqAyshg/view?usp=drivesdk" TargetMode="External"/><Relationship Id="rId1572" Type="http://schemas.openxmlformats.org/officeDocument/2006/relationships/hyperlink" Target="https://drive.google.com/file/d/1RVSLhUWwE-u_Zu6Y8rSR-sGMCk06damh/view?usp=drivesdk" TargetMode="External"/><Relationship Id="rId982" Type="http://schemas.openxmlformats.org/officeDocument/2006/relationships/hyperlink" Target="https://lh5.googleusercontent.com/d/1OoV5z2bpg4ZeK6oa0VIXEIEjBXaMICpO" TargetMode="External"/><Relationship Id="rId1573" Type="http://schemas.openxmlformats.org/officeDocument/2006/relationships/hyperlink" Target="https://lh5.googleusercontent.com/d/1sID3y-JqxD9NmDrQfWDEsFhbp6mfEL3S" TargetMode="External"/><Relationship Id="rId981" Type="http://schemas.openxmlformats.org/officeDocument/2006/relationships/hyperlink" Target="https://drive.google.com/file/d/1TOgXpPsX_uw7X6ttOGSbZloP9cYtRGSB/view?usp=drivesdk" TargetMode="External"/><Relationship Id="rId1574" Type="http://schemas.openxmlformats.org/officeDocument/2006/relationships/hyperlink" Target="https://drive.google.com/file/d/1eT5yzF-MJY5HAfOAKJsI50salN_OQBmq/view?usp=drivesdk" TargetMode="External"/><Relationship Id="rId980" Type="http://schemas.openxmlformats.org/officeDocument/2006/relationships/hyperlink" Target="https://lh5.googleusercontent.com/d/1bo2l5Vem9X5M6oU06ecLuT2R7urBibPn" TargetMode="External"/><Relationship Id="rId1575" Type="http://schemas.openxmlformats.org/officeDocument/2006/relationships/hyperlink" Target="https://lh5.googleusercontent.com/d/1OLvRey4vvr698vzwZwlD0_qwl57bAKJF" TargetMode="External"/><Relationship Id="rId1565" Type="http://schemas.openxmlformats.org/officeDocument/2006/relationships/hyperlink" Target="https://lh5.googleusercontent.com/d/18DS52U8RWR1EshaxsG1ov-LrGx_InCXG" TargetMode="External"/><Relationship Id="rId1566" Type="http://schemas.openxmlformats.org/officeDocument/2006/relationships/hyperlink" Target="https://drive.google.com/file/d/1b0RHOAERATScqg7LDV8ndvlKOxIbFR6g/view?usp=drivesdk" TargetMode="External"/><Relationship Id="rId1567" Type="http://schemas.openxmlformats.org/officeDocument/2006/relationships/hyperlink" Target="https://lh5.googleusercontent.com/d/17JvcNzJmrmpIikgmnQWzDla16Xdu0upR" TargetMode="External"/><Relationship Id="rId1568" Type="http://schemas.openxmlformats.org/officeDocument/2006/relationships/hyperlink" Target="https://drive.google.com/file/d/1FNYI0AHpE5l1iWNvEDvakKQEN02gH7W8/view?usp=drivesdk" TargetMode="External"/><Relationship Id="rId1569" Type="http://schemas.openxmlformats.org/officeDocument/2006/relationships/hyperlink" Target="https://lh5.googleusercontent.com/d/1HcsqSP9xP5jIDKdvHj2VMecquhKCvpr6" TargetMode="External"/><Relationship Id="rId976" Type="http://schemas.openxmlformats.org/officeDocument/2006/relationships/hyperlink" Target="https://lh5.googleusercontent.com/d/1cnrERN9NXvLyRpU9WkvWu640o4pwgHQp" TargetMode="External"/><Relationship Id="rId975" Type="http://schemas.openxmlformats.org/officeDocument/2006/relationships/hyperlink" Target="https://drive.google.com/file/d/1C9cOWd8nsB2B-MIrRQpsXX08ddx0fEzj/view?usp=drivesdk" TargetMode="External"/><Relationship Id="rId974" Type="http://schemas.openxmlformats.org/officeDocument/2006/relationships/hyperlink" Target="https://lh5.googleusercontent.com/d/14RZMbFPThBDkG3e1q2nLGhh11UNGEXca" TargetMode="External"/><Relationship Id="rId973" Type="http://schemas.openxmlformats.org/officeDocument/2006/relationships/hyperlink" Target="https://drive.google.com/file/d/1huA9jEDLRDO7lZaYQ0cIJotDFDcPDACS/view?usp=drivesdk" TargetMode="External"/><Relationship Id="rId979" Type="http://schemas.openxmlformats.org/officeDocument/2006/relationships/hyperlink" Target="https://drive.google.com/file/d/1-Wpb3PoQ5FIwaDMii1dsECoVokUxzAJU/view?usp=drivesdk" TargetMode="External"/><Relationship Id="rId978" Type="http://schemas.openxmlformats.org/officeDocument/2006/relationships/hyperlink" Target="https://lh5.googleusercontent.com/d/1HvSQmbeASkaYgT9jIsNShHp2EzHV374r" TargetMode="External"/><Relationship Id="rId977" Type="http://schemas.openxmlformats.org/officeDocument/2006/relationships/hyperlink" Target="https://drive.google.com/file/d/1IiL0-UhJxd_YORoYfs2687Yu9Dmc7Gr5/view?usp=drivesdk" TargetMode="External"/><Relationship Id="rId1560" Type="http://schemas.openxmlformats.org/officeDocument/2006/relationships/hyperlink" Target="https://drive.google.com/file/d/1jwq1_tGiGDI1Fddsqd9cUl0kI8zaBdDo/view?usp=drivesdk" TargetMode="External"/><Relationship Id="rId972" Type="http://schemas.openxmlformats.org/officeDocument/2006/relationships/hyperlink" Target="https://lh5.googleusercontent.com/d/1xnTNw0vgcvXR8ehYD7usDh6Ro8PrB-B2" TargetMode="External"/><Relationship Id="rId1561" Type="http://schemas.openxmlformats.org/officeDocument/2006/relationships/hyperlink" Target="https://lh5.googleusercontent.com/d/1B_MdTFwOBTxEHF7QbuXzc9T_hSUReFvN" TargetMode="External"/><Relationship Id="rId971" Type="http://schemas.openxmlformats.org/officeDocument/2006/relationships/hyperlink" Target="https://drive.google.com/file/d/1_uOmcrXO_oejslrnCOCeEp-eAJrfeRQF/view?usp=drivesdk" TargetMode="External"/><Relationship Id="rId1562" Type="http://schemas.openxmlformats.org/officeDocument/2006/relationships/hyperlink" Target="https://drive.google.com/file/d/1jWzrAKOS2-TaN4UBZe1imYseC-hb8B0_/view?usp=drivesdk" TargetMode="External"/><Relationship Id="rId970" Type="http://schemas.openxmlformats.org/officeDocument/2006/relationships/hyperlink" Target="https://lh5.googleusercontent.com/d/1yzPz0ajR6SpC0uB4tF_t9qRtQrADAaM_" TargetMode="External"/><Relationship Id="rId1563" Type="http://schemas.openxmlformats.org/officeDocument/2006/relationships/hyperlink" Target="https://lh5.googleusercontent.com/d/1IbdRoPJ2pKfzFVl0Jzg6TB_H_0-p4_Es" TargetMode="External"/><Relationship Id="rId1564" Type="http://schemas.openxmlformats.org/officeDocument/2006/relationships/hyperlink" Target="https://drive.google.com/file/d/1Ej_qzD77iwvM_fJb8lU_cXSiEXj_lcwu/view?usp=drivesdk" TargetMode="External"/><Relationship Id="rId1598" Type="http://schemas.openxmlformats.org/officeDocument/2006/relationships/hyperlink" Target="https://drive.google.com/file/d/1iyJOU-wXo7OzDXyA3-xzDazynUwjDKhB/view?usp=drivesdk" TargetMode="External"/><Relationship Id="rId1599" Type="http://schemas.openxmlformats.org/officeDocument/2006/relationships/hyperlink" Target="https://lh5.googleusercontent.com/d/1krHcHVC6t4YO_62ADWqqyD7blPKUyLHK" TargetMode="External"/><Relationship Id="rId1590" Type="http://schemas.openxmlformats.org/officeDocument/2006/relationships/hyperlink" Target="https://drive.google.com/file/d/1gCzfIReZvJUDkhQiMX5VuIT-PcCvX0J4/view?usp=drivesdk" TargetMode="External"/><Relationship Id="rId1591" Type="http://schemas.openxmlformats.org/officeDocument/2006/relationships/hyperlink" Target="https://lh5.googleusercontent.com/d/1mhzwD76GYBo4ZJt6EVDIOGhrDcAz0uGI" TargetMode="External"/><Relationship Id="rId1592" Type="http://schemas.openxmlformats.org/officeDocument/2006/relationships/hyperlink" Target="https://drive.google.com/file/d/1h1YN-ifSs_1ghn8p4bVWq9uFMs6YezDK/view?usp=drivesdk" TargetMode="External"/><Relationship Id="rId1593" Type="http://schemas.openxmlformats.org/officeDocument/2006/relationships/hyperlink" Target="https://lh5.googleusercontent.com/d/1levfkz2pwW5nKkhYTt1kQxgaZjQzk_70" TargetMode="External"/><Relationship Id="rId1594" Type="http://schemas.openxmlformats.org/officeDocument/2006/relationships/hyperlink" Target="https://drive.google.com/file/d/19uxdemVqfjYHHZu78MSYV0_p3SzNczzk/view?usp=drivesdk" TargetMode="External"/><Relationship Id="rId1595" Type="http://schemas.openxmlformats.org/officeDocument/2006/relationships/hyperlink" Target="https://lh5.googleusercontent.com/d/1pQs-DhlA7OZDeFrmYy5k7tofivInOBaO" TargetMode="External"/><Relationship Id="rId1596" Type="http://schemas.openxmlformats.org/officeDocument/2006/relationships/hyperlink" Target="https://drive.google.com/file/d/1C3mKinMXAzaZwdReYiz6B-3WNsU1k2-z/view?usp=drivesdk" TargetMode="External"/><Relationship Id="rId1597" Type="http://schemas.openxmlformats.org/officeDocument/2006/relationships/hyperlink" Target="https://lh5.googleusercontent.com/d/18fwDP0wmTO1d_wFNoovkvFKKwJ3whLDO" TargetMode="External"/><Relationship Id="rId1587" Type="http://schemas.openxmlformats.org/officeDocument/2006/relationships/hyperlink" Target="https://lh5.googleusercontent.com/d/1xS5Q7rlLxSnSjdLtAIUsYEA4VhbX-ZsQ" TargetMode="External"/><Relationship Id="rId1588" Type="http://schemas.openxmlformats.org/officeDocument/2006/relationships/hyperlink" Target="https://drive.google.com/file/d/1mgWP-uUtrzMX_kowhfbBZnkCQCHJWzd4/view?usp=drivesdk" TargetMode="External"/><Relationship Id="rId1589" Type="http://schemas.openxmlformats.org/officeDocument/2006/relationships/hyperlink" Target="https://lh5.googleusercontent.com/d/1n9C9iijmO0u54yiu4BTG1sfZ5mp1t9Qf" TargetMode="External"/><Relationship Id="rId998" Type="http://schemas.openxmlformats.org/officeDocument/2006/relationships/hyperlink" Target="https://lh5.googleusercontent.com/d/1uOaVkCz_jZLVR7XXPzwALXr0s9DrFSKs" TargetMode="External"/><Relationship Id="rId997" Type="http://schemas.openxmlformats.org/officeDocument/2006/relationships/hyperlink" Target="https://drive.google.com/file/d/1yWRSCtBV5NBT9dThANc5Rf4IAqeOWVDj/view?usp=drivesdk" TargetMode="External"/><Relationship Id="rId996" Type="http://schemas.openxmlformats.org/officeDocument/2006/relationships/hyperlink" Target="https://lh5.googleusercontent.com/d/1jpJNdFDau87rTnLPRgGFN4XfwL52Xy19" TargetMode="External"/><Relationship Id="rId995" Type="http://schemas.openxmlformats.org/officeDocument/2006/relationships/hyperlink" Target="https://drive.google.com/file/d/1z5RAWTiNPOvZBsxeEvNaFwkWXAd-hx-z/view?usp=drivesdk" TargetMode="External"/><Relationship Id="rId999" Type="http://schemas.openxmlformats.org/officeDocument/2006/relationships/hyperlink" Target="https://drive.google.com/file/d/1jYANO_YO0TZejbg2-H9JG23mldcXBdYD/view?usp=drivesdk" TargetMode="External"/><Relationship Id="rId990" Type="http://schemas.openxmlformats.org/officeDocument/2006/relationships/hyperlink" Target="https://lh5.googleusercontent.com/d/1o4hr01soXH66m66PkjlQl5nyg6xVJZi6" TargetMode="External"/><Relationship Id="rId1580" Type="http://schemas.openxmlformats.org/officeDocument/2006/relationships/hyperlink" Target="https://drive.google.com/file/d/1b-yh8K_d-BNMMCjZMOt-kbVHfQ7cnPfe/view?usp=drivesdk" TargetMode="External"/><Relationship Id="rId1581" Type="http://schemas.openxmlformats.org/officeDocument/2006/relationships/hyperlink" Target="https://lh5.googleusercontent.com/d/1GI9BO82yGIybKBc6W4_dHtETlFbo4zPr" TargetMode="External"/><Relationship Id="rId1582" Type="http://schemas.openxmlformats.org/officeDocument/2006/relationships/hyperlink" Target="https://drive.google.com/file/d/1tocSovzW987nvUo1fTznxPxEFUUpovws/view?usp=drivesdk" TargetMode="External"/><Relationship Id="rId994" Type="http://schemas.openxmlformats.org/officeDocument/2006/relationships/hyperlink" Target="https://lh5.googleusercontent.com/d/1EuZ6IyBGPqSiakozwu5Nh0xqZosbRxCK" TargetMode="External"/><Relationship Id="rId1583" Type="http://schemas.openxmlformats.org/officeDocument/2006/relationships/hyperlink" Target="https://lh5.googleusercontent.com/d/1CGkgafxeseXjdfht583QYZ6zQTKDMUbg" TargetMode="External"/><Relationship Id="rId993" Type="http://schemas.openxmlformats.org/officeDocument/2006/relationships/hyperlink" Target="https://drive.google.com/file/d/1USXgJBrItlkXHL6EtnyOI0aTGNJY62pu/view?usp=drivesdk" TargetMode="External"/><Relationship Id="rId1584" Type="http://schemas.openxmlformats.org/officeDocument/2006/relationships/hyperlink" Target="https://drive.google.com/file/d/1ePo99TIbSZX19DrXvOvVx-OpHCz77c_s/view?usp=drivesdk" TargetMode="External"/><Relationship Id="rId992" Type="http://schemas.openxmlformats.org/officeDocument/2006/relationships/hyperlink" Target="https://lh5.googleusercontent.com/d/1vBnMkoi5wbuU0Wq0e0bQoZQWt53C0Duj" TargetMode="External"/><Relationship Id="rId1585" Type="http://schemas.openxmlformats.org/officeDocument/2006/relationships/hyperlink" Target="https://lh5.googleusercontent.com/d/1TwlHXx8IvrYLzPrjIahIpiruw0eUiZN5" TargetMode="External"/><Relationship Id="rId991" Type="http://schemas.openxmlformats.org/officeDocument/2006/relationships/hyperlink" Target="https://drive.google.com/file/d/16PJ23trrJe3ahgZw8SUSLV45EgeGZgMK/view?usp=drivesdk" TargetMode="External"/><Relationship Id="rId1586" Type="http://schemas.openxmlformats.org/officeDocument/2006/relationships/hyperlink" Target="https://drive.google.com/file/d/1bqtZ5FAs7wsPggS0YP6aAyAiwzOHN3Xr/view?usp=drivesdk" TargetMode="External"/><Relationship Id="rId1532" Type="http://schemas.openxmlformats.org/officeDocument/2006/relationships/hyperlink" Target="https://drive.google.com/file/d/1jqFpby85v0oExX5zTBCBeKrtS6g0_byw/view?usp=drivesdk" TargetMode="External"/><Relationship Id="rId1533" Type="http://schemas.openxmlformats.org/officeDocument/2006/relationships/hyperlink" Target="https://lh5.googleusercontent.com/d/1znQs38TiTeDAfax_MZu3EVV2vi0QlHX-" TargetMode="External"/><Relationship Id="rId1534" Type="http://schemas.openxmlformats.org/officeDocument/2006/relationships/hyperlink" Target="https://drive.google.com/file/d/1E3dGQR_jQkRF9aF43nKZp6KFAOuNb4LV/view?usp=drivesdk" TargetMode="External"/><Relationship Id="rId1535" Type="http://schemas.openxmlformats.org/officeDocument/2006/relationships/hyperlink" Target="https://lh5.googleusercontent.com/d/1ahQGXr2ht744WEFCAfKd1ZyhWMz9cAvO" TargetMode="External"/><Relationship Id="rId1536" Type="http://schemas.openxmlformats.org/officeDocument/2006/relationships/hyperlink" Target="https://drive.google.com/file/d/1aUEb7gDbCwo-MckvT2e6XU6qntF3iKuz/view?usp=drivesdk" TargetMode="External"/><Relationship Id="rId1537" Type="http://schemas.openxmlformats.org/officeDocument/2006/relationships/hyperlink" Target="https://lh5.googleusercontent.com/d/1GFBOhOLJJ7odtKm8N1McXsg6Ox0q8MHJ" TargetMode="External"/><Relationship Id="rId1538" Type="http://schemas.openxmlformats.org/officeDocument/2006/relationships/hyperlink" Target="https://drive.google.com/file/d/1yFjk0iYcU-TE2sK4gUe819n5sqygQwag/view?usp=drivesdk" TargetMode="External"/><Relationship Id="rId1539" Type="http://schemas.openxmlformats.org/officeDocument/2006/relationships/hyperlink" Target="https://lh5.googleusercontent.com/d/1xwH3F8xagsCv3e6HO7We6kDYcc6HR1Mj" TargetMode="External"/><Relationship Id="rId949" Type="http://schemas.openxmlformats.org/officeDocument/2006/relationships/hyperlink" Target="https://drive.google.com/file/d/1C8t8ov5FZQhf0VOWUMWLFuy5qsNzw0wG/view?usp=drivesdk" TargetMode="External"/><Relationship Id="rId948" Type="http://schemas.openxmlformats.org/officeDocument/2006/relationships/hyperlink" Target="https://lh5.googleusercontent.com/d/15QY-vh9NnVJ7wWwDnCjvalkENfm1X1Kl" TargetMode="External"/><Relationship Id="rId943" Type="http://schemas.openxmlformats.org/officeDocument/2006/relationships/hyperlink" Target="https://drive.google.com/file/d/17XmNuGcECg2mw4dnxpSUBqthDERY6lTQ/view?usp=drivesdk" TargetMode="External"/><Relationship Id="rId942" Type="http://schemas.openxmlformats.org/officeDocument/2006/relationships/hyperlink" Target="https://lh5.googleusercontent.com/d/1iOVTeFV3OSmuZivGdXb2C86Mmn14OvZL" TargetMode="External"/><Relationship Id="rId941" Type="http://schemas.openxmlformats.org/officeDocument/2006/relationships/hyperlink" Target="https://drive.google.com/file/d/14fr-EWUG3KSKmX9cSafxxn_UD1uvYbQd/view?usp=drivesdk" TargetMode="External"/><Relationship Id="rId940" Type="http://schemas.openxmlformats.org/officeDocument/2006/relationships/hyperlink" Target="https://lh5.googleusercontent.com/d/14RCvHnti6NQKdtT0iuvD09KixCNJDQec" TargetMode="External"/><Relationship Id="rId947" Type="http://schemas.openxmlformats.org/officeDocument/2006/relationships/hyperlink" Target="https://drive.google.com/file/d/1vLRWqhbkXwtsDO0NuBy0Lh5dq7UbyUgc/view?usp=drivesdk" TargetMode="External"/><Relationship Id="rId946" Type="http://schemas.openxmlformats.org/officeDocument/2006/relationships/hyperlink" Target="https://lh5.googleusercontent.com/d/1mPpnbgOFma0kMaW06AqEqn8kveJmgf8g" TargetMode="External"/><Relationship Id="rId945" Type="http://schemas.openxmlformats.org/officeDocument/2006/relationships/hyperlink" Target="https://drive.google.com/file/d/1A9FC3yOx-Xd2dR5j8Vrb-5MlbrLUUSnz/view?usp=drivesdk" TargetMode="External"/><Relationship Id="rId944" Type="http://schemas.openxmlformats.org/officeDocument/2006/relationships/hyperlink" Target="https://lh5.googleusercontent.com/d/1xJN1ED74Spwk89GACF_SuAX6W7PpC4bu" TargetMode="External"/><Relationship Id="rId1530" Type="http://schemas.openxmlformats.org/officeDocument/2006/relationships/hyperlink" Target="https://drive.google.com/file/d/1t8sGVXmZeneys-IjXChFnyf4KVeDsNIT/view?usp=drivesdk" TargetMode="External"/><Relationship Id="rId1531" Type="http://schemas.openxmlformats.org/officeDocument/2006/relationships/hyperlink" Target="https://lh5.googleusercontent.com/d/1Ls95WRccRWnvhy9TSib3vGqws2pvt0lS" TargetMode="External"/><Relationship Id="rId1521" Type="http://schemas.openxmlformats.org/officeDocument/2006/relationships/hyperlink" Target="https://lh5.googleusercontent.com/d/1SCSLMaxVBMNA3rnrO82sWAfeNxC5XlM-" TargetMode="External"/><Relationship Id="rId1522" Type="http://schemas.openxmlformats.org/officeDocument/2006/relationships/hyperlink" Target="https://drive.google.com/file/d/1rP2QjGPskJO_coVZirDMS7C4LifpsAxl/view?usp=drivesdk" TargetMode="External"/><Relationship Id="rId1523" Type="http://schemas.openxmlformats.org/officeDocument/2006/relationships/hyperlink" Target="https://lh5.googleusercontent.com/d/1LpPKRXUvmKLZMVLSbSERVNnPY1XZc0-O" TargetMode="External"/><Relationship Id="rId1524" Type="http://schemas.openxmlformats.org/officeDocument/2006/relationships/hyperlink" Target="https://drive.google.com/file/d/1ajQzTqluur1dfdQCePKNcSE3wHuJoc3Q/view?usp=drivesdk" TargetMode="External"/><Relationship Id="rId1525" Type="http://schemas.openxmlformats.org/officeDocument/2006/relationships/hyperlink" Target="https://lh5.googleusercontent.com/d/15Ok1FzzN0rGETWdq0yfQP8gmRszaiRjN" TargetMode="External"/><Relationship Id="rId1526" Type="http://schemas.openxmlformats.org/officeDocument/2006/relationships/hyperlink" Target="https://drive.google.com/file/d/1pCD4XyZ8d0tXD2ap-D1-DSqDxDhbLEfG/view?usp=drivesdk" TargetMode="External"/><Relationship Id="rId1527" Type="http://schemas.openxmlformats.org/officeDocument/2006/relationships/hyperlink" Target="https://lh5.googleusercontent.com/d/1agqO4t7nsPDoaw7ssLkNOU5HBJu9Wu3D" TargetMode="External"/><Relationship Id="rId1528" Type="http://schemas.openxmlformats.org/officeDocument/2006/relationships/hyperlink" Target="https://drive.google.com/file/d/1qPBVX6BDakCoKokRUPh6oqRkXTiQa1j6/view?usp=drivesdk" TargetMode="External"/><Relationship Id="rId1529" Type="http://schemas.openxmlformats.org/officeDocument/2006/relationships/hyperlink" Target="https://lh5.googleusercontent.com/d/1EkViikp8qnOhy2fCbMSYQznN4wzkZ5dq" TargetMode="External"/><Relationship Id="rId939" Type="http://schemas.openxmlformats.org/officeDocument/2006/relationships/hyperlink" Target="https://drive.google.com/file/d/116r49uNgRfB-pn3u5EEa730hA6Al3ofD/view?usp=drivesdk" TargetMode="External"/><Relationship Id="rId938" Type="http://schemas.openxmlformats.org/officeDocument/2006/relationships/hyperlink" Target="https://lh5.googleusercontent.com/d/17-f19lZaTWIjt5VOagEiVRgeltWbLYhq" TargetMode="External"/><Relationship Id="rId937" Type="http://schemas.openxmlformats.org/officeDocument/2006/relationships/hyperlink" Target="https://drive.google.com/file/d/1wO8HT5KSlQuxpukor4PI12qSEWZkHLmw/view?usp=drivesdk" TargetMode="External"/><Relationship Id="rId932" Type="http://schemas.openxmlformats.org/officeDocument/2006/relationships/hyperlink" Target="https://lh5.googleusercontent.com/d/1iEj9zEwJ9OGI88OtR-XWiPuYiCyPUzbx" TargetMode="External"/><Relationship Id="rId931" Type="http://schemas.openxmlformats.org/officeDocument/2006/relationships/hyperlink" Target="https://drive.google.com/file/d/1Kr7Qz0bi-uO6cusQmX0EuvgZi3vMO0rk/view?usp=drivesdk" TargetMode="External"/><Relationship Id="rId930" Type="http://schemas.openxmlformats.org/officeDocument/2006/relationships/hyperlink" Target="https://lh5.googleusercontent.com/d/1G3tJxbCYQUNC5-hEDk01FQRteyaNb7Op" TargetMode="External"/><Relationship Id="rId936" Type="http://schemas.openxmlformats.org/officeDocument/2006/relationships/hyperlink" Target="https://lh5.googleusercontent.com/d/1C4h0dr9MJqtBWRVt4ad-aZJsDPbKN90-" TargetMode="External"/><Relationship Id="rId935" Type="http://schemas.openxmlformats.org/officeDocument/2006/relationships/hyperlink" Target="https://drive.google.com/file/d/1mF-hj59snPKh2_1FGIGMoKI14qN7PV0G/view?usp=drivesdk" TargetMode="External"/><Relationship Id="rId934" Type="http://schemas.openxmlformats.org/officeDocument/2006/relationships/hyperlink" Target="https://lh5.googleusercontent.com/d/1srKt_t9YcZ3NuMWaeQAfRmwxan7Ob_D1" TargetMode="External"/><Relationship Id="rId933" Type="http://schemas.openxmlformats.org/officeDocument/2006/relationships/hyperlink" Target="https://drive.google.com/file/d/1JIHPkauJE_Mh_z_ggcOl582WiYKfKAtO/view?usp=drivesdk" TargetMode="External"/><Relationship Id="rId1520" Type="http://schemas.openxmlformats.org/officeDocument/2006/relationships/hyperlink" Target="https://drive.google.com/file/d/16UahvJWekbQkl_u6aYTPV_rVjeZ51vB5/view?usp=drivesdk" TargetMode="External"/><Relationship Id="rId1554" Type="http://schemas.openxmlformats.org/officeDocument/2006/relationships/hyperlink" Target="https://drive.google.com/file/d/1eXc-ZRDV6sQ4VgDNJu9A_u9-gI-T0lMA/view?usp=drivesdk" TargetMode="External"/><Relationship Id="rId1555" Type="http://schemas.openxmlformats.org/officeDocument/2006/relationships/hyperlink" Target="https://lh5.googleusercontent.com/d/1O99x6S8B15poTDTc7SDn-B6VO6Gj3lvl" TargetMode="External"/><Relationship Id="rId1556" Type="http://schemas.openxmlformats.org/officeDocument/2006/relationships/hyperlink" Target="https://drive.google.com/file/d/1ZobZjCXnDNxUJJI7mTvhNV5119khnYw4/view?usp=drivesdk" TargetMode="External"/><Relationship Id="rId1557" Type="http://schemas.openxmlformats.org/officeDocument/2006/relationships/hyperlink" Target="https://lh5.googleusercontent.com/d/1uT56qFkrubhnDlWbA6HykGPsJaG6v8zA" TargetMode="External"/><Relationship Id="rId1558" Type="http://schemas.openxmlformats.org/officeDocument/2006/relationships/hyperlink" Target="https://drive.google.com/file/d/1hVdR5TkhH5hbTTQSGPIYYOY3BodFzb7g/view?usp=drivesdk" TargetMode="External"/><Relationship Id="rId1559" Type="http://schemas.openxmlformats.org/officeDocument/2006/relationships/hyperlink" Target="https://lh5.googleusercontent.com/d/12gaQKAtxV9kEZSN21fE5VxomBItLyH_0" TargetMode="External"/><Relationship Id="rId965" Type="http://schemas.openxmlformats.org/officeDocument/2006/relationships/hyperlink" Target="https://drive.google.com/file/d/1P4x4tQuVX86Oq4uF7WVdK0kpqH8HRZPE/view?usp=drivesdk" TargetMode="External"/><Relationship Id="rId964" Type="http://schemas.openxmlformats.org/officeDocument/2006/relationships/hyperlink" Target="https://lh5.googleusercontent.com/d/1uStvP-Xg-cSKGjQveW7nArr8i8AjnJjX" TargetMode="External"/><Relationship Id="rId963" Type="http://schemas.openxmlformats.org/officeDocument/2006/relationships/hyperlink" Target="https://drive.google.com/file/d/1blzD6AoJkxj7nmXNzmgadF_oFLnWSnJB/view?usp=drivesdk" TargetMode="External"/><Relationship Id="rId962" Type="http://schemas.openxmlformats.org/officeDocument/2006/relationships/hyperlink" Target="https://lh5.googleusercontent.com/d/1-b8-y6XPLN_qlVkreSykKTyz2J-_-gB3" TargetMode="External"/><Relationship Id="rId969" Type="http://schemas.openxmlformats.org/officeDocument/2006/relationships/hyperlink" Target="https://drive.google.com/file/d/1uY_-d37GXO1HxPbmETL_kJL76HHFQUM_/view?usp=drivesdk" TargetMode="External"/><Relationship Id="rId968" Type="http://schemas.openxmlformats.org/officeDocument/2006/relationships/hyperlink" Target="https://lh5.googleusercontent.com/d/10ByQkQ3Ak-0q0hE-kvrxVJ8ZgsK0EBCF" TargetMode="External"/><Relationship Id="rId967" Type="http://schemas.openxmlformats.org/officeDocument/2006/relationships/hyperlink" Target="https://drive.google.com/file/d/1KXwTxdmJ9f_mskLzd0d-NmDegXTFPCEB/view?usp=drivesdk" TargetMode="External"/><Relationship Id="rId966" Type="http://schemas.openxmlformats.org/officeDocument/2006/relationships/hyperlink" Target="https://lh5.googleusercontent.com/d/1wHs44O5-xHbM2xKuN9Iu48RsmXIHUraa" TargetMode="External"/><Relationship Id="rId961" Type="http://schemas.openxmlformats.org/officeDocument/2006/relationships/hyperlink" Target="https://drive.google.com/file/d/1zwHbYjRD8LOfrANFL0EPAV1a8UjJCCxC/view?usp=drivesdk" TargetMode="External"/><Relationship Id="rId1550" Type="http://schemas.openxmlformats.org/officeDocument/2006/relationships/hyperlink" Target="https://drive.google.com/file/d/15vSeXhMBLxTFSg1md1y1-I9s-ZMR4qrM/view?usp=drivesdk" TargetMode="External"/><Relationship Id="rId960" Type="http://schemas.openxmlformats.org/officeDocument/2006/relationships/hyperlink" Target="https://lh5.googleusercontent.com/d/1XyH9t4FZdIPRE6-k5gACUyxlntVGinp7" TargetMode="External"/><Relationship Id="rId1551" Type="http://schemas.openxmlformats.org/officeDocument/2006/relationships/hyperlink" Target="https://lh5.googleusercontent.com/d/1eL7rhoZIT9C7_bFnGWGxVB_UYtYo8_m3" TargetMode="External"/><Relationship Id="rId1552" Type="http://schemas.openxmlformats.org/officeDocument/2006/relationships/hyperlink" Target="https://drive.google.com/file/d/1E1dm4I2tPBeRoat4D54CPIeSy8uvyitd/view?usp=drivesdk" TargetMode="External"/><Relationship Id="rId1553" Type="http://schemas.openxmlformats.org/officeDocument/2006/relationships/hyperlink" Target="https://lh5.googleusercontent.com/d/1Iob-JH5GrAzxglvbceQLPCLa5fQ0IxuV" TargetMode="External"/><Relationship Id="rId1543" Type="http://schemas.openxmlformats.org/officeDocument/2006/relationships/hyperlink" Target="https://lh5.googleusercontent.com/d/1yUkoQf6eOGH19vhCX3kvnf0w2G1atz1T" TargetMode="External"/><Relationship Id="rId1544" Type="http://schemas.openxmlformats.org/officeDocument/2006/relationships/hyperlink" Target="https://drive.google.com/file/d/1aU2497CLzl_3WcmKUMVp8awnu5fcR1g5/view?usp=drivesdk" TargetMode="External"/><Relationship Id="rId1545" Type="http://schemas.openxmlformats.org/officeDocument/2006/relationships/hyperlink" Target="https://lh5.googleusercontent.com/d/1KLbZ-HKnq7JJSva8n-5ghQzNp_KAK3zY" TargetMode="External"/><Relationship Id="rId1546" Type="http://schemas.openxmlformats.org/officeDocument/2006/relationships/hyperlink" Target="https://drive.google.com/file/d/1jS7ft5J8SuTqGd9KvWYexnKTJVw5vroL/view?usp=drivesdk" TargetMode="External"/><Relationship Id="rId1547" Type="http://schemas.openxmlformats.org/officeDocument/2006/relationships/hyperlink" Target="https://lh5.googleusercontent.com/d/1_hyGjDSMbPD7fz_3ctSnT1W670sML8q9" TargetMode="External"/><Relationship Id="rId1548" Type="http://schemas.openxmlformats.org/officeDocument/2006/relationships/hyperlink" Target="https://drive.google.com/file/d/10CzkWUZBpWvvcwpANuW90IjAxrwH7xbe/view?usp=drivesdk" TargetMode="External"/><Relationship Id="rId1549" Type="http://schemas.openxmlformats.org/officeDocument/2006/relationships/hyperlink" Target="https://lh5.googleusercontent.com/d/1lJQPMW3PL00sxbLWpY2sk-SMqHIREA2u" TargetMode="External"/><Relationship Id="rId959" Type="http://schemas.openxmlformats.org/officeDocument/2006/relationships/hyperlink" Target="https://drive.google.com/file/d/10m0QjXuGergL5ifnE3XkGCTJ1Ty6R9UB/view?usp=drivesdk" TargetMode="External"/><Relationship Id="rId954" Type="http://schemas.openxmlformats.org/officeDocument/2006/relationships/hyperlink" Target="https://lh5.googleusercontent.com/d/1DNjvH3RKz1tM83KW70VbDvvqkVPXAbrG" TargetMode="External"/><Relationship Id="rId953" Type="http://schemas.openxmlformats.org/officeDocument/2006/relationships/hyperlink" Target="https://drive.google.com/file/d/1Zv94FaynEJU_ekMTR7H67dT_MZ0AMHtl/view?usp=drivesdk" TargetMode="External"/><Relationship Id="rId952" Type="http://schemas.openxmlformats.org/officeDocument/2006/relationships/hyperlink" Target="https://lh5.googleusercontent.com/d/167byxzzuAbYHzQcmc_nuBJPSCCBLoqzJ" TargetMode="External"/><Relationship Id="rId951" Type="http://schemas.openxmlformats.org/officeDocument/2006/relationships/hyperlink" Target="https://drive.google.com/file/d/1POUXviyRW0I4MJjQwoezp_uK6kGELBYp/view?usp=drivesdk" TargetMode="External"/><Relationship Id="rId958" Type="http://schemas.openxmlformats.org/officeDocument/2006/relationships/hyperlink" Target="https://lh5.googleusercontent.com/d/1dDHFgnjyvlsNcWratZ2Sjoyla8CBCKhH" TargetMode="External"/><Relationship Id="rId957" Type="http://schemas.openxmlformats.org/officeDocument/2006/relationships/hyperlink" Target="https://drive.google.com/file/d/1hHCZ23rExnxGahXfsk-Mjxn9mSUbVZK2/view?usp=drivesdk" TargetMode="External"/><Relationship Id="rId956" Type="http://schemas.openxmlformats.org/officeDocument/2006/relationships/hyperlink" Target="https://lh5.googleusercontent.com/d/14GGGyeDPTDrF9209-UXeilWtEuN91m4G" TargetMode="External"/><Relationship Id="rId955" Type="http://schemas.openxmlformats.org/officeDocument/2006/relationships/hyperlink" Target="https://drive.google.com/file/d/1PkdbK_-3msFHeJJVquRX9g0K8SJfS1gl/view?usp=drivesdk" TargetMode="External"/><Relationship Id="rId950" Type="http://schemas.openxmlformats.org/officeDocument/2006/relationships/hyperlink" Target="https://lh5.googleusercontent.com/d/1GFhiaNQgaZQWytny57zanG0iwRHAWU7L" TargetMode="External"/><Relationship Id="rId1540" Type="http://schemas.openxmlformats.org/officeDocument/2006/relationships/hyperlink" Target="https://drive.google.com/file/d/1CCCFNjLBgsDAIVbiLYD4zjZkkWgpzttZ/view?usp=drivesdk" TargetMode="External"/><Relationship Id="rId1541" Type="http://schemas.openxmlformats.org/officeDocument/2006/relationships/hyperlink" Target="https://lh5.googleusercontent.com/d/1TRQE7cwKzag2xo-p3hegcSY7vjwy63Qp" TargetMode="External"/><Relationship Id="rId1542" Type="http://schemas.openxmlformats.org/officeDocument/2006/relationships/hyperlink" Target="https://drive.google.com/file/d/1PHBRQyPammGSXG4097MbAkJjT28DYEJK/view?usp=drivesdk" TargetMode="External"/><Relationship Id="rId107" Type="http://schemas.openxmlformats.org/officeDocument/2006/relationships/hyperlink" Target="https://lh5.googleusercontent.com/d/1eMZ9m29qWHq43t2dJb_syatkiVqq70Ad" TargetMode="External"/><Relationship Id="rId106" Type="http://schemas.openxmlformats.org/officeDocument/2006/relationships/hyperlink" Target="https://drive.google.com/file/d/1WpoiCX0kE286Y72TyJHw3nAPE77lPYXA/view?usp=drivesdk" TargetMode="External"/><Relationship Id="rId105" Type="http://schemas.openxmlformats.org/officeDocument/2006/relationships/hyperlink" Target="https://lh5.googleusercontent.com/d/1W1KjKgERilyOhmjCvTW5WXWzAriV9FV7" TargetMode="External"/><Relationship Id="rId104" Type="http://schemas.openxmlformats.org/officeDocument/2006/relationships/hyperlink" Target="https://drive.google.com/file/d/1Z3Naoc44ufA86pEZcM2Xcf_ADv-JjbAn/view?usp=drivesdk" TargetMode="External"/><Relationship Id="rId109" Type="http://schemas.openxmlformats.org/officeDocument/2006/relationships/hyperlink" Target="https://lh5.googleusercontent.com/d/1SRJxw67XZMfMCedAObvNgzdfN6hfi0kH" TargetMode="External"/><Relationship Id="rId108" Type="http://schemas.openxmlformats.org/officeDocument/2006/relationships/hyperlink" Target="https://drive.google.com/file/d/1xE6rhesLCkQDb1gjBX9OmsDLXhbQ0DKR/view?usp=drivesdk" TargetMode="External"/><Relationship Id="rId103" Type="http://schemas.openxmlformats.org/officeDocument/2006/relationships/hyperlink" Target="https://lh5.googleusercontent.com/d/1ybh2wDJbNgFskXIqIuqzk1tkoGg8T7SY" TargetMode="External"/><Relationship Id="rId102" Type="http://schemas.openxmlformats.org/officeDocument/2006/relationships/hyperlink" Target="https://drive.google.com/file/d/1QyLbM3Xzdx3iX75TD5amJThpPIZ-E9HK/view?usp=drivesdk" TargetMode="External"/><Relationship Id="rId101" Type="http://schemas.openxmlformats.org/officeDocument/2006/relationships/hyperlink" Target="https://lh5.googleusercontent.com/d/1Tzl9W2v0R7r1512Z3RL7Ul_YurlAFkVr" TargetMode="External"/><Relationship Id="rId100" Type="http://schemas.openxmlformats.org/officeDocument/2006/relationships/hyperlink" Target="https://drive.google.com/file/d/1-kYbScVJ2ECKbwvwh2bFPv4c6u99y1rl/view?usp=drivesdk" TargetMode="External"/><Relationship Id="rId129" Type="http://schemas.openxmlformats.org/officeDocument/2006/relationships/hyperlink" Target="https://lh5.googleusercontent.com/d/1FsmBGfWWBxCg_mhfYNFCRIwa_3G-RDOs" TargetMode="External"/><Relationship Id="rId128" Type="http://schemas.openxmlformats.org/officeDocument/2006/relationships/hyperlink" Target="https://drive.google.com/file/d/1DqRG6D3VbMRjtyQR59ncRQa9KTt_yfw-/view?usp=drivesdk" TargetMode="External"/><Relationship Id="rId127" Type="http://schemas.openxmlformats.org/officeDocument/2006/relationships/hyperlink" Target="https://lh5.googleusercontent.com/d/1VY-kJ3XU1xSO9A9NTFJDLnL-trEHkXF7" TargetMode="External"/><Relationship Id="rId126" Type="http://schemas.openxmlformats.org/officeDocument/2006/relationships/hyperlink" Target="https://drive.google.com/file/d/15VgShAi78Aw2fDKP3U9mZYDAeZTrJNHt/view?usp=drivesdk" TargetMode="External"/><Relationship Id="rId121" Type="http://schemas.openxmlformats.org/officeDocument/2006/relationships/hyperlink" Target="https://lh5.googleusercontent.com/d/1LpjjGtLjmIPeMZRiof0kGsZ06w40RynL" TargetMode="External"/><Relationship Id="rId120" Type="http://schemas.openxmlformats.org/officeDocument/2006/relationships/hyperlink" Target="https://drive.google.com/file/d/1KkIGK7XBKQqslYUtRNnADSC0weUTL4k0/view?usp=drivesdk" TargetMode="External"/><Relationship Id="rId125" Type="http://schemas.openxmlformats.org/officeDocument/2006/relationships/hyperlink" Target="https://lh5.googleusercontent.com/d/1gSliQxxhFOJ73fzYMzp3FIgZlKSRCjle" TargetMode="External"/><Relationship Id="rId124" Type="http://schemas.openxmlformats.org/officeDocument/2006/relationships/hyperlink" Target="https://drive.google.com/file/d/1gj2T1qSfHnxT4l58I5q9eS5sChkwBRjV/view?usp=drivesdk" TargetMode="External"/><Relationship Id="rId123" Type="http://schemas.openxmlformats.org/officeDocument/2006/relationships/hyperlink" Target="https://lh5.googleusercontent.com/d/1eR0KcWMf-5_7POszNn61dSZF7tN_2Dwp" TargetMode="External"/><Relationship Id="rId122" Type="http://schemas.openxmlformats.org/officeDocument/2006/relationships/hyperlink" Target="https://drive.google.com/file/d/1QpTgAmrNKqe8e7gE-_QNaenRFzXqHBU2/view?usp=drivesdk" TargetMode="External"/><Relationship Id="rId118" Type="http://schemas.openxmlformats.org/officeDocument/2006/relationships/hyperlink" Target="https://drive.google.com/file/d/1R0gnrIePDwfsfBdWp7n1Y8CipWuyY3JI/view?usp=drivesdk" TargetMode="External"/><Relationship Id="rId117" Type="http://schemas.openxmlformats.org/officeDocument/2006/relationships/hyperlink" Target="https://lh5.googleusercontent.com/d/1jw9duj5RsezNsaJV8cTvyojJuMsD-JCD" TargetMode="External"/><Relationship Id="rId116" Type="http://schemas.openxmlformats.org/officeDocument/2006/relationships/hyperlink" Target="https://drive.google.com/file/d/1nFC8DeSWQ2y8klhYgCcYGReXQIBAPilS/view?usp=drivesdk" TargetMode="External"/><Relationship Id="rId115" Type="http://schemas.openxmlformats.org/officeDocument/2006/relationships/hyperlink" Target="https://lh5.googleusercontent.com/d/1UoRPq1cidPbh9zWHjUrB9gvJBfek82WW" TargetMode="External"/><Relationship Id="rId119" Type="http://schemas.openxmlformats.org/officeDocument/2006/relationships/hyperlink" Target="https://lh5.googleusercontent.com/d/1S8tYAavtLb0O1HkJxowho_oIZN_zo1g7" TargetMode="External"/><Relationship Id="rId110" Type="http://schemas.openxmlformats.org/officeDocument/2006/relationships/hyperlink" Target="https://drive.google.com/file/d/1m1nVBV1JnD08hHiHscjEUilyks-XEr_t/view?usp=drivesdk" TargetMode="External"/><Relationship Id="rId114" Type="http://schemas.openxmlformats.org/officeDocument/2006/relationships/hyperlink" Target="https://drive.google.com/file/d/1uCyuuBHHYfamg6yQ2NagRMZj_U4HoTkI/view?usp=drivesdk" TargetMode="External"/><Relationship Id="rId113" Type="http://schemas.openxmlformats.org/officeDocument/2006/relationships/hyperlink" Target="https://lh5.googleusercontent.com/d/1sNDqUYfzzaF4Nt2DS0yRi17qzRbZa0Ma" TargetMode="External"/><Relationship Id="rId112" Type="http://schemas.openxmlformats.org/officeDocument/2006/relationships/hyperlink" Target="https://drive.google.com/file/d/1wOZCOaEKLumyXoUts7uyb5wM-J2e1F7R/view?usp=drivesdk" TargetMode="External"/><Relationship Id="rId111" Type="http://schemas.openxmlformats.org/officeDocument/2006/relationships/hyperlink" Target="https://lh5.googleusercontent.com/d/1VXIxtvEs9X06yL7uoxWjBczxlEvpwPUx" TargetMode="External"/><Relationship Id="rId1610" Type="http://schemas.openxmlformats.org/officeDocument/2006/relationships/hyperlink" Target="https://drive.google.com/file/d/16s5MEJxBl1-qDSrjoxkSm-hI67r8FTWF/view?usp=drivesdk" TargetMode="External"/><Relationship Id="rId1611" Type="http://schemas.openxmlformats.org/officeDocument/2006/relationships/hyperlink" Target="https://lh5.googleusercontent.com/d/1N8H_VWhWq0YdrkCBeJqEDUZu8Syib3CH" TargetMode="External"/><Relationship Id="rId1612" Type="http://schemas.openxmlformats.org/officeDocument/2006/relationships/hyperlink" Target="https://drive.google.com/file/d/1k_yCRX5Ub1BKBCQO5IPouTe18jRdvMu0/view?usp=drivesdk" TargetMode="External"/><Relationship Id="rId1613" Type="http://schemas.openxmlformats.org/officeDocument/2006/relationships/hyperlink" Target="https://lh5.googleusercontent.com/d/1AIo5P6mx4WP7C2sF94aq9sLLqnIr-cUE" TargetMode="External"/><Relationship Id="rId1614" Type="http://schemas.openxmlformats.org/officeDocument/2006/relationships/hyperlink" Target="https://drive.google.com/file/d/1nnM_0gGZaW_qPxuL5zKgY8qw6gPKD7_8/view?usp=drivesdk" TargetMode="External"/><Relationship Id="rId1615" Type="http://schemas.openxmlformats.org/officeDocument/2006/relationships/hyperlink" Target="https://lh5.googleusercontent.com/d/1TDicQiJak8MGj5UEOzSJqht1EP-9RuN5" TargetMode="External"/><Relationship Id="rId1616" Type="http://schemas.openxmlformats.org/officeDocument/2006/relationships/hyperlink" Target="https://drive.google.com/file/d/1DZ4Sd8RCEmVuqvQXgR-_3DBfCQRvg59J/view?usp=drivesdk" TargetMode="External"/><Relationship Id="rId907" Type="http://schemas.openxmlformats.org/officeDocument/2006/relationships/hyperlink" Target="https://lh5.googleusercontent.com/d/1NYp6HIwbC7yuXFVGMcvoPxF9Yk8nrEOv" TargetMode="External"/><Relationship Id="rId1617" Type="http://schemas.openxmlformats.org/officeDocument/2006/relationships/hyperlink" Target="https://lh5.googleusercontent.com/d/1EtJf5i5TuKxVLDICm7XVANhSdblVrL-u" TargetMode="External"/><Relationship Id="rId906" Type="http://schemas.openxmlformats.org/officeDocument/2006/relationships/hyperlink" Target="https://drive.google.com/file/d/1w7nRfj8bpy8-b1aTJfEecyI-sUw0RyKW/view?usp=drivesdk" TargetMode="External"/><Relationship Id="rId1618" Type="http://schemas.openxmlformats.org/officeDocument/2006/relationships/hyperlink" Target="https://drive.google.com/file/d/11dk-2fuQFg3Jb709T1UKXLfzmZFbgOmA/view?usp=drivesdk" TargetMode="External"/><Relationship Id="rId905" Type="http://schemas.openxmlformats.org/officeDocument/2006/relationships/hyperlink" Target="https://lh5.googleusercontent.com/d/1i6KDKL-kMtMOvKxmILwPf_KNOrhA6-22" TargetMode="External"/><Relationship Id="rId1619" Type="http://schemas.openxmlformats.org/officeDocument/2006/relationships/hyperlink" Target="https://lh5.googleusercontent.com/d/1WQfaWT8W2LCNyQL3Z2hndNnH9Rac2789" TargetMode="External"/><Relationship Id="rId904" Type="http://schemas.openxmlformats.org/officeDocument/2006/relationships/hyperlink" Target="https://drive.google.com/file/d/1dH2Qfc1athF78MMRgR6jy7nIYGURT4w_/view?usp=drivesdk" TargetMode="External"/><Relationship Id="rId909" Type="http://schemas.openxmlformats.org/officeDocument/2006/relationships/hyperlink" Target="https://drive.google.com/file/d/17FTtsZvwPp-GRRqeFe875hR08Q7zrU90/view?usp=drivesdk" TargetMode="External"/><Relationship Id="rId908" Type="http://schemas.openxmlformats.org/officeDocument/2006/relationships/hyperlink" Target="https://drive.google.com/file/d/1vMUh-VsYX8CkaKiPjNkqHgcuE1Nys11p/view?usp=drivesdk" TargetMode="External"/><Relationship Id="rId903" Type="http://schemas.openxmlformats.org/officeDocument/2006/relationships/hyperlink" Target="https://lh5.googleusercontent.com/d/1j_YhQQqr23EXO1BJhUSTI28oEuC8Vz36" TargetMode="External"/><Relationship Id="rId902" Type="http://schemas.openxmlformats.org/officeDocument/2006/relationships/hyperlink" Target="https://drive.google.com/file/d/1g9N2A2V1ThLznPos9PCjL__o8GEBKz_7/view?usp=drivesdk" TargetMode="External"/><Relationship Id="rId901" Type="http://schemas.openxmlformats.org/officeDocument/2006/relationships/hyperlink" Target="https://lh5.googleusercontent.com/d/1uSJJgUJ_RtgfNnrWjCkSyB7Jn2F8IG9x" TargetMode="External"/><Relationship Id="rId900" Type="http://schemas.openxmlformats.org/officeDocument/2006/relationships/hyperlink" Target="https://drive.google.com/file/d/1WKeBLPjXIDo5IwMqGktjXH-rgASAr17q/view?usp=drivesdk" TargetMode="External"/><Relationship Id="rId1600" Type="http://schemas.openxmlformats.org/officeDocument/2006/relationships/hyperlink" Target="https://drive.google.com/file/d/1eTbA72Jn4yz5j7Ewo5b3RtgPCZ09C_D0/view?usp=drivesdk" TargetMode="External"/><Relationship Id="rId1601" Type="http://schemas.openxmlformats.org/officeDocument/2006/relationships/hyperlink" Target="https://lh5.googleusercontent.com/d/1vNJir2RrvjeCMJXD-idRBYS8bw4SokyH" TargetMode="External"/><Relationship Id="rId1602" Type="http://schemas.openxmlformats.org/officeDocument/2006/relationships/hyperlink" Target="https://drive.google.com/file/d/1aS8eiTsZzOKNyDHFDyOWpbafuQQ4xSmn/view?usp=drivesdk" TargetMode="External"/><Relationship Id="rId1603" Type="http://schemas.openxmlformats.org/officeDocument/2006/relationships/hyperlink" Target="https://lh5.googleusercontent.com/d/1j7kF_Fkv4R0oom6iNiFEMqy8n5C60ffB" TargetMode="External"/><Relationship Id="rId1604" Type="http://schemas.openxmlformats.org/officeDocument/2006/relationships/hyperlink" Target="https://drive.google.com/file/d/1PJYjnO0SJiAPxqfI41IzNlICLJl3okcD/view?usp=drivesdk" TargetMode="External"/><Relationship Id="rId1605" Type="http://schemas.openxmlformats.org/officeDocument/2006/relationships/hyperlink" Target="https://lh5.googleusercontent.com/d/19Dbp4XvcmZZ0hQCY3S1UHMceM_E58XK2" TargetMode="External"/><Relationship Id="rId1606" Type="http://schemas.openxmlformats.org/officeDocument/2006/relationships/hyperlink" Target="https://drive.google.com/file/d/17opHE1EHiFnkTzc39q9vXJyvSu6l0Dap/view?usp=drivesdk" TargetMode="External"/><Relationship Id="rId1607" Type="http://schemas.openxmlformats.org/officeDocument/2006/relationships/hyperlink" Target="https://lh5.googleusercontent.com/d/1JhZe63NyL8gFTgaH-pUqMDA6b2M38Xfn" TargetMode="External"/><Relationship Id="rId1608" Type="http://schemas.openxmlformats.org/officeDocument/2006/relationships/hyperlink" Target="https://drive.google.com/file/d/1eV_mE3VJul5noWwdcIl4-hCzUX8bBaq0/view?usp=drivesdk" TargetMode="External"/><Relationship Id="rId1609" Type="http://schemas.openxmlformats.org/officeDocument/2006/relationships/hyperlink" Target="https://lh5.googleusercontent.com/d/1APqfsBjmUI50F1Zh428HaAMIeMOPdHCm" TargetMode="External"/><Relationship Id="rId1631" Type="http://schemas.openxmlformats.org/officeDocument/2006/relationships/hyperlink" Target="https://lh5.googleusercontent.com/d/177uygTfAhMufMqblN4vSTKb8T2wwfpNi" TargetMode="External"/><Relationship Id="rId1632" Type="http://schemas.openxmlformats.org/officeDocument/2006/relationships/hyperlink" Target="https://drive.google.com/file/d/1IiNuyk8cp1guj22fbyxqGJdsaZdZNo4e/view?usp=drivesdk" TargetMode="External"/><Relationship Id="rId1633" Type="http://schemas.openxmlformats.org/officeDocument/2006/relationships/hyperlink" Target="https://lh5.googleusercontent.com/d/1-Nl6NS5krvWfSFDhAhRvWzMvDLLRolBy" TargetMode="External"/><Relationship Id="rId1634" Type="http://schemas.openxmlformats.org/officeDocument/2006/relationships/hyperlink" Target="https://drive.google.com/file/d/1dSWtlBh3VWJASTpCcBUMbIJI2L1N5x7L/view?usp=drivesdk" TargetMode="External"/><Relationship Id="rId1635" Type="http://schemas.openxmlformats.org/officeDocument/2006/relationships/hyperlink" Target="https://lh5.googleusercontent.com/d/1qXIK7sZI4EOPmBqe2Ke9eJVJ0ihhwtaD" TargetMode="External"/><Relationship Id="rId1636" Type="http://schemas.openxmlformats.org/officeDocument/2006/relationships/hyperlink" Target="https://drive.google.com/file/d/1JGYSM4qM60qpEy-vkTLxp-ZZzYW4CLBc/view?usp=drivesdk" TargetMode="External"/><Relationship Id="rId1637" Type="http://schemas.openxmlformats.org/officeDocument/2006/relationships/hyperlink" Target="https://lh5.googleusercontent.com/d/1spODMp3cN-f2N4MbzxVs4r_rzAWO9TLi" TargetMode="External"/><Relationship Id="rId1638" Type="http://schemas.openxmlformats.org/officeDocument/2006/relationships/hyperlink" Target="https://drive.google.com/file/d/1--p3fa_im5JBfmq5Ix8X1xlMsJa0iG8T/view?usp=drivesdk" TargetMode="External"/><Relationship Id="rId929" Type="http://schemas.openxmlformats.org/officeDocument/2006/relationships/hyperlink" Target="https://drive.google.com/file/d/1TBojmQTASRzM-_IlMaIVX1yzS2e0yxRQ/view?usp=drivesdk" TargetMode="External"/><Relationship Id="rId1639" Type="http://schemas.openxmlformats.org/officeDocument/2006/relationships/hyperlink" Target="https://lh5.googleusercontent.com/d/1TIUX4IMh8v1mSDcz-xvBxgDi6ZVu4z3G" TargetMode="External"/><Relationship Id="rId928" Type="http://schemas.openxmlformats.org/officeDocument/2006/relationships/hyperlink" Target="https://lh5.googleusercontent.com/d/1UzQqJXBjK309LScv7IWV06gMDluGmvOg" TargetMode="External"/><Relationship Id="rId927" Type="http://schemas.openxmlformats.org/officeDocument/2006/relationships/hyperlink" Target="https://drive.google.com/file/d/13yOqxIgpkej0SWCox2wsfCGbmbKyi1kv/view?usp=drivesdk" TargetMode="External"/><Relationship Id="rId926" Type="http://schemas.openxmlformats.org/officeDocument/2006/relationships/hyperlink" Target="https://lh5.googleusercontent.com/d/12UfSBe4q0N_T2gbeaqJFZoLBB-_yUlLF" TargetMode="External"/><Relationship Id="rId921" Type="http://schemas.openxmlformats.org/officeDocument/2006/relationships/hyperlink" Target="https://drive.google.com/file/d/19h_RRhQgFDX0LqnFlQ4f_IihBLuJ4Av1/view?usp=drivesdk" TargetMode="External"/><Relationship Id="rId920" Type="http://schemas.openxmlformats.org/officeDocument/2006/relationships/hyperlink" Target="https://lh5.googleusercontent.com/d/1zLdPJbvg9MsGPPPRYiV5ZVhtm9D9_osx" TargetMode="External"/><Relationship Id="rId925" Type="http://schemas.openxmlformats.org/officeDocument/2006/relationships/hyperlink" Target="https://drive.google.com/file/d/1j6BM8nsZOK0aFIzFPmXXByVYwt0QCfLO/view?usp=drivesdk" TargetMode="External"/><Relationship Id="rId924" Type="http://schemas.openxmlformats.org/officeDocument/2006/relationships/hyperlink" Target="https://lh5.googleusercontent.com/d/1WlbP9l1Q4K-BCdiS4OCeGx1_TzBJfs5i" TargetMode="External"/><Relationship Id="rId923" Type="http://schemas.openxmlformats.org/officeDocument/2006/relationships/hyperlink" Target="https://drive.google.com/file/d/1TuNP1KnJVJe-cT5f8tdYGVnjueIdcQd6/view?usp=drivesdk" TargetMode="External"/><Relationship Id="rId922" Type="http://schemas.openxmlformats.org/officeDocument/2006/relationships/hyperlink" Target="https://lh5.googleusercontent.com/d/19ghP2Axuqk7ALSGM9DtzxlZx_5pHwpYV" TargetMode="External"/><Relationship Id="rId1630" Type="http://schemas.openxmlformats.org/officeDocument/2006/relationships/hyperlink" Target="https://drive.google.com/file/d/10GgV373rM6MK4EH6muKl5UAwuwdJlfke/view?usp=drivesdk" TargetMode="External"/><Relationship Id="rId1620" Type="http://schemas.openxmlformats.org/officeDocument/2006/relationships/hyperlink" Target="https://drive.google.com/file/d/1-mR9Q_1bHyK71x-K2-2BB2DQuYTKEYdy/view?usp=drivesdk" TargetMode="External"/><Relationship Id="rId1621" Type="http://schemas.openxmlformats.org/officeDocument/2006/relationships/hyperlink" Target="https://lh5.googleusercontent.com/d/145vLhk7vfTWrtusaEQEP3dhQRmXzSkP6" TargetMode="External"/><Relationship Id="rId1622" Type="http://schemas.openxmlformats.org/officeDocument/2006/relationships/hyperlink" Target="https://drive.google.com/file/d/1pae5z0CT0i0L7o7bRMMInr1LuPI4P5BY/view?usp=drivesdk" TargetMode="External"/><Relationship Id="rId1623" Type="http://schemas.openxmlformats.org/officeDocument/2006/relationships/hyperlink" Target="https://lh5.googleusercontent.com/d/1dozsjmY5w2nqpJdO1aySlWOCJBphNcaU" TargetMode="External"/><Relationship Id="rId1624" Type="http://schemas.openxmlformats.org/officeDocument/2006/relationships/hyperlink" Target="https://drive.google.com/file/d/1BlondYAwuzGuCnITVXanvlbom-k_fVF2/view?usp=drivesdk" TargetMode="External"/><Relationship Id="rId1625" Type="http://schemas.openxmlformats.org/officeDocument/2006/relationships/hyperlink" Target="https://lh5.googleusercontent.com/d/1KmgCRh2HM2qd2Sat6Jk-WR4A2QGcFqQs" TargetMode="External"/><Relationship Id="rId1626" Type="http://schemas.openxmlformats.org/officeDocument/2006/relationships/hyperlink" Target="https://drive.google.com/file/d/1tT3fUgVYFxnaMLU8_80S8p4x_Qjlmvmi/view?usp=drivesdk" TargetMode="External"/><Relationship Id="rId1627" Type="http://schemas.openxmlformats.org/officeDocument/2006/relationships/hyperlink" Target="https://lh5.googleusercontent.com/d/1zuq6abcHhXBefHCPwRD5qG6eh43UeSPb" TargetMode="External"/><Relationship Id="rId918" Type="http://schemas.openxmlformats.org/officeDocument/2006/relationships/hyperlink" Target="https://lh5.googleusercontent.com/d/15oxdzaMytuCkpIBbYWjKICn_njYt-0is" TargetMode="External"/><Relationship Id="rId1628" Type="http://schemas.openxmlformats.org/officeDocument/2006/relationships/hyperlink" Target="https://drive.google.com/file/d/1dEw9Cg7L6YrKqjboIPMZv-OoCFgKqjiC/view?usp=drivesdk" TargetMode="External"/><Relationship Id="rId917" Type="http://schemas.openxmlformats.org/officeDocument/2006/relationships/hyperlink" Target="https://drive.google.com/file/d/1OY0D71d2K1_STBBp6E_wrL5Xq_gMzxSa/view?usp=drivesdk" TargetMode="External"/><Relationship Id="rId1629" Type="http://schemas.openxmlformats.org/officeDocument/2006/relationships/hyperlink" Target="https://lh5.googleusercontent.com/d/14F9UNEFjcok-0S2jjmVes6t8XjE_xhgN" TargetMode="External"/><Relationship Id="rId916" Type="http://schemas.openxmlformats.org/officeDocument/2006/relationships/hyperlink" Target="https://lh5.googleusercontent.com/d/1ZhX5Fcgie8rLm5N9Sk2Gy9nlttwvCIlU" TargetMode="External"/><Relationship Id="rId915" Type="http://schemas.openxmlformats.org/officeDocument/2006/relationships/hyperlink" Target="https://drive.google.com/file/d/1Bfh8GePfefqV6RDsGD6fz-eQMfbl4z9M/view?usp=drivesdk" TargetMode="External"/><Relationship Id="rId919" Type="http://schemas.openxmlformats.org/officeDocument/2006/relationships/hyperlink" Target="https://drive.google.com/file/d/1ggJGDGdGa8vEljstgGDoIeR986ByQv-j/view?usp=drivesdk" TargetMode="External"/><Relationship Id="rId910" Type="http://schemas.openxmlformats.org/officeDocument/2006/relationships/hyperlink" Target="https://lh5.googleusercontent.com/d/156gfAcyl6sH1sgmnSII_OSwsVGog-59V" TargetMode="External"/><Relationship Id="rId914" Type="http://schemas.openxmlformats.org/officeDocument/2006/relationships/hyperlink" Target="https://lh5.googleusercontent.com/d/1n8DB8zX4nRrmKEut2Fu-r7J47EZra5Za" TargetMode="External"/><Relationship Id="rId913" Type="http://schemas.openxmlformats.org/officeDocument/2006/relationships/hyperlink" Target="https://drive.google.com/file/d/1tniBpGZzknpIzLDqPiSwMl_4heyeGoaK/view?usp=drivesdk" TargetMode="External"/><Relationship Id="rId912" Type="http://schemas.openxmlformats.org/officeDocument/2006/relationships/hyperlink" Target="https://lh5.googleusercontent.com/d/1Grv_OlQkvCXzSWpcZZ3pCB3ZiQZFzofC" TargetMode="External"/><Relationship Id="rId911" Type="http://schemas.openxmlformats.org/officeDocument/2006/relationships/hyperlink" Target="https://drive.google.com/file/d/1zebGRW1z8XhCxR4-S6fwkR8O_PGg9MlN/view?usp=drivesdk" TargetMode="External"/><Relationship Id="rId1697" Type="http://schemas.openxmlformats.org/officeDocument/2006/relationships/hyperlink" Target="https://lh5.googleusercontent.com/d/160r9bLCJhJ6K0JEo3Ueawpbk_9wTTdqv" TargetMode="External"/><Relationship Id="rId1698" Type="http://schemas.openxmlformats.org/officeDocument/2006/relationships/hyperlink" Target="https://drive.google.com/file/d/1dr99QFAMVkxLJM4DIxAqLbd55MmwNkby/view?usp=drivesdk" TargetMode="External"/><Relationship Id="rId1699" Type="http://schemas.openxmlformats.org/officeDocument/2006/relationships/hyperlink" Target="https://drive.google.com/file/d/1p_CLCTdORqtBh-Woksdyi-Ir1suZgLum/view?usp=drivesdk" TargetMode="External"/><Relationship Id="rId866" Type="http://schemas.openxmlformats.org/officeDocument/2006/relationships/hyperlink" Target="https://drive.google.com/file/d/1UCbUr5AjBJ5mxKFf_7ozltGRlqq_s8AU/view?usp=drivesdk" TargetMode="External"/><Relationship Id="rId865" Type="http://schemas.openxmlformats.org/officeDocument/2006/relationships/hyperlink" Target="https://lh5.googleusercontent.com/d/1No9cBR3uaLcNMqr731irDumxsyfBn8QK" TargetMode="External"/><Relationship Id="rId864" Type="http://schemas.openxmlformats.org/officeDocument/2006/relationships/hyperlink" Target="https://drive.google.com/file/d/1SkXYA9NUqx1l6COG3FQiZQAyzbL82A4y/view?usp=drivesdk" TargetMode="External"/><Relationship Id="rId863" Type="http://schemas.openxmlformats.org/officeDocument/2006/relationships/hyperlink" Target="https://lh5.googleusercontent.com/d/1C4_rzZM8VwepHzmJ2AkRLlXJ6D-H_CxQ" TargetMode="External"/><Relationship Id="rId869" Type="http://schemas.openxmlformats.org/officeDocument/2006/relationships/hyperlink" Target="https://lh5.googleusercontent.com/d/1is-SpzZQciM2BxlYYyycrFYhVBXK7jV4" TargetMode="External"/><Relationship Id="rId868" Type="http://schemas.openxmlformats.org/officeDocument/2006/relationships/hyperlink" Target="https://drive.google.com/file/d/1FkUeuDnJAluJKKqnmDlcWTv0seYTXnh4/view?usp=drivesdk" TargetMode="External"/><Relationship Id="rId867" Type="http://schemas.openxmlformats.org/officeDocument/2006/relationships/hyperlink" Target="https://lh5.googleusercontent.com/d/1Fi_du67sOgup8Zk6Cg6N3TgHwojOCCpF" TargetMode="External"/><Relationship Id="rId1690" Type="http://schemas.openxmlformats.org/officeDocument/2006/relationships/hyperlink" Target="https://drive.google.com/file/d/1xq0VpJsRul2lISMIecAks71cxOU8ObcL/view?usp=drivesdk" TargetMode="External"/><Relationship Id="rId1691" Type="http://schemas.openxmlformats.org/officeDocument/2006/relationships/hyperlink" Target="https://lh5.googleusercontent.com/d/1e0T9zKpRSHchtAILQ6V9x7uFW3RAjRBj" TargetMode="External"/><Relationship Id="rId1692" Type="http://schemas.openxmlformats.org/officeDocument/2006/relationships/hyperlink" Target="https://drive.google.com/file/d/1dFXdgxa6h4KwZjEDQ4QYXUfw8NU-3qUG/view?usp=drivesdk" TargetMode="External"/><Relationship Id="rId862" Type="http://schemas.openxmlformats.org/officeDocument/2006/relationships/hyperlink" Target="https://drive.google.com/file/d/1HKAcLgxvveKgkT1jwPejUGKeM95ou-BZ/view?usp=drivesdk" TargetMode="External"/><Relationship Id="rId1693" Type="http://schemas.openxmlformats.org/officeDocument/2006/relationships/hyperlink" Target="https://lh5.googleusercontent.com/d/1AiFdie224xV-qjYgr_joESfWGIJNRrqQ" TargetMode="External"/><Relationship Id="rId861" Type="http://schemas.openxmlformats.org/officeDocument/2006/relationships/hyperlink" Target="https://lh5.googleusercontent.com/d/1IcVIKM6V5aXynZrt2i886E_7a1jJeI0S" TargetMode="External"/><Relationship Id="rId1694" Type="http://schemas.openxmlformats.org/officeDocument/2006/relationships/hyperlink" Target="https://drive.google.com/file/d/1psb4manjrmGTOSNymacrKcPRveqgWP8-/view?usp=drivesdk" TargetMode="External"/><Relationship Id="rId860" Type="http://schemas.openxmlformats.org/officeDocument/2006/relationships/hyperlink" Target="https://drive.google.com/file/d/19-uCJYFKO9mas4ovgkKlC5KrAX4RKA2a/view?usp=drivesdk" TargetMode="External"/><Relationship Id="rId1695" Type="http://schemas.openxmlformats.org/officeDocument/2006/relationships/hyperlink" Target="https://lh5.googleusercontent.com/d/1uQcCzizUv9PRzT8gHfX3dCXB6oBsA7vi" TargetMode="External"/><Relationship Id="rId1696" Type="http://schemas.openxmlformats.org/officeDocument/2006/relationships/hyperlink" Target="https://drive.google.com/file/d/19JjaRZM-EnzKhPW5QsgZLsFBocwRHlc3/view?usp=drivesdk" TargetMode="External"/><Relationship Id="rId1686" Type="http://schemas.openxmlformats.org/officeDocument/2006/relationships/hyperlink" Target="https://drive.google.com/file/d/1BlqwFeYroonTxLLGR3yFKgd5tltD_Sdb/view?usp=drivesdk" TargetMode="External"/><Relationship Id="rId1687" Type="http://schemas.openxmlformats.org/officeDocument/2006/relationships/hyperlink" Target="https://lh5.googleusercontent.com/d/1XGiXUcdgdrLX_GgEdJbtXqmVCH0ettMV" TargetMode="External"/><Relationship Id="rId1688" Type="http://schemas.openxmlformats.org/officeDocument/2006/relationships/hyperlink" Target="https://drive.google.com/file/d/11wTjq6aftQGOgC3RzhHaC0mSS9h4UBVS/view?usp=drivesdk" TargetMode="External"/><Relationship Id="rId1689" Type="http://schemas.openxmlformats.org/officeDocument/2006/relationships/hyperlink" Target="https://lh5.googleusercontent.com/d/1UYdIZG6mwsdNHUukpq8TmmS0XV8fAXjl" TargetMode="External"/><Relationship Id="rId855" Type="http://schemas.openxmlformats.org/officeDocument/2006/relationships/hyperlink" Target="https://lh5.googleusercontent.com/d/1HlwPTCnW9rZj20sx6g4oxctbPPZcf8xs" TargetMode="External"/><Relationship Id="rId854" Type="http://schemas.openxmlformats.org/officeDocument/2006/relationships/hyperlink" Target="https://drive.google.com/file/d/1K2IedBq3HmIP5dYRB9uKKxQYm-4qhFng/view?usp=drivesdk" TargetMode="External"/><Relationship Id="rId853" Type="http://schemas.openxmlformats.org/officeDocument/2006/relationships/hyperlink" Target="https://lh5.googleusercontent.com/d/1Y40msjKEg1XnsCWF69G0wbmrczTL_vdB" TargetMode="External"/><Relationship Id="rId852" Type="http://schemas.openxmlformats.org/officeDocument/2006/relationships/hyperlink" Target="https://drive.google.com/file/d/1Nf5Y35ldmYx2CnSK3vTLNqw3JbZiVWQw/view?usp=drivesdk" TargetMode="External"/><Relationship Id="rId859" Type="http://schemas.openxmlformats.org/officeDocument/2006/relationships/hyperlink" Target="https://lh5.googleusercontent.com/d/1PXZ_MRqicPSGh6jxEO5gBia1l2wvCKWZ" TargetMode="External"/><Relationship Id="rId858" Type="http://schemas.openxmlformats.org/officeDocument/2006/relationships/hyperlink" Target="https://drive.google.com/file/d/1T1gca9UdKjfwWGgGdEeKzKaNCQAhncT2/view?usp=drivesdk" TargetMode="External"/><Relationship Id="rId857" Type="http://schemas.openxmlformats.org/officeDocument/2006/relationships/hyperlink" Target="https://lh5.googleusercontent.com/d/1n64n6V6OqFNMJGdadYJU5Um9hUChHgl-" TargetMode="External"/><Relationship Id="rId856" Type="http://schemas.openxmlformats.org/officeDocument/2006/relationships/hyperlink" Target="https://drive.google.com/file/d/1qZ7wvpJI26xN_6SEerqUpD1Khz0qproP/view?usp=drivesdk" TargetMode="External"/><Relationship Id="rId1680" Type="http://schemas.openxmlformats.org/officeDocument/2006/relationships/hyperlink" Target="https://drive.google.com/file/d/1BM-1Kdfosuo3qZZ17d9aBEyfOO7zf_dT/view?usp=drivesdk" TargetMode="External"/><Relationship Id="rId1681" Type="http://schemas.openxmlformats.org/officeDocument/2006/relationships/hyperlink" Target="https://lh5.googleusercontent.com/d/1mz2jK60Zk6_w6vZoNhK-iw1YU81qrX4R" TargetMode="External"/><Relationship Id="rId851" Type="http://schemas.openxmlformats.org/officeDocument/2006/relationships/hyperlink" Target="https://lh5.googleusercontent.com/d/1HCCc-d5O3MHErv3WGlc5SFlf1M4LOHY8" TargetMode="External"/><Relationship Id="rId1682" Type="http://schemas.openxmlformats.org/officeDocument/2006/relationships/hyperlink" Target="https://drive.google.com/file/d/1ULKnczyllyih6pDY2j_ooHnFXnajNhmG/view?usp=drivesdk" TargetMode="External"/><Relationship Id="rId850" Type="http://schemas.openxmlformats.org/officeDocument/2006/relationships/hyperlink" Target="https://drive.google.com/file/d/1jhvslPE_QGEefUqE4UXgP54GkaDMxA_4/view?usp=drivesdk" TargetMode="External"/><Relationship Id="rId1683" Type="http://schemas.openxmlformats.org/officeDocument/2006/relationships/hyperlink" Target="https://lh5.googleusercontent.com/d/1Oe_yWZOJB8yDv1a9wcBZTi0jTA1wJcWi" TargetMode="External"/><Relationship Id="rId1684" Type="http://schemas.openxmlformats.org/officeDocument/2006/relationships/hyperlink" Target="https://drive.google.com/file/d/1Ru-WSzl_dypDBVw9TkcynwruzIK9bynz/view?usp=drivesdk" TargetMode="External"/><Relationship Id="rId1685" Type="http://schemas.openxmlformats.org/officeDocument/2006/relationships/hyperlink" Target="https://lh5.googleusercontent.com/d/1jEa0XsiGiccUDuUB0JvtoRdUG3ygertF" TargetMode="External"/><Relationship Id="rId888" Type="http://schemas.openxmlformats.org/officeDocument/2006/relationships/hyperlink" Target="https://drive.google.com/file/d/1qKjB9i4rmI8PW1PpVwB52pEkNGWQ3wgc/view?usp=drivesdk" TargetMode="External"/><Relationship Id="rId887" Type="http://schemas.openxmlformats.org/officeDocument/2006/relationships/hyperlink" Target="https://lh5.googleusercontent.com/d/1XqQEqE79o4CGBElvxBu7gO-OE-gCuf1Y" TargetMode="External"/><Relationship Id="rId886" Type="http://schemas.openxmlformats.org/officeDocument/2006/relationships/hyperlink" Target="https://drive.google.com/file/d/1bTGMwMyctdhOi3qPwaZrVS1LHdUhKeGA/view?usp=drivesdk" TargetMode="External"/><Relationship Id="rId885" Type="http://schemas.openxmlformats.org/officeDocument/2006/relationships/hyperlink" Target="https://lh5.googleusercontent.com/d/1EbFIFWZ_kltTFhUtaKo_7wvkGcDSkIul" TargetMode="External"/><Relationship Id="rId889" Type="http://schemas.openxmlformats.org/officeDocument/2006/relationships/hyperlink" Target="https://lh5.googleusercontent.com/d/1M9NmYWJENz4AEUc-VzPr4SlrvD8rrYLs" TargetMode="External"/><Relationship Id="rId880" Type="http://schemas.openxmlformats.org/officeDocument/2006/relationships/hyperlink" Target="https://drive.google.com/file/d/1qn1ePs7oOaLFW3Fxm6HovZjLACf5U07A/view?usp=drivesdk" TargetMode="External"/><Relationship Id="rId884" Type="http://schemas.openxmlformats.org/officeDocument/2006/relationships/hyperlink" Target="https://drive.google.com/file/d/1OGAFKSbZjqe5i5MuOdH-iNunjtrqGjFN/view?usp=drivesdk" TargetMode="External"/><Relationship Id="rId883" Type="http://schemas.openxmlformats.org/officeDocument/2006/relationships/hyperlink" Target="https://lh5.googleusercontent.com/d/1iUAE6lE_I6sUJUWFySvHfe-G2l6pTBWc" TargetMode="External"/><Relationship Id="rId882" Type="http://schemas.openxmlformats.org/officeDocument/2006/relationships/hyperlink" Target="https://drive.google.com/file/d/1-W8Lvat9j5N3wzDW3Om1qPe1mGXvkiaT/view?usp=drivesdk" TargetMode="External"/><Relationship Id="rId881" Type="http://schemas.openxmlformats.org/officeDocument/2006/relationships/hyperlink" Target="https://lh5.googleusercontent.com/d/1FuHAbPZ_AEHTVdNSxkUTfbDmQ4hZls2B" TargetMode="External"/><Relationship Id="rId877" Type="http://schemas.openxmlformats.org/officeDocument/2006/relationships/hyperlink" Target="https://lh5.googleusercontent.com/d/1XKfsvLw4Rey4_1yk-DDrDoNxb_XbA1fJ" TargetMode="External"/><Relationship Id="rId876" Type="http://schemas.openxmlformats.org/officeDocument/2006/relationships/hyperlink" Target="https://drive.google.com/file/d/17aRppDi2lUDUNUXSIWew7ihUjnr5l8st/view?usp=drivesdk" TargetMode="External"/><Relationship Id="rId875" Type="http://schemas.openxmlformats.org/officeDocument/2006/relationships/hyperlink" Target="https://lh5.googleusercontent.com/d/1wGPPbndYHs0K76m8E99zWBNoteqwHg2B" TargetMode="External"/><Relationship Id="rId874" Type="http://schemas.openxmlformats.org/officeDocument/2006/relationships/hyperlink" Target="https://drive.google.com/file/d/1MrooM7WqY_QAomxuk04HVeKwX7aI6_EO/view?usp=drivesdk" TargetMode="External"/><Relationship Id="rId879" Type="http://schemas.openxmlformats.org/officeDocument/2006/relationships/hyperlink" Target="https://lh5.googleusercontent.com/d/1WUtXzRYb-Fsyyy_n84OT1x3crRlZYA5b" TargetMode="External"/><Relationship Id="rId878" Type="http://schemas.openxmlformats.org/officeDocument/2006/relationships/hyperlink" Target="https://drive.google.com/file/d/15jSrVzzUGHIMntFTi5qGRDQlPx7clSAv/view?usp=drivesdk" TargetMode="External"/><Relationship Id="rId873" Type="http://schemas.openxmlformats.org/officeDocument/2006/relationships/hyperlink" Target="https://lh5.googleusercontent.com/d/1e2P8RppaSSETFu--J6WJlUU0WEh3PBlH" TargetMode="External"/><Relationship Id="rId872" Type="http://schemas.openxmlformats.org/officeDocument/2006/relationships/hyperlink" Target="https://drive.google.com/file/d/1dKZd10sZhADMjWRcXsMIJ-_QgNdGHQ5B/view?usp=drivesdk" TargetMode="External"/><Relationship Id="rId871" Type="http://schemas.openxmlformats.org/officeDocument/2006/relationships/hyperlink" Target="https://lh5.googleusercontent.com/d/10BZyaNdl1koI0cGmbtC75jlKbM-ZHPu2" TargetMode="External"/><Relationship Id="rId870" Type="http://schemas.openxmlformats.org/officeDocument/2006/relationships/hyperlink" Target="https://drive.google.com/file/d/1_1GMIBTjiqZUhu5oPUUpbgAi8fqvZkrl/view?usp=drivesdk" TargetMode="External"/><Relationship Id="rId1653" Type="http://schemas.openxmlformats.org/officeDocument/2006/relationships/hyperlink" Target="https://lh5.googleusercontent.com/d/13RNGWoJQU3P0PhQUXn95u7hMILXMzOjt" TargetMode="External"/><Relationship Id="rId1654" Type="http://schemas.openxmlformats.org/officeDocument/2006/relationships/hyperlink" Target="https://drive.google.com/file/d/1LPLt2b8wZ_Kr3UmfyeEYj-c3CW5HqkDf/view?usp=drivesdk" TargetMode="External"/><Relationship Id="rId1655" Type="http://schemas.openxmlformats.org/officeDocument/2006/relationships/hyperlink" Target="https://lh5.googleusercontent.com/d/1YHcC6JhAEdwwEu4TNxXymDE6B3KZhw_T" TargetMode="External"/><Relationship Id="rId1656" Type="http://schemas.openxmlformats.org/officeDocument/2006/relationships/hyperlink" Target="https://drive.google.com/file/d/1MFmSeakwaQFf3G7huJTKCQk4hqJuF6AX/view?usp=drivesdk" TargetMode="External"/><Relationship Id="rId1657" Type="http://schemas.openxmlformats.org/officeDocument/2006/relationships/hyperlink" Target="https://lh5.googleusercontent.com/d/1hTUb1SmD6H7aCQ-lhyaWhbyvuSQKrY3z" TargetMode="External"/><Relationship Id="rId1658" Type="http://schemas.openxmlformats.org/officeDocument/2006/relationships/hyperlink" Target="https://drive.google.com/file/d/12tHOr7hRAksw_i3KkSPSV2tVq6dBitjr/view?usp=drivesdk" TargetMode="External"/><Relationship Id="rId1659" Type="http://schemas.openxmlformats.org/officeDocument/2006/relationships/hyperlink" Target="https://lh5.googleusercontent.com/d/1Oy_oenAaWcoE_hCGLS1A7l9yJK2jAPy2" TargetMode="External"/><Relationship Id="rId829" Type="http://schemas.openxmlformats.org/officeDocument/2006/relationships/hyperlink" Target="https://lh5.googleusercontent.com/d/1rX45hi-ztvfMR8C5KMQGa09d-tb9qWqB" TargetMode="External"/><Relationship Id="rId828" Type="http://schemas.openxmlformats.org/officeDocument/2006/relationships/hyperlink" Target="https://drive.google.com/file/d/1bh2DuCZDwP4YAiuXhvU2JzBU8oSy5VnM/view?usp=drivesdk" TargetMode="External"/><Relationship Id="rId827" Type="http://schemas.openxmlformats.org/officeDocument/2006/relationships/hyperlink" Target="https://lh5.googleusercontent.com/d/1Ui6VAwcP2LhRWSaWWGbibEEh0rxUXOPW" TargetMode="External"/><Relationship Id="rId822" Type="http://schemas.openxmlformats.org/officeDocument/2006/relationships/hyperlink" Target="https://drive.google.com/file/d/1LzAi_uof3y0hGnC6zfGht6PsBZrxbcbJ/view?usp=drivesdk" TargetMode="External"/><Relationship Id="rId821" Type="http://schemas.openxmlformats.org/officeDocument/2006/relationships/hyperlink" Target="https://lh5.googleusercontent.com/d/11eXP0_1ziSDzE7krrEqQ_G9VDklXSSGx" TargetMode="External"/><Relationship Id="rId820" Type="http://schemas.openxmlformats.org/officeDocument/2006/relationships/hyperlink" Target="https://drive.google.com/file/d/1d7IztyruV-PhJiJsUEhNNjI8p3Pr4oTX/view?usp=drivesdk" TargetMode="External"/><Relationship Id="rId826" Type="http://schemas.openxmlformats.org/officeDocument/2006/relationships/hyperlink" Target="https://drive.google.com/file/d/1nuRngOLbGCHGpb5asomW4DCiWBu0tWGr/view?usp=drivesdk" TargetMode="External"/><Relationship Id="rId825" Type="http://schemas.openxmlformats.org/officeDocument/2006/relationships/hyperlink" Target="https://lh5.googleusercontent.com/d/18YjlTQRqCBAyXTv8pJwq36F-yMs9U6bd" TargetMode="External"/><Relationship Id="rId824" Type="http://schemas.openxmlformats.org/officeDocument/2006/relationships/hyperlink" Target="https://drive.google.com/file/d/12_DgCGuFfoES78VixZLYh4Cc9WpOhZo2/view?usp=drivesdk" TargetMode="External"/><Relationship Id="rId823" Type="http://schemas.openxmlformats.org/officeDocument/2006/relationships/hyperlink" Target="https://lh5.googleusercontent.com/d/1BwHlj-TkMH3OQgx4JC-GQMw3JQeRKPa6" TargetMode="External"/><Relationship Id="rId1650" Type="http://schemas.openxmlformats.org/officeDocument/2006/relationships/hyperlink" Target="https://drive.google.com/file/d/14sg6QsAFxaA1FXhWQ1OW4BcVAsDdQevW/view?usp=drivesdk" TargetMode="External"/><Relationship Id="rId1651" Type="http://schemas.openxmlformats.org/officeDocument/2006/relationships/hyperlink" Target="https://lh5.googleusercontent.com/d/1hcNwjkpDW1DAeFaWDtEx_wotH00Iffyv" TargetMode="External"/><Relationship Id="rId1652" Type="http://schemas.openxmlformats.org/officeDocument/2006/relationships/hyperlink" Target="https://drive.google.com/file/d/1sCyLPWAq3SDg6VW_k1H9JLCUYqlB7NxH/view?usp=drivesdk" TargetMode="External"/><Relationship Id="rId1642" Type="http://schemas.openxmlformats.org/officeDocument/2006/relationships/hyperlink" Target="https://drive.google.com/file/d/1g3xlZeCAMhlKEBd1_cYreOKrGeTslmjE/view?usp=drivesdk" TargetMode="External"/><Relationship Id="rId1643" Type="http://schemas.openxmlformats.org/officeDocument/2006/relationships/hyperlink" Target="https://lh5.googleusercontent.com/d/1OQGo1BlsCE0QOQZ80i8lJUlRnX3xG4FR" TargetMode="External"/><Relationship Id="rId1644" Type="http://schemas.openxmlformats.org/officeDocument/2006/relationships/hyperlink" Target="https://drive.google.com/file/d/1vNUs4kTure2yB3wPF1fcTwopimkR2rsK/view?usp=drivesdk" TargetMode="External"/><Relationship Id="rId1645" Type="http://schemas.openxmlformats.org/officeDocument/2006/relationships/hyperlink" Target="https://lh5.googleusercontent.com/d/1v0gG25ZpvnX1QgQTQtLH0PHu1dA6ShFA" TargetMode="External"/><Relationship Id="rId1646" Type="http://schemas.openxmlformats.org/officeDocument/2006/relationships/hyperlink" Target="https://drive.google.com/file/d/1SUZfNoL9o_PQdQIipFXmwixvuNrH_sL6/view?usp=drivesdk" TargetMode="External"/><Relationship Id="rId1647" Type="http://schemas.openxmlformats.org/officeDocument/2006/relationships/hyperlink" Target="https://lh5.googleusercontent.com/d/1ZkGP8k8_xLQiQfTXoQgd6fUSLEvleJ8e" TargetMode="External"/><Relationship Id="rId1648" Type="http://schemas.openxmlformats.org/officeDocument/2006/relationships/hyperlink" Target="https://drive.google.com/file/d/1tdaRDJ3zbE6Z1QD2jU5MjeLMIV26nJRT/view?usp=drivesdk" TargetMode="External"/><Relationship Id="rId1649" Type="http://schemas.openxmlformats.org/officeDocument/2006/relationships/hyperlink" Target="https://lh5.googleusercontent.com/d/1INMU_nlGn0QBQPQdPPJemLVnd2-ye7qi" TargetMode="External"/><Relationship Id="rId819" Type="http://schemas.openxmlformats.org/officeDocument/2006/relationships/hyperlink" Target="https://lh5.googleusercontent.com/d/1tcFzLwptO0tPzy5GLlQklkP6N2wTV7-t" TargetMode="External"/><Relationship Id="rId818" Type="http://schemas.openxmlformats.org/officeDocument/2006/relationships/hyperlink" Target="https://drive.google.com/file/d/1jS6JRwpfclMelDHacP0n-iCMKI9MR6xn/view?usp=drivesdk" TargetMode="External"/><Relationship Id="rId817" Type="http://schemas.openxmlformats.org/officeDocument/2006/relationships/hyperlink" Target="https://lh5.googleusercontent.com/d/1vYbQ9owbgXD37XB8F9F6OMO_j_9xwPjv" TargetMode="External"/><Relationship Id="rId816" Type="http://schemas.openxmlformats.org/officeDocument/2006/relationships/hyperlink" Target="https://drive.google.com/file/d/1U-hlZL_Dns91JfFhyjOcj1bDzYt6QEVX/view?usp=drivesdk" TargetMode="External"/><Relationship Id="rId811" Type="http://schemas.openxmlformats.org/officeDocument/2006/relationships/hyperlink" Target="https://lh5.googleusercontent.com/d/1jNiVblYARlxQqYb1VM6bb-j5N5vbv6LX" TargetMode="External"/><Relationship Id="rId810" Type="http://schemas.openxmlformats.org/officeDocument/2006/relationships/hyperlink" Target="https://drive.google.com/file/d/1aQF0KMpEnlELePKe9RudawRn5p5ucZBK/view?usp=drivesdk" TargetMode="External"/><Relationship Id="rId815" Type="http://schemas.openxmlformats.org/officeDocument/2006/relationships/hyperlink" Target="https://lh5.googleusercontent.com/d/1z0IW9_Hopbf5_mTKJF4_-lkcdP9-PAjs" TargetMode="External"/><Relationship Id="rId814" Type="http://schemas.openxmlformats.org/officeDocument/2006/relationships/hyperlink" Target="https://drive.google.com/file/d/1bMkeBCDBO9cH6DueQFqmVtBsfq7W0uIi/view?usp=drivesdk" TargetMode="External"/><Relationship Id="rId813" Type="http://schemas.openxmlformats.org/officeDocument/2006/relationships/hyperlink" Target="https://lh5.googleusercontent.com/d/1RwLkjtFPB50VBF5HjzAg2p8SDlwXUCz3" TargetMode="External"/><Relationship Id="rId812" Type="http://schemas.openxmlformats.org/officeDocument/2006/relationships/hyperlink" Target="https://drive.google.com/file/d/1m28OH715eKe3FKnVDWyeyACuccBKO535/view?usp=drivesdk" TargetMode="External"/><Relationship Id="rId1640" Type="http://schemas.openxmlformats.org/officeDocument/2006/relationships/hyperlink" Target="https://drive.google.com/file/d/1HSz2pp4RiwQ3So3iFANHY0vbaMZJ2OOH/view?usp=drivesdk" TargetMode="External"/><Relationship Id="rId1641" Type="http://schemas.openxmlformats.org/officeDocument/2006/relationships/hyperlink" Target="https://lh5.googleusercontent.com/d/1PqvOgzCvTaOa9XAUvNjaoQUGlSsMb0iI" TargetMode="External"/><Relationship Id="rId1675" Type="http://schemas.openxmlformats.org/officeDocument/2006/relationships/hyperlink" Target="https://lh5.googleusercontent.com/d/1CZDfH6tit45bFauhOFXJ4ZUKj9xWQkf_" TargetMode="External"/><Relationship Id="rId1676" Type="http://schemas.openxmlformats.org/officeDocument/2006/relationships/hyperlink" Target="https://drive.google.com/file/d/1JE6vWzq3YAWv8r8QI8scA7rdyyMbphEQ/view?usp=drivesdk" TargetMode="External"/><Relationship Id="rId1677" Type="http://schemas.openxmlformats.org/officeDocument/2006/relationships/hyperlink" Target="https://lh5.googleusercontent.com/d/1yNYzgSctEcrHeMWHCui2ulwV4z8OBm83" TargetMode="External"/><Relationship Id="rId1678" Type="http://schemas.openxmlformats.org/officeDocument/2006/relationships/hyperlink" Target="https://drive.google.com/file/d/1N0Ud26k3vMBdsaiCKJnIdRt01QrJLs4H/view?usp=drivesdk" TargetMode="External"/><Relationship Id="rId1679" Type="http://schemas.openxmlformats.org/officeDocument/2006/relationships/hyperlink" Target="https://lh5.googleusercontent.com/d/1klzpMMWk80-ERJFyonEaeggfdoN0MjIk" TargetMode="External"/><Relationship Id="rId849" Type="http://schemas.openxmlformats.org/officeDocument/2006/relationships/hyperlink" Target="https://lh5.googleusercontent.com/d/1n8AoL-7zJEzFk3kLhIcdkNVKGIlMOJGk" TargetMode="External"/><Relationship Id="rId844" Type="http://schemas.openxmlformats.org/officeDocument/2006/relationships/hyperlink" Target="https://drive.google.com/file/d/1b32PJzGc2yMTkvsUoIk2rNkzTlWa6Jci/view?usp=drivesdk" TargetMode="External"/><Relationship Id="rId843" Type="http://schemas.openxmlformats.org/officeDocument/2006/relationships/hyperlink" Target="https://lh5.googleusercontent.com/d/1MPn4lAdBc7y4sKEI0gk8BcbIOhIuwMQI" TargetMode="External"/><Relationship Id="rId842" Type="http://schemas.openxmlformats.org/officeDocument/2006/relationships/hyperlink" Target="https://drive.google.com/file/d/12z8HyfvZMv8pO0rO9m7Djv2b4VjLZZzI/view?usp=drivesdk" TargetMode="External"/><Relationship Id="rId841" Type="http://schemas.openxmlformats.org/officeDocument/2006/relationships/hyperlink" Target="https://lh5.googleusercontent.com/d/16QiHb9Pvt7apRU-ySXB7faW7_Znp_7Oi" TargetMode="External"/><Relationship Id="rId848" Type="http://schemas.openxmlformats.org/officeDocument/2006/relationships/hyperlink" Target="https://drive.google.com/file/d/1QcjhmqwGmV34wf6Djh6AbqzlJ_SnSByY/view?usp=drivesdk" TargetMode="External"/><Relationship Id="rId847" Type="http://schemas.openxmlformats.org/officeDocument/2006/relationships/hyperlink" Target="https://lh5.googleusercontent.com/d/1cQB9P1OgtV0QjVAm-YE4IiBrTOVTI4wm" TargetMode="External"/><Relationship Id="rId846" Type="http://schemas.openxmlformats.org/officeDocument/2006/relationships/hyperlink" Target="https://drive.google.com/file/d/1h1Br1ap5yijYKRyzqwIZnvluHcTpG4wi/view?usp=drivesdk" TargetMode="External"/><Relationship Id="rId845" Type="http://schemas.openxmlformats.org/officeDocument/2006/relationships/hyperlink" Target="https://lh5.googleusercontent.com/d/1ZQNlOwgcTzcqGtR4wB8V8ZuGSTMBOD9L" TargetMode="External"/><Relationship Id="rId1670" Type="http://schemas.openxmlformats.org/officeDocument/2006/relationships/hyperlink" Target="https://drive.google.com/file/d/1wBMKsbntiPEE5p_E6fCTnG9POkALqH-A/view?usp=drivesdk" TargetMode="External"/><Relationship Id="rId840" Type="http://schemas.openxmlformats.org/officeDocument/2006/relationships/hyperlink" Target="https://drive.google.com/file/d/1Pt7ytzR5FbIj6LtQPNWtflkMCOO_KBjO/view?usp=drivesdk" TargetMode="External"/><Relationship Id="rId1671" Type="http://schemas.openxmlformats.org/officeDocument/2006/relationships/hyperlink" Target="https://lh5.googleusercontent.com/d/15GCxxw5Ro8GZqNXo-H_3SVI_D8sYrEZi" TargetMode="External"/><Relationship Id="rId1672" Type="http://schemas.openxmlformats.org/officeDocument/2006/relationships/hyperlink" Target="https://drive.google.com/file/d/1sHut5IekQNS4LSnKLPh7zA0RzxlwDS7J/view?usp=drivesdk" TargetMode="External"/><Relationship Id="rId1673" Type="http://schemas.openxmlformats.org/officeDocument/2006/relationships/hyperlink" Target="https://lh5.googleusercontent.com/d/1cUR6qqfLzOQePBP-KEJGlSPh0UPVyM7L" TargetMode="External"/><Relationship Id="rId1674" Type="http://schemas.openxmlformats.org/officeDocument/2006/relationships/hyperlink" Target="https://drive.google.com/file/d/1MXKrGa7WyxIb8BnRzU2Z0RswSE1FZJD1/view?usp=drivesdk" TargetMode="External"/><Relationship Id="rId1664" Type="http://schemas.openxmlformats.org/officeDocument/2006/relationships/hyperlink" Target="https://drive.google.com/file/d/1ShXbtTMzp2q4D70jIwodOkbLzRcSTksU/view?usp=drivesdk" TargetMode="External"/><Relationship Id="rId1665" Type="http://schemas.openxmlformats.org/officeDocument/2006/relationships/hyperlink" Target="https://lh5.googleusercontent.com/d/16MBy8O7Ino5sOChWjEIvcc9y4zgW9ITz" TargetMode="External"/><Relationship Id="rId1666" Type="http://schemas.openxmlformats.org/officeDocument/2006/relationships/hyperlink" Target="https://drive.google.com/file/d/138Y8uGP_msVA7r8uNCuFQqAI5lVKad7U/view?usp=drivesdk" TargetMode="External"/><Relationship Id="rId1667" Type="http://schemas.openxmlformats.org/officeDocument/2006/relationships/hyperlink" Target="https://lh5.googleusercontent.com/d/1zce41xU3LshSS8EGAHe9Q0D5Q89DFUDK" TargetMode="External"/><Relationship Id="rId1668" Type="http://schemas.openxmlformats.org/officeDocument/2006/relationships/hyperlink" Target="https://drive.google.com/file/d/1bzwXWiyYUnaNOHKvtr1novSOvFIeXReP/view?usp=drivesdk" TargetMode="External"/><Relationship Id="rId1669" Type="http://schemas.openxmlformats.org/officeDocument/2006/relationships/hyperlink" Target="https://lh5.googleusercontent.com/d/19cz6LJHNk3QuFix9ykPJUKOjT5SbzLKQ" TargetMode="External"/><Relationship Id="rId839" Type="http://schemas.openxmlformats.org/officeDocument/2006/relationships/hyperlink" Target="https://lh5.googleusercontent.com/d/1sB3VmT_hDYBPFVKjVXF1fSP9_LV1VcZ4" TargetMode="External"/><Relationship Id="rId838" Type="http://schemas.openxmlformats.org/officeDocument/2006/relationships/hyperlink" Target="https://drive.google.com/file/d/18KEsK7LZzj9uu2e9W8YC_7Bnwx-UNdBu/view?usp=drivesdk" TargetMode="External"/><Relationship Id="rId833" Type="http://schemas.openxmlformats.org/officeDocument/2006/relationships/hyperlink" Target="https://lh5.googleusercontent.com/d/1rpYgeWJSkKuvJ72Ug9vWvxJ7fHxyQAtG" TargetMode="External"/><Relationship Id="rId832" Type="http://schemas.openxmlformats.org/officeDocument/2006/relationships/hyperlink" Target="https://drive.google.com/file/d/16ZKmannryhSOD4oibwbJqG4t7s3zxw9R/view?usp=drivesdk" TargetMode="External"/><Relationship Id="rId831" Type="http://schemas.openxmlformats.org/officeDocument/2006/relationships/hyperlink" Target="https://lh5.googleusercontent.com/d/1CEaKIQfxjSTFO1_GGZD_UagSTp8V3CZb" TargetMode="External"/><Relationship Id="rId830" Type="http://schemas.openxmlformats.org/officeDocument/2006/relationships/hyperlink" Target="https://drive.google.com/file/d/1oHh3TRBC8jejdQt683Oo872HgWuxJc58/view?usp=drivesdk" TargetMode="External"/><Relationship Id="rId837" Type="http://schemas.openxmlformats.org/officeDocument/2006/relationships/hyperlink" Target="https://lh5.googleusercontent.com/d/1NB1jMLmOYNMKNqr10MbebOI3CGwuT6RB" TargetMode="External"/><Relationship Id="rId836" Type="http://schemas.openxmlformats.org/officeDocument/2006/relationships/hyperlink" Target="https://drive.google.com/file/d/1edrJLBipNXFLkr0Cu4SMU2X-mKg0xTUh/view?usp=drivesdk" TargetMode="External"/><Relationship Id="rId835" Type="http://schemas.openxmlformats.org/officeDocument/2006/relationships/hyperlink" Target="https://lh5.googleusercontent.com/d/1lKby0ehrVbHsQC-ZMCwmnM_j7z44LhFj" TargetMode="External"/><Relationship Id="rId834" Type="http://schemas.openxmlformats.org/officeDocument/2006/relationships/hyperlink" Target="https://drive.google.com/file/d/11psHnZfZnoGyLx7uvW_JG1pNHMYI9hXK/view?usp=drivesdk" TargetMode="External"/><Relationship Id="rId1660" Type="http://schemas.openxmlformats.org/officeDocument/2006/relationships/hyperlink" Target="https://drive.google.com/file/d/1yznu22KoW-q0_-nlngCXYQUt5YSlKxBq/view?usp=drivesdk" TargetMode="External"/><Relationship Id="rId1661" Type="http://schemas.openxmlformats.org/officeDocument/2006/relationships/hyperlink" Target="https://lh5.googleusercontent.com/d/1Dv8ZWFT3TZTLdrQH8n8RboTEa4gNwxll" TargetMode="External"/><Relationship Id="rId1662" Type="http://schemas.openxmlformats.org/officeDocument/2006/relationships/hyperlink" Target="https://drive.google.com/file/d/1CedSgF4wnY3-3dalbpDeiuAd2OiQAeVb/view?usp=drivesdk" TargetMode="External"/><Relationship Id="rId1663" Type="http://schemas.openxmlformats.org/officeDocument/2006/relationships/hyperlink" Target="https://lh5.googleusercontent.com/d/1PV_3IDoZmC3gOelB9tvGwpsRsUCKQ2JL" TargetMode="External"/><Relationship Id="rId899" Type="http://schemas.openxmlformats.org/officeDocument/2006/relationships/hyperlink" Target="https://lh5.googleusercontent.com/d/1mtb6wYDPSc_asbcuG5IFTAnJa-Qv_FJA" TargetMode="External"/><Relationship Id="rId898" Type="http://schemas.openxmlformats.org/officeDocument/2006/relationships/hyperlink" Target="https://drive.google.com/file/d/1BtHARUYgyxDP0yEQWZgFk3qPn4jQwaIL/view?usp=drivesdk" TargetMode="External"/><Relationship Id="rId897" Type="http://schemas.openxmlformats.org/officeDocument/2006/relationships/hyperlink" Target="https://lh5.googleusercontent.com/d/1aPPjBGCCNT-q1ASCiDg_rlv79dsDNGQv" TargetMode="External"/><Relationship Id="rId896" Type="http://schemas.openxmlformats.org/officeDocument/2006/relationships/hyperlink" Target="https://drive.google.com/file/d/1oFdPKY2-1XupvMwDyWbXN4YBQ2Yb5CyG/view?usp=drivesdk" TargetMode="External"/><Relationship Id="rId891" Type="http://schemas.openxmlformats.org/officeDocument/2006/relationships/hyperlink" Target="https://lh5.googleusercontent.com/d/1qmdASsMUTmfqul-sTfYrh3mfc917uhjn" TargetMode="External"/><Relationship Id="rId890" Type="http://schemas.openxmlformats.org/officeDocument/2006/relationships/hyperlink" Target="https://drive.google.com/file/d/1KszDcCOLqhmoCgo_Wem47Gyp8cJILQOT/view?usp=drivesdk" TargetMode="External"/><Relationship Id="rId895" Type="http://schemas.openxmlformats.org/officeDocument/2006/relationships/hyperlink" Target="https://lh5.googleusercontent.com/d/1ssRdxFPSc6uOJEaEEO3NYK0CJXQYHs3S" TargetMode="External"/><Relationship Id="rId894" Type="http://schemas.openxmlformats.org/officeDocument/2006/relationships/hyperlink" Target="https://drive.google.com/file/d/1PZ_ysaNYdKGC0C_WdxPSnPI1luT4PAN8/view?usp=drivesdk" TargetMode="External"/><Relationship Id="rId893" Type="http://schemas.openxmlformats.org/officeDocument/2006/relationships/hyperlink" Target="https://lh5.googleusercontent.com/d/1VYsRuKaDYe08dv7ng2HfHCQelf0P_WHm" TargetMode="External"/><Relationship Id="rId892" Type="http://schemas.openxmlformats.org/officeDocument/2006/relationships/hyperlink" Target="https://drive.google.com/file/d/1i2MLlEMgCKdSqRkpecC4RAuX-Oabm24C/view?usp=drivesdk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WkEQpbd7_l-As8gqyLBpaJlO90Hb3b3a/view?usp=drivesdk" TargetMode="External"/><Relationship Id="rId391" Type="http://schemas.openxmlformats.org/officeDocument/2006/relationships/hyperlink" Target="https://lh5.googleusercontent.com/d/18YGzImQdxq7qj5lIquHlYZ1XRT1YfOZd" TargetMode="External"/><Relationship Id="rId390" Type="http://schemas.openxmlformats.org/officeDocument/2006/relationships/hyperlink" Target="https://drive.google.com/file/d/1ykU8oR-NPEzUDTWAYohCc0oiYFiU9wvp/view?usp=drivesdk" TargetMode="External"/><Relationship Id="rId385" Type="http://schemas.openxmlformats.org/officeDocument/2006/relationships/hyperlink" Target="https://lh5.googleusercontent.com/d/1zMV6P7NhDkYUOXHMi51nmVBKCQckny0O" TargetMode="External"/><Relationship Id="rId384" Type="http://schemas.openxmlformats.org/officeDocument/2006/relationships/hyperlink" Target="https://drive.google.com/file/d/1L89fwlx_LG7EY8eOAJuIPbEQyuiVxX4N/view?usp=drivesdk" TargetMode="External"/><Relationship Id="rId383" Type="http://schemas.openxmlformats.org/officeDocument/2006/relationships/hyperlink" Target="https://lh5.googleusercontent.com/d/1AaXQhFlJb1JWVtoXU0yoeIPLSAldKGis" TargetMode="External"/><Relationship Id="rId382" Type="http://schemas.openxmlformats.org/officeDocument/2006/relationships/hyperlink" Target="https://drive.google.com/file/d/1bQWTIb-2OUsGmWFtokIXqbdqm0Tzu5M1/view?usp=drivesdk" TargetMode="External"/><Relationship Id="rId389" Type="http://schemas.openxmlformats.org/officeDocument/2006/relationships/hyperlink" Target="https://lh5.googleusercontent.com/d/1uKQUUJ-c4k436kzZj72-eGjTZek51Tg2" TargetMode="External"/><Relationship Id="rId388" Type="http://schemas.openxmlformats.org/officeDocument/2006/relationships/hyperlink" Target="https://drive.google.com/file/d/149JwWnurV9l78OVL0o5PPdy8w4TUclMC/view?usp=drivesdk" TargetMode="External"/><Relationship Id="rId387" Type="http://schemas.openxmlformats.org/officeDocument/2006/relationships/hyperlink" Target="https://lh5.googleusercontent.com/d/1lo1Dta7pUIHrXtyrwoeZECXPynazejX2" TargetMode="External"/><Relationship Id="rId386" Type="http://schemas.openxmlformats.org/officeDocument/2006/relationships/hyperlink" Target="https://drive.google.com/file/d/1XXVtZelHttw-IiD5DFe5RwsG_eWy4K6d/view?usp=drivesdk" TargetMode="External"/><Relationship Id="rId381" Type="http://schemas.openxmlformats.org/officeDocument/2006/relationships/hyperlink" Target="https://lh5.googleusercontent.com/d/1Tc1XEPqB-2pUvt2rY4Atm9vvWdwim4j7" TargetMode="External"/><Relationship Id="rId380" Type="http://schemas.openxmlformats.org/officeDocument/2006/relationships/hyperlink" Target="https://drive.google.com/file/d/1J9Y5jWTYvff97lb6QNKCoAHpp4U3AGO_/view?usp=drivesdk" TargetMode="External"/><Relationship Id="rId379" Type="http://schemas.openxmlformats.org/officeDocument/2006/relationships/hyperlink" Target="https://lh5.googleusercontent.com/d/1u8w439Ly98_49nS5NzXOebffA4pKp77i" TargetMode="External"/><Relationship Id="rId374" Type="http://schemas.openxmlformats.org/officeDocument/2006/relationships/hyperlink" Target="https://drive.google.com/file/d/1yND17BCSjf3ALMLL_ElmcBRRWSqs0kyw/view?usp=drivesdk" TargetMode="External"/><Relationship Id="rId373" Type="http://schemas.openxmlformats.org/officeDocument/2006/relationships/hyperlink" Target="https://lh5.googleusercontent.com/d/1hOPSLVxe7Q0Sb3-S5aODwwcaDdPSr84d" TargetMode="External"/><Relationship Id="rId372" Type="http://schemas.openxmlformats.org/officeDocument/2006/relationships/hyperlink" Target="https://drive.google.com/file/d/1nh9zuh0ayolAiZiwzcgTLnEzGH4bS8q-/view?usp=drivesdk" TargetMode="External"/><Relationship Id="rId371" Type="http://schemas.openxmlformats.org/officeDocument/2006/relationships/hyperlink" Target="https://lh5.googleusercontent.com/d/1uW6kdxdziwqiQfIpwdmm8AZTTunYPoTn" TargetMode="External"/><Relationship Id="rId378" Type="http://schemas.openxmlformats.org/officeDocument/2006/relationships/hyperlink" Target="https://drive.google.com/file/d/1eSR-60_Q3AKN_s2k4QXJcTm_o7YewcwM/view?usp=drivesdk" TargetMode="External"/><Relationship Id="rId377" Type="http://schemas.openxmlformats.org/officeDocument/2006/relationships/hyperlink" Target="https://lh5.googleusercontent.com/d/1lkt_7YMtuVARmrR2tSJZN8zguqw9rD3c" TargetMode="External"/><Relationship Id="rId376" Type="http://schemas.openxmlformats.org/officeDocument/2006/relationships/hyperlink" Target="https://drive.google.com/file/d/19xPqBrGlHX52SbuaiVe2HpR45OnX9HEs/view?usp=drivesdk" TargetMode="External"/><Relationship Id="rId375" Type="http://schemas.openxmlformats.org/officeDocument/2006/relationships/hyperlink" Target="https://lh5.googleusercontent.com/d/1k9WhfBIsLZEkEQZQJQKC-cd98iGCYsSl" TargetMode="External"/><Relationship Id="rId396" Type="http://schemas.openxmlformats.org/officeDocument/2006/relationships/hyperlink" Target="https://drive.google.com/file/d/1l1wHyVP8GuXzECU3v5Ey7mte6m0E8Nms/view?usp=drivesdk" TargetMode="External"/><Relationship Id="rId395" Type="http://schemas.openxmlformats.org/officeDocument/2006/relationships/hyperlink" Target="https://lh5.googleusercontent.com/d/1b5k366d3fnAQNEXlqa_lrenmmzhJ0CTI" TargetMode="External"/><Relationship Id="rId394" Type="http://schemas.openxmlformats.org/officeDocument/2006/relationships/hyperlink" Target="https://drive.google.com/file/d/1vHO3NwTea5dEylYhzatHr_AH0pPuQGvY/view?usp=drivesdk" TargetMode="External"/><Relationship Id="rId393" Type="http://schemas.openxmlformats.org/officeDocument/2006/relationships/hyperlink" Target="https://lh5.googleusercontent.com/d/14K0jqTyU6n8kUePlIN1U6qUWCQDVZLho" TargetMode="External"/><Relationship Id="rId399" Type="http://schemas.openxmlformats.org/officeDocument/2006/relationships/hyperlink" Target="https://lh5.googleusercontent.com/d/1xrNT5LGUc6wECp9v27lyWEqAwcYyzki7" TargetMode="External"/><Relationship Id="rId398" Type="http://schemas.openxmlformats.org/officeDocument/2006/relationships/hyperlink" Target="https://drive.google.com/file/d/1xNG3LYSrCjogAAl6B1_fHYmHf6dPjZbe/view?usp=drivesdk" TargetMode="External"/><Relationship Id="rId397" Type="http://schemas.openxmlformats.org/officeDocument/2006/relationships/hyperlink" Target="https://lh5.googleusercontent.com/d/1HZzQ_9WjKMmKWU-aJNazDUNsdn6K4nGz" TargetMode="External"/><Relationship Id="rId1730" Type="http://schemas.openxmlformats.org/officeDocument/2006/relationships/hyperlink" Target="https://drive.google.com/file/d/1LTLKD5OVMU6ta35AWQKT3h00NzHyxStl/view?usp=drivesdk" TargetMode="External"/><Relationship Id="rId1731" Type="http://schemas.openxmlformats.org/officeDocument/2006/relationships/hyperlink" Target="https://lh5.googleusercontent.com/d/1zeC45HVnJVkT-LHi-M9X8MK-1M8Leb57" TargetMode="External"/><Relationship Id="rId1732" Type="http://schemas.openxmlformats.org/officeDocument/2006/relationships/hyperlink" Target="https://drive.google.com/file/d/14uEjgVlnKC_uYfT4ef9GWizjC2MoX8mx/view?usp=drivesdk" TargetMode="External"/><Relationship Id="rId1733" Type="http://schemas.openxmlformats.org/officeDocument/2006/relationships/hyperlink" Target="https://lh5.googleusercontent.com/d/1hgCNwDUoCWduseAxtKWIoKdDXbN2UbVE" TargetMode="External"/><Relationship Id="rId1734" Type="http://schemas.openxmlformats.org/officeDocument/2006/relationships/hyperlink" Target="https://drive.google.com/file/d/1Bj2s-WLnDUi-rcT-JhaedzH3VGIXC2p3/view?usp=drivesdk" TargetMode="External"/><Relationship Id="rId1735" Type="http://schemas.openxmlformats.org/officeDocument/2006/relationships/hyperlink" Target="https://lh5.googleusercontent.com/d/1pmtoV8o7szhlmvCSgBspuPcevC2L7jh4" TargetMode="External"/><Relationship Id="rId1736" Type="http://schemas.openxmlformats.org/officeDocument/2006/relationships/hyperlink" Target="https://drive.google.com/file/d/1bmE987LTyphkrAsWKOq-I977XpYs4shN/view?usp=drivesdk" TargetMode="External"/><Relationship Id="rId1737" Type="http://schemas.openxmlformats.org/officeDocument/2006/relationships/hyperlink" Target="https://lh5.googleusercontent.com/d/1pIC-sTjNtoD8P9ezTDC40pFBHn-IEQ_C" TargetMode="External"/><Relationship Id="rId1738" Type="http://schemas.openxmlformats.org/officeDocument/2006/relationships/hyperlink" Target="https://drive.google.com/file/d/1QWcB_d9GuNRrrrAL4rOalLqMXbOxYlvD/view?usp=drivesdk" TargetMode="External"/><Relationship Id="rId1739" Type="http://schemas.openxmlformats.org/officeDocument/2006/relationships/hyperlink" Target="https://lh5.googleusercontent.com/d/1JRpalpMotQjq4uQ5sYFHo4v9YTyp0nkc" TargetMode="External"/><Relationship Id="rId1720" Type="http://schemas.openxmlformats.org/officeDocument/2006/relationships/hyperlink" Target="https://drive.google.com/file/d/1jORVn88NRbATYtDYjmEQxGN_7YdtCz0a/view?usp=drivesdk" TargetMode="External"/><Relationship Id="rId1721" Type="http://schemas.openxmlformats.org/officeDocument/2006/relationships/hyperlink" Target="https://lh5.googleusercontent.com/d/1OmhDNDyuZkwDhmmzsGT8SZZJ6hLnuiW_" TargetMode="External"/><Relationship Id="rId1722" Type="http://schemas.openxmlformats.org/officeDocument/2006/relationships/hyperlink" Target="https://drive.google.com/file/d/1ttQ-rkA4GkNzHVL1tg6OOU2fHm144K5i/view?usp=drivesdk" TargetMode="External"/><Relationship Id="rId1723" Type="http://schemas.openxmlformats.org/officeDocument/2006/relationships/hyperlink" Target="https://lh5.googleusercontent.com/d/1jyQzOOuil8uQZSoStqM2sO__wELtVpMf" TargetMode="External"/><Relationship Id="rId1724" Type="http://schemas.openxmlformats.org/officeDocument/2006/relationships/hyperlink" Target="https://drive.google.com/file/d/1zU9W3JsNk9R37EiMBIi0mjsoVfSIZjH1/view?usp=drivesdk" TargetMode="External"/><Relationship Id="rId1725" Type="http://schemas.openxmlformats.org/officeDocument/2006/relationships/hyperlink" Target="https://lh5.googleusercontent.com/d/1nnnf3OK5L3iWobG5wTQY-xI23uqp-Ylt" TargetMode="External"/><Relationship Id="rId1726" Type="http://schemas.openxmlformats.org/officeDocument/2006/relationships/hyperlink" Target="https://drive.google.com/file/d/1L5I-GjeBbmDYGVwCVck8jMF1_BTk8NUd/view?usp=drivesdk" TargetMode="External"/><Relationship Id="rId1727" Type="http://schemas.openxmlformats.org/officeDocument/2006/relationships/hyperlink" Target="https://lh5.googleusercontent.com/d/1ksUumBVJIODvSX1idqJKebDY7bF2GMGc" TargetMode="External"/><Relationship Id="rId1728" Type="http://schemas.openxmlformats.org/officeDocument/2006/relationships/hyperlink" Target="https://drive.google.com/file/d/1MRQScc2plKZlCcRZZ6MmYDbIbydHJG5c/view?usp=drivesdk" TargetMode="External"/><Relationship Id="rId1729" Type="http://schemas.openxmlformats.org/officeDocument/2006/relationships/hyperlink" Target="https://lh5.googleusercontent.com/d/14WkcWFI7qaiyWCHgDuhLH4Rqkuh3eW-S" TargetMode="External"/><Relationship Id="rId1752" Type="http://schemas.openxmlformats.org/officeDocument/2006/relationships/hyperlink" Target="https://drive.google.com/file/d/1-VtxU7gWdsMTPN3AOLdNmxNzhuXrkJij/view?usp=drivesdk" TargetMode="External"/><Relationship Id="rId1753" Type="http://schemas.openxmlformats.org/officeDocument/2006/relationships/hyperlink" Target="https://lh5.googleusercontent.com/d/1AhzLVrZUeCaS3y05wlS_hvfiI42DSgm0" TargetMode="External"/><Relationship Id="rId1754" Type="http://schemas.openxmlformats.org/officeDocument/2006/relationships/hyperlink" Target="https://drive.google.com/file/d/1zpTiRRYIsXgUt6a8w3NbddeFIz9OX49V/view?usp=drivesdk" TargetMode="External"/><Relationship Id="rId1755" Type="http://schemas.openxmlformats.org/officeDocument/2006/relationships/hyperlink" Target="https://lh5.googleusercontent.com/d/1oQ57YaJOgKJkEjyCCVSip-eoimFmFO68" TargetMode="External"/><Relationship Id="rId1756" Type="http://schemas.openxmlformats.org/officeDocument/2006/relationships/hyperlink" Target="https://drive.google.com/file/d/1aChhzDNcFFovNDopMIZPbTDbaSufFfP9/view?usp=drivesdk" TargetMode="External"/><Relationship Id="rId1757" Type="http://schemas.openxmlformats.org/officeDocument/2006/relationships/hyperlink" Target="https://lh5.googleusercontent.com/d/1m5EWQpsePH5vNzX0wj8DGzXIGfSA56jm" TargetMode="External"/><Relationship Id="rId1758" Type="http://schemas.openxmlformats.org/officeDocument/2006/relationships/hyperlink" Target="https://drive.google.com/file/d/1aPxicEO05eAbdLBqXjGI3OdBz5yXWPor/view?usp=drivesdk" TargetMode="External"/><Relationship Id="rId1759" Type="http://schemas.openxmlformats.org/officeDocument/2006/relationships/hyperlink" Target="https://lh5.googleusercontent.com/d/1B0AEVeXb3K1P-2BIpWf0Z7cvDHj9IguN" TargetMode="External"/><Relationship Id="rId1750" Type="http://schemas.openxmlformats.org/officeDocument/2006/relationships/hyperlink" Target="https://drive.google.com/file/d/1AFrxqXixKTZrpG10upgbaFdjAtFNTb_g/view?usp=drivesdk" TargetMode="External"/><Relationship Id="rId1751" Type="http://schemas.openxmlformats.org/officeDocument/2006/relationships/hyperlink" Target="https://lh5.googleusercontent.com/d/1BwX5TafTVC1sDooPFcJbRWZWGK6xrRcL" TargetMode="External"/><Relationship Id="rId1741" Type="http://schemas.openxmlformats.org/officeDocument/2006/relationships/hyperlink" Target="https://lh5.googleusercontent.com/d/1oXrH_Kk0L3KNtXWeW6oy8qDR_l10R3kl" TargetMode="External"/><Relationship Id="rId1742" Type="http://schemas.openxmlformats.org/officeDocument/2006/relationships/hyperlink" Target="https://drive.google.com/file/d/1bAZXpEcYK-1Pwd-WmOLAHw0DuMtYKjmQ/view?usp=drivesdk" TargetMode="External"/><Relationship Id="rId1743" Type="http://schemas.openxmlformats.org/officeDocument/2006/relationships/hyperlink" Target="https://lh5.googleusercontent.com/d/1WXwy4S-MOxD-YM4vYW87t1WI8PiBhljR" TargetMode="External"/><Relationship Id="rId1744" Type="http://schemas.openxmlformats.org/officeDocument/2006/relationships/hyperlink" Target="https://drive.google.com/file/d/1urn6sfD1Znbd1q8N7cn747La_KPUQb8R/view?usp=drivesdk" TargetMode="External"/><Relationship Id="rId1745" Type="http://schemas.openxmlformats.org/officeDocument/2006/relationships/hyperlink" Target="https://lh5.googleusercontent.com/d/1mCMbk7lzNfdqYyMOcMXeTsiZRoJ77s2N" TargetMode="External"/><Relationship Id="rId1746" Type="http://schemas.openxmlformats.org/officeDocument/2006/relationships/hyperlink" Target="https://drive.google.com/file/d/1qqgELvb1Z44a-ZB-FZO0HLzPVgFVZC8-/view?usp=drivesdk" TargetMode="External"/><Relationship Id="rId1747" Type="http://schemas.openxmlformats.org/officeDocument/2006/relationships/hyperlink" Target="https://lh5.googleusercontent.com/d/1dvP-w2pw0Ct2OgsAWdlE06n3UjdR1eXP" TargetMode="External"/><Relationship Id="rId1748" Type="http://schemas.openxmlformats.org/officeDocument/2006/relationships/hyperlink" Target="https://drive.google.com/file/d/179trtDM2AlQw0K9qSJinhq8GG2kbNzvl/view?usp=drivesdk" TargetMode="External"/><Relationship Id="rId1749" Type="http://schemas.openxmlformats.org/officeDocument/2006/relationships/hyperlink" Target="https://lh5.googleusercontent.com/d/18J0rChWx07pLmrarXEbx0aIAcrXzwH1Q" TargetMode="External"/><Relationship Id="rId1740" Type="http://schemas.openxmlformats.org/officeDocument/2006/relationships/hyperlink" Target="https://drive.google.com/file/d/12imWiUq8vUAas59ejcqQySMaG0jPeJVN/view?usp=drivesdk" TargetMode="External"/><Relationship Id="rId1710" Type="http://schemas.openxmlformats.org/officeDocument/2006/relationships/hyperlink" Target="https://drive.google.com/file/d/1AyiuxQH5RUZSfvGSSGLtPX3mlHgYXsdb/view?usp=drivesdk" TargetMode="External"/><Relationship Id="rId1711" Type="http://schemas.openxmlformats.org/officeDocument/2006/relationships/hyperlink" Target="https://lh5.googleusercontent.com/d/1xDusGJ_H2XuNxQtjewN7a96XHfqAtnMY" TargetMode="External"/><Relationship Id="rId1712" Type="http://schemas.openxmlformats.org/officeDocument/2006/relationships/hyperlink" Target="https://drive.google.com/file/d/191RivFI0lY1-4Imb-x6apNbCHrrld52y/view?usp=drivesdk" TargetMode="External"/><Relationship Id="rId1713" Type="http://schemas.openxmlformats.org/officeDocument/2006/relationships/hyperlink" Target="https://lh5.googleusercontent.com/d/1eCnhYXnRmHDzRMEzlZ-Vn8MMUjOcEskX" TargetMode="External"/><Relationship Id="rId1714" Type="http://schemas.openxmlformats.org/officeDocument/2006/relationships/hyperlink" Target="https://drive.google.com/file/d/1yoxpD3td6bTNtsMHDspD3fU0jOCm6W00/view?usp=drivesdk" TargetMode="External"/><Relationship Id="rId1715" Type="http://schemas.openxmlformats.org/officeDocument/2006/relationships/hyperlink" Target="https://lh5.googleusercontent.com/d/19t73zQlTuMr0cgYhRNkXbyuHP9VuT2ju" TargetMode="External"/><Relationship Id="rId1716" Type="http://schemas.openxmlformats.org/officeDocument/2006/relationships/hyperlink" Target="https://drive.google.com/file/d/1Gym3YMtIyGWPUq_NJxrDvlJEKblAKUEc/view?usp=drivesdk" TargetMode="External"/><Relationship Id="rId1717" Type="http://schemas.openxmlformats.org/officeDocument/2006/relationships/hyperlink" Target="https://lh5.googleusercontent.com/d/10v66xP0Gdz8J1_T-Q7W3KRT-d-X7cI9v" TargetMode="External"/><Relationship Id="rId1718" Type="http://schemas.openxmlformats.org/officeDocument/2006/relationships/hyperlink" Target="https://drive.google.com/file/d/1eIyXBwz3fBgvJfd931DoamruedQjbUWS/view?usp=drivesdk" TargetMode="External"/><Relationship Id="rId1719" Type="http://schemas.openxmlformats.org/officeDocument/2006/relationships/hyperlink" Target="https://lh5.googleusercontent.com/d/1E5Hfow6dOOVD9cb92groq_peKYqtJ4II" TargetMode="External"/><Relationship Id="rId1700" Type="http://schemas.openxmlformats.org/officeDocument/2006/relationships/hyperlink" Target="https://lh5.googleusercontent.com/d/1Zp5WQGQtplgmDyzBdKjF2SOB8l3HMmIv" TargetMode="External"/><Relationship Id="rId1701" Type="http://schemas.openxmlformats.org/officeDocument/2006/relationships/hyperlink" Target="https://drive.google.com/file/d/1T8mUs43kyWFKPYWNVR8PmOWFfa4y4nTs/view?usp=drivesdk" TargetMode="External"/><Relationship Id="rId1702" Type="http://schemas.openxmlformats.org/officeDocument/2006/relationships/hyperlink" Target="https://lh5.googleusercontent.com/d/1XpeWzprEnhzCgqMqrL3qXQCTOrwwMADG" TargetMode="External"/><Relationship Id="rId1703" Type="http://schemas.openxmlformats.org/officeDocument/2006/relationships/hyperlink" Target="https://lh5.googleusercontent.com/d/1OIRTTbuca8jZby0TS5QdTC8-qHXQsku9" TargetMode="External"/><Relationship Id="rId1704" Type="http://schemas.openxmlformats.org/officeDocument/2006/relationships/hyperlink" Target="https://drive.google.com/file/d/13vwvyRQjjJN4cLegI1z_6ha2AXuLos8b/view?usp=drivesdk" TargetMode="External"/><Relationship Id="rId1705" Type="http://schemas.openxmlformats.org/officeDocument/2006/relationships/hyperlink" Target="https://lh5.googleusercontent.com/d/12FrkvH1UjPVLfj3QC1MLxWRHyc-upst0" TargetMode="External"/><Relationship Id="rId1706" Type="http://schemas.openxmlformats.org/officeDocument/2006/relationships/hyperlink" Target="https://drive.google.com/file/d/1xul4f-YMp71-atDmN3W2Bn-RwOwUib-h/view?usp=drivesdk" TargetMode="External"/><Relationship Id="rId1707" Type="http://schemas.openxmlformats.org/officeDocument/2006/relationships/hyperlink" Target="https://lh5.googleusercontent.com/d/1lFtawhe5r1uFwSLwkcr9jNLdHGWbxTSB" TargetMode="External"/><Relationship Id="rId1708" Type="http://schemas.openxmlformats.org/officeDocument/2006/relationships/hyperlink" Target="https://drive.google.com/file/d/1CcF_gJD7Whl9C8Q_5EfkicIDTyGZv2Rw/view?usp=drivesdk" TargetMode="External"/><Relationship Id="rId1709" Type="http://schemas.openxmlformats.org/officeDocument/2006/relationships/hyperlink" Target="https://lh5.googleusercontent.com/d/1k8HeLt4nrUCk2BagDmsnMh5tUkVbGpeT" TargetMode="External"/><Relationship Id="rId40" Type="http://schemas.openxmlformats.org/officeDocument/2006/relationships/hyperlink" Target="https://drive.google.com/file/d/1gQt3wdHcYOU3RjGMrj1-NmxYxEcUDmUr/view?usp=drivesdk" TargetMode="External"/><Relationship Id="rId42" Type="http://schemas.openxmlformats.org/officeDocument/2006/relationships/hyperlink" Target="https://drive.google.com/file/d/1ML3f_y24uOGylVrkO_wcFrKKfFs1IFG-/view?usp=drivesdk" TargetMode="External"/><Relationship Id="rId41" Type="http://schemas.openxmlformats.org/officeDocument/2006/relationships/hyperlink" Target="https://lh5.googleusercontent.com/d/16vRoi4HgXgJ1UnKNloqc-cHuszsjlHsg" TargetMode="External"/><Relationship Id="rId44" Type="http://schemas.openxmlformats.org/officeDocument/2006/relationships/hyperlink" Target="https://drive.google.com/file/d/1MFVWG3_u18G55wmbCysXAlTZg2Qswx6p/view?usp=drivesdk" TargetMode="External"/><Relationship Id="rId43" Type="http://schemas.openxmlformats.org/officeDocument/2006/relationships/hyperlink" Target="https://lh5.googleusercontent.com/d/1ySwxfodx8DX0BC1BJZtO0heSYopZWV4r" TargetMode="External"/><Relationship Id="rId46" Type="http://schemas.openxmlformats.org/officeDocument/2006/relationships/hyperlink" Target="https://drive.google.com/file/d/14ma_6XYiBLjim9sZCSb8qssES5_NKYzN/view?usp=drivesdk" TargetMode="External"/><Relationship Id="rId45" Type="http://schemas.openxmlformats.org/officeDocument/2006/relationships/hyperlink" Target="https://lh5.googleusercontent.com/d/1P3GHimpu4ok9jQP9Xd_gv52bhGFCBFGs" TargetMode="External"/><Relationship Id="rId48" Type="http://schemas.openxmlformats.org/officeDocument/2006/relationships/hyperlink" Target="https://drive.google.com/file/d/1ZE9Gti52tTqOYV0vZWJxf9pB8ms1tIBv/view?usp=drivesdk" TargetMode="External"/><Relationship Id="rId47" Type="http://schemas.openxmlformats.org/officeDocument/2006/relationships/hyperlink" Target="https://lh5.googleusercontent.com/d/1f0ArCIHHcPvN-Gb2PA_iUTn5pvfq0OYe" TargetMode="External"/><Relationship Id="rId49" Type="http://schemas.openxmlformats.org/officeDocument/2006/relationships/hyperlink" Target="https://lh5.googleusercontent.com/d/155Ej3nvULoZSIogQx6zc0PX0jlFtoCHy" TargetMode="External"/><Relationship Id="rId31" Type="http://schemas.openxmlformats.org/officeDocument/2006/relationships/hyperlink" Target="https://lh5.googleusercontent.com/d/1Od-TEfkwnVRM1qhO9Cot-JNvmUvM8Y_d" TargetMode="External"/><Relationship Id="rId30" Type="http://schemas.openxmlformats.org/officeDocument/2006/relationships/hyperlink" Target="https://drive.google.com/file/d/13ZTzMLg6gT77C3T9-F5q6A7tapiVK7Lp/view?usp=drivesdk" TargetMode="External"/><Relationship Id="rId33" Type="http://schemas.openxmlformats.org/officeDocument/2006/relationships/hyperlink" Target="https://lh5.googleusercontent.com/d/1WhoLv0TM3ANhqyFjL6O0XbX9rrj110Br" TargetMode="External"/><Relationship Id="rId32" Type="http://schemas.openxmlformats.org/officeDocument/2006/relationships/hyperlink" Target="https://drive.google.com/file/d/1wRl_6xgZCzmr61eq_B_gDtAJ5mIj4KoQ/view?usp=drivesdk" TargetMode="External"/><Relationship Id="rId35" Type="http://schemas.openxmlformats.org/officeDocument/2006/relationships/hyperlink" Target="https://lh5.googleusercontent.com/d/1ZY9HupRCUed7mPNoG_H20O26fEMRjaBM" TargetMode="External"/><Relationship Id="rId34" Type="http://schemas.openxmlformats.org/officeDocument/2006/relationships/hyperlink" Target="https://drive.google.com/file/d/1GwDec_2-4Rp3lBOaHdXBwQ7matrf6gIL/view?usp=drivesdk" TargetMode="External"/><Relationship Id="rId37" Type="http://schemas.openxmlformats.org/officeDocument/2006/relationships/hyperlink" Target="https://lh5.googleusercontent.com/d/1yEr1pjzRbiLTEuj36oXMNg5QaTxA1hFi" TargetMode="External"/><Relationship Id="rId36" Type="http://schemas.openxmlformats.org/officeDocument/2006/relationships/hyperlink" Target="https://drive.google.com/file/d/1b_rOAkLyT1yPzIm4JHI5sZjJ6YdwiqFD/view?usp=drivesdk" TargetMode="External"/><Relationship Id="rId39" Type="http://schemas.openxmlformats.org/officeDocument/2006/relationships/hyperlink" Target="https://lh5.googleusercontent.com/d/1qlnzS8GE4XV9R_9leWQLQQAM-lR1drGp" TargetMode="External"/><Relationship Id="rId38" Type="http://schemas.openxmlformats.org/officeDocument/2006/relationships/hyperlink" Target="https://drive.google.com/file/d/10d2n-SjYqsjI-WeG9jbVuXwXH1Kdth3P/view?usp=drivesdk" TargetMode="External"/><Relationship Id="rId20" Type="http://schemas.openxmlformats.org/officeDocument/2006/relationships/hyperlink" Target="https://drive.google.com/file/d/1tI96j9K7ShBAcmSeglGxT_h8sFIJrjF3/view?usp=drivesdk" TargetMode="External"/><Relationship Id="rId22" Type="http://schemas.openxmlformats.org/officeDocument/2006/relationships/hyperlink" Target="https://drive.google.com/file/d/19Sit6O7OwntoORvY_TxOnFoqvPlmft4y/view?usp=drivesdk" TargetMode="External"/><Relationship Id="rId21" Type="http://schemas.openxmlformats.org/officeDocument/2006/relationships/hyperlink" Target="https://lh5.googleusercontent.com/d/1HRdh7G1R_TNZliakKMD6M4Q2xEXmQbUZ" TargetMode="External"/><Relationship Id="rId24" Type="http://schemas.openxmlformats.org/officeDocument/2006/relationships/hyperlink" Target="https://drive.google.com/file/d/1-RADgll9Z5-mEckj-qtGfhOd99Hr4B9p/view?usp=drivesdk" TargetMode="External"/><Relationship Id="rId23" Type="http://schemas.openxmlformats.org/officeDocument/2006/relationships/hyperlink" Target="https://lh5.googleusercontent.com/d/1R7sfRxlnbb6yDECEjvC1Sx-rVLJJB17g" TargetMode="External"/><Relationship Id="rId26" Type="http://schemas.openxmlformats.org/officeDocument/2006/relationships/hyperlink" Target="https://drive.google.com/file/d/1nDT_tcxuWhyJlORmXIefQMJk0M2wDtX2/view?usp=drivesdk" TargetMode="External"/><Relationship Id="rId25" Type="http://schemas.openxmlformats.org/officeDocument/2006/relationships/hyperlink" Target="https://lh5.googleusercontent.com/d/1lAcv86SmZbYbwHDEKhPo3Q9aTLGaDiwt" TargetMode="External"/><Relationship Id="rId28" Type="http://schemas.openxmlformats.org/officeDocument/2006/relationships/hyperlink" Target="https://drive.google.com/file/d/1Hb2zlSa2VfW3fwXRSt4wjCzXCOFIFDWC/view?usp=drivesdk" TargetMode="External"/><Relationship Id="rId27" Type="http://schemas.openxmlformats.org/officeDocument/2006/relationships/hyperlink" Target="https://lh5.googleusercontent.com/d/1eM1H789h8228wTnywZ2MQn9JIyyRsOzJ" TargetMode="External"/><Relationship Id="rId29" Type="http://schemas.openxmlformats.org/officeDocument/2006/relationships/hyperlink" Target="https://lh5.googleusercontent.com/d/1mU5EiMrG0BF7K9dpsyh8HnwtVSKvXWGW" TargetMode="External"/><Relationship Id="rId11" Type="http://schemas.openxmlformats.org/officeDocument/2006/relationships/hyperlink" Target="https://lh5.googleusercontent.com/d/1JwpHu2JsvgFXffmjF_JcKRmPEc2blcP2" TargetMode="External"/><Relationship Id="rId10" Type="http://schemas.openxmlformats.org/officeDocument/2006/relationships/hyperlink" Target="https://drive.google.com/file/d/15krmNBAiIc7DCJt5vDqXjHA1D0PKyNMh/view?usp=drivesdk" TargetMode="External"/><Relationship Id="rId13" Type="http://schemas.openxmlformats.org/officeDocument/2006/relationships/hyperlink" Target="https://lh5.googleusercontent.com/d/1KaWi3Rfkq9jXOICCoVUcvWGdUwMW1-pc" TargetMode="External"/><Relationship Id="rId12" Type="http://schemas.openxmlformats.org/officeDocument/2006/relationships/hyperlink" Target="https://drive.google.com/file/d/1N5niKwpAzjDaHjwZHqoYn4DXj552msab/view?usp=drivesdk" TargetMode="External"/><Relationship Id="rId15" Type="http://schemas.openxmlformats.org/officeDocument/2006/relationships/hyperlink" Target="https://lh5.googleusercontent.com/d/1pAkP3ui_gDFnFCMDAQaq6H15p51vewca" TargetMode="External"/><Relationship Id="rId14" Type="http://schemas.openxmlformats.org/officeDocument/2006/relationships/hyperlink" Target="https://drive.google.com/file/d/1QY6ilacERaUGqCl-f0pmjSsxbhU3iDvk/view?usp=drivesdk" TargetMode="External"/><Relationship Id="rId17" Type="http://schemas.openxmlformats.org/officeDocument/2006/relationships/hyperlink" Target="https://lh5.googleusercontent.com/d/1ojuIDmz6bWA-59w4ZzBsEfwY2-GiBKiC" TargetMode="External"/><Relationship Id="rId16" Type="http://schemas.openxmlformats.org/officeDocument/2006/relationships/hyperlink" Target="https://drive.google.com/file/d/1COUxKLKMsyR23Jr98WqjjG-vX7H7rbAO/view?usp=drivesdk" TargetMode="External"/><Relationship Id="rId19" Type="http://schemas.openxmlformats.org/officeDocument/2006/relationships/hyperlink" Target="https://lh5.googleusercontent.com/d/1U00QC2X3gt-I-XaK_w_jevNrsOIsmTod" TargetMode="External"/><Relationship Id="rId18" Type="http://schemas.openxmlformats.org/officeDocument/2006/relationships/hyperlink" Target="https://drive.google.com/file/d/1XlLo1iZjIVsbPUPW4My5iFtAawi9s7qa/view?usp=drivesdk" TargetMode="External"/><Relationship Id="rId84" Type="http://schemas.openxmlformats.org/officeDocument/2006/relationships/hyperlink" Target="https://drive.google.com/file/d/132jZD7rRVECietsmxfTjqKFwzxBQeVkd/view?usp=drivesdk" TargetMode="External"/><Relationship Id="rId1774" Type="http://schemas.openxmlformats.org/officeDocument/2006/relationships/hyperlink" Target="https://drive.google.com/file/d/1Uv_9yKiGdcR4e8S2TT20F0fDacja5n1Q/view?usp=drivesdk" TargetMode="External"/><Relationship Id="rId83" Type="http://schemas.openxmlformats.org/officeDocument/2006/relationships/hyperlink" Target="https://lh5.googleusercontent.com/d/1tXiFHgeCgo4UJN4aQvMNEa5b-cx-hBGf" TargetMode="External"/><Relationship Id="rId1775" Type="http://schemas.openxmlformats.org/officeDocument/2006/relationships/hyperlink" Target="https://lh5.googleusercontent.com/d/1MUxfh3IYY46yd4JYQ6-uhtruFRID80XY" TargetMode="External"/><Relationship Id="rId86" Type="http://schemas.openxmlformats.org/officeDocument/2006/relationships/hyperlink" Target="https://drive.google.com/file/d/1-Zl1wK2JsDABoFsnhmsKNOFqrXWt5w1M/view?usp=drivesdk" TargetMode="External"/><Relationship Id="rId1776" Type="http://schemas.openxmlformats.org/officeDocument/2006/relationships/hyperlink" Target="https://drive.google.com/file/d/1XZRVYS3esMFqcuaPFwa0iZJxL2vm1Mil/view?usp=drivesdk" TargetMode="External"/><Relationship Id="rId85" Type="http://schemas.openxmlformats.org/officeDocument/2006/relationships/hyperlink" Target="https://lh5.googleusercontent.com/d/1-qZec--2CAiJzhjW9KZ6_P0dtcMM-FzF" TargetMode="External"/><Relationship Id="rId1777" Type="http://schemas.openxmlformats.org/officeDocument/2006/relationships/hyperlink" Target="https://lh5.googleusercontent.com/d/1D0whAsxoMuyR3SCsJtPFKvtis89NHtGC" TargetMode="External"/><Relationship Id="rId88" Type="http://schemas.openxmlformats.org/officeDocument/2006/relationships/hyperlink" Target="https://drive.google.com/file/d/1xoQy5xOwJLga2SMkBJyeMrfD65D_-YRg/view?usp=drivesdk" TargetMode="External"/><Relationship Id="rId1778" Type="http://schemas.openxmlformats.org/officeDocument/2006/relationships/hyperlink" Target="https://drive.google.com/file/d/14DjlJyb-zRhoTXgc6Ry6a4-drt2uEoIv/view?usp=drivesdk" TargetMode="External"/><Relationship Id="rId87" Type="http://schemas.openxmlformats.org/officeDocument/2006/relationships/hyperlink" Target="https://lh5.googleusercontent.com/d/1WodCVKk6Hgy8R-0s35nxwUy9l9fDxMAm" TargetMode="External"/><Relationship Id="rId1779" Type="http://schemas.openxmlformats.org/officeDocument/2006/relationships/hyperlink" Target="https://lh5.googleusercontent.com/d/180ZfgvLvdTS8DGB1pask4u8GZL7SRM5C" TargetMode="External"/><Relationship Id="rId89" Type="http://schemas.openxmlformats.org/officeDocument/2006/relationships/hyperlink" Target="https://lh5.googleusercontent.com/d/1VV4f538XLqbCmeqzKUT3Zi3Vn2Ac0WOM" TargetMode="External"/><Relationship Id="rId80" Type="http://schemas.openxmlformats.org/officeDocument/2006/relationships/hyperlink" Target="https://drive.google.com/file/d/1mQuAlomZm6bmiHH9gOWxMQLZdV2n1I7Q/view?usp=drivesdk" TargetMode="External"/><Relationship Id="rId82" Type="http://schemas.openxmlformats.org/officeDocument/2006/relationships/hyperlink" Target="https://drive.google.com/file/d/1IAh7g6jYVi4HE4I2FG5twkmhWU9T66Iu/view?usp=drivesdk" TargetMode="External"/><Relationship Id="rId81" Type="http://schemas.openxmlformats.org/officeDocument/2006/relationships/hyperlink" Target="https://lh5.googleusercontent.com/d/19lPbe-F2VOjEdw1fsSUr6O4KY2hSwD8c" TargetMode="External"/><Relationship Id="rId1770" Type="http://schemas.openxmlformats.org/officeDocument/2006/relationships/hyperlink" Target="https://drive.google.com/file/d/1y3CgQV2sp2O6yiu9XQg7vA_6hxHz6F6E/view?usp=drivesdk" TargetMode="External"/><Relationship Id="rId1771" Type="http://schemas.openxmlformats.org/officeDocument/2006/relationships/hyperlink" Target="https://lh5.googleusercontent.com/d/1uDFsCso-rr41gE1GPLEtx3BzdOjILQy8" TargetMode="External"/><Relationship Id="rId1772" Type="http://schemas.openxmlformats.org/officeDocument/2006/relationships/hyperlink" Target="https://drive.google.com/file/d/1oxgQEHdYjVKW1vbIMXsTFsnMdfTXVgoR/view?usp=drivesdk" TargetMode="External"/><Relationship Id="rId1773" Type="http://schemas.openxmlformats.org/officeDocument/2006/relationships/hyperlink" Target="https://lh5.googleusercontent.com/d/1K-hdUdGRJHocgAGt_7FYxw816tHyC3z-" TargetMode="External"/><Relationship Id="rId73" Type="http://schemas.openxmlformats.org/officeDocument/2006/relationships/hyperlink" Target="https://lh5.googleusercontent.com/d/1tf00qIMB-87OEVRO_ZJ-m4lRg7iaxUOr" TargetMode="External"/><Relationship Id="rId1763" Type="http://schemas.openxmlformats.org/officeDocument/2006/relationships/hyperlink" Target="https://lh5.googleusercontent.com/d/1Ko0DmmalWYRurYxRUNN90r8o7VIkll5i" TargetMode="External"/><Relationship Id="rId72" Type="http://schemas.openxmlformats.org/officeDocument/2006/relationships/hyperlink" Target="https://drive.google.com/file/d/1Z9kpvIL8aKpY3JpRAR1r-WmBUNtNXXgn/view?usp=drivesdk" TargetMode="External"/><Relationship Id="rId1764" Type="http://schemas.openxmlformats.org/officeDocument/2006/relationships/hyperlink" Target="https://drive.google.com/file/d/1gG90QksiM03riiKPww0jeNCR0efGGWuU/view?usp=drivesdk" TargetMode="External"/><Relationship Id="rId75" Type="http://schemas.openxmlformats.org/officeDocument/2006/relationships/hyperlink" Target="https://lh5.googleusercontent.com/d/1JurYuvIT0Sgk5auq-jTiegNNICW3u4ss" TargetMode="External"/><Relationship Id="rId1765" Type="http://schemas.openxmlformats.org/officeDocument/2006/relationships/hyperlink" Target="https://lh5.googleusercontent.com/d/1xnoRDgvd-iPbf9Cvrdfs-j4oYuoPahwE" TargetMode="External"/><Relationship Id="rId74" Type="http://schemas.openxmlformats.org/officeDocument/2006/relationships/hyperlink" Target="https://drive.google.com/file/d/14OY-tCjHkPY_qIQe9BSDL7PJT54oUsuw/view?usp=drivesdk" TargetMode="External"/><Relationship Id="rId1766" Type="http://schemas.openxmlformats.org/officeDocument/2006/relationships/hyperlink" Target="https://drive.google.com/file/d/1ycGFXKffXx_pJ9P2Yj2FETE3guvdLRGR/view?usp=drivesdk" TargetMode="External"/><Relationship Id="rId77" Type="http://schemas.openxmlformats.org/officeDocument/2006/relationships/hyperlink" Target="https://lh5.googleusercontent.com/d/1mkw2KuS-pFXttbd3nbtlCw8rmun0ExZI" TargetMode="External"/><Relationship Id="rId1767" Type="http://schemas.openxmlformats.org/officeDocument/2006/relationships/hyperlink" Target="https://lh5.googleusercontent.com/d/1F4eCATr7Oy4Hnmvzv1m8e0Wc2lPSx7le" TargetMode="External"/><Relationship Id="rId76" Type="http://schemas.openxmlformats.org/officeDocument/2006/relationships/hyperlink" Target="https://drive.google.com/file/d/1M6lL8wN7d1huGboOsKW0w4jmt9Q3oOf6/view?usp=drivesdk" TargetMode="External"/><Relationship Id="rId1768" Type="http://schemas.openxmlformats.org/officeDocument/2006/relationships/hyperlink" Target="https://drive.google.com/file/d/1vsgb_BLiqjWGlabGDEcJNrCosUwxVie8/view?usp=drivesdk" TargetMode="External"/><Relationship Id="rId79" Type="http://schemas.openxmlformats.org/officeDocument/2006/relationships/hyperlink" Target="https://lh5.googleusercontent.com/d/1Iuk80g83sgnXkAYgce_YuM_R4uPHcJRt" TargetMode="External"/><Relationship Id="rId1769" Type="http://schemas.openxmlformats.org/officeDocument/2006/relationships/hyperlink" Target="https://lh5.googleusercontent.com/d/144y37QnPlfb3xSdAOz5ERqyiMN1_7D2G" TargetMode="External"/><Relationship Id="rId78" Type="http://schemas.openxmlformats.org/officeDocument/2006/relationships/hyperlink" Target="https://drive.google.com/file/d/1fLYlkyzvh4zZd-hk_Fxrf5HKo1kRmTns/view?usp=drivesdk" TargetMode="External"/><Relationship Id="rId71" Type="http://schemas.openxmlformats.org/officeDocument/2006/relationships/hyperlink" Target="https://lh5.googleusercontent.com/d/1vCJ2VzLSXJpIBrTYnASUK-eX_Nnr-EMD" TargetMode="External"/><Relationship Id="rId70" Type="http://schemas.openxmlformats.org/officeDocument/2006/relationships/hyperlink" Target="https://drive.google.com/file/d/1oBSIU4mTg3ADgqHM8315lg4p6yWDTiC_/view?usp=drivesdk" TargetMode="External"/><Relationship Id="rId1760" Type="http://schemas.openxmlformats.org/officeDocument/2006/relationships/hyperlink" Target="https://drive.google.com/file/d/1ITSm_Mqh5EwVoscrwUkHpbdj2zy3nhPP/view?usp=drivesdk" TargetMode="External"/><Relationship Id="rId1761" Type="http://schemas.openxmlformats.org/officeDocument/2006/relationships/hyperlink" Target="https://lh5.googleusercontent.com/d/1n11dC_cnYGjbSHxMfQUvgsBdeQcVXiEY" TargetMode="External"/><Relationship Id="rId1762" Type="http://schemas.openxmlformats.org/officeDocument/2006/relationships/hyperlink" Target="https://drive.google.com/file/d/1pKsxYjKYb8wKSS948TEqlxytfISV1wrq/view?usp=drivesdk" TargetMode="External"/><Relationship Id="rId62" Type="http://schemas.openxmlformats.org/officeDocument/2006/relationships/hyperlink" Target="https://drive.google.com/file/d/1b2h7Cxhu3yg8pVFwHLiVnOKOeJQmcVzR/view?usp=drivesdk" TargetMode="External"/><Relationship Id="rId1796" Type="http://schemas.openxmlformats.org/officeDocument/2006/relationships/hyperlink" Target="https://drive.google.com/file/d/1sMPi16513wYe7TFssjI7p2ABoMSX5WhG/view?usp=drivesdk" TargetMode="External"/><Relationship Id="rId61" Type="http://schemas.openxmlformats.org/officeDocument/2006/relationships/hyperlink" Target="https://lh5.googleusercontent.com/d/1j6CuJppwDVfR2PLtoADTU7lA3gd1V61q" TargetMode="External"/><Relationship Id="rId1797" Type="http://schemas.openxmlformats.org/officeDocument/2006/relationships/hyperlink" Target="https://lh5.googleusercontent.com/d/1RGL_J9Cv_UIohRJlcyinWX1TkigS-nbF" TargetMode="External"/><Relationship Id="rId64" Type="http://schemas.openxmlformats.org/officeDocument/2006/relationships/hyperlink" Target="https://drive.google.com/file/d/1idQDkvrVZUlvwS4Hq3pt2eri38PQAz1U/view?usp=drivesdk" TargetMode="External"/><Relationship Id="rId1798" Type="http://schemas.openxmlformats.org/officeDocument/2006/relationships/hyperlink" Target="https://drive.google.com/file/d/1vDJXgMbmPIrH8sC3RcoVzAUxAyDYEQN0/view?usp=drivesdk" TargetMode="External"/><Relationship Id="rId63" Type="http://schemas.openxmlformats.org/officeDocument/2006/relationships/hyperlink" Target="https://lh5.googleusercontent.com/d/1dEzdrFA4LNJJpZpLUCy7tMqZXcDBxJ8u" TargetMode="External"/><Relationship Id="rId1799" Type="http://schemas.openxmlformats.org/officeDocument/2006/relationships/hyperlink" Target="https://lh5.googleusercontent.com/d/1dwlICqUqY5kILvVI0sN7bRkMoTjFoMmq" TargetMode="External"/><Relationship Id="rId66" Type="http://schemas.openxmlformats.org/officeDocument/2006/relationships/hyperlink" Target="https://drive.google.com/file/d/1KZr6FmTiE3Y-uAEF_Wure87jza6yUOBP/view?usp=drivesdk" TargetMode="External"/><Relationship Id="rId65" Type="http://schemas.openxmlformats.org/officeDocument/2006/relationships/hyperlink" Target="https://lh5.googleusercontent.com/d/16Y7MKOx59eKq40gCSrmRzRunEJL_-rS8" TargetMode="External"/><Relationship Id="rId68" Type="http://schemas.openxmlformats.org/officeDocument/2006/relationships/hyperlink" Target="https://drive.google.com/file/d/1bQ-28KzIy3BRdCghgbUfr9Kz4Oel2PhY/view?usp=drivesdk" TargetMode="External"/><Relationship Id="rId67" Type="http://schemas.openxmlformats.org/officeDocument/2006/relationships/hyperlink" Target="https://lh5.googleusercontent.com/d/1lX0xz5H0XsoYHr-M5kaOeq6Uokd-B6E7" TargetMode="External"/><Relationship Id="rId60" Type="http://schemas.openxmlformats.org/officeDocument/2006/relationships/hyperlink" Target="https://drive.google.com/file/d/1eX8OU-JHzU4n6FkM3orMAkv677vk25ST/view?usp=drivesdk" TargetMode="External"/><Relationship Id="rId69" Type="http://schemas.openxmlformats.org/officeDocument/2006/relationships/hyperlink" Target="https://lh5.googleusercontent.com/d/19wrZaf4jTH7cohF8My29od2kyljV5Vx5" TargetMode="External"/><Relationship Id="rId1790" Type="http://schemas.openxmlformats.org/officeDocument/2006/relationships/hyperlink" Target="https://drive.google.com/file/d/1SbMmezSaN8eScuCSoLB0x0NgZ7YzimLu/view?usp=drivesdk" TargetMode="External"/><Relationship Id="rId1791" Type="http://schemas.openxmlformats.org/officeDocument/2006/relationships/hyperlink" Target="https://lh5.googleusercontent.com/d/1vOsyhQUOQYqL7KRvt9mLK6yJIsb8-zht" TargetMode="External"/><Relationship Id="rId1792" Type="http://schemas.openxmlformats.org/officeDocument/2006/relationships/hyperlink" Target="https://drive.google.com/file/d/1QB2qhPLGAQXa6iRskPqwzpJICVoGHrzq/view?usp=drivesdk" TargetMode="External"/><Relationship Id="rId1793" Type="http://schemas.openxmlformats.org/officeDocument/2006/relationships/hyperlink" Target="https://lh5.googleusercontent.com/d/1PNmanvq1IpM2jHpZtzK2cRmkIZ7dFI8T" TargetMode="External"/><Relationship Id="rId1794" Type="http://schemas.openxmlformats.org/officeDocument/2006/relationships/hyperlink" Target="https://drive.google.com/file/d/1guel7VfrZvauy0gF4VCqNzG2QTsl48k1/view?usp=drivesdk" TargetMode="External"/><Relationship Id="rId1795" Type="http://schemas.openxmlformats.org/officeDocument/2006/relationships/hyperlink" Target="https://lh5.googleusercontent.com/d/10hYRsxZbp3ase-QwCAhADVuIpUEUspHW" TargetMode="External"/><Relationship Id="rId51" Type="http://schemas.openxmlformats.org/officeDocument/2006/relationships/hyperlink" Target="https://lh5.googleusercontent.com/d/1d1Bjp2Q4TABNMK6b86Ky2bJ7aR85l5kM" TargetMode="External"/><Relationship Id="rId1785" Type="http://schemas.openxmlformats.org/officeDocument/2006/relationships/hyperlink" Target="https://lh5.googleusercontent.com/d/1kxLUMGcAHwYpnpUnm5Z2iQBrx_9qu6yh" TargetMode="External"/><Relationship Id="rId50" Type="http://schemas.openxmlformats.org/officeDocument/2006/relationships/hyperlink" Target="https://drive.google.com/file/d/1OyRcyGF5tPYSwoGLpo9EGKjN1Jp_XDWR/view?usp=drivesdk" TargetMode="External"/><Relationship Id="rId1786" Type="http://schemas.openxmlformats.org/officeDocument/2006/relationships/hyperlink" Target="https://drive.google.com/file/d/16UWhaWMFSO3cMTWqVST3j6LgFP0OLu5_/view?usp=drivesdk" TargetMode="External"/><Relationship Id="rId53" Type="http://schemas.openxmlformats.org/officeDocument/2006/relationships/hyperlink" Target="https://lh5.googleusercontent.com/d/10AvAsF3oINfe9THRihPTowaWs6rC4A3a" TargetMode="External"/><Relationship Id="rId1787" Type="http://schemas.openxmlformats.org/officeDocument/2006/relationships/hyperlink" Target="https://lh5.googleusercontent.com/d/1qIknwErCa8P3pBihOCBsiGYMGIUyDN4l" TargetMode="External"/><Relationship Id="rId52" Type="http://schemas.openxmlformats.org/officeDocument/2006/relationships/hyperlink" Target="https://drive.google.com/file/d/1vRwNK69JSG8qmBXwf60jSQu6-ylnF8u0/view?usp=drivesdk" TargetMode="External"/><Relationship Id="rId1788" Type="http://schemas.openxmlformats.org/officeDocument/2006/relationships/hyperlink" Target="https://drive.google.com/file/d/1mfKnIl68OkxwnRTftujfR-cuGERl2g8F/view?usp=drivesdk" TargetMode="External"/><Relationship Id="rId55" Type="http://schemas.openxmlformats.org/officeDocument/2006/relationships/hyperlink" Target="https://lh5.googleusercontent.com/d/18nM3bQoGh7YqZ7MmhIX3hdhdVy1bGnQX" TargetMode="External"/><Relationship Id="rId1789" Type="http://schemas.openxmlformats.org/officeDocument/2006/relationships/hyperlink" Target="https://lh5.googleusercontent.com/d/1KU6VYYe8CbfkxMN87whfSxpUcr6LLUfy" TargetMode="External"/><Relationship Id="rId54" Type="http://schemas.openxmlformats.org/officeDocument/2006/relationships/hyperlink" Target="https://drive.google.com/file/d/1ppigfG_uvsAui-38e3utF5CdZWBowi4_/view?usp=drivesdk" TargetMode="External"/><Relationship Id="rId57" Type="http://schemas.openxmlformats.org/officeDocument/2006/relationships/hyperlink" Target="https://lh5.googleusercontent.com/d/1dLtLDdA6U2FLXJkkXAJTSds97YXTZmXz" TargetMode="External"/><Relationship Id="rId56" Type="http://schemas.openxmlformats.org/officeDocument/2006/relationships/hyperlink" Target="https://drive.google.com/file/d/1F1ZnyA6Yv94kcXF---uxALwR8h1mNBqr/view?usp=drivesdk" TargetMode="External"/><Relationship Id="rId59" Type="http://schemas.openxmlformats.org/officeDocument/2006/relationships/hyperlink" Target="https://lh5.googleusercontent.com/d/1fY0xt2vV17WlLrzOYdOpEyywtl7L_aSY" TargetMode="External"/><Relationship Id="rId58" Type="http://schemas.openxmlformats.org/officeDocument/2006/relationships/hyperlink" Target="https://drive.google.com/file/d/1JGyi_YHwsHTZ2Gv-jO9VHSM7UCVZ0ab_/view?usp=drivesdk" TargetMode="External"/><Relationship Id="rId1780" Type="http://schemas.openxmlformats.org/officeDocument/2006/relationships/hyperlink" Target="https://drive.google.com/file/d/1FbJC9_r5LInUXrtA9lhU-n1u_iCB0JeR/view?usp=drivesdk" TargetMode="External"/><Relationship Id="rId1781" Type="http://schemas.openxmlformats.org/officeDocument/2006/relationships/hyperlink" Target="https://lh5.googleusercontent.com/d/1ldon19rrui_YPa1BLZx3ZaUI8Oq7mpgK" TargetMode="External"/><Relationship Id="rId1782" Type="http://schemas.openxmlformats.org/officeDocument/2006/relationships/hyperlink" Target="https://drive.google.com/file/d/1sP1dhS9r7HjRj0brzckyIUGjv7pynRAm/view?usp=drivesdk" TargetMode="External"/><Relationship Id="rId1783" Type="http://schemas.openxmlformats.org/officeDocument/2006/relationships/hyperlink" Target="https://lh5.googleusercontent.com/d/150udxTcvvunal1zavgdj0J8SZVZOGA0K" TargetMode="External"/><Relationship Id="rId1784" Type="http://schemas.openxmlformats.org/officeDocument/2006/relationships/hyperlink" Target="https://drive.google.com/file/d/1YkCLMScmjNvs8gBhZ10_S2n8RoOtZkd6/view?usp=drivesdk" TargetMode="External"/><Relationship Id="rId349" Type="http://schemas.openxmlformats.org/officeDocument/2006/relationships/hyperlink" Target="https://lh5.googleusercontent.com/d/12EMtauwNTwrT_vtgOua7ZngRVPXL3Kji" TargetMode="External"/><Relationship Id="rId348" Type="http://schemas.openxmlformats.org/officeDocument/2006/relationships/hyperlink" Target="https://drive.google.com/file/d/1Ce1rGSV9qR7sqF_tylKamDm4b4CFq60y/view?usp=drivesdk" TargetMode="External"/><Relationship Id="rId347" Type="http://schemas.openxmlformats.org/officeDocument/2006/relationships/hyperlink" Target="https://lh5.googleusercontent.com/d/1S8Js9DojUNslVGiOtAy3ncKqXrn3zMzP" TargetMode="External"/><Relationship Id="rId346" Type="http://schemas.openxmlformats.org/officeDocument/2006/relationships/hyperlink" Target="https://drive.google.com/file/d/1rlOYGKba5J3c8psz91FcH9doc3SBy39g/view?usp=drivesdk" TargetMode="External"/><Relationship Id="rId341" Type="http://schemas.openxmlformats.org/officeDocument/2006/relationships/hyperlink" Target="https://lh5.googleusercontent.com/d/1jaFYUVm-QxnYoHBlgM-bfkSLhQPOsuWq" TargetMode="External"/><Relationship Id="rId340" Type="http://schemas.openxmlformats.org/officeDocument/2006/relationships/hyperlink" Target="https://drive.google.com/file/d/1qupg5RjGhIitvJx-QKeRd-Wv3ErNryvL/view?usp=drivesdk" TargetMode="External"/><Relationship Id="rId345" Type="http://schemas.openxmlformats.org/officeDocument/2006/relationships/hyperlink" Target="https://lh5.googleusercontent.com/d/10oZnq3Zn2nQYQq7cxWOBrllrvwWC5V7R" TargetMode="External"/><Relationship Id="rId344" Type="http://schemas.openxmlformats.org/officeDocument/2006/relationships/hyperlink" Target="https://drive.google.com/file/d/192PMXaZAn7iwlObXiGEFRYVbeOqrp8Qz/view?usp=drivesdk" TargetMode="External"/><Relationship Id="rId343" Type="http://schemas.openxmlformats.org/officeDocument/2006/relationships/hyperlink" Target="https://lh5.googleusercontent.com/d/1A6EFJZyPOO8claXV93FMqpGYNzaD1exw" TargetMode="External"/><Relationship Id="rId342" Type="http://schemas.openxmlformats.org/officeDocument/2006/relationships/hyperlink" Target="https://drive.google.com/file/d/1-OFQpZHVtzsDvaoC2s-DJ0gbzs9HzHhI/view?usp=drivesdk" TargetMode="External"/><Relationship Id="rId338" Type="http://schemas.openxmlformats.org/officeDocument/2006/relationships/hyperlink" Target="https://drive.google.com/file/d/1PVVe_yNl-oZRAtsY1zbk8R7t20K_-e9h/view?usp=drivesdk" TargetMode="External"/><Relationship Id="rId337" Type="http://schemas.openxmlformats.org/officeDocument/2006/relationships/hyperlink" Target="https://lh5.googleusercontent.com/d/1qTjFNGkqcXhySkNalxP7PC3Up2IFj3EC" TargetMode="External"/><Relationship Id="rId336" Type="http://schemas.openxmlformats.org/officeDocument/2006/relationships/hyperlink" Target="https://drive.google.com/file/d/1VI5ykfgSVFSTKeWrRXw09vqsvuRdQP1D/view?usp=drivesdk" TargetMode="External"/><Relationship Id="rId335" Type="http://schemas.openxmlformats.org/officeDocument/2006/relationships/hyperlink" Target="https://lh5.googleusercontent.com/d/1XtzvB7plQ6cfaQJ3aVBVNq_wU_gnJHaw" TargetMode="External"/><Relationship Id="rId339" Type="http://schemas.openxmlformats.org/officeDocument/2006/relationships/hyperlink" Target="https://lh5.googleusercontent.com/d/1LBqlRGCn53bxPOItCJ7rTlwHA4oVnEz6" TargetMode="External"/><Relationship Id="rId330" Type="http://schemas.openxmlformats.org/officeDocument/2006/relationships/hyperlink" Target="https://drive.google.com/file/d/1m9mPEaNIwikhgu932bVvyzXKByfB9kER/view?usp=drivesdk" TargetMode="External"/><Relationship Id="rId334" Type="http://schemas.openxmlformats.org/officeDocument/2006/relationships/hyperlink" Target="https://drive.google.com/file/d/1wlEnOqJ3OPvS3_0923Kio4kkOfNGk2Go/view?usp=drivesdk" TargetMode="External"/><Relationship Id="rId333" Type="http://schemas.openxmlformats.org/officeDocument/2006/relationships/hyperlink" Target="https://lh5.googleusercontent.com/d/14nkCdsH2qpb-emq32JbnYu-awkax7Kz0" TargetMode="External"/><Relationship Id="rId332" Type="http://schemas.openxmlformats.org/officeDocument/2006/relationships/hyperlink" Target="https://drive.google.com/file/d/1izV_PX5rllT6Djp9Zr_C_zC9rexXRw5V/view?usp=drivesdk" TargetMode="External"/><Relationship Id="rId331" Type="http://schemas.openxmlformats.org/officeDocument/2006/relationships/hyperlink" Target="https://lh5.googleusercontent.com/d/1yS_zdMdcbbyNhnEsU8opjgbqNi6mCEcd" TargetMode="External"/><Relationship Id="rId370" Type="http://schemas.openxmlformats.org/officeDocument/2006/relationships/hyperlink" Target="https://drive.google.com/file/d/1dOzEpvMvcyIY7GMugImIt1Mf7sCtSgWB/view?usp=drivesdk" TargetMode="External"/><Relationship Id="rId369" Type="http://schemas.openxmlformats.org/officeDocument/2006/relationships/hyperlink" Target="https://lh5.googleusercontent.com/d/1RcHdQf1_h3_0Li6vKSkBQQcBM9OKEpz4" TargetMode="External"/><Relationship Id="rId368" Type="http://schemas.openxmlformats.org/officeDocument/2006/relationships/hyperlink" Target="https://drive.google.com/file/d/1f7CLIo-pL6B3WpOh1knmG68MpErNSvxV/view?usp=drivesdk" TargetMode="External"/><Relationship Id="rId363" Type="http://schemas.openxmlformats.org/officeDocument/2006/relationships/hyperlink" Target="https://lh5.googleusercontent.com/d/16gds-wfSxwF3bPJc3XW0ym57how3azzW" TargetMode="External"/><Relationship Id="rId362" Type="http://schemas.openxmlformats.org/officeDocument/2006/relationships/hyperlink" Target="https://drive.google.com/file/d/1uabSo9Rx8NMEpiqR2FPUItgDqsaYOSNM/view?usp=drivesdk" TargetMode="External"/><Relationship Id="rId361" Type="http://schemas.openxmlformats.org/officeDocument/2006/relationships/hyperlink" Target="https://lh5.googleusercontent.com/d/1U1QCOixXz_B2CJPxBBQsnQBDlJUM_tj_" TargetMode="External"/><Relationship Id="rId360" Type="http://schemas.openxmlformats.org/officeDocument/2006/relationships/hyperlink" Target="https://drive.google.com/file/d/1bvQZRjiprr1wU_mXdLRpmbko2QUuT4H-/view?usp=drivesdk" TargetMode="External"/><Relationship Id="rId367" Type="http://schemas.openxmlformats.org/officeDocument/2006/relationships/hyperlink" Target="https://lh5.googleusercontent.com/d/1ZIz8MnCHBt4-xc2BodupSjbKvFmIy6BZ" TargetMode="External"/><Relationship Id="rId366" Type="http://schemas.openxmlformats.org/officeDocument/2006/relationships/hyperlink" Target="https://drive.google.com/file/d/1zrzSO2N8k7IcjqgMOSrBKRuNwW9AVV1H/view?usp=drivesdk" TargetMode="External"/><Relationship Id="rId365" Type="http://schemas.openxmlformats.org/officeDocument/2006/relationships/hyperlink" Target="https://lh5.googleusercontent.com/d/1vXs0QUp-xz5e2MBeBbITc7W6bdJ4bxya" TargetMode="External"/><Relationship Id="rId364" Type="http://schemas.openxmlformats.org/officeDocument/2006/relationships/hyperlink" Target="https://drive.google.com/file/d/15tC6193AgMPOwjg9heL8EUB-2kzhRD1_/view?usp=drivesdk" TargetMode="External"/><Relationship Id="rId95" Type="http://schemas.openxmlformats.org/officeDocument/2006/relationships/hyperlink" Target="https://lh5.googleusercontent.com/d/1EoXBE6esY4L-5E-p-AF2_7mt-4Tx0mNt" TargetMode="External"/><Relationship Id="rId94" Type="http://schemas.openxmlformats.org/officeDocument/2006/relationships/hyperlink" Target="https://drive.google.com/file/d/17i---RagTryhIOC7ndsQ75NLaUnkR2Hw/view?usp=drivesdk" TargetMode="External"/><Relationship Id="rId97" Type="http://schemas.openxmlformats.org/officeDocument/2006/relationships/hyperlink" Target="https://lh5.googleusercontent.com/d/1lA1uqZ3cTFXg4bEjBhEgvTeS4NWzP4l-" TargetMode="External"/><Relationship Id="rId96" Type="http://schemas.openxmlformats.org/officeDocument/2006/relationships/hyperlink" Target="https://drive.google.com/file/d/16ORzHzuZfM6Zy4w6OOxhpAIvh49saOIp/view?usp=drivesdk" TargetMode="External"/><Relationship Id="rId99" Type="http://schemas.openxmlformats.org/officeDocument/2006/relationships/hyperlink" Target="https://lh5.googleusercontent.com/d/1endnzpXzUzZiMex5PQXm8oBW1rM83f2f" TargetMode="External"/><Relationship Id="rId98" Type="http://schemas.openxmlformats.org/officeDocument/2006/relationships/hyperlink" Target="https://drive.google.com/file/d/1JPrDwcTQTCvL8kI8gI57K1XN9DCQQryt/view?usp=drivesdk" TargetMode="External"/><Relationship Id="rId91" Type="http://schemas.openxmlformats.org/officeDocument/2006/relationships/hyperlink" Target="https://lh5.googleusercontent.com/d/1a_ovAI_T6yWRrRWJDgtZITCnNxfhWGUT" TargetMode="External"/><Relationship Id="rId90" Type="http://schemas.openxmlformats.org/officeDocument/2006/relationships/hyperlink" Target="https://drive.google.com/file/d/1fMZIRmnFGq1uE9fuKcgnSygD_gxXZbl_/view?usp=drivesdk" TargetMode="External"/><Relationship Id="rId93" Type="http://schemas.openxmlformats.org/officeDocument/2006/relationships/hyperlink" Target="https://lh5.googleusercontent.com/d/11IAEItZFqkMdu1FmVrWzulTqha3pmg_M" TargetMode="External"/><Relationship Id="rId92" Type="http://schemas.openxmlformats.org/officeDocument/2006/relationships/hyperlink" Target="https://drive.google.com/file/d/1O3s1XPYr80D-IJSkiMblJWyNpn2LRKVu/view?usp=drivesdk" TargetMode="External"/><Relationship Id="rId359" Type="http://schemas.openxmlformats.org/officeDocument/2006/relationships/hyperlink" Target="https://lh5.googleusercontent.com/d/19-aOiN7cvnBNQJQGGOKMEp3kKLoDRv_X" TargetMode="External"/><Relationship Id="rId358" Type="http://schemas.openxmlformats.org/officeDocument/2006/relationships/hyperlink" Target="https://drive.google.com/file/d/1CbdZb0nJ8zxnLhXPaQDZrIZpHED3tRNJ/view?usp=drivesdk" TargetMode="External"/><Relationship Id="rId357" Type="http://schemas.openxmlformats.org/officeDocument/2006/relationships/hyperlink" Target="https://lh5.googleusercontent.com/d/1JAyAMaD6mKrVObQsUutcbWnoVkiMTtjj" TargetMode="External"/><Relationship Id="rId352" Type="http://schemas.openxmlformats.org/officeDocument/2006/relationships/hyperlink" Target="https://drive.google.com/file/d/1JUZGRS-SxgUmJm-STnqFOKg47wJgczPj/view?usp=drivesdk" TargetMode="External"/><Relationship Id="rId351" Type="http://schemas.openxmlformats.org/officeDocument/2006/relationships/hyperlink" Target="https://lh5.googleusercontent.com/d/1UX0W0gc4Bmi97n6VB2exyhQXYFeBqMyk" TargetMode="External"/><Relationship Id="rId350" Type="http://schemas.openxmlformats.org/officeDocument/2006/relationships/hyperlink" Target="https://drive.google.com/file/d/1AcUK3qngnvKrj919NhVTtCFSmVxtICB9/view?usp=drivesdk" TargetMode="External"/><Relationship Id="rId356" Type="http://schemas.openxmlformats.org/officeDocument/2006/relationships/hyperlink" Target="https://drive.google.com/file/d/1xbkYWbFKA_oMhvCfRDaAOgSZ7PkWInow/view?usp=drivesdk" TargetMode="External"/><Relationship Id="rId355" Type="http://schemas.openxmlformats.org/officeDocument/2006/relationships/hyperlink" Target="https://lh5.googleusercontent.com/d/1K7Og1f-pd5AxovFaHp364FYEN8kOQ2zU" TargetMode="External"/><Relationship Id="rId354" Type="http://schemas.openxmlformats.org/officeDocument/2006/relationships/hyperlink" Target="https://drive.google.com/file/d/1_66hxIbB-SaPbaUvzfXrfQ4OMn0-Pk-j/view?usp=drivesdk" TargetMode="External"/><Relationship Id="rId353" Type="http://schemas.openxmlformats.org/officeDocument/2006/relationships/hyperlink" Target="https://lh5.googleusercontent.com/d/1xKgyMz-Nb2Zrpfq_HQ_G-fOU8yGov8nv" TargetMode="External"/><Relationship Id="rId305" Type="http://schemas.openxmlformats.org/officeDocument/2006/relationships/hyperlink" Target="https://lh5.googleusercontent.com/d/1d9nt51RTjNzIyoA8xsmzUTE2ZxfKuPX8" TargetMode="External"/><Relationship Id="rId304" Type="http://schemas.openxmlformats.org/officeDocument/2006/relationships/hyperlink" Target="https://drive.google.com/file/d/1OzcvIPEp2tFo_YDMCDq1-WY--v79xytW/view?usp=drivesdk" TargetMode="External"/><Relationship Id="rId303" Type="http://schemas.openxmlformats.org/officeDocument/2006/relationships/hyperlink" Target="https://lh5.googleusercontent.com/d/1H9kzMPW6GKmr3r81qILL4rjFlyFjuX_S" TargetMode="External"/><Relationship Id="rId302" Type="http://schemas.openxmlformats.org/officeDocument/2006/relationships/hyperlink" Target="https://drive.google.com/file/d/1PuaarfanOrscNvUMWlCui4GHWyhz3A5g/view?usp=drivesdk" TargetMode="External"/><Relationship Id="rId309" Type="http://schemas.openxmlformats.org/officeDocument/2006/relationships/hyperlink" Target="https://lh5.googleusercontent.com/d/1r87A29Xx2gyfcZsoH7vNU-0eFlxVIQoy" TargetMode="External"/><Relationship Id="rId308" Type="http://schemas.openxmlformats.org/officeDocument/2006/relationships/hyperlink" Target="https://drive.google.com/file/d/1uLqCNqk2URQYfYtDx6sYjBaSCXiKFTpN/view?usp=drivesdk" TargetMode="External"/><Relationship Id="rId307" Type="http://schemas.openxmlformats.org/officeDocument/2006/relationships/hyperlink" Target="https://lh5.googleusercontent.com/d/16Kh6gNWZ6Pr5wYPl8WYdryXnI9ONOsxg" TargetMode="External"/><Relationship Id="rId306" Type="http://schemas.openxmlformats.org/officeDocument/2006/relationships/hyperlink" Target="https://drive.google.com/file/d/1xLYTGW9TSBK3sAwOUBt0VCc0_MSl8qjo/view?usp=drivesdk" TargetMode="External"/><Relationship Id="rId301" Type="http://schemas.openxmlformats.org/officeDocument/2006/relationships/hyperlink" Target="https://lh5.googleusercontent.com/d/1xbDsj7l5efhovuyf_ydddyxztF7k5SoW" TargetMode="External"/><Relationship Id="rId300" Type="http://schemas.openxmlformats.org/officeDocument/2006/relationships/hyperlink" Target="https://drive.google.com/file/d/1eq4Q1xVaQRX8D7YY-U3NDqUxNVQwkS04/view?usp=drivesdk" TargetMode="External"/><Relationship Id="rId327" Type="http://schemas.openxmlformats.org/officeDocument/2006/relationships/hyperlink" Target="https://drive.google.com/file/d/1krTEvfy0wYWL62okfal20FmsJpoZfQAC/view?usp=drivesdk" TargetMode="External"/><Relationship Id="rId326" Type="http://schemas.openxmlformats.org/officeDocument/2006/relationships/hyperlink" Target="https://lh5.googleusercontent.com/d/1DMHLUjVyb9LZLNK3lFBI9urPtCcrBJ_f" TargetMode="External"/><Relationship Id="rId325" Type="http://schemas.openxmlformats.org/officeDocument/2006/relationships/hyperlink" Target="https://drive.google.com/file/d/1mOHfWbYccuCrQPq3dkG4EK9moBo3hKkS/view?usp=drivesdk" TargetMode="External"/><Relationship Id="rId324" Type="http://schemas.openxmlformats.org/officeDocument/2006/relationships/hyperlink" Target="https://lh5.googleusercontent.com/d/1UAYAJEvVUpxe7QX6rnsDFYWyY0au_Eic" TargetMode="External"/><Relationship Id="rId329" Type="http://schemas.openxmlformats.org/officeDocument/2006/relationships/hyperlink" Target="https://lh5.googleusercontent.com/d/1oOc9hEk7BG0j0BdO78GqXAzh-QxFqHeS" TargetMode="External"/><Relationship Id="rId328" Type="http://schemas.openxmlformats.org/officeDocument/2006/relationships/hyperlink" Target="https://lh5.googleusercontent.com/d/1Z6doTm2aEBPjZz0UWAZjjVB5TjBBveum" TargetMode="External"/><Relationship Id="rId323" Type="http://schemas.openxmlformats.org/officeDocument/2006/relationships/hyperlink" Target="https://lh5.googleusercontent.com/d/18hfFmnLWgneRxQXe9yLfO59r_8_xSq00" TargetMode="External"/><Relationship Id="rId322" Type="http://schemas.openxmlformats.org/officeDocument/2006/relationships/hyperlink" Target="https://drive.google.com/file/d/102FBxcm397Kvapa1_RDTcBzzh0zGJg4K/view?usp=drivesdk" TargetMode="External"/><Relationship Id="rId321" Type="http://schemas.openxmlformats.org/officeDocument/2006/relationships/hyperlink" Target="https://lh5.googleusercontent.com/d/1lzbzLAb6ICuze2p1u-534gvOPEh5VMs_" TargetMode="External"/><Relationship Id="rId320" Type="http://schemas.openxmlformats.org/officeDocument/2006/relationships/hyperlink" Target="https://drive.google.com/file/d/1GBsqcZpX6omxK8A0BLYpkq6RcicoSPM9/view?usp=drivesdk" TargetMode="External"/><Relationship Id="rId316" Type="http://schemas.openxmlformats.org/officeDocument/2006/relationships/hyperlink" Target="https://drive.google.com/file/d/1dJs1eCnqJAqYjj0oz0u-CnbVAfyC_gS-/view?usp=drivesdk" TargetMode="External"/><Relationship Id="rId315" Type="http://schemas.openxmlformats.org/officeDocument/2006/relationships/hyperlink" Target="https://lh5.googleusercontent.com/d/11PuaLb-WaCjAXvw3FI0SBu798JrXs273" TargetMode="External"/><Relationship Id="rId314" Type="http://schemas.openxmlformats.org/officeDocument/2006/relationships/hyperlink" Target="https://drive.google.com/file/d/15RkrbtT-9yMBIP0BJHY_XJ_6Gjv-UsaI/view?usp=drivesdk" TargetMode="External"/><Relationship Id="rId313" Type="http://schemas.openxmlformats.org/officeDocument/2006/relationships/hyperlink" Target="https://lh5.googleusercontent.com/d/1UKKUIAsQ312Ix9BzPNccTuIGeL5vm30j" TargetMode="External"/><Relationship Id="rId319" Type="http://schemas.openxmlformats.org/officeDocument/2006/relationships/hyperlink" Target="https://lh5.googleusercontent.com/d/1L4pro0GVPZEHaAJxqwvRQCt0miFBxLF-" TargetMode="External"/><Relationship Id="rId318" Type="http://schemas.openxmlformats.org/officeDocument/2006/relationships/hyperlink" Target="https://drive.google.com/file/d/1z14Oh54hTRvw14GsGRbl63wJbT64rIkn/view?usp=drivesdk" TargetMode="External"/><Relationship Id="rId317" Type="http://schemas.openxmlformats.org/officeDocument/2006/relationships/hyperlink" Target="https://lh5.googleusercontent.com/d/1t6PqPiVIi-jcg7yWzsDkj8z_5DoG-osd" TargetMode="External"/><Relationship Id="rId312" Type="http://schemas.openxmlformats.org/officeDocument/2006/relationships/hyperlink" Target="https://drive.google.com/file/d/1VYHI6H39hbqYJVkozLKEeZMdmzl9j8Rh/view?usp=drivesdk" TargetMode="External"/><Relationship Id="rId311" Type="http://schemas.openxmlformats.org/officeDocument/2006/relationships/hyperlink" Target="https://lh5.googleusercontent.com/d/1ubshY2jo-qcFR9LkLJrq4JnbdSbh0McA" TargetMode="External"/><Relationship Id="rId310" Type="http://schemas.openxmlformats.org/officeDocument/2006/relationships/hyperlink" Target="https://drive.google.com/file/d/1CO6p47ZvAdEcTv4oPpUshJzPrGEX5JyK/view?usp=drivesdk" TargetMode="External"/><Relationship Id="rId297" Type="http://schemas.openxmlformats.org/officeDocument/2006/relationships/hyperlink" Target="https://lh5.googleusercontent.com/d/1UuIdmmEwOTyIhn47_WaLAYB3wyDdPMvX" TargetMode="External"/><Relationship Id="rId296" Type="http://schemas.openxmlformats.org/officeDocument/2006/relationships/hyperlink" Target="https://drive.google.com/file/d/1zjm5d2OV_es2xnnB0AKMKJweKo6rqZyf/view?usp=drivesdk" TargetMode="External"/><Relationship Id="rId295" Type="http://schemas.openxmlformats.org/officeDocument/2006/relationships/hyperlink" Target="https://lh5.googleusercontent.com/d/166GBne7DlNDDDiFRZ1mJTnHdnlHi2mDY" TargetMode="External"/><Relationship Id="rId294" Type="http://schemas.openxmlformats.org/officeDocument/2006/relationships/hyperlink" Target="https://drive.google.com/file/d/1zQFXvIVNZcBIlpQFUmHUVXbEOeaWjdu4/view?usp=drivesdk" TargetMode="External"/><Relationship Id="rId299" Type="http://schemas.openxmlformats.org/officeDocument/2006/relationships/hyperlink" Target="https://lh5.googleusercontent.com/d/1KL6mH7P2Ctbpx98m3SbguptiV8yfI4cI" TargetMode="External"/><Relationship Id="rId298" Type="http://schemas.openxmlformats.org/officeDocument/2006/relationships/hyperlink" Target="https://drive.google.com/file/d/1LqcFmig_neL42ZXUv-RT6i8tshp54ffj/view?usp=drivesdk" TargetMode="External"/><Relationship Id="rId271" Type="http://schemas.openxmlformats.org/officeDocument/2006/relationships/hyperlink" Target="https://lh5.googleusercontent.com/d/1JhN_r95P2YoMRdPvJoFrxu2GCamGHTnM" TargetMode="External"/><Relationship Id="rId270" Type="http://schemas.openxmlformats.org/officeDocument/2006/relationships/hyperlink" Target="https://drive.google.com/file/d/15DfXqOawocw2N0v3q3uY7d4HyD7hAllL/view?usp=drivesdk" TargetMode="External"/><Relationship Id="rId269" Type="http://schemas.openxmlformats.org/officeDocument/2006/relationships/hyperlink" Target="https://lh5.googleusercontent.com/d/11lnxowgVDIa2-H1IvPes-JCrEKfNb94k" TargetMode="External"/><Relationship Id="rId264" Type="http://schemas.openxmlformats.org/officeDocument/2006/relationships/hyperlink" Target="https://drive.google.com/file/d/1cX_dKJ3U6p7MUuDW0vN7L1YParxuy92z/view?usp=drivesdk" TargetMode="External"/><Relationship Id="rId263" Type="http://schemas.openxmlformats.org/officeDocument/2006/relationships/hyperlink" Target="https://lh5.googleusercontent.com/d/1xbRUF2rGbB3FV0gGM_-P6GPicrZLFDoc" TargetMode="External"/><Relationship Id="rId262" Type="http://schemas.openxmlformats.org/officeDocument/2006/relationships/hyperlink" Target="https://drive.google.com/file/d/1H6IcODm2oL5X6DFmaTrhCsH0RPxtDoQR/view?usp=drivesdk" TargetMode="External"/><Relationship Id="rId261" Type="http://schemas.openxmlformats.org/officeDocument/2006/relationships/hyperlink" Target="https://lh5.googleusercontent.com/d/1VhVZLZP-AKiOfAaRppA2kmefKV-V_W9Q" TargetMode="External"/><Relationship Id="rId268" Type="http://schemas.openxmlformats.org/officeDocument/2006/relationships/hyperlink" Target="https://drive.google.com/file/d/1M5wNxMf8I4e5uKT4aZ_PMGuDR8C9Of3S/view?usp=drivesdk" TargetMode="External"/><Relationship Id="rId267" Type="http://schemas.openxmlformats.org/officeDocument/2006/relationships/hyperlink" Target="https://lh5.googleusercontent.com/d/1Mm0S-QHboaa6ioV5gnBL5trXCLVb5Nbk" TargetMode="External"/><Relationship Id="rId266" Type="http://schemas.openxmlformats.org/officeDocument/2006/relationships/hyperlink" Target="https://drive.google.com/file/d/1uSEqEeBUoXMQ1TInVkkxaIaqvBxNo428/view?usp=drivesdk" TargetMode="External"/><Relationship Id="rId265" Type="http://schemas.openxmlformats.org/officeDocument/2006/relationships/hyperlink" Target="https://lh5.googleusercontent.com/d/1oimbKveejCVYq53zwJP7UTVbWKW-IUak" TargetMode="External"/><Relationship Id="rId260" Type="http://schemas.openxmlformats.org/officeDocument/2006/relationships/hyperlink" Target="https://drive.google.com/file/d/1RlcMYFnPSGHdr0mhRjIkE54vOM7nI8Zy/view?usp=drivesdk" TargetMode="External"/><Relationship Id="rId259" Type="http://schemas.openxmlformats.org/officeDocument/2006/relationships/hyperlink" Target="https://lh5.googleusercontent.com/d/1ox9aUISmKn-4VmXE5Uzc9edK4BfaT1bI" TargetMode="External"/><Relationship Id="rId258" Type="http://schemas.openxmlformats.org/officeDocument/2006/relationships/hyperlink" Target="https://drive.google.com/file/d/1VluueX1eVMJSAs3ZZ7orsuZ5sblWnd_a/view?usp=drivesdk" TargetMode="External"/><Relationship Id="rId253" Type="http://schemas.openxmlformats.org/officeDocument/2006/relationships/hyperlink" Target="https://lh5.googleusercontent.com/d/1eGQ5CAtjziGQim3s2Ue8xlfLz7SRQD7q" TargetMode="External"/><Relationship Id="rId252" Type="http://schemas.openxmlformats.org/officeDocument/2006/relationships/hyperlink" Target="https://drive.google.com/file/d/1yD0Ohrg80TecfBIHD6eJYJbypNLh_PHu/view?usp=drivesdk" TargetMode="External"/><Relationship Id="rId251" Type="http://schemas.openxmlformats.org/officeDocument/2006/relationships/hyperlink" Target="https://lh5.googleusercontent.com/d/1znxR8Hjq18Mp8oi54wtdbmtLv2wW5fWH" TargetMode="External"/><Relationship Id="rId250" Type="http://schemas.openxmlformats.org/officeDocument/2006/relationships/hyperlink" Target="https://drive.google.com/file/d/1TgBVy7X73A7KPj9AQdsRG9totkTRjyBi/view?usp=drivesdk" TargetMode="External"/><Relationship Id="rId257" Type="http://schemas.openxmlformats.org/officeDocument/2006/relationships/hyperlink" Target="https://lh5.googleusercontent.com/d/1XgyOKBTxYbUr707xCFM9wnzS-OZV9A7W" TargetMode="External"/><Relationship Id="rId256" Type="http://schemas.openxmlformats.org/officeDocument/2006/relationships/hyperlink" Target="https://drive.google.com/file/d/1ANGgjWJjvMwLcTSLZkIfMZW_yfIAHANh/view?usp=drivesdk" TargetMode="External"/><Relationship Id="rId255" Type="http://schemas.openxmlformats.org/officeDocument/2006/relationships/hyperlink" Target="https://lh5.googleusercontent.com/d/1AURERdOwFeP6h_XwISkHQz67rRpafgsj" TargetMode="External"/><Relationship Id="rId254" Type="http://schemas.openxmlformats.org/officeDocument/2006/relationships/hyperlink" Target="https://drive.google.com/file/d/1fuO_l9nsDpZuhIv59Cbq1wrpr8KR3Lhz/view?usp=drivesdk" TargetMode="External"/><Relationship Id="rId293" Type="http://schemas.openxmlformats.org/officeDocument/2006/relationships/hyperlink" Target="https://lh5.googleusercontent.com/d/18rS8MUzINucKbSZva6jK9B30cxMrcDAB" TargetMode="External"/><Relationship Id="rId292" Type="http://schemas.openxmlformats.org/officeDocument/2006/relationships/hyperlink" Target="https://drive.google.com/file/d/1Zorqs7BeF2c_7IYSVBs32zdy2J9jfuEy/view?usp=drivesdk" TargetMode="External"/><Relationship Id="rId291" Type="http://schemas.openxmlformats.org/officeDocument/2006/relationships/hyperlink" Target="https://lh5.googleusercontent.com/d/1NmrOBEgP7Gyw2QVUdsj3AsKNqDa5_0V5" TargetMode="External"/><Relationship Id="rId290" Type="http://schemas.openxmlformats.org/officeDocument/2006/relationships/hyperlink" Target="https://drive.google.com/file/d/1fr0_-2Z7YWo_K9dUuB8Fq9Bl4y433gup/view?usp=drivesdk" TargetMode="External"/><Relationship Id="rId286" Type="http://schemas.openxmlformats.org/officeDocument/2006/relationships/hyperlink" Target="https://drive.google.com/file/d/1o5-sI5WumIGtNAl39IlDxwjC_X9grP8o/view?usp=drivesdk" TargetMode="External"/><Relationship Id="rId285" Type="http://schemas.openxmlformats.org/officeDocument/2006/relationships/hyperlink" Target="https://lh5.googleusercontent.com/d/1gElkf6VaIc7upvBCiqIZaMhwkid6U87A" TargetMode="External"/><Relationship Id="rId284" Type="http://schemas.openxmlformats.org/officeDocument/2006/relationships/hyperlink" Target="https://drive.google.com/file/d/15TxyC_priZTXipla3mJDTH-Mc3H_FzCn/view?usp=drivesdk" TargetMode="External"/><Relationship Id="rId283" Type="http://schemas.openxmlformats.org/officeDocument/2006/relationships/hyperlink" Target="https://lh5.googleusercontent.com/d/1XXYfmPGBn8pS6H_CH7HmJXzYPbenP5gQ" TargetMode="External"/><Relationship Id="rId289" Type="http://schemas.openxmlformats.org/officeDocument/2006/relationships/hyperlink" Target="https://lh5.googleusercontent.com/d/1meXnBMVu-UXbo-wvcMAG_PgtGaXEgxe2" TargetMode="External"/><Relationship Id="rId288" Type="http://schemas.openxmlformats.org/officeDocument/2006/relationships/hyperlink" Target="https://drive.google.com/file/d/1vW8zbkFBu26XN2dT0pFro-p9CYAcjmAz/view?usp=drivesdk" TargetMode="External"/><Relationship Id="rId287" Type="http://schemas.openxmlformats.org/officeDocument/2006/relationships/hyperlink" Target="https://lh5.googleusercontent.com/d/1WvSwH4p-56DI9d8dBqgmK6CUuYqWGhLg" TargetMode="External"/><Relationship Id="rId282" Type="http://schemas.openxmlformats.org/officeDocument/2006/relationships/hyperlink" Target="https://drive.google.com/file/d/11WiFkXxpuqa0-t4hj5zJdCBUEXOsV35s/view?usp=drivesdk" TargetMode="External"/><Relationship Id="rId281" Type="http://schemas.openxmlformats.org/officeDocument/2006/relationships/hyperlink" Target="https://lh5.googleusercontent.com/d/1PKmz7d84aP1CYyNkLtqIszkiasrVLqsq" TargetMode="External"/><Relationship Id="rId280" Type="http://schemas.openxmlformats.org/officeDocument/2006/relationships/hyperlink" Target="https://drive.google.com/file/d/19Z57S7Vqc_EhcrQ5N3NeZM4QhlMwmhVm/view?usp=drivesdk" TargetMode="External"/><Relationship Id="rId275" Type="http://schemas.openxmlformats.org/officeDocument/2006/relationships/hyperlink" Target="https://lh5.googleusercontent.com/d/1cclUr2wxhmjxqWvNCCNq27DaulDgALoB" TargetMode="External"/><Relationship Id="rId274" Type="http://schemas.openxmlformats.org/officeDocument/2006/relationships/hyperlink" Target="https://drive.google.com/file/d/1_uXqUNGTmnmnabEBiU1cCcCZAbF08IxO/view?usp=drivesdk" TargetMode="External"/><Relationship Id="rId273" Type="http://schemas.openxmlformats.org/officeDocument/2006/relationships/hyperlink" Target="https://lh5.googleusercontent.com/d/1UeE1_1r_w_3g5uwAfAsXKxNL4rTkfQMw" TargetMode="External"/><Relationship Id="rId272" Type="http://schemas.openxmlformats.org/officeDocument/2006/relationships/hyperlink" Target="https://drive.google.com/file/d/1ByHT40YJQofSNDVTIvWuC9eLfpbCifkb/view?usp=drivesdk" TargetMode="External"/><Relationship Id="rId279" Type="http://schemas.openxmlformats.org/officeDocument/2006/relationships/hyperlink" Target="https://lh5.googleusercontent.com/d/1-knlJLajNZIoWbjgvHCoorPRF0eMvHpX" TargetMode="External"/><Relationship Id="rId278" Type="http://schemas.openxmlformats.org/officeDocument/2006/relationships/hyperlink" Target="https://drive.google.com/file/d/17jQc_RmB4JozWkccN7v2hsbWYoi1qT_f/view?usp=drivesdk" TargetMode="External"/><Relationship Id="rId277" Type="http://schemas.openxmlformats.org/officeDocument/2006/relationships/hyperlink" Target="https://lh5.googleusercontent.com/d/1-aQPspsuroCdeBuvK3iuOa88P4-OSXw5" TargetMode="External"/><Relationship Id="rId276" Type="http://schemas.openxmlformats.org/officeDocument/2006/relationships/hyperlink" Target="https://drive.google.com/file/d/1_G7EbPRFQq-CWBwJV7UZgKdRoWM8NTPO/view?usp=drivesdk" TargetMode="External"/><Relationship Id="rId1800" Type="http://schemas.openxmlformats.org/officeDocument/2006/relationships/hyperlink" Target="https://drive.google.com/file/d/1_83UH_gwYV4nmPspTxf0YXAq2tHfIX8_/view?usp=drivesdk" TargetMode="External"/><Relationship Id="rId1801" Type="http://schemas.openxmlformats.org/officeDocument/2006/relationships/hyperlink" Target="https://lh5.googleusercontent.com/d/18Na3gAYr83x6Qa2GVMv_G0S-bns7VDK_" TargetMode="External"/><Relationship Id="rId1802" Type="http://schemas.openxmlformats.org/officeDocument/2006/relationships/hyperlink" Target="https://drive.google.com/file/d/1hoNC6zSt76oEVH5pRrnvvExpSat0WcPf/view?usp=drivesdk" TargetMode="External"/><Relationship Id="rId1803" Type="http://schemas.openxmlformats.org/officeDocument/2006/relationships/hyperlink" Target="https://lh5.googleusercontent.com/d/1WcLkmJO7eb2b8cSYGLapww5UKK5Q6N51" TargetMode="External"/><Relationship Id="rId1804" Type="http://schemas.openxmlformats.org/officeDocument/2006/relationships/hyperlink" Target="https://drive.google.com/file/d/1fXoGTkhF9LI_IV_sDc9tzZlKaj4D9oYG/view?usp=drivesdk" TargetMode="External"/><Relationship Id="rId1805" Type="http://schemas.openxmlformats.org/officeDocument/2006/relationships/drawing" Target="../drawings/drawing5.xml"/><Relationship Id="rId1059" Type="http://schemas.openxmlformats.org/officeDocument/2006/relationships/hyperlink" Target="https://lh5.googleusercontent.com/d/1mbmlZVyrnn1-Vss9QAImq3jjPwhVGVap" TargetMode="External"/><Relationship Id="rId228" Type="http://schemas.openxmlformats.org/officeDocument/2006/relationships/hyperlink" Target="https://drive.google.com/file/d/1hSCfpn2RVe7-KfoE0EPlVBaaGCm9YqQt/view?usp=drivesdk" TargetMode="External"/><Relationship Id="rId227" Type="http://schemas.openxmlformats.org/officeDocument/2006/relationships/hyperlink" Target="https://lh5.googleusercontent.com/d/1HbpK0_iSokySmepbqAFtwtEWIqCdeKvM" TargetMode="External"/><Relationship Id="rId226" Type="http://schemas.openxmlformats.org/officeDocument/2006/relationships/hyperlink" Target="https://drive.google.com/file/d/1ZmSMXNTOj-kui4bLlAGMmB4mrJTy5PGp/view?usp=drivesdk" TargetMode="External"/><Relationship Id="rId225" Type="http://schemas.openxmlformats.org/officeDocument/2006/relationships/hyperlink" Target="https://lh5.googleusercontent.com/d/112B1-JeoMeRJdRY6ziYobLNIs-bVLjG3" TargetMode="External"/><Relationship Id="rId229" Type="http://schemas.openxmlformats.org/officeDocument/2006/relationships/hyperlink" Target="https://lh5.googleusercontent.com/d/1cqPFu7mY9uLqvo4D7DBC9nappqY1eEN8" TargetMode="External"/><Relationship Id="rId1050" Type="http://schemas.openxmlformats.org/officeDocument/2006/relationships/hyperlink" Target="https://drive.google.com/file/d/1KZVTh__zL8Xqd-rTx6KBD5-NLgTypUEN/view?usp=drivesdk" TargetMode="External"/><Relationship Id="rId220" Type="http://schemas.openxmlformats.org/officeDocument/2006/relationships/hyperlink" Target="https://drive.google.com/file/d/1jB4K5joN4StibPmwKuFQUOaGzPA-UDQV/view?usp=drivesdk" TargetMode="External"/><Relationship Id="rId1051" Type="http://schemas.openxmlformats.org/officeDocument/2006/relationships/hyperlink" Target="https://lh5.googleusercontent.com/d/13WD84IcxruxW4WChHb8m797hTdPyJnx0" TargetMode="External"/><Relationship Id="rId1052" Type="http://schemas.openxmlformats.org/officeDocument/2006/relationships/hyperlink" Target="https://drive.google.com/file/d/1dVJ8TJ1LTds4VAJ89qBYnU1dRra1M0uo/view?usp=drivesdk" TargetMode="External"/><Relationship Id="rId1053" Type="http://schemas.openxmlformats.org/officeDocument/2006/relationships/hyperlink" Target="https://lh5.googleusercontent.com/d/1a1QC6pgOxIEz3gg606hmuxuTCCEWi4By" TargetMode="External"/><Relationship Id="rId1054" Type="http://schemas.openxmlformats.org/officeDocument/2006/relationships/hyperlink" Target="https://drive.google.com/file/d/1ljFvEbdzRL0pcrGwvBF87q5Z0hj6pK7x/view?usp=drivesdk" TargetMode="External"/><Relationship Id="rId224" Type="http://schemas.openxmlformats.org/officeDocument/2006/relationships/hyperlink" Target="https://drive.google.com/file/d/1RFSFRKDaRFz0Up331R6OZIliqyJM1tdE/view?usp=drivesdk" TargetMode="External"/><Relationship Id="rId1055" Type="http://schemas.openxmlformats.org/officeDocument/2006/relationships/hyperlink" Target="https://lh5.googleusercontent.com/d/10WzG06UeXUGjVKaHFBuHd-uSN7Uc6_9F" TargetMode="External"/><Relationship Id="rId223" Type="http://schemas.openxmlformats.org/officeDocument/2006/relationships/hyperlink" Target="https://lh5.googleusercontent.com/d/1gVgkv28lRNkUIINc_lF3ko4y-fAonqG9" TargetMode="External"/><Relationship Id="rId1056" Type="http://schemas.openxmlformats.org/officeDocument/2006/relationships/hyperlink" Target="https://drive.google.com/file/d/1Mtrw5D3SB-4_FcU1JhD62wAULwEM-AAT/view?usp=drivesdk" TargetMode="External"/><Relationship Id="rId222" Type="http://schemas.openxmlformats.org/officeDocument/2006/relationships/hyperlink" Target="https://drive.google.com/file/d/1J438jLe3AY7rov9Sodbde0ChF_q7SzZu/view?usp=drivesdk" TargetMode="External"/><Relationship Id="rId1057" Type="http://schemas.openxmlformats.org/officeDocument/2006/relationships/hyperlink" Target="https://lh5.googleusercontent.com/d/1Wd7vWHwZPjplfA-QwC7u-NwvFXEqjFiG" TargetMode="External"/><Relationship Id="rId221" Type="http://schemas.openxmlformats.org/officeDocument/2006/relationships/hyperlink" Target="https://lh5.googleusercontent.com/d/1DzNnfIKw_Od6_QthHmCzVkNnNp9wdPJi" TargetMode="External"/><Relationship Id="rId1058" Type="http://schemas.openxmlformats.org/officeDocument/2006/relationships/hyperlink" Target="https://drive.google.com/file/d/1sBpAzr7Y9lXIc1MfFevJKDSYzUEvJOkP/view?usp=drivesdk" TargetMode="External"/><Relationship Id="rId1048" Type="http://schemas.openxmlformats.org/officeDocument/2006/relationships/hyperlink" Target="https://drive.google.com/file/d/1fGA3_G2VSb_c9GSHbaKeYMvjgJ2sWApj/view?usp=drivesdk" TargetMode="External"/><Relationship Id="rId1049" Type="http://schemas.openxmlformats.org/officeDocument/2006/relationships/hyperlink" Target="https://lh5.googleusercontent.com/d/1DmqKs-KEGtlLMAsKEETKlQWbhqkgy5tV" TargetMode="External"/><Relationship Id="rId217" Type="http://schemas.openxmlformats.org/officeDocument/2006/relationships/hyperlink" Target="https://lh5.googleusercontent.com/d/1EMSQO_uYsBJ1HGv7xV24q8AemXwmZhum" TargetMode="External"/><Relationship Id="rId216" Type="http://schemas.openxmlformats.org/officeDocument/2006/relationships/hyperlink" Target="https://drive.google.com/file/d/1d6vdjaRGAFJFIVfRdP_pC7DPh4Z9TpEV/view?usp=drivesdk" TargetMode="External"/><Relationship Id="rId215" Type="http://schemas.openxmlformats.org/officeDocument/2006/relationships/hyperlink" Target="https://lh5.googleusercontent.com/d/1l8elnmUCFk0QuV6B2Ik0UthrA2nO7I8G" TargetMode="External"/><Relationship Id="rId214" Type="http://schemas.openxmlformats.org/officeDocument/2006/relationships/hyperlink" Target="https://drive.google.com/file/d/1otYqSYJ9KF-C36WDTJbDNcQJzd5MWKdb/view?usp=drivesdk" TargetMode="External"/><Relationship Id="rId219" Type="http://schemas.openxmlformats.org/officeDocument/2006/relationships/hyperlink" Target="https://lh5.googleusercontent.com/d/15bRGMqnh-VNg7dlCb_iicpD1W6L0Ue95" TargetMode="External"/><Relationship Id="rId218" Type="http://schemas.openxmlformats.org/officeDocument/2006/relationships/hyperlink" Target="https://drive.google.com/file/d/1vhibxCdIiiuXe5po8j56n8RhHx-CWXn8/view?usp=drivesdk" TargetMode="External"/><Relationship Id="rId1040" Type="http://schemas.openxmlformats.org/officeDocument/2006/relationships/hyperlink" Target="https://drive.google.com/file/d/1Dvp5gmIfH1hTxqOYNfMkhuve6HX6ODfQ/view?usp=drivesdk" TargetMode="External"/><Relationship Id="rId1041" Type="http://schemas.openxmlformats.org/officeDocument/2006/relationships/hyperlink" Target="https://lh5.googleusercontent.com/d/1GXUfjqNUF_rbQJ3IMv2lMM8RlfYWuqFd" TargetMode="External"/><Relationship Id="rId1042" Type="http://schemas.openxmlformats.org/officeDocument/2006/relationships/hyperlink" Target="https://drive.google.com/file/d/1t-IHaVsYYM0T1ZxJdLTOQOGdWYPw9jKt/view?usp=drivesdk" TargetMode="External"/><Relationship Id="rId1043" Type="http://schemas.openxmlformats.org/officeDocument/2006/relationships/hyperlink" Target="https://lh5.googleusercontent.com/d/1skOXusmg_6TTtNejhgBpjyMhg6kBA_Tt" TargetMode="External"/><Relationship Id="rId213" Type="http://schemas.openxmlformats.org/officeDocument/2006/relationships/hyperlink" Target="https://lh5.googleusercontent.com/d/1TYtBgG9rkTicvcDqAdFbBQUB34RC8ujr" TargetMode="External"/><Relationship Id="rId1044" Type="http://schemas.openxmlformats.org/officeDocument/2006/relationships/hyperlink" Target="https://drive.google.com/file/d/16RHYOyAc36BwsZcbVNR7NZ9YWJP4WH-Z/view?usp=drivesdk" TargetMode="External"/><Relationship Id="rId212" Type="http://schemas.openxmlformats.org/officeDocument/2006/relationships/hyperlink" Target="https://drive.google.com/file/d/13mUOW99v49a0fZQXaQtvBsDWo8uS8b_h/view?usp=drivesdk" TargetMode="External"/><Relationship Id="rId1045" Type="http://schemas.openxmlformats.org/officeDocument/2006/relationships/hyperlink" Target="https://lh5.googleusercontent.com/d/1LANj_8JS0veZTnMajR_v9t6Mx5FsrY8W" TargetMode="External"/><Relationship Id="rId211" Type="http://schemas.openxmlformats.org/officeDocument/2006/relationships/hyperlink" Target="https://lh5.googleusercontent.com/d/1fqTOYA9P3VSee85lmlFgs1lv3055YU9N" TargetMode="External"/><Relationship Id="rId1046" Type="http://schemas.openxmlformats.org/officeDocument/2006/relationships/hyperlink" Target="https://drive.google.com/file/d/1vl6awoR0QfP-XXVskYtq1YCwX9L7hNia/view?usp=drivesdk" TargetMode="External"/><Relationship Id="rId210" Type="http://schemas.openxmlformats.org/officeDocument/2006/relationships/hyperlink" Target="https://drive.google.com/file/d/1f6LzRIjpVTxUFhwSJ6h1nGWoHsrqSIUk/view?usp=drivesdk" TargetMode="External"/><Relationship Id="rId1047" Type="http://schemas.openxmlformats.org/officeDocument/2006/relationships/hyperlink" Target="https://lh5.googleusercontent.com/d/1FREZcCyULT6l_fy-A5eVri_RqSHUJD8E" TargetMode="External"/><Relationship Id="rId249" Type="http://schemas.openxmlformats.org/officeDocument/2006/relationships/hyperlink" Target="https://lh5.googleusercontent.com/d/10n6WH0toNF4mdckLAOiIcg5A8nWTAjvP" TargetMode="External"/><Relationship Id="rId248" Type="http://schemas.openxmlformats.org/officeDocument/2006/relationships/hyperlink" Target="https://drive.google.com/file/d/1IfNTgNP-ttE3TL52YA4i0ZWWzZUZkUwu/view?usp=drivesdk" TargetMode="External"/><Relationship Id="rId247" Type="http://schemas.openxmlformats.org/officeDocument/2006/relationships/hyperlink" Target="https://lh5.googleusercontent.com/d/1rao4q1Ptut86cWf8kXN9YmfD7tIKYi8m" TargetMode="External"/><Relationship Id="rId1070" Type="http://schemas.openxmlformats.org/officeDocument/2006/relationships/hyperlink" Target="https://drive.google.com/file/d/10V5M7wHBgokpNXDIcMRQZ_DmJSNLJX3M/view?usp=drivesdk" TargetMode="External"/><Relationship Id="rId1071" Type="http://schemas.openxmlformats.org/officeDocument/2006/relationships/hyperlink" Target="https://lh5.googleusercontent.com/d/1K1XnM6OUzqBKDbE7HiiQn1292zuCh8nq" TargetMode="External"/><Relationship Id="rId1072" Type="http://schemas.openxmlformats.org/officeDocument/2006/relationships/hyperlink" Target="https://drive.google.com/file/d/1NIU33jZBcYFpx94UpytW1tsR-bUZ_yIi/view?usp=drivesdk" TargetMode="External"/><Relationship Id="rId242" Type="http://schemas.openxmlformats.org/officeDocument/2006/relationships/hyperlink" Target="https://drive.google.com/file/d/1ABGQBRlCxvUQEWiDONipdAuJqM4RQXdI/view?usp=drivesdk" TargetMode="External"/><Relationship Id="rId1073" Type="http://schemas.openxmlformats.org/officeDocument/2006/relationships/hyperlink" Target="https://lh5.googleusercontent.com/d/1vNKIrJV4iaZdMza04V8oab9wZFSdmKNY" TargetMode="External"/><Relationship Id="rId241" Type="http://schemas.openxmlformats.org/officeDocument/2006/relationships/hyperlink" Target="https://lh5.googleusercontent.com/d/1ZJe7-ei9_pwCHyjmAf7nG8LPknRLE5Y0" TargetMode="External"/><Relationship Id="rId1074" Type="http://schemas.openxmlformats.org/officeDocument/2006/relationships/hyperlink" Target="https://drive.google.com/file/d/13Da43uBwAq1CSXfRmIsm3BS0rDKq8jHL/view?usp=drivesdk" TargetMode="External"/><Relationship Id="rId240" Type="http://schemas.openxmlformats.org/officeDocument/2006/relationships/hyperlink" Target="https://drive.google.com/file/d/1UYx9rrWH9aCnbBxYunLZA_8MAVk8UWFO/view?usp=drivesdk" TargetMode="External"/><Relationship Id="rId1075" Type="http://schemas.openxmlformats.org/officeDocument/2006/relationships/hyperlink" Target="https://lh5.googleusercontent.com/d/1B_Ecr2szaYlbzHm0sb4DE74klA34wG6y" TargetMode="External"/><Relationship Id="rId1076" Type="http://schemas.openxmlformats.org/officeDocument/2006/relationships/hyperlink" Target="https://drive.google.com/file/d/1DOIpK35IVGTMlgiDyzqQVZFpG7mund4t/view?usp=drivesdk" TargetMode="External"/><Relationship Id="rId246" Type="http://schemas.openxmlformats.org/officeDocument/2006/relationships/hyperlink" Target="https://drive.google.com/file/d/1liS4RN8yD9vzM3TTyzAtgDt-Fw9dkHep/view?usp=drivesdk" TargetMode="External"/><Relationship Id="rId1077" Type="http://schemas.openxmlformats.org/officeDocument/2006/relationships/hyperlink" Target="https://lh5.googleusercontent.com/d/11dZvMyMwsz4stFr8hiJO_V4XyEe5MY_x" TargetMode="External"/><Relationship Id="rId245" Type="http://schemas.openxmlformats.org/officeDocument/2006/relationships/hyperlink" Target="https://lh5.googleusercontent.com/d/1BlPzwFyn4qyUfi7644YmQkLLMSpJxdHX" TargetMode="External"/><Relationship Id="rId1078" Type="http://schemas.openxmlformats.org/officeDocument/2006/relationships/hyperlink" Target="https://drive.google.com/file/d/1b2jQ1YFkYOLbS-a_18cGFj01iz4t-DEH/view?usp=drivesdk" TargetMode="External"/><Relationship Id="rId244" Type="http://schemas.openxmlformats.org/officeDocument/2006/relationships/hyperlink" Target="https://drive.google.com/file/d/1up71TJMTEPmFljyUOVkHjibSiasUTkwW/view?usp=drivesdk" TargetMode="External"/><Relationship Id="rId1079" Type="http://schemas.openxmlformats.org/officeDocument/2006/relationships/hyperlink" Target="https://lh5.googleusercontent.com/d/1qF0q7j86O3MIJBYgaOy5cLdHRh4yRv_T" TargetMode="External"/><Relationship Id="rId243" Type="http://schemas.openxmlformats.org/officeDocument/2006/relationships/hyperlink" Target="https://lh5.googleusercontent.com/d/1A-x2tKJBFoAtGX3s3oKsk_64iebbm3eO" TargetMode="External"/><Relationship Id="rId239" Type="http://schemas.openxmlformats.org/officeDocument/2006/relationships/hyperlink" Target="https://lh5.googleusercontent.com/d/1x7YgjlZ2r7e8sfjpOHIAjGuIqHt4o_XB" TargetMode="External"/><Relationship Id="rId238" Type="http://schemas.openxmlformats.org/officeDocument/2006/relationships/hyperlink" Target="https://drive.google.com/file/d/1aXpCy7Dej5aEP0hf4hqUjCrXlLkd47RX/view?usp=drivesdk" TargetMode="External"/><Relationship Id="rId237" Type="http://schemas.openxmlformats.org/officeDocument/2006/relationships/hyperlink" Target="https://lh5.googleusercontent.com/d/11DKKk5r4K6GhRq2aE-4L7Lv3wU591KQv" TargetMode="External"/><Relationship Id="rId236" Type="http://schemas.openxmlformats.org/officeDocument/2006/relationships/hyperlink" Target="https://drive.google.com/file/d/16lcW6quVQdGvPdMqlZlcRsG_btFAphT_/view?usp=drivesdk" TargetMode="External"/><Relationship Id="rId1060" Type="http://schemas.openxmlformats.org/officeDocument/2006/relationships/hyperlink" Target="https://drive.google.com/file/d/1k4Y_Ja6-QeThdXTgZZITtQE6w4QhmenT/view?usp=drivesdk" TargetMode="External"/><Relationship Id="rId1061" Type="http://schemas.openxmlformats.org/officeDocument/2006/relationships/hyperlink" Target="https://lh5.googleusercontent.com/d/13PFYSMy8w4trOef9riye3zWtqZT8rC_f" TargetMode="External"/><Relationship Id="rId231" Type="http://schemas.openxmlformats.org/officeDocument/2006/relationships/hyperlink" Target="https://lh5.googleusercontent.com/d/1sQm3CyaEBYnM9qeKLTCZW86kJxz-a8sZ" TargetMode="External"/><Relationship Id="rId1062" Type="http://schemas.openxmlformats.org/officeDocument/2006/relationships/hyperlink" Target="https://drive.google.com/file/d/1UBe9e8-ubZL4Xds9xYfzRT8IJ_BoCk20/view?usp=drivesdk" TargetMode="External"/><Relationship Id="rId230" Type="http://schemas.openxmlformats.org/officeDocument/2006/relationships/hyperlink" Target="https://drive.google.com/file/d/1FrJjeiQoP2_7Bw51UHnGTYFeVRPKzIpm/view?usp=drivesdk" TargetMode="External"/><Relationship Id="rId1063" Type="http://schemas.openxmlformats.org/officeDocument/2006/relationships/hyperlink" Target="https://lh5.googleusercontent.com/d/1tXjuyVvu6_tn2ZtPMddk1snWAcK3099_" TargetMode="External"/><Relationship Id="rId1064" Type="http://schemas.openxmlformats.org/officeDocument/2006/relationships/hyperlink" Target="https://drive.google.com/file/d/1OfcnU0XfRVaRxYBIBB4J0_FzZBXeQBmK/view?usp=drivesdk" TargetMode="External"/><Relationship Id="rId1065" Type="http://schemas.openxmlformats.org/officeDocument/2006/relationships/hyperlink" Target="https://lh5.googleusercontent.com/d/1AF4MuANSC3UPGbwkx86Ednt3qD7EqU13" TargetMode="External"/><Relationship Id="rId235" Type="http://schemas.openxmlformats.org/officeDocument/2006/relationships/hyperlink" Target="https://lh5.googleusercontent.com/d/17zvB4ttwQH-i5r3P5YLzeKANmQxOQyAp" TargetMode="External"/><Relationship Id="rId1066" Type="http://schemas.openxmlformats.org/officeDocument/2006/relationships/hyperlink" Target="https://drive.google.com/file/d/1f2Q09khQqcofgmz0MLwIkC0hzwJtcGgz/view?usp=drivesdk" TargetMode="External"/><Relationship Id="rId234" Type="http://schemas.openxmlformats.org/officeDocument/2006/relationships/hyperlink" Target="https://drive.google.com/file/d/1pZH5BGAkeJXtc5xgvc6xhKIdrFBlzLit/view?usp=drivesdk" TargetMode="External"/><Relationship Id="rId1067" Type="http://schemas.openxmlformats.org/officeDocument/2006/relationships/hyperlink" Target="https://lh5.googleusercontent.com/d/1ZVEv3CEi2vbDv1u7cf3ztWF0lSqzOZVr" TargetMode="External"/><Relationship Id="rId233" Type="http://schemas.openxmlformats.org/officeDocument/2006/relationships/hyperlink" Target="https://lh5.googleusercontent.com/d/1pA-IInVanpU9LrcojOMjV79mhcnPXq3G" TargetMode="External"/><Relationship Id="rId1068" Type="http://schemas.openxmlformats.org/officeDocument/2006/relationships/hyperlink" Target="https://drive.google.com/file/d/1Ni2p-A1ZuiY1HYlEEjQJ2QjnDgZoDA_z/view?usp=drivesdk" TargetMode="External"/><Relationship Id="rId232" Type="http://schemas.openxmlformats.org/officeDocument/2006/relationships/hyperlink" Target="https://drive.google.com/file/d/16hgL-2KanMHm4NrIcAvuP6iZhYCKJbEW/view?usp=drivesdk" TargetMode="External"/><Relationship Id="rId1069" Type="http://schemas.openxmlformats.org/officeDocument/2006/relationships/hyperlink" Target="https://lh5.googleusercontent.com/d/1VkexFo1N9wSfbQK_w0AFIOJ1RBDRd7mG" TargetMode="External"/><Relationship Id="rId1015" Type="http://schemas.openxmlformats.org/officeDocument/2006/relationships/hyperlink" Target="https://lh5.googleusercontent.com/d/1uBe-zDN0ydsISRXFx2JXw6jTRfWNh8nl" TargetMode="External"/><Relationship Id="rId1016" Type="http://schemas.openxmlformats.org/officeDocument/2006/relationships/hyperlink" Target="https://drive.google.com/file/d/19jzuClkHKgUVDsgducEPoe7LQnXgfVHV/view?usp=drivesdk" TargetMode="External"/><Relationship Id="rId1017" Type="http://schemas.openxmlformats.org/officeDocument/2006/relationships/hyperlink" Target="https://lh5.googleusercontent.com/d/1CMhCnhX40ocpCart-afNytzg7rel5T-L" TargetMode="External"/><Relationship Id="rId1018" Type="http://schemas.openxmlformats.org/officeDocument/2006/relationships/hyperlink" Target="https://drive.google.com/file/d/1yZ-03GIYLUIdCuxKnYKH6tfUYdvSkKKe/view?usp=drivesdk" TargetMode="External"/><Relationship Id="rId1019" Type="http://schemas.openxmlformats.org/officeDocument/2006/relationships/hyperlink" Target="https://lh5.googleusercontent.com/d/1nuYv4SkzxgEBUle7byAViAsskQ6EOmDf" TargetMode="External"/><Relationship Id="rId1010" Type="http://schemas.openxmlformats.org/officeDocument/2006/relationships/hyperlink" Target="https://drive.google.com/file/d/1DcNF9riwNYUK1Ol_bMYc1VjMuzYZKSqX/view?usp=drivesdk" TargetMode="External"/><Relationship Id="rId1011" Type="http://schemas.openxmlformats.org/officeDocument/2006/relationships/hyperlink" Target="https://lh5.googleusercontent.com/d/17MOTr5f1tstDiPOMepcrTzBkGV7JivHS" TargetMode="External"/><Relationship Id="rId1012" Type="http://schemas.openxmlformats.org/officeDocument/2006/relationships/hyperlink" Target="https://drive.google.com/file/d/1brXTfHzcQtx95N40IkVMSKeEOV23QVKt/view?usp=drivesdk" TargetMode="External"/><Relationship Id="rId1013" Type="http://schemas.openxmlformats.org/officeDocument/2006/relationships/hyperlink" Target="https://lh5.googleusercontent.com/d/17P6GFVrR6kRULYzQQQwaQ7hCNCzFKf1c" TargetMode="External"/><Relationship Id="rId1014" Type="http://schemas.openxmlformats.org/officeDocument/2006/relationships/hyperlink" Target="https://drive.google.com/file/d/1Ff0WhDLYdmU4_oLgZVci39_pxbBjIIo5/view?usp=drivesdk" TargetMode="External"/><Relationship Id="rId1004" Type="http://schemas.openxmlformats.org/officeDocument/2006/relationships/hyperlink" Target="https://drive.google.com/file/d/1hhcKyQ4Y0DJ7ZCdJ_vVUH0bwcHB99xJV/view?usp=drivesdk" TargetMode="External"/><Relationship Id="rId1005" Type="http://schemas.openxmlformats.org/officeDocument/2006/relationships/hyperlink" Target="https://lh5.googleusercontent.com/d/1UZpqZmZC1yX3EPGzbQZa56U8BGYMVPXi" TargetMode="External"/><Relationship Id="rId1006" Type="http://schemas.openxmlformats.org/officeDocument/2006/relationships/hyperlink" Target="https://drive.google.com/file/d/1Hh-ZRT8WxMeoEge2eD716XxI2f1oajMo/view?usp=drivesdk" TargetMode="External"/><Relationship Id="rId1007" Type="http://schemas.openxmlformats.org/officeDocument/2006/relationships/hyperlink" Target="https://lh5.googleusercontent.com/d/11-M3uf9yX2MTTaTzH7gq6lK76vDd9qFO" TargetMode="External"/><Relationship Id="rId1008" Type="http://schemas.openxmlformats.org/officeDocument/2006/relationships/hyperlink" Target="https://drive.google.com/file/d/1YOn1U-CISkWDvUe6rkRpz66kbmx_4IAI/view?usp=drivesdk" TargetMode="External"/><Relationship Id="rId1009" Type="http://schemas.openxmlformats.org/officeDocument/2006/relationships/hyperlink" Target="https://lh5.googleusercontent.com/d/1YGPCA9_Z1ICwGODrik6CuQioR26bAeiW" TargetMode="External"/><Relationship Id="rId1000" Type="http://schemas.openxmlformats.org/officeDocument/2006/relationships/hyperlink" Target="https://drive.google.com/file/d/12siZbS7TcWsryem8piOquhJL0geq-kM_/view?usp=drivesdk" TargetMode="External"/><Relationship Id="rId1001" Type="http://schemas.openxmlformats.org/officeDocument/2006/relationships/hyperlink" Target="https://lh5.googleusercontent.com/d/1ysHb5r6NTyd-fZGhcwl02HFJuxBT-Exy" TargetMode="External"/><Relationship Id="rId1002" Type="http://schemas.openxmlformats.org/officeDocument/2006/relationships/hyperlink" Target="https://drive.google.com/file/d/1-yYQZBj_tcjrJSTIfAuqJ6qEeVivfpDX/view?usp=drivesdk" TargetMode="External"/><Relationship Id="rId1003" Type="http://schemas.openxmlformats.org/officeDocument/2006/relationships/hyperlink" Target="https://lh5.googleusercontent.com/d/1EH99mmy6pEAC8h_V7yr96GKbLrVLxwah" TargetMode="External"/><Relationship Id="rId1037" Type="http://schemas.openxmlformats.org/officeDocument/2006/relationships/hyperlink" Target="https://drive.google.com/file/d/18vX30DfhFIdKR5iBooYkUcroc06SIFYG/view?usp=drivesdk" TargetMode="External"/><Relationship Id="rId1038" Type="http://schemas.openxmlformats.org/officeDocument/2006/relationships/hyperlink" Target="https://drive.google.com/file/d/11P2bagfp8i4yOfEZGbs_Le9XWy581VLq/view?usp=drivesdk" TargetMode="External"/><Relationship Id="rId1039" Type="http://schemas.openxmlformats.org/officeDocument/2006/relationships/hyperlink" Target="https://lh5.googleusercontent.com/d/1qcnejgPyJEhoItlYaqBXz3y6LKKFJbyH" TargetMode="External"/><Relationship Id="rId206" Type="http://schemas.openxmlformats.org/officeDocument/2006/relationships/hyperlink" Target="https://drive.google.com/file/d/1B6_7nZDCmFhvNbSytEBQndFOUq5ClhjY/view?usp=drivesdk" TargetMode="External"/><Relationship Id="rId205" Type="http://schemas.openxmlformats.org/officeDocument/2006/relationships/hyperlink" Target="https://lh5.googleusercontent.com/d/1xphOnxo5d-IU94vElqKoTLpsW_y89SA3" TargetMode="External"/><Relationship Id="rId204" Type="http://schemas.openxmlformats.org/officeDocument/2006/relationships/hyperlink" Target="https://lh5.googleusercontent.com/d/1CNvMybl4mV78bK1wlTGPGhyVeZzmS0ns" TargetMode="External"/><Relationship Id="rId203" Type="http://schemas.openxmlformats.org/officeDocument/2006/relationships/hyperlink" Target="https://drive.google.com/file/d/1GsLVgKG71oZbvkwqL96Rd8o30AUjMnhC/view?usp=drivesdk" TargetMode="External"/><Relationship Id="rId209" Type="http://schemas.openxmlformats.org/officeDocument/2006/relationships/hyperlink" Target="https://lh5.googleusercontent.com/d/1O-Fmb8WzuP46MZrfRY6B0F2kNO5qltob" TargetMode="External"/><Relationship Id="rId208" Type="http://schemas.openxmlformats.org/officeDocument/2006/relationships/hyperlink" Target="https://drive.google.com/file/d/1tpuCCvJmS-wkBnyJswr-eCmYPf3YUJKt/view?usp=drivesdk" TargetMode="External"/><Relationship Id="rId207" Type="http://schemas.openxmlformats.org/officeDocument/2006/relationships/hyperlink" Target="https://lh5.googleusercontent.com/d/1R54lh7cIa52XvZbi7kf9xyvqIa0LUxhS" TargetMode="External"/><Relationship Id="rId1030" Type="http://schemas.openxmlformats.org/officeDocument/2006/relationships/hyperlink" Target="https://lh5.googleusercontent.com/d/1gLWKAtvmHnYg8xeMxdlbxZhjgO6keEge" TargetMode="External"/><Relationship Id="rId1031" Type="http://schemas.openxmlformats.org/officeDocument/2006/relationships/hyperlink" Target="https://drive.google.com/file/d/1X0WwI8qGmNAzfIl_3R711D77zLE-LW-3/view?usp=drivesdk" TargetMode="External"/><Relationship Id="rId1032" Type="http://schemas.openxmlformats.org/officeDocument/2006/relationships/hyperlink" Target="https://lh5.googleusercontent.com/d/1x8fSfYHBPVcOUCfmPs-et91owrtleg_d" TargetMode="External"/><Relationship Id="rId202" Type="http://schemas.openxmlformats.org/officeDocument/2006/relationships/hyperlink" Target="https://lh5.googleusercontent.com/d/1YWw_M0yulcOT2KweZnNeAJZKSLEPxWjk" TargetMode="External"/><Relationship Id="rId1033" Type="http://schemas.openxmlformats.org/officeDocument/2006/relationships/hyperlink" Target="https://drive.google.com/file/d/1AWcBoLs01dCqDGNk6ueN4zH4JJef_3c-/view?usp=drivesdk" TargetMode="External"/><Relationship Id="rId201" Type="http://schemas.openxmlformats.org/officeDocument/2006/relationships/hyperlink" Target="https://drive.google.com/file/d/1THCVZAinkt2BIRnNOQOBIlXRRYqDyGBJ/view?usp=drivesdk" TargetMode="External"/><Relationship Id="rId1034" Type="http://schemas.openxmlformats.org/officeDocument/2006/relationships/hyperlink" Target="https://lh5.googleusercontent.com/d/1mFHo8GMzSZO2dDde-LSiD_cCLRYG7NJ1" TargetMode="External"/><Relationship Id="rId200" Type="http://schemas.openxmlformats.org/officeDocument/2006/relationships/hyperlink" Target="https://lh5.googleusercontent.com/d/1C3UMyCfAtos5ohteD88hf23zbeyly46J" TargetMode="External"/><Relationship Id="rId1035" Type="http://schemas.openxmlformats.org/officeDocument/2006/relationships/hyperlink" Target="https://drive.google.com/file/d/1Ihi8gqjeuoprAYAb8RTbQXuT43-aPyRb/view?usp=drivesdk" TargetMode="External"/><Relationship Id="rId1036" Type="http://schemas.openxmlformats.org/officeDocument/2006/relationships/hyperlink" Target="https://lh5.googleusercontent.com/d/1_5WS3VFg0FPMtF9ArxjfzOvhYsScRgUw" TargetMode="External"/><Relationship Id="rId1026" Type="http://schemas.openxmlformats.org/officeDocument/2006/relationships/hyperlink" Target="https://lh5.googleusercontent.com/d/1PEV_hOfWTa5tR22GTsXXuRQckQyfyPZZ" TargetMode="External"/><Relationship Id="rId1027" Type="http://schemas.openxmlformats.org/officeDocument/2006/relationships/hyperlink" Target="https://drive.google.com/file/d/1NnXApQZRmK1Fwxs5xUvIHXzS4293qcgA/view?usp=drivesdk" TargetMode="External"/><Relationship Id="rId1028" Type="http://schemas.openxmlformats.org/officeDocument/2006/relationships/hyperlink" Target="https://lh5.googleusercontent.com/d/1bNwtm-4qK3VhPJd-ETLLFAxjkm02TSkA" TargetMode="External"/><Relationship Id="rId1029" Type="http://schemas.openxmlformats.org/officeDocument/2006/relationships/hyperlink" Target="https://drive.google.com/file/d/1IPQx0zq49i_LV9hBu0WATiTqQ5etgjKv/view?usp=drivesdk" TargetMode="External"/><Relationship Id="rId1020" Type="http://schemas.openxmlformats.org/officeDocument/2006/relationships/hyperlink" Target="https://drive.google.com/file/d/1L4D-y48FYSxFqg-BYqJrNhp2RBRE1LL1/view?usp=drivesdk" TargetMode="External"/><Relationship Id="rId1021" Type="http://schemas.openxmlformats.org/officeDocument/2006/relationships/hyperlink" Target="https://lh5.googleusercontent.com/d/16q5_ErgFfqz3OMCALKbUmF2MKTRLBY7w" TargetMode="External"/><Relationship Id="rId1022" Type="http://schemas.openxmlformats.org/officeDocument/2006/relationships/hyperlink" Target="https://drive.google.com/file/d/1x0WtdmFrrglPejNWTzl6Ip_hD8tCMjIm/view?usp=drivesdk" TargetMode="External"/><Relationship Id="rId1023" Type="http://schemas.openxmlformats.org/officeDocument/2006/relationships/hyperlink" Target="https://lh5.googleusercontent.com/d/1M_QBPuIJI9sT51pZ_QD5f2EphubCxeqB" TargetMode="External"/><Relationship Id="rId1024" Type="http://schemas.openxmlformats.org/officeDocument/2006/relationships/hyperlink" Target="https://lh5.googleusercontent.com/d/1MElDX4fxCHsqmag9tbHaLMk4zYh7CcT8" TargetMode="External"/><Relationship Id="rId1025" Type="http://schemas.openxmlformats.org/officeDocument/2006/relationships/hyperlink" Target="https://drive.google.com/file/d/11q-Q5gsjwDZ0CJQrUwvej95SjV9jsXhy/view?usp=drivesdk" TargetMode="External"/><Relationship Id="rId1090" Type="http://schemas.openxmlformats.org/officeDocument/2006/relationships/hyperlink" Target="https://drive.google.com/file/d/1mXWLcsbdSipLyBlD_Wi7qJSfjXkSo5kM/view?usp=drivesdk" TargetMode="External"/><Relationship Id="rId1091" Type="http://schemas.openxmlformats.org/officeDocument/2006/relationships/hyperlink" Target="https://lh5.googleusercontent.com/d/1JfJflMLW3L6xBHKib0aD51zt4jWSqZ4X" TargetMode="External"/><Relationship Id="rId1092" Type="http://schemas.openxmlformats.org/officeDocument/2006/relationships/hyperlink" Target="https://drive.google.com/file/d/11InRCLrn72v8RQNFBmbpG920rnuiNWSH/view?usp=drivesdk" TargetMode="External"/><Relationship Id="rId1093" Type="http://schemas.openxmlformats.org/officeDocument/2006/relationships/hyperlink" Target="https://lh5.googleusercontent.com/d/1wsATfFhtVSdGZeh9av34yfOR5TXd0lLB" TargetMode="External"/><Relationship Id="rId1094" Type="http://schemas.openxmlformats.org/officeDocument/2006/relationships/hyperlink" Target="https://drive.google.com/file/d/1rk_x9IgewEpDjRr4qrBhPej73WucUMuM/view?usp=drivesdk" TargetMode="External"/><Relationship Id="rId1095" Type="http://schemas.openxmlformats.org/officeDocument/2006/relationships/hyperlink" Target="https://lh5.googleusercontent.com/d/1VIzivBG1oZt1gr04SxodTKTITd6xyoTQ" TargetMode="External"/><Relationship Id="rId1096" Type="http://schemas.openxmlformats.org/officeDocument/2006/relationships/hyperlink" Target="https://drive.google.com/file/d/1DK1ZRr1_VWeN1wcQobVuVNWech_PV-C-/view?usp=drivesdk" TargetMode="External"/><Relationship Id="rId1097" Type="http://schemas.openxmlformats.org/officeDocument/2006/relationships/hyperlink" Target="https://lh5.googleusercontent.com/d/1ZqZdlQsrfXJshzIhf2JO_BdJt-X_SbVI" TargetMode="External"/><Relationship Id="rId1098" Type="http://schemas.openxmlformats.org/officeDocument/2006/relationships/hyperlink" Target="https://drive.google.com/file/d/10Y-EjgJGiNjztLm1yvGIxmTJmc8olHLL/view?usp=drivesdk" TargetMode="External"/><Relationship Id="rId1099" Type="http://schemas.openxmlformats.org/officeDocument/2006/relationships/hyperlink" Target="https://lh5.googleusercontent.com/d/1K9MgyV8AwZSEn4uEBN-hC8IrnaAu_jRi" TargetMode="External"/><Relationship Id="rId1080" Type="http://schemas.openxmlformats.org/officeDocument/2006/relationships/hyperlink" Target="https://drive.google.com/file/d/1LAnTNN926Mq5CJ-G6MDNuVgwZOAjukxG/view?usp=drivesdk" TargetMode="External"/><Relationship Id="rId1081" Type="http://schemas.openxmlformats.org/officeDocument/2006/relationships/hyperlink" Target="https://lh5.googleusercontent.com/d/1tLqQ3_RjLri5gvN0i_O0ilbplb_ZpkAc" TargetMode="External"/><Relationship Id="rId1082" Type="http://schemas.openxmlformats.org/officeDocument/2006/relationships/hyperlink" Target="https://drive.google.com/file/d/1GW88841ifRp55DGgRltrzAzjaYkK6pFN/view?usp=drivesdk" TargetMode="External"/><Relationship Id="rId1083" Type="http://schemas.openxmlformats.org/officeDocument/2006/relationships/hyperlink" Target="https://lh5.googleusercontent.com/d/1vmYEs20JR1qT3s6Q8HAzcbH3iyvf-5T5" TargetMode="External"/><Relationship Id="rId1084" Type="http://schemas.openxmlformats.org/officeDocument/2006/relationships/hyperlink" Target="https://drive.google.com/file/d/1KChrsVTwYzQq3chcFv9qlG-iLKRcjjbi/view?usp=drivesdk" TargetMode="External"/><Relationship Id="rId1085" Type="http://schemas.openxmlformats.org/officeDocument/2006/relationships/hyperlink" Target="https://lh5.googleusercontent.com/d/1fa2-LRUlCzWcxAYmelyndJPNTFUHfmcK" TargetMode="External"/><Relationship Id="rId1086" Type="http://schemas.openxmlformats.org/officeDocument/2006/relationships/hyperlink" Target="https://drive.google.com/file/d/1RifOz9FSU72zuEEccxUa2IU-tqZsgAUw/view?usp=drivesdk" TargetMode="External"/><Relationship Id="rId1087" Type="http://schemas.openxmlformats.org/officeDocument/2006/relationships/hyperlink" Target="https://lh5.googleusercontent.com/d/1wvtTLnhHozYRxSFKMoPymtAlZ7AbU--7" TargetMode="External"/><Relationship Id="rId1088" Type="http://schemas.openxmlformats.org/officeDocument/2006/relationships/hyperlink" Target="https://drive.google.com/file/d/1Sp-2O5ccX8A_vITAGXDvyYh3J-BGgZR-/view?usp=drivesdk" TargetMode="External"/><Relationship Id="rId1089" Type="http://schemas.openxmlformats.org/officeDocument/2006/relationships/hyperlink" Target="https://lh5.googleusercontent.com/d/1IrVyQFpP9u7TNM_Rofo3asPZW3GHqEGa" TargetMode="External"/><Relationship Id="rId509" Type="http://schemas.openxmlformats.org/officeDocument/2006/relationships/hyperlink" Target="https://lh5.googleusercontent.com/d/1SIBVxurUcXgAM1qUTXcmJ5ni7BCopw25" TargetMode="External"/><Relationship Id="rId508" Type="http://schemas.openxmlformats.org/officeDocument/2006/relationships/hyperlink" Target="https://drive.google.com/file/d/16yFvjOJexPoo11t6OHp8wWy_eagdSzeR/view?usp=drivesdk" TargetMode="External"/><Relationship Id="rId503" Type="http://schemas.openxmlformats.org/officeDocument/2006/relationships/hyperlink" Target="https://lh5.googleusercontent.com/d/1fIsFwZGRW0O09d-x5OaEw1FnhYLmurWd" TargetMode="External"/><Relationship Id="rId502" Type="http://schemas.openxmlformats.org/officeDocument/2006/relationships/hyperlink" Target="https://drive.google.com/file/d/17B-FkRpb-lTV_a4Hve9-8rYIjTV7tONz/view?usp=drivesdk" TargetMode="External"/><Relationship Id="rId501" Type="http://schemas.openxmlformats.org/officeDocument/2006/relationships/hyperlink" Target="https://lh5.googleusercontent.com/d/11PUoegeY1fFvy3hE0fft3ZcFH0pIxnYL" TargetMode="External"/><Relationship Id="rId500" Type="http://schemas.openxmlformats.org/officeDocument/2006/relationships/hyperlink" Target="https://drive.google.com/file/d/1tsH4GWKDAbwhvkkcxJSgv6SxRv3bGxDa/view?usp=drivesdk" TargetMode="External"/><Relationship Id="rId507" Type="http://schemas.openxmlformats.org/officeDocument/2006/relationships/hyperlink" Target="https://lh5.googleusercontent.com/d/1GiLfkUIPWmp_A0QAjbSBnK-ZFbz650Hx" TargetMode="External"/><Relationship Id="rId506" Type="http://schemas.openxmlformats.org/officeDocument/2006/relationships/hyperlink" Target="https://drive.google.com/file/d/1O-LTYwFtqYqFbignQLxm6lcrpnD3F05P/view?usp=drivesdk" TargetMode="External"/><Relationship Id="rId505" Type="http://schemas.openxmlformats.org/officeDocument/2006/relationships/hyperlink" Target="https://lh5.googleusercontent.com/d/1YaPrS4BfvcAECYu5W3DHuEmcGA9-OoTl" TargetMode="External"/><Relationship Id="rId504" Type="http://schemas.openxmlformats.org/officeDocument/2006/relationships/hyperlink" Target="https://drive.google.com/file/d/1nFVfzBmk7e9yJ1Gq8_DNzuYEdInFUZT2/view?usp=drivesdk" TargetMode="External"/><Relationship Id="rId1114" Type="http://schemas.openxmlformats.org/officeDocument/2006/relationships/hyperlink" Target="https://drive.google.com/file/d/1DV2aSXkeMdihYN5iQ-pqsFvaxUH39gzw/view?usp=drivesdk" TargetMode="External"/><Relationship Id="rId1115" Type="http://schemas.openxmlformats.org/officeDocument/2006/relationships/hyperlink" Target="https://lh5.googleusercontent.com/d/1wRzqhgH0Zvl9UryE1YRDR0hDHEvWZzFX" TargetMode="External"/><Relationship Id="rId1116" Type="http://schemas.openxmlformats.org/officeDocument/2006/relationships/hyperlink" Target="https://drive.google.com/file/d/1m7Zip2iqzKohcp8upZfgVP3Ml1_A0DsW/view?usp=drivesdk" TargetMode="External"/><Relationship Id="rId1117" Type="http://schemas.openxmlformats.org/officeDocument/2006/relationships/hyperlink" Target="https://lh5.googleusercontent.com/d/1vo54lsnYlOmQcmifK8ts6frVASSOyL9Q" TargetMode="External"/><Relationship Id="rId1118" Type="http://schemas.openxmlformats.org/officeDocument/2006/relationships/hyperlink" Target="https://drive.google.com/file/d/1aOAVoO2RbDH-mngk6uyY70Z5-mXgrUX0/view?usp=drivesdk" TargetMode="External"/><Relationship Id="rId1119" Type="http://schemas.openxmlformats.org/officeDocument/2006/relationships/hyperlink" Target="https://lh5.googleusercontent.com/d/1b0QL97yg168bgftohS4erMvp71NS82Rz" TargetMode="External"/><Relationship Id="rId525" Type="http://schemas.openxmlformats.org/officeDocument/2006/relationships/hyperlink" Target="https://lh5.googleusercontent.com/d/14Bch7I-v9_zG48l4_9Drhlf8GOV8Wgmf" TargetMode="External"/><Relationship Id="rId524" Type="http://schemas.openxmlformats.org/officeDocument/2006/relationships/hyperlink" Target="https://drive.google.com/file/d/1i-2TR0Ak_ZNns691GLpveIwyQFTn4Q38/view?usp=drivesdk" TargetMode="External"/><Relationship Id="rId523" Type="http://schemas.openxmlformats.org/officeDocument/2006/relationships/hyperlink" Target="https://lh5.googleusercontent.com/d/15IeXvNy__ERzf92XfbQzRPqz7cxQmSRg" TargetMode="External"/><Relationship Id="rId522" Type="http://schemas.openxmlformats.org/officeDocument/2006/relationships/hyperlink" Target="https://drive.google.com/file/d/1_NPLyWRgSF5_mrCXVN3S9yv8gGdqwujl/view?usp=drivesdk" TargetMode="External"/><Relationship Id="rId529" Type="http://schemas.openxmlformats.org/officeDocument/2006/relationships/hyperlink" Target="https://lh5.googleusercontent.com/d/1spph5Z4lpnPzepsZnUpGmhZWt7Xz624O" TargetMode="External"/><Relationship Id="rId528" Type="http://schemas.openxmlformats.org/officeDocument/2006/relationships/hyperlink" Target="https://drive.google.com/file/d/1oomn7V4joykSRU_7X6IRsqW3L27QEEtT/view?usp=drivesdk" TargetMode="External"/><Relationship Id="rId527" Type="http://schemas.openxmlformats.org/officeDocument/2006/relationships/hyperlink" Target="https://lh5.googleusercontent.com/d/1s3xCAcN_1pNA6E39EOntGP_YvPPx06bp" TargetMode="External"/><Relationship Id="rId526" Type="http://schemas.openxmlformats.org/officeDocument/2006/relationships/hyperlink" Target="https://drive.google.com/file/d/1kPki8msZWndMk1-Hh0-7bietdSCg9jKW/view?usp=drivesdk" TargetMode="External"/><Relationship Id="rId521" Type="http://schemas.openxmlformats.org/officeDocument/2006/relationships/hyperlink" Target="https://lh5.googleusercontent.com/d/1Vg2y3qs8AUMzThZBCfXLgbeV2CtfuVqr" TargetMode="External"/><Relationship Id="rId1110" Type="http://schemas.openxmlformats.org/officeDocument/2006/relationships/hyperlink" Target="https://drive.google.com/file/d/1idaHHxI6kjVPvh-wQNXW09Vvg3Fm3A0m/view?usp=drivesdk" TargetMode="External"/><Relationship Id="rId520" Type="http://schemas.openxmlformats.org/officeDocument/2006/relationships/hyperlink" Target="https://drive.google.com/file/d/1mdqy_QknDSbL_05hvJo7TR9P-JmE6yGK/view?usp=drivesdk" TargetMode="External"/><Relationship Id="rId1111" Type="http://schemas.openxmlformats.org/officeDocument/2006/relationships/hyperlink" Target="https://lh5.googleusercontent.com/d/16Pvd-qmX353-DZVFIhBBN-kMJvoeTVd8" TargetMode="External"/><Relationship Id="rId1112" Type="http://schemas.openxmlformats.org/officeDocument/2006/relationships/hyperlink" Target="https://drive.google.com/file/d/1x4IrJng-M0nTKi8xOQxCVmBD_7gcW_e9/view?usp=drivesdk" TargetMode="External"/><Relationship Id="rId1113" Type="http://schemas.openxmlformats.org/officeDocument/2006/relationships/hyperlink" Target="https://lh5.googleusercontent.com/d/1qM8CPbTRcVKOTE78KD7Kr5LBlfqJ2kRM" TargetMode="External"/><Relationship Id="rId1103" Type="http://schemas.openxmlformats.org/officeDocument/2006/relationships/hyperlink" Target="https://lh5.googleusercontent.com/d/1N6Tv57aLlNUY-iYPHSizbyDI95pz_L56" TargetMode="External"/><Relationship Id="rId1104" Type="http://schemas.openxmlformats.org/officeDocument/2006/relationships/hyperlink" Target="https://drive.google.com/file/d/1sE3Vr2O3MxZFFhPqVQ5MR5fkbq5NhnED/view?usp=drivesdk" TargetMode="External"/><Relationship Id="rId1105" Type="http://schemas.openxmlformats.org/officeDocument/2006/relationships/hyperlink" Target="https://lh5.googleusercontent.com/d/1uWiMObObhNTmilHFISLFYshvwHkzoKVn" TargetMode="External"/><Relationship Id="rId1106" Type="http://schemas.openxmlformats.org/officeDocument/2006/relationships/hyperlink" Target="https://drive.google.com/file/d/1PQZTvwlp9zSC0dEL6rckNZbol21dxSSF/view?usp=drivesdk" TargetMode="External"/><Relationship Id="rId1107" Type="http://schemas.openxmlformats.org/officeDocument/2006/relationships/hyperlink" Target="https://lh5.googleusercontent.com/d/19ULgwfKjnScDvCp8Phs4iOfcu5W7XxaX" TargetMode="External"/><Relationship Id="rId1108" Type="http://schemas.openxmlformats.org/officeDocument/2006/relationships/hyperlink" Target="https://drive.google.com/file/d/1lsV0Pjd0be3ABWgOEwH0Bu5gpY8SItYX/view?usp=drivesdk" TargetMode="External"/><Relationship Id="rId1109" Type="http://schemas.openxmlformats.org/officeDocument/2006/relationships/hyperlink" Target="https://lh5.googleusercontent.com/d/1P4NG2mQH4CJ2nWOX8T2xeaEmbqT91XS-" TargetMode="External"/><Relationship Id="rId519" Type="http://schemas.openxmlformats.org/officeDocument/2006/relationships/hyperlink" Target="https://lh5.googleusercontent.com/d/1DDefk_LNoyj2gxhYGHkrtXJq1LcoQYrg" TargetMode="External"/><Relationship Id="rId514" Type="http://schemas.openxmlformats.org/officeDocument/2006/relationships/hyperlink" Target="https://drive.google.com/file/d/1J9zdUzv2KGUm87gR4h9h8Aq-Qg2LkgRX/view?usp=drivesdk" TargetMode="External"/><Relationship Id="rId513" Type="http://schemas.openxmlformats.org/officeDocument/2006/relationships/hyperlink" Target="https://lh5.googleusercontent.com/d/1DbIPfQEZVVn_tXudE6-buZfyCwsfaxTJ" TargetMode="External"/><Relationship Id="rId512" Type="http://schemas.openxmlformats.org/officeDocument/2006/relationships/hyperlink" Target="https://drive.google.com/file/d/1ckddMiKRv3rJHIUk8gnG2TVNa1tChVAz/view?usp=drivesdk" TargetMode="External"/><Relationship Id="rId511" Type="http://schemas.openxmlformats.org/officeDocument/2006/relationships/hyperlink" Target="https://lh5.googleusercontent.com/d/1FWqRx5DTuBHBI5FA0Xo1K9S65wHv2Dl7" TargetMode="External"/><Relationship Id="rId518" Type="http://schemas.openxmlformats.org/officeDocument/2006/relationships/hyperlink" Target="https://drive.google.com/file/d/1kuVNf4D8Kd4N6_PyQtE4kf3h8QEDc4ye/view?usp=drivesdk" TargetMode="External"/><Relationship Id="rId517" Type="http://schemas.openxmlformats.org/officeDocument/2006/relationships/hyperlink" Target="https://lh5.googleusercontent.com/d/1GlMqzlYRYo0gDa6jLg4T_eFgaG7ejMY1" TargetMode="External"/><Relationship Id="rId516" Type="http://schemas.openxmlformats.org/officeDocument/2006/relationships/hyperlink" Target="https://drive.google.com/file/d/1vzRLX4xdLqrq9kcq8-a-PePBM6D1z3gP/view?usp=drivesdk" TargetMode="External"/><Relationship Id="rId515" Type="http://schemas.openxmlformats.org/officeDocument/2006/relationships/hyperlink" Target="https://lh5.googleusercontent.com/d/1HNVMkliQ8cf2EInjmKR3at7M_7GMEmBr" TargetMode="External"/><Relationship Id="rId510" Type="http://schemas.openxmlformats.org/officeDocument/2006/relationships/hyperlink" Target="https://drive.google.com/file/d/1xGmIJXDqv1DSD-aasfUjeNlW1KZ096KX/view?usp=drivesdk" TargetMode="External"/><Relationship Id="rId1100" Type="http://schemas.openxmlformats.org/officeDocument/2006/relationships/hyperlink" Target="https://drive.google.com/file/d/1EhVoofQwlLjH765EBJ0cthhOx_IlZtx_/view?usp=drivesdk" TargetMode="External"/><Relationship Id="rId1101" Type="http://schemas.openxmlformats.org/officeDocument/2006/relationships/hyperlink" Target="https://lh5.googleusercontent.com/d/1KDsvAJ-5MIG_iahU-5Sj7QJAHFEGxUxd" TargetMode="External"/><Relationship Id="rId1102" Type="http://schemas.openxmlformats.org/officeDocument/2006/relationships/hyperlink" Target="https://drive.google.com/file/d/1aWLEbTY74J0G2j20cozg-YTPRqjSOHhY/view?usp=drivesdk" TargetMode="External"/><Relationship Id="rId590" Type="http://schemas.openxmlformats.org/officeDocument/2006/relationships/hyperlink" Target="https://lh5.googleusercontent.com/d/14iS_Fqm-iF4S3VWofQD0eOruIw4uf5Lw" TargetMode="External"/><Relationship Id="rId589" Type="http://schemas.openxmlformats.org/officeDocument/2006/relationships/hyperlink" Target="https://drive.google.com/file/d/1t4wbdxx-Nf7E6Lzk3ckbR1tGgy7T2JBQ/view?usp=drivesdk" TargetMode="External"/><Relationship Id="rId588" Type="http://schemas.openxmlformats.org/officeDocument/2006/relationships/hyperlink" Target="https://lh5.googleusercontent.com/d/1U6uAFVVuRSE0vVmn19GZa6uj8V59PIPe" TargetMode="External"/><Relationship Id="rId1170" Type="http://schemas.openxmlformats.org/officeDocument/2006/relationships/hyperlink" Target="https://lh5.googleusercontent.com/d/1KvOAo6FWoS0-wede8vekakwfPxvbZQRp" TargetMode="External"/><Relationship Id="rId1171" Type="http://schemas.openxmlformats.org/officeDocument/2006/relationships/hyperlink" Target="https://drive.google.com/file/d/1qWHP2GFRB468kBpbqbbp_EMoms_Z2c4V/view?usp=drivesdk" TargetMode="External"/><Relationship Id="rId583" Type="http://schemas.openxmlformats.org/officeDocument/2006/relationships/hyperlink" Target="https://drive.google.com/file/d/1NY0MVyy-4L19etYuJ3NcwLBdtwSI7CXr/view?usp=drivesdk" TargetMode="External"/><Relationship Id="rId1172" Type="http://schemas.openxmlformats.org/officeDocument/2006/relationships/hyperlink" Target="https://lh5.googleusercontent.com/d/1p5YKLagmS7tijmUqKLj4aSQmRxPcQWCk" TargetMode="External"/><Relationship Id="rId582" Type="http://schemas.openxmlformats.org/officeDocument/2006/relationships/hyperlink" Target="https://lh5.googleusercontent.com/d/1j_zNok3YPQcPIhPSgz2mJtd8YsrIsbOw" TargetMode="External"/><Relationship Id="rId1173" Type="http://schemas.openxmlformats.org/officeDocument/2006/relationships/hyperlink" Target="https://drive.google.com/file/d/1WlTL4u5XGybAJvAtTjyPM0t4xyfFCdet/view?usp=drivesdk" TargetMode="External"/><Relationship Id="rId581" Type="http://schemas.openxmlformats.org/officeDocument/2006/relationships/hyperlink" Target="https://drive.google.com/file/d/1zrQqfydtcymtX-y4dmWDgKPDmldtwY46/view?usp=drivesdk" TargetMode="External"/><Relationship Id="rId1174" Type="http://schemas.openxmlformats.org/officeDocument/2006/relationships/hyperlink" Target="https://lh5.googleusercontent.com/d/1zJIuB9TbxDq9LwCkn-Qh3NzIze4IrZO0" TargetMode="External"/><Relationship Id="rId580" Type="http://schemas.openxmlformats.org/officeDocument/2006/relationships/hyperlink" Target="https://lh5.googleusercontent.com/d/1obshGtycTIJ--cfx3oVQwzqZLZJ67fC7" TargetMode="External"/><Relationship Id="rId1175" Type="http://schemas.openxmlformats.org/officeDocument/2006/relationships/hyperlink" Target="https://drive.google.com/file/d/1TOGbciHaaxLfiClivT4DzeD1OzBBKMVV/view?usp=drivesdk" TargetMode="External"/><Relationship Id="rId587" Type="http://schemas.openxmlformats.org/officeDocument/2006/relationships/hyperlink" Target="https://drive.google.com/file/d/1uQHv2LCDrq1KIZUGIursTB58HjtRlh-f/view?usp=drivesdk" TargetMode="External"/><Relationship Id="rId1176" Type="http://schemas.openxmlformats.org/officeDocument/2006/relationships/hyperlink" Target="https://lh5.googleusercontent.com/d/1ow85lzaYyDv_6ez3lptBoueWOhd3yBiB" TargetMode="External"/><Relationship Id="rId586" Type="http://schemas.openxmlformats.org/officeDocument/2006/relationships/hyperlink" Target="https://lh5.googleusercontent.com/d/1LK1qJFt1PSF8nn6ZlLsZWfEd_HPct1Ug" TargetMode="External"/><Relationship Id="rId1177" Type="http://schemas.openxmlformats.org/officeDocument/2006/relationships/hyperlink" Target="https://drive.google.com/file/d/1RgCdhSWx9mC1pkKvjcM9QM8vq0QNrT_F/view?usp=drivesdk" TargetMode="External"/><Relationship Id="rId585" Type="http://schemas.openxmlformats.org/officeDocument/2006/relationships/hyperlink" Target="https://drive.google.com/file/d/1JnZJrvWqz-oEjVNpvdjBTo7oxa8c_JkC/view?usp=drivesdk" TargetMode="External"/><Relationship Id="rId1178" Type="http://schemas.openxmlformats.org/officeDocument/2006/relationships/hyperlink" Target="https://lh5.googleusercontent.com/d/1V73eCsHniyY38NJ4IhYvtSdUHeRfgKT2" TargetMode="External"/><Relationship Id="rId584" Type="http://schemas.openxmlformats.org/officeDocument/2006/relationships/hyperlink" Target="https://lh5.googleusercontent.com/d/1imMgmGjEiacTDg8tsPselThCulw3kVGc" TargetMode="External"/><Relationship Id="rId1179" Type="http://schemas.openxmlformats.org/officeDocument/2006/relationships/hyperlink" Target="https://drive.google.com/file/d/1Kq05i2uNMjClaB38OFHguRNiiboL7kWf/view?usp=drivesdk" TargetMode="External"/><Relationship Id="rId1169" Type="http://schemas.openxmlformats.org/officeDocument/2006/relationships/hyperlink" Target="https://drive.google.com/file/d/1_JMIXnxxPfbymOXVtqvjoguFtA0wLlJs/view?usp=drivesdk" TargetMode="External"/><Relationship Id="rId579" Type="http://schemas.openxmlformats.org/officeDocument/2006/relationships/hyperlink" Target="https://drive.google.com/file/d/1Wt_4foVcR-EBzlTAKUCSKPvzn3XxRxph/view?usp=drivesdk" TargetMode="External"/><Relationship Id="rId578" Type="http://schemas.openxmlformats.org/officeDocument/2006/relationships/hyperlink" Target="https://lh5.googleusercontent.com/d/1s-iF-9qa5T_TGte-oyhktStt_kxQeEr9" TargetMode="External"/><Relationship Id="rId577" Type="http://schemas.openxmlformats.org/officeDocument/2006/relationships/hyperlink" Target="https://drive.google.com/file/d/1A53yZ_x-Zv7B0HW6Nv9bAC7gy1G2TXNT/view?usp=drivesdk" TargetMode="External"/><Relationship Id="rId1160" Type="http://schemas.openxmlformats.org/officeDocument/2006/relationships/hyperlink" Target="https://lh5.googleusercontent.com/d/1T27IpLGDUTPweArfA8aaXxTc4dohZKcR" TargetMode="External"/><Relationship Id="rId572" Type="http://schemas.openxmlformats.org/officeDocument/2006/relationships/hyperlink" Target="https://lh5.googleusercontent.com/d/16Sn3-QimvT5sMrdY8nXw-MdfpSZgcG5g" TargetMode="External"/><Relationship Id="rId1161" Type="http://schemas.openxmlformats.org/officeDocument/2006/relationships/hyperlink" Target="https://drive.google.com/file/d/16VhCbzmquux9-rSYX-GxxfjxIhIjAegQ/view?usp=drivesdk" TargetMode="External"/><Relationship Id="rId571" Type="http://schemas.openxmlformats.org/officeDocument/2006/relationships/hyperlink" Target="https://drive.google.com/file/d/1pNsgksietA2m4GIRDokxXhAlLh2dIgGB/view?usp=drivesdk" TargetMode="External"/><Relationship Id="rId1162" Type="http://schemas.openxmlformats.org/officeDocument/2006/relationships/hyperlink" Target="https://lh5.googleusercontent.com/d/13XKFjNc9MeRhoQ-cZEYdAqdvwEW50IGd" TargetMode="External"/><Relationship Id="rId570" Type="http://schemas.openxmlformats.org/officeDocument/2006/relationships/hyperlink" Target="https://lh5.googleusercontent.com/d/1BnHQXR6_YdDoDNxn7gZYNCOOCP-fIudw" TargetMode="External"/><Relationship Id="rId1163" Type="http://schemas.openxmlformats.org/officeDocument/2006/relationships/hyperlink" Target="https://drive.google.com/file/d/1Y-35lKoKHLNuJ5BBvUag0uovPKFcdDVl/view?usp=drivesdk" TargetMode="External"/><Relationship Id="rId1164" Type="http://schemas.openxmlformats.org/officeDocument/2006/relationships/hyperlink" Target="https://lh5.googleusercontent.com/d/17tktujrzSVoxkOsEjYJzoESQuvFSSayE" TargetMode="External"/><Relationship Id="rId576" Type="http://schemas.openxmlformats.org/officeDocument/2006/relationships/hyperlink" Target="https://lh5.googleusercontent.com/d/1sX00C6M5VKDLTjHjHff-zptreXfPsKU2" TargetMode="External"/><Relationship Id="rId1165" Type="http://schemas.openxmlformats.org/officeDocument/2006/relationships/hyperlink" Target="https://drive.google.com/file/d/1Oe3Nomi1YIz9225G5PJbgya0Nc6yGMHI/view?usp=drivesdk" TargetMode="External"/><Relationship Id="rId575" Type="http://schemas.openxmlformats.org/officeDocument/2006/relationships/hyperlink" Target="https://lh5.googleusercontent.com/d/1gXQP81LTZhgaG7UUEudQ9le6igwKKun1" TargetMode="External"/><Relationship Id="rId1166" Type="http://schemas.openxmlformats.org/officeDocument/2006/relationships/hyperlink" Target="https://lh5.googleusercontent.com/d/19Wipll4TDb093Q-xGtKCmCB2wTR-Y-GC" TargetMode="External"/><Relationship Id="rId574" Type="http://schemas.openxmlformats.org/officeDocument/2006/relationships/hyperlink" Target="https://lh5.googleusercontent.com/d/1ZOAdVMn0dVY4gUfHi0rTDpgFYH53eEmS" TargetMode="External"/><Relationship Id="rId1167" Type="http://schemas.openxmlformats.org/officeDocument/2006/relationships/hyperlink" Target="https://drive.google.com/file/d/1AAs55PpcBFydGUa3MPZDMYWg8eoP0MVJ/view?usp=drivesdk" TargetMode="External"/><Relationship Id="rId573" Type="http://schemas.openxmlformats.org/officeDocument/2006/relationships/hyperlink" Target="https://drive.google.com/file/d/1ioBAhjCRA3_n-QGnYUgD-jIOUzVx97Fj/view?usp=drivesdk" TargetMode="External"/><Relationship Id="rId1168" Type="http://schemas.openxmlformats.org/officeDocument/2006/relationships/hyperlink" Target="https://lh5.googleusercontent.com/d/1CUqEfA5hSVbQ7Nm0zm6I_5r7V0X2sEVg" TargetMode="External"/><Relationship Id="rId1190" Type="http://schemas.openxmlformats.org/officeDocument/2006/relationships/hyperlink" Target="https://lh5.googleusercontent.com/d/17hfZ5PkdJu_40sZSB_baskW_wHeVRkjn" TargetMode="External"/><Relationship Id="rId1191" Type="http://schemas.openxmlformats.org/officeDocument/2006/relationships/hyperlink" Target="https://drive.google.com/file/d/1lUEwKn0u81j8xtQZZNHJKNgvH-YT6Jtt/view?usp=drivesdk" TargetMode="External"/><Relationship Id="rId1192" Type="http://schemas.openxmlformats.org/officeDocument/2006/relationships/hyperlink" Target="https://lh5.googleusercontent.com/d/16uSTgTdlvzTI0Ca5UAyQs0x-2u70BUWz" TargetMode="External"/><Relationship Id="rId1193" Type="http://schemas.openxmlformats.org/officeDocument/2006/relationships/hyperlink" Target="https://drive.google.com/file/d/1g443WE-GCO7sdCNObf4fhJ2eJDZhTFMX/view?usp=drivesdk" TargetMode="External"/><Relationship Id="rId1194" Type="http://schemas.openxmlformats.org/officeDocument/2006/relationships/hyperlink" Target="https://lh5.googleusercontent.com/d/1g4BAzY6MliJiAecUNJ9Rx6GoZ8-SUXX4" TargetMode="External"/><Relationship Id="rId1195" Type="http://schemas.openxmlformats.org/officeDocument/2006/relationships/hyperlink" Target="https://drive.google.com/file/d/1rQ4urrT_Q-beh1m9OcXh1QLza9q--znJ/view?usp=drivesdk" TargetMode="External"/><Relationship Id="rId1196" Type="http://schemas.openxmlformats.org/officeDocument/2006/relationships/hyperlink" Target="https://lh5.googleusercontent.com/d/1C5RVnWVELFSfVZPcD732-rFp3KHTEWmF" TargetMode="External"/><Relationship Id="rId1197" Type="http://schemas.openxmlformats.org/officeDocument/2006/relationships/hyperlink" Target="https://drive.google.com/file/d/1o5LO45HA51tAldRA5QSIOA5JC_N4r7HW/view?usp=drivesdk" TargetMode="External"/><Relationship Id="rId1198" Type="http://schemas.openxmlformats.org/officeDocument/2006/relationships/hyperlink" Target="https://lh5.googleusercontent.com/d/1edctAb6-hNmTdlbhBIII69dZsDKXxH_H" TargetMode="External"/><Relationship Id="rId1199" Type="http://schemas.openxmlformats.org/officeDocument/2006/relationships/hyperlink" Target="https://drive.google.com/file/d/1ELH9a8lkdQjcrgnuiuSFQAY1DM3q-pcg/view?usp=drivesdk" TargetMode="External"/><Relationship Id="rId599" Type="http://schemas.openxmlformats.org/officeDocument/2006/relationships/hyperlink" Target="https://drive.google.com/file/d/1Y7a3ANwv9O4vhJo2jqHzmbbcEmRNQ2rN/view?usp=drivesdk" TargetMode="External"/><Relationship Id="rId1180" Type="http://schemas.openxmlformats.org/officeDocument/2006/relationships/hyperlink" Target="https://lh5.googleusercontent.com/d/16JGBjtipAfpCRsC8xrDvOtURZUjlNKX-" TargetMode="External"/><Relationship Id="rId1181" Type="http://schemas.openxmlformats.org/officeDocument/2006/relationships/hyperlink" Target="https://drive.google.com/file/d/1CvHIAkQzQ8AyS0T5V6bE54UeOqxHFfXW/view?usp=drivesdk" TargetMode="External"/><Relationship Id="rId1182" Type="http://schemas.openxmlformats.org/officeDocument/2006/relationships/hyperlink" Target="https://lh5.googleusercontent.com/d/1OcW33k8ZxG7NDcmnSSOrptcuKKNlkTIj" TargetMode="External"/><Relationship Id="rId594" Type="http://schemas.openxmlformats.org/officeDocument/2006/relationships/hyperlink" Target="https://lh5.googleusercontent.com/d/1UUC9n59KvFiSvHmosGbInycvNeL41SKG" TargetMode="External"/><Relationship Id="rId1183" Type="http://schemas.openxmlformats.org/officeDocument/2006/relationships/hyperlink" Target="https://drive.google.com/file/d/1WH7xImY4aB1pLCEtyIf2ZmQhZsyS8XNR/view?usp=drivesdk" TargetMode="External"/><Relationship Id="rId593" Type="http://schemas.openxmlformats.org/officeDocument/2006/relationships/hyperlink" Target="https://drive.google.com/file/d/1akdhZ0Sx5YPpIgcJeb2CIKasVSI027sa/view?usp=drivesdk" TargetMode="External"/><Relationship Id="rId1184" Type="http://schemas.openxmlformats.org/officeDocument/2006/relationships/hyperlink" Target="https://lh5.googleusercontent.com/d/1VdhaN16_kmWNPby1xuc0Z4HFDyopGHyF" TargetMode="External"/><Relationship Id="rId592" Type="http://schemas.openxmlformats.org/officeDocument/2006/relationships/hyperlink" Target="https://lh5.googleusercontent.com/d/1kn00-mOa5MdxtmEUaRFbqXjGby1DaYmg" TargetMode="External"/><Relationship Id="rId1185" Type="http://schemas.openxmlformats.org/officeDocument/2006/relationships/hyperlink" Target="https://drive.google.com/file/d/1BMnRHetrnb4KQ0EmXR6Bs7b56dvs7TR_/view?usp=drivesdk" TargetMode="External"/><Relationship Id="rId591" Type="http://schemas.openxmlformats.org/officeDocument/2006/relationships/hyperlink" Target="https://drive.google.com/file/d/1xd7GK-IxF7SUmvgbUOxHIFd_vOac2lh_/view?usp=drivesdk" TargetMode="External"/><Relationship Id="rId1186" Type="http://schemas.openxmlformats.org/officeDocument/2006/relationships/hyperlink" Target="https://lh5.googleusercontent.com/d/1eQpfXmODwY04XDeLMX9PyxnoG9J9ZSyt" TargetMode="External"/><Relationship Id="rId598" Type="http://schemas.openxmlformats.org/officeDocument/2006/relationships/hyperlink" Target="https://lh5.googleusercontent.com/d/1kLPw7lU3jLn-SbtS-xq2Sj7xSMbELiX4" TargetMode="External"/><Relationship Id="rId1187" Type="http://schemas.openxmlformats.org/officeDocument/2006/relationships/hyperlink" Target="https://drive.google.com/file/d/180LLEXqE0C3WcPNXhZS-P51XzKzSCB_y/view?usp=drivesdk" TargetMode="External"/><Relationship Id="rId597" Type="http://schemas.openxmlformats.org/officeDocument/2006/relationships/hyperlink" Target="https://drive.google.com/file/d/1eID4hReJPP9yPaWA-rc7H7V-PEWDBPPM/view?usp=drivesdk" TargetMode="External"/><Relationship Id="rId1188" Type="http://schemas.openxmlformats.org/officeDocument/2006/relationships/hyperlink" Target="https://lh5.googleusercontent.com/d/1KbPUpyDNYeA6_A8KgjgIxEM0uWJwb54v" TargetMode="External"/><Relationship Id="rId596" Type="http://schemas.openxmlformats.org/officeDocument/2006/relationships/hyperlink" Target="https://lh5.googleusercontent.com/d/1NVGKZjGbl5M-FtF-QWqSec9VrlrTNEmK" TargetMode="External"/><Relationship Id="rId1189" Type="http://schemas.openxmlformats.org/officeDocument/2006/relationships/hyperlink" Target="https://drive.google.com/file/d/18TU9BZWn5vu7R3O3qC9ipAup3fkqqXuE/view?usp=drivesdk" TargetMode="External"/><Relationship Id="rId595" Type="http://schemas.openxmlformats.org/officeDocument/2006/relationships/hyperlink" Target="https://drive.google.com/file/d/1zjTACY2V_trFlNkbd2bfjf373Sg4dzfj/view?usp=drivesdk" TargetMode="External"/><Relationship Id="rId1136" Type="http://schemas.openxmlformats.org/officeDocument/2006/relationships/hyperlink" Target="https://drive.google.com/file/d/1idgrsw2dKzXbmGLSwMguW3ypCxPIfBgF/view?usp=drivesdk" TargetMode="External"/><Relationship Id="rId1137" Type="http://schemas.openxmlformats.org/officeDocument/2006/relationships/hyperlink" Target="https://lh5.googleusercontent.com/d/1bmrm05gDCmfB-gV904RMXqqADatAfwRT" TargetMode="External"/><Relationship Id="rId1138" Type="http://schemas.openxmlformats.org/officeDocument/2006/relationships/hyperlink" Target="https://drive.google.com/file/d/1a2jzkMzRBAKbHrGnhWWMGr0oG6XLD5BY/view?usp=drivesdk" TargetMode="External"/><Relationship Id="rId1139" Type="http://schemas.openxmlformats.org/officeDocument/2006/relationships/hyperlink" Target="https://lh5.googleusercontent.com/d/10rpenbfhP2lEK7yjFzJUiHSekBMZtFYM" TargetMode="External"/><Relationship Id="rId547" Type="http://schemas.openxmlformats.org/officeDocument/2006/relationships/hyperlink" Target="https://drive.google.com/file/d/1AZJk8u7ixf-iKbSiaLDtLgHLHDJscZ6n/view?usp=drivesdk" TargetMode="External"/><Relationship Id="rId546" Type="http://schemas.openxmlformats.org/officeDocument/2006/relationships/hyperlink" Target="https://lh5.googleusercontent.com/d/1D-c9W9Wt3vbBnlXuGfbFBetMOa5jvs3o" TargetMode="External"/><Relationship Id="rId545" Type="http://schemas.openxmlformats.org/officeDocument/2006/relationships/hyperlink" Target="https://drive.google.com/file/d/1A46i7gnT3ux4cZD-LyK9St9zO0O357VA/view?usp=drivesdk" TargetMode="External"/><Relationship Id="rId544" Type="http://schemas.openxmlformats.org/officeDocument/2006/relationships/hyperlink" Target="https://lh5.googleusercontent.com/d/1wb1ZFD3Hs40SDBAS5UpdPnDrOPTSo4bX" TargetMode="External"/><Relationship Id="rId549" Type="http://schemas.openxmlformats.org/officeDocument/2006/relationships/hyperlink" Target="https://drive.google.com/file/d/151qq083Cy9QkL3orPvAsP7awA_OCnh3h/view?usp=drivesdk" TargetMode="External"/><Relationship Id="rId548" Type="http://schemas.openxmlformats.org/officeDocument/2006/relationships/hyperlink" Target="https://lh5.googleusercontent.com/d/1aAoSV3zRQRYsnr0gP09zwMl7YkyE45Dj" TargetMode="External"/><Relationship Id="rId1130" Type="http://schemas.openxmlformats.org/officeDocument/2006/relationships/hyperlink" Target="https://drive.google.com/file/d/19im_0VsqTyV0wVcXG8p7zMjhFqTKvYQp/view?usp=drivesdk" TargetMode="External"/><Relationship Id="rId1131" Type="http://schemas.openxmlformats.org/officeDocument/2006/relationships/hyperlink" Target="https://lh5.googleusercontent.com/d/14Ob0QE3NwPvXKo6pw5k-71NxfpHiHJAD" TargetMode="External"/><Relationship Id="rId543" Type="http://schemas.openxmlformats.org/officeDocument/2006/relationships/hyperlink" Target="https://drive.google.com/file/d/1KWh2jo6fu3LwnIHcVhjb8RObS_NednSj/view?usp=drivesdk" TargetMode="External"/><Relationship Id="rId1132" Type="http://schemas.openxmlformats.org/officeDocument/2006/relationships/hyperlink" Target="https://drive.google.com/file/d/1aEG8zpb5zWIP-TLOEd2sF6lG2PbdxqCU/view?usp=drivesdk" TargetMode="External"/><Relationship Id="rId542" Type="http://schemas.openxmlformats.org/officeDocument/2006/relationships/hyperlink" Target="https://lh5.googleusercontent.com/d/13j1y5smqKJnOru9fRXFLBm-RNvRsl8t0" TargetMode="External"/><Relationship Id="rId1133" Type="http://schemas.openxmlformats.org/officeDocument/2006/relationships/hyperlink" Target="https://lh5.googleusercontent.com/d/1Q3VnQLNWx6vcPTHZgdSHekffS3VW2mFu" TargetMode="External"/><Relationship Id="rId541" Type="http://schemas.openxmlformats.org/officeDocument/2006/relationships/hyperlink" Target="https://lh5.googleusercontent.com/d/1_6T7TFSd0zwsYloNr2LJzE_RtNLhwLTd" TargetMode="External"/><Relationship Id="rId1134" Type="http://schemas.openxmlformats.org/officeDocument/2006/relationships/hyperlink" Target="https://drive.google.com/file/d/1P69qxKzFa_eajFx6yk7hoxsp5VNT3dg_/view?usp=drivesdk" TargetMode="External"/><Relationship Id="rId540" Type="http://schemas.openxmlformats.org/officeDocument/2006/relationships/hyperlink" Target="https://drive.google.com/file/d/1YAwCDtkg1rXT6MtHJpl9lAdj5HS7ZQvC/view?usp=drivesdk" TargetMode="External"/><Relationship Id="rId1135" Type="http://schemas.openxmlformats.org/officeDocument/2006/relationships/hyperlink" Target="https://lh5.googleusercontent.com/d/1GrGTvcZQQa46VI2CSi6c7WsNL6D4_lDH" TargetMode="External"/><Relationship Id="rId1125" Type="http://schemas.openxmlformats.org/officeDocument/2006/relationships/hyperlink" Target="https://lh5.googleusercontent.com/d/1LwejdbacH_vlnYCUms1nI1WVty4VhCXU" TargetMode="External"/><Relationship Id="rId1126" Type="http://schemas.openxmlformats.org/officeDocument/2006/relationships/hyperlink" Target="https://drive.google.com/file/d/1mz8EKZin4m3DbioY-WLrwUPAe3gd1DQw/view?usp=drivesdk" TargetMode="External"/><Relationship Id="rId1127" Type="http://schemas.openxmlformats.org/officeDocument/2006/relationships/hyperlink" Target="https://lh5.googleusercontent.com/d/1iAwCSwwT1_iYroowa97qP6AKAV97pYmO" TargetMode="External"/><Relationship Id="rId1128" Type="http://schemas.openxmlformats.org/officeDocument/2006/relationships/hyperlink" Target="https://drive.google.com/file/d/1aankexZaXeFX_6q9u7x7NQD5MGM5boIv/view?usp=drivesdk" TargetMode="External"/><Relationship Id="rId1129" Type="http://schemas.openxmlformats.org/officeDocument/2006/relationships/hyperlink" Target="https://lh5.googleusercontent.com/d/1YuA933-fvEe4YC7geuXA7YGxAct5J9s3" TargetMode="External"/><Relationship Id="rId536" Type="http://schemas.openxmlformats.org/officeDocument/2006/relationships/hyperlink" Target="https://drive.google.com/file/d/1vPk4YsQmsRZUZ6xIBwF5LnBbSN0VBATE/view?usp=drivesdk" TargetMode="External"/><Relationship Id="rId535" Type="http://schemas.openxmlformats.org/officeDocument/2006/relationships/hyperlink" Target="https://lh5.googleusercontent.com/d/1voURybcNVW-vcFtVfZBI88cmw93XuLyM" TargetMode="External"/><Relationship Id="rId534" Type="http://schemas.openxmlformats.org/officeDocument/2006/relationships/hyperlink" Target="https://drive.google.com/file/d/1_g2Qdo1ocXMDk6PYD4SwDInIJQeLS6H4/view?usp=drivesdk" TargetMode="External"/><Relationship Id="rId533" Type="http://schemas.openxmlformats.org/officeDocument/2006/relationships/hyperlink" Target="https://lh5.googleusercontent.com/d/1nz2yTLE7SalRMFotn87IJFrhSD-TcAnw" TargetMode="External"/><Relationship Id="rId539" Type="http://schemas.openxmlformats.org/officeDocument/2006/relationships/hyperlink" Target="https://lh5.googleusercontent.com/d/1Z2hHYcCWS2jP0WQrv8rO2XMCKYItk3q5" TargetMode="External"/><Relationship Id="rId538" Type="http://schemas.openxmlformats.org/officeDocument/2006/relationships/hyperlink" Target="https://drive.google.com/file/d/1cGJgqvKsNgFS5pA5xHecWrJUEdGWcX7h/view?usp=drivesdk" TargetMode="External"/><Relationship Id="rId537" Type="http://schemas.openxmlformats.org/officeDocument/2006/relationships/hyperlink" Target="https://lh5.googleusercontent.com/d/1Okcj0dOQADdi2xnESH_XEdq5yEz-3zFY" TargetMode="External"/><Relationship Id="rId1120" Type="http://schemas.openxmlformats.org/officeDocument/2006/relationships/hyperlink" Target="https://drive.google.com/file/d/1jhWA9Sl6WvgsnRuEwU243DT-Agp5sZnh/view?usp=drivesdk" TargetMode="External"/><Relationship Id="rId532" Type="http://schemas.openxmlformats.org/officeDocument/2006/relationships/hyperlink" Target="https://drive.google.com/file/d/1S8ZshzNO8zzjdUoDQHYoo6XNkmTlOZbZ/view?usp=drivesdk" TargetMode="External"/><Relationship Id="rId1121" Type="http://schemas.openxmlformats.org/officeDocument/2006/relationships/hyperlink" Target="https://lh5.googleusercontent.com/d/1m5igMs2hc6iIqXYLeGpCpP5uabc_9qLN" TargetMode="External"/><Relationship Id="rId531" Type="http://schemas.openxmlformats.org/officeDocument/2006/relationships/hyperlink" Target="https://lh5.googleusercontent.com/d/1t11YuaOB3S3p2FrMOp-4xKkVLHEWiP1t" TargetMode="External"/><Relationship Id="rId1122" Type="http://schemas.openxmlformats.org/officeDocument/2006/relationships/hyperlink" Target="https://drive.google.com/file/d/1fZ97MzQXRyqeCYNLV1cB6577t4SSEruE/view?usp=drivesdk" TargetMode="External"/><Relationship Id="rId530" Type="http://schemas.openxmlformats.org/officeDocument/2006/relationships/hyperlink" Target="https://drive.google.com/file/d/1I0nqnzpE4zzm8wOthGcIOp4CNbQaUrQO/view?usp=drivesdk" TargetMode="External"/><Relationship Id="rId1123" Type="http://schemas.openxmlformats.org/officeDocument/2006/relationships/hyperlink" Target="https://lh5.googleusercontent.com/d/1VEPoFxHGcrR3QQupKhTO-e9TINW6WXRC" TargetMode="External"/><Relationship Id="rId1124" Type="http://schemas.openxmlformats.org/officeDocument/2006/relationships/hyperlink" Target="https://drive.google.com/file/d/15-nHOhRoJnTF8F50CFWVGyLY95F1Bo3c/view?usp=drivesdk" TargetMode="External"/><Relationship Id="rId1158" Type="http://schemas.openxmlformats.org/officeDocument/2006/relationships/hyperlink" Target="https://lh5.googleusercontent.com/d/1nIfo2FiVHxgV6VjOSImz-Xt8wpRaBoTY" TargetMode="External"/><Relationship Id="rId1159" Type="http://schemas.openxmlformats.org/officeDocument/2006/relationships/hyperlink" Target="https://drive.google.com/file/d/1d4Kz8mbk7pzwNpCy9fTRgv0SUHuJ1idA/view?usp=drivesdk" TargetMode="External"/><Relationship Id="rId569" Type="http://schemas.openxmlformats.org/officeDocument/2006/relationships/hyperlink" Target="https://drive.google.com/file/d/1JVWF2QeahazXs-0mV5KgS19AuwVcrO6d/view?usp=drivesdk" TargetMode="External"/><Relationship Id="rId568" Type="http://schemas.openxmlformats.org/officeDocument/2006/relationships/hyperlink" Target="https://lh5.googleusercontent.com/d/1LwKrELpXg3CBzCtTegKQb0PtYJgxako7" TargetMode="External"/><Relationship Id="rId567" Type="http://schemas.openxmlformats.org/officeDocument/2006/relationships/hyperlink" Target="https://drive.google.com/file/d/1b4tBP9LccCzagxPHiMNTqIoJqeH_Dh-w/view?usp=drivesdk" TargetMode="External"/><Relationship Id="rId566" Type="http://schemas.openxmlformats.org/officeDocument/2006/relationships/hyperlink" Target="https://lh5.googleusercontent.com/d/1O0l3SstIc-cD-5UyhiRkGgx3XVoyhdxn" TargetMode="External"/><Relationship Id="rId561" Type="http://schemas.openxmlformats.org/officeDocument/2006/relationships/hyperlink" Target="https://drive.google.com/file/d/1Mn59vNuAU2nNIlo7ojocDXV-08yPEhi1/view?usp=drivesdk" TargetMode="External"/><Relationship Id="rId1150" Type="http://schemas.openxmlformats.org/officeDocument/2006/relationships/hyperlink" Target="https://lh5.googleusercontent.com/d/1qj5JAjB8GyPx-lYUZxsIGUwEdwFoiMTG" TargetMode="External"/><Relationship Id="rId560" Type="http://schemas.openxmlformats.org/officeDocument/2006/relationships/hyperlink" Target="https://lh5.googleusercontent.com/d/1OlvPPlufgV5W_3lhpEna2njkXDC7vb3_" TargetMode="External"/><Relationship Id="rId1151" Type="http://schemas.openxmlformats.org/officeDocument/2006/relationships/hyperlink" Target="https://drive.google.com/file/d/1PEDiuM7lUbtKiCfVWnofJfGv3DZSGe2b/view?usp=drivesdk" TargetMode="External"/><Relationship Id="rId1152" Type="http://schemas.openxmlformats.org/officeDocument/2006/relationships/hyperlink" Target="https://lh5.googleusercontent.com/d/1vKfqVg0fhrrAz9XvmsrsmFEhylanRQjN" TargetMode="External"/><Relationship Id="rId1153" Type="http://schemas.openxmlformats.org/officeDocument/2006/relationships/hyperlink" Target="https://drive.google.com/file/d/1nSmJ6uSWnOQhyLOIhABI_aa1gXd6wPTY/view?usp=drivesdk" TargetMode="External"/><Relationship Id="rId565" Type="http://schemas.openxmlformats.org/officeDocument/2006/relationships/hyperlink" Target="https://drive.google.com/file/d/1zntpUs2QqmRYopEqLla6SiWKAtvK5qzl/view?usp=drivesdk" TargetMode="External"/><Relationship Id="rId1154" Type="http://schemas.openxmlformats.org/officeDocument/2006/relationships/hyperlink" Target="https://lh5.googleusercontent.com/d/1rU3faAT9NYNUUomawTFw7eT5jb5P0IzV" TargetMode="External"/><Relationship Id="rId564" Type="http://schemas.openxmlformats.org/officeDocument/2006/relationships/hyperlink" Target="https://lh5.googleusercontent.com/d/1HSJ8cxLBI5ieIvB9LIRBt5Y-DXIwRffG" TargetMode="External"/><Relationship Id="rId1155" Type="http://schemas.openxmlformats.org/officeDocument/2006/relationships/hyperlink" Target="https://drive.google.com/file/d/1r-4f8N98EINxml3X3bgyWzcL_3lWETe_/view?usp=drivesdk" TargetMode="External"/><Relationship Id="rId563" Type="http://schemas.openxmlformats.org/officeDocument/2006/relationships/hyperlink" Target="https://drive.google.com/file/d/1mRJ8xzFJH0RSVKPZXyB-NnB1JO1olz4H/view?usp=drivesdk" TargetMode="External"/><Relationship Id="rId1156" Type="http://schemas.openxmlformats.org/officeDocument/2006/relationships/hyperlink" Target="https://lh5.googleusercontent.com/d/14qH1H3KlOxf1wfTFtXRQRpTvmse9sPt0" TargetMode="External"/><Relationship Id="rId562" Type="http://schemas.openxmlformats.org/officeDocument/2006/relationships/hyperlink" Target="https://lh5.googleusercontent.com/d/1NxiTW-4CqOKa4tro9i-jShW9gyh_OBLb" TargetMode="External"/><Relationship Id="rId1157" Type="http://schemas.openxmlformats.org/officeDocument/2006/relationships/hyperlink" Target="https://drive.google.com/file/d/1IUwGx-LlrklW_gLjle9GZBIes9xs-P9c/view?usp=drivesdk" TargetMode="External"/><Relationship Id="rId1147" Type="http://schemas.openxmlformats.org/officeDocument/2006/relationships/hyperlink" Target="https://drive.google.com/file/d/1Bd_H27mqp9Wox_QqNcgzJQadbJqPGy91/view?usp=drivesdk" TargetMode="External"/><Relationship Id="rId1148" Type="http://schemas.openxmlformats.org/officeDocument/2006/relationships/hyperlink" Target="https://lh5.googleusercontent.com/d/1MqHLfjGLi9kbQpXWsuRdj3S9zUvFrZEN" TargetMode="External"/><Relationship Id="rId1149" Type="http://schemas.openxmlformats.org/officeDocument/2006/relationships/hyperlink" Target="https://drive.google.com/file/d/1wIqntjOzGU7z9xTCftgBGU_Er1BRlIKe/view?usp=drivesdk" TargetMode="External"/><Relationship Id="rId558" Type="http://schemas.openxmlformats.org/officeDocument/2006/relationships/hyperlink" Target="https://lh5.googleusercontent.com/d/1UOfDiJcurIAtqTeHZntWePpv2kUGVct3" TargetMode="External"/><Relationship Id="rId557" Type="http://schemas.openxmlformats.org/officeDocument/2006/relationships/hyperlink" Target="https://drive.google.com/file/d/1WAdOl7_BnzirPxqpOmJqRzqhOj2w2tTE/view?usp=drivesdk" TargetMode="External"/><Relationship Id="rId556" Type="http://schemas.openxmlformats.org/officeDocument/2006/relationships/hyperlink" Target="https://lh5.googleusercontent.com/d/1rfuDFmFc1oeKYs3msn9C6LN2I7TVHs2E" TargetMode="External"/><Relationship Id="rId555" Type="http://schemas.openxmlformats.org/officeDocument/2006/relationships/hyperlink" Target="https://drive.google.com/file/d/1EWp1lB1ZtBr3G2-Mx0ExijvJ97wXJXaQ/view?usp=drivesdk" TargetMode="External"/><Relationship Id="rId559" Type="http://schemas.openxmlformats.org/officeDocument/2006/relationships/hyperlink" Target="https://drive.google.com/file/d/1MuwuEUTxai91hoNfNUDATFq4LPzdRMd8/view?usp=drivesdk" TargetMode="External"/><Relationship Id="rId550" Type="http://schemas.openxmlformats.org/officeDocument/2006/relationships/hyperlink" Target="https://lh5.googleusercontent.com/d/1_RSeizpLRxkgWhAVi-WkkHN2lS8TutAQ" TargetMode="External"/><Relationship Id="rId1140" Type="http://schemas.openxmlformats.org/officeDocument/2006/relationships/hyperlink" Target="https://drive.google.com/file/d/13WiTIMhD1JtWZE_I8L-t2vmVJPXT5eC6/view?usp=drivesdk" TargetMode="External"/><Relationship Id="rId1141" Type="http://schemas.openxmlformats.org/officeDocument/2006/relationships/hyperlink" Target="https://lh5.googleusercontent.com/d/1rAYwZurVYtcRXlw7T6yBR8FYDmD81UXI" TargetMode="External"/><Relationship Id="rId1142" Type="http://schemas.openxmlformats.org/officeDocument/2006/relationships/hyperlink" Target="https://drive.google.com/file/d/1bbHgReJGaIA5Kptf02t1jgAmONiwNZ7Z/view?usp=drivesdk" TargetMode="External"/><Relationship Id="rId554" Type="http://schemas.openxmlformats.org/officeDocument/2006/relationships/hyperlink" Target="https://lh5.googleusercontent.com/d/1YonS7XgykYTPObu2k-ubF9lBWFZMa85o" TargetMode="External"/><Relationship Id="rId1143" Type="http://schemas.openxmlformats.org/officeDocument/2006/relationships/hyperlink" Target="https://lh5.googleusercontent.com/d/1NjqGsldiaALLVfknAiaMmO1t6isi_QUX" TargetMode="External"/><Relationship Id="rId553" Type="http://schemas.openxmlformats.org/officeDocument/2006/relationships/hyperlink" Target="https://drive.google.com/file/d/1Yv9GIegNquupLKnvC7zPCq4QYChy9wE9/view?usp=drivesdk" TargetMode="External"/><Relationship Id="rId1144" Type="http://schemas.openxmlformats.org/officeDocument/2006/relationships/hyperlink" Target="https://drive.google.com/file/d/1pqtABuI6qaJnVoLbkfIvYT4oc7ClzpiX/view?usp=drivesdk" TargetMode="External"/><Relationship Id="rId552" Type="http://schemas.openxmlformats.org/officeDocument/2006/relationships/hyperlink" Target="https://lh5.googleusercontent.com/d/187cYe9MGMVov4l35B34fU29DNkcJ9TsS" TargetMode="External"/><Relationship Id="rId1145" Type="http://schemas.openxmlformats.org/officeDocument/2006/relationships/hyperlink" Target="https://lh5.googleusercontent.com/d/10CjYOK4Mny64kdgcGRGzcTNRLTr1woMs" TargetMode="External"/><Relationship Id="rId551" Type="http://schemas.openxmlformats.org/officeDocument/2006/relationships/hyperlink" Target="https://drive.google.com/file/d/1tjVDsVS_dVW1S6dMqiT9WtmrKFHhhwOR/view?usp=drivesdk" TargetMode="External"/><Relationship Id="rId1146" Type="http://schemas.openxmlformats.org/officeDocument/2006/relationships/hyperlink" Target="https://lh5.googleusercontent.com/d/1pCGgZD_9OBhnhJpmSRQ7IXFlvB-JlHPL" TargetMode="External"/><Relationship Id="rId495" Type="http://schemas.openxmlformats.org/officeDocument/2006/relationships/hyperlink" Target="https://lh5.googleusercontent.com/d/1XkNewolfLJJTDXKvbbvv62hRbJnjEbyM" TargetMode="External"/><Relationship Id="rId494" Type="http://schemas.openxmlformats.org/officeDocument/2006/relationships/hyperlink" Target="https://drive.google.com/file/d/1PEctnh5p76Mhi1R_GLyeCzVNXYf88z4t/view?usp=drivesdk" TargetMode="External"/><Relationship Id="rId493" Type="http://schemas.openxmlformats.org/officeDocument/2006/relationships/hyperlink" Target="https://lh5.googleusercontent.com/d/1R29uFzY6wMns68evv9MAqqWL_66eBdnN" TargetMode="External"/><Relationship Id="rId492" Type="http://schemas.openxmlformats.org/officeDocument/2006/relationships/hyperlink" Target="https://drive.google.com/file/d/1r8jYDJHXInwvOb4bG6jBi0mDWw970sp7/view?usp=drivesdk" TargetMode="External"/><Relationship Id="rId499" Type="http://schemas.openxmlformats.org/officeDocument/2006/relationships/hyperlink" Target="https://lh5.googleusercontent.com/d/18Me8qvgP63L-30ucWYheq3dYk7RXV4g5" TargetMode="External"/><Relationship Id="rId498" Type="http://schemas.openxmlformats.org/officeDocument/2006/relationships/hyperlink" Target="https://drive.google.com/file/d/1bg6lH5rrJMzpikfuGoUOgG3qHoKxusz7/view?usp=drivesdk" TargetMode="External"/><Relationship Id="rId497" Type="http://schemas.openxmlformats.org/officeDocument/2006/relationships/hyperlink" Target="https://lh5.googleusercontent.com/d/1Bwy42yQCzVnp-WOSjs3_fcjvmY-cGGE0" TargetMode="External"/><Relationship Id="rId496" Type="http://schemas.openxmlformats.org/officeDocument/2006/relationships/hyperlink" Target="https://drive.google.com/file/d/1jhIrF0qFLC0EpxrBYwX4Ppt7V4NsACPe/view?usp=drivesdk" TargetMode="External"/><Relationship Id="rId1213" Type="http://schemas.openxmlformats.org/officeDocument/2006/relationships/hyperlink" Target="https://drive.google.com/file/d/19Ft1vzQtztPt7QQvBbs_mTUEGxAQBu2V/view?usp=drivesdk" TargetMode="External"/><Relationship Id="rId1214" Type="http://schemas.openxmlformats.org/officeDocument/2006/relationships/hyperlink" Target="https://lh5.googleusercontent.com/d/1QTKbnp8qHhEmQGpbpHo5Wmp_FsffnHD-" TargetMode="External"/><Relationship Id="rId1215" Type="http://schemas.openxmlformats.org/officeDocument/2006/relationships/hyperlink" Target="https://drive.google.com/file/d/1-Eudx4Vr1K66--bHrgVslO7RRWPe8wqm/view?usp=drivesdk" TargetMode="External"/><Relationship Id="rId1216" Type="http://schemas.openxmlformats.org/officeDocument/2006/relationships/hyperlink" Target="https://lh5.googleusercontent.com/d/1rjjxlCMihWC5P0VflY3Q5FVghaSgSLuN" TargetMode="External"/><Relationship Id="rId1217" Type="http://schemas.openxmlformats.org/officeDocument/2006/relationships/hyperlink" Target="https://drive.google.com/file/d/1vuaF5O0WsCQ2ft0C6R2Ig-OYYUNbegwI/view?usp=drivesdk" TargetMode="External"/><Relationship Id="rId1218" Type="http://schemas.openxmlformats.org/officeDocument/2006/relationships/hyperlink" Target="https://lh5.googleusercontent.com/d/1Zos12RK_3Rw_NOS5RncvXZLIiu1JEmLh" TargetMode="External"/><Relationship Id="rId1219" Type="http://schemas.openxmlformats.org/officeDocument/2006/relationships/hyperlink" Target="https://drive.google.com/file/d/18QhkiK54vndkgCDepqG3Igj8nnEkCHi2/view?usp=drivesdk" TargetMode="External"/><Relationship Id="rId1210" Type="http://schemas.openxmlformats.org/officeDocument/2006/relationships/hyperlink" Target="https://lh5.googleusercontent.com/d/1NO3uUpf9gdsowfv5Z3gAiWls5nBQy1H_" TargetMode="External"/><Relationship Id="rId1211" Type="http://schemas.openxmlformats.org/officeDocument/2006/relationships/hyperlink" Target="https://drive.google.com/file/d/1HolFD1zhiAm-IQ5oCTHxO_s1l2GhgITD/view?usp=drivesdk" TargetMode="External"/><Relationship Id="rId1212" Type="http://schemas.openxmlformats.org/officeDocument/2006/relationships/hyperlink" Target="https://lh5.googleusercontent.com/d/1vCJjOYwZ4LeFLMrFNhdY6LwVmAwF1TiG" TargetMode="External"/><Relationship Id="rId1202" Type="http://schemas.openxmlformats.org/officeDocument/2006/relationships/hyperlink" Target="https://lh5.googleusercontent.com/d/1V6RqE4lRA75_SPmPGC_0R1HhLi6fa--O" TargetMode="External"/><Relationship Id="rId1203" Type="http://schemas.openxmlformats.org/officeDocument/2006/relationships/hyperlink" Target="https://drive.google.com/file/d/1Yp6whLvVhmUZmbyJ7d5H3XrszqPacGFR/view?usp=drivesdk" TargetMode="External"/><Relationship Id="rId1204" Type="http://schemas.openxmlformats.org/officeDocument/2006/relationships/hyperlink" Target="https://lh5.googleusercontent.com/d/1qKa4aDQFNzzh9Q-JfPLZbCY84yLNUX35" TargetMode="External"/><Relationship Id="rId1205" Type="http://schemas.openxmlformats.org/officeDocument/2006/relationships/hyperlink" Target="https://drive.google.com/file/d/18ZWKGDQYdfOuu1ZbRViPAeRFs_oLtjpC/view?usp=drivesdk" TargetMode="External"/><Relationship Id="rId1206" Type="http://schemas.openxmlformats.org/officeDocument/2006/relationships/hyperlink" Target="https://lh5.googleusercontent.com/d/1mkUrW-MGHj-smz_2jTRri_hUGJxdp4GL" TargetMode="External"/><Relationship Id="rId1207" Type="http://schemas.openxmlformats.org/officeDocument/2006/relationships/hyperlink" Target="https://drive.google.com/file/d/1A4zKC8T_UbOTUJEwaLrxCwOsHavq81i1/view?usp=drivesdk" TargetMode="External"/><Relationship Id="rId1208" Type="http://schemas.openxmlformats.org/officeDocument/2006/relationships/hyperlink" Target="https://lh5.googleusercontent.com/d/1f1UBUmLveMpWNFBQ4L3cz1isLFKUTQMO" TargetMode="External"/><Relationship Id="rId1209" Type="http://schemas.openxmlformats.org/officeDocument/2006/relationships/hyperlink" Target="https://drive.google.com/file/d/1x82SFaE3IaOiFSIu4uX30slIT7m2RzJ2/view?usp=drivesdk" TargetMode="External"/><Relationship Id="rId1200" Type="http://schemas.openxmlformats.org/officeDocument/2006/relationships/hyperlink" Target="https://lh5.googleusercontent.com/d/1i9Eq-R7V8Ygmd-EgtsYF94cYyinfe6YQ" TargetMode="External"/><Relationship Id="rId1201" Type="http://schemas.openxmlformats.org/officeDocument/2006/relationships/hyperlink" Target="https://drive.google.com/file/d/10TzAIB5JwxIX5pOaxvqvquY_AuFCGEHW/view?usp=drivesdk" TargetMode="External"/><Relationship Id="rId1235" Type="http://schemas.openxmlformats.org/officeDocument/2006/relationships/hyperlink" Target="https://drive.google.com/file/d/1we0fYCZcwEiRejskll03cfxMD0iwKDLB/view?usp=drivesdk" TargetMode="External"/><Relationship Id="rId1236" Type="http://schemas.openxmlformats.org/officeDocument/2006/relationships/hyperlink" Target="https://lh5.googleusercontent.com/d/1HpvlxjX3mX50Mwgs0QEaShP-lbkQPL1a" TargetMode="External"/><Relationship Id="rId1237" Type="http://schemas.openxmlformats.org/officeDocument/2006/relationships/hyperlink" Target="https://drive.google.com/file/d/1kSWxE86Z2qSgSCmCRNnsX0_BiXB7MX8j/view?usp=drivesdk" TargetMode="External"/><Relationship Id="rId1238" Type="http://schemas.openxmlformats.org/officeDocument/2006/relationships/hyperlink" Target="https://lh5.googleusercontent.com/d/1XHKqSezDX0cjkd3mUoY_JOlCP-f0pvqq" TargetMode="External"/><Relationship Id="rId1239" Type="http://schemas.openxmlformats.org/officeDocument/2006/relationships/hyperlink" Target="https://drive.google.com/file/d/1Ezhl9tHrcG6Uxyb1p9Y6TlrMR7SJ_UsY/view?usp=drivesdk" TargetMode="External"/><Relationship Id="rId409" Type="http://schemas.openxmlformats.org/officeDocument/2006/relationships/hyperlink" Target="https://lh5.googleusercontent.com/d/143-LkhTS_DllgTiJI2a5BZT3gGAs9JRY" TargetMode="External"/><Relationship Id="rId404" Type="http://schemas.openxmlformats.org/officeDocument/2006/relationships/hyperlink" Target="https://drive.google.com/file/d/1GGy3Hz4-TRNT9H132IWjmSfZbO8OWFv9/view?usp=drivesdk" TargetMode="External"/><Relationship Id="rId403" Type="http://schemas.openxmlformats.org/officeDocument/2006/relationships/hyperlink" Target="https://lh5.googleusercontent.com/d/1QNG8YJeXWGlNlUJ3p221NOFbk8Z8l3Dq" TargetMode="External"/><Relationship Id="rId402" Type="http://schemas.openxmlformats.org/officeDocument/2006/relationships/hyperlink" Target="https://drive.google.com/file/d/1zfut_iYxlh0mqakzmoBToc8gmr9qFENN/view?usp=drivesdk" TargetMode="External"/><Relationship Id="rId401" Type="http://schemas.openxmlformats.org/officeDocument/2006/relationships/hyperlink" Target="https://lh5.googleusercontent.com/d/1w7c9esaY07zySdVDomC4A3wtQymHMXpR" TargetMode="External"/><Relationship Id="rId408" Type="http://schemas.openxmlformats.org/officeDocument/2006/relationships/hyperlink" Target="https://drive.google.com/file/d/1FgguMOXTmhSYYh6B2-9XNO6i4GhFDhrj/view?usp=drivesdk" TargetMode="External"/><Relationship Id="rId407" Type="http://schemas.openxmlformats.org/officeDocument/2006/relationships/hyperlink" Target="https://lh5.googleusercontent.com/d/1pu9M0bMbPu7zHKhaUjqnBKSsLCrDI5w3" TargetMode="External"/><Relationship Id="rId406" Type="http://schemas.openxmlformats.org/officeDocument/2006/relationships/hyperlink" Target="https://drive.google.com/file/d/1hM_1TjJN3jCu_V-dczXjF4ReJCzPGJnU/view?usp=drivesdk" TargetMode="External"/><Relationship Id="rId405" Type="http://schemas.openxmlformats.org/officeDocument/2006/relationships/hyperlink" Target="https://lh5.googleusercontent.com/d/1yuRNcZqinyFXBhUekBwe2qVKwGJDvPtT" TargetMode="External"/><Relationship Id="rId1230" Type="http://schemas.openxmlformats.org/officeDocument/2006/relationships/hyperlink" Target="https://lh5.googleusercontent.com/d/1kucYZwcAeJXwRbHFE0HBPaPkn8b6gxXn" TargetMode="External"/><Relationship Id="rId400" Type="http://schemas.openxmlformats.org/officeDocument/2006/relationships/hyperlink" Target="https://drive.google.com/file/d/1MBdJoX1aDe3At6M77KZeLOWLFfKlNJrS/view?usp=drivesdk" TargetMode="External"/><Relationship Id="rId1231" Type="http://schemas.openxmlformats.org/officeDocument/2006/relationships/hyperlink" Target="https://drive.google.com/file/d/1HQxapq_7GidVrRYFIzy3ugwlRlOSzB0D/view?usp=drivesdk" TargetMode="External"/><Relationship Id="rId1232" Type="http://schemas.openxmlformats.org/officeDocument/2006/relationships/hyperlink" Target="https://lh5.googleusercontent.com/d/1lhtq1CLTDWg1N2Dnr5_5ailcyw_UYF66" TargetMode="External"/><Relationship Id="rId1233" Type="http://schemas.openxmlformats.org/officeDocument/2006/relationships/hyperlink" Target="https://drive.google.com/file/d/1IZW38ByAdDl-FX2A58oty4UzFxthVMhh/view?usp=drivesdk" TargetMode="External"/><Relationship Id="rId1234" Type="http://schemas.openxmlformats.org/officeDocument/2006/relationships/hyperlink" Target="https://lh5.googleusercontent.com/d/1FQPsGHFZeHgg4ajfk-bWcToMNjUzL4IM" TargetMode="External"/><Relationship Id="rId1224" Type="http://schemas.openxmlformats.org/officeDocument/2006/relationships/hyperlink" Target="https://lh5.googleusercontent.com/d/1pgtXiMPYOVOS4LEZQY0MvOglXpdV-92f" TargetMode="External"/><Relationship Id="rId1225" Type="http://schemas.openxmlformats.org/officeDocument/2006/relationships/hyperlink" Target="https://drive.google.com/file/d/1iUTMug6lLELg5QPeWydH8wtGt-AeCala/view?usp=drivesdk" TargetMode="External"/><Relationship Id="rId1226" Type="http://schemas.openxmlformats.org/officeDocument/2006/relationships/hyperlink" Target="https://lh5.googleusercontent.com/d/1Bt26tyh-KrQmrOHNk9GMUcorP5lOtkPa" TargetMode="External"/><Relationship Id="rId1227" Type="http://schemas.openxmlformats.org/officeDocument/2006/relationships/hyperlink" Target="https://drive.google.com/file/d/19-7uW9_ig_Yv1GQDIeo3s8b7AL0mT1xw/view?usp=drivesdk" TargetMode="External"/><Relationship Id="rId1228" Type="http://schemas.openxmlformats.org/officeDocument/2006/relationships/hyperlink" Target="https://lh5.googleusercontent.com/d/1DBxJkh_4NrTsD7bG9ND7S6HQ7jN7Zo7-" TargetMode="External"/><Relationship Id="rId1229" Type="http://schemas.openxmlformats.org/officeDocument/2006/relationships/hyperlink" Target="https://drive.google.com/file/d/1alprVD2L0RZg2fX4XxBcAREIgRFVBe-u/view?usp=drivesdk" TargetMode="External"/><Relationship Id="rId1220" Type="http://schemas.openxmlformats.org/officeDocument/2006/relationships/hyperlink" Target="https://lh5.googleusercontent.com/d/1G5ncu98oN4c9XI_WL8ScuyXt0ynHh-Xi" TargetMode="External"/><Relationship Id="rId1221" Type="http://schemas.openxmlformats.org/officeDocument/2006/relationships/hyperlink" Target="https://drive.google.com/file/d/1KYowGAxMWDXFwUvRf-kC94Y87fz6y7Ce/view?usp=drivesdk" TargetMode="External"/><Relationship Id="rId1222" Type="http://schemas.openxmlformats.org/officeDocument/2006/relationships/hyperlink" Target="https://lh5.googleusercontent.com/d/1-YyE3zxns5bOb9uf1_IrIhCYU6ChR58b" TargetMode="External"/><Relationship Id="rId1223" Type="http://schemas.openxmlformats.org/officeDocument/2006/relationships/hyperlink" Target="https://drive.google.com/file/d/1ACd2uUp2Zmr16WsTF6rhuI6eOQxxoe7l/view?usp=drivesdk" TargetMode="External"/><Relationship Id="rId469" Type="http://schemas.openxmlformats.org/officeDocument/2006/relationships/hyperlink" Target="https://lh5.googleusercontent.com/d/1U_iqrBcohHSL9tzAOhn5XlTN5HgxvfSN" TargetMode="External"/><Relationship Id="rId468" Type="http://schemas.openxmlformats.org/officeDocument/2006/relationships/hyperlink" Target="https://drive.google.com/file/d/1wPspcLBFUotCgmfMZESuLJKtv50ghqZ9/view?usp=drivesdk" TargetMode="External"/><Relationship Id="rId467" Type="http://schemas.openxmlformats.org/officeDocument/2006/relationships/hyperlink" Target="https://lh5.googleusercontent.com/d/1I5WNu6w_H_srlZgXwxy4sTrqpXFDsiDo" TargetMode="External"/><Relationship Id="rId1290" Type="http://schemas.openxmlformats.org/officeDocument/2006/relationships/hyperlink" Target="https://lh5.googleusercontent.com/d/1k7-by9mUojKk9EdcXB_xFaMlLGq2UJCL" TargetMode="External"/><Relationship Id="rId1291" Type="http://schemas.openxmlformats.org/officeDocument/2006/relationships/hyperlink" Target="https://drive.google.com/file/d/1dqeekviR4_xS4KIgbc3uh7gs2b2XvGIw/view?usp=drivesdk" TargetMode="External"/><Relationship Id="rId1292" Type="http://schemas.openxmlformats.org/officeDocument/2006/relationships/hyperlink" Target="https://lh5.googleusercontent.com/d/1rPeTkO7Fl4-t83-9kVtoW4Cx1uM-YFe-" TargetMode="External"/><Relationship Id="rId462" Type="http://schemas.openxmlformats.org/officeDocument/2006/relationships/hyperlink" Target="https://drive.google.com/file/d/1k7TgVLv3gdGSm0sBZRWlZrXoxOzjrcQr/view?usp=drivesdk" TargetMode="External"/><Relationship Id="rId1293" Type="http://schemas.openxmlformats.org/officeDocument/2006/relationships/hyperlink" Target="https://drive.google.com/file/d/1X_JGLNlXi4McGPXgQ8Q21zSqdXgBhYiL/view?usp=drivesdk" TargetMode="External"/><Relationship Id="rId461" Type="http://schemas.openxmlformats.org/officeDocument/2006/relationships/hyperlink" Target="https://lh5.googleusercontent.com/d/1XISlZQgfpFxfPxTBDhbMtfHS9JI1GU5b" TargetMode="External"/><Relationship Id="rId1294" Type="http://schemas.openxmlformats.org/officeDocument/2006/relationships/hyperlink" Target="https://lh5.googleusercontent.com/d/1vYf-B4zfY4FYwMDFBQ2V5wOKhZdcI5PL" TargetMode="External"/><Relationship Id="rId460" Type="http://schemas.openxmlformats.org/officeDocument/2006/relationships/hyperlink" Target="https://drive.google.com/file/d/11-aEeKMmB7HE5b5JATy5nY7qXrcs_M7d/view?usp=drivesdk" TargetMode="External"/><Relationship Id="rId1295" Type="http://schemas.openxmlformats.org/officeDocument/2006/relationships/hyperlink" Target="https://drive.google.com/file/d/1dC8P_Ot976iq7mKojz8hAzFMUsvENzsJ/view?usp=drivesdk" TargetMode="External"/><Relationship Id="rId1296" Type="http://schemas.openxmlformats.org/officeDocument/2006/relationships/hyperlink" Target="https://lh5.googleusercontent.com/d/1NWbl-wZqPk-4YoSKeivILE1G6h0OWRW8" TargetMode="External"/><Relationship Id="rId466" Type="http://schemas.openxmlformats.org/officeDocument/2006/relationships/hyperlink" Target="https://drive.google.com/file/d/1YVUxdLlc4fFnB1Ubq6Kt8VbECT6VkBZi/view?usp=drivesdk" TargetMode="External"/><Relationship Id="rId1297" Type="http://schemas.openxmlformats.org/officeDocument/2006/relationships/hyperlink" Target="https://drive.google.com/file/d/1kgBJRiOvQle3c-qAOwT18CLWh4Ek7t3d/view?usp=drivesdk" TargetMode="External"/><Relationship Id="rId465" Type="http://schemas.openxmlformats.org/officeDocument/2006/relationships/hyperlink" Target="https://lh5.googleusercontent.com/d/1iLpR9D3kligbjgdfLP5vrGYScUsEnkUq" TargetMode="External"/><Relationship Id="rId1298" Type="http://schemas.openxmlformats.org/officeDocument/2006/relationships/hyperlink" Target="https://lh5.googleusercontent.com/d/1jKF79xOWAJnLZOxh52jJ00Zffu1f2AnB" TargetMode="External"/><Relationship Id="rId464" Type="http://schemas.openxmlformats.org/officeDocument/2006/relationships/hyperlink" Target="https://drive.google.com/file/d/1Qm_qC5eAr3SxqnhvUJvjK4vNn6E7_jOR/view?usp=drivesdk" TargetMode="External"/><Relationship Id="rId1299" Type="http://schemas.openxmlformats.org/officeDocument/2006/relationships/hyperlink" Target="https://drive.google.com/file/d/1KbB0XtyqajRJyeO-d9bo32PMrv6HtmaH/view?usp=drivesdk" TargetMode="External"/><Relationship Id="rId463" Type="http://schemas.openxmlformats.org/officeDocument/2006/relationships/hyperlink" Target="https://lh5.googleusercontent.com/d/1VqIRyKfusVB8E7Oh4qx3OpVuuBT-rJ_8" TargetMode="External"/><Relationship Id="rId459" Type="http://schemas.openxmlformats.org/officeDocument/2006/relationships/hyperlink" Target="https://lh5.googleusercontent.com/d/1bQxv0Kic-r0rxVb8Wgo81Hywc3ctd307" TargetMode="External"/><Relationship Id="rId458" Type="http://schemas.openxmlformats.org/officeDocument/2006/relationships/hyperlink" Target="https://drive.google.com/file/d/1E2k9VLhKncGN8nPWwlrto2ajksRUZmOO/view?usp=drivesdk" TargetMode="External"/><Relationship Id="rId457" Type="http://schemas.openxmlformats.org/officeDocument/2006/relationships/hyperlink" Target="https://lh5.googleusercontent.com/d/1hzyM5ZI3VyYtselARUbr1h9DfCB7Vkd4" TargetMode="External"/><Relationship Id="rId456" Type="http://schemas.openxmlformats.org/officeDocument/2006/relationships/hyperlink" Target="https://drive.google.com/file/d/1xPRyxPfpz3ss5KMMqO2fVSPaTiaBdDWJ/view?usp=drivesdk" TargetMode="External"/><Relationship Id="rId1280" Type="http://schemas.openxmlformats.org/officeDocument/2006/relationships/hyperlink" Target="https://lh5.googleusercontent.com/d/1kd_LEGoa8xgpNRc2EJho5v386EX6aTRn" TargetMode="External"/><Relationship Id="rId1281" Type="http://schemas.openxmlformats.org/officeDocument/2006/relationships/hyperlink" Target="https://drive.google.com/file/d/1Qqq-Pg-7UG1zoMFwVjaCZKYUvOcSB5fw/view?usp=drivesdk" TargetMode="External"/><Relationship Id="rId451" Type="http://schemas.openxmlformats.org/officeDocument/2006/relationships/hyperlink" Target="https://lh5.googleusercontent.com/d/1akCO02fnft8S0SC0YJ-PPof-mFqtYsgd" TargetMode="External"/><Relationship Id="rId1282" Type="http://schemas.openxmlformats.org/officeDocument/2006/relationships/hyperlink" Target="https://lh5.googleusercontent.com/d/1fwQPTLFmdS2i-VZAJqA9okX1oXLhOtN9" TargetMode="External"/><Relationship Id="rId450" Type="http://schemas.openxmlformats.org/officeDocument/2006/relationships/hyperlink" Target="https://drive.google.com/file/d/1N5FzNQrpSW8OCYMX3zMRC-MFC_8t5CGi/view?usp=drivesdk" TargetMode="External"/><Relationship Id="rId1283" Type="http://schemas.openxmlformats.org/officeDocument/2006/relationships/hyperlink" Target="https://drive.google.com/file/d/14o-BImYmGXGYBesAZU7TAoBNpVmmrOZR/view?usp=drivesdk" TargetMode="External"/><Relationship Id="rId1284" Type="http://schemas.openxmlformats.org/officeDocument/2006/relationships/hyperlink" Target="https://lh5.googleusercontent.com/d/1XZxn0uv_t3ULARSSEDTpKnJrmUxzu08m" TargetMode="External"/><Relationship Id="rId1285" Type="http://schemas.openxmlformats.org/officeDocument/2006/relationships/hyperlink" Target="https://drive.google.com/file/d/1V6Cu_1U4lWvVLqiD7szGJfTPq7WdF5cF/view?usp=drivesdk" TargetMode="External"/><Relationship Id="rId455" Type="http://schemas.openxmlformats.org/officeDocument/2006/relationships/hyperlink" Target="https://lh5.googleusercontent.com/d/1aQtPtbAY61Xa21QwO3ly-dn6pixm8FN1" TargetMode="External"/><Relationship Id="rId1286" Type="http://schemas.openxmlformats.org/officeDocument/2006/relationships/hyperlink" Target="https://lh5.googleusercontent.com/d/1j6LT1iBKy8v962Ts71itPuxuzs0Pm9pb" TargetMode="External"/><Relationship Id="rId454" Type="http://schemas.openxmlformats.org/officeDocument/2006/relationships/hyperlink" Target="https://drive.google.com/file/d/1mwAV6zI4nbxZyWn65po6BkwQoDjPut89/view?usp=drivesdk" TargetMode="External"/><Relationship Id="rId1287" Type="http://schemas.openxmlformats.org/officeDocument/2006/relationships/hyperlink" Target="https://drive.google.com/file/d/1IGW8iF3sybqTyNN5OCREasxXsHfbAxyC/view?usp=drivesdk" TargetMode="External"/><Relationship Id="rId453" Type="http://schemas.openxmlformats.org/officeDocument/2006/relationships/hyperlink" Target="https://lh5.googleusercontent.com/d/1Rl-aezzxwbv7wO1c8LcEPII4uugnnHdg" TargetMode="External"/><Relationship Id="rId1288" Type="http://schemas.openxmlformats.org/officeDocument/2006/relationships/hyperlink" Target="https://lh5.googleusercontent.com/d/1jEV1zn_w5vJo3H1XkIvu0FSUrbM55Idz" TargetMode="External"/><Relationship Id="rId452" Type="http://schemas.openxmlformats.org/officeDocument/2006/relationships/hyperlink" Target="https://drive.google.com/file/d/17ogM1w_MCBJVvEe8fRMBWsjTYbiP9G9z/view?usp=drivesdk" TargetMode="External"/><Relationship Id="rId1289" Type="http://schemas.openxmlformats.org/officeDocument/2006/relationships/hyperlink" Target="https://drive.google.com/file/d/18jCNvy4qo3fgs3V5yRZV4j4Hckvvk8BS/view?usp=drivesdk" TargetMode="External"/><Relationship Id="rId491" Type="http://schemas.openxmlformats.org/officeDocument/2006/relationships/hyperlink" Target="https://lh5.googleusercontent.com/d/1DM7tbOya2r1hMyR2hqX7TbihGGCQB62O" TargetMode="External"/><Relationship Id="rId490" Type="http://schemas.openxmlformats.org/officeDocument/2006/relationships/hyperlink" Target="https://drive.google.com/file/d/1jHRKCyR0mgwUnl2WMvEbpNxs5f7t1iLv/view?usp=drivesdk" TargetMode="External"/><Relationship Id="rId489" Type="http://schemas.openxmlformats.org/officeDocument/2006/relationships/hyperlink" Target="https://lh5.googleusercontent.com/d/1OTvKqvqncb351-LkB-r2HM2ffo7I7_ew" TargetMode="External"/><Relationship Id="rId484" Type="http://schemas.openxmlformats.org/officeDocument/2006/relationships/hyperlink" Target="https://drive.google.com/file/d/1qiTbsCfHSQ3lE-sa9BjQQoJbwCNfLadO/view?usp=drivesdk" TargetMode="External"/><Relationship Id="rId483" Type="http://schemas.openxmlformats.org/officeDocument/2006/relationships/hyperlink" Target="https://lh5.googleusercontent.com/d/1-_Xcz6aZuOIQUxIXZgeTU2Q9E7COTlE3" TargetMode="External"/><Relationship Id="rId482" Type="http://schemas.openxmlformats.org/officeDocument/2006/relationships/hyperlink" Target="https://drive.google.com/file/d/12gF70yEGn2Unkc5E0sHb1Jg0NgmwKSsT/view?usp=drivesdk" TargetMode="External"/><Relationship Id="rId481" Type="http://schemas.openxmlformats.org/officeDocument/2006/relationships/hyperlink" Target="https://lh5.googleusercontent.com/d/1OVwJxOMc48wl9Y9K8YO3p5IYL2fc0aLY" TargetMode="External"/><Relationship Id="rId488" Type="http://schemas.openxmlformats.org/officeDocument/2006/relationships/hyperlink" Target="https://drive.google.com/file/d/1uCZUWHBi4nusETdEIPLhF8Ve2Ncv_7VS/view?usp=drivesdk" TargetMode="External"/><Relationship Id="rId487" Type="http://schemas.openxmlformats.org/officeDocument/2006/relationships/hyperlink" Target="https://lh5.googleusercontent.com/d/1c6lrGGvHqOFjVArRF-FvsPhfLTgAZqEU" TargetMode="External"/><Relationship Id="rId486" Type="http://schemas.openxmlformats.org/officeDocument/2006/relationships/hyperlink" Target="https://drive.google.com/file/d/1SVQVP9KxSxzf5HahgnbzXeU2pXSeftPQ/view?usp=drivesdk" TargetMode="External"/><Relationship Id="rId485" Type="http://schemas.openxmlformats.org/officeDocument/2006/relationships/hyperlink" Target="https://lh5.googleusercontent.com/d/1DNf6PUVr0oEpMddmV2eX93vA5V99QKP0" TargetMode="External"/><Relationship Id="rId480" Type="http://schemas.openxmlformats.org/officeDocument/2006/relationships/hyperlink" Target="https://drive.google.com/file/d/1pYVZEUxr6rRv38Rz9lDaVrWlNcJoqdU3/view?usp=drivesdk" TargetMode="External"/><Relationship Id="rId479" Type="http://schemas.openxmlformats.org/officeDocument/2006/relationships/hyperlink" Target="https://lh5.googleusercontent.com/d/1lSfJlv3pCr14oFa8TaD0r0mM2_nA2c9u" TargetMode="External"/><Relationship Id="rId478" Type="http://schemas.openxmlformats.org/officeDocument/2006/relationships/hyperlink" Target="https://drive.google.com/file/d/1m8KW8XM5Zl887U5l3vKa3ceJ9YwBAJV0/view?usp=drivesdk" TargetMode="External"/><Relationship Id="rId473" Type="http://schemas.openxmlformats.org/officeDocument/2006/relationships/hyperlink" Target="https://lh5.googleusercontent.com/d/11OpGpCnYS3_6NxErZnLShg-BPF_A-Tou" TargetMode="External"/><Relationship Id="rId472" Type="http://schemas.openxmlformats.org/officeDocument/2006/relationships/hyperlink" Target="https://drive.google.com/file/d/1Ju3Wir8KgBut4UHbX3Aly6rbpR4o_5Pm/view?usp=drivesdk" TargetMode="External"/><Relationship Id="rId471" Type="http://schemas.openxmlformats.org/officeDocument/2006/relationships/hyperlink" Target="https://lh5.googleusercontent.com/d/1Fli1w-SQsVfL_23ouDrEdVpdJmS3il9r" TargetMode="External"/><Relationship Id="rId470" Type="http://schemas.openxmlformats.org/officeDocument/2006/relationships/hyperlink" Target="https://drive.google.com/file/d/1jWLZtf029Y7XUZPC1HFG5GiY2HAeXput/view?usp=drivesdk" TargetMode="External"/><Relationship Id="rId477" Type="http://schemas.openxmlformats.org/officeDocument/2006/relationships/hyperlink" Target="https://lh5.googleusercontent.com/d/1BBaBUu3ChjHgysKlzCcfj1bFUewcecfl" TargetMode="External"/><Relationship Id="rId476" Type="http://schemas.openxmlformats.org/officeDocument/2006/relationships/hyperlink" Target="https://drive.google.com/file/d/1R5KqYhLPJg3CUkvhubJrYOFPjWfneR0Q/view?usp=drivesdk" TargetMode="External"/><Relationship Id="rId475" Type="http://schemas.openxmlformats.org/officeDocument/2006/relationships/hyperlink" Target="https://lh5.googleusercontent.com/d/1F2jfmgT3vd7qP5vznfUmdgqm8862fCKC" TargetMode="External"/><Relationship Id="rId474" Type="http://schemas.openxmlformats.org/officeDocument/2006/relationships/hyperlink" Target="https://drive.google.com/file/d/1En0me2x6arXMk7ThvSgjIFr8aUIrgqI4/view?usp=drivesdk" TargetMode="External"/><Relationship Id="rId1257" Type="http://schemas.openxmlformats.org/officeDocument/2006/relationships/hyperlink" Target="https://drive.google.com/file/d/1VtYhmuMQoWUgi-m-ANHtyHrUS0B126_t/view?usp=drivesdk" TargetMode="External"/><Relationship Id="rId1258" Type="http://schemas.openxmlformats.org/officeDocument/2006/relationships/hyperlink" Target="https://lh5.googleusercontent.com/d/1eYI7qj-FnxmPuWIyOFry3ZxJZBfjd853" TargetMode="External"/><Relationship Id="rId1259" Type="http://schemas.openxmlformats.org/officeDocument/2006/relationships/hyperlink" Target="https://drive.google.com/file/d/1rWMfUuhiVyZm9LFQIFRkEHlfIv_9v_bg/view?usp=drivesdk" TargetMode="External"/><Relationship Id="rId426" Type="http://schemas.openxmlformats.org/officeDocument/2006/relationships/hyperlink" Target="https://drive.google.com/file/d/1JY-49Hgsl0yNWLFdXUzHkpFCXcOY8Zqu/view?usp=drivesdk" TargetMode="External"/><Relationship Id="rId425" Type="http://schemas.openxmlformats.org/officeDocument/2006/relationships/hyperlink" Target="https://lh5.googleusercontent.com/d/1bl4PHdzu91fXwS_mH4vojH_ulZ56uljJ" TargetMode="External"/><Relationship Id="rId424" Type="http://schemas.openxmlformats.org/officeDocument/2006/relationships/hyperlink" Target="https://drive.google.com/file/d/1Ttz8CP0m9nJnqsVe68cw0mvB5SglSH8s/view?usp=drivesdk" TargetMode="External"/><Relationship Id="rId423" Type="http://schemas.openxmlformats.org/officeDocument/2006/relationships/hyperlink" Target="https://lh5.googleusercontent.com/d/1n6UF7HA55tP2_LjGoMMzc_x9Cwsk6YEd" TargetMode="External"/><Relationship Id="rId429" Type="http://schemas.openxmlformats.org/officeDocument/2006/relationships/hyperlink" Target="https://lh5.googleusercontent.com/d/1sjD8jpykkg_sdfcjbLp_PFOo9N34Ek1i" TargetMode="External"/><Relationship Id="rId428" Type="http://schemas.openxmlformats.org/officeDocument/2006/relationships/hyperlink" Target="https://drive.google.com/file/d/1R4Zg09bdZHl9LQBa9QdDDeSR68UnUv7M/view?usp=drivesdk" TargetMode="External"/><Relationship Id="rId427" Type="http://schemas.openxmlformats.org/officeDocument/2006/relationships/hyperlink" Target="https://lh5.googleusercontent.com/d/128b6wnZwMakcRIuuKCuWsS1DwHBNO0K4" TargetMode="External"/><Relationship Id="rId1250" Type="http://schemas.openxmlformats.org/officeDocument/2006/relationships/hyperlink" Target="https://lh5.googleusercontent.com/d/1sDs8jYFq2J6WW4VUpqjc__UmP2dHWAyZ" TargetMode="External"/><Relationship Id="rId1251" Type="http://schemas.openxmlformats.org/officeDocument/2006/relationships/hyperlink" Target="https://drive.google.com/file/d/1RwV9HsLB8ycuNRRAOXR-Q0JZZdIX-8KE/view?usp=drivesdk" TargetMode="External"/><Relationship Id="rId1252" Type="http://schemas.openxmlformats.org/officeDocument/2006/relationships/hyperlink" Target="https://lh5.googleusercontent.com/d/1rpF9HbnOgjFmqh0o-eH2DBj0yrO2HbuH" TargetMode="External"/><Relationship Id="rId422" Type="http://schemas.openxmlformats.org/officeDocument/2006/relationships/hyperlink" Target="https://drive.google.com/file/d/1eFsbZTH1XeS1keFniveoN7OnyiAJ_LIg/view?usp=drivesdk" TargetMode="External"/><Relationship Id="rId1253" Type="http://schemas.openxmlformats.org/officeDocument/2006/relationships/hyperlink" Target="https://drive.google.com/file/d/11MEb_y2Vx82l0SX4bkSyKdNZaWBsCko8/view?usp=drivesdk" TargetMode="External"/><Relationship Id="rId421" Type="http://schemas.openxmlformats.org/officeDocument/2006/relationships/hyperlink" Target="https://lh5.googleusercontent.com/d/10mHdUa_1Y_XAg02msq2nXBobPdgoC6bI" TargetMode="External"/><Relationship Id="rId1254" Type="http://schemas.openxmlformats.org/officeDocument/2006/relationships/hyperlink" Target="https://lh5.googleusercontent.com/d/12imeSC-mi0EcogvyKlUIRmp6qSsp4rZq" TargetMode="External"/><Relationship Id="rId420" Type="http://schemas.openxmlformats.org/officeDocument/2006/relationships/hyperlink" Target="https://drive.google.com/file/d/1QPktD7IIT-JaV1FJiQgS5L2cOuGD8FXX/view?usp=drivesdk" TargetMode="External"/><Relationship Id="rId1255" Type="http://schemas.openxmlformats.org/officeDocument/2006/relationships/hyperlink" Target="https://drive.google.com/file/d/1LL8cmDZ6GeTy2DjtScXpGMhBtznXCjG5/view?usp=drivesdk" TargetMode="External"/><Relationship Id="rId1256" Type="http://schemas.openxmlformats.org/officeDocument/2006/relationships/hyperlink" Target="https://lh5.googleusercontent.com/d/1od_eT-C2K7ayjP2ufjHFCg3ODuQiSW-e" TargetMode="External"/><Relationship Id="rId1246" Type="http://schemas.openxmlformats.org/officeDocument/2006/relationships/hyperlink" Target="https://lh5.googleusercontent.com/d/13JDwn0spOWGGAxiTJJBYPeh2lVjaoFN_" TargetMode="External"/><Relationship Id="rId1247" Type="http://schemas.openxmlformats.org/officeDocument/2006/relationships/hyperlink" Target="https://drive.google.com/file/d/1zl9SCnBViNoDcSRQWzxIKtJqsqFcGdj5/view?usp=drivesdk" TargetMode="External"/><Relationship Id="rId1248" Type="http://schemas.openxmlformats.org/officeDocument/2006/relationships/hyperlink" Target="https://lh5.googleusercontent.com/d/1_qGJEaWHBC-6ybh-gcWNllX4rE22fyyK" TargetMode="External"/><Relationship Id="rId1249" Type="http://schemas.openxmlformats.org/officeDocument/2006/relationships/hyperlink" Target="https://drive.google.com/file/d/1Ji3yLrCe8yeyCyROcf9_ugQEofjiam-m/view?usp=drivesdk" TargetMode="External"/><Relationship Id="rId415" Type="http://schemas.openxmlformats.org/officeDocument/2006/relationships/hyperlink" Target="https://lh5.googleusercontent.com/d/1shMt8uCJHV8e1GZkRtBCkgz09zPX9T_T" TargetMode="External"/><Relationship Id="rId414" Type="http://schemas.openxmlformats.org/officeDocument/2006/relationships/hyperlink" Target="https://drive.google.com/file/d/1RYqq3QfCh0D9Jaq2wHyWks1_tz0PBy02/view?usp=drivesdk" TargetMode="External"/><Relationship Id="rId413" Type="http://schemas.openxmlformats.org/officeDocument/2006/relationships/hyperlink" Target="https://lh5.googleusercontent.com/d/1zN9JE-nlVIfho3Psixj_zsnn3mqyiKQR" TargetMode="External"/><Relationship Id="rId412" Type="http://schemas.openxmlformats.org/officeDocument/2006/relationships/hyperlink" Target="https://drive.google.com/file/d/1eB_vWDwr1Zf7fEMXjR64-nh65eP4868W/view?usp=drivesdk" TargetMode="External"/><Relationship Id="rId419" Type="http://schemas.openxmlformats.org/officeDocument/2006/relationships/hyperlink" Target="https://lh5.googleusercontent.com/d/1G6eb-WptWDUDLVXiZZp6UfmOEviwkyrS" TargetMode="External"/><Relationship Id="rId418" Type="http://schemas.openxmlformats.org/officeDocument/2006/relationships/hyperlink" Target="https://drive.google.com/file/d/1xBqtnR04mbIZ8gKh53hf7-DILBmN0HIc/view?usp=drivesdk" TargetMode="External"/><Relationship Id="rId417" Type="http://schemas.openxmlformats.org/officeDocument/2006/relationships/hyperlink" Target="https://lh5.googleusercontent.com/d/1ekgBZ34yy4KgPGTOJIaLfP-WaDEpuwJP" TargetMode="External"/><Relationship Id="rId416" Type="http://schemas.openxmlformats.org/officeDocument/2006/relationships/hyperlink" Target="https://drive.google.com/file/d/1_OOLVFBNC5yax6EQwpkxud1UXB8O6oLe/view?usp=drivesdk" TargetMode="External"/><Relationship Id="rId1240" Type="http://schemas.openxmlformats.org/officeDocument/2006/relationships/hyperlink" Target="https://lh5.googleusercontent.com/d/1K14lJPiU8_15hEbYtnaamQypm0C___It" TargetMode="External"/><Relationship Id="rId1241" Type="http://schemas.openxmlformats.org/officeDocument/2006/relationships/hyperlink" Target="https://drive.google.com/file/d/1bC4QDE3rIyj5Br3yoJwE2rDbo51mYdGI/view?usp=drivesdk" TargetMode="External"/><Relationship Id="rId411" Type="http://schemas.openxmlformats.org/officeDocument/2006/relationships/hyperlink" Target="https://lh5.googleusercontent.com/d/167vDN-i1azHlyrf662zeuCtKMi0uhxem" TargetMode="External"/><Relationship Id="rId1242" Type="http://schemas.openxmlformats.org/officeDocument/2006/relationships/hyperlink" Target="https://lh5.googleusercontent.com/d/1IWHX3MJU6NS_L6H2JMFqROtbjt_xCFVm" TargetMode="External"/><Relationship Id="rId410" Type="http://schemas.openxmlformats.org/officeDocument/2006/relationships/hyperlink" Target="https://drive.google.com/file/d/1V66PJYb7OtC0VjPreHLEQgEQ6RtN4JXO/view?usp=drivesdk" TargetMode="External"/><Relationship Id="rId1243" Type="http://schemas.openxmlformats.org/officeDocument/2006/relationships/hyperlink" Target="https://drive.google.com/file/d/16T8JFsFOJ9oFj1_cFEACWBHC5Cf4TTkQ/view?usp=drivesdk" TargetMode="External"/><Relationship Id="rId1244" Type="http://schemas.openxmlformats.org/officeDocument/2006/relationships/hyperlink" Target="https://lh5.googleusercontent.com/d/1zTLJwZuFT2jGjV1g6whx3skKZarURvRf" TargetMode="External"/><Relationship Id="rId1245" Type="http://schemas.openxmlformats.org/officeDocument/2006/relationships/hyperlink" Target="https://drive.google.com/file/d/1J6EM5yRMHCsDQ0jeuhvdHntRg1qQSNIX/view?usp=drivesdk" TargetMode="External"/><Relationship Id="rId1279" Type="http://schemas.openxmlformats.org/officeDocument/2006/relationships/hyperlink" Target="https://drive.google.com/file/d/1qUKvGpDxhMm4zSaKzZUU-7423JO3U2fa/view?usp=drivesdk" TargetMode="External"/><Relationship Id="rId448" Type="http://schemas.openxmlformats.org/officeDocument/2006/relationships/hyperlink" Target="https://drive.google.com/file/d/1m5co3CqI9PsaqrSw3uxYz1LbcOhM03yD/view?usp=drivesdk" TargetMode="External"/><Relationship Id="rId447" Type="http://schemas.openxmlformats.org/officeDocument/2006/relationships/hyperlink" Target="https://lh5.googleusercontent.com/d/10x0WKBZRm9o8OuHS3Q0li3dluUWIjkeu" TargetMode="External"/><Relationship Id="rId446" Type="http://schemas.openxmlformats.org/officeDocument/2006/relationships/hyperlink" Target="https://drive.google.com/file/d/1sr8W7vWUi_dep8n2_j2kDUmbrR6XZ4pd/view?usp=drivesdk" TargetMode="External"/><Relationship Id="rId445" Type="http://schemas.openxmlformats.org/officeDocument/2006/relationships/hyperlink" Target="https://lh5.googleusercontent.com/d/1w8Iz6ETKFQbjouP7ExKdXNYyGTUqs_fk" TargetMode="External"/><Relationship Id="rId449" Type="http://schemas.openxmlformats.org/officeDocument/2006/relationships/hyperlink" Target="https://lh5.googleusercontent.com/d/1THsUuFRRF-6GEXQOUwBzJy1Ill1Gmq9h" TargetMode="External"/><Relationship Id="rId1270" Type="http://schemas.openxmlformats.org/officeDocument/2006/relationships/hyperlink" Target="https://lh5.googleusercontent.com/d/16-NuhY3kNnhRTYiY588OMb23-HN1M7YD" TargetMode="External"/><Relationship Id="rId440" Type="http://schemas.openxmlformats.org/officeDocument/2006/relationships/hyperlink" Target="https://drive.google.com/file/d/1kF9Kl1pVvkigwgQ0GFYYmMnS2W99qQCm/view?usp=drivesdk" TargetMode="External"/><Relationship Id="rId1271" Type="http://schemas.openxmlformats.org/officeDocument/2006/relationships/hyperlink" Target="https://drive.google.com/file/d/1mdpyzCfFLNlOhPLi6_T9hQ-75b64XK0B/view?usp=drivesdk" TargetMode="External"/><Relationship Id="rId1272" Type="http://schemas.openxmlformats.org/officeDocument/2006/relationships/hyperlink" Target="https://lh5.googleusercontent.com/d/1zmCvbCSKltybFJliWJYDUtPuTjndwvlB" TargetMode="External"/><Relationship Id="rId1273" Type="http://schemas.openxmlformats.org/officeDocument/2006/relationships/hyperlink" Target="https://drive.google.com/file/d/1kBUq8qXGNzaAA-X1fxg_vyeJhzklJkzJ/view?usp=drivesdk" TargetMode="External"/><Relationship Id="rId1274" Type="http://schemas.openxmlformats.org/officeDocument/2006/relationships/hyperlink" Target="https://lh5.googleusercontent.com/d/1hz9yoQfdixLvUfh9C_-Y0jAMEMZmQUQ2" TargetMode="External"/><Relationship Id="rId444" Type="http://schemas.openxmlformats.org/officeDocument/2006/relationships/hyperlink" Target="https://drive.google.com/file/d/1OXBMFusmTPdgGTvxF8YFAuqAOmk-h-RH/view?usp=drivesdk" TargetMode="External"/><Relationship Id="rId1275" Type="http://schemas.openxmlformats.org/officeDocument/2006/relationships/hyperlink" Target="https://drive.google.com/file/d/1Z14gMGeFypeLoS73st3e68oN5ifMRWKs/view?usp=drivesdk" TargetMode="External"/><Relationship Id="rId443" Type="http://schemas.openxmlformats.org/officeDocument/2006/relationships/hyperlink" Target="https://lh5.googleusercontent.com/d/1nJbRbB6BCHKAw53bNM8EW4iBHGjiPGtt" TargetMode="External"/><Relationship Id="rId1276" Type="http://schemas.openxmlformats.org/officeDocument/2006/relationships/hyperlink" Target="https://lh5.googleusercontent.com/d/1PHut-9rG2UUg3HBU2oyyYXapAgTA6kky" TargetMode="External"/><Relationship Id="rId442" Type="http://schemas.openxmlformats.org/officeDocument/2006/relationships/hyperlink" Target="https://drive.google.com/file/d/1uvPY0NMitAm9xa3RcRJtiJouDMMi57zI/view?usp=drivesdk" TargetMode="External"/><Relationship Id="rId1277" Type="http://schemas.openxmlformats.org/officeDocument/2006/relationships/hyperlink" Target="https://drive.google.com/file/d/1ADEjcKRDSYS96Tc3GCr7rf38TRrlRquP/view?usp=drivesdk" TargetMode="External"/><Relationship Id="rId441" Type="http://schemas.openxmlformats.org/officeDocument/2006/relationships/hyperlink" Target="https://lh5.googleusercontent.com/d/1j3WKrbLKZ5MZxTvmql8oxWXCDyDoXkVx" TargetMode="External"/><Relationship Id="rId1278" Type="http://schemas.openxmlformats.org/officeDocument/2006/relationships/hyperlink" Target="https://lh5.googleusercontent.com/d/1N5AX1Z5XnfCvYkjVet20fAhASidnJJ6i" TargetMode="External"/><Relationship Id="rId1268" Type="http://schemas.openxmlformats.org/officeDocument/2006/relationships/hyperlink" Target="https://lh5.googleusercontent.com/d/1jTOcc5sPghj_YcCYWn86eQ9YicsZpUay" TargetMode="External"/><Relationship Id="rId1269" Type="http://schemas.openxmlformats.org/officeDocument/2006/relationships/hyperlink" Target="https://drive.google.com/file/d/1S1IznFWYIJZRAsOFrpwQeDAijcy8Tde6/view?usp=drivesdk" TargetMode="External"/><Relationship Id="rId437" Type="http://schemas.openxmlformats.org/officeDocument/2006/relationships/hyperlink" Target="https://lh5.googleusercontent.com/d/1EcAjV4ArKxSB5iuH3sV0RMPt-VTvX2vW" TargetMode="External"/><Relationship Id="rId436" Type="http://schemas.openxmlformats.org/officeDocument/2006/relationships/hyperlink" Target="https://drive.google.com/file/d/1v1eB7pkh0hekBKma9DT-h8tE2Rbp5_Zi/view?usp=drivesdk" TargetMode="External"/><Relationship Id="rId435" Type="http://schemas.openxmlformats.org/officeDocument/2006/relationships/hyperlink" Target="https://lh5.googleusercontent.com/d/1bHDLXAVrpWXDZ3-ecFCasv2TjLmCo3l3" TargetMode="External"/><Relationship Id="rId434" Type="http://schemas.openxmlformats.org/officeDocument/2006/relationships/hyperlink" Target="https://drive.google.com/file/d/1MrKgs5ilKp6Fbii7FF21gXdWaJ2v_8ao/view?usp=drivesdk" TargetMode="External"/><Relationship Id="rId439" Type="http://schemas.openxmlformats.org/officeDocument/2006/relationships/hyperlink" Target="https://lh5.googleusercontent.com/d/1WP-nRLHZLcMdfLLqFf_xrPFv8wn4O1Vw" TargetMode="External"/><Relationship Id="rId438" Type="http://schemas.openxmlformats.org/officeDocument/2006/relationships/hyperlink" Target="https://drive.google.com/file/d/1AqbCI-P8i7qUpiFrwi9J3kKLy1IAMbkI/view?usp=drivesdk" TargetMode="External"/><Relationship Id="rId1260" Type="http://schemas.openxmlformats.org/officeDocument/2006/relationships/hyperlink" Target="https://lh5.googleusercontent.com/d/1ilo2lEbgwta_hH-0x9oBobhRs4vQXtp1" TargetMode="External"/><Relationship Id="rId1261" Type="http://schemas.openxmlformats.org/officeDocument/2006/relationships/hyperlink" Target="https://drive.google.com/file/d/1w2IIz_b_NwdvcWzSGY6UDRlx8OoyQy8R/view?usp=drivesdk" TargetMode="External"/><Relationship Id="rId1262" Type="http://schemas.openxmlformats.org/officeDocument/2006/relationships/hyperlink" Target="https://lh5.googleusercontent.com/d/1LMOW8SedSx-OZ3BlDK2nBtuQRzgO4dDY" TargetMode="External"/><Relationship Id="rId1263" Type="http://schemas.openxmlformats.org/officeDocument/2006/relationships/hyperlink" Target="https://drive.google.com/file/d/1dc5MHNsPXo2pXYZIq3kflnjmFV9WOK3M/view?usp=drivesdk" TargetMode="External"/><Relationship Id="rId433" Type="http://schemas.openxmlformats.org/officeDocument/2006/relationships/hyperlink" Target="https://lh5.googleusercontent.com/d/16rTYCooOPZB72-Ocm4u4Wpx-psRWMH2A" TargetMode="External"/><Relationship Id="rId1264" Type="http://schemas.openxmlformats.org/officeDocument/2006/relationships/hyperlink" Target="https://lh5.googleusercontent.com/d/1MCTATd1BhNm6oUFGQbOxHVhg8YdI_2KL" TargetMode="External"/><Relationship Id="rId432" Type="http://schemas.openxmlformats.org/officeDocument/2006/relationships/hyperlink" Target="https://drive.google.com/file/d/1Pv0CAYDmkRFL6VJnpK3IlEdKKFXNUoZj/view?usp=drivesdk" TargetMode="External"/><Relationship Id="rId1265" Type="http://schemas.openxmlformats.org/officeDocument/2006/relationships/hyperlink" Target="https://drive.google.com/file/d/1wPc3MC6ZO0LaNfChQ9_UW-QtcCRDbK7F/view?usp=drivesdk" TargetMode="External"/><Relationship Id="rId431" Type="http://schemas.openxmlformats.org/officeDocument/2006/relationships/hyperlink" Target="https://lh5.googleusercontent.com/d/1AnI0g6u-5fpM_zL2VF8_7U6SoF5E1bm4" TargetMode="External"/><Relationship Id="rId1266" Type="http://schemas.openxmlformats.org/officeDocument/2006/relationships/hyperlink" Target="https://lh5.googleusercontent.com/d/13tTeWS7e6X-obD1igkzpGvqI8AvD0NsT" TargetMode="External"/><Relationship Id="rId430" Type="http://schemas.openxmlformats.org/officeDocument/2006/relationships/hyperlink" Target="https://drive.google.com/file/d/1jRAgUIchQtFP3Xzl7Lz2UCh4d66M6U6t/view?usp=drivesdk" TargetMode="External"/><Relationship Id="rId1267" Type="http://schemas.openxmlformats.org/officeDocument/2006/relationships/hyperlink" Target="https://drive.google.com/file/d/1vtvrOFOuaakyjPpWMZhP89K8Wi8P5_cA/view?usp=drivesdk" TargetMode="External"/><Relationship Id="rId1" Type="http://schemas.openxmlformats.org/officeDocument/2006/relationships/hyperlink" Target="https://lh5.googleusercontent.com/d/1s5WxtqPQg-n0PN25slNUjo4mKha3_1N-" TargetMode="External"/><Relationship Id="rId2" Type="http://schemas.openxmlformats.org/officeDocument/2006/relationships/hyperlink" Target="https://drive.google.com/file/d/1114MCL4Ukk6P7wQUm-AmaMlPqlMkOPdU/view?usp=drivesdk" TargetMode="External"/><Relationship Id="rId3" Type="http://schemas.openxmlformats.org/officeDocument/2006/relationships/hyperlink" Target="https://lh5.googleusercontent.com/d/1wCujP2swHeSvMsDi7LtsLfDVax24DOK5" TargetMode="External"/><Relationship Id="rId4" Type="http://schemas.openxmlformats.org/officeDocument/2006/relationships/hyperlink" Target="https://drive.google.com/file/d/1SQ-NNmBq0-Sl8kKXyUX0HtTA3d5JIJmR/view?usp=drivesdk" TargetMode="External"/><Relationship Id="rId9" Type="http://schemas.openxmlformats.org/officeDocument/2006/relationships/hyperlink" Target="https://lh5.googleusercontent.com/d/1xL_mDKPzIoMoD6qpfGKDgCA9oUZzt2KY" TargetMode="External"/><Relationship Id="rId5" Type="http://schemas.openxmlformats.org/officeDocument/2006/relationships/hyperlink" Target="https://lh5.googleusercontent.com/d/1ghxn_dY5GWvTQbtMwEV_NK9K2aVe1m1W" TargetMode="External"/><Relationship Id="rId6" Type="http://schemas.openxmlformats.org/officeDocument/2006/relationships/hyperlink" Target="https://drive.google.com/file/d/1uoHQRJnz2_WsMX8vF3R2MpsuKRfX3Pzt/view?usp=drivesdk" TargetMode="External"/><Relationship Id="rId7" Type="http://schemas.openxmlformats.org/officeDocument/2006/relationships/hyperlink" Target="https://lh5.googleusercontent.com/d/1LKHQqWlo7xUIS0pL-DSNYIUf-GXdCvRR" TargetMode="External"/><Relationship Id="rId8" Type="http://schemas.openxmlformats.org/officeDocument/2006/relationships/hyperlink" Target="https://drive.google.com/file/d/1sjN3f7_n5zKAGAPQf3-CzIjCdeK8SOWy/view?usp=drivesdk" TargetMode="External"/><Relationship Id="rId808" Type="http://schemas.openxmlformats.org/officeDocument/2006/relationships/hyperlink" Target="https://lh5.googleusercontent.com/d/1_T0k7S7iIPBfZuj4W5KP3FX3Mas3OrrU" TargetMode="External"/><Relationship Id="rId807" Type="http://schemas.openxmlformats.org/officeDocument/2006/relationships/hyperlink" Target="https://drive.google.com/file/d/1D0NrWFn1o3X4BekcS7Ut50z305VA03vO/view?usp=drivesdk" TargetMode="External"/><Relationship Id="rId806" Type="http://schemas.openxmlformats.org/officeDocument/2006/relationships/hyperlink" Target="https://lh5.googleusercontent.com/d/1dFuZZmKFxhnvNOiAbfDePDdlgxNphUW-" TargetMode="External"/><Relationship Id="rId805" Type="http://schemas.openxmlformats.org/officeDocument/2006/relationships/hyperlink" Target="https://drive.google.com/file/d/15QH2vO40F2yrF8tnMcBScV6TYOLk4XT6/view?usp=drivesdk" TargetMode="External"/><Relationship Id="rId809" Type="http://schemas.openxmlformats.org/officeDocument/2006/relationships/hyperlink" Target="https://drive.google.com/file/d/1OP0HpxEQvUOHLCJTXWMquBcxTy4NwP9o/view?usp=drivesdk" TargetMode="External"/><Relationship Id="rId800" Type="http://schemas.openxmlformats.org/officeDocument/2006/relationships/hyperlink" Target="https://lh5.googleusercontent.com/d/1GOYrCrIMJwfbJzIUB5YVFcV6VOb6wIsS" TargetMode="External"/><Relationship Id="rId804" Type="http://schemas.openxmlformats.org/officeDocument/2006/relationships/hyperlink" Target="https://lh5.googleusercontent.com/d/1KW91nfmSzXhOrKyvULqpi_A7G6huLBCM" TargetMode="External"/><Relationship Id="rId803" Type="http://schemas.openxmlformats.org/officeDocument/2006/relationships/hyperlink" Target="https://drive.google.com/file/d/1cRbaqsyNFka_bGZQU2RwALFMMkGRFTDF/view?usp=drivesdk" TargetMode="External"/><Relationship Id="rId802" Type="http://schemas.openxmlformats.org/officeDocument/2006/relationships/hyperlink" Target="https://lh5.googleusercontent.com/d/13IV3wwm0MgYmClNkAG3yVpeowvvEYaVe" TargetMode="External"/><Relationship Id="rId801" Type="http://schemas.openxmlformats.org/officeDocument/2006/relationships/hyperlink" Target="https://drive.google.com/file/d/1GaUfm0Eeg-mYKyO4SPVVreqJPYgr-5UW/view?usp=drivesdk" TargetMode="External"/><Relationship Id="rId1334" Type="http://schemas.openxmlformats.org/officeDocument/2006/relationships/hyperlink" Target="https://lh5.googleusercontent.com/d/1MvMsggv4jNLx1Dq_ap1q1Q0KS37ngDN0" TargetMode="External"/><Relationship Id="rId1335" Type="http://schemas.openxmlformats.org/officeDocument/2006/relationships/hyperlink" Target="https://drive.google.com/file/d/1iCqqenW_ZWBL1XT55mn2tiPCb7EmdFe3/view?usp=drivesdk" TargetMode="External"/><Relationship Id="rId1336" Type="http://schemas.openxmlformats.org/officeDocument/2006/relationships/hyperlink" Target="https://lh5.googleusercontent.com/d/1aAhixaARuSNY_Fg-10y6UfJuTJlYotD8" TargetMode="External"/><Relationship Id="rId1337" Type="http://schemas.openxmlformats.org/officeDocument/2006/relationships/hyperlink" Target="https://drive.google.com/file/d/1j24Guvul8sRmXU6Fz_8GkOlSDwAsPRQv/view?usp=drivesdk" TargetMode="External"/><Relationship Id="rId1338" Type="http://schemas.openxmlformats.org/officeDocument/2006/relationships/hyperlink" Target="https://lh5.googleusercontent.com/d/1VeZn7Q1guXOHS948wlVFZe0u4oDiCTGh" TargetMode="External"/><Relationship Id="rId1339" Type="http://schemas.openxmlformats.org/officeDocument/2006/relationships/hyperlink" Target="https://drive.google.com/file/d/1bP2m4S2FuYluXTf29gL1WmMiOWgunlgI/view?usp=drivesdk" TargetMode="External"/><Relationship Id="rId745" Type="http://schemas.openxmlformats.org/officeDocument/2006/relationships/hyperlink" Target="https://drive.google.com/file/d/19IYwIDXLWWtBjH7ksGE5q6UzbvEr8V-M/view?usp=drivesdk" TargetMode="External"/><Relationship Id="rId744" Type="http://schemas.openxmlformats.org/officeDocument/2006/relationships/hyperlink" Target="https://lh5.googleusercontent.com/d/1txP0-zWGD_lgIOEEYDvtkHRTSa2uncvs" TargetMode="External"/><Relationship Id="rId743" Type="http://schemas.openxmlformats.org/officeDocument/2006/relationships/hyperlink" Target="https://drive.google.com/file/d/1pBnB6MEkCE8lf0HEKTU5_gOrD3YwV_aC/view?usp=drivesdk" TargetMode="External"/><Relationship Id="rId742" Type="http://schemas.openxmlformats.org/officeDocument/2006/relationships/hyperlink" Target="https://lh5.googleusercontent.com/d/14pqs431sEj8ify2CZgMxKCesjH5Filsz" TargetMode="External"/><Relationship Id="rId749" Type="http://schemas.openxmlformats.org/officeDocument/2006/relationships/hyperlink" Target="https://drive.google.com/file/d/1PSV0l4VnpcgHP5hVoSOK9p0bzAOVhjlB/view?usp=drivesdk" TargetMode="External"/><Relationship Id="rId748" Type="http://schemas.openxmlformats.org/officeDocument/2006/relationships/hyperlink" Target="https://lh5.googleusercontent.com/d/1mjKvBOwCL2pYuXC52Wp6d-SClmYWEQLE" TargetMode="External"/><Relationship Id="rId747" Type="http://schemas.openxmlformats.org/officeDocument/2006/relationships/hyperlink" Target="https://drive.google.com/file/d/1Sz89Ip3TP21qK_YUiLpFS67Utqpmf3bN/view?usp=drivesdk" TargetMode="External"/><Relationship Id="rId746" Type="http://schemas.openxmlformats.org/officeDocument/2006/relationships/hyperlink" Target="https://lh5.googleusercontent.com/d/1jZsw3Obj7zRVfI2ZVJFJv_5XHI9JZx93" TargetMode="External"/><Relationship Id="rId741" Type="http://schemas.openxmlformats.org/officeDocument/2006/relationships/hyperlink" Target="https://drive.google.com/file/d/1tXGCNh4dzQaXpWkk2Wllza9sGjjKPmtm/view?usp=drivesdk" TargetMode="External"/><Relationship Id="rId1330" Type="http://schemas.openxmlformats.org/officeDocument/2006/relationships/hyperlink" Target="https://lh5.googleusercontent.com/d/1e5Sn_a21OuyQVRJKic10lnCJc7dVe19p" TargetMode="External"/><Relationship Id="rId740" Type="http://schemas.openxmlformats.org/officeDocument/2006/relationships/hyperlink" Target="https://lh5.googleusercontent.com/d/1gH4y1uolsmfISPG1eIZzltA51rwSPKAV" TargetMode="External"/><Relationship Id="rId1331" Type="http://schemas.openxmlformats.org/officeDocument/2006/relationships/hyperlink" Target="https://drive.google.com/file/d/1CxAqRUQWIJGQL84W8WsJgQIRU2wUMaNO/view?usp=drivesdk" TargetMode="External"/><Relationship Id="rId1332" Type="http://schemas.openxmlformats.org/officeDocument/2006/relationships/hyperlink" Target="https://lh5.googleusercontent.com/d/1NWJXWLreU3mJ-2TTC4fJfOa1fj1qrtCX" TargetMode="External"/><Relationship Id="rId1333" Type="http://schemas.openxmlformats.org/officeDocument/2006/relationships/hyperlink" Target="https://drive.google.com/file/d/1dIiwNdtV3y_gTLEg54NdAqhCmawx19_l/view?usp=drivesdk" TargetMode="External"/><Relationship Id="rId1323" Type="http://schemas.openxmlformats.org/officeDocument/2006/relationships/hyperlink" Target="https://drive.google.com/file/d/1EVYrO7sE-udZWUFJqL-1_jSpeU9UzgrR/view?usp=drivesdk" TargetMode="External"/><Relationship Id="rId1324" Type="http://schemas.openxmlformats.org/officeDocument/2006/relationships/hyperlink" Target="https://lh5.googleusercontent.com/d/1JvDrY9RQ7u-luqEisd19XWvKcP1VJ8LG" TargetMode="External"/><Relationship Id="rId1325" Type="http://schemas.openxmlformats.org/officeDocument/2006/relationships/hyperlink" Target="https://drive.google.com/file/d/1zdXSpPf2nf7CGtT10EE42zfXKe519Hob/view?usp=drivesdk" TargetMode="External"/><Relationship Id="rId1326" Type="http://schemas.openxmlformats.org/officeDocument/2006/relationships/hyperlink" Target="https://lh5.googleusercontent.com/d/1aDz16DC5eoF8BLD76P0ULYaTXC1K7CeW" TargetMode="External"/><Relationship Id="rId1327" Type="http://schemas.openxmlformats.org/officeDocument/2006/relationships/hyperlink" Target="https://drive.google.com/file/d/1VcAtXdxWNf6Fo1OooefyhyM_HobfiQg6/view?usp=drivesdk" TargetMode="External"/><Relationship Id="rId1328" Type="http://schemas.openxmlformats.org/officeDocument/2006/relationships/hyperlink" Target="https://lh5.googleusercontent.com/d/1rkpzd3P0QMlRyHhgmM-VT4wkXRUyQ83A" TargetMode="External"/><Relationship Id="rId1329" Type="http://schemas.openxmlformats.org/officeDocument/2006/relationships/hyperlink" Target="https://drive.google.com/file/d/1LMTgE9mUvaVwwQmXbo9kd1XgxdHXIhw1/view?usp=drivesdk" TargetMode="External"/><Relationship Id="rId739" Type="http://schemas.openxmlformats.org/officeDocument/2006/relationships/hyperlink" Target="https://drive.google.com/file/d/1F6KhtBUDqEqiTG_SDiEoxLTMZTZ7EVM5/view?usp=drivesdk" TargetMode="External"/><Relationship Id="rId734" Type="http://schemas.openxmlformats.org/officeDocument/2006/relationships/hyperlink" Target="https://lh5.googleusercontent.com/d/17XWPFqmCwia-N_6wDraHR97EGR8PAIoR" TargetMode="External"/><Relationship Id="rId733" Type="http://schemas.openxmlformats.org/officeDocument/2006/relationships/hyperlink" Target="https://drive.google.com/file/d/1hWC9XFoZjBv2IvX7Z-G1jH7fQNzwcOVx/view?usp=drivesdk" TargetMode="External"/><Relationship Id="rId732" Type="http://schemas.openxmlformats.org/officeDocument/2006/relationships/hyperlink" Target="https://lh5.googleusercontent.com/d/161jPSZBUGpYyQT14rcKofTGXbdm0-xYu" TargetMode="External"/><Relationship Id="rId731" Type="http://schemas.openxmlformats.org/officeDocument/2006/relationships/hyperlink" Target="https://drive.google.com/file/d/1j0L8JdmRID-FId_eo1aXrs_d5VuWMOcd/view?usp=drivesdk" TargetMode="External"/><Relationship Id="rId738" Type="http://schemas.openxmlformats.org/officeDocument/2006/relationships/hyperlink" Target="https://lh5.googleusercontent.com/d/1R4WwJ1u3vOyfSFKWLrUdmDQ6RH791UYa" TargetMode="External"/><Relationship Id="rId737" Type="http://schemas.openxmlformats.org/officeDocument/2006/relationships/hyperlink" Target="https://drive.google.com/file/d/1dXuqcYBj4YtoVD-afha9OVwo9MHpOr06/view?usp=drivesdk" TargetMode="External"/><Relationship Id="rId736" Type="http://schemas.openxmlformats.org/officeDocument/2006/relationships/hyperlink" Target="https://lh5.googleusercontent.com/d/1E-FAmNzFq4bCaFCDJDEpuQKrv_8xbWPA" TargetMode="External"/><Relationship Id="rId735" Type="http://schemas.openxmlformats.org/officeDocument/2006/relationships/hyperlink" Target="https://drive.google.com/file/d/1MVqqLu-PbJ6JG7ZbmHrygYY9JbWxVnj6/view?usp=drivesdk" TargetMode="External"/><Relationship Id="rId730" Type="http://schemas.openxmlformats.org/officeDocument/2006/relationships/hyperlink" Target="https://lh5.googleusercontent.com/d/1SdzKjrIEEp0oQUsDCrzTVZMTCJod-qyi" TargetMode="External"/><Relationship Id="rId1320" Type="http://schemas.openxmlformats.org/officeDocument/2006/relationships/hyperlink" Target="https://lh5.googleusercontent.com/d/1mLIrwg4-3Xnig7S_nFZ2g8EqIcOJaYod" TargetMode="External"/><Relationship Id="rId1321" Type="http://schemas.openxmlformats.org/officeDocument/2006/relationships/hyperlink" Target="https://drive.google.com/file/d/1VEcm7I0RYeCUzp3LLB1KtpvEGAmhDeAc/view?usp=drivesdk" TargetMode="External"/><Relationship Id="rId1322" Type="http://schemas.openxmlformats.org/officeDocument/2006/relationships/hyperlink" Target="https://lh5.googleusercontent.com/d/1N7JXLBuGZAgdCSA4MHqw-CEImfOyYWl_" TargetMode="External"/><Relationship Id="rId1356" Type="http://schemas.openxmlformats.org/officeDocument/2006/relationships/hyperlink" Target="https://lh5.googleusercontent.com/d/1-loh9EFUEda6AfIwNZ_pLDPZuM8Do7Tb" TargetMode="External"/><Relationship Id="rId1357" Type="http://schemas.openxmlformats.org/officeDocument/2006/relationships/hyperlink" Target="https://drive.google.com/file/d/142m7ImspUZbE4COlOHraVe0cGHh1hD7w/view?usp=drivesdk" TargetMode="External"/><Relationship Id="rId1358" Type="http://schemas.openxmlformats.org/officeDocument/2006/relationships/hyperlink" Target="https://lh5.googleusercontent.com/d/15OTjP6Vw2vnBn7uI8zeyLxgQFiSXERtR" TargetMode="External"/><Relationship Id="rId1359" Type="http://schemas.openxmlformats.org/officeDocument/2006/relationships/hyperlink" Target="https://drive.google.com/file/d/1kW4UpQJf2MawxhW83mKot81m6RzXSxjA/view?usp=drivesdk" TargetMode="External"/><Relationship Id="rId767" Type="http://schemas.openxmlformats.org/officeDocument/2006/relationships/hyperlink" Target="https://drive.google.com/file/d/1FA-e2mnHX2vRNekG7CDXpATbpfeWen0W/view?usp=drivesdk" TargetMode="External"/><Relationship Id="rId766" Type="http://schemas.openxmlformats.org/officeDocument/2006/relationships/hyperlink" Target="https://lh5.googleusercontent.com/d/1mbUb0cPx4ZE7p8vHcv_fNwca3sipn4YD" TargetMode="External"/><Relationship Id="rId765" Type="http://schemas.openxmlformats.org/officeDocument/2006/relationships/hyperlink" Target="https://drive.google.com/file/d/1zoBzUQVZOufeUD5iRyAqcTYm8-EzbjYy/view?usp=drivesdk" TargetMode="External"/><Relationship Id="rId764" Type="http://schemas.openxmlformats.org/officeDocument/2006/relationships/hyperlink" Target="https://lh5.googleusercontent.com/d/18XHRnIlyoiYzeegGZecVGv955EtEX8CO" TargetMode="External"/><Relationship Id="rId769" Type="http://schemas.openxmlformats.org/officeDocument/2006/relationships/hyperlink" Target="https://drive.google.com/file/d/1eowGFKTx64FX3yJm4vv7kef0c-DOurCP/view?usp=drivesdk" TargetMode="External"/><Relationship Id="rId768" Type="http://schemas.openxmlformats.org/officeDocument/2006/relationships/hyperlink" Target="https://lh5.googleusercontent.com/d/1Wf7_wqK-me0N6f7kr92S9wv5orZ-3KJS" TargetMode="External"/><Relationship Id="rId1350" Type="http://schemas.openxmlformats.org/officeDocument/2006/relationships/hyperlink" Target="https://lh5.googleusercontent.com/d/1LCrEz8UmbcgX_8-9xI1CeGcXkOf61BBo" TargetMode="External"/><Relationship Id="rId1351" Type="http://schemas.openxmlformats.org/officeDocument/2006/relationships/hyperlink" Target="https://drive.google.com/file/d/1zq7nlyYK-T2yM_8td9vS7iA6HiKBJz8x/view?usp=drivesdk" TargetMode="External"/><Relationship Id="rId763" Type="http://schemas.openxmlformats.org/officeDocument/2006/relationships/hyperlink" Target="https://drive.google.com/file/d/1y7lVJrg-yLmHt16FX51SSh0mfymUVh7b/view?usp=drivesdk" TargetMode="External"/><Relationship Id="rId1352" Type="http://schemas.openxmlformats.org/officeDocument/2006/relationships/hyperlink" Target="https://lh5.googleusercontent.com/d/1yWSGQpKhObw3nimMPltwTfJFjXteKaMw" TargetMode="External"/><Relationship Id="rId762" Type="http://schemas.openxmlformats.org/officeDocument/2006/relationships/hyperlink" Target="https://lh5.googleusercontent.com/d/1TnziL85-7hSDnuO4tbllM8GIYOgGj30E" TargetMode="External"/><Relationship Id="rId1353" Type="http://schemas.openxmlformats.org/officeDocument/2006/relationships/hyperlink" Target="https://drive.google.com/file/d/1Ko1gCzz9ujvciZaeH_dxs2Vys5Olph6T/view?usp=drivesdk" TargetMode="External"/><Relationship Id="rId761" Type="http://schemas.openxmlformats.org/officeDocument/2006/relationships/hyperlink" Target="https://drive.google.com/file/d/1iReTejlkXojqWT1Vv5Xj3QjydWOfDoWX/view?usp=drivesdk" TargetMode="External"/><Relationship Id="rId1354" Type="http://schemas.openxmlformats.org/officeDocument/2006/relationships/hyperlink" Target="https://lh5.googleusercontent.com/d/1hROMasR3Y-ZySChqQhkRHp0D2qWgmHSS" TargetMode="External"/><Relationship Id="rId760" Type="http://schemas.openxmlformats.org/officeDocument/2006/relationships/hyperlink" Target="https://lh5.googleusercontent.com/d/1aJ8NOJQNMbI6MoBBrVwQdOKoZjyHc06o" TargetMode="External"/><Relationship Id="rId1355" Type="http://schemas.openxmlformats.org/officeDocument/2006/relationships/hyperlink" Target="https://drive.google.com/file/d/1WiSQWZuu6q-Mj6OzJZeRoDWPjEV8d24N/view?usp=drivesdk" TargetMode="External"/><Relationship Id="rId1345" Type="http://schemas.openxmlformats.org/officeDocument/2006/relationships/hyperlink" Target="https://drive.google.com/file/d/1RcExzVjFPWi754dCrQwGTTY5NiaTqWv-/view?usp=drivesdk" TargetMode="External"/><Relationship Id="rId1346" Type="http://schemas.openxmlformats.org/officeDocument/2006/relationships/hyperlink" Target="https://lh5.googleusercontent.com/d/18mdChjZhpZLKGQ_falnjDSsQaeHRqelD" TargetMode="External"/><Relationship Id="rId1347" Type="http://schemas.openxmlformats.org/officeDocument/2006/relationships/hyperlink" Target="https://drive.google.com/file/d/1enZIDAY-1I1hN9AYo4Gi64JJPRqyJX81/view?usp=drivesdk" TargetMode="External"/><Relationship Id="rId1348" Type="http://schemas.openxmlformats.org/officeDocument/2006/relationships/hyperlink" Target="https://lh5.googleusercontent.com/d/1mhSSVb60xMQRYkd8tQh_orqRq0FpcNVl" TargetMode="External"/><Relationship Id="rId1349" Type="http://schemas.openxmlformats.org/officeDocument/2006/relationships/hyperlink" Target="https://drive.google.com/file/d/115jFhq_i7L-0uKXUquA6zotmtGq2wG42/view?usp=drivesdk" TargetMode="External"/><Relationship Id="rId756" Type="http://schemas.openxmlformats.org/officeDocument/2006/relationships/hyperlink" Target="https://lh5.googleusercontent.com/d/17pjW9qqkh1-649L_4MfvOZhKr15KJWNS" TargetMode="External"/><Relationship Id="rId755" Type="http://schemas.openxmlformats.org/officeDocument/2006/relationships/hyperlink" Target="https://drive.google.com/file/d/141dhGFLDlg0hE1RIqMay9X1DWV6MJnnY/view?usp=drivesdk" TargetMode="External"/><Relationship Id="rId754" Type="http://schemas.openxmlformats.org/officeDocument/2006/relationships/hyperlink" Target="https://lh5.googleusercontent.com/d/1-gzCIrOIarwbDmv8_8J9qMu_G01p_E0i" TargetMode="External"/><Relationship Id="rId753" Type="http://schemas.openxmlformats.org/officeDocument/2006/relationships/hyperlink" Target="https://drive.google.com/file/d/1_mzrWdWLhhBoS1fQuckMI4o1Mo9EL2KT/view?usp=drivesdk" TargetMode="External"/><Relationship Id="rId759" Type="http://schemas.openxmlformats.org/officeDocument/2006/relationships/hyperlink" Target="https://drive.google.com/file/d/1tPTfcKnZ6tvyDi3TlyPLGpBO5d4D5O-i/view?usp=drivesdk" TargetMode="External"/><Relationship Id="rId758" Type="http://schemas.openxmlformats.org/officeDocument/2006/relationships/hyperlink" Target="https://lh5.googleusercontent.com/d/1IWPnfyGVp1ZziRzjHAD2nd8NbEo0nBUP" TargetMode="External"/><Relationship Id="rId757" Type="http://schemas.openxmlformats.org/officeDocument/2006/relationships/hyperlink" Target="https://drive.google.com/file/d/17O0tQyxwonqVP3IBo_5TTc6MPkFVF7ES/view?usp=drivesdk" TargetMode="External"/><Relationship Id="rId1340" Type="http://schemas.openxmlformats.org/officeDocument/2006/relationships/hyperlink" Target="https://lh5.googleusercontent.com/d/151ZcwxyaXMbiiseyyonos4b0rNkum7Ju" TargetMode="External"/><Relationship Id="rId752" Type="http://schemas.openxmlformats.org/officeDocument/2006/relationships/hyperlink" Target="https://lh5.googleusercontent.com/d/1_RcUhh7erj4Cverh7W1E4pcgBShJhoYo" TargetMode="External"/><Relationship Id="rId1341" Type="http://schemas.openxmlformats.org/officeDocument/2006/relationships/hyperlink" Target="https://drive.google.com/file/d/1q5f4YZlIAu94Z3rK6uwUxWDCRabbdmpD/view?usp=drivesdk" TargetMode="External"/><Relationship Id="rId751" Type="http://schemas.openxmlformats.org/officeDocument/2006/relationships/hyperlink" Target="https://drive.google.com/file/d/1bD7mvo00WMKOmxWNZOLCEtVjv4YLH9Ma/view?usp=drivesdk" TargetMode="External"/><Relationship Id="rId1342" Type="http://schemas.openxmlformats.org/officeDocument/2006/relationships/hyperlink" Target="https://lh5.googleusercontent.com/d/1kTMqUx7FPHVi3o9cMkgk2uFQUjByOiyR" TargetMode="External"/><Relationship Id="rId750" Type="http://schemas.openxmlformats.org/officeDocument/2006/relationships/hyperlink" Target="https://lh5.googleusercontent.com/d/16msDjjd9favWDBun5vPYHXRUwTMUOAS8" TargetMode="External"/><Relationship Id="rId1343" Type="http://schemas.openxmlformats.org/officeDocument/2006/relationships/hyperlink" Target="https://drive.google.com/file/d/14xIMmaCWLNTesIvKyOZcolzauJU1VvpP/view?usp=drivesdk" TargetMode="External"/><Relationship Id="rId1344" Type="http://schemas.openxmlformats.org/officeDocument/2006/relationships/hyperlink" Target="https://lh5.googleusercontent.com/d/1EmI2hvZox-ckxqlzUl4X3rhVMdkyo6Me" TargetMode="External"/><Relationship Id="rId709" Type="http://schemas.openxmlformats.org/officeDocument/2006/relationships/hyperlink" Target="https://drive.google.com/file/d/1us0cWapxlxy-7E6O7Nf8iaWxyD2r8rQO/view?usp=drivesdk" TargetMode="External"/><Relationship Id="rId708" Type="http://schemas.openxmlformats.org/officeDocument/2006/relationships/hyperlink" Target="https://lh5.googleusercontent.com/d/13zrckcgkG7tIq-Jn67BjVj7BdcxQ_zHM" TargetMode="External"/><Relationship Id="rId707" Type="http://schemas.openxmlformats.org/officeDocument/2006/relationships/hyperlink" Target="https://drive.google.com/file/d/1nalTEenRgI-DaGwt5tVyN3-xdb5ee4NQ/view?usp=drivesdk" TargetMode="External"/><Relationship Id="rId706" Type="http://schemas.openxmlformats.org/officeDocument/2006/relationships/hyperlink" Target="https://lh5.googleusercontent.com/d/1y-I7lHbp62bwv1MTRf48CAJvKD-Y2CBV" TargetMode="External"/><Relationship Id="rId701" Type="http://schemas.openxmlformats.org/officeDocument/2006/relationships/hyperlink" Target="https://drive.google.com/file/d/1DOqQyD2-SZSkBc9WjhShV2wH5MCk_Akr/view?usp=drivesdk" TargetMode="External"/><Relationship Id="rId700" Type="http://schemas.openxmlformats.org/officeDocument/2006/relationships/hyperlink" Target="https://lh5.googleusercontent.com/d/19euD1PqWRz1Km9CyLdfBdNUbF8vhdGd2" TargetMode="External"/><Relationship Id="rId705" Type="http://schemas.openxmlformats.org/officeDocument/2006/relationships/hyperlink" Target="https://drive.google.com/file/d/1dgqoyArVMKHPHn3BFqGj97WlcddQdIPc/view?usp=drivesdk" TargetMode="External"/><Relationship Id="rId704" Type="http://schemas.openxmlformats.org/officeDocument/2006/relationships/hyperlink" Target="https://lh5.googleusercontent.com/d/1Uddnvp1G6BnIUz62DNMb7YohIErXY4-l" TargetMode="External"/><Relationship Id="rId703" Type="http://schemas.openxmlformats.org/officeDocument/2006/relationships/hyperlink" Target="https://drive.google.com/file/d/19KrpkAWZ1ROhzAf4Z8896DzTkMF3ac0-/view?usp=drivesdk" TargetMode="External"/><Relationship Id="rId702" Type="http://schemas.openxmlformats.org/officeDocument/2006/relationships/hyperlink" Target="https://lh5.googleusercontent.com/d/1g0qSboLerEKYQA9q8wwmwnDPSMQiiF6A" TargetMode="External"/><Relationship Id="rId1312" Type="http://schemas.openxmlformats.org/officeDocument/2006/relationships/hyperlink" Target="https://lh5.googleusercontent.com/d/1FPAO0fwF8He3c9FYB6P1RSFuFtBpjPhy" TargetMode="External"/><Relationship Id="rId1313" Type="http://schemas.openxmlformats.org/officeDocument/2006/relationships/hyperlink" Target="https://drive.google.com/file/d/1-zW2-dFQGQtQiV9ACQmyob7TYQIC-2HU/view?usp=drivesdk" TargetMode="External"/><Relationship Id="rId1314" Type="http://schemas.openxmlformats.org/officeDocument/2006/relationships/hyperlink" Target="https://lh5.googleusercontent.com/d/1mSVSWmrXzjlNhaL-R8xTOsMAcXO51rKJ" TargetMode="External"/><Relationship Id="rId1315" Type="http://schemas.openxmlformats.org/officeDocument/2006/relationships/hyperlink" Target="https://drive.google.com/file/d/1On5Px61ALLDu4KYK0oJRD3UeMk3KRSt9/view?usp=drivesdk" TargetMode="External"/><Relationship Id="rId1316" Type="http://schemas.openxmlformats.org/officeDocument/2006/relationships/hyperlink" Target="https://lh5.googleusercontent.com/d/14PqarxJQjRd0ONcNKHKt7uTvza23Uxi3" TargetMode="External"/><Relationship Id="rId1317" Type="http://schemas.openxmlformats.org/officeDocument/2006/relationships/hyperlink" Target="https://drive.google.com/file/d/1uZX9_AXvPrOOVZ-UZVGBlgnbpC9aGNT3/view?usp=drivesdk" TargetMode="External"/><Relationship Id="rId1318" Type="http://schemas.openxmlformats.org/officeDocument/2006/relationships/hyperlink" Target="https://lh5.googleusercontent.com/d/1wlF-juwpoSa-_QJgg__QOzvxb9zP2-i_" TargetMode="External"/><Relationship Id="rId1319" Type="http://schemas.openxmlformats.org/officeDocument/2006/relationships/hyperlink" Target="https://drive.google.com/file/d/1tfvwSCGpDRwxWZJN-OtH_K_-g2_BjIFh/view?usp=drivesdk" TargetMode="External"/><Relationship Id="rId729" Type="http://schemas.openxmlformats.org/officeDocument/2006/relationships/hyperlink" Target="https://drive.google.com/file/d/1ovL5Xl0Dclrd_GBxLILf0JCMAQY1gMJb/view?usp=drivesdk" TargetMode="External"/><Relationship Id="rId728" Type="http://schemas.openxmlformats.org/officeDocument/2006/relationships/hyperlink" Target="https://lh5.googleusercontent.com/d/1Hi6VBnt6sAc_rFyyn_R5KQLVyv-1VQ8g" TargetMode="External"/><Relationship Id="rId723" Type="http://schemas.openxmlformats.org/officeDocument/2006/relationships/hyperlink" Target="https://drive.google.com/file/d/1djpZffRQ38vTWaU0BmlHpMgVfkOLAu-m/view?usp=drivesdk" TargetMode="External"/><Relationship Id="rId722" Type="http://schemas.openxmlformats.org/officeDocument/2006/relationships/hyperlink" Target="https://lh5.googleusercontent.com/d/1XI6CJT_xeSPDdMJ2LLeyRTUoH-sjGU5Q" TargetMode="External"/><Relationship Id="rId721" Type="http://schemas.openxmlformats.org/officeDocument/2006/relationships/hyperlink" Target="https://drive.google.com/file/d/1rL30dFN6jwcA498Q-y47SnwAQTp7AP3t/view?usp=drivesdk" TargetMode="External"/><Relationship Id="rId720" Type="http://schemas.openxmlformats.org/officeDocument/2006/relationships/hyperlink" Target="https://lh5.googleusercontent.com/d/1rhXsTPcq3hEd7H1whnqGjhGldRElh3_c" TargetMode="External"/><Relationship Id="rId727" Type="http://schemas.openxmlformats.org/officeDocument/2006/relationships/hyperlink" Target="https://drive.google.com/file/d/1DVJTTUiTJIgeTa3uKUEccErO7nGi49tP/view?usp=drivesdk" TargetMode="External"/><Relationship Id="rId726" Type="http://schemas.openxmlformats.org/officeDocument/2006/relationships/hyperlink" Target="https://lh5.googleusercontent.com/d/1mLQmi69Uci6gfWuGiovGRcKVbsmGtEQu" TargetMode="External"/><Relationship Id="rId725" Type="http://schemas.openxmlformats.org/officeDocument/2006/relationships/hyperlink" Target="https://drive.google.com/file/d/1eNZhwjVzFWTChSCILHUNJcxww8mrhk80/view?usp=drivesdk" TargetMode="External"/><Relationship Id="rId724" Type="http://schemas.openxmlformats.org/officeDocument/2006/relationships/hyperlink" Target="https://lh5.googleusercontent.com/d/1F1DCb9ofCSQ6y-xDz_D78Nw5I6Sr6qHq" TargetMode="External"/><Relationship Id="rId1310" Type="http://schemas.openxmlformats.org/officeDocument/2006/relationships/hyperlink" Target="https://lh5.googleusercontent.com/d/1tCoQJEGamPKlmo2QU7cbsWIYOdMsDOVR" TargetMode="External"/><Relationship Id="rId1311" Type="http://schemas.openxmlformats.org/officeDocument/2006/relationships/hyperlink" Target="https://drive.google.com/file/d/1oLGW6ljHykpOu9s4p-Ru2v2Zyg9eXk4t/view?usp=drivesdk" TargetMode="External"/><Relationship Id="rId1301" Type="http://schemas.openxmlformats.org/officeDocument/2006/relationships/hyperlink" Target="https://drive.google.com/file/d/1bwZv-4t_L2upUXFt4k5piE-JQBxO6BRW/view?usp=drivesdk" TargetMode="External"/><Relationship Id="rId1302" Type="http://schemas.openxmlformats.org/officeDocument/2006/relationships/hyperlink" Target="https://lh5.googleusercontent.com/d/153HXDRnpllrCUUJno9cUrHSKIG6QtFfY" TargetMode="External"/><Relationship Id="rId1303" Type="http://schemas.openxmlformats.org/officeDocument/2006/relationships/hyperlink" Target="https://drive.google.com/file/d/1MbVPIqASTFM2b7e8qkGYfuemxCN_UgNA/view?usp=drivesdk" TargetMode="External"/><Relationship Id="rId1304" Type="http://schemas.openxmlformats.org/officeDocument/2006/relationships/hyperlink" Target="https://lh5.googleusercontent.com/d/1HvPH90hl4He2dq2GyTlJK_HnK4Zx8ush" TargetMode="External"/><Relationship Id="rId1305" Type="http://schemas.openxmlformats.org/officeDocument/2006/relationships/hyperlink" Target="https://drive.google.com/file/d/1XzCc5UgUSl8wC0EFBWtHzSU0cL8_78oR/view?usp=drivesdk" TargetMode="External"/><Relationship Id="rId1306" Type="http://schemas.openxmlformats.org/officeDocument/2006/relationships/hyperlink" Target="https://lh5.googleusercontent.com/d/1nFS_ogeZFqEyUZE5vSq2uJfLmDMLLZRJ" TargetMode="External"/><Relationship Id="rId1307" Type="http://schemas.openxmlformats.org/officeDocument/2006/relationships/hyperlink" Target="https://drive.google.com/file/d/1UUVYk-CegwyGuIfL3LTEfj0gIPl9X26W/view?usp=drivesdk" TargetMode="External"/><Relationship Id="rId1308" Type="http://schemas.openxmlformats.org/officeDocument/2006/relationships/hyperlink" Target="https://lh5.googleusercontent.com/d/1gbXFToQzTnuzACxlKN1I8UKLryWoixUI" TargetMode="External"/><Relationship Id="rId1309" Type="http://schemas.openxmlformats.org/officeDocument/2006/relationships/hyperlink" Target="https://drive.google.com/file/d/1N9xwBCFLLgSroBKsj0IFNHbk6NYH7t3a/view?usp=drivesdk" TargetMode="External"/><Relationship Id="rId719" Type="http://schemas.openxmlformats.org/officeDocument/2006/relationships/hyperlink" Target="https://drive.google.com/file/d/1FhEKk5HybXJEY_vak0zlJhTUnh8LnWAl/view?usp=drivesdk" TargetMode="External"/><Relationship Id="rId718" Type="http://schemas.openxmlformats.org/officeDocument/2006/relationships/hyperlink" Target="https://lh5.googleusercontent.com/d/17StTP_lIP9JIZjcm16ekJnxopFkUapOu" TargetMode="External"/><Relationship Id="rId717" Type="http://schemas.openxmlformats.org/officeDocument/2006/relationships/hyperlink" Target="https://drive.google.com/file/d/1JvOGo4rlQagr3TpHdQ6nPe9q8Nt9mpot/view?usp=drivesdk" TargetMode="External"/><Relationship Id="rId712" Type="http://schemas.openxmlformats.org/officeDocument/2006/relationships/hyperlink" Target="https://lh5.googleusercontent.com/d/1FNYDqkfUpYJBOuhXDLRD0iQ4TF-pzg9A" TargetMode="External"/><Relationship Id="rId711" Type="http://schemas.openxmlformats.org/officeDocument/2006/relationships/hyperlink" Target="https://drive.google.com/file/d/1miUjxCivYVmiFAzBytkkniMVyu5C9il3/view?usp=drivesdk" TargetMode="External"/><Relationship Id="rId710" Type="http://schemas.openxmlformats.org/officeDocument/2006/relationships/hyperlink" Target="https://lh5.googleusercontent.com/d/1e2OEx3SBEtcBv-ZHU7IXwDIEPFGYrtU9" TargetMode="External"/><Relationship Id="rId716" Type="http://schemas.openxmlformats.org/officeDocument/2006/relationships/hyperlink" Target="https://lh5.googleusercontent.com/d/1T2ieo669tsymowQFZDtkHBc1buc5wfDv" TargetMode="External"/><Relationship Id="rId715" Type="http://schemas.openxmlformats.org/officeDocument/2006/relationships/hyperlink" Target="https://drive.google.com/file/d/1oxWqf_IWMfTbz4hbTzx46-f9eBRGyQSB/view?usp=drivesdk" TargetMode="External"/><Relationship Id="rId714" Type="http://schemas.openxmlformats.org/officeDocument/2006/relationships/hyperlink" Target="https://lh5.googleusercontent.com/d/1ofZVEmtQIQ-ntb6EYFiyCFGP3aNBrRhi" TargetMode="External"/><Relationship Id="rId713" Type="http://schemas.openxmlformats.org/officeDocument/2006/relationships/hyperlink" Target="https://drive.google.com/file/d/1CH1WahlVueECc9khVl4ID8G4GfVIXpVr/view?usp=drivesdk" TargetMode="External"/><Relationship Id="rId1300" Type="http://schemas.openxmlformats.org/officeDocument/2006/relationships/hyperlink" Target="https://lh5.googleusercontent.com/d/16E6hEDg95lEO_PfIscGPb_xxBkUPN5RP" TargetMode="External"/><Relationship Id="rId1378" Type="http://schemas.openxmlformats.org/officeDocument/2006/relationships/hyperlink" Target="https://lh5.googleusercontent.com/d/1VIDG77lWrxDowQcRG-_P-EYIZCRaBJlH" TargetMode="External"/><Relationship Id="rId1379" Type="http://schemas.openxmlformats.org/officeDocument/2006/relationships/hyperlink" Target="https://drive.google.com/file/d/1f9PXLDNk_fM_xwjJzEuNr7A2fSQ_F5YA/view?usp=drivesdk" TargetMode="External"/><Relationship Id="rId789" Type="http://schemas.openxmlformats.org/officeDocument/2006/relationships/hyperlink" Target="https://drive.google.com/file/d/1qPmVQYIGLq6Wd0B0cbfCCa_xU2y9T_vs/view?usp=drivesdk" TargetMode="External"/><Relationship Id="rId788" Type="http://schemas.openxmlformats.org/officeDocument/2006/relationships/hyperlink" Target="https://lh5.googleusercontent.com/d/1U2DvX32vt-ReyapWQVT7Kdwx_13BsFWS" TargetMode="External"/><Relationship Id="rId787" Type="http://schemas.openxmlformats.org/officeDocument/2006/relationships/hyperlink" Target="https://drive.google.com/file/d/1kS7f-OQactjgxsppdva6TA96opT1oU2o/view?usp=drivesdk" TargetMode="External"/><Relationship Id="rId786" Type="http://schemas.openxmlformats.org/officeDocument/2006/relationships/hyperlink" Target="https://lh5.googleusercontent.com/d/1zDOPVWgR8tsYF-l_VLXIs2Xl9cd_q4AC" TargetMode="External"/><Relationship Id="rId781" Type="http://schemas.openxmlformats.org/officeDocument/2006/relationships/hyperlink" Target="https://drive.google.com/file/d/17X5lUssSdP9JseLoHwjN2SeSQ23XGO1j/view?usp=drivesdk" TargetMode="External"/><Relationship Id="rId1370" Type="http://schemas.openxmlformats.org/officeDocument/2006/relationships/hyperlink" Target="https://lh5.googleusercontent.com/d/1Lu106Bna1BVwYmUYW2Gi18aD8aC2lhw6" TargetMode="External"/><Relationship Id="rId780" Type="http://schemas.openxmlformats.org/officeDocument/2006/relationships/hyperlink" Target="https://lh5.googleusercontent.com/d/19WqF-fDbXiirL53FDZIfanA7Nr6DvTYP" TargetMode="External"/><Relationship Id="rId1371" Type="http://schemas.openxmlformats.org/officeDocument/2006/relationships/hyperlink" Target="https://drive.google.com/file/d/1O6R95h4ezxyckjTew3LK_YHrHfAdJObA/view?usp=drivesdk" TargetMode="External"/><Relationship Id="rId1372" Type="http://schemas.openxmlformats.org/officeDocument/2006/relationships/hyperlink" Target="https://lh5.googleusercontent.com/d/1TF8b_HWvIe_4YtzYTwELsmdGdRRVih4B" TargetMode="External"/><Relationship Id="rId1373" Type="http://schemas.openxmlformats.org/officeDocument/2006/relationships/hyperlink" Target="https://drive.google.com/file/d/1nZecACM99dx1SgZmDEt3j8eCfLwBcWh4/view?usp=drivesdk" TargetMode="External"/><Relationship Id="rId785" Type="http://schemas.openxmlformats.org/officeDocument/2006/relationships/hyperlink" Target="https://drive.google.com/file/d/19j55_EK9FRXy-4DVSuHufv_5TgmVrg6m/view?usp=drivesdk" TargetMode="External"/><Relationship Id="rId1374" Type="http://schemas.openxmlformats.org/officeDocument/2006/relationships/hyperlink" Target="https://lh5.googleusercontent.com/d/1N2PBwBHCGBVN4VccbwjwyKc8M2aci1Yu" TargetMode="External"/><Relationship Id="rId784" Type="http://schemas.openxmlformats.org/officeDocument/2006/relationships/hyperlink" Target="https://lh5.googleusercontent.com/d/1izgrW5ntCBSxw8dppu6SaGRYcuaLQyTf" TargetMode="External"/><Relationship Id="rId1375" Type="http://schemas.openxmlformats.org/officeDocument/2006/relationships/hyperlink" Target="https://drive.google.com/file/d/1RP0ZzjvwjjwAw4FnrQXBiu8HuaXNvjew/view?usp=drivesdk" TargetMode="External"/><Relationship Id="rId783" Type="http://schemas.openxmlformats.org/officeDocument/2006/relationships/hyperlink" Target="https://drive.google.com/file/d/1eZ8xKuwsGV5kC4fWFJBlVhILD502m_hN/view?usp=drivesdk" TargetMode="External"/><Relationship Id="rId1376" Type="http://schemas.openxmlformats.org/officeDocument/2006/relationships/hyperlink" Target="https://lh5.googleusercontent.com/d/1HszYM3vzC-9I2XrP015W4nbsyAoC_s7E" TargetMode="External"/><Relationship Id="rId782" Type="http://schemas.openxmlformats.org/officeDocument/2006/relationships/hyperlink" Target="https://lh5.googleusercontent.com/d/194ES6APKFjf5-9tdZti0K713ey52-g_J" TargetMode="External"/><Relationship Id="rId1377" Type="http://schemas.openxmlformats.org/officeDocument/2006/relationships/hyperlink" Target="https://drive.google.com/file/d/1rE7o9tcUE5_x2IAAujR3AbGxstKfmkVw/view?usp=drivesdk" TargetMode="External"/><Relationship Id="rId1367" Type="http://schemas.openxmlformats.org/officeDocument/2006/relationships/hyperlink" Target="https://drive.google.com/file/d/1dR3MkKaAoTQ2gnZmItpWS9MD84vQ2Mj2/view?usp=drivesdk" TargetMode="External"/><Relationship Id="rId1368" Type="http://schemas.openxmlformats.org/officeDocument/2006/relationships/hyperlink" Target="https://lh5.googleusercontent.com/d/1N6qYgHfmEr8-BeDzFWgnkV4_ZqK35fch" TargetMode="External"/><Relationship Id="rId1369" Type="http://schemas.openxmlformats.org/officeDocument/2006/relationships/hyperlink" Target="https://drive.google.com/file/d/1doJovaoFwAmWUsx-RvmC1B0ExfLrEALz/view?usp=drivesdk" TargetMode="External"/><Relationship Id="rId778" Type="http://schemas.openxmlformats.org/officeDocument/2006/relationships/hyperlink" Target="https://lh5.googleusercontent.com/d/1JkEonLTcLy2RR-mXOvCw9TKNG7db8Gk3" TargetMode="External"/><Relationship Id="rId777" Type="http://schemas.openxmlformats.org/officeDocument/2006/relationships/hyperlink" Target="https://drive.google.com/file/d/1rGlxhoHoazNBy6N6sS7Eyw98P9hOddLj/view?usp=drivesdk" TargetMode="External"/><Relationship Id="rId776" Type="http://schemas.openxmlformats.org/officeDocument/2006/relationships/hyperlink" Target="https://lh5.googleusercontent.com/d/1EkX3HTA1NWWKI5wt8wzc5jxoNiWXgLXT" TargetMode="External"/><Relationship Id="rId775" Type="http://schemas.openxmlformats.org/officeDocument/2006/relationships/hyperlink" Target="https://drive.google.com/file/d/1wDc2Ks8-NjP-Z6VwUaC66ecomt6mRdfI/view?usp=drivesdk" TargetMode="External"/><Relationship Id="rId779" Type="http://schemas.openxmlformats.org/officeDocument/2006/relationships/hyperlink" Target="https://drive.google.com/file/d/1ppDbAPCijG4J6ZbE45JKZcatWPQJjodc/view?usp=drivesdk" TargetMode="External"/><Relationship Id="rId770" Type="http://schemas.openxmlformats.org/officeDocument/2006/relationships/hyperlink" Target="https://lh5.googleusercontent.com/d/1LNEuK8ik7i8eV2ZbIIsNWQq5D_NgCCXk" TargetMode="External"/><Relationship Id="rId1360" Type="http://schemas.openxmlformats.org/officeDocument/2006/relationships/hyperlink" Target="https://lh5.googleusercontent.com/d/1I4-MptEmkG1X-rHKHYGszFfjh2szZUL_" TargetMode="External"/><Relationship Id="rId1361" Type="http://schemas.openxmlformats.org/officeDocument/2006/relationships/hyperlink" Target="https://drive.google.com/file/d/19gBtHXUvtQbvh_tycMCcOQM41Ap7Tg3k/view?usp=drivesdk" TargetMode="External"/><Relationship Id="rId1362" Type="http://schemas.openxmlformats.org/officeDocument/2006/relationships/hyperlink" Target="https://lh5.googleusercontent.com/d/1tS0Vvsw4RlKm4KwLHlLFds0M3Kbp3dYz" TargetMode="External"/><Relationship Id="rId774" Type="http://schemas.openxmlformats.org/officeDocument/2006/relationships/hyperlink" Target="https://lh5.googleusercontent.com/d/1dxkpTqCGCWWtZ6daEVlBN156yq46N_w3" TargetMode="External"/><Relationship Id="rId1363" Type="http://schemas.openxmlformats.org/officeDocument/2006/relationships/hyperlink" Target="https://drive.google.com/file/d/1i0clJX-5E486wg0hSN0S0Ij7FCfOasms/view?usp=drivesdk" TargetMode="External"/><Relationship Id="rId773" Type="http://schemas.openxmlformats.org/officeDocument/2006/relationships/hyperlink" Target="https://drive.google.com/file/d/10-l5T5_oa0FW73D6FJVKQRgDK-jXgLT9/view?usp=drivesdk" TargetMode="External"/><Relationship Id="rId1364" Type="http://schemas.openxmlformats.org/officeDocument/2006/relationships/hyperlink" Target="https://lh5.googleusercontent.com/d/1BZvVjW2y0OgkNdfpjDGSVn6lCsjkP_3t" TargetMode="External"/><Relationship Id="rId772" Type="http://schemas.openxmlformats.org/officeDocument/2006/relationships/hyperlink" Target="https://lh5.googleusercontent.com/d/1BZvja4AzR25YU-jYXhfx-Sx4sc8BPLgT" TargetMode="External"/><Relationship Id="rId1365" Type="http://schemas.openxmlformats.org/officeDocument/2006/relationships/hyperlink" Target="https://drive.google.com/file/d/1W0xsmF0HWVJdtsa_6JOlkI3YIfQ7A18z/view?usp=drivesdk" TargetMode="External"/><Relationship Id="rId771" Type="http://schemas.openxmlformats.org/officeDocument/2006/relationships/hyperlink" Target="https://drive.google.com/file/d/1b6Tcmtsjr9W-omHEA1raLSJ3FRzYkFV7/view?usp=drivesdk" TargetMode="External"/><Relationship Id="rId1366" Type="http://schemas.openxmlformats.org/officeDocument/2006/relationships/hyperlink" Target="https://lh5.googleusercontent.com/d/1jSFiDcDevzmyhm6gimBagyE4-D5TFQNV" TargetMode="External"/><Relationship Id="rId1390" Type="http://schemas.openxmlformats.org/officeDocument/2006/relationships/hyperlink" Target="https://lh5.googleusercontent.com/d/1kw2rkhBh0I1qOS8Hoc0_7UwHRcF1Emm0" TargetMode="External"/><Relationship Id="rId1391" Type="http://schemas.openxmlformats.org/officeDocument/2006/relationships/hyperlink" Target="https://drive.google.com/file/d/1IaAWIjM_7y72Rjewnnmy_hsd_Bs-oZJz/view?usp=drivesdk" TargetMode="External"/><Relationship Id="rId1392" Type="http://schemas.openxmlformats.org/officeDocument/2006/relationships/hyperlink" Target="https://lh5.googleusercontent.com/d/1qChOeXSPjXJhNJN_8gxXiZv14xUtKqSz" TargetMode="External"/><Relationship Id="rId1393" Type="http://schemas.openxmlformats.org/officeDocument/2006/relationships/hyperlink" Target="https://drive.google.com/file/d/1zMczC8RMimbMoy_xqJr7TZs3YL2u61Li/view?usp=drivesdk" TargetMode="External"/><Relationship Id="rId1394" Type="http://schemas.openxmlformats.org/officeDocument/2006/relationships/hyperlink" Target="https://lh5.googleusercontent.com/d/1Qh9EYvUjBy8etGnzWiBzioQTCd05eXLo" TargetMode="External"/><Relationship Id="rId1395" Type="http://schemas.openxmlformats.org/officeDocument/2006/relationships/hyperlink" Target="https://drive.google.com/file/d/1Bw2-dokchdcMXl77TMdfpn5dPOQGhgMT/view?usp=drivesdk" TargetMode="External"/><Relationship Id="rId1396" Type="http://schemas.openxmlformats.org/officeDocument/2006/relationships/hyperlink" Target="https://lh5.googleusercontent.com/d/1q0iAUcFE4W6jI3QFfKvrXewwb6gxcpNp" TargetMode="External"/><Relationship Id="rId1397" Type="http://schemas.openxmlformats.org/officeDocument/2006/relationships/hyperlink" Target="https://drive.google.com/file/d/1Ye9RIG8dsxMA04LXOiWVefhBc9v-G2Kd/view?usp=drivesdk" TargetMode="External"/><Relationship Id="rId1398" Type="http://schemas.openxmlformats.org/officeDocument/2006/relationships/hyperlink" Target="https://lh5.googleusercontent.com/d/17xd8pW0CJXzL9wN3EwbSxFBqRrqhD23z" TargetMode="External"/><Relationship Id="rId1399" Type="http://schemas.openxmlformats.org/officeDocument/2006/relationships/hyperlink" Target="https://drive.google.com/file/d/1XCew-Njs5_QjIXsLR6cxn2vip1n2spQF/view?usp=drivesdk" TargetMode="External"/><Relationship Id="rId1389" Type="http://schemas.openxmlformats.org/officeDocument/2006/relationships/hyperlink" Target="https://drive.google.com/file/d/17XDrkXZ9jXMSkx40MCd7SqBhZo8FInv0/view?usp=drivesdk" TargetMode="External"/><Relationship Id="rId799" Type="http://schemas.openxmlformats.org/officeDocument/2006/relationships/hyperlink" Target="https://drive.google.com/file/d/1O0jPlKAZAHCtr2zyErpod0ntm2UW7qY8/view?usp=drivesdk" TargetMode="External"/><Relationship Id="rId798" Type="http://schemas.openxmlformats.org/officeDocument/2006/relationships/hyperlink" Target="https://lh5.googleusercontent.com/d/17kg6Crkxs3Jd9gkYBYVaKlT8PS2zwsCl" TargetMode="External"/><Relationship Id="rId797" Type="http://schemas.openxmlformats.org/officeDocument/2006/relationships/hyperlink" Target="https://drive.google.com/file/d/14VACDHCmV-qhUW2tGJ_eOAQJ0eLp-Gsp/view?usp=drivesdk" TargetMode="External"/><Relationship Id="rId1380" Type="http://schemas.openxmlformats.org/officeDocument/2006/relationships/hyperlink" Target="https://lh5.googleusercontent.com/d/1AVO8APxUpRc04fda1qjN4sKzsQAtQP62" TargetMode="External"/><Relationship Id="rId792" Type="http://schemas.openxmlformats.org/officeDocument/2006/relationships/hyperlink" Target="https://lh5.googleusercontent.com/d/16Nx8mOZ4uvRbPl6ODXzQXVgjNArgI-9X" TargetMode="External"/><Relationship Id="rId1381" Type="http://schemas.openxmlformats.org/officeDocument/2006/relationships/hyperlink" Target="https://drive.google.com/file/d/1B8JS7KPzIk22UsWmhT6_oimQGN9aws7f/view?usp=drivesdk" TargetMode="External"/><Relationship Id="rId791" Type="http://schemas.openxmlformats.org/officeDocument/2006/relationships/hyperlink" Target="https://drive.google.com/file/d/1UcV77nQQ4CoDTQbTebzEhD1ZEMVvq19I/view?usp=drivesdk" TargetMode="External"/><Relationship Id="rId1382" Type="http://schemas.openxmlformats.org/officeDocument/2006/relationships/hyperlink" Target="https://lh5.googleusercontent.com/d/1xiNXMgc56kapwjTwQmnIlmyN-_n6lsN2" TargetMode="External"/><Relationship Id="rId790" Type="http://schemas.openxmlformats.org/officeDocument/2006/relationships/hyperlink" Target="https://lh5.googleusercontent.com/d/1sBEpIXdLu84udRI4fNMPrO0hCFNjSnRq" TargetMode="External"/><Relationship Id="rId1383" Type="http://schemas.openxmlformats.org/officeDocument/2006/relationships/hyperlink" Target="https://drive.google.com/file/d/1m2uP_4Zb-wcfKgFEi3qdcQIoiEntCc1G/view?usp=drivesdk" TargetMode="External"/><Relationship Id="rId1384" Type="http://schemas.openxmlformats.org/officeDocument/2006/relationships/hyperlink" Target="https://lh5.googleusercontent.com/d/1_1O-RyzECyMdlvnjjo9qF62SIlgPtc3u" TargetMode="External"/><Relationship Id="rId796" Type="http://schemas.openxmlformats.org/officeDocument/2006/relationships/hyperlink" Target="https://lh5.googleusercontent.com/d/1TQSXVsbs3cuG7GHx1fekHhADWsJPxLhd" TargetMode="External"/><Relationship Id="rId1385" Type="http://schemas.openxmlformats.org/officeDocument/2006/relationships/hyperlink" Target="https://drive.google.com/file/d/1ctTktaF-HZya-VSQDGydFCjQlIs4OJyw/view?usp=drivesdk" TargetMode="External"/><Relationship Id="rId795" Type="http://schemas.openxmlformats.org/officeDocument/2006/relationships/hyperlink" Target="https://drive.google.com/file/d/1OhywwWDhYkK4Y3-A21-7HIyoEWRAFT1B/view?usp=drivesdk" TargetMode="External"/><Relationship Id="rId1386" Type="http://schemas.openxmlformats.org/officeDocument/2006/relationships/hyperlink" Target="https://lh5.googleusercontent.com/d/1m01XKwDtWx3zA3lUmtXKpMmYLQmdvjim" TargetMode="External"/><Relationship Id="rId794" Type="http://schemas.openxmlformats.org/officeDocument/2006/relationships/hyperlink" Target="https://lh5.googleusercontent.com/d/1tHadX-Ou9giPbfcbGtNoVj0rh5JVNCy4" TargetMode="External"/><Relationship Id="rId1387" Type="http://schemas.openxmlformats.org/officeDocument/2006/relationships/hyperlink" Target="https://drive.google.com/file/d/1PeQeD_43ZM4rpD24rEUcV6KlGgYwYjYS/view?usp=drivesdk" TargetMode="External"/><Relationship Id="rId793" Type="http://schemas.openxmlformats.org/officeDocument/2006/relationships/hyperlink" Target="https://drive.google.com/file/d/1udXHz2Dcp94ckV8PICay2L1JY8uYoJ9z/view?usp=drivesdk" TargetMode="External"/><Relationship Id="rId1388" Type="http://schemas.openxmlformats.org/officeDocument/2006/relationships/hyperlink" Target="https://lh5.googleusercontent.com/d/1NPYXfkFBAqs-7yDyX4ZfCGkX01Ea_33j" TargetMode="External"/><Relationship Id="rId1455" Type="http://schemas.openxmlformats.org/officeDocument/2006/relationships/hyperlink" Target="https://drive.google.com/file/d/1ltDQAK5eO2C7mRxHjVa-rLcuxsxCE5u7/view?usp=drivesdk" TargetMode="External"/><Relationship Id="rId1456" Type="http://schemas.openxmlformats.org/officeDocument/2006/relationships/hyperlink" Target="https://lh5.googleusercontent.com/d/1D7Yvd_3FjjzaGauEEKOlbioyZMFaAYJZ" TargetMode="External"/><Relationship Id="rId1457" Type="http://schemas.openxmlformats.org/officeDocument/2006/relationships/hyperlink" Target="https://drive.google.com/file/d/1mIpowgKAvqtqfF1bP9SWwJbD7urK6OoY/view?usp=drivesdk" TargetMode="External"/><Relationship Id="rId1458" Type="http://schemas.openxmlformats.org/officeDocument/2006/relationships/hyperlink" Target="https://lh5.googleusercontent.com/d/1TWzjKAcEYSbPRD-JP_B9TIV0Yb8KO_eK" TargetMode="External"/><Relationship Id="rId1459" Type="http://schemas.openxmlformats.org/officeDocument/2006/relationships/hyperlink" Target="https://drive.google.com/file/d/12yUdweoZSNY55pPW_TUYRcAQqbSNe-mw/view?usp=drivesdk" TargetMode="External"/><Relationship Id="rId629" Type="http://schemas.openxmlformats.org/officeDocument/2006/relationships/hyperlink" Target="https://drive.google.com/file/d/18dEkgndpsUTXI0CDi-f6ppDh19udW9RN/view?usp=drivesdk" TargetMode="External"/><Relationship Id="rId624" Type="http://schemas.openxmlformats.org/officeDocument/2006/relationships/hyperlink" Target="https://lh5.googleusercontent.com/d/1j_Px3FepeC3SW-rBHLw4Zzmgf0kOTjJZ" TargetMode="External"/><Relationship Id="rId623" Type="http://schemas.openxmlformats.org/officeDocument/2006/relationships/hyperlink" Target="https://drive.google.com/file/d/1C3fp7oSqivX50nRdki41AgRGatXMm93s/view?usp=drivesdk" TargetMode="External"/><Relationship Id="rId622" Type="http://schemas.openxmlformats.org/officeDocument/2006/relationships/hyperlink" Target="https://lh5.googleusercontent.com/d/1dkSxY-w4ne5TcTm0fvE2W9KiKpZ2OxKm" TargetMode="External"/><Relationship Id="rId621" Type="http://schemas.openxmlformats.org/officeDocument/2006/relationships/hyperlink" Target="https://drive.google.com/file/d/1g1sRKBonZ3Ag3Pxj0jWp-J2ah1q6-F4J/view?usp=drivesdk" TargetMode="External"/><Relationship Id="rId628" Type="http://schemas.openxmlformats.org/officeDocument/2006/relationships/hyperlink" Target="https://lh5.googleusercontent.com/d/15I1eT5CuSJGPjEmI-TmkysIHTMTIFx8M" TargetMode="External"/><Relationship Id="rId627" Type="http://schemas.openxmlformats.org/officeDocument/2006/relationships/hyperlink" Target="https://drive.google.com/file/d/127fzM_zBBk_67mpiCq5EGnRJSJeM_NGS/view?usp=drivesdk" TargetMode="External"/><Relationship Id="rId626" Type="http://schemas.openxmlformats.org/officeDocument/2006/relationships/hyperlink" Target="https://lh5.googleusercontent.com/d/1uYH4IboLqJlVqV685wdIvnIAg-IKBPsK" TargetMode="External"/><Relationship Id="rId625" Type="http://schemas.openxmlformats.org/officeDocument/2006/relationships/hyperlink" Target="https://drive.google.com/file/d/1e0zSn1eAIQ7mSUUXdeTIK59JRhw9zJLq/view?usp=drivesdk" TargetMode="External"/><Relationship Id="rId1450" Type="http://schemas.openxmlformats.org/officeDocument/2006/relationships/hyperlink" Target="https://lh5.googleusercontent.com/d/1V8QzXHgN64xtX5ZGVR1DDLUViYikh-Y3" TargetMode="External"/><Relationship Id="rId620" Type="http://schemas.openxmlformats.org/officeDocument/2006/relationships/hyperlink" Target="https://lh5.googleusercontent.com/d/1DB1mCh8Ptx_EcXa85Zb9phSRyt0Bt0Rc" TargetMode="External"/><Relationship Id="rId1451" Type="http://schemas.openxmlformats.org/officeDocument/2006/relationships/hyperlink" Target="https://drive.google.com/file/d/1hDk8sZvNopPqlMOc7gjOGruuH8Pzwyxh/view?usp=drivesdk" TargetMode="External"/><Relationship Id="rId1452" Type="http://schemas.openxmlformats.org/officeDocument/2006/relationships/hyperlink" Target="https://lh5.googleusercontent.com/d/1ZMJsp2E7vIE46Leizl3FMzuT7wAjrA7B" TargetMode="External"/><Relationship Id="rId1453" Type="http://schemas.openxmlformats.org/officeDocument/2006/relationships/hyperlink" Target="https://drive.google.com/file/d/1HqtNsm-NpBRVKCjUasyWtGr9eWFcTwoY/view?usp=drivesdk" TargetMode="External"/><Relationship Id="rId1454" Type="http://schemas.openxmlformats.org/officeDocument/2006/relationships/hyperlink" Target="https://lh5.googleusercontent.com/d/1sfmzRyNfcE9uEqNfpobqNMgQBs2smFhR" TargetMode="External"/><Relationship Id="rId1444" Type="http://schemas.openxmlformats.org/officeDocument/2006/relationships/hyperlink" Target="https://lh5.googleusercontent.com/d/1icKXzMsB0nBQGHM8J5n9RJhMgJRG2OLV" TargetMode="External"/><Relationship Id="rId1445" Type="http://schemas.openxmlformats.org/officeDocument/2006/relationships/hyperlink" Target="https://drive.google.com/file/d/1burWUcu8rqzWg6-MFaiN2d0dkc_awGoH/view?usp=drivesdk" TargetMode="External"/><Relationship Id="rId1446" Type="http://schemas.openxmlformats.org/officeDocument/2006/relationships/hyperlink" Target="https://lh5.googleusercontent.com/d/1j6eWvUc4Lml6FK0GFNu23LxIKxcACAV2" TargetMode="External"/><Relationship Id="rId1447" Type="http://schemas.openxmlformats.org/officeDocument/2006/relationships/hyperlink" Target="https://drive.google.com/file/d/1dWc5y8ZNc00yBoWfLbOS6o0GnIr9HGca/view?usp=drivesdk" TargetMode="External"/><Relationship Id="rId1448" Type="http://schemas.openxmlformats.org/officeDocument/2006/relationships/hyperlink" Target="https://lh5.googleusercontent.com/d/18DW-WcZc9mFomK3iZQW_-PoML0x_HP7p" TargetMode="External"/><Relationship Id="rId1449" Type="http://schemas.openxmlformats.org/officeDocument/2006/relationships/hyperlink" Target="https://drive.google.com/file/d/1nh3POfwEd2M08x0LspBhPMGRdi_K8qkA/view?usp=drivesdk" TargetMode="External"/><Relationship Id="rId619" Type="http://schemas.openxmlformats.org/officeDocument/2006/relationships/hyperlink" Target="https://drive.google.com/file/d/1oHoBWrlM_-_YLHGLNuPxApIcKQl7y8rT/view?usp=drivesdk" TargetMode="External"/><Relationship Id="rId618" Type="http://schemas.openxmlformats.org/officeDocument/2006/relationships/hyperlink" Target="https://lh5.googleusercontent.com/d/1D7EpCRRLFvZg4voG4YL-s96C77XuTl-U" TargetMode="External"/><Relationship Id="rId613" Type="http://schemas.openxmlformats.org/officeDocument/2006/relationships/hyperlink" Target="https://drive.google.com/file/d/1DpIAlTOtgX1qQ4SC3eE-6n6BeALF3W3a/view?usp=drivesdk" TargetMode="External"/><Relationship Id="rId612" Type="http://schemas.openxmlformats.org/officeDocument/2006/relationships/hyperlink" Target="https://lh5.googleusercontent.com/d/1zTo5e__wXG1K2XF_GRwzIhqT-80F2c3z" TargetMode="External"/><Relationship Id="rId611" Type="http://schemas.openxmlformats.org/officeDocument/2006/relationships/hyperlink" Target="https://drive.google.com/file/d/1c49boTZJpNY6mrfjw_x4PPp3fIoCzwH1/view?usp=drivesdk" TargetMode="External"/><Relationship Id="rId610" Type="http://schemas.openxmlformats.org/officeDocument/2006/relationships/hyperlink" Target="https://lh5.googleusercontent.com/d/1TrfMhXEQ5SaJ-uLLNqTw2_hNiUELwaXs" TargetMode="External"/><Relationship Id="rId617" Type="http://schemas.openxmlformats.org/officeDocument/2006/relationships/hyperlink" Target="https://drive.google.com/file/d/1JJ35EoFwqyek2A9k68MAkR1_rcgKjupV/view?usp=drivesdk" TargetMode="External"/><Relationship Id="rId616" Type="http://schemas.openxmlformats.org/officeDocument/2006/relationships/hyperlink" Target="https://lh5.googleusercontent.com/d/1nxaubWQ-Gxzzpf_rHshezdY0WDw5Bk2_" TargetMode="External"/><Relationship Id="rId615" Type="http://schemas.openxmlformats.org/officeDocument/2006/relationships/hyperlink" Target="https://drive.google.com/file/d/1P0z7V1kkwE3Y6sYePp8Cps2I1Pj7JFFW/view?usp=drivesdk" TargetMode="External"/><Relationship Id="rId614" Type="http://schemas.openxmlformats.org/officeDocument/2006/relationships/hyperlink" Target="https://lh5.googleusercontent.com/d/10Geuhy4JzuQcoRnqFodbT6IUDwkUZjbq" TargetMode="External"/><Relationship Id="rId1440" Type="http://schemas.openxmlformats.org/officeDocument/2006/relationships/hyperlink" Target="https://lh5.googleusercontent.com/d/1UqDk78gvQa1eTfOAJEGKgv5GT_FOcYwL" TargetMode="External"/><Relationship Id="rId1441" Type="http://schemas.openxmlformats.org/officeDocument/2006/relationships/hyperlink" Target="https://drive.google.com/file/d/1EpTZYBiLyna40uA5K3snwyQcDfYKo96z/view?usp=drivesdk" TargetMode="External"/><Relationship Id="rId1442" Type="http://schemas.openxmlformats.org/officeDocument/2006/relationships/hyperlink" Target="https://lh5.googleusercontent.com/d/1z3MJhjfO02Ol5BEEY92PyQy51JTPx0c_" TargetMode="External"/><Relationship Id="rId1443" Type="http://schemas.openxmlformats.org/officeDocument/2006/relationships/hyperlink" Target="https://drive.google.com/file/d/1KPJUs8QM1_jJIKcIPOCErZz_l02D-lFU/view?usp=drivesdk" TargetMode="External"/><Relationship Id="rId1477" Type="http://schemas.openxmlformats.org/officeDocument/2006/relationships/hyperlink" Target="https://drive.google.com/file/d/1MrpOnUV-WOmwv_-ErqDGqBvUCU3y_vOX/view?usp=drivesdk" TargetMode="External"/><Relationship Id="rId1478" Type="http://schemas.openxmlformats.org/officeDocument/2006/relationships/hyperlink" Target="https://lh5.googleusercontent.com/d/1ZwFMsKaxiAgO3UCMatGq7dU6OegKeRJ2" TargetMode="External"/><Relationship Id="rId1479" Type="http://schemas.openxmlformats.org/officeDocument/2006/relationships/hyperlink" Target="https://drive.google.com/file/d/1JHWcv73oynA2eGTR3MzJljVPWbC4sDo4/view?usp=drivesdk" TargetMode="External"/><Relationship Id="rId646" Type="http://schemas.openxmlformats.org/officeDocument/2006/relationships/hyperlink" Target="https://lh5.googleusercontent.com/d/1mQ5fkrU5skXb_5ZH0x8JWcz7DSW_jq7q" TargetMode="External"/><Relationship Id="rId645" Type="http://schemas.openxmlformats.org/officeDocument/2006/relationships/hyperlink" Target="https://drive.google.com/file/d/1sbVi72sT31yuL57TalgFmT_o0capvDv3/view?usp=drivesdk" TargetMode="External"/><Relationship Id="rId644" Type="http://schemas.openxmlformats.org/officeDocument/2006/relationships/hyperlink" Target="https://lh5.googleusercontent.com/d/14j2ZHtO0Pjdafz8KE3uhtWmvnCO7WxD4" TargetMode="External"/><Relationship Id="rId643" Type="http://schemas.openxmlformats.org/officeDocument/2006/relationships/hyperlink" Target="https://drive.google.com/file/d/1UCuSRGFIsRAQJLyyqBOQQmQbof4k0ss-/view?usp=drivesdk" TargetMode="External"/><Relationship Id="rId649" Type="http://schemas.openxmlformats.org/officeDocument/2006/relationships/hyperlink" Target="https://drive.google.com/file/d/1sljji2w5e23nc41739kmUQGdWXzoJznl/view?usp=drivesdk" TargetMode="External"/><Relationship Id="rId648" Type="http://schemas.openxmlformats.org/officeDocument/2006/relationships/hyperlink" Target="https://lh5.googleusercontent.com/d/1ze9qQM2ZCpmyf8jrASK4NMcGZbnrJgjT" TargetMode="External"/><Relationship Id="rId647" Type="http://schemas.openxmlformats.org/officeDocument/2006/relationships/hyperlink" Target="https://drive.google.com/file/d/1rI7BxhEBHcCzE24Li29CulronpR0XThU/view?usp=drivesdk" TargetMode="External"/><Relationship Id="rId1470" Type="http://schemas.openxmlformats.org/officeDocument/2006/relationships/hyperlink" Target="https://lh5.googleusercontent.com/d/1O8bHuiHnBV5HrcQ_0b1pbSLJcBFdam_-" TargetMode="External"/><Relationship Id="rId1471" Type="http://schemas.openxmlformats.org/officeDocument/2006/relationships/hyperlink" Target="https://drive.google.com/file/d/1Afl0N4Fn3iWe_yC6_eC-4B4myt2DsVOo/view?usp=drivesdk" TargetMode="External"/><Relationship Id="rId1472" Type="http://schemas.openxmlformats.org/officeDocument/2006/relationships/hyperlink" Target="https://lh5.googleusercontent.com/d/1j779cw08quK1D4Zw0XRuI9u_Em-ZorqZ" TargetMode="External"/><Relationship Id="rId642" Type="http://schemas.openxmlformats.org/officeDocument/2006/relationships/hyperlink" Target="https://lh5.googleusercontent.com/d/1pc-ypG0IkVY8Yh5dB7kRomI52ppJ5uvX" TargetMode="External"/><Relationship Id="rId1473" Type="http://schemas.openxmlformats.org/officeDocument/2006/relationships/hyperlink" Target="https://drive.google.com/file/d/1MzpbiE10IxBbP1aIDHqJLYUKsDSF5l1W/view?usp=drivesdk" TargetMode="External"/><Relationship Id="rId641" Type="http://schemas.openxmlformats.org/officeDocument/2006/relationships/hyperlink" Target="https://drive.google.com/file/d/1hMA5qWjzrblPLvGE9O2YOq-tfLNCHJWP/view?usp=drivesdk" TargetMode="External"/><Relationship Id="rId1474" Type="http://schemas.openxmlformats.org/officeDocument/2006/relationships/hyperlink" Target="https://lh5.googleusercontent.com/d/1g9H8i8gg_xTGMNl0lStP5AskHe545eK7" TargetMode="External"/><Relationship Id="rId640" Type="http://schemas.openxmlformats.org/officeDocument/2006/relationships/hyperlink" Target="https://lh5.googleusercontent.com/d/1TcZP-8LZ867jKEt4rUqNYV4fxYh-DA63" TargetMode="External"/><Relationship Id="rId1475" Type="http://schemas.openxmlformats.org/officeDocument/2006/relationships/hyperlink" Target="https://drive.google.com/file/d/12Ocz9RKZjhtM4HD6tfvhnj_NTb7OrY0p/view?usp=drivesdk" TargetMode="External"/><Relationship Id="rId1476" Type="http://schemas.openxmlformats.org/officeDocument/2006/relationships/hyperlink" Target="https://lh5.googleusercontent.com/d/1eX-xptn2rXozkL5Ug9Gn1XHw5fwxXvs9" TargetMode="External"/><Relationship Id="rId1466" Type="http://schemas.openxmlformats.org/officeDocument/2006/relationships/hyperlink" Target="https://lh5.googleusercontent.com/d/1CyQWVYB4jVhhQkp-KHllvZFaE41OpPqH" TargetMode="External"/><Relationship Id="rId1467" Type="http://schemas.openxmlformats.org/officeDocument/2006/relationships/hyperlink" Target="https://drive.google.com/file/d/1fN9BmZaXT-ql5PHYJPs-3V_Inqkn1W0F/view?usp=drivesdk" TargetMode="External"/><Relationship Id="rId1468" Type="http://schemas.openxmlformats.org/officeDocument/2006/relationships/hyperlink" Target="https://lh5.googleusercontent.com/d/14kF9wNKAGaOmIEdGY4NMawOt-ef_S8dj" TargetMode="External"/><Relationship Id="rId1469" Type="http://schemas.openxmlformats.org/officeDocument/2006/relationships/hyperlink" Target="https://drive.google.com/file/d/1S3rBOECDSKeU80CjPX_45TIOR9BvJPAP/view?usp=drivesdk" TargetMode="External"/><Relationship Id="rId635" Type="http://schemas.openxmlformats.org/officeDocument/2006/relationships/hyperlink" Target="https://drive.google.com/file/d/1Ocn8Sd-JtstdzYEQH7R81H0HLdTmFXxi/view?usp=drivesdk" TargetMode="External"/><Relationship Id="rId634" Type="http://schemas.openxmlformats.org/officeDocument/2006/relationships/hyperlink" Target="https://lh5.googleusercontent.com/d/1fq3dtU6WBmeT2C5IyCY6jf6LrZMH2Po2" TargetMode="External"/><Relationship Id="rId633" Type="http://schemas.openxmlformats.org/officeDocument/2006/relationships/hyperlink" Target="https://drive.google.com/file/d/1Wlq1_CKMHlv4lrA4KMTnptDtQHq2Z5Nv/view?usp=drivesdk" TargetMode="External"/><Relationship Id="rId632" Type="http://schemas.openxmlformats.org/officeDocument/2006/relationships/hyperlink" Target="https://lh5.googleusercontent.com/d/17Qz5n8nSVi-k3-7ZXgQ8I3El4IN1l1rB" TargetMode="External"/><Relationship Id="rId639" Type="http://schemas.openxmlformats.org/officeDocument/2006/relationships/hyperlink" Target="https://drive.google.com/file/d/12mvTlcwB5g05YSU5PTMXs0LzjdCPod1h/view?usp=drivesdk" TargetMode="External"/><Relationship Id="rId638" Type="http://schemas.openxmlformats.org/officeDocument/2006/relationships/hyperlink" Target="https://lh5.googleusercontent.com/d/10eWnJkdAoCBrFBgG56uxvtjjwRDj8p45" TargetMode="External"/><Relationship Id="rId637" Type="http://schemas.openxmlformats.org/officeDocument/2006/relationships/hyperlink" Target="https://drive.google.com/file/d/1j3TA4IbsExDJjPfRt3nFfgV-KPbrNi-r/view?usp=drivesdk" TargetMode="External"/><Relationship Id="rId636" Type="http://schemas.openxmlformats.org/officeDocument/2006/relationships/hyperlink" Target="https://lh5.googleusercontent.com/d/1AnuaHW6Fa8I5rkqeCDvtoNApZy7onZLP" TargetMode="External"/><Relationship Id="rId1460" Type="http://schemas.openxmlformats.org/officeDocument/2006/relationships/hyperlink" Target="https://lh5.googleusercontent.com/d/1kMVZQFvNyj-Q4PESBnsBZPqyVQ0IOFcT" TargetMode="External"/><Relationship Id="rId1461" Type="http://schemas.openxmlformats.org/officeDocument/2006/relationships/hyperlink" Target="https://drive.google.com/file/d/1Y8NocDeHnzGeIynl8k9f2DLnZZnp1X7H/view?usp=drivesdk" TargetMode="External"/><Relationship Id="rId631" Type="http://schemas.openxmlformats.org/officeDocument/2006/relationships/hyperlink" Target="https://drive.google.com/file/d/150ZXrOM2Zz65MamIXt_2uep6d9ZcHP9H/view?usp=drivesdk" TargetMode="External"/><Relationship Id="rId1462" Type="http://schemas.openxmlformats.org/officeDocument/2006/relationships/hyperlink" Target="https://lh5.googleusercontent.com/d/1qZKWrQmRY23fWw_Ynvdk06VeCnbiuN4v" TargetMode="External"/><Relationship Id="rId630" Type="http://schemas.openxmlformats.org/officeDocument/2006/relationships/hyperlink" Target="https://lh5.googleusercontent.com/d/1YYkWFMUUU89l8i9V_WQztUFqnEpa3G28" TargetMode="External"/><Relationship Id="rId1463" Type="http://schemas.openxmlformats.org/officeDocument/2006/relationships/hyperlink" Target="https://drive.google.com/file/d/1PsYpj9CptSKqHZRxeoSqUWITOPImy5sg/view?usp=drivesdk" TargetMode="External"/><Relationship Id="rId1464" Type="http://schemas.openxmlformats.org/officeDocument/2006/relationships/hyperlink" Target="https://lh5.googleusercontent.com/d/1phBjyrAa29JEE2DbPzmpNSnCT4fy3RFA" TargetMode="External"/><Relationship Id="rId1465" Type="http://schemas.openxmlformats.org/officeDocument/2006/relationships/hyperlink" Target="https://drive.google.com/file/d/1LBQi5XM3IsB79j_uBnkOmPFrt4k-z0a1/view?usp=drivesdk" TargetMode="External"/><Relationship Id="rId1411" Type="http://schemas.openxmlformats.org/officeDocument/2006/relationships/hyperlink" Target="https://drive.google.com/file/d/1-EvNCfp5_o3d5CMsHqVsFkyCyRACsI2Z/view?usp=drivesdk" TargetMode="External"/><Relationship Id="rId1412" Type="http://schemas.openxmlformats.org/officeDocument/2006/relationships/hyperlink" Target="https://lh5.googleusercontent.com/d/1UVr1KBsfpBzXiIEr6xJRT1UFVAe1-3w2" TargetMode="External"/><Relationship Id="rId1413" Type="http://schemas.openxmlformats.org/officeDocument/2006/relationships/hyperlink" Target="https://drive.google.com/file/d/1dJa23mYHqznGuqFb9cKg65BzKCtLMHDb/view?usp=drivesdk" TargetMode="External"/><Relationship Id="rId1414" Type="http://schemas.openxmlformats.org/officeDocument/2006/relationships/hyperlink" Target="https://lh5.googleusercontent.com/d/1c5ozbEpLmHWRoqIn0LTc0YbedfqTLeOH" TargetMode="External"/><Relationship Id="rId1415" Type="http://schemas.openxmlformats.org/officeDocument/2006/relationships/hyperlink" Target="https://drive.google.com/file/d/19E3Sd-sgOfNVo6iRcUlnXFgwCEDGzsQ0/view?usp=drivesdk" TargetMode="External"/><Relationship Id="rId1416" Type="http://schemas.openxmlformats.org/officeDocument/2006/relationships/hyperlink" Target="https://lh5.googleusercontent.com/d/1la_R8ZIH4Zasj1Dtkq5qJjyoJZJh0Yxa" TargetMode="External"/><Relationship Id="rId1417" Type="http://schemas.openxmlformats.org/officeDocument/2006/relationships/hyperlink" Target="https://drive.google.com/file/d/1sQ5KLAG6hdpCaiN84-gK2F_6KiSnXikA/view?usp=drivesdk" TargetMode="External"/><Relationship Id="rId1418" Type="http://schemas.openxmlformats.org/officeDocument/2006/relationships/hyperlink" Target="https://lh5.googleusercontent.com/d/1O9Dg_AuQZWOLUyFVStMpEKJsEN6SIv50" TargetMode="External"/><Relationship Id="rId1419" Type="http://schemas.openxmlformats.org/officeDocument/2006/relationships/hyperlink" Target="https://drive.google.com/file/d/1XKSbGzGtuvDvIYC3RrA7DYDWAKFwJ9wE/view?usp=drivesdk" TargetMode="External"/><Relationship Id="rId1410" Type="http://schemas.openxmlformats.org/officeDocument/2006/relationships/hyperlink" Target="https://lh5.googleusercontent.com/d/1V7KhHiaqmanESRA1QAO6p2YHTY4vOQeV" TargetMode="External"/><Relationship Id="rId1400" Type="http://schemas.openxmlformats.org/officeDocument/2006/relationships/hyperlink" Target="https://lh5.googleusercontent.com/d/1OTn5jSDMJEWU1GgjH3bXOYaDNeMAXD_h" TargetMode="External"/><Relationship Id="rId1401" Type="http://schemas.openxmlformats.org/officeDocument/2006/relationships/hyperlink" Target="https://drive.google.com/file/d/12_2g8RoXbxzDIn11lWaRdzf6KG3Kq9TQ/view?usp=drivesdk" TargetMode="External"/><Relationship Id="rId1402" Type="http://schemas.openxmlformats.org/officeDocument/2006/relationships/hyperlink" Target="https://lh5.googleusercontent.com/d/1LlJAU6eQdsA1l-eR4PrKj29Zn6r3-eIq" TargetMode="External"/><Relationship Id="rId1403" Type="http://schemas.openxmlformats.org/officeDocument/2006/relationships/hyperlink" Target="https://drive.google.com/file/d/1QKWJdJj6_UxBkXwx7yJ2VEibbmBW7tJu/view?usp=drivesdk" TargetMode="External"/><Relationship Id="rId1404" Type="http://schemas.openxmlformats.org/officeDocument/2006/relationships/hyperlink" Target="https://lh5.googleusercontent.com/d/10w-cmP5Gd2FUgQPki3vuDVLMm_-PgWql" TargetMode="External"/><Relationship Id="rId1405" Type="http://schemas.openxmlformats.org/officeDocument/2006/relationships/hyperlink" Target="https://drive.google.com/file/d/1T1_Gskva-tUGGKNYDytezSvt9eYiQzPd/view?usp=drivesdk" TargetMode="External"/><Relationship Id="rId1406" Type="http://schemas.openxmlformats.org/officeDocument/2006/relationships/hyperlink" Target="https://lh5.googleusercontent.com/d/1zJ9A1dLh8docXpbkj2-Xla4qJVG8eSwP" TargetMode="External"/><Relationship Id="rId1407" Type="http://schemas.openxmlformats.org/officeDocument/2006/relationships/hyperlink" Target="https://drive.google.com/file/d/1IetE9tCR5JaWA1sJB-HREhbBIg-nDkPZ/view?usp=drivesdk" TargetMode="External"/><Relationship Id="rId1408" Type="http://schemas.openxmlformats.org/officeDocument/2006/relationships/hyperlink" Target="https://lh5.googleusercontent.com/d/1L_YjsEvjI5GurR-8wMkUj77Qlb2oXZ6Y" TargetMode="External"/><Relationship Id="rId1409" Type="http://schemas.openxmlformats.org/officeDocument/2006/relationships/hyperlink" Target="https://drive.google.com/file/d/1XsOC91jgla5TkpxAbewVnrX5w2nSMzTL/view?usp=drivesdk" TargetMode="External"/><Relationship Id="rId1433" Type="http://schemas.openxmlformats.org/officeDocument/2006/relationships/hyperlink" Target="https://drive.google.com/file/d/1eHJpM_AA7fS7e5w-fvf4N7wsGfSwz9jY/view?usp=drivesdk" TargetMode="External"/><Relationship Id="rId1434" Type="http://schemas.openxmlformats.org/officeDocument/2006/relationships/hyperlink" Target="https://lh5.googleusercontent.com/d/1sMAaFLiRC0rlYlcqJWsnM2zaaIt4cOu1" TargetMode="External"/><Relationship Id="rId1435" Type="http://schemas.openxmlformats.org/officeDocument/2006/relationships/hyperlink" Target="https://drive.google.com/file/d/1k2G_zl3eMVL0JJ7CucIpqhjH-OTRe_KR/view?usp=drivesdk" TargetMode="External"/><Relationship Id="rId1436" Type="http://schemas.openxmlformats.org/officeDocument/2006/relationships/hyperlink" Target="https://lh5.googleusercontent.com/d/1I22k38V9OhTdf7IKwUVj8yWwc7kx62RM" TargetMode="External"/><Relationship Id="rId1437" Type="http://schemas.openxmlformats.org/officeDocument/2006/relationships/hyperlink" Target="https://drive.google.com/file/d/1M_T6HoPZnZFY_6WRymIja_52V3dTaTlJ/view?usp=drivesdk" TargetMode="External"/><Relationship Id="rId1438" Type="http://schemas.openxmlformats.org/officeDocument/2006/relationships/hyperlink" Target="https://lh5.googleusercontent.com/d/1P2RGMIGHQM_aRSLj1mD7vhQ7qh-pVcbd" TargetMode="External"/><Relationship Id="rId1439" Type="http://schemas.openxmlformats.org/officeDocument/2006/relationships/hyperlink" Target="https://drive.google.com/file/d/1EIlFUV0HRHRM_hw4B3gDPwzRBVT4cM7B/view?usp=drivesdk" TargetMode="External"/><Relationship Id="rId609" Type="http://schemas.openxmlformats.org/officeDocument/2006/relationships/hyperlink" Target="https://drive.google.com/file/d/1TI7u2RhrwUC8PCTug0Xj5JONS3VG_lk1/view?usp=drivesdk" TargetMode="External"/><Relationship Id="rId608" Type="http://schemas.openxmlformats.org/officeDocument/2006/relationships/hyperlink" Target="https://lh5.googleusercontent.com/d/1m9HFHQ3m3Zg-TX3xLh7kGqk4az7hz0sk" TargetMode="External"/><Relationship Id="rId607" Type="http://schemas.openxmlformats.org/officeDocument/2006/relationships/hyperlink" Target="https://drive.google.com/file/d/1ZPqRtwp9fTxMy7co1CHep77oqt8ApXzL/view?usp=drivesdk" TargetMode="External"/><Relationship Id="rId602" Type="http://schemas.openxmlformats.org/officeDocument/2006/relationships/hyperlink" Target="https://lh5.googleusercontent.com/d/1a1RBqRB0UZZUHVGA4PTxEKxhR5zmb8wR" TargetMode="External"/><Relationship Id="rId601" Type="http://schemas.openxmlformats.org/officeDocument/2006/relationships/hyperlink" Target="https://drive.google.com/file/d/1IkGyZZtj166K6hwBD_qupDcqQxej8d0B/view?usp=drivesdk" TargetMode="External"/><Relationship Id="rId600" Type="http://schemas.openxmlformats.org/officeDocument/2006/relationships/hyperlink" Target="https://lh5.googleusercontent.com/d/15ljtnSLiGWElNdAedhiJubR7ZkJKZ7MD" TargetMode="External"/><Relationship Id="rId606" Type="http://schemas.openxmlformats.org/officeDocument/2006/relationships/hyperlink" Target="https://lh5.googleusercontent.com/d/1_mtWUGQWqXoqyzOx2f_sC4EYc3YFQWiI" TargetMode="External"/><Relationship Id="rId605" Type="http://schemas.openxmlformats.org/officeDocument/2006/relationships/hyperlink" Target="https://drive.google.com/file/d/18eeerXT5zd0Bu8lAzIP3MtjORCKMV7GK/view?usp=drivesdk" TargetMode="External"/><Relationship Id="rId604" Type="http://schemas.openxmlformats.org/officeDocument/2006/relationships/hyperlink" Target="https://lh5.googleusercontent.com/d/1NyNeYXP7kXrVeltRjPBPqGUcdIIE8gPT" TargetMode="External"/><Relationship Id="rId603" Type="http://schemas.openxmlformats.org/officeDocument/2006/relationships/hyperlink" Target="https://drive.google.com/file/d/1nsaZ3nlijdIBGMJPjapl_KljSHl1xwOO/view?usp=drivesdk" TargetMode="External"/><Relationship Id="rId1430" Type="http://schemas.openxmlformats.org/officeDocument/2006/relationships/hyperlink" Target="https://lh5.googleusercontent.com/d/1GHOceqmJGVjfJdKKPcoH5cuU2otsD8wR" TargetMode="External"/><Relationship Id="rId1431" Type="http://schemas.openxmlformats.org/officeDocument/2006/relationships/hyperlink" Target="https://drive.google.com/file/d/1P-7VhEpltuIMRQFhf5JX5ZTh1mrPhOCM/view?usp=drivesdk" TargetMode="External"/><Relationship Id="rId1432" Type="http://schemas.openxmlformats.org/officeDocument/2006/relationships/hyperlink" Target="https://lh5.googleusercontent.com/d/1KB1y5GOEw0axbMxOV0ZmleKLlJndSSO0" TargetMode="External"/><Relationship Id="rId1422" Type="http://schemas.openxmlformats.org/officeDocument/2006/relationships/hyperlink" Target="https://lh5.googleusercontent.com/d/1w6yzoUE7hwGhO-0QcXPJOtsOEOLuxp7V" TargetMode="External"/><Relationship Id="rId1423" Type="http://schemas.openxmlformats.org/officeDocument/2006/relationships/hyperlink" Target="https://drive.google.com/file/d/17ePVaXDUVOtLj8oCZmsRc3EcqociMYUu/view?usp=drivesdk" TargetMode="External"/><Relationship Id="rId1424" Type="http://schemas.openxmlformats.org/officeDocument/2006/relationships/hyperlink" Target="https://lh5.googleusercontent.com/d/12DO3RrwgWdjsDrTmhS34JCjMvX2KzzNl" TargetMode="External"/><Relationship Id="rId1425" Type="http://schemas.openxmlformats.org/officeDocument/2006/relationships/hyperlink" Target="https://drive.google.com/file/d/1z2p4BfEhvS9x6U2LQQ_Sse9mpu4mNS7J/view?usp=drivesdk" TargetMode="External"/><Relationship Id="rId1426" Type="http://schemas.openxmlformats.org/officeDocument/2006/relationships/hyperlink" Target="https://lh5.googleusercontent.com/d/1-EvwgP3NR-ZxxmQf2ndStyxrzeEDFAbS" TargetMode="External"/><Relationship Id="rId1427" Type="http://schemas.openxmlformats.org/officeDocument/2006/relationships/hyperlink" Target="https://drive.google.com/file/d/1h-WleQAdjEqp_t_ZW_i1xBpZaUcYWdtJ/view?usp=drivesdk" TargetMode="External"/><Relationship Id="rId1428" Type="http://schemas.openxmlformats.org/officeDocument/2006/relationships/hyperlink" Target="https://lh5.googleusercontent.com/d/1ti4pyiI8EAr6v5wNCWbfvyz4ncNypeq0" TargetMode="External"/><Relationship Id="rId1429" Type="http://schemas.openxmlformats.org/officeDocument/2006/relationships/hyperlink" Target="https://drive.google.com/file/d/1sD9sHtD3mnBFTQT196iSc2rZ3b5EMvbm/view?usp=drivesdk" TargetMode="External"/><Relationship Id="rId1420" Type="http://schemas.openxmlformats.org/officeDocument/2006/relationships/hyperlink" Target="https://lh5.googleusercontent.com/d/1X5N3DMDM1myWrofz4tIUl4-_TMjpK6ku" TargetMode="External"/><Relationship Id="rId1421" Type="http://schemas.openxmlformats.org/officeDocument/2006/relationships/hyperlink" Target="https://drive.google.com/file/d/1oEZ7bXhL-oKxz9c9EK8yFg7M0FW63bYz/view?usp=drivesdk" TargetMode="External"/><Relationship Id="rId699" Type="http://schemas.openxmlformats.org/officeDocument/2006/relationships/hyperlink" Target="https://drive.google.com/file/d/1rgfslDyh-WGiFcoQDCd3aFblIn0jrk1v/view?usp=drivesdk" TargetMode="External"/><Relationship Id="rId698" Type="http://schemas.openxmlformats.org/officeDocument/2006/relationships/hyperlink" Target="https://lh5.googleusercontent.com/d/1afV5cu6aU8kXxBTyf9MTcSmWHxHSYSrh" TargetMode="External"/><Relationship Id="rId693" Type="http://schemas.openxmlformats.org/officeDocument/2006/relationships/hyperlink" Target="https://drive.google.com/file/d/1q1OvQ2Sdu_NtmbPbE9Jmg67bSKbl03hL/view?usp=drivesdk" TargetMode="External"/><Relationship Id="rId692" Type="http://schemas.openxmlformats.org/officeDocument/2006/relationships/hyperlink" Target="https://lh5.googleusercontent.com/d/1CeiAqck4PEpb_nyj7XdzGC9RecfF5Uqa" TargetMode="External"/><Relationship Id="rId691" Type="http://schemas.openxmlformats.org/officeDocument/2006/relationships/hyperlink" Target="https://drive.google.com/file/d/1Yv-1f-EOAm9ypln6a5DvrKgJq-N8C0Sk/view?usp=drivesdk" TargetMode="External"/><Relationship Id="rId690" Type="http://schemas.openxmlformats.org/officeDocument/2006/relationships/hyperlink" Target="https://lh5.googleusercontent.com/d/1p_30gMDOhHbLjeQBTEAZjqWJu9Y4xLdT" TargetMode="External"/><Relationship Id="rId697" Type="http://schemas.openxmlformats.org/officeDocument/2006/relationships/hyperlink" Target="https://drive.google.com/file/d/1n-UWNOFfCtAsnrzI9ZX26TYjfRD7xHlN/view?usp=drivesdk" TargetMode="External"/><Relationship Id="rId696" Type="http://schemas.openxmlformats.org/officeDocument/2006/relationships/hyperlink" Target="https://lh5.googleusercontent.com/d/1EJZ19jxVCZb3hkhLmaljVNN7QUF5ciXZ" TargetMode="External"/><Relationship Id="rId695" Type="http://schemas.openxmlformats.org/officeDocument/2006/relationships/hyperlink" Target="https://drive.google.com/file/d/1_DTd5n1jBqZPcDL3euF7_nslJ5BE0AkG/view?usp=drivesdk" TargetMode="External"/><Relationship Id="rId694" Type="http://schemas.openxmlformats.org/officeDocument/2006/relationships/hyperlink" Target="https://lh5.googleusercontent.com/d/18Od0YJT65ryMFYGffOwfq_qVKxGnBwnJ" TargetMode="External"/><Relationship Id="rId1499" Type="http://schemas.openxmlformats.org/officeDocument/2006/relationships/hyperlink" Target="https://drive.google.com/file/d/1l7VksCy4_rHIVzg0UVNSkujPOUly-Mkf/view?usp=drivesdk" TargetMode="External"/><Relationship Id="rId668" Type="http://schemas.openxmlformats.org/officeDocument/2006/relationships/hyperlink" Target="https://lh5.googleusercontent.com/d/10f7Xj4yaTI984OmjwbbfbI7esR6Zuukb" TargetMode="External"/><Relationship Id="rId667" Type="http://schemas.openxmlformats.org/officeDocument/2006/relationships/hyperlink" Target="https://drive.google.com/file/d/1fmLR77aGfnoBbovtNdmpmVU7lX6HE7Ho/view?usp=drivesdk" TargetMode="External"/><Relationship Id="rId666" Type="http://schemas.openxmlformats.org/officeDocument/2006/relationships/hyperlink" Target="https://lh5.googleusercontent.com/d/1L5Iy8GHvFD3W82G5SzqGEZIQuVgl_tVm" TargetMode="External"/><Relationship Id="rId665" Type="http://schemas.openxmlformats.org/officeDocument/2006/relationships/hyperlink" Target="https://drive.google.com/file/d/1fQknTKZrZdb0NusNSuQ6E2U7PqJVfeho/view?usp=drivesdk" TargetMode="External"/><Relationship Id="rId669" Type="http://schemas.openxmlformats.org/officeDocument/2006/relationships/hyperlink" Target="https://drive.google.com/file/d/1VlmrlNyXScGvom8tS-9TVSZddukOA-_N/view?usp=drivesdk" TargetMode="External"/><Relationship Id="rId1490" Type="http://schemas.openxmlformats.org/officeDocument/2006/relationships/hyperlink" Target="https://lh5.googleusercontent.com/d/1rNIa9f2iSciXLTOMWfMOkXOTJKJ7K4o_" TargetMode="External"/><Relationship Id="rId660" Type="http://schemas.openxmlformats.org/officeDocument/2006/relationships/hyperlink" Target="https://lh5.googleusercontent.com/d/1btDiuSZXqVNgIhqYuRWv27o98zsLTuF9" TargetMode="External"/><Relationship Id="rId1491" Type="http://schemas.openxmlformats.org/officeDocument/2006/relationships/hyperlink" Target="https://drive.google.com/file/d/1KD2PwRrz9L5Xgj8SN6O8v6ac7rlEpCem/view?usp=drivesdk" TargetMode="External"/><Relationship Id="rId1492" Type="http://schemas.openxmlformats.org/officeDocument/2006/relationships/hyperlink" Target="https://lh5.googleusercontent.com/d/1vfYqr9_40gBy8Z6IaS21X_grSHEWllsN" TargetMode="External"/><Relationship Id="rId1493" Type="http://schemas.openxmlformats.org/officeDocument/2006/relationships/hyperlink" Target="https://drive.google.com/file/d/1YLly5RtPggek7hqW8bb71EI5hTn2SwMJ/view?usp=drivesdk" TargetMode="External"/><Relationship Id="rId1494" Type="http://schemas.openxmlformats.org/officeDocument/2006/relationships/hyperlink" Target="https://lh5.googleusercontent.com/d/1-T1AJkZzYy5QTb4dOP0Kiu3yxMmJfGGk" TargetMode="External"/><Relationship Id="rId664" Type="http://schemas.openxmlformats.org/officeDocument/2006/relationships/hyperlink" Target="https://lh5.googleusercontent.com/d/10jZ9Ja7VuameeEqfiFahet9ZDnikb0py" TargetMode="External"/><Relationship Id="rId1495" Type="http://schemas.openxmlformats.org/officeDocument/2006/relationships/hyperlink" Target="https://drive.google.com/file/d/1FYPp4hK9czaAaxbId5mcvoPZyh5COYx1/view?usp=drivesdk" TargetMode="External"/><Relationship Id="rId663" Type="http://schemas.openxmlformats.org/officeDocument/2006/relationships/hyperlink" Target="https://drive.google.com/file/d/1NAjJCtLyQFdi8Qmf98ZB3RxEBaNaVGjZ/view?usp=drivesdk" TargetMode="External"/><Relationship Id="rId1496" Type="http://schemas.openxmlformats.org/officeDocument/2006/relationships/hyperlink" Target="https://lh5.googleusercontent.com/d/1Mwy7SmWI2zTTSMq_6HdZiVvSbSl7VTfu" TargetMode="External"/><Relationship Id="rId662" Type="http://schemas.openxmlformats.org/officeDocument/2006/relationships/hyperlink" Target="https://lh5.googleusercontent.com/d/1Zs3pJw1vvcKzvBnjVddXFBEwGsZMlXix" TargetMode="External"/><Relationship Id="rId1497" Type="http://schemas.openxmlformats.org/officeDocument/2006/relationships/hyperlink" Target="https://drive.google.com/file/d/1Y6TS9QVsngeQcWmQM8CHBUEDP_2nthuZ/view?usp=drivesdk" TargetMode="External"/><Relationship Id="rId661" Type="http://schemas.openxmlformats.org/officeDocument/2006/relationships/hyperlink" Target="https://drive.google.com/file/d/1hoPwtmAPaU864NPpG4UTRVb7DPSEoAK8/view?usp=drivesdk" TargetMode="External"/><Relationship Id="rId1498" Type="http://schemas.openxmlformats.org/officeDocument/2006/relationships/hyperlink" Target="https://lh5.googleusercontent.com/d/1yHRkgmyv8Hp1lf0gnYCkTuHnAvd7yxjz" TargetMode="External"/><Relationship Id="rId1488" Type="http://schemas.openxmlformats.org/officeDocument/2006/relationships/hyperlink" Target="https://lh5.googleusercontent.com/d/10XSE_W165iFK44b99-gbK_wenrx0NvJO" TargetMode="External"/><Relationship Id="rId1489" Type="http://schemas.openxmlformats.org/officeDocument/2006/relationships/hyperlink" Target="https://drive.google.com/file/d/1EmVrJSXHJ4UYVzWlYQ2tSmbTFNdgDYvV/view?usp=drivesdk" TargetMode="External"/><Relationship Id="rId657" Type="http://schemas.openxmlformats.org/officeDocument/2006/relationships/hyperlink" Target="https://drive.google.com/file/d/1w8G1r2afnuVjZ632U6fnT_YOflJbCu9E/view?usp=drivesdk" TargetMode="External"/><Relationship Id="rId656" Type="http://schemas.openxmlformats.org/officeDocument/2006/relationships/hyperlink" Target="https://lh5.googleusercontent.com/d/17o85aQ0CsQxZyRr4P-au5h19c8vvrvcb" TargetMode="External"/><Relationship Id="rId655" Type="http://schemas.openxmlformats.org/officeDocument/2006/relationships/hyperlink" Target="https://drive.google.com/file/d/1kyO9hc9LjP60sPy9LSsJvAldShlY4NNY/view?usp=drivesdk" TargetMode="External"/><Relationship Id="rId654" Type="http://schemas.openxmlformats.org/officeDocument/2006/relationships/hyperlink" Target="https://lh5.googleusercontent.com/d/1H1G4jd1iJv7wbH5ASH5f3hH0QjFGMfka" TargetMode="External"/><Relationship Id="rId659" Type="http://schemas.openxmlformats.org/officeDocument/2006/relationships/hyperlink" Target="https://drive.google.com/file/d/1CSIBuHe7HluYGxgdU-FDN8TbXmbOsjBg/view?usp=drivesdk" TargetMode="External"/><Relationship Id="rId658" Type="http://schemas.openxmlformats.org/officeDocument/2006/relationships/hyperlink" Target="https://lh5.googleusercontent.com/d/1EdnEEzQtIq9hHzU5vQGVsqf2kZWO1gm1" TargetMode="External"/><Relationship Id="rId1480" Type="http://schemas.openxmlformats.org/officeDocument/2006/relationships/hyperlink" Target="https://lh5.googleusercontent.com/d/1lhrBzD0CZh7qvPY_WjZ443R11GZt24cb" TargetMode="External"/><Relationship Id="rId1481" Type="http://schemas.openxmlformats.org/officeDocument/2006/relationships/hyperlink" Target="https://drive.google.com/file/d/17Fc6-AfrySE0biNqH8pwY250UcHswaDb/view?usp=drivesdk" TargetMode="External"/><Relationship Id="rId1482" Type="http://schemas.openxmlformats.org/officeDocument/2006/relationships/hyperlink" Target="https://lh5.googleusercontent.com/d/14DsYEjJsLYpRSCRnx3r9qA1jXcWTldPg" TargetMode="External"/><Relationship Id="rId1483" Type="http://schemas.openxmlformats.org/officeDocument/2006/relationships/hyperlink" Target="https://drive.google.com/file/d/1BAqbhMByqT-j6qYs6dfGdQd05JhKOlkV/view?usp=drivesdk" TargetMode="External"/><Relationship Id="rId653" Type="http://schemas.openxmlformats.org/officeDocument/2006/relationships/hyperlink" Target="https://drive.google.com/file/d/1OREvklKvzkNA6hzisO8dXIDjdo2K9F1s/view?usp=drivesdk" TargetMode="External"/><Relationship Id="rId1484" Type="http://schemas.openxmlformats.org/officeDocument/2006/relationships/hyperlink" Target="https://lh5.googleusercontent.com/d/1ku1ISA3fYbPF7DasszEETDJSAYjrF-hr" TargetMode="External"/><Relationship Id="rId652" Type="http://schemas.openxmlformats.org/officeDocument/2006/relationships/hyperlink" Target="https://lh5.googleusercontent.com/d/1LmMYpeMx1cZNkhpbuJhjLOz9SZvTTsZr" TargetMode="External"/><Relationship Id="rId1485" Type="http://schemas.openxmlformats.org/officeDocument/2006/relationships/hyperlink" Target="https://drive.google.com/file/d/1JlbaZwLXzeYaZb4m-7cccHWDvRLPxcWC/view?usp=drivesdk" TargetMode="External"/><Relationship Id="rId651" Type="http://schemas.openxmlformats.org/officeDocument/2006/relationships/hyperlink" Target="https://drive.google.com/file/d/17cbwRsyO48WCmjZH6dyB6t5EX2MxtULP/view?usp=drivesdk" TargetMode="External"/><Relationship Id="rId1486" Type="http://schemas.openxmlformats.org/officeDocument/2006/relationships/hyperlink" Target="https://lh5.googleusercontent.com/d/1iEDPrz9h1F0LCKFkovFMqD7j9v12moZD" TargetMode="External"/><Relationship Id="rId650" Type="http://schemas.openxmlformats.org/officeDocument/2006/relationships/hyperlink" Target="https://lh5.googleusercontent.com/d/1PXxXDunftf7Oynb3lBfi3A5PwPTh5BA_" TargetMode="External"/><Relationship Id="rId1487" Type="http://schemas.openxmlformats.org/officeDocument/2006/relationships/hyperlink" Target="https://drive.google.com/file/d/1dNejZHzQGTx2j63gpIidDwhgoYMXjDyE/view?usp=drivesdk" TargetMode="External"/><Relationship Id="rId689" Type="http://schemas.openxmlformats.org/officeDocument/2006/relationships/hyperlink" Target="https://drive.google.com/file/d/1l3RkN-LrwzRz2QjNIppS_XVf4aCSrquV/view?usp=drivesdk" TargetMode="External"/><Relationship Id="rId688" Type="http://schemas.openxmlformats.org/officeDocument/2006/relationships/hyperlink" Target="https://lh5.googleusercontent.com/d/1wCuxcPKrNu1clellXSn5788mkoXuwCpW" TargetMode="External"/><Relationship Id="rId687" Type="http://schemas.openxmlformats.org/officeDocument/2006/relationships/hyperlink" Target="https://drive.google.com/file/d/1YucK6J9ia6-z6MyebP2pMh9vUSWpAUtD/view?usp=drivesdk" TargetMode="External"/><Relationship Id="rId682" Type="http://schemas.openxmlformats.org/officeDocument/2006/relationships/hyperlink" Target="https://lh5.googleusercontent.com/d/1MBbLwT6gsMlD6F7mGAM0Vc5mG6jfNop5" TargetMode="External"/><Relationship Id="rId681" Type="http://schemas.openxmlformats.org/officeDocument/2006/relationships/hyperlink" Target="https://drive.google.com/file/d/1LbTVD2S137RPZPaZftwW-IYTI39lRpS8/view?usp=drivesdk" TargetMode="External"/><Relationship Id="rId680" Type="http://schemas.openxmlformats.org/officeDocument/2006/relationships/hyperlink" Target="https://lh5.googleusercontent.com/d/1HZ8OKLEOYw5GKVc_KXbC1iImQ786WK-n" TargetMode="External"/><Relationship Id="rId686" Type="http://schemas.openxmlformats.org/officeDocument/2006/relationships/hyperlink" Target="https://lh5.googleusercontent.com/d/1fI9tYIN4X8wugrS-pJKOzaoU5zKWuZei" TargetMode="External"/><Relationship Id="rId685" Type="http://schemas.openxmlformats.org/officeDocument/2006/relationships/hyperlink" Target="https://drive.google.com/file/d/1SF6ddX24_kGC77qGrggl2-_i2uo4j_qE/view?usp=drivesdk" TargetMode="External"/><Relationship Id="rId684" Type="http://schemas.openxmlformats.org/officeDocument/2006/relationships/hyperlink" Target="https://lh5.googleusercontent.com/d/1p6jKy5VXzKJk-Je9YLrJ0Xml7Wid25Rq" TargetMode="External"/><Relationship Id="rId683" Type="http://schemas.openxmlformats.org/officeDocument/2006/relationships/hyperlink" Target="https://drive.google.com/file/d/19TtSxKDwI6XC8OFlA4oltcf50tsukvAu/view?usp=drivesdk" TargetMode="External"/><Relationship Id="rId679" Type="http://schemas.openxmlformats.org/officeDocument/2006/relationships/hyperlink" Target="https://drive.google.com/file/d/1Of6OaObs8q2kKPlkG6qG90b_cIwMX6fw/view?usp=drivesdk" TargetMode="External"/><Relationship Id="rId678" Type="http://schemas.openxmlformats.org/officeDocument/2006/relationships/hyperlink" Target="https://lh5.googleusercontent.com/d/17LN6NzqPxcpvP52o9Kx5pXR0F4O92tIz" TargetMode="External"/><Relationship Id="rId677" Type="http://schemas.openxmlformats.org/officeDocument/2006/relationships/hyperlink" Target="https://drive.google.com/file/d/1qk1lLqp3iS1eLjh_FnFeWZoNijNKYCPp/view?usp=drivesdk" TargetMode="External"/><Relationship Id="rId676" Type="http://schemas.openxmlformats.org/officeDocument/2006/relationships/hyperlink" Target="https://lh5.googleusercontent.com/d/1-4aNlufh46DUjK2uP9FHgIso4WXT4X_B" TargetMode="External"/><Relationship Id="rId671" Type="http://schemas.openxmlformats.org/officeDocument/2006/relationships/hyperlink" Target="https://drive.google.com/file/d/11FLvK33ES0t_ywHL6QrCcKPUSapkRdhW/view?usp=drivesdk" TargetMode="External"/><Relationship Id="rId670" Type="http://schemas.openxmlformats.org/officeDocument/2006/relationships/hyperlink" Target="https://lh5.googleusercontent.com/d/1ZzGbXuF_SEzah2LX6OjeWMEasl-cYPyh" TargetMode="External"/><Relationship Id="rId675" Type="http://schemas.openxmlformats.org/officeDocument/2006/relationships/hyperlink" Target="https://drive.google.com/file/d/1iBCDzNTxI-bwXnGBuveNjjBL2CZ8TI90/view?usp=drivesdk" TargetMode="External"/><Relationship Id="rId674" Type="http://schemas.openxmlformats.org/officeDocument/2006/relationships/hyperlink" Target="https://lh5.googleusercontent.com/d/1e_JeTnukoKno22oScHJVfXwrwhhpTjr4" TargetMode="External"/><Relationship Id="rId673" Type="http://schemas.openxmlformats.org/officeDocument/2006/relationships/hyperlink" Target="https://drive.google.com/file/d/1mSQIE4k8EqIQhBK_s4nKssutEjn_eXC1/view?usp=drivesdk" TargetMode="External"/><Relationship Id="rId672" Type="http://schemas.openxmlformats.org/officeDocument/2006/relationships/hyperlink" Target="https://lh5.googleusercontent.com/d/1n3lssVseHrd3Z8FMvz7Q63rWdPhqD3MM" TargetMode="External"/><Relationship Id="rId190" Type="http://schemas.openxmlformats.org/officeDocument/2006/relationships/hyperlink" Target="https://lh5.googleusercontent.com/d/1cYOuzAOu0O97G4RXY5EqV3V1znParSMh" TargetMode="External"/><Relationship Id="rId194" Type="http://schemas.openxmlformats.org/officeDocument/2006/relationships/hyperlink" Target="https://lh5.googleusercontent.com/d/16QYJtUUH-TWEja_EjxxVD8lSbdATJrCj" TargetMode="External"/><Relationship Id="rId193" Type="http://schemas.openxmlformats.org/officeDocument/2006/relationships/hyperlink" Target="https://drive.google.com/file/d/1nbUW8LRScLY1jH4_Aik9CucVclWCnuyo/view?usp=drivesdk" TargetMode="External"/><Relationship Id="rId192" Type="http://schemas.openxmlformats.org/officeDocument/2006/relationships/hyperlink" Target="https://lh5.googleusercontent.com/d/1pG6xfR22PwKgw9-vzn9reu5OfUvCkziq" TargetMode="External"/><Relationship Id="rId191" Type="http://schemas.openxmlformats.org/officeDocument/2006/relationships/hyperlink" Target="https://drive.google.com/file/d/1OgIiS5KHmnlqCOriZv4Zrosb9YvlBr65/view?usp=drivesdk" TargetMode="External"/><Relationship Id="rId187" Type="http://schemas.openxmlformats.org/officeDocument/2006/relationships/hyperlink" Target="https://drive.google.com/file/d/1MDyzS1tyAwvd2odhYUw5t42dqfqygWwU/view?usp=drivesdk" TargetMode="External"/><Relationship Id="rId186" Type="http://schemas.openxmlformats.org/officeDocument/2006/relationships/hyperlink" Target="https://lh5.googleusercontent.com/d/194tqlEu__fkNPNVuoeTQPOKWw0OCJiRL" TargetMode="External"/><Relationship Id="rId185" Type="http://schemas.openxmlformats.org/officeDocument/2006/relationships/hyperlink" Target="https://drive.google.com/file/d/1JD21mfgSIGuDub35Bui0ai-00Niqwcsa/view?usp=drivesdk" TargetMode="External"/><Relationship Id="rId184" Type="http://schemas.openxmlformats.org/officeDocument/2006/relationships/hyperlink" Target="https://lh5.googleusercontent.com/d/1paIGFAYv0XfQE1s0mEMeHrVdLNe2m0xF" TargetMode="External"/><Relationship Id="rId189" Type="http://schemas.openxmlformats.org/officeDocument/2006/relationships/hyperlink" Target="https://drive.google.com/file/d/1Wkpel19QOnabNbaVwLnaIzncpvIFpbN4/view?usp=drivesdk" TargetMode="External"/><Relationship Id="rId188" Type="http://schemas.openxmlformats.org/officeDocument/2006/relationships/hyperlink" Target="https://lh5.googleusercontent.com/d/1-d1yOlAZaYZRSbn1sOWQgcRYqwEIzbSW" TargetMode="External"/><Relationship Id="rId183" Type="http://schemas.openxmlformats.org/officeDocument/2006/relationships/hyperlink" Target="https://drive.google.com/file/d/1vzTis4_vgZhkKxWnN5_2f43drnH4eLrB/view?usp=drivesdk" TargetMode="External"/><Relationship Id="rId182" Type="http://schemas.openxmlformats.org/officeDocument/2006/relationships/hyperlink" Target="https://lh5.googleusercontent.com/d/1ma6LUXATp8JbF77L48u8H7HR29j0tZ-Y" TargetMode="External"/><Relationship Id="rId181" Type="http://schemas.openxmlformats.org/officeDocument/2006/relationships/hyperlink" Target="https://drive.google.com/file/d/1jUs_KG-CphlDfmwnUQMol8mzsjdoxoz2/view?usp=drivesdk" TargetMode="External"/><Relationship Id="rId180" Type="http://schemas.openxmlformats.org/officeDocument/2006/relationships/hyperlink" Target="https://lh5.googleusercontent.com/d/1-LhlGyeUS2cpUWVsA2NewPHp_WjBa6DY" TargetMode="External"/><Relationship Id="rId176" Type="http://schemas.openxmlformats.org/officeDocument/2006/relationships/hyperlink" Target="https://lh5.googleusercontent.com/d/1vegYCBKD1ifU6GhcdWYSLZb2vc5q9kAE" TargetMode="External"/><Relationship Id="rId175" Type="http://schemas.openxmlformats.org/officeDocument/2006/relationships/hyperlink" Target="https://drive.google.com/file/d/179T6tbXzJBJ3wwIbT3VZTEf7mwL2UHds/view?usp=drivesdk" TargetMode="External"/><Relationship Id="rId174" Type="http://schemas.openxmlformats.org/officeDocument/2006/relationships/hyperlink" Target="https://lh5.googleusercontent.com/d/1b_z_7ofbMys2N9YIDQidurUal5ReeigP" TargetMode="External"/><Relationship Id="rId173" Type="http://schemas.openxmlformats.org/officeDocument/2006/relationships/hyperlink" Target="https://drive.google.com/file/d/1xhwUjGWZBaXhFOH6rwF33OvOWLls8Xes/view?usp=drivesdk" TargetMode="External"/><Relationship Id="rId179" Type="http://schemas.openxmlformats.org/officeDocument/2006/relationships/hyperlink" Target="https://drive.google.com/file/d/1Gv7BzafzhcaQbAOD4hFwvt5ck6tUiGAD/view?usp=drivesdk" TargetMode="External"/><Relationship Id="rId178" Type="http://schemas.openxmlformats.org/officeDocument/2006/relationships/hyperlink" Target="https://lh5.googleusercontent.com/d/1sFT7YdMZloBnQJ0tXl1j2DOXdbdZaS7G" TargetMode="External"/><Relationship Id="rId177" Type="http://schemas.openxmlformats.org/officeDocument/2006/relationships/hyperlink" Target="https://drive.google.com/file/d/12_bzziSrHUf0EVDmYobPx9PauHvo-qkL/view?usp=drivesdk" TargetMode="External"/><Relationship Id="rId198" Type="http://schemas.openxmlformats.org/officeDocument/2006/relationships/hyperlink" Target="https://lh5.googleusercontent.com/d/1v-7Dd6wtBWB8kh6r8mhjKy3sgrzksT9K" TargetMode="External"/><Relationship Id="rId197" Type="http://schemas.openxmlformats.org/officeDocument/2006/relationships/hyperlink" Target="https://drive.google.com/file/d/17q88yrv0OAhAIZFRR9ao0_6AL_6VWOyI/view?usp=drivesdk" TargetMode="External"/><Relationship Id="rId196" Type="http://schemas.openxmlformats.org/officeDocument/2006/relationships/hyperlink" Target="https://lh5.googleusercontent.com/d/1rRDSyBsvA-9H6RIQFTOYppoUE2AeKLRC" TargetMode="External"/><Relationship Id="rId195" Type="http://schemas.openxmlformats.org/officeDocument/2006/relationships/hyperlink" Target="https://drive.google.com/file/d/1TU3sdEa8-hzwmKUdJ6ya_bbFhQmMFgMx/view?usp=drivesdk" TargetMode="External"/><Relationship Id="rId199" Type="http://schemas.openxmlformats.org/officeDocument/2006/relationships/hyperlink" Target="https://drive.google.com/file/d/1jVhmgG2Hjb8zaShJ4vLnpC5U9hulzjZD/view?usp=drivesdk" TargetMode="External"/><Relationship Id="rId150" Type="http://schemas.openxmlformats.org/officeDocument/2006/relationships/hyperlink" Target="https://drive.google.com/file/d/10crcLggNn0FXL4KJEv7MdWFCOBu3wKtm/view?usp=drivesdk" TargetMode="External"/><Relationship Id="rId149" Type="http://schemas.openxmlformats.org/officeDocument/2006/relationships/hyperlink" Target="https://lh5.googleusercontent.com/d/1f5RHJV2dduW3voXC1o9awXLx1bDiPoBI" TargetMode="External"/><Relationship Id="rId148" Type="http://schemas.openxmlformats.org/officeDocument/2006/relationships/hyperlink" Target="https://drive.google.com/file/d/1Uwjh048yEr1XHVUY2fQyMV49_Nnvu5qg/view?usp=drivesdk" TargetMode="External"/><Relationship Id="rId143" Type="http://schemas.openxmlformats.org/officeDocument/2006/relationships/hyperlink" Target="https://lh5.googleusercontent.com/d/16ppzH9muKkevp87BjWuPGmOTDIQ6_o0R" TargetMode="External"/><Relationship Id="rId142" Type="http://schemas.openxmlformats.org/officeDocument/2006/relationships/hyperlink" Target="https://drive.google.com/file/d/1EKAHjq4YCMCmL9dajo9wsXd4OSX69l3h/view?usp=drivesdk" TargetMode="External"/><Relationship Id="rId141" Type="http://schemas.openxmlformats.org/officeDocument/2006/relationships/hyperlink" Target="https://lh5.googleusercontent.com/d/1XQaKmtEnF0s0lJWtATZN3gw5Q8n3_64L" TargetMode="External"/><Relationship Id="rId140" Type="http://schemas.openxmlformats.org/officeDocument/2006/relationships/hyperlink" Target="https://drive.google.com/file/d/1DX05amxWIxI8cS3QXsvaYc9BKMZbZ1m2/view?usp=drivesdk" TargetMode="External"/><Relationship Id="rId147" Type="http://schemas.openxmlformats.org/officeDocument/2006/relationships/hyperlink" Target="https://lh5.googleusercontent.com/d/1RmspRPAd7WGRZnajAryYfChSChOhBWam" TargetMode="External"/><Relationship Id="rId146" Type="http://schemas.openxmlformats.org/officeDocument/2006/relationships/hyperlink" Target="https://drive.google.com/file/d/1tnPXsDB5qTy2MzlTr7dOUNuW2mJXL_RE/view?usp=drivesdk" TargetMode="External"/><Relationship Id="rId145" Type="http://schemas.openxmlformats.org/officeDocument/2006/relationships/hyperlink" Target="https://lh5.googleusercontent.com/d/1E3GvDpCBMRzWStb487WMYspIQzJ_kcEK" TargetMode="External"/><Relationship Id="rId144" Type="http://schemas.openxmlformats.org/officeDocument/2006/relationships/hyperlink" Target="https://drive.google.com/file/d/1FXAUZo_iF-vL5szVTjCQpcRPfAfmPlBR/view?usp=drivesdk" TargetMode="External"/><Relationship Id="rId139" Type="http://schemas.openxmlformats.org/officeDocument/2006/relationships/hyperlink" Target="https://lh5.googleusercontent.com/d/1vdBP2q0vGsADvlgUVzK_6ufAGFNPhEuw" TargetMode="External"/><Relationship Id="rId138" Type="http://schemas.openxmlformats.org/officeDocument/2006/relationships/hyperlink" Target="https://drive.google.com/file/d/1ZKgYOl2lRjPfVWaxhmntuLW7NbxjObYb/view?usp=drivesdk" TargetMode="External"/><Relationship Id="rId137" Type="http://schemas.openxmlformats.org/officeDocument/2006/relationships/hyperlink" Target="https://lh5.googleusercontent.com/d/1KRCzHaiyV0-Bm1IMpH098c6RTBX8F6Ka" TargetMode="External"/><Relationship Id="rId132" Type="http://schemas.openxmlformats.org/officeDocument/2006/relationships/hyperlink" Target="https://drive.google.com/file/d/15z-mxqOmKA3IW1jxI427yQtVWD-RZQ84/view?usp=drivesdk" TargetMode="External"/><Relationship Id="rId131" Type="http://schemas.openxmlformats.org/officeDocument/2006/relationships/hyperlink" Target="https://lh5.googleusercontent.com/d/1S9R6BVSlhOzPwJo2SFty0pOQS4NrBbRV" TargetMode="External"/><Relationship Id="rId130" Type="http://schemas.openxmlformats.org/officeDocument/2006/relationships/hyperlink" Target="https://drive.google.com/file/d/1EMiDGxepdXFlJ3VjzE_MFas2pBMFEL1O/view?usp=drivesdk" TargetMode="External"/><Relationship Id="rId136" Type="http://schemas.openxmlformats.org/officeDocument/2006/relationships/hyperlink" Target="https://drive.google.com/file/d/1j8SKXlL7pLDj5yRY-cHcNZQz2bAcRSEn/view?usp=drivesdk" TargetMode="External"/><Relationship Id="rId135" Type="http://schemas.openxmlformats.org/officeDocument/2006/relationships/hyperlink" Target="https://lh5.googleusercontent.com/d/15YGwy8Wn_ZVGQx6o5SSr2uzloeyb7BKt" TargetMode="External"/><Relationship Id="rId134" Type="http://schemas.openxmlformats.org/officeDocument/2006/relationships/hyperlink" Target="https://drive.google.com/file/d/1DgIoEj7JAzm-_saSplxM42aWud4847Ne/view?usp=drivesdk" TargetMode="External"/><Relationship Id="rId133" Type="http://schemas.openxmlformats.org/officeDocument/2006/relationships/hyperlink" Target="https://lh5.googleusercontent.com/d/1-xJOzhIXxGO7flve3Zz7qKwnIFpGGRLq" TargetMode="External"/><Relationship Id="rId172" Type="http://schemas.openxmlformats.org/officeDocument/2006/relationships/hyperlink" Target="https://lh5.googleusercontent.com/d/15ctXmL4KiAzxIy7ttcA27Ay4qtOu23AJ" TargetMode="External"/><Relationship Id="rId171" Type="http://schemas.openxmlformats.org/officeDocument/2006/relationships/hyperlink" Target="https://drive.google.com/file/d/1u0V62UkLYH9rOjbz3KbTIzX5OqxZZShc/view?usp=drivesdk" TargetMode="External"/><Relationship Id="rId170" Type="http://schemas.openxmlformats.org/officeDocument/2006/relationships/hyperlink" Target="https://lh5.googleusercontent.com/d/1ihp9Qm_G05NPQMNrCcgtKCcBGL1WSpiO" TargetMode="External"/><Relationship Id="rId165" Type="http://schemas.openxmlformats.org/officeDocument/2006/relationships/hyperlink" Target="https://drive.google.com/file/d/1ZP53E6a5KVuW8H5FogaeTkxHUgSWPzmI/view?usp=drivesdk" TargetMode="External"/><Relationship Id="rId164" Type="http://schemas.openxmlformats.org/officeDocument/2006/relationships/hyperlink" Target="https://lh5.googleusercontent.com/d/1Soley60cPi-TjrNyRzfSMsHPAVGFQvZ5" TargetMode="External"/><Relationship Id="rId163" Type="http://schemas.openxmlformats.org/officeDocument/2006/relationships/hyperlink" Target="https://drive.google.com/file/d/1R2uNwbU8zJglRoXpQeG1Orgb7n4e3KdB/view?usp=drivesdk" TargetMode="External"/><Relationship Id="rId162" Type="http://schemas.openxmlformats.org/officeDocument/2006/relationships/hyperlink" Target="https://lh5.googleusercontent.com/d/1F1VfWflL5kC6_gc7lDg3rCBAyewHCK_o" TargetMode="External"/><Relationship Id="rId169" Type="http://schemas.openxmlformats.org/officeDocument/2006/relationships/hyperlink" Target="https://drive.google.com/file/d/1H26RygabrJuzYBcZ9zWtJBEyC1RMW1Er/view?usp=drivesdk" TargetMode="External"/><Relationship Id="rId168" Type="http://schemas.openxmlformats.org/officeDocument/2006/relationships/hyperlink" Target="https://lh5.googleusercontent.com/d/12emaXuBaAIvj7B_Okq8W_Xqv4wblhZb_" TargetMode="External"/><Relationship Id="rId167" Type="http://schemas.openxmlformats.org/officeDocument/2006/relationships/hyperlink" Target="https://drive.google.com/file/d/1aTsWoOIEe5Y557JdBgftcHFtIlfi_y61/view?usp=drivesdk" TargetMode="External"/><Relationship Id="rId166" Type="http://schemas.openxmlformats.org/officeDocument/2006/relationships/hyperlink" Target="https://lh5.googleusercontent.com/d/1VS0VwOyBXB_HkC5OK9Ind3mcQlXbQJZN" TargetMode="External"/><Relationship Id="rId161" Type="http://schemas.openxmlformats.org/officeDocument/2006/relationships/hyperlink" Target="https://drive.google.com/file/d/19v4Xin6PDj9rYRqv8TYqePJVWAMUin6j/view?usp=drivesdk" TargetMode="External"/><Relationship Id="rId160" Type="http://schemas.openxmlformats.org/officeDocument/2006/relationships/hyperlink" Target="https://lh5.googleusercontent.com/d/1puyrtH8lOhCyQCAfCmH8YT2SuwsBvt2j" TargetMode="External"/><Relationship Id="rId159" Type="http://schemas.openxmlformats.org/officeDocument/2006/relationships/hyperlink" Target="https://drive.google.com/file/d/1ePRLDvzvnVy9ywr0Qts9rVwh6IYa718H/view?usp=drivesdk" TargetMode="External"/><Relationship Id="rId154" Type="http://schemas.openxmlformats.org/officeDocument/2006/relationships/hyperlink" Target="https://lh5.googleusercontent.com/d/1hu1sCbSeVWUMD1SJobirmVIELNeFlu2P" TargetMode="External"/><Relationship Id="rId153" Type="http://schemas.openxmlformats.org/officeDocument/2006/relationships/hyperlink" Target="https://drive.google.com/file/d/1d96hf2M23SRXDYy9V9mmPOz9gkIIa1--/view?usp=drivesdk" TargetMode="External"/><Relationship Id="rId152" Type="http://schemas.openxmlformats.org/officeDocument/2006/relationships/hyperlink" Target="https://lh5.googleusercontent.com/d/1MYgWFHQ5Qo3MWwDwW4US8pYTsPD58CfT" TargetMode="External"/><Relationship Id="rId151" Type="http://schemas.openxmlformats.org/officeDocument/2006/relationships/hyperlink" Target="https://lh5.googleusercontent.com/d/1tKgexD_7hljzDHWmwcs5eHVCQKRqK34D" TargetMode="External"/><Relationship Id="rId158" Type="http://schemas.openxmlformats.org/officeDocument/2006/relationships/hyperlink" Target="https://lh5.googleusercontent.com/d/1Q64hvSnM2Rk6dBwpPX3XWA8JJqDhTvde" TargetMode="External"/><Relationship Id="rId157" Type="http://schemas.openxmlformats.org/officeDocument/2006/relationships/hyperlink" Target="https://drive.google.com/file/d/1h0I-epW3VMwyhrRpazJj_8Qx-19gjEkP/view?usp=drivesdk" TargetMode="External"/><Relationship Id="rId156" Type="http://schemas.openxmlformats.org/officeDocument/2006/relationships/hyperlink" Target="https://lh5.googleusercontent.com/d/1oQeZbL8ZQsWBdZlPla2-WsWKYtJytfL7" TargetMode="External"/><Relationship Id="rId155" Type="http://schemas.openxmlformats.org/officeDocument/2006/relationships/hyperlink" Target="https://drive.google.com/file/d/1r_l5GGhG7zmQCpTfqmlrGWTmjNK07IB-/view?usp=drivesdk" TargetMode="External"/><Relationship Id="rId1510" Type="http://schemas.openxmlformats.org/officeDocument/2006/relationships/hyperlink" Target="https://lh5.googleusercontent.com/d/14Ao9JAaIFZvp5X6gsrwt0waf4PjTF9Pv" TargetMode="External"/><Relationship Id="rId1511" Type="http://schemas.openxmlformats.org/officeDocument/2006/relationships/hyperlink" Target="https://drive.google.com/file/d/19pJaYhZLimYzgC0A4Qq9JKqSqyMsUj40/view?usp=drivesdk" TargetMode="External"/><Relationship Id="rId1512" Type="http://schemas.openxmlformats.org/officeDocument/2006/relationships/hyperlink" Target="https://lh5.googleusercontent.com/d/12zuC3LddRVa8Y-ZShQ5qnT-TswVwqo-7" TargetMode="External"/><Relationship Id="rId1513" Type="http://schemas.openxmlformats.org/officeDocument/2006/relationships/hyperlink" Target="https://drive.google.com/file/d/1Fd2jYSLBnzLWMkQ6ZKeiOIXALp7ISi5D/view?usp=drivesdk" TargetMode="External"/><Relationship Id="rId1514" Type="http://schemas.openxmlformats.org/officeDocument/2006/relationships/hyperlink" Target="https://lh5.googleusercontent.com/d/1Mi96z-6sNYY3CgfC37LE8cOtO1mzS3el" TargetMode="External"/><Relationship Id="rId1515" Type="http://schemas.openxmlformats.org/officeDocument/2006/relationships/hyperlink" Target="https://drive.google.com/file/d/1-naD3qYG2kKxDispiX-P7Ld487nJ9etS/view?usp=drivesdk" TargetMode="External"/><Relationship Id="rId1516" Type="http://schemas.openxmlformats.org/officeDocument/2006/relationships/hyperlink" Target="https://lh5.googleusercontent.com/d/1-4ngA000vOV2nZhuP4KI26PJZd6Xg3u6" TargetMode="External"/><Relationship Id="rId1517" Type="http://schemas.openxmlformats.org/officeDocument/2006/relationships/hyperlink" Target="https://drive.google.com/file/d/1PNkiJeMi1TfaGX46gqEaIb4LDBJqmVDx/view?usp=drivesdk" TargetMode="External"/><Relationship Id="rId1518" Type="http://schemas.openxmlformats.org/officeDocument/2006/relationships/hyperlink" Target="https://lh5.googleusercontent.com/d/1MjCgroJxhemWF6HSKO3cfP4JGwAKE3Nc" TargetMode="External"/><Relationship Id="rId1519" Type="http://schemas.openxmlformats.org/officeDocument/2006/relationships/hyperlink" Target="https://drive.google.com/file/d/1OrGAvdSdTEK5fKZ8Ign5abN2_K3P4kYN/view?usp=drivesdk" TargetMode="External"/><Relationship Id="rId1500" Type="http://schemas.openxmlformats.org/officeDocument/2006/relationships/hyperlink" Target="https://lh5.googleusercontent.com/d/1JMQi28UDxskMT2FjPMebj9Oomc2KirIa" TargetMode="External"/><Relationship Id="rId1501" Type="http://schemas.openxmlformats.org/officeDocument/2006/relationships/hyperlink" Target="https://drive.google.com/file/d/1-IKVUyn07lRnnUJ61Z9dhotGIsOrmwes/view?usp=drivesdk" TargetMode="External"/><Relationship Id="rId1502" Type="http://schemas.openxmlformats.org/officeDocument/2006/relationships/hyperlink" Target="https://lh5.googleusercontent.com/d/11XZ4mVSloYElidXH4pdO-MXqDKoX6m27" TargetMode="External"/><Relationship Id="rId1503" Type="http://schemas.openxmlformats.org/officeDocument/2006/relationships/hyperlink" Target="https://drive.google.com/file/d/1y1AG6BA2jZyZ3dZ_w8kC3bBy-PzX2M8L/view?usp=drivesdk" TargetMode="External"/><Relationship Id="rId1504" Type="http://schemas.openxmlformats.org/officeDocument/2006/relationships/hyperlink" Target="https://lh5.googleusercontent.com/d/1qb8PFJ4Hfo78sMRW_XyrIfvxM7_Yt09N" TargetMode="External"/><Relationship Id="rId1505" Type="http://schemas.openxmlformats.org/officeDocument/2006/relationships/hyperlink" Target="https://drive.google.com/file/d/1K51bpEL6pOR2sljqBsqsf_JrHF5t4Wye/view?usp=drivesdk" TargetMode="External"/><Relationship Id="rId1506" Type="http://schemas.openxmlformats.org/officeDocument/2006/relationships/hyperlink" Target="https://lh5.googleusercontent.com/d/1s-N3F6QaL7UPYeP4DQsrLMp9kpd3_WZC" TargetMode="External"/><Relationship Id="rId1507" Type="http://schemas.openxmlformats.org/officeDocument/2006/relationships/hyperlink" Target="https://drive.google.com/file/d/1X7jBYdd_gkqqJeNoYs8RnMsieJPr6i0U/view?usp=drivesdk" TargetMode="External"/><Relationship Id="rId1508" Type="http://schemas.openxmlformats.org/officeDocument/2006/relationships/hyperlink" Target="https://lh5.googleusercontent.com/d/1F35naRyscTmGxbmsWvBsw9LcdbwA1UIL" TargetMode="External"/><Relationship Id="rId1509" Type="http://schemas.openxmlformats.org/officeDocument/2006/relationships/hyperlink" Target="https://drive.google.com/file/d/1F4osWu2mI6YSLrSaySxV_ukOfMc06-3P/view?usp=drivesdk" TargetMode="External"/><Relationship Id="rId1576" Type="http://schemas.openxmlformats.org/officeDocument/2006/relationships/hyperlink" Target="https://lh5.googleusercontent.com/d/1mz6ush4VmdOOHlaIKSuxO5Y2t-EoKpb2" TargetMode="External"/><Relationship Id="rId1577" Type="http://schemas.openxmlformats.org/officeDocument/2006/relationships/hyperlink" Target="https://drive.google.com/file/d/13Z-npktU5c0x4alogz_WG1gwCRtHij_5/view?usp=drivesdk" TargetMode="External"/><Relationship Id="rId1578" Type="http://schemas.openxmlformats.org/officeDocument/2006/relationships/hyperlink" Target="https://lh5.googleusercontent.com/d/1MAHZbSIuVDnk8qspgp4I0w8HztOn0wjh" TargetMode="External"/><Relationship Id="rId1579" Type="http://schemas.openxmlformats.org/officeDocument/2006/relationships/hyperlink" Target="https://drive.google.com/file/d/1yXSQDkNFRllN7z2TJ6UUJYSD7G5o4Zi0/view?usp=drivesdk" TargetMode="External"/><Relationship Id="rId987" Type="http://schemas.openxmlformats.org/officeDocument/2006/relationships/hyperlink" Target="https://lh5.googleusercontent.com/d/1ini5SR5Wlxp9yqchg6AndRk97T8foX1T" TargetMode="External"/><Relationship Id="rId986" Type="http://schemas.openxmlformats.org/officeDocument/2006/relationships/hyperlink" Target="https://drive.google.com/file/d/1YftZ9mIYPllxSuB2MFxDtEy1eIiVodtH/view?usp=drivesdk" TargetMode="External"/><Relationship Id="rId985" Type="http://schemas.openxmlformats.org/officeDocument/2006/relationships/hyperlink" Target="https://lh5.googleusercontent.com/d/1CxBo4ZdbWMXZJjKGyPaOMaFH23MSEfPX" TargetMode="External"/><Relationship Id="rId984" Type="http://schemas.openxmlformats.org/officeDocument/2006/relationships/hyperlink" Target="https://drive.google.com/file/d/1VyPmM0wNUsUDbivTX2VTJcCyValbh63f/view?usp=drivesdk" TargetMode="External"/><Relationship Id="rId989" Type="http://schemas.openxmlformats.org/officeDocument/2006/relationships/hyperlink" Target="https://lh5.googleusercontent.com/d/1sK98xr3k-5UBhoAggnUdEa4M_sjaesNe" TargetMode="External"/><Relationship Id="rId988" Type="http://schemas.openxmlformats.org/officeDocument/2006/relationships/hyperlink" Target="https://drive.google.com/file/d/1gIAv33CZZKDZ9UbTpCE09GKIIhcdSIQy/view?usp=drivesdk" TargetMode="External"/><Relationship Id="rId1570" Type="http://schemas.openxmlformats.org/officeDocument/2006/relationships/hyperlink" Target="https://lh5.googleusercontent.com/d/1_SDrNh1AzLbbaI5U8o5fFoYindHCQCR2" TargetMode="External"/><Relationship Id="rId1571" Type="http://schemas.openxmlformats.org/officeDocument/2006/relationships/hyperlink" Target="https://drive.google.com/file/d/10sa4W4HXc9zwFYr-Ks1C8-BG-gTLasR-/view?usp=drivesdk" TargetMode="External"/><Relationship Id="rId983" Type="http://schemas.openxmlformats.org/officeDocument/2006/relationships/hyperlink" Target="https://lh5.googleusercontent.com/d/1qbs_BQGfQwSoAButLUNHOsLCHdIDXEHm" TargetMode="External"/><Relationship Id="rId1572" Type="http://schemas.openxmlformats.org/officeDocument/2006/relationships/hyperlink" Target="https://lh5.googleusercontent.com/d/1T80uOASPtNiAwnEUJdXYubqyK0N0sFlh" TargetMode="External"/><Relationship Id="rId982" Type="http://schemas.openxmlformats.org/officeDocument/2006/relationships/hyperlink" Target="https://drive.google.com/file/d/1NlzMZrww57Rnfqexl3VVOJKtTuXGbm9R/view?usp=drivesdk" TargetMode="External"/><Relationship Id="rId1573" Type="http://schemas.openxmlformats.org/officeDocument/2006/relationships/hyperlink" Target="https://drive.google.com/file/d/1Al-7ZFTpVXWOLnLlVz5mL593XE3MVZuV/view?usp=drivesdk" TargetMode="External"/><Relationship Id="rId981" Type="http://schemas.openxmlformats.org/officeDocument/2006/relationships/hyperlink" Target="https://lh5.googleusercontent.com/d/1jeJzB2dR1z_0i960ESPKGjgeC4byeLEi" TargetMode="External"/><Relationship Id="rId1574" Type="http://schemas.openxmlformats.org/officeDocument/2006/relationships/hyperlink" Target="https://lh5.googleusercontent.com/d/1-IwuN7_uJ_D4s2QdvPi6ha4Y_odFEXK0" TargetMode="External"/><Relationship Id="rId980" Type="http://schemas.openxmlformats.org/officeDocument/2006/relationships/hyperlink" Target="https://drive.google.com/file/d/1sn7N01imi2uz_TmS5eP4ZMRw470A8WwV/view?usp=drivesdk" TargetMode="External"/><Relationship Id="rId1575" Type="http://schemas.openxmlformats.org/officeDocument/2006/relationships/hyperlink" Target="https://drive.google.com/file/d/1o3rskx3a8wJywhBfHkb0q9x3lBXauUVi/view?usp=drivesdk" TargetMode="External"/><Relationship Id="rId1565" Type="http://schemas.openxmlformats.org/officeDocument/2006/relationships/hyperlink" Target="https://drive.google.com/file/d/1Mc8w-JuS7ZceHVOPTe8nqBbWenjJFX58/view?usp=drivesdk" TargetMode="External"/><Relationship Id="rId1566" Type="http://schemas.openxmlformats.org/officeDocument/2006/relationships/hyperlink" Target="https://lh5.googleusercontent.com/d/1Glnq2r0IJgTbZ2QrYN9aujdGhFQTZjl5" TargetMode="External"/><Relationship Id="rId1567" Type="http://schemas.openxmlformats.org/officeDocument/2006/relationships/hyperlink" Target="https://drive.google.com/file/d/1E1NXcwsf8TyB5awavS2S0HkgHcYmIAe0/view?usp=drivesdk" TargetMode="External"/><Relationship Id="rId1568" Type="http://schemas.openxmlformats.org/officeDocument/2006/relationships/hyperlink" Target="https://lh5.googleusercontent.com/d/14TnHPLOqMyz3Z_t4tL_ucmSe0nkxnuOF" TargetMode="External"/><Relationship Id="rId1569" Type="http://schemas.openxmlformats.org/officeDocument/2006/relationships/hyperlink" Target="https://drive.google.com/file/d/1joy_oDwMRGLbJArS2VYI7WncjMmlCnav/view?usp=drivesdk" TargetMode="External"/><Relationship Id="rId976" Type="http://schemas.openxmlformats.org/officeDocument/2006/relationships/hyperlink" Target="https://drive.google.com/file/d/1Ri2DlIyDVsYQQyVWO02FrPJZALjjNR3_/view?usp=drivesdk" TargetMode="External"/><Relationship Id="rId975" Type="http://schemas.openxmlformats.org/officeDocument/2006/relationships/hyperlink" Target="https://lh5.googleusercontent.com/d/1DAVUCdbL7wwxmrhJIdQ52wJBKi0VOsHb" TargetMode="External"/><Relationship Id="rId974" Type="http://schemas.openxmlformats.org/officeDocument/2006/relationships/hyperlink" Target="https://drive.google.com/file/d/1goVAjXAji_subElHr3a53irQejOZSJ8J/view?usp=drivesdk" TargetMode="External"/><Relationship Id="rId973" Type="http://schemas.openxmlformats.org/officeDocument/2006/relationships/hyperlink" Target="https://lh5.googleusercontent.com/d/1Kv62_HS2H06kJon26d6Mr4eMTUYaKFz0" TargetMode="External"/><Relationship Id="rId979" Type="http://schemas.openxmlformats.org/officeDocument/2006/relationships/hyperlink" Target="https://lh5.googleusercontent.com/d/1Ybtbs37FuHELp0HuWD1yHrHfSJD_IYoi" TargetMode="External"/><Relationship Id="rId978" Type="http://schemas.openxmlformats.org/officeDocument/2006/relationships/hyperlink" Target="https://drive.google.com/file/d/1dJV7TOrX6__QHDjK3PvFc0aBDvRXUlhl/view?usp=drivesdk" TargetMode="External"/><Relationship Id="rId977" Type="http://schemas.openxmlformats.org/officeDocument/2006/relationships/hyperlink" Target="https://lh5.googleusercontent.com/d/1Ruuj-JvHcOeiRrqSeDXPJLzRcWTlehYM" TargetMode="External"/><Relationship Id="rId1560" Type="http://schemas.openxmlformats.org/officeDocument/2006/relationships/hyperlink" Target="https://lh5.googleusercontent.com/d/1K-f327no1CKC1BxzgeqGyLXr4A9Vhev_" TargetMode="External"/><Relationship Id="rId972" Type="http://schemas.openxmlformats.org/officeDocument/2006/relationships/hyperlink" Target="https://drive.google.com/file/d/1xcQqKnNW8QnpgU2HAhi6mnhZi8X3uypV/view?usp=drivesdk" TargetMode="External"/><Relationship Id="rId1561" Type="http://schemas.openxmlformats.org/officeDocument/2006/relationships/hyperlink" Target="https://drive.google.com/file/d/1MtWm7ac7nHLDSIB9bubgeVNs2aNtD1u6/view?usp=drivesdk" TargetMode="External"/><Relationship Id="rId971" Type="http://schemas.openxmlformats.org/officeDocument/2006/relationships/hyperlink" Target="https://lh5.googleusercontent.com/d/18blsgPyb5Q1ZOb-hB0UwcJKHIb1v-Huj" TargetMode="External"/><Relationship Id="rId1562" Type="http://schemas.openxmlformats.org/officeDocument/2006/relationships/hyperlink" Target="https://lh5.googleusercontent.com/d/1nPymyMgEWVONZU3HSuvLP9UVNWQBkBjG" TargetMode="External"/><Relationship Id="rId970" Type="http://schemas.openxmlformats.org/officeDocument/2006/relationships/hyperlink" Target="https://drive.google.com/file/d/1pLYmROd-5rFh1_FLwskG0cwGpJY_-yAL/view?usp=drivesdk" TargetMode="External"/><Relationship Id="rId1563" Type="http://schemas.openxmlformats.org/officeDocument/2006/relationships/hyperlink" Target="https://drive.google.com/file/d/1dLnnIq0Zaz2zMCMn5YhKgULg04_rA_gT/view?usp=drivesdk" TargetMode="External"/><Relationship Id="rId1564" Type="http://schemas.openxmlformats.org/officeDocument/2006/relationships/hyperlink" Target="https://lh5.googleusercontent.com/d/1pETx3LL4VHlQx5N893RE6pbdxfBZwkwg" TargetMode="External"/><Relationship Id="rId1598" Type="http://schemas.openxmlformats.org/officeDocument/2006/relationships/hyperlink" Target="https://lh5.googleusercontent.com/d/1aycegNn0Y3k_Bbop_xNS5p7lzYjF2M7O" TargetMode="External"/><Relationship Id="rId1599" Type="http://schemas.openxmlformats.org/officeDocument/2006/relationships/hyperlink" Target="https://drive.google.com/file/d/1kpyebnxTMitDA3ytRZBEtxRgPRzXR2mk/view?usp=drivesdk" TargetMode="External"/><Relationship Id="rId1590" Type="http://schemas.openxmlformats.org/officeDocument/2006/relationships/hyperlink" Target="https://lh5.googleusercontent.com/d/165efb5bZhgXECX_k7l2hwJpk7uzRlMsB" TargetMode="External"/><Relationship Id="rId1591" Type="http://schemas.openxmlformats.org/officeDocument/2006/relationships/hyperlink" Target="https://drive.google.com/file/d/1nDxnKRPHK4AsPBZuP655y_j9eheElcPf/view?usp=drivesdk" TargetMode="External"/><Relationship Id="rId1592" Type="http://schemas.openxmlformats.org/officeDocument/2006/relationships/hyperlink" Target="https://lh5.googleusercontent.com/d/1HRG-o4dWfhbbwouMQNQKopjDxqQZfhEZ" TargetMode="External"/><Relationship Id="rId1593" Type="http://schemas.openxmlformats.org/officeDocument/2006/relationships/hyperlink" Target="https://drive.google.com/file/d/1XWH9tLPcex0dJWW8znD4770Dbr93mtgF/view?usp=drivesdk" TargetMode="External"/><Relationship Id="rId1594" Type="http://schemas.openxmlformats.org/officeDocument/2006/relationships/hyperlink" Target="https://lh5.googleusercontent.com/d/1qodJqQQ4XRIE0Gh_NYRnZQ2NGjsOnuNv" TargetMode="External"/><Relationship Id="rId1595" Type="http://schemas.openxmlformats.org/officeDocument/2006/relationships/hyperlink" Target="https://drive.google.com/file/d/1vtM1edchL2ZdT6uTj-zEQ9RMWs5v3yJd/view?usp=drivesdk" TargetMode="External"/><Relationship Id="rId1596" Type="http://schemas.openxmlformats.org/officeDocument/2006/relationships/hyperlink" Target="https://lh5.googleusercontent.com/d/1D-A96oX9DqtAjyEoujW8e0kshvk02s0a" TargetMode="External"/><Relationship Id="rId1597" Type="http://schemas.openxmlformats.org/officeDocument/2006/relationships/hyperlink" Target="https://drive.google.com/file/d/1Eu0GtJlt22l7LQzWkm67ndUP6bl6G-1h/view?usp=drivesdk" TargetMode="External"/><Relationship Id="rId1587" Type="http://schemas.openxmlformats.org/officeDocument/2006/relationships/hyperlink" Target="https://drive.google.com/file/d/1P63SQe9S82ZT2-8C112pfgE4qualypq_/view?usp=drivesdk" TargetMode="External"/><Relationship Id="rId1588" Type="http://schemas.openxmlformats.org/officeDocument/2006/relationships/hyperlink" Target="https://lh5.googleusercontent.com/d/1H6KE7gvGbUeZWl2qJLjO5__e6dTocaI4" TargetMode="External"/><Relationship Id="rId1589" Type="http://schemas.openxmlformats.org/officeDocument/2006/relationships/hyperlink" Target="https://drive.google.com/file/d/1Fe7U62h1M7N_Pct_vsSKeZXQ7QE01F-k/view?usp=drivesdk" TargetMode="External"/><Relationship Id="rId998" Type="http://schemas.openxmlformats.org/officeDocument/2006/relationships/hyperlink" Target="https://drive.google.com/file/d/1UQc4CMcwsNwNKSUn29hTkviosKz7b2qW/view?usp=drivesdk" TargetMode="External"/><Relationship Id="rId997" Type="http://schemas.openxmlformats.org/officeDocument/2006/relationships/hyperlink" Target="https://lh5.googleusercontent.com/d/173oWD4QhbP9nfUzZ1yA9w00X1cdlfs7U" TargetMode="External"/><Relationship Id="rId996" Type="http://schemas.openxmlformats.org/officeDocument/2006/relationships/hyperlink" Target="https://drive.google.com/file/d/13ak3w5VQdTE7mduMZyEszs3eARnbnlQJ/view?usp=drivesdk" TargetMode="External"/><Relationship Id="rId995" Type="http://schemas.openxmlformats.org/officeDocument/2006/relationships/hyperlink" Target="https://lh5.googleusercontent.com/d/1z3NfVN0rFh3hfiiyfy2DQmR5bJPrahQw" TargetMode="External"/><Relationship Id="rId999" Type="http://schemas.openxmlformats.org/officeDocument/2006/relationships/hyperlink" Target="https://lh5.googleusercontent.com/d/1b0u0_AMMrl9FGkBRUVbdFBSZJHp9XbJS" TargetMode="External"/><Relationship Id="rId990" Type="http://schemas.openxmlformats.org/officeDocument/2006/relationships/hyperlink" Target="https://drive.google.com/file/d/1yBw3-a9R5GyEXxznwdgwIIpG_X8v1DN0/view?usp=drivesdk" TargetMode="External"/><Relationship Id="rId1580" Type="http://schemas.openxmlformats.org/officeDocument/2006/relationships/hyperlink" Target="https://lh5.googleusercontent.com/d/1Cui9syqARPDnZ_YlegMv8kzm6MictsoU" TargetMode="External"/><Relationship Id="rId1581" Type="http://schemas.openxmlformats.org/officeDocument/2006/relationships/hyperlink" Target="https://drive.google.com/file/d/1ugmu-390hQ4bw4-tQHLIxCzd5RWu5vJ4/view?usp=drivesdk" TargetMode="External"/><Relationship Id="rId1582" Type="http://schemas.openxmlformats.org/officeDocument/2006/relationships/hyperlink" Target="https://lh5.googleusercontent.com/d/1BGqfZaRV1yetR2OznHgwoUFAMNyMVwh0" TargetMode="External"/><Relationship Id="rId994" Type="http://schemas.openxmlformats.org/officeDocument/2006/relationships/hyperlink" Target="https://drive.google.com/file/d/1t3QzSlfVeha7Nb_ZhnRIzLlwtsB8JC0-/view?usp=drivesdk" TargetMode="External"/><Relationship Id="rId1583" Type="http://schemas.openxmlformats.org/officeDocument/2006/relationships/hyperlink" Target="https://drive.google.com/file/d/1QcpuYDJ89749az7rmwy6bA5XKUribjJS/view?usp=drivesdk" TargetMode="External"/><Relationship Id="rId993" Type="http://schemas.openxmlformats.org/officeDocument/2006/relationships/hyperlink" Target="https://lh5.googleusercontent.com/d/1rlrXT_1qbuidw4Hk-5r6rISv-D8qn34q" TargetMode="External"/><Relationship Id="rId1584" Type="http://schemas.openxmlformats.org/officeDocument/2006/relationships/hyperlink" Target="https://lh5.googleusercontent.com/d/1JaldxBrujubL19e6qVQ25kUrrKU-jWDm" TargetMode="External"/><Relationship Id="rId992" Type="http://schemas.openxmlformats.org/officeDocument/2006/relationships/hyperlink" Target="https://drive.google.com/file/d/1zdC0vtdHodhvTkkuI0GqeiKUh0eA7CPO/view?usp=drivesdk" TargetMode="External"/><Relationship Id="rId1585" Type="http://schemas.openxmlformats.org/officeDocument/2006/relationships/hyperlink" Target="https://drive.google.com/file/d/1K_gIv1uFBzQqP0xGgwJLqfvtywh8P7D-/view?usp=drivesdk" TargetMode="External"/><Relationship Id="rId991" Type="http://schemas.openxmlformats.org/officeDocument/2006/relationships/hyperlink" Target="https://lh5.googleusercontent.com/d/1PRVzzpZroJdtnvWz8aEA_x_FiEzohe-2" TargetMode="External"/><Relationship Id="rId1586" Type="http://schemas.openxmlformats.org/officeDocument/2006/relationships/hyperlink" Target="https://lh5.googleusercontent.com/d/1bq1KOU29t00x0aXnjFoeKtTxHZsIUPnr" TargetMode="External"/><Relationship Id="rId1532" Type="http://schemas.openxmlformats.org/officeDocument/2006/relationships/hyperlink" Target="https://lh5.googleusercontent.com/d/19C9_vNq7XLD513vDY6JGTMj4Bq7l7J7C" TargetMode="External"/><Relationship Id="rId1533" Type="http://schemas.openxmlformats.org/officeDocument/2006/relationships/hyperlink" Target="https://drive.google.com/file/d/168NhnlcCH6DkkAid5ivSw-XCvAdJmlYU/view?usp=drivesdk" TargetMode="External"/><Relationship Id="rId1534" Type="http://schemas.openxmlformats.org/officeDocument/2006/relationships/hyperlink" Target="https://lh5.googleusercontent.com/d/1pMFav0IlFe4GixAlcSRuRB5bgzS8j-i3" TargetMode="External"/><Relationship Id="rId1535" Type="http://schemas.openxmlformats.org/officeDocument/2006/relationships/hyperlink" Target="https://drive.google.com/file/d/1EiwM1ia7iGHw60neOXNPnUX9MnwNCmPc/view?usp=drivesdk" TargetMode="External"/><Relationship Id="rId1536" Type="http://schemas.openxmlformats.org/officeDocument/2006/relationships/hyperlink" Target="https://lh5.googleusercontent.com/d/1hsnLkqz2DOx8nRPAUxuECDGv29HHDcMu" TargetMode="External"/><Relationship Id="rId1537" Type="http://schemas.openxmlformats.org/officeDocument/2006/relationships/hyperlink" Target="https://drive.google.com/file/d/1rUvBbk1tk6wMDjZNOkNxlvNHR_wLzzFs/view?usp=drivesdk" TargetMode="External"/><Relationship Id="rId1538" Type="http://schemas.openxmlformats.org/officeDocument/2006/relationships/hyperlink" Target="https://lh5.googleusercontent.com/d/1ZxA_oeLq0UJUBSu2yiG1SP-I9WlJfF30" TargetMode="External"/><Relationship Id="rId1539" Type="http://schemas.openxmlformats.org/officeDocument/2006/relationships/hyperlink" Target="https://drive.google.com/file/d/1KG9kvsYg7d4sr7sBHbTsOoidBMXmpI8J/view?usp=drivesdk" TargetMode="External"/><Relationship Id="rId949" Type="http://schemas.openxmlformats.org/officeDocument/2006/relationships/hyperlink" Target="https://lh5.googleusercontent.com/d/15dqt3Y9sjXesnh3V0qsINGv8etw5kXIl" TargetMode="External"/><Relationship Id="rId948" Type="http://schemas.openxmlformats.org/officeDocument/2006/relationships/hyperlink" Target="https://drive.google.com/file/d/1hV8iqC0YFG8id8xgy2Ga_MFE2JcD8FNA/view?usp=drivesdk" TargetMode="External"/><Relationship Id="rId943" Type="http://schemas.openxmlformats.org/officeDocument/2006/relationships/hyperlink" Target="https://drive.google.com/file/d/1O1-ysZaxeCyg49DwJQy4B6UKNoJAWBSA/view?usp=drivesdk" TargetMode="External"/><Relationship Id="rId942" Type="http://schemas.openxmlformats.org/officeDocument/2006/relationships/hyperlink" Target="https://lh5.googleusercontent.com/d/1UkNDXJ6_QKvRDBvZQ5aIk-20qr4jGOnX" TargetMode="External"/><Relationship Id="rId941" Type="http://schemas.openxmlformats.org/officeDocument/2006/relationships/hyperlink" Target="https://drive.google.com/file/d/15ovOYpJzFgvck-u_UX8wRflZ7EKYJWfQ/view?usp=drivesdk" TargetMode="External"/><Relationship Id="rId940" Type="http://schemas.openxmlformats.org/officeDocument/2006/relationships/hyperlink" Target="https://lh5.googleusercontent.com/d/1WkCcoktIN6CzICnmNqbJuPDWRyrgnIV4" TargetMode="External"/><Relationship Id="rId947" Type="http://schemas.openxmlformats.org/officeDocument/2006/relationships/hyperlink" Target="https://drive.google.com/file/d/1Gj1QDHiW19pjJl4DzZ728_bLnHwl-8Rq/view?usp=drivesdk" TargetMode="External"/><Relationship Id="rId946" Type="http://schemas.openxmlformats.org/officeDocument/2006/relationships/hyperlink" Target="https://lh5.googleusercontent.com/d/156wY-X6dvfuDClnqxJLh7K7gWwM0jCNv" TargetMode="External"/><Relationship Id="rId945" Type="http://schemas.openxmlformats.org/officeDocument/2006/relationships/hyperlink" Target="https://drive.google.com/file/d/1eFttlC3fYl5uQngLZJJihDXEPoh7Oc4H/view?usp=drivesdk" TargetMode="External"/><Relationship Id="rId944" Type="http://schemas.openxmlformats.org/officeDocument/2006/relationships/hyperlink" Target="https://lh5.googleusercontent.com/d/1teyqqNl0Uwwrj_SX6oJVD1QWxwg-v9Ua" TargetMode="External"/><Relationship Id="rId1530" Type="http://schemas.openxmlformats.org/officeDocument/2006/relationships/hyperlink" Target="https://lh5.googleusercontent.com/d/1JGRRInQr96X6wp6IoCYiAjXDAHR1k6G-" TargetMode="External"/><Relationship Id="rId1531" Type="http://schemas.openxmlformats.org/officeDocument/2006/relationships/hyperlink" Target="https://drive.google.com/file/d/1udAjpHkbAQ1L6Y-Cp57xKZ3EopC7xs7J/view?usp=drivesdk" TargetMode="External"/><Relationship Id="rId1521" Type="http://schemas.openxmlformats.org/officeDocument/2006/relationships/hyperlink" Target="https://drive.google.com/file/d/1sjc2phvV88BnbEOSkGQZ6LlooV0fX8aI/view?usp=drivesdk" TargetMode="External"/><Relationship Id="rId1522" Type="http://schemas.openxmlformats.org/officeDocument/2006/relationships/hyperlink" Target="https://lh5.googleusercontent.com/d/1WCIuwWbJb-maZgeN3Tz1ivunAP69J1iC" TargetMode="External"/><Relationship Id="rId1523" Type="http://schemas.openxmlformats.org/officeDocument/2006/relationships/hyperlink" Target="https://drive.google.com/file/d/1m8S1ICfsuSjtsga7oxyBXbPvC3iVUbx1/view?usp=drivesdk" TargetMode="External"/><Relationship Id="rId1524" Type="http://schemas.openxmlformats.org/officeDocument/2006/relationships/hyperlink" Target="https://lh5.googleusercontent.com/d/1-kbHH0y0nrrDiJ2e2RpfbU9B6krfvVm9" TargetMode="External"/><Relationship Id="rId1525" Type="http://schemas.openxmlformats.org/officeDocument/2006/relationships/hyperlink" Target="https://drive.google.com/file/d/1ycsXjN4i2a4iYp45e94caxoSSU-fShPA/view?usp=drivesdk" TargetMode="External"/><Relationship Id="rId1526" Type="http://schemas.openxmlformats.org/officeDocument/2006/relationships/hyperlink" Target="https://lh5.googleusercontent.com/d/1t6HoIhHqsRZVuC2UccCe0uIAgsj3y4Hs" TargetMode="External"/><Relationship Id="rId1527" Type="http://schemas.openxmlformats.org/officeDocument/2006/relationships/hyperlink" Target="https://drive.google.com/file/d/18Bssh4_tOmAShXhiub7nQN1Q321it30X/view?usp=drivesdk" TargetMode="External"/><Relationship Id="rId1528" Type="http://schemas.openxmlformats.org/officeDocument/2006/relationships/hyperlink" Target="https://lh5.googleusercontent.com/d/1k3CyJTqWaYPonQkGu1uq8P2bHZUUrU29" TargetMode="External"/><Relationship Id="rId1529" Type="http://schemas.openxmlformats.org/officeDocument/2006/relationships/hyperlink" Target="https://drive.google.com/file/d/1ImqfsbrhE65nz5uBLIp_UqkiXKI_TNip/view?usp=drivesdk" TargetMode="External"/><Relationship Id="rId939" Type="http://schemas.openxmlformats.org/officeDocument/2006/relationships/hyperlink" Target="https://drive.google.com/file/d/1s-hfgjHp797XCsbhzqeZIOuBP408Qjen/view?usp=drivesdk" TargetMode="External"/><Relationship Id="rId938" Type="http://schemas.openxmlformats.org/officeDocument/2006/relationships/hyperlink" Target="https://lh5.googleusercontent.com/d/1UgmuIBGpELR4l0Cd_lE0_qvPIp4iQFDv" TargetMode="External"/><Relationship Id="rId937" Type="http://schemas.openxmlformats.org/officeDocument/2006/relationships/hyperlink" Target="https://drive.google.com/file/d/1AZln4ymoCKKkbaJ-xDAYg6ptor_ijRY3/view?usp=drivesdk" TargetMode="External"/><Relationship Id="rId932" Type="http://schemas.openxmlformats.org/officeDocument/2006/relationships/hyperlink" Target="https://lh5.googleusercontent.com/d/11yEthjBa9lMs9u7gO8Ks2sy7p1TkN0h-" TargetMode="External"/><Relationship Id="rId931" Type="http://schemas.openxmlformats.org/officeDocument/2006/relationships/hyperlink" Target="https://drive.google.com/file/d/12FQ3xJDUG-h71-SdGcu4ZzAlMoQ_AdQN/view?usp=drivesdk" TargetMode="External"/><Relationship Id="rId930" Type="http://schemas.openxmlformats.org/officeDocument/2006/relationships/hyperlink" Target="https://lh5.googleusercontent.com/d/1NDUhnXBNq2cP5PxUgc3D22mqRikRRXbK" TargetMode="External"/><Relationship Id="rId936" Type="http://schemas.openxmlformats.org/officeDocument/2006/relationships/hyperlink" Target="https://lh5.googleusercontent.com/d/1fTUh8eiVAjvKTXS_LVsvFXW568phk91I" TargetMode="External"/><Relationship Id="rId935" Type="http://schemas.openxmlformats.org/officeDocument/2006/relationships/hyperlink" Target="https://drive.google.com/file/d/1JmYgSBU6aiD4q1xK2rxSuGG1xxxdvIb6/view?usp=drivesdk" TargetMode="External"/><Relationship Id="rId934" Type="http://schemas.openxmlformats.org/officeDocument/2006/relationships/hyperlink" Target="https://lh5.googleusercontent.com/d/1W1D3ICLsJ6Z4sdcwv590mEde0xQM7zXv" TargetMode="External"/><Relationship Id="rId933" Type="http://schemas.openxmlformats.org/officeDocument/2006/relationships/hyperlink" Target="https://drive.google.com/file/d/1pv9DBVIrixj_r56Q14ooVl7gz0-QEDns/view?usp=drivesdk" TargetMode="External"/><Relationship Id="rId1520" Type="http://schemas.openxmlformats.org/officeDocument/2006/relationships/hyperlink" Target="https://lh5.googleusercontent.com/d/19jgW1ynDpA1zGrS7eYOdZaDz6KcOtFZ5" TargetMode="External"/><Relationship Id="rId1554" Type="http://schemas.openxmlformats.org/officeDocument/2006/relationships/hyperlink" Target="https://lh5.googleusercontent.com/d/1baAl-VkfqQQdOFSYSXpfszrzr5rOqOTp" TargetMode="External"/><Relationship Id="rId1555" Type="http://schemas.openxmlformats.org/officeDocument/2006/relationships/hyperlink" Target="https://drive.google.com/file/d/1m7f6fZBydAkCOlhzc-MaS-VKeTxkqb4w/view?usp=drivesdk" TargetMode="External"/><Relationship Id="rId1556" Type="http://schemas.openxmlformats.org/officeDocument/2006/relationships/hyperlink" Target="https://lh5.googleusercontent.com/d/1lxl3Zhub3O9TiHgS8TrzXx4glz_R7-zJ" TargetMode="External"/><Relationship Id="rId1557" Type="http://schemas.openxmlformats.org/officeDocument/2006/relationships/hyperlink" Target="https://drive.google.com/file/d/1OmqrS2LmiEbZOGeS0qLtu4VloyIqKwqJ/view?usp=drivesdk" TargetMode="External"/><Relationship Id="rId1558" Type="http://schemas.openxmlformats.org/officeDocument/2006/relationships/hyperlink" Target="https://lh5.googleusercontent.com/d/1kh_qlS8ZZIm1NpX779jeg1eSXXI4A1tO" TargetMode="External"/><Relationship Id="rId1559" Type="http://schemas.openxmlformats.org/officeDocument/2006/relationships/hyperlink" Target="https://drive.google.com/file/d/1EdxxEDpYDvNoBGKdq1ScIyzFHPZ_SHiZ/view?usp=drivesdk" TargetMode="External"/><Relationship Id="rId965" Type="http://schemas.openxmlformats.org/officeDocument/2006/relationships/hyperlink" Target="https://lh5.googleusercontent.com/d/1fiH6gVhb2f12DWoXpv3kNsRRv8xkiGje" TargetMode="External"/><Relationship Id="rId964" Type="http://schemas.openxmlformats.org/officeDocument/2006/relationships/hyperlink" Target="https://drive.google.com/file/d/1RhzPVzA-hI5NB_C0G8f2pxitLIl7Bvmr/view?usp=drivesdk" TargetMode="External"/><Relationship Id="rId963" Type="http://schemas.openxmlformats.org/officeDocument/2006/relationships/hyperlink" Target="https://lh5.googleusercontent.com/d/1R4_F8kbWj_cD2GAM6ggqhODMOE-m32zL" TargetMode="External"/><Relationship Id="rId962" Type="http://schemas.openxmlformats.org/officeDocument/2006/relationships/hyperlink" Target="https://drive.google.com/file/d/14sTyK10KklAXkCGSc_GVsx8oKm9crT5W/view?usp=drivesdk" TargetMode="External"/><Relationship Id="rId969" Type="http://schemas.openxmlformats.org/officeDocument/2006/relationships/hyperlink" Target="https://lh5.googleusercontent.com/d/18DPSsgWfHXxGGZuoBoU78OhVDqRbzE-4" TargetMode="External"/><Relationship Id="rId968" Type="http://schemas.openxmlformats.org/officeDocument/2006/relationships/hyperlink" Target="https://drive.google.com/file/d/15vjxfIpcFTYwgMvE98CNciDu6QzZtcf5/view?usp=drivesdk" TargetMode="External"/><Relationship Id="rId967" Type="http://schemas.openxmlformats.org/officeDocument/2006/relationships/hyperlink" Target="https://lh5.googleusercontent.com/d/1j9sWMrL7qhb1bPZRh6ne4naAZvSFyrNn" TargetMode="External"/><Relationship Id="rId966" Type="http://schemas.openxmlformats.org/officeDocument/2006/relationships/hyperlink" Target="https://drive.google.com/file/d/1nsWG3qVU65GOkJHU-Sh2C9INZdOm1v2-/view?usp=drivesdk" TargetMode="External"/><Relationship Id="rId961" Type="http://schemas.openxmlformats.org/officeDocument/2006/relationships/hyperlink" Target="https://lh5.googleusercontent.com/d/196GZY-1F-XJKV4XpVNpT_N6nkF8Yvpwh" TargetMode="External"/><Relationship Id="rId1550" Type="http://schemas.openxmlformats.org/officeDocument/2006/relationships/hyperlink" Target="https://lh5.googleusercontent.com/d/1njvjhFlxtGesOGYLCeaef8x7KWNQcqoV" TargetMode="External"/><Relationship Id="rId960" Type="http://schemas.openxmlformats.org/officeDocument/2006/relationships/hyperlink" Target="https://drive.google.com/file/d/1WFnKgJkqIyvKuSVDSXEC3tA03435NUwX/view?usp=drivesdk" TargetMode="External"/><Relationship Id="rId1551" Type="http://schemas.openxmlformats.org/officeDocument/2006/relationships/hyperlink" Target="https://drive.google.com/file/d/1PncAuS0c47cUfSI8kca-juFoiJ8umOsY/view?usp=drivesdk" TargetMode="External"/><Relationship Id="rId1552" Type="http://schemas.openxmlformats.org/officeDocument/2006/relationships/hyperlink" Target="https://lh5.googleusercontent.com/d/1w2REuZARInCYJx3ew6oOYSQZE0oJFxyG" TargetMode="External"/><Relationship Id="rId1553" Type="http://schemas.openxmlformats.org/officeDocument/2006/relationships/hyperlink" Target="https://drive.google.com/file/d/1cnr04DIfFPqjvGfROyTm1XA7ocs7qgMG/view?usp=drivesdk" TargetMode="External"/><Relationship Id="rId1543" Type="http://schemas.openxmlformats.org/officeDocument/2006/relationships/hyperlink" Target="https://drive.google.com/file/d/12bvQzDbG9bxp36S_bTR6S8GAw744AQjx/view?usp=drivesdk" TargetMode="External"/><Relationship Id="rId1544" Type="http://schemas.openxmlformats.org/officeDocument/2006/relationships/hyperlink" Target="https://lh5.googleusercontent.com/d/1YYfZ9BFDhVxTB2mFpnLuPpiLxMmb7Nnn" TargetMode="External"/><Relationship Id="rId1545" Type="http://schemas.openxmlformats.org/officeDocument/2006/relationships/hyperlink" Target="https://drive.google.com/file/d/112oPN3-bbPcz3HrevKMzlZljD1HvP2mk/view?usp=drivesdk" TargetMode="External"/><Relationship Id="rId1546" Type="http://schemas.openxmlformats.org/officeDocument/2006/relationships/hyperlink" Target="https://lh5.googleusercontent.com/d/1H1BCX7JEaDUMAc0i4n5t4oTJdTsnTKDd" TargetMode="External"/><Relationship Id="rId1547" Type="http://schemas.openxmlformats.org/officeDocument/2006/relationships/hyperlink" Target="https://drive.google.com/file/d/1vEX89LozVRCP_kaech9gwS3yIpuOGDxW/view?usp=drivesdk" TargetMode="External"/><Relationship Id="rId1548" Type="http://schemas.openxmlformats.org/officeDocument/2006/relationships/hyperlink" Target="https://lh5.googleusercontent.com/d/1mkkcdCG816GxLZi5teMN7Z-mp0vKrzsl" TargetMode="External"/><Relationship Id="rId1549" Type="http://schemas.openxmlformats.org/officeDocument/2006/relationships/hyperlink" Target="https://drive.google.com/file/d/1kit4r9Qr9fmYXPfe6YiMRXtJ5teY9sTf/view?usp=drivesdk" TargetMode="External"/><Relationship Id="rId959" Type="http://schemas.openxmlformats.org/officeDocument/2006/relationships/hyperlink" Target="https://lh5.googleusercontent.com/d/1lXX3vJdvMD_V0C1axTE5aPbTz3hQD7N1" TargetMode="External"/><Relationship Id="rId954" Type="http://schemas.openxmlformats.org/officeDocument/2006/relationships/hyperlink" Target="https://drive.google.com/file/d/171ZOqkqGcTh_-4L-QTuGJ3IcW9l4Jwk6/view?usp=drivesdk" TargetMode="External"/><Relationship Id="rId953" Type="http://schemas.openxmlformats.org/officeDocument/2006/relationships/hyperlink" Target="https://lh5.googleusercontent.com/d/1UjBfXRD-5u6u7Sx01vlw9NvaqUaEE4P3" TargetMode="External"/><Relationship Id="rId952" Type="http://schemas.openxmlformats.org/officeDocument/2006/relationships/hyperlink" Target="https://drive.google.com/file/d/1o40hUytV96geVFE1yl7-Xs_CU5fAufGN/view?usp=drivesdk" TargetMode="External"/><Relationship Id="rId951" Type="http://schemas.openxmlformats.org/officeDocument/2006/relationships/hyperlink" Target="https://lh5.googleusercontent.com/d/1iSXS8b8zWueB1glruy1j79Ahj7qceH_O" TargetMode="External"/><Relationship Id="rId958" Type="http://schemas.openxmlformats.org/officeDocument/2006/relationships/hyperlink" Target="https://drive.google.com/file/d/15YoBsoysZfe-tIoUWHsKA0tE_QrpjIeJ/view?usp=drivesdk" TargetMode="External"/><Relationship Id="rId957" Type="http://schemas.openxmlformats.org/officeDocument/2006/relationships/hyperlink" Target="https://lh5.googleusercontent.com/d/1ectly9BwGQKXWhAC50fHK7I-boGDjnmJ" TargetMode="External"/><Relationship Id="rId956" Type="http://schemas.openxmlformats.org/officeDocument/2006/relationships/hyperlink" Target="https://drive.google.com/file/d/18aNEYaP1tIKTGBN2rI6Ieqi1bJHjcuqN/view?usp=drivesdk" TargetMode="External"/><Relationship Id="rId955" Type="http://schemas.openxmlformats.org/officeDocument/2006/relationships/hyperlink" Target="https://lh5.googleusercontent.com/d/1Lh7DisozVixwwRrSvBnXAXUwtvgo7zgX" TargetMode="External"/><Relationship Id="rId950" Type="http://schemas.openxmlformats.org/officeDocument/2006/relationships/hyperlink" Target="https://drive.google.com/file/d/1uc64SJzUiWiaAQDRqEHe-V8HBoJdmpfk/view?usp=drivesdk" TargetMode="External"/><Relationship Id="rId1540" Type="http://schemas.openxmlformats.org/officeDocument/2006/relationships/hyperlink" Target="https://lh5.googleusercontent.com/d/1UE1ktnLAasowp1WzzyG2Z9XCtXZPmYUI" TargetMode="External"/><Relationship Id="rId1541" Type="http://schemas.openxmlformats.org/officeDocument/2006/relationships/hyperlink" Target="https://drive.google.com/file/d/14UAXSj56-NEZlGhqhCDd-FtjpZ2GxZFx/view?usp=drivesdk" TargetMode="External"/><Relationship Id="rId1542" Type="http://schemas.openxmlformats.org/officeDocument/2006/relationships/hyperlink" Target="https://lh5.googleusercontent.com/d/1Nph5rukfOMTWBbO0hrb6RifuBG-Dixd5" TargetMode="External"/><Relationship Id="rId107" Type="http://schemas.openxmlformats.org/officeDocument/2006/relationships/hyperlink" Target="https://lh5.googleusercontent.com/d/1Xf6kzEBWBsnJH3KYW3HTQP5mxgIkND6p" TargetMode="External"/><Relationship Id="rId106" Type="http://schemas.openxmlformats.org/officeDocument/2006/relationships/hyperlink" Target="https://drive.google.com/file/d/1AXc_r8bnsiEw12CHPrfCM35QHMzGRvbG/view?usp=drivesdk" TargetMode="External"/><Relationship Id="rId105" Type="http://schemas.openxmlformats.org/officeDocument/2006/relationships/hyperlink" Target="https://lh5.googleusercontent.com/d/1JyW1T1ELwpYMpZkxYsH9DQrENeyw9XA2" TargetMode="External"/><Relationship Id="rId104" Type="http://schemas.openxmlformats.org/officeDocument/2006/relationships/hyperlink" Target="https://drive.google.com/file/d/1igyhVQt0vb4k62h2XF8pWJgiXnpvb7Ab/view?usp=drivesdk" TargetMode="External"/><Relationship Id="rId109" Type="http://schemas.openxmlformats.org/officeDocument/2006/relationships/hyperlink" Target="https://lh5.googleusercontent.com/d/1SpynwLwliYm9CjwmSalcmhF03dAWeVI5" TargetMode="External"/><Relationship Id="rId108" Type="http://schemas.openxmlformats.org/officeDocument/2006/relationships/hyperlink" Target="https://drive.google.com/file/d/1FKBJIKKtu5ut1q629YTY3BmEp3ld0MQ1/view?usp=drivesdk" TargetMode="External"/><Relationship Id="rId103" Type="http://schemas.openxmlformats.org/officeDocument/2006/relationships/hyperlink" Target="https://lh5.googleusercontent.com/d/18Bf02u2wJrvOL2e2abBDiwKsKw-Y1B02" TargetMode="External"/><Relationship Id="rId102" Type="http://schemas.openxmlformats.org/officeDocument/2006/relationships/hyperlink" Target="https://drive.google.com/file/d/1IhE4Fgc7-rWmPZtLxoQh5D84tTd8nRN4/view?usp=drivesdk" TargetMode="External"/><Relationship Id="rId101" Type="http://schemas.openxmlformats.org/officeDocument/2006/relationships/hyperlink" Target="https://lh5.googleusercontent.com/d/1mJQOPgOliGSDfcc1klMFArPalfclUj-_" TargetMode="External"/><Relationship Id="rId100" Type="http://schemas.openxmlformats.org/officeDocument/2006/relationships/hyperlink" Target="https://drive.google.com/file/d/13o-w9THqJnb3fhYpwk62VgzMuGzwKf3e/view?usp=drivesdk" TargetMode="External"/><Relationship Id="rId129" Type="http://schemas.openxmlformats.org/officeDocument/2006/relationships/hyperlink" Target="https://lh5.googleusercontent.com/d/1E6SET-6jybw4Jne7_KpwpzQQeauLyRnD" TargetMode="External"/><Relationship Id="rId128" Type="http://schemas.openxmlformats.org/officeDocument/2006/relationships/hyperlink" Target="https://drive.google.com/file/d/1VagjHp0QIxx5Lofd-MWwlL_Z9B1ZdEjW/view?usp=drivesdk" TargetMode="External"/><Relationship Id="rId127" Type="http://schemas.openxmlformats.org/officeDocument/2006/relationships/hyperlink" Target="https://lh5.googleusercontent.com/d/1uL8rrtlWX3NKVVc_ymLIbfO2Eu51dvkN" TargetMode="External"/><Relationship Id="rId126" Type="http://schemas.openxmlformats.org/officeDocument/2006/relationships/hyperlink" Target="https://drive.google.com/file/d/1Cwdy3aKd8fczm3b42_nyAB0703i4XOra/view?usp=drivesdk" TargetMode="External"/><Relationship Id="rId121" Type="http://schemas.openxmlformats.org/officeDocument/2006/relationships/hyperlink" Target="https://lh5.googleusercontent.com/d/1JSsCy4os-nf_Um4C0lIOLXyqkgBQJORt" TargetMode="External"/><Relationship Id="rId120" Type="http://schemas.openxmlformats.org/officeDocument/2006/relationships/hyperlink" Target="https://drive.google.com/file/d/1Cnt5D-F0OYnbImxxf4QcfBY2C4HlD74x/view?usp=drivesdk" TargetMode="External"/><Relationship Id="rId125" Type="http://schemas.openxmlformats.org/officeDocument/2006/relationships/hyperlink" Target="https://lh5.googleusercontent.com/d/1AF9VlXqsv_d1FMsUyr5krzT87gZJrbL2" TargetMode="External"/><Relationship Id="rId124" Type="http://schemas.openxmlformats.org/officeDocument/2006/relationships/hyperlink" Target="https://drive.google.com/file/d/1JjwJyb__Gxo9FY_2ePN8FaAKTq5Si-Vp/view?usp=drivesdk" TargetMode="External"/><Relationship Id="rId123" Type="http://schemas.openxmlformats.org/officeDocument/2006/relationships/hyperlink" Target="https://lh5.googleusercontent.com/d/1WpsmAgKx6hj5nIyTntCJQbMJ8GnoH1ZY" TargetMode="External"/><Relationship Id="rId122" Type="http://schemas.openxmlformats.org/officeDocument/2006/relationships/hyperlink" Target="https://drive.google.com/file/d/1bm3aYcwlWyU5MemK4ZsrLFoG_0FV55ni/view?usp=drivesdk" TargetMode="External"/><Relationship Id="rId118" Type="http://schemas.openxmlformats.org/officeDocument/2006/relationships/hyperlink" Target="https://drive.google.com/file/d/1GJ2rm1l95TQyaoTOOwNX_e5-5R0wdCGK/view?usp=drivesdk" TargetMode="External"/><Relationship Id="rId117" Type="http://schemas.openxmlformats.org/officeDocument/2006/relationships/hyperlink" Target="https://lh5.googleusercontent.com/d/1TWh0UbzVIb0TFtoebDdFEHJjshbL1QVU" TargetMode="External"/><Relationship Id="rId116" Type="http://schemas.openxmlformats.org/officeDocument/2006/relationships/hyperlink" Target="https://drive.google.com/file/d/1cd4-tZOB8KsggVu0arwqahmF2bKD6qNO/view?usp=drivesdk" TargetMode="External"/><Relationship Id="rId115" Type="http://schemas.openxmlformats.org/officeDocument/2006/relationships/hyperlink" Target="https://lh5.googleusercontent.com/d/1YQqXwOUpU7qO-ekweWmR9DX-rakQXK_f" TargetMode="External"/><Relationship Id="rId119" Type="http://schemas.openxmlformats.org/officeDocument/2006/relationships/hyperlink" Target="https://lh5.googleusercontent.com/d/1vuaX0lmRBxeOIy7_EKKUg0ByAHA6raIm" TargetMode="External"/><Relationship Id="rId110" Type="http://schemas.openxmlformats.org/officeDocument/2006/relationships/hyperlink" Target="https://drive.google.com/file/d/1pS095XsnEAeV1neoFtO3PRnjscuh88rm/view?usp=drivesdk" TargetMode="External"/><Relationship Id="rId114" Type="http://schemas.openxmlformats.org/officeDocument/2006/relationships/hyperlink" Target="https://drive.google.com/file/d/16I4gJ-NJdVxFz8cVW6hJufImHANGuC1K/view?usp=drivesdk" TargetMode="External"/><Relationship Id="rId113" Type="http://schemas.openxmlformats.org/officeDocument/2006/relationships/hyperlink" Target="https://lh5.googleusercontent.com/d/10hwX5qEkQ0HSURlf0aqqEUaVjmLm79Dq" TargetMode="External"/><Relationship Id="rId112" Type="http://schemas.openxmlformats.org/officeDocument/2006/relationships/hyperlink" Target="https://drive.google.com/file/d/1WU-lYm-NUgIFuAiGzhvRqXY0uWh9qIMh/view?usp=drivesdk" TargetMode="External"/><Relationship Id="rId111" Type="http://schemas.openxmlformats.org/officeDocument/2006/relationships/hyperlink" Target="https://lh5.googleusercontent.com/d/1LVp1pReFjndnfgkVYCWJ04_8Kdwv185R" TargetMode="External"/><Relationship Id="rId1610" Type="http://schemas.openxmlformats.org/officeDocument/2006/relationships/hyperlink" Target="https://lh5.googleusercontent.com/d/1brqJyYH_POgP9gfoSUwRClE2ociPvgiA" TargetMode="External"/><Relationship Id="rId1611" Type="http://schemas.openxmlformats.org/officeDocument/2006/relationships/hyperlink" Target="https://drive.google.com/file/d/19YrQUD7EVDjGhv1UsiISvtZVC8kjpsAY/view?usp=drivesdk" TargetMode="External"/><Relationship Id="rId1612" Type="http://schemas.openxmlformats.org/officeDocument/2006/relationships/hyperlink" Target="https://lh5.googleusercontent.com/d/1_AmvQgiQCyeFt3hJHPN8Np_HGx1mkY5Y" TargetMode="External"/><Relationship Id="rId1613" Type="http://schemas.openxmlformats.org/officeDocument/2006/relationships/hyperlink" Target="https://drive.google.com/file/d/1bQ-anlRN0JwoZZak4wQiq_DOU4UDK6aA/view?usp=drivesdk" TargetMode="External"/><Relationship Id="rId1614" Type="http://schemas.openxmlformats.org/officeDocument/2006/relationships/hyperlink" Target="https://lh5.googleusercontent.com/d/1nI9mdQqgjHR_OUstbOcZ29sBq2dnQqqg" TargetMode="External"/><Relationship Id="rId1615" Type="http://schemas.openxmlformats.org/officeDocument/2006/relationships/hyperlink" Target="https://drive.google.com/file/d/10D4pssTaatZLGgPkBnkbwRdVl-A4mnlM/view?usp=drivesdk" TargetMode="External"/><Relationship Id="rId1616" Type="http://schemas.openxmlformats.org/officeDocument/2006/relationships/hyperlink" Target="https://lh5.googleusercontent.com/d/1zBKo8ECZmpeZ0jtQMnVe16bKxA_MOm1X" TargetMode="External"/><Relationship Id="rId907" Type="http://schemas.openxmlformats.org/officeDocument/2006/relationships/hyperlink" Target="https://drive.google.com/file/d/182xxxv7pOzB6UJXDWQVsHSbGAXFHu65B/view?usp=drivesdk" TargetMode="External"/><Relationship Id="rId1617" Type="http://schemas.openxmlformats.org/officeDocument/2006/relationships/hyperlink" Target="https://drive.google.com/file/d/1fDBXKiCKSabG0_K84s8CpGRX13Qn9yrG/view?usp=drivesdk" TargetMode="External"/><Relationship Id="rId906" Type="http://schemas.openxmlformats.org/officeDocument/2006/relationships/hyperlink" Target="https://lh5.googleusercontent.com/d/11MFEVSkUMgAmFjeLW-O861yxDHU0tKu3" TargetMode="External"/><Relationship Id="rId1618" Type="http://schemas.openxmlformats.org/officeDocument/2006/relationships/hyperlink" Target="https://lh5.googleusercontent.com/d/1GXLRSWOw0D7VQz5Zi0NdKCzTLtUYFeYS" TargetMode="External"/><Relationship Id="rId905" Type="http://schemas.openxmlformats.org/officeDocument/2006/relationships/hyperlink" Target="https://drive.google.com/file/d/1ZdAqmW1e4UshHQtubPnyRiQ8F-uVQO0x/view?usp=drivesdk" TargetMode="External"/><Relationship Id="rId1619" Type="http://schemas.openxmlformats.org/officeDocument/2006/relationships/hyperlink" Target="https://drive.google.com/file/d/1mzG8fXzsDFwbFnlXHaFWtqrym8SjptWr/view?usp=drivesdk" TargetMode="External"/><Relationship Id="rId904" Type="http://schemas.openxmlformats.org/officeDocument/2006/relationships/hyperlink" Target="https://lh5.googleusercontent.com/d/1meH1kPxMyoxYQMRsB0mxwvX87XRq0qC6" TargetMode="External"/><Relationship Id="rId909" Type="http://schemas.openxmlformats.org/officeDocument/2006/relationships/hyperlink" Target="https://drive.google.com/file/d/1gH9qhBydMajBUKaK9-wc7yQRhd4iV4RN/view?usp=drivesdk" TargetMode="External"/><Relationship Id="rId908" Type="http://schemas.openxmlformats.org/officeDocument/2006/relationships/hyperlink" Target="https://lh5.googleusercontent.com/d/11uhbUOwlw25K2Bv8WuiX89rKnvSP20uo" TargetMode="External"/><Relationship Id="rId903" Type="http://schemas.openxmlformats.org/officeDocument/2006/relationships/hyperlink" Target="https://drive.google.com/file/d/1kYh219Zer6A6ddh5qbWi3M6s0iwszquz/view?usp=drivesdk" TargetMode="External"/><Relationship Id="rId902" Type="http://schemas.openxmlformats.org/officeDocument/2006/relationships/hyperlink" Target="https://lh5.googleusercontent.com/d/1QOm-rEBuiA63ZKEDWfnbpqsbCq__GyL6" TargetMode="External"/><Relationship Id="rId901" Type="http://schemas.openxmlformats.org/officeDocument/2006/relationships/hyperlink" Target="https://drive.google.com/file/d/1xYoeSzcuS3-vGcy3lJFgP1v1CSpOSFiS/view?usp=drivesdk" TargetMode="External"/><Relationship Id="rId900" Type="http://schemas.openxmlformats.org/officeDocument/2006/relationships/hyperlink" Target="https://lh5.googleusercontent.com/d/1fKB5i4VTY6xaBcO3feC4LEQ5GQZ7d4cO" TargetMode="External"/><Relationship Id="rId1600" Type="http://schemas.openxmlformats.org/officeDocument/2006/relationships/hyperlink" Target="https://lh5.googleusercontent.com/d/1nsm2Qt6UY_7-8lUfQitDjOkYA3dbXtvV" TargetMode="External"/><Relationship Id="rId1601" Type="http://schemas.openxmlformats.org/officeDocument/2006/relationships/hyperlink" Target="https://drive.google.com/file/d/1e8jeF_qen5qs5gkLXwuTjJmBmUkIKUGf/view?usp=drivesdk" TargetMode="External"/><Relationship Id="rId1602" Type="http://schemas.openxmlformats.org/officeDocument/2006/relationships/hyperlink" Target="https://lh5.googleusercontent.com/d/13Llmdl2OWb-zMSrnxsyf2pzYlqzLl-VT" TargetMode="External"/><Relationship Id="rId1603" Type="http://schemas.openxmlformats.org/officeDocument/2006/relationships/hyperlink" Target="https://drive.google.com/file/d/1NJQTibgpQ5PyOy4kpRtcDpIzijBkdbCt/view?usp=drivesdk" TargetMode="External"/><Relationship Id="rId1604" Type="http://schemas.openxmlformats.org/officeDocument/2006/relationships/hyperlink" Target="https://lh5.googleusercontent.com/d/1FUGBRYPLNrPwFsCyp3CylgJPiGPeqGna" TargetMode="External"/><Relationship Id="rId1605" Type="http://schemas.openxmlformats.org/officeDocument/2006/relationships/hyperlink" Target="https://drive.google.com/file/d/14HW0mVG_C45FfGScWT5B7abjiOM5ALFU/view?usp=drivesdk" TargetMode="External"/><Relationship Id="rId1606" Type="http://schemas.openxmlformats.org/officeDocument/2006/relationships/hyperlink" Target="https://lh5.googleusercontent.com/d/1qyjr_QEPVURnniubTSq7PaN8OxsA23X2" TargetMode="External"/><Relationship Id="rId1607" Type="http://schemas.openxmlformats.org/officeDocument/2006/relationships/hyperlink" Target="https://drive.google.com/file/d/1zyHjGZxmDGcAVY6GXnzmpyVPmhE7ITSK/view?usp=drivesdk" TargetMode="External"/><Relationship Id="rId1608" Type="http://schemas.openxmlformats.org/officeDocument/2006/relationships/hyperlink" Target="https://lh5.googleusercontent.com/d/1CiqJ8ukiiaaZTyq8PDcMLmX2haP3Mlax" TargetMode="External"/><Relationship Id="rId1609" Type="http://schemas.openxmlformats.org/officeDocument/2006/relationships/hyperlink" Target="https://drive.google.com/file/d/1ZQTqLu2oNwj2xN82N6wIkTapKgZG1MNz/view?usp=drivesdk" TargetMode="External"/><Relationship Id="rId1631" Type="http://schemas.openxmlformats.org/officeDocument/2006/relationships/hyperlink" Target="https://drive.google.com/file/d/1BXYycstda0E9QVje8SdiqVbWBY-7UEuY/view?usp=drivesdk" TargetMode="External"/><Relationship Id="rId1632" Type="http://schemas.openxmlformats.org/officeDocument/2006/relationships/hyperlink" Target="https://lh5.googleusercontent.com/d/1ibcpjOahkZgUmEC4q1yaifjJnaj2c7gk" TargetMode="External"/><Relationship Id="rId1633" Type="http://schemas.openxmlformats.org/officeDocument/2006/relationships/hyperlink" Target="https://drive.google.com/file/d/1DGmiEQ4B6Y1KriDNeGWMZ4hfVQ6dPS9M/view?usp=drivesdk" TargetMode="External"/><Relationship Id="rId1634" Type="http://schemas.openxmlformats.org/officeDocument/2006/relationships/hyperlink" Target="https://lh5.googleusercontent.com/d/1d4bc2I-hUHRIA2vDw_FpX5HHn1DPSFT1" TargetMode="External"/><Relationship Id="rId1635" Type="http://schemas.openxmlformats.org/officeDocument/2006/relationships/hyperlink" Target="https://drive.google.com/file/d/1SrmzxBeC98sLYSx4c4nSjBd1_tfucLoj/view?usp=drivesdk" TargetMode="External"/><Relationship Id="rId1636" Type="http://schemas.openxmlformats.org/officeDocument/2006/relationships/hyperlink" Target="https://lh5.googleusercontent.com/d/1ycDMNqoL_lA0sVF41LCwWD0VJIRuxjM9" TargetMode="External"/><Relationship Id="rId1637" Type="http://schemas.openxmlformats.org/officeDocument/2006/relationships/hyperlink" Target="https://drive.google.com/file/d/12drPzuuqRdRZ60-KcDpPL2GkhXwdZs9F/view?usp=drivesdk" TargetMode="External"/><Relationship Id="rId1638" Type="http://schemas.openxmlformats.org/officeDocument/2006/relationships/hyperlink" Target="https://lh5.googleusercontent.com/d/1JfZRarC2Z0cpL7xLxOMLy8T1cxYmd5Lr" TargetMode="External"/><Relationship Id="rId929" Type="http://schemas.openxmlformats.org/officeDocument/2006/relationships/hyperlink" Target="https://drive.google.com/file/d/153Y8vZ8AwOWYtOjpcAyTkRQjH7BLv2I4/view?usp=drivesdk" TargetMode="External"/><Relationship Id="rId1639" Type="http://schemas.openxmlformats.org/officeDocument/2006/relationships/hyperlink" Target="https://drive.google.com/file/d/1JjH8EzAhDaTjvMEWtPkKmVDl5gz8iide/view?usp=drivesdk" TargetMode="External"/><Relationship Id="rId928" Type="http://schemas.openxmlformats.org/officeDocument/2006/relationships/hyperlink" Target="https://lh5.googleusercontent.com/d/1Xif7yibYXzy41C5KslgNU__CeC2JT-Yx" TargetMode="External"/><Relationship Id="rId927" Type="http://schemas.openxmlformats.org/officeDocument/2006/relationships/hyperlink" Target="https://drive.google.com/file/d/17ejOAEldgmSa326dKM_A3bpnNBaXT3IS/view?usp=drivesdk" TargetMode="External"/><Relationship Id="rId926" Type="http://schemas.openxmlformats.org/officeDocument/2006/relationships/hyperlink" Target="https://lh5.googleusercontent.com/d/11YymM3PR1MFiNF_L40XW9x_xkQLXCR5W" TargetMode="External"/><Relationship Id="rId921" Type="http://schemas.openxmlformats.org/officeDocument/2006/relationships/hyperlink" Target="https://drive.google.com/file/d/1ykSbrwXnxKYhKqrPDY-K4grmOn2089oM/view?usp=drivesdk" TargetMode="External"/><Relationship Id="rId920" Type="http://schemas.openxmlformats.org/officeDocument/2006/relationships/hyperlink" Target="https://lh5.googleusercontent.com/d/1KvUBU2oDirHp-AV35tGFy8e_xj3zWnHe" TargetMode="External"/><Relationship Id="rId925" Type="http://schemas.openxmlformats.org/officeDocument/2006/relationships/hyperlink" Target="https://drive.google.com/file/d/1ViHLaOWHzyNQWQodbzc04EJdaMnjgrMX/view?usp=drivesdk" TargetMode="External"/><Relationship Id="rId924" Type="http://schemas.openxmlformats.org/officeDocument/2006/relationships/hyperlink" Target="https://lh5.googleusercontent.com/d/19UwtO5cg6VJvf-XwszrB9UkfstH4SBqL" TargetMode="External"/><Relationship Id="rId923" Type="http://schemas.openxmlformats.org/officeDocument/2006/relationships/hyperlink" Target="https://drive.google.com/file/d/1C8CzDYJNTHLkbQ3SFLgDDEEHL58cwjpl/view?usp=drivesdk" TargetMode="External"/><Relationship Id="rId922" Type="http://schemas.openxmlformats.org/officeDocument/2006/relationships/hyperlink" Target="https://lh5.googleusercontent.com/d/1XRGS7Bn4RBXb_hwAtB9AwwBa1DeZE7gw" TargetMode="External"/><Relationship Id="rId1630" Type="http://schemas.openxmlformats.org/officeDocument/2006/relationships/hyperlink" Target="https://lh5.googleusercontent.com/d/1jdMIyH-7EqrBCHLiFnGIZ3XRIx2Aogzd" TargetMode="External"/><Relationship Id="rId1620" Type="http://schemas.openxmlformats.org/officeDocument/2006/relationships/hyperlink" Target="https://lh5.googleusercontent.com/d/1u9B6rQ1X2hDZuzZxVtXNjRw9AHN8aYQY" TargetMode="External"/><Relationship Id="rId1621" Type="http://schemas.openxmlformats.org/officeDocument/2006/relationships/hyperlink" Target="https://drive.google.com/file/d/10_O9LuY1PDga5fwwfZGzNVOkoHZNBnhj/view?usp=drivesdk" TargetMode="External"/><Relationship Id="rId1622" Type="http://schemas.openxmlformats.org/officeDocument/2006/relationships/hyperlink" Target="https://lh5.googleusercontent.com/d/1PxOhqWhSaenqorFUPCTh9RZig1i05rOd" TargetMode="External"/><Relationship Id="rId1623" Type="http://schemas.openxmlformats.org/officeDocument/2006/relationships/hyperlink" Target="https://drive.google.com/file/d/1FkWIDaW4dnzJzBwFQpqXbC7HVGSOBm_q/view?usp=drivesdk" TargetMode="External"/><Relationship Id="rId1624" Type="http://schemas.openxmlformats.org/officeDocument/2006/relationships/hyperlink" Target="https://lh5.googleusercontent.com/d/11udWMvKfZ5Gz4oYWUXPyxhd1a8clfT2-" TargetMode="External"/><Relationship Id="rId1625" Type="http://schemas.openxmlformats.org/officeDocument/2006/relationships/hyperlink" Target="https://drive.google.com/file/d/1g2NFbdLuWqGrBUZtdg-DrEmDgYjCYmVl/view?usp=drivesdk" TargetMode="External"/><Relationship Id="rId1626" Type="http://schemas.openxmlformats.org/officeDocument/2006/relationships/hyperlink" Target="https://lh5.googleusercontent.com/d/1UPdHIJJLNTgK0WiKZ-6Eh4v2-ZaQ8_JK" TargetMode="External"/><Relationship Id="rId1627" Type="http://schemas.openxmlformats.org/officeDocument/2006/relationships/hyperlink" Target="https://drive.google.com/file/d/1k7XT9Vn_D61ln6LWC5go_f8ffUUywkWo/view?usp=drivesdk" TargetMode="External"/><Relationship Id="rId918" Type="http://schemas.openxmlformats.org/officeDocument/2006/relationships/hyperlink" Target="https://lh5.googleusercontent.com/d/1PzIKWcyLQn8oSlVx2ycPdDv8LMwLg2cl" TargetMode="External"/><Relationship Id="rId1628" Type="http://schemas.openxmlformats.org/officeDocument/2006/relationships/hyperlink" Target="https://lh5.googleusercontent.com/d/1JjhGSINlsK4N1rbHD7trNLp4arL7rx9p" TargetMode="External"/><Relationship Id="rId917" Type="http://schemas.openxmlformats.org/officeDocument/2006/relationships/hyperlink" Target="https://drive.google.com/file/d/1xyiLgHajiWDshl2v4TpnrOyNs1b6Evfc/view?usp=drivesdk" TargetMode="External"/><Relationship Id="rId1629" Type="http://schemas.openxmlformats.org/officeDocument/2006/relationships/hyperlink" Target="https://drive.google.com/file/d/1KEsUknX4wjQT6hHcbsgdn2ogtZJi6WVn/view?usp=drivesdk" TargetMode="External"/><Relationship Id="rId916" Type="http://schemas.openxmlformats.org/officeDocument/2006/relationships/hyperlink" Target="https://lh5.googleusercontent.com/d/1Za74XXjgETQeC2zyb9g-LcNffc9rnFgE" TargetMode="External"/><Relationship Id="rId915" Type="http://schemas.openxmlformats.org/officeDocument/2006/relationships/hyperlink" Target="https://drive.google.com/file/d/1a63IUdZx5VW6dKKT9dYakCVjdZpFFRrx/view?usp=drivesdk" TargetMode="External"/><Relationship Id="rId919" Type="http://schemas.openxmlformats.org/officeDocument/2006/relationships/hyperlink" Target="https://drive.google.com/file/d/1eTdXtgtms7cFYX1TeeiWICgrLWOplpQu/view?usp=drivesdk" TargetMode="External"/><Relationship Id="rId910" Type="http://schemas.openxmlformats.org/officeDocument/2006/relationships/hyperlink" Target="https://lh5.googleusercontent.com/d/19QFvV6kWDEmUUljjxtLsCs_CQ6rbHn0h" TargetMode="External"/><Relationship Id="rId914" Type="http://schemas.openxmlformats.org/officeDocument/2006/relationships/hyperlink" Target="https://lh5.googleusercontent.com/d/1il7TnyNGLOO2XlM5c6x4L1taKlci8B5Y" TargetMode="External"/><Relationship Id="rId913" Type="http://schemas.openxmlformats.org/officeDocument/2006/relationships/hyperlink" Target="https://drive.google.com/file/d/1gKv9O9cuWtfGvQVTsbD-c-qtjCA7BA7z/view?usp=drivesdk" TargetMode="External"/><Relationship Id="rId912" Type="http://schemas.openxmlformats.org/officeDocument/2006/relationships/hyperlink" Target="https://lh5.googleusercontent.com/d/1p2mwxVF6wWmnFKtNSJNfiU5E7jTsITgG" TargetMode="External"/><Relationship Id="rId911" Type="http://schemas.openxmlformats.org/officeDocument/2006/relationships/hyperlink" Target="https://drive.google.com/file/d/1RZXPKV971TymVwLQO2YeTwHOBKnVn1Qe/view?usp=drivesdk" TargetMode="External"/><Relationship Id="rId1697" Type="http://schemas.openxmlformats.org/officeDocument/2006/relationships/hyperlink" Target="https://drive.google.com/file/d/15Ym53HUptFI2YulZuJztnCzOHUHHg4tF/view?usp=drivesdk" TargetMode="External"/><Relationship Id="rId1698" Type="http://schemas.openxmlformats.org/officeDocument/2006/relationships/hyperlink" Target="https://lh5.googleusercontent.com/d/1mtI08rKYGDQEza8shqxOV4DkWB4Z77O4" TargetMode="External"/><Relationship Id="rId1699" Type="http://schemas.openxmlformats.org/officeDocument/2006/relationships/hyperlink" Target="https://drive.google.com/file/d/1W1xNHl_rde2qOvK5bgDExCZjGClWG6gg/view?usp=drivesdk" TargetMode="External"/><Relationship Id="rId866" Type="http://schemas.openxmlformats.org/officeDocument/2006/relationships/hyperlink" Target="https://lh5.googleusercontent.com/d/1QA0DhHkn_nRTit_4x1_eHhBcR9q0DNPV" TargetMode="External"/><Relationship Id="rId865" Type="http://schemas.openxmlformats.org/officeDocument/2006/relationships/hyperlink" Target="https://drive.google.com/file/d/1aWBf_O-zVJaulqv1l8YeesG3lRdkY166/view?usp=drivesdk" TargetMode="External"/><Relationship Id="rId864" Type="http://schemas.openxmlformats.org/officeDocument/2006/relationships/hyperlink" Target="https://lh5.googleusercontent.com/d/18Ak5llOp_cIU9jqB9yKOlx_4zNGFADw0" TargetMode="External"/><Relationship Id="rId863" Type="http://schemas.openxmlformats.org/officeDocument/2006/relationships/hyperlink" Target="https://drive.google.com/file/d/1PNUNjWufUd89HE1WVoAx5bMQ-9oI6Vnd/view?usp=drivesdk" TargetMode="External"/><Relationship Id="rId869" Type="http://schemas.openxmlformats.org/officeDocument/2006/relationships/hyperlink" Target="https://drive.google.com/file/d/1HK7kRXxBRmfR7NSLn72hbFtueSpY8O03/view?usp=drivesdk" TargetMode="External"/><Relationship Id="rId868" Type="http://schemas.openxmlformats.org/officeDocument/2006/relationships/hyperlink" Target="https://lh5.googleusercontent.com/d/11qbMOzJUw_ldZ1OecR2wHZbP5MpqAJ45" TargetMode="External"/><Relationship Id="rId867" Type="http://schemas.openxmlformats.org/officeDocument/2006/relationships/hyperlink" Target="https://drive.google.com/file/d/1q4FBZYUvd_laKMEQo8GJ1wdhew6Iv--z/view?usp=drivesdk" TargetMode="External"/><Relationship Id="rId1690" Type="http://schemas.openxmlformats.org/officeDocument/2006/relationships/hyperlink" Target="https://lh5.googleusercontent.com/d/1S_J4_TIuw7oAzbUuaYRiS8KEO1xKwIxo" TargetMode="External"/><Relationship Id="rId1691" Type="http://schemas.openxmlformats.org/officeDocument/2006/relationships/hyperlink" Target="https://drive.google.com/file/d/1JDqRbMKVxT2OVOXCmNKBmfsEu0sdvj6y/view?usp=drivesdk" TargetMode="External"/><Relationship Id="rId1692" Type="http://schemas.openxmlformats.org/officeDocument/2006/relationships/hyperlink" Target="https://lh5.googleusercontent.com/d/120-q3Ptz5UuL8o60XDIFaDN1uLkylNuB" TargetMode="External"/><Relationship Id="rId862" Type="http://schemas.openxmlformats.org/officeDocument/2006/relationships/hyperlink" Target="https://lh5.googleusercontent.com/d/1XEGGXTQ3qgRitZ9JP005R2VvIfwEHg8I" TargetMode="External"/><Relationship Id="rId1693" Type="http://schemas.openxmlformats.org/officeDocument/2006/relationships/hyperlink" Target="https://drive.google.com/file/d/1Mm8YgoNzx0vKGBi6tMIqtjqgMlB4-4Jg/view?usp=drivesdk" TargetMode="External"/><Relationship Id="rId861" Type="http://schemas.openxmlformats.org/officeDocument/2006/relationships/hyperlink" Target="https://drive.google.com/file/d/1jp7_zmXRnljHHcJbwKS3YS2pQpMHUzDg/view?usp=drivesdk" TargetMode="External"/><Relationship Id="rId1694" Type="http://schemas.openxmlformats.org/officeDocument/2006/relationships/hyperlink" Target="https://lh5.googleusercontent.com/d/1Tj4OaVEcfV8Quuk7g1L6DBxcyH5o6cuf" TargetMode="External"/><Relationship Id="rId860" Type="http://schemas.openxmlformats.org/officeDocument/2006/relationships/hyperlink" Target="https://lh5.googleusercontent.com/d/1K149aAWYVw16864Z0A53pdb5s1YtOW0M" TargetMode="External"/><Relationship Id="rId1695" Type="http://schemas.openxmlformats.org/officeDocument/2006/relationships/hyperlink" Target="https://drive.google.com/file/d/1PJ66xxYuo2XmLO7eeCwMWJtTjQCf6JC9/view?usp=drivesdk" TargetMode="External"/><Relationship Id="rId1696" Type="http://schemas.openxmlformats.org/officeDocument/2006/relationships/hyperlink" Target="https://lh5.googleusercontent.com/d/1NsFjvL_cPuAkh_dLsbDwdo0Kk0a8lVmU" TargetMode="External"/><Relationship Id="rId1686" Type="http://schemas.openxmlformats.org/officeDocument/2006/relationships/hyperlink" Target="https://lh5.googleusercontent.com/d/1NjsXmA4k9NZU9gG09zKOLg98F0KTETWW" TargetMode="External"/><Relationship Id="rId1687" Type="http://schemas.openxmlformats.org/officeDocument/2006/relationships/hyperlink" Target="https://drive.google.com/file/d/17ssaP7e6DnC4c4mms1N45u5RwX6SKwtw/view?usp=drivesdk" TargetMode="External"/><Relationship Id="rId1688" Type="http://schemas.openxmlformats.org/officeDocument/2006/relationships/hyperlink" Target="https://lh5.googleusercontent.com/d/1Cci3Mrj0m51rSWfgrum9eG21SygLitBd" TargetMode="External"/><Relationship Id="rId1689" Type="http://schemas.openxmlformats.org/officeDocument/2006/relationships/hyperlink" Target="https://drive.google.com/file/d/1iu-2qS79SENB_QQpsh-mfU812yeHz2la/view?usp=drivesdk" TargetMode="External"/><Relationship Id="rId855" Type="http://schemas.openxmlformats.org/officeDocument/2006/relationships/hyperlink" Target="https://drive.google.com/file/d/1NbbMXiRTpDUqmJi8PD2LQzK9xaeIS4sH/view?usp=drivesdk" TargetMode="External"/><Relationship Id="rId854" Type="http://schemas.openxmlformats.org/officeDocument/2006/relationships/hyperlink" Target="https://lh5.googleusercontent.com/d/1g1UImn0OtVFrCjVSbfC7NPoIjGvrSW5s" TargetMode="External"/><Relationship Id="rId853" Type="http://schemas.openxmlformats.org/officeDocument/2006/relationships/hyperlink" Target="https://drive.google.com/file/d/1sw_3tMSnULifSh62q6kp1yH2r8gY0qMf/view?usp=drivesdk" TargetMode="External"/><Relationship Id="rId852" Type="http://schemas.openxmlformats.org/officeDocument/2006/relationships/hyperlink" Target="https://lh5.googleusercontent.com/d/15d9soHqFRuAv210QcI_L8DQ2idhnUtia" TargetMode="External"/><Relationship Id="rId859" Type="http://schemas.openxmlformats.org/officeDocument/2006/relationships/hyperlink" Target="https://drive.google.com/file/d/1VtlNKIYdLUtJxVGQwTl0YnBG-XgWuGDV/view?usp=drivesdk" TargetMode="External"/><Relationship Id="rId858" Type="http://schemas.openxmlformats.org/officeDocument/2006/relationships/hyperlink" Target="https://lh5.googleusercontent.com/d/1Kwnr6Rru1POt0bOJBIau56UWqFslIu0v" TargetMode="External"/><Relationship Id="rId857" Type="http://schemas.openxmlformats.org/officeDocument/2006/relationships/hyperlink" Target="https://drive.google.com/file/d/1uhM5zYCGfrE5WNNWQrbPQ6e4vTxs6CSc/view?usp=drivesdk" TargetMode="External"/><Relationship Id="rId856" Type="http://schemas.openxmlformats.org/officeDocument/2006/relationships/hyperlink" Target="https://lh5.googleusercontent.com/d/1AXZflBokd2-6LzrQRombjC_TkL0UF8_5" TargetMode="External"/><Relationship Id="rId1680" Type="http://schemas.openxmlformats.org/officeDocument/2006/relationships/hyperlink" Target="https://lh5.googleusercontent.com/d/1h3xAGzXqaDIigxMCSuOCQZ9ilUyAFvDk" TargetMode="External"/><Relationship Id="rId1681" Type="http://schemas.openxmlformats.org/officeDocument/2006/relationships/hyperlink" Target="https://drive.google.com/file/d/14QdZu50Ifp6hzm4Z4P3KENfhgaOzanqs/view?usp=drivesdk" TargetMode="External"/><Relationship Id="rId851" Type="http://schemas.openxmlformats.org/officeDocument/2006/relationships/hyperlink" Target="https://drive.google.com/file/d/1seOLIz-sPMYT_yOpe75oaz9RMax5QReM/view?usp=drivesdk" TargetMode="External"/><Relationship Id="rId1682" Type="http://schemas.openxmlformats.org/officeDocument/2006/relationships/hyperlink" Target="https://lh5.googleusercontent.com/d/1lMkkFludfVolL4EfTdztz9q4efkAKlC4" TargetMode="External"/><Relationship Id="rId850" Type="http://schemas.openxmlformats.org/officeDocument/2006/relationships/hyperlink" Target="https://lh5.googleusercontent.com/d/1Q8kzPHKdY-daccv0FLl_tpg2zsbxKDmr" TargetMode="External"/><Relationship Id="rId1683" Type="http://schemas.openxmlformats.org/officeDocument/2006/relationships/hyperlink" Target="https://drive.google.com/file/d/1PHJu4yJ0OWdv8o1XZy6BgpwNI7i8tCVY/view?usp=drivesdk" TargetMode="External"/><Relationship Id="rId1684" Type="http://schemas.openxmlformats.org/officeDocument/2006/relationships/hyperlink" Target="https://lh5.googleusercontent.com/d/1TJbrpky_yNkQfHf7sJT88TPQLxw7NZ-p" TargetMode="External"/><Relationship Id="rId1685" Type="http://schemas.openxmlformats.org/officeDocument/2006/relationships/hyperlink" Target="https://drive.google.com/file/d/1GbjjxaQ3dKLy6mqrxoGBC5D3uNENxU28/view?usp=drivesdk" TargetMode="External"/><Relationship Id="rId888" Type="http://schemas.openxmlformats.org/officeDocument/2006/relationships/hyperlink" Target="https://lh5.googleusercontent.com/d/1XV_tdWKqfcMkHPZkcVvgq0BAkNcSn9dh" TargetMode="External"/><Relationship Id="rId887" Type="http://schemas.openxmlformats.org/officeDocument/2006/relationships/hyperlink" Target="https://drive.google.com/file/d/1UDYdoxh_j28O1qM7ADXRKccuOTzFjKvZ/view?usp=drivesdk" TargetMode="External"/><Relationship Id="rId886" Type="http://schemas.openxmlformats.org/officeDocument/2006/relationships/hyperlink" Target="https://lh5.googleusercontent.com/d/1Bm5fm4ZEOgmKzMp6CcSsABO-glAbabHF" TargetMode="External"/><Relationship Id="rId885" Type="http://schemas.openxmlformats.org/officeDocument/2006/relationships/hyperlink" Target="https://drive.google.com/file/d/17jW6MeYEm8VpO9_8RuhQHZxBdKXLgtYZ/view?usp=drivesdk" TargetMode="External"/><Relationship Id="rId889" Type="http://schemas.openxmlformats.org/officeDocument/2006/relationships/hyperlink" Target="https://drive.google.com/file/d/1S5L60LffHU9QcW6t0BahnAImgMGRpa0r/view?usp=drivesdk" TargetMode="External"/><Relationship Id="rId880" Type="http://schemas.openxmlformats.org/officeDocument/2006/relationships/hyperlink" Target="https://lh5.googleusercontent.com/d/10yOGqQYEh2r84Y1EKuxf80YDFDcufQV_" TargetMode="External"/><Relationship Id="rId884" Type="http://schemas.openxmlformats.org/officeDocument/2006/relationships/hyperlink" Target="https://lh5.googleusercontent.com/d/1R1OZsX-MOeLCkL95qsL0Gt-ZGeulEO2d" TargetMode="External"/><Relationship Id="rId883" Type="http://schemas.openxmlformats.org/officeDocument/2006/relationships/hyperlink" Target="https://drive.google.com/file/d/1wec87jgNBGR7CQfUsffPGk2bOGWpAr-V/view?usp=drivesdk" TargetMode="External"/><Relationship Id="rId882" Type="http://schemas.openxmlformats.org/officeDocument/2006/relationships/hyperlink" Target="https://lh5.googleusercontent.com/d/1rrBVsZUUxORPoy5r7WE40MfUxMRhp3Pl" TargetMode="External"/><Relationship Id="rId881" Type="http://schemas.openxmlformats.org/officeDocument/2006/relationships/hyperlink" Target="https://drive.google.com/file/d/1SgCYUhWW2SkXe1XZt5IIbryJG1jo--s_/view?usp=drivesdk" TargetMode="External"/><Relationship Id="rId877" Type="http://schemas.openxmlformats.org/officeDocument/2006/relationships/hyperlink" Target="https://drive.google.com/file/d/1ZsaqXY8ODFPlkXY6lCh15fmCKLjfZNOq/view?usp=drivesdk" TargetMode="External"/><Relationship Id="rId876" Type="http://schemas.openxmlformats.org/officeDocument/2006/relationships/hyperlink" Target="https://lh5.googleusercontent.com/d/11CCQ-i_IMTeLkm-YEX79kbnyrCyksuzX" TargetMode="External"/><Relationship Id="rId875" Type="http://schemas.openxmlformats.org/officeDocument/2006/relationships/hyperlink" Target="https://drive.google.com/file/d/1QpeC1AgbERuLSTWsqqpS0DkSuHxd_tD_/view?usp=drivesdk" TargetMode="External"/><Relationship Id="rId874" Type="http://schemas.openxmlformats.org/officeDocument/2006/relationships/hyperlink" Target="https://lh5.googleusercontent.com/d/128l6zSj36jRS5LxiJZ6EAvHdVXjpeOla" TargetMode="External"/><Relationship Id="rId879" Type="http://schemas.openxmlformats.org/officeDocument/2006/relationships/hyperlink" Target="https://drive.google.com/file/d/1xCF7-Nw0KLYWiOcC-Linu6iFoki12oFi/view?usp=drivesdk" TargetMode="External"/><Relationship Id="rId878" Type="http://schemas.openxmlformats.org/officeDocument/2006/relationships/hyperlink" Target="https://lh5.googleusercontent.com/d/1023mKlPMMficyRHVl6PDjl63fYfrV4KZ" TargetMode="External"/><Relationship Id="rId873" Type="http://schemas.openxmlformats.org/officeDocument/2006/relationships/hyperlink" Target="https://drive.google.com/file/d/1y3Fos2A0_BVtKt2wPMsm0MmWFByyhn7n/view?usp=drivesdk" TargetMode="External"/><Relationship Id="rId872" Type="http://schemas.openxmlformats.org/officeDocument/2006/relationships/hyperlink" Target="https://lh5.googleusercontent.com/d/1Abaxo-THZmlnHpkghrv4RhG-j3FlOV0I" TargetMode="External"/><Relationship Id="rId871" Type="http://schemas.openxmlformats.org/officeDocument/2006/relationships/hyperlink" Target="https://drive.google.com/file/d/1E7yL0rFFc_0Ry9123rUUx0VcDQFLho3G/view?usp=drivesdk" TargetMode="External"/><Relationship Id="rId870" Type="http://schemas.openxmlformats.org/officeDocument/2006/relationships/hyperlink" Target="https://lh5.googleusercontent.com/d/1kkfwz8rhJzcEB1cVmitYzC9bmC4FQF8d" TargetMode="External"/><Relationship Id="rId1653" Type="http://schemas.openxmlformats.org/officeDocument/2006/relationships/hyperlink" Target="https://drive.google.com/file/d/1otNXHlmmdvobdgof5QuA573SrJdKEF-E/view?usp=drivesdk" TargetMode="External"/><Relationship Id="rId1654" Type="http://schemas.openxmlformats.org/officeDocument/2006/relationships/hyperlink" Target="https://lh5.googleusercontent.com/d/1x3qrgaqe6MedA8KDI2SrxqR2rjbj0E8J" TargetMode="External"/><Relationship Id="rId1655" Type="http://schemas.openxmlformats.org/officeDocument/2006/relationships/hyperlink" Target="https://drive.google.com/file/d/1WvXt5wyzRpEJuaVgMMNR4VolPirMpeTx/view?usp=drivesdk" TargetMode="External"/><Relationship Id="rId1656" Type="http://schemas.openxmlformats.org/officeDocument/2006/relationships/hyperlink" Target="https://lh5.googleusercontent.com/d/1-QsHD5ELbC3lNFWLn0jIxoiPfM2_rHbz" TargetMode="External"/><Relationship Id="rId1657" Type="http://schemas.openxmlformats.org/officeDocument/2006/relationships/hyperlink" Target="https://drive.google.com/file/d/1c37wplleiLIn2hyC4zMpRweh0K8TZm7s/view?usp=drivesdk" TargetMode="External"/><Relationship Id="rId1658" Type="http://schemas.openxmlformats.org/officeDocument/2006/relationships/hyperlink" Target="https://lh5.googleusercontent.com/d/12iUmjgvKNkAHFmORsoyA0sx6ka3-mUTJ" TargetMode="External"/><Relationship Id="rId1659" Type="http://schemas.openxmlformats.org/officeDocument/2006/relationships/hyperlink" Target="https://drive.google.com/file/d/1VoVOVPG-X0mS076yDSfVjwul-Win3ioR/view?usp=drivesdk" TargetMode="External"/><Relationship Id="rId829" Type="http://schemas.openxmlformats.org/officeDocument/2006/relationships/hyperlink" Target="https://drive.google.com/file/d/1wyU3Jamst4VTE1v6llmAzRiUhVxtmVjd/view?usp=drivesdk" TargetMode="External"/><Relationship Id="rId828" Type="http://schemas.openxmlformats.org/officeDocument/2006/relationships/hyperlink" Target="https://lh5.googleusercontent.com/d/16XBhw66Rkx1PatASQGQG7BuUX3GUzqWz" TargetMode="External"/><Relationship Id="rId827" Type="http://schemas.openxmlformats.org/officeDocument/2006/relationships/hyperlink" Target="https://drive.google.com/file/d/1lCVZufuu0EXWpW9huWLb0aJUxbSRxMEm/view?usp=drivesdk" TargetMode="External"/><Relationship Id="rId822" Type="http://schemas.openxmlformats.org/officeDocument/2006/relationships/hyperlink" Target="https://lh5.googleusercontent.com/d/1kMkcu8qlHHozARDaEemErGKN0A8wsg5f" TargetMode="External"/><Relationship Id="rId821" Type="http://schemas.openxmlformats.org/officeDocument/2006/relationships/hyperlink" Target="https://drive.google.com/file/d/1fdd84H9ZPhlRU84Xt38ysjI5fzZmk1aV/view?usp=drivesdk" TargetMode="External"/><Relationship Id="rId820" Type="http://schemas.openxmlformats.org/officeDocument/2006/relationships/hyperlink" Target="https://lh5.googleusercontent.com/d/1lKVWF2NovTrzhK3IEIPYeEqp3DxNhJbO" TargetMode="External"/><Relationship Id="rId826" Type="http://schemas.openxmlformats.org/officeDocument/2006/relationships/hyperlink" Target="https://lh5.googleusercontent.com/d/1Wtc9Hc8ipiNF6FURmj2frPESqNFhEVeA" TargetMode="External"/><Relationship Id="rId825" Type="http://schemas.openxmlformats.org/officeDocument/2006/relationships/hyperlink" Target="https://drive.google.com/file/d/1r2kUJQrgzoEX4gSaCE2qCiKrN-7n2kKV/view?usp=drivesdk" TargetMode="External"/><Relationship Id="rId824" Type="http://schemas.openxmlformats.org/officeDocument/2006/relationships/hyperlink" Target="https://lh5.googleusercontent.com/d/10qP1BGZd0L1I59YfH7Rf3h3iRVKFOkFD" TargetMode="External"/><Relationship Id="rId823" Type="http://schemas.openxmlformats.org/officeDocument/2006/relationships/hyperlink" Target="https://drive.google.com/file/d/1wwbW6V7GRDTQ1obSd6NZrZyyW1NrViWt/view?usp=drivesdk" TargetMode="External"/><Relationship Id="rId1650" Type="http://schemas.openxmlformats.org/officeDocument/2006/relationships/hyperlink" Target="https://lh5.googleusercontent.com/d/1vRpSwjJJ4u-p1SZMAkPSYxmC5THP1Bt-" TargetMode="External"/><Relationship Id="rId1651" Type="http://schemas.openxmlformats.org/officeDocument/2006/relationships/hyperlink" Target="https://drive.google.com/file/d/1zM1q7kMAg4H5DGnF4xFwADDWDauIJBF-/view?usp=drivesdk" TargetMode="External"/><Relationship Id="rId1652" Type="http://schemas.openxmlformats.org/officeDocument/2006/relationships/hyperlink" Target="https://lh5.googleusercontent.com/d/1zJNVKNjalA5s3hxAN6IW3jll6lfKLhvP" TargetMode="External"/><Relationship Id="rId1642" Type="http://schemas.openxmlformats.org/officeDocument/2006/relationships/hyperlink" Target="https://lh5.googleusercontent.com/d/1-AOy5i6wzQC7oLIIjipGjgn0bYbYSOHD" TargetMode="External"/><Relationship Id="rId1643" Type="http://schemas.openxmlformats.org/officeDocument/2006/relationships/hyperlink" Target="https://drive.google.com/file/d/1qptDKU0zjKLStO2YcyJFpXHKOBGvC7g6/view?usp=drivesdk" TargetMode="External"/><Relationship Id="rId1644" Type="http://schemas.openxmlformats.org/officeDocument/2006/relationships/hyperlink" Target="https://lh5.googleusercontent.com/d/1OFHtlUBDwTbfKhIrIMH8AT66XFROOtVb" TargetMode="External"/><Relationship Id="rId1645" Type="http://schemas.openxmlformats.org/officeDocument/2006/relationships/hyperlink" Target="https://drive.google.com/file/d/1cT4__lK9DlE9chbmiSpX0naM370grZYU/view?usp=drivesdk" TargetMode="External"/><Relationship Id="rId1646" Type="http://schemas.openxmlformats.org/officeDocument/2006/relationships/hyperlink" Target="https://lh5.googleusercontent.com/d/1KHnUhcM3EKUT_uZVDp6PbPRgkDWsztF7" TargetMode="External"/><Relationship Id="rId1647" Type="http://schemas.openxmlformats.org/officeDocument/2006/relationships/hyperlink" Target="https://drive.google.com/file/d/1CUxtZAFsFJNP5u3OkEqAfSuZDtTFQDrt/view?usp=drivesdk" TargetMode="External"/><Relationship Id="rId1648" Type="http://schemas.openxmlformats.org/officeDocument/2006/relationships/hyperlink" Target="https://lh5.googleusercontent.com/d/1_xFdY2dpYERQCe6xpNC2h6ppzB0FwDmd" TargetMode="External"/><Relationship Id="rId1649" Type="http://schemas.openxmlformats.org/officeDocument/2006/relationships/hyperlink" Target="https://drive.google.com/file/d/1ptAZJKWr8eVQbNIbdgrfOC8x3Ll_RH9B/view?usp=drivesdk" TargetMode="External"/><Relationship Id="rId819" Type="http://schemas.openxmlformats.org/officeDocument/2006/relationships/hyperlink" Target="https://drive.google.com/file/d/1BBhIgb39JIrSbqqaw1pu6MMGLAnKpdhh/view?usp=drivesdk" TargetMode="External"/><Relationship Id="rId818" Type="http://schemas.openxmlformats.org/officeDocument/2006/relationships/hyperlink" Target="https://lh5.googleusercontent.com/d/1WYe4wBev0mcGOxC-EhhlMqmJM8jzdkZU" TargetMode="External"/><Relationship Id="rId817" Type="http://schemas.openxmlformats.org/officeDocument/2006/relationships/hyperlink" Target="https://drive.google.com/file/d/1g41mcEtokHrost024OnRxmUPVitIjvdK/view?usp=drivesdk" TargetMode="External"/><Relationship Id="rId816" Type="http://schemas.openxmlformats.org/officeDocument/2006/relationships/hyperlink" Target="https://lh5.googleusercontent.com/d/1aRzuIyqHGfaSpaaFeBvPU_DDWOMZZDVh" TargetMode="External"/><Relationship Id="rId811" Type="http://schemas.openxmlformats.org/officeDocument/2006/relationships/hyperlink" Target="https://drive.google.com/file/d/1yY8-NdaZoFZJEscxx-43O-aPker3Nc7S/view?usp=drivesdk" TargetMode="External"/><Relationship Id="rId810" Type="http://schemas.openxmlformats.org/officeDocument/2006/relationships/hyperlink" Target="https://lh5.googleusercontent.com/d/1463pBQFpY1uS7MKwbm2lRBsbSQEwCV_k" TargetMode="External"/><Relationship Id="rId815" Type="http://schemas.openxmlformats.org/officeDocument/2006/relationships/hyperlink" Target="https://drive.google.com/file/d/1_VpnV1i2OjhCwAWTzxOOK81YP7SwSmFN/view?usp=drivesdk" TargetMode="External"/><Relationship Id="rId814" Type="http://schemas.openxmlformats.org/officeDocument/2006/relationships/hyperlink" Target="https://lh5.googleusercontent.com/d/1LVezP3fCiloe0E_eewXsKj9--SPIFmRU" TargetMode="External"/><Relationship Id="rId813" Type="http://schemas.openxmlformats.org/officeDocument/2006/relationships/hyperlink" Target="https://drive.google.com/file/d/1oGuClWKEa_51feCHKoLfJgZTYrJBrNuy/view?usp=drivesdk" TargetMode="External"/><Relationship Id="rId812" Type="http://schemas.openxmlformats.org/officeDocument/2006/relationships/hyperlink" Target="https://lh5.googleusercontent.com/d/1XTuz7GqfdTuxh9V-xdvx_QZYoTI5-v56" TargetMode="External"/><Relationship Id="rId1640" Type="http://schemas.openxmlformats.org/officeDocument/2006/relationships/hyperlink" Target="https://lh5.googleusercontent.com/d/1izceB2xAQLJaxHY4hYQlTlGUSntCQZMN" TargetMode="External"/><Relationship Id="rId1641" Type="http://schemas.openxmlformats.org/officeDocument/2006/relationships/hyperlink" Target="https://drive.google.com/file/d/1HzfF3E5H-EuEh7FOLp_dVSUui4EybXln/view?usp=drivesdk" TargetMode="External"/><Relationship Id="rId1675" Type="http://schemas.openxmlformats.org/officeDocument/2006/relationships/hyperlink" Target="https://drive.google.com/file/d/14gE_u-v8t00gJtfQbb4V53OEHJLBPKmP/view?usp=drivesdk" TargetMode="External"/><Relationship Id="rId1676" Type="http://schemas.openxmlformats.org/officeDocument/2006/relationships/hyperlink" Target="https://lh5.googleusercontent.com/d/1O-zefqSBijKT8cgBnBc3TpcYD4_cE1tI" TargetMode="External"/><Relationship Id="rId1677" Type="http://schemas.openxmlformats.org/officeDocument/2006/relationships/hyperlink" Target="https://drive.google.com/file/d/1ln630FjaM-ONO2FLDdgV69JyAav4MIrZ/view?usp=drivesdk" TargetMode="External"/><Relationship Id="rId1678" Type="http://schemas.openxmlformats.org/officeDocument/2006/relationships/hyperlink" Target="https://lh5.googleusercontent.com/d/1un2T19JzidxSK-RErzTbO8yn6fSprV3U" TargetMode="External"/><Relationship Id="rId1679" Type="http://schemas.openxmlformats.org/officeDocument/2006/relationships/hyperlink" Target="https://drive.google.com/file/d/1K5JBNy5YE2qzI3LFOF4m8QngSS_LTI87/view?usp=drivesdk" TargetMode="External"/><Relationship Id="rId849" Type="http://schemas.openxmlformats.org/officeDocument/2006/relationships/hyperlink" Target="https://drive.google.com/file/d/1QcSpsHI2EB_MdadPA10G102ZA7IF3Cp9/view?usp=drivesdk" TargetMode="External"/><Relationship Id="rId844" Type="http://schemas.openxmlformats.org/officeDocument/2006/relationships/hyperlink" Target="https://lh5.googleusercontent.com/d/10U2Oqzr1JzL9rLSLk4D2Ap29PG8Lxy5L" TargetMode="External"/><Relationship Id="rId843" Type="http://schemas.openxmlformats.org/officeDocument/2006/relationships/hyperlink" Target="https://drive.google.com/file/d/1i0TNv2G69nrq6wy7B1ouDxP2j6CCDkm9/view?usp=drivesdk" TargetMode="External"/><Relationship Id="rId842" Type="http://schemas.openxmlformats.org/officeDocument/2006/relationships/hyperlink" Target="https://lh5.googleusercontent.com/d/1DZ-P6bbt4kwO1ouAfh3UTlfsKVZwDdc-" TargetMode="External"/><Relationship Id="rId841" Type="http://schemas.openxmlformats.org/officeDocument/2006/relationships/hyperlink" Target="https://drive.google.com/file/d/1-_2sWq7c9Wayv5yjXGyEE7P0Dam_fMFG/view?usp=drivesdk" TargetMode="External"/><Relationship Id="rId848" Type="http://schemas.openxmlformats.org/officeDocument/2006/relationships/hyperlink" Target="https://lh5.googleusercontent.com/d/171zc59_LaqNtgH4UIKDZPYq5VG6OFJ1X" TargetMode="External"/><Relationship Id="rId847" Type="http://schemas.openxmlformats.org/officeDocument/2006/relationships/hyperlink" Target="https://drive.google.com/file/d/1iZ4Q3YAswtwXE33SYsQu7zzwbLkynwiR/view?usp=drivesdk" TargetMode="External"/><Relationship Id="rId846" Type="http://schemas.openxmlformats.org/officeDocument/2006/relationships/hyperlink" Target="https://lh5.googleusercontent.com/d/1Z53PZ0hbQ6Uld6Akki-PCmxp1vfpBWtd" TargetMode="External"/><Relationship Id="rId845" Type="http://schemas.openxmlformats.org/officeDocument/2006/relationships/hyperlink" Target="https://drive.google.com/file/d/1q86MiiQMVQuKM1KPT48p_ojV9975xfTH/view?usp=drivesdk" TargetMode="External"/><Relationship Id="rId1670" Type="http://schemas.openxmlformats.org/officeDocument/2006/relationships/hyperlink" Target="https://lh5.googleusercontent.com/d/1tzMrEl5lMgj3vGL0_dcCCtwUX2SGTMAR" TargetMode="External"/><Relationship Id="rId840" Type="http://schemas.openxmlformats.org/officeDocument/2006/relationships/hyperlink" Target="https://lh5.googleusercontent.com/d/1Ud0xKThkPuM9cvK36o7fZ9837y10H5BH" TargetMode="External"/><Relationship Id="rId1671" Type="http://schemas.openxmlformats.org/officeDocument/2006/relationships/hyperlink" Target="https://drive.google.com/file/d/1RbtO1coKducgmt2aeR5a86DsMUv39Tvz/view?usp=drivesdk" TargetMode="External"/><Relationship Id="rId1672" Type="http://schemas.openxmlformats.org/officeDocument/2006/relationships/hyperlink" Target="https://lh5.googleusercontent.com/d/1aYgJ1pQQGzIfpAUXFPElc5kK4E2mM3CL" TargetMode="External"/><Relationship Id="rId1673" Type="http://schemas.openxmlformats.org/officeDocument/2006/relationships/hyperlink" Target="https://drive.google.com/file/d/142i97gue-QmXVPKSAleN1XoW6z4yEejg/view?usp=drivesdk" TargetMode="External"/><Relationship Id="rId1674" Type="http://schemas.openxmlformats.org/officeDocument/2006/relationships/hyperlink" Target="https://lh5.googleusercontent.com/d/14oQuioOQs97g8T-jHiuFGnZzOwFTHjSH" TargetMode="External"/><Relationship Id="rId1664" Type="http://schemas.openxmlformats.org/officeDocument/2006/relationships/hyperlink" Target="https://lh5.googleusercontent.com/d/19R4ACCMT9nKAC2adBhTB5ML2kpXJlbUR" TargetMode="External"/><Relationship Id="rId1665" Type="http://schemas.openxmlformats.org/officeDocument/2006/relationships/hyperlink" Target="https://drive.google.com/file/d/1JV5AMNh_tT9wkxHIm-LyKGKcu7lr377V/view?usp=drivesdk" TargetMode="External"/><Relationship Id="rId1666" Type="http://schemas.openxmlformats.org/officeDocument/2006/relationships/hyperlink" Target="https://lh5.googleusercontent.com/d/1sMeGHeKYJ-ppy0o5dMHEtZ-323ZG0LK2" TargetMode="External"/><Relationship Id="rId1667" Type="http://schemas.openxmlformats.org/officeDocument/2006/relationships/hyperlink" Target="https://drive.google.com/file/d/1L6Qb9NnZxnRxSnwSuASzF-K1UVG8sj80/view?usp=drivesdk" TargetMode="External"/><Relationship Id="rId1668" Type="http://schemas.openxmlformats.org/officeDocument/2006/relationships/hyperlink" Target="https://lh5.googleusercontent.com/d/108A1m5IGhuT2dpC45vn5y6X-a8EfM6XE" TargetMode="External"/><Relationship Id="rId1669" Type="http://schemas.openxmlformats.org/officeDocument/2006/relationships/hyperlink" Target="https://drive.google.com/file/d/1rdr5GGfZAObLLQv7dd54G4qjc4ntLc8e/view?usp=drivesdk" TargetMode="External"/><Relationship Id="rId839" Type="http://schemas.openxmlformats.org/officeDocument/2006/relationships/hyperlink" Target="https://drive.google.com/file/d/1LzMcTeBmLhrWLxWmeJswQGSBNA46Nrrc/view?usp=drivesdk" TargetMode="External"/><Relationship Id="rId838" Type="http://schemas.openxmlformats.org/officeDocument/2006/relationships/hyperlink" Target="https://lh5.googleusercontent.com/d/1grrccwG2yhFQDJZ0Kd4Fb_XWFC0RoamZ" TargetMode="External"/><Relationship Id="rId833" Type="http://schemas.openxmlformats.org/officeDocument/2006/relationships/hyperlink" Target="https://drive.google.com/file/d/1s9KeKJQVTnb0QAVqviJoLwXpYZ_RArHV/view?usp=drivesdk" TargetMode="External"/><Relationship Id="rId832" Type="http://schemas.openxmlformats.org/officeDocument/2006/relationships/hyperlink" Target="https://lh5.googleusercontent.com/d/1dC8MKKUaka2OI2OooJmGRd9IdyixHgF1" TargetMode="External"/><Relationship Id="rId831" Type="http://schemas.openxmlformats.org/officeDocument/2006/relationships/hyperlink" Target="https://drive.google.com/file/d/1SnU-dmmizjVQvkY9K999MaYCL55eMkK2/view?usp=drivesdk" TargetMode="External"/><Relationship Id="rId830" Type="http://schemas.openxmlformats.org/officeDocument/2006/relationships/hyperlink" Target="https://lh5.googleusercontent.com/d/1JVt8106TnKCSHNbTFx_szjpl6du9sq9V" TargetMode="External"/><Relationship Id="rId837" Type="http://schemas.openxmlformats.org/officeDocument/2006/relationships/hyperlink" Target="https://drive.google.com/file/d/1vQGTSQQTLcFjCd93WD7Qn5fHjoacLbWl/view?usp=drivesdk" TargetMode="External"/><Relationship Id="rId836" Type="http://schemas.openxmlformats.org/officeDocument/2006/relationships/hyperlink" Target="https://lh5.googleusercontent.com/d/19YQf0MrEazLI26DMGrtCZIjw3-nDj7Ap" TargetMode="External"/><Relationship Id="rId835" Type="http://schemas.openxmlformats.org/officeDocument/2006/relationships/hyperlink" Target="https://drive.google.com/file/d/179EtlSfdywW-A3zKgJOzUggvg_3G7qZY/view?usp=drivesdk" TargetMode="External"/><Relationship Id="rId834" Type="http://schemas.openxmlformats.org/officeDocument/2006/relationships/hyperlink" Target="https://lh5.googleusercontent.com/d/1CHQ_vWZLkb40SU8cTRj_dCzRRlFIQ3bO" TargetMode="External"/><Relationship Id="rId1660" Type="http://schemas.openxmlformats.org/officeDocument/2006/relationships/hyperlink" Target="https://lh5.googleusercontent.com/d/1nxInzO1HkzgJXfuTkQmwgM0RLg-ghOHB" TargetMode="External"/><Relationship Id="rId1661" Type="http://schemas.openxmlformats.org/officeDocument/2006/relationships/hyperlink" Target="https://drive.google.com/file/d/1ULUzhDXDXkRT3dTprfH-k-jX0JlYu_P_/view?usp=drivesdk" TargetMode="External"/><Relationship Id="rId1662" Type="http://schemas.openxmlformats.org/officeDocument/2006/relationships/hyperlink" Target="https://lh5.googleusercontent.com/d/1zT7kNvv26ShEwh6eyfeiaJD-EZEO41wb" TargetMode="External"/><Relationship Id="rId1663" Type="http://schemas.openxmlformats.org/officeDocument/2006/relationships/hyperlink" Target="https://drive.google.com/file/d/1hqGGky1gmOetInaVv0mwSImdKqrB_hft/view?usp=drivesdk" TargetMode="External"/><Relationship Id="rId899" Type="http://schemas.openxmlformats.org/officeDocument/2006/relationships/hyperlink" Target="https://drive.google.com/file/d/1jgiXweM2qaJDIk16WKrql-8ZMM67crzW/view?usp=drivesdk" TargetMode="External"/><Relationship Id="rId898" Type="http://schemas.openxmlformats.org/officeDocument/2006/relationships/hyperlink" Target="https://lh5.googleusercontent.com/d/1uo6TyGRhUyvfEJnJTN9zZUNcGm2MG45k" TargetMode="External"/><Relationship Id="rId897" Type="http://schemas.openxmlformats.org/officeDocument/2006/relationships/hyperlink" Target="https://drive.google.com/file/d/1XQ2_VJkD0EhzMbTbStXha2LIamVot4ZX/view?usp=drivesdk" TargetMode="External"/><Relationship Id="rId896" Type="http://schemas.openxmlformats.org/officeDocument/2006/relationships/hyperlink" Target="https://lh5.googleusercontent.com/d/1ytB9VqvFGmztn_0RKrKS9qdsC-OVOlov" TargetMode="External"/><Relationship Id="rId891" Type="http://schemas.openxmlformats.org/officeDocument/2006/relationships/hyperlink" Target="https://drive.google.com/file/d/1-KrQSfpcesFAzjGpteZVMWDPUEK15xfH/view?usp=drivesdk" TargetMode="External"/><Relationship Id="rId890" Type="http://schemas.openxmlformats.org/officeDocument/2006/relationships/hyperlink" Target="https://lh5.googleusercontent.com/d/1VNE-yYMrsfyDcqPYHASTM9gCJb7BEbOg" TargetMode="External"/><Relationship Id="rId895" Type="http://schemas.openxmlformats.org/officeDocument/2006/relationships/hyperlink" Target="https://drive.google.com/file/d/1zAJx8OxtWXFThIKhsZv_clsVXW9u-iYS/view?usp=drivesdk" TargetMode="External"/><Relationship Id="rId894" Type="http://schemas.openxmlformats.org/officeDocument/2006/relationships/hyperlink" Target="https://lh5.googleusercontent.com/d/1pr-PHd3raRL50_tmgseseb-Om4mqmduq" TargetMode="External"/><Relationship Id="rId893" Type="http://schemas.openxmlformats.org/officeDocument/2006/relationships/hyperlink" Target="https://drive.google.com/file/d/1v1k6o8h0sh8_CVHuA7lCkXPTXohOkaLK/view?usp=drivesdk" TargetMode="External"/><Relationship Id="rId892" Type="http://schemas.openxmlformats.org/officeDocument/2006/relationships/hyperlink" Target="https://lh5.googleusercontent.com/d/1uR3srLugQU0O41yWyay9AkCrxwvL0_qb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7.25"/>
    <col customWidth="1" min="3" max="3" width="15.88"/>
    <col customWidth="1" min="4" max="4" width="8.5"/>
    <col customWidth="1" min="5" max="5" width="6.5"/>
    <col customWidth="1" min="6" max="6" width="23.75"/>
    <col customWidth="1" min="7" max="7" width="34.38"/>
    <col customWidth="1" min="8" max="8" width="24.88"/>
    <col customWidth="1" min="9" max="9" width="31.5"/>
    <col customWidth="1" min="10" max="10" width="14.88"/>
    <col customWidth="1" min="11" max="11" width="18.5"/>
    <col customWidth="1" min="12" max="12" width="15.13"/>
    <col customWidth="1" min="13" max="13" width="31.88"/>
    <col customWidth="1" min="14" max="15" width="2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5">
        <v>10.0</v>
      </c>
      <c r="B2" s="6">
        <v>45973.575377824076</v>
      </c>
      <c r="C2" s="7" t="s">
        <v>15</v>
      </c>
      <c r="D2" s="8" t="s">
        <v>16</v>
      </c>
      <c r="E2" s="8" t="s">
        <v>17</v>
      </c>
      <c r="F2" s="7" t="s">
        <v>18</v>
      </c>
      <c r="G2" s="9" t="s">
        <v>19</v>
      </c>
      <c r="H2" s="7" t="s">
        <v>20</v>
      </c>
      <c r="I2" s="7" t="s">
        <v>21</v>
      </c>
      <c r="J2" s="10">
        <v>45940.0</v>
      </c>
      <c r="K2" s="8" t="s">
        <v>22</v>
      </c>
      <c r="L2" s="7">
        <v>4.0</v>
      </c>
      <c r="M2" s="7" t="s">
        <v>23</v>
      </c>
      <c r="N2" s="13" t="s">
        <v>24</v>
      </c>
      <c r="O2" s="15" t="s">
        <v>25</v>
      </c>
    </row>
    <row r="3">
      <c r="A3" s="5">
        <v>11.0</v>
      </c>
      <c r="B3" s="6">
        <v>45974.82794525463</v>
      </c>
      <c r="C3" s="7" t="s">
        <v>26</v>
      </c>
      <c r="D3" s="8" t="s">
        <v>27</v>
      </c>
      <c r="E3" s="8" t="s">
        <v>28</v>
      </c>
      <c r="F3" s="7" t="s">
        <v>29</v>
      </c>
      <c r="G3" s="9" t="s">
        <v>19</v>
      </c>
      <c r="H3" s="7" t="s">
        <v>30</v>
      </c>
      <c r="I3" s="7" t="s">
        <v>31</v>
      </c>
      <c r="J3" s="10">
        <v>45825.0</v>
      </c>
      <c r="K3" s="8" t="s">
        <v>32</v>
      </c>
      <c r="L3" s="7">
        <v>8.0</v>
      </c>
      <c r="M3" s="7" t="s">
        <v>33</v>
      </c>
      <c r="N3" s="13" t="s">
        <v>34</v>
      </c>
      <c r="O3" s="15" t="s">
        <v>35</v>
      </c>
    </row>
    <row r="4">
      <c r="A4" s="5">
        <v>12.0</v>
      </c>
      <c r="B4" s="6">
        <v>45974.830842407406</v>
      </c>
      <c r="C4" s="7" t="s">
        <v>26</v>
      </c>
      <c r="D4" s="8" t="s">
        <v>27</v>
      </c>
      <c r="E4" s="8" t="s">
        <v>28</v>
      </c>
      <c r="F4" s="7" t="s">
        <v>29</v>
      </c>
      <c r="G4" s="9" t="s">
        <v>19</v>
      </c>
      <c r="H4" s="7" t="s">
        <v>36</v>
      </c>
      <c r="I4" s="7" t="s">
        <v>37</v>
      </c>
      <c r="J4" s="10">
        <v>45838.0</v>
      </c>
      <c r="K4" s="8" t="s">
        <v>38</v>
      </c>
      <c r="L4" s="7">
        <v>8.0</v>
      </c>
      <c r="M4" s="7" t="s">
        <v>33</v>
      </c>
      <c r="N4" s="13" t="s">
        <v>39</v>
      </c>
      <c r="O4" s="15" t="s">
        <v>40</v>
      </c>
    </row>
    <row r="5">
      <c r="A5" s="5">
        <v>13.0</v>
      </c>
      <c r="B5" s="6">
        <v>45974.83285362268</v>
      </c>
      <c r="C5" s="7" t="s">
        <v>26</v>
      </c>
      <c r="D5" s="8" t="s">
        <v>27</v>
      </c>
      <c r="E5" s="8" t="s">
        <v>28</v>
      </c>
      <c r="F5" s="7" t="s">
        <v>29</v>
      </c>
      <c r="G5" s="9" t="s">
        <v>19</v>
      </c>
      <c r="H5" s="7" t="s">
        <v>41</v>
      </c>
      <c r="I5" s="7" t="s">
        <v>37</v>
      </c>
      <c r="J5" s="10">
        <v>45839.0</v>
      </c>
      <c r="K5" s="8" t="s">
        <v>38</v>
      </c>
      <c r="L5" s="7">
        <v>8.0</v>
      </c>
      <c r="M5" s="7" t="s">
        <v>33</v>
      </c>
      <c r="N5" s="13" t="s">
        <v>42</v>
      </c>
      <c r="O5" s="15" t="s">
        <v>43</v>
      </c>
    </row>
    <row r="6">
      <c r="A6" s="5">
        <v>14.0</v>
      </c>
      <c r="B6" s="6">
        <v>45974.83462978009</v>
      </c>
      <c r="C6" s="7" t="s">
        <v>26</v>
      </c>
      <c r="D6" s="8" t="s">
        <v>27</v>
      </c>
      <c r="E6" s="8" t="s">
        <v>28</v>
      </c>
      <c r="F6" s="7" t="s">
        <v>29</v>
      </c>
      <c r="G6" s="9" t="s">
        <v>19</v>
      </c>
      <c r="H6" s="7" t="s">
        <v>44</v>
      </c>
      <c r="I6" s="7" t="s">
        <v>37</v>
      </c>
      <c r="J6" s="10">
        <v>45840.0</v>
      </c>
      <c r="K6" s="8" t="s">
        <v>38</v>
      </c>
      <c r="L6" s="7">
        <v>8.0</v>
      </c>
      <c r="M6" s="7" t="s">
        <v>33</v>
      </c>
      <c r="N6" s="13" t="s">
        <v>45</v>
      </c>
      <c r="O6" s="15" t="s">
        <v>46</v>
      </c>
    </row>
    <row r="7">
      <c r="A7" s="5">
        <v>16.0</v>
      </c>
      <c r="B7" s="6">
        <v>45974.8393546875</v>
      </c>
      <c r="C7" s="7" t="s">
        <v>26</v>
      </c>
      <c r="D7" s="8" t="s">
        <v>27</v>
      </c>
      <c r="E7" s="8" t="s">
        <v>28</v>
      </c>
      <c r="F7" s="7" t="s">
        <v>29</v>
      </c>
      <c r="G7" s="9" t="s">
        <v>19</v>
      </c>
      <c r="H7" s="7" t="s">
        <v>47</v>
      </c>
      <c r="I7" s="7" t="s">
        <v>48</v>
      </c>
      <c r="J7" s="10">
        <v>45853.0</v>
      </c>
      <c r="K7" s="8" t="s">
        <v>49</v>
      </c>
      <c r="L7" s="7">
        <v>8.0</v>
      </c>
      <c r="M7" s="7" t="s">
        <v>33</v>
      </c>
      <c r="N7" s="13" t="s">
        <v>50</v>
      </c>
      <c r="O7" s="15" t="s">
        <v>51</v>
      </c>
    </row>
    <row r="8">
      <c r="A8" s="5">
        <v>17.0</v>
      </c>
      <c r="B8" s="6">
        <v>45974.84273788195</v>
      </c>
      <c r="C8" s="7" t="s">
        <v>26</v>
      </c>
      <c r="D8" s="8" t="s">
        <v>27</v>
      </c>
      <c r="E8" s="8" t="s">
        <v>28</v>
      </c>
      <c r="F8" s="7" t="s">
        <v>29</v>
      </c>
      <c r="G8" s="9" t="s">
        <v>19</v>
      </c>
      <c r="H8" s="7" t="s">
        <v>52</v>
      </c>
      <c r="I8" s="7" t="s">
        <v>53</v>
      </c>
      <c r="J8" s="10">
        <v>45907.0</v>
      </c>
      <c r="K8" s="8" t="s">
        <v>49</v>
      </c>
      <c r="L8" s="7">
        <v>8.0</v>
      </c>
      <c r="M8" s="7" t="s">
        <v>33</v>
      </c>
      <c r="N8" s="13" t="s">
        <v>54</v>
      </c>
      <c r="O8" s="15" t="s">
        <v>55</v>
      </c>
    </row>
    <row r="9">
      <c r="A9" s="5">
        <v>18.0</v>
      </c>
      <c r="B9" s="6">
        <v>45974.84478616898</v>
      </c>
      <c r="C9" s="7" t="s">
        <v>26</v>
      </c>
      <c r="D9" s="8" t="s">
        <v>27</v>
      </c>
      <c r="E9" s="8" t="s">
        <v>28</v>
      </c>
      <c r="F9" s="7" t="s">
        <v>29</v>
      </c>
      <c r="G9" s="9" t="s">
        <v>19</v>
      </c>
      <c r="H9" s="7" t="s">
        <v>56</v>
      </c>
      <c r="I9" s="7" t="s">
        <v>57</v>
      </c>
      <c r="J9" s="10">
        <v>45955.0</v>
      </c>
      <c r="K9" s="8" t="s">
        <v>58</v>
      </c>
      <c r="L9" s="7">
        <v>5.0</v>
      </c>
      <c r="M9" s="7" t="s">
        <v>59</v>
      </c>
      <c r="N9" s="13" t="s">
        <v>60</v>
      </c>
      <c r="O9" s="15" t="s">
        <v>61</v>
      </c>
    </row>
    <row r="10">
      <c r="A10" s="5">
        <v>19.0</v>
      </c>
      <c r="B10" s="6">
        <v>45974.90582184028</v>
      </c>
      <c r="C10" s="7" t="s">
        <v>15</v>
      </c>
      <c r="D10" s="8" t="s">
        <v>62</v>
      </c>
      <c r="E10" s="8" t="s">
        <v>63</v>
      </c>
      <c r="F10" s="7" t="s">
        <v>64</v>
      </c>
      <c r="G10" s="9" t="s">
        <v>19</v>
      </c>
      <c r="H10" s="7" t="s">
        <v>30</v>
      </c>
      <c r="I10" s="7" t="s">
        <v>31</v>
      </c>
      <c r="J10" s="10">
        <v>45825.0</v>
      </c>
      <c r="K10" s="8" t="s">
        <v>49</v>
      </c>
      <c r="L10" s="7">
        <v>8.0</v>
      </c>
      <c r="M10" s="7" t="s">
        <v>33</v>
      </c>
      <c r="N10" s="13" t="s">
        <v>65</v>
      </c>
      <c r="O10" s="15" t="s">
        <v>66</v>
      </c>
    </row>
    <row r="11">
      <c r="A11" s="5">
        <v>20.0</v>
      </c>
      <c r="B11" s="6">
        <v>45974.90967920139</v>
      </c>
      <c r="C11" s="7" t="s">
        <v>15</v>
      </c>
      <c r="D11" s="8" t="s">
        <v>62</v>
      </c>
      <c r="E11" s="8" t="s">
        <v>63</v>
      </c>
      <c r="F11" s="7" t="s">
        <v>64</v>
      </c>
      <c r="G11" s="9" t="s">
        <v>19</v>
      </c>
      <c r="H11" s="7" t="s">
        <v>30</v>
      </c>
      <c r="I11" s="7" t="s">
        <v>37</v>
      </c>
      <c r="J11" s="10">
        <v>45838.0</v>
      </c>
      <c r="K11" s="8" t="s">
        <v>67</v>
      </c>
      <c r="L11" s="7">
        <v>8.0</v>
      </c>
      <c r="M11" s="7" t="s">
        <v>33</v>
      </c>
      <c r="N11" s="13" t="s">
        <v>68</v>
      </c>
      <c r="O11" s="15" t="s">
        <v>69</v>
      </c>
    </row>
    <row r="12">
      <c r="A12" s="5">
        <v>21.0</v>
      </c>
      <c r="B12" s="6">
        <v>45974.92783834491</v>
      </c>
      <c r="C12" s="7" t="s">
        <v>15</v>
      </c>
      <c r="D12" s="8" t="s">
        <v>62</v>
      </c>
      <c r="E12" s="8" t="s">
        <v>63</v>
      </c>
      <c r="F12" s="7" t="s">
        <v>64</v>
      </c>
      <c r="G12" s="9" t="s">
        <v>19</v>
      </c>
      <c r="H12" s="7" t="s">
        <v>70</v>
      </c>
      <c r="I12" s="7" t="s">
        <v>71</v>
      </c>
      <c r="J12" s="10">
        <v>45840.0</v>
      </c>
      <c r="K12" s="8" t="s">
        <v>67</v>
      </c>
      <c r="L12" s="7">
        <v>8.0</v>
      </c>
      <c r="M12" s="7" t="s">
        <v>33</v>
      </c>
      <c r="N12" s="13" t="s">
        <v>72</v>
      </c>
      <c r="O12" s="15" t="s">
        <v>73</v>
      </c>
    </row>
    <row r="13">
      <c r="A13" s="5">
        <v>22.0</v>
      </c>
      <c r="B13" s="6">
        <v>45974.93067429398</v>
      </c>
      <c r="C13" s="7" t="s">
        <v>15</v>
      </c>
      <c r="D13" s="8" t="s">
        <v>62</v>
      </c>
      <c r="E13" s="8" t="s">
        <v>63</v>
      </c>
      <c r="F13" s="7" t="s">
        <v>64</v>
      </c>
      <c r="G13" s="9" t="s">
        <v>19</v>
      </c>
      <c r="H13" s="7" t="s">
        <v>41</v>
      </c>
      <c r="I13" s="7" t="s">
        <v>37</v>
      </c>
      <c r="J13" s="10">
        <v>45839.0</v>
      </c>
      <c r="K13" s="8" t="s">
        <v>67</v>
      </c>
      <c r="L13" s="7">
        <v>8.0</v>
      </c>
      <c r="M13" s="7" t="s">
        <v>33</v>
      </c>
      <c r="N13" s="13" t="s">
        <v>74</v>
      </c>
      <c r="O13" s="15" t="s">
        <v>75</v>
      </c>
    </row>
    <row r="14">
      <c r="A14" s="5">
        <v>23.0</v>
      </c>
      <c r="B14" s="6">
        <v>45976.777671585645</v>
      </c>
      <c r="C14" s="7" t="s">
        <v>15</v>
      </c>
      <c r="D14" s="8" t="s">
        <v>76</v>
      </c>
      <c r="E14" s="8" t="s">
        <v>28</v>
      </c>
      <c r="F14" s="7" t="s">
        <v>77</v>
      </c>
      <c r="G14" s="9" t="s">
        <v>19</v>
      </c>
      <c r="H14" s="7" t="s">
        <v>78</v>
      </c>
      <c r="I14" s="7" t="s">
        <v>37</v>
      </c>
      <c r="J14" s="10">
        <v>45840.0</v>
      </c>
      <c r="K14" s="8" t="s">
        <v>67</v>
      </c>
      <c r="L14" s="7">
        <v>8.0</v>
      </c>
      <c r="M14" s="7" t="s">
        <v>33</v>
      </c>
      <c r="N14" s="13" t="s">
        <v>79</v>
      </c>
      <c r="O14" s="15" t="s">
        <v>80</v>
      </c>
    </row>
    <row r="15">
      <c r="A15" s="5">
        <v>24.0</v>
      </c>
      <c r="B15" s="6">
        <v>45976.78525394676</v>
      </c>
      <c r="C15" s="7" t="s">
        <v>15</v>
      </c>
      <c r="D15" s="8" t="s">
        <v>76</v>
      </c>
      <c r="E15" s="8" t="s">
        <v>28</v>
      </c>
      <c r="F15" s="7" t="s">
        <v>77</v>
      </c>
      <c r="G15" s="9" t="s">
        <v>19</v>
      </c>
      <c r="H15" s="7" t="s">
        <v>81</v>
      </c>
      <c r="I15" s="7" t="s">
        <v>21</v>
      </c>
      <c r="J15" s="10">
        <v>45940.0</v>
      </c>
      <c r="K15" s="8" t="s">
        <v>22</v>
      </c>
      <c r="L15" s="7">
        <v>4.0</v>
      </c>
      <c r="M15" s="7" t="s">
        <v>23</v>
      </c>
      <c r="N15" s="13" t="s">
        <v>82</v>
      </c>
      <c r="O15" s="15" t="s">
        <v>83</v>
      </c>
    </row>
    <row r="16">
      <c r="A16" s="5">
        <v>25.0</v>
      </c>
      <c r="B16" s="6">
        <v>45977.04333773148</v>
      </c>
      <c r="C16" s="7" t="s">
        <v>15</v>
      </c>
      <c r="D16" s="8" t="s">
        <v>16</v>
      </c>
      <c r="E16" s="8" t="s">
        <v>17</v>
      </c>
      <c r="F16" s="7" t="s">
        <v>18</v>
      </c>
      <c r="G16" s="9" t="s">
        <v>84</v>
      </c>
      <c r="H16" s="7" t="s">
        <v>85</v>
      </c>
      <c r="I16" s="7" t="s">
        <v>86</v>
      </c>
      <c r="J16" s="10">
        <v>45976.0</v>
      </c>
      <c r="K16" s="8" t="s">
        <v>49</v>
      </c>
      <c r="L16" s="7">
        <v>8.0</v>
      </c>
      <c r="M16" s="7" t="s">
        <v>87</v>
      </c>
      <c r="N16" s="13" t="s">
        <v>88</v>
      </c>
      <c r="O16" s="15" t="s">
        <v>89</v>
      </c>
    </row>
    <row r="17">
      <c r="A17" s="5">
        <v>26.0</v>
      </c>
      <c r="B17" s="6">
        <v>45977.83206739584</v>
      </c>
      <c r="C17" s="7" t="s">
        <v>15</v>
      </c>
      <c r="D17" s="8" t="s">
        <v>90</v>
      </c>
      <c r="E17" s="8" t="s">
        <v>91</v>
      </c>
      <c r="F17" s="7" t="s">
        <v>92</v>
      </c>
      <c r="G17" s="9" t="s">
        <v>19</v>
      </c>
      <c r="H17" s="7" t="s">
        <v>93</v>
      </c>
      <c r="I17" s="7" t="s">
        <v>94</v>
      </c>
      <c r="J17" s="10">
        <v>45823.0</v>
      </c>
      <c r="K17" s="8" t="s">
        <v>22</v>
      </c>
      <c r="L17" s="7">
        <v>4.0</v>
      </c>
      <c r="M17" s="7" t="s">
        <v>95</v>
      </c>
      <c r="N17" s="13" t="s">
        <v>96</v>
      </c>
      <c r="O17" s="15" t="s">
        <v>97</v>
      </c>
    </row>
    <row r="18">
      <c r="A18" s="5">
        <v>27.0</v>
      </c>
      <c r="B18" s="6">
        <v>45977.83646048611</v>
      </c>
      <c r="C18" s="7" t="s">
        <v>15</v>
      </c>
      <c r="D18" s="8" t="s">
        <v>90</v>
      </c>
      <c r="E18" s="8" t="s">
        <v>91</v>
      </c>
      <c r="F18" s="7" t="s">
        <v>98</v>
      </c>
      <c r="G18" s="9" t="s">
        <v>19</v>
      </c>
      <c r="H18" s="7" t="s">
        <v>99</v>
      </c>
      <c r="I18" s="7" t="s">
        <v>37</v>
      </c>
      <c r="J18" s="10">
        <v>45839.0</v>
      </c>
      <c r="K18" s="8" t="s">
        <v>67</v>
      </c>
      <c r="L18" s="7">
        <v>8.0</v>
      </c>
      <c r="M18" s="7" t="s">
        <v>33</v>
      </c>
      <c r="N18" s="13" t="s">
        <v>100</v>
      </c>
      <c r="O18" s="15" t="s">
        <v>101</v>
      </c>
    </row>
    <row r="19">
      <c r="A19" s="5">
        <v>28.0</v>
      </c>
      <c r="B19" s="6">
        <v>45977.837807337964</v>
      </c>
      <c r="C19" s="7" t="s">
        <v>15</v>
      </c>
      <c r="D19" s="8" t="s">
        <v>90</v>
      </c>
      <c r="E19" s="8" t="s">
        <v>91</v>
      </c>
      <c r="F19" s="7" t="s">
        <v>92</v>
      </c>
      <c r="G19" s="9" t="s">
        <v>19</v>
      </c>
      <c r="H19" s="7" t="s">
        <v>99</v>
      </c>
      <c r="I19" s="7" t="s">
        <v>37</v>
      </c>
      <c r="J19" s="10">
        <v>45840.0</v>
      </c>
      <c r="K19" s="8" t="s">
        <v>67</v>
      </c>
      <c r="L19" s="7">
        <v>8.0</v>
      </c>
      <c r="M19" s="7" t="s">
        <v>33</v>
      </c>
      <c r="N19" s="13" t="s">
        <v>102</v>
      </c>
      <c r="O19" s="15" t="s">
        <v>103</v>
      </c>
    </row>
    <row r="20">
      <c r="A20" s="5">
        <v>29.0</v>
      </c>
      <c r="B20" s="6">
        <v>45977.898092627314</v>
      </c>
      <c r="C20" s="7" t="s">
        <v>15</v>
      </c>
      <c r="D20" s="8" t="s">
        <v>16</v>
      </c>
      <c r="E20" s="8" t="s">
        <v>17</v>
      </c>
      <c r="F20" s="7" t="s">
        <v>18</v>
      </c>
      <c r="G20" s="9" t="s">
        <v>19</v>
      </c>
      <c r="H20" s="7" t="s">
        <v>104</v>
      </c>
      <c r="I20" s="7" t="s">
        <v>105</v>
      </c>
      <c r="J20" s="10">
        <v>45823.0</v>
      </c>
      <c r="K20" s="8" t="s">
        <v>22</v>
      </c>
      <c r="L20" s="7">
        <v>4.0</v>
      </c>
      <c r="M20" s="7" t="s">
        <v>106</v>
      </c>
      <c r="N20" s="13" t="s">
        <v>107</v>
      </c>
      <c r="O20" s="15" t="s">
        <v>108</v>
      </c>
    </row>
    <row r="21">
      <c r="A21" s="5">
        <v>30.0</v>
      </c>
      <c r="B21" s="6">
        <v>45979.63639875</v>
      </c>
      <c r="C21" s="7" t="s">
        <v>26</v>
      </c>
      <c r="D21" s="8" t="s">
        <v>109</v>
      </c>
      <c r="E21" s="8" t="s">
        <v>110</v>
      </c>
      <c r="F21" s="7" t="s">
        <v>111</v>
      </c>
      <c r="G21" s="9" t="s">
        <v>19</v>
      </c>
      <c r="H21" s="7" t="s">
        <v>41</v>
      </c>
      <c r="I21" s="7" t="s">
        <v>112</v>
      </c>
      <c r="J21" s="10">
        <v>45840.0</v>
      </c>
      <c r="K21" s="8" t="s">
        <v>67</v>
      </c>
      <c r="L21" s="7">
        <v>8.0</v>
      </c>
      <c r="M21" s="7" t="s">
        <v>33</v>
      </c>
      <c r="N21" s="13" t="s">
        <v>113</v>
      </c>
      <c r="O21" s="15" t="s">
        <v>114</v>
      </c>
    </row>
    <row r="22">
      <c r="A22" s="5">
        <v>31.0</v>
      </c>
      <c r="B22" s="6">
        <v>45979.6410515625</v>
      </c>
      <c r="C22" s="7" t="s">
        <v>26</v>
      </c>
      <c r="D22" s="8" t="s">
        <v>109</v>
      </c>
      <c r="E22" s="8" t="s">
        <v>110</v>
      </c>
      <c r="F22" s="7" t="s">
        <v>111</v>
      </c>
      <c r="G22" s="9" t="s">
        <v>19</v>
      </c>
      <c r="H22" s="7" t="s">
        <v>41</v>
      </c>
      <c r="I22" s="7" t="s">
        <v>112</v>
      </c>
      <c r="J22" s="10">
        <v>45839.0</v>
      </c>
      <c r="K22" s="8" t="s">
        <v>67</v>
      </c>
      <c r="L22" s="7">
        <v>8.0</v>
      </c>
      <c r="M22" s="7" t="s">
        <v>33</v>
      </c>
      <c r="N22" s="13" t="s">
        <v>115</v>
      </c>
      <c r="O22" s="15" t="s">
        <v>116</v>
      </c>
    </row>
    <row r="23">
      <c r="A23" s="5">
        <v>32.0</v>
      </c>
      <c r="B23" s="6">
        <v>45979.64430197916</v>
      </c>
      <c r="C23" s="7" t="s">
        <v>26</v>
      </c>
      <c r="D23" s="8" t="s">
        <v>117</v>
      </c>
      <c r="E23" s="8" t="s">
        <v>118</v>
      </c>
      <c r="F23" s="7" t="s">
        <v>119</v>
      </c>
      <c r="G23" s="9" t="s">
        <v>19</v>
      </c>
      <c r="H23" s="7" t="s">
        <v>120</v>
      </c>
      <c r="I23" s="7" t="s">
        <v>37</v>
      </c>
      <c r="J23" s="10">
        <v>45839.0</v>
      </c>
      <c r="K23" s="8" t="s">
        <v>67</v>
      </c>
      <c r="L23" s="7">
        <v>8.0</v>
      </c>
      <c r="M23" s="7" t="s">
        <v>33</v>
      </c>
      <c r="N23" s="13" t="s">
        <v>121</v>
      </c>
      <c r="O23" s="15" t="s">
        <v>122</v>
      </c>
    </row>
    <row r="24">
      <c r="A24" s="5">
        <v>33.0</v>
      </c>
      <c r="B24" s="6">
        <v>45979.64634475694</v>
      </c>
      <c r="C24" s="7" t="s">
        <v>26</v>
      </c>
      <c r="D24" s="8" t="s">
        <v>117</v>
      </c>
      <c r="E24" s="8" t="s">
        <v>118</v>
      </c>
      <c r="F24" s="7" t="s">
        <v>119</v>
      </c>
      <c r="G24" s="9" t="s">
        <v>19</v>
      </c>
      <c r="H24" s="7" t="s">
        <v>120</v>
      </c>
      <c r="I24" s="7" t="s">
        <v>37</v>
      </c>
      <c r="J24" s="10">
        <v>45840.0</v>
      </c>
      <c r="K24" s="8" t="s">
        <v>67</v>
      </c>
      <c r="L24" s="7">
        <v>8.0</v>
      </c>
      <c r="M24" s="7" t="s">
        <v>33</v>
      </c>
      <c r="N24" s="13" t="s">
        <v>123</v>
      </c>
      <c r="O24" s="15" t="s">
        <v>124</v>
      </c>
    </row>
    <row r="25">
      <c r="A25" s="5">
        <v>34.0</v>
      </c>
      <c r="B25" s="6">
        <v>45980.63452569445</v>
      </c>
      <c r="C25" s="7" t="s">
        <v>125</v>
      </c>
      <c r="D25" s="8" t="s">
        <v>126</v>
      </c>
      <c r="E25" s="8" t="s">
        <v>63</v>
      </c>
      <c r="F25" s="7" t="s">
        <v>127</v>
      </c>
      <c r="G25" s="9" t="s">
        <v>84</v>
      </c>
      <c r="H25" s="7" t="s">
        <v>85</v>
      </c>
      <c r="I25" s="7" t="s">
        <v>128</v>
      </c>
      <c r="J25" s="10">
        <v>45878.0</v>
      </c>
      <c r="K25" s="8" t="s">
        <v>129</v>
      </c>
      <c r="L25" s="7">
        <v>8.0</v>
      </c>
      <c r="M25" s="7" t="s">
        <v>130</v>
      </c>
      <c r="N25" s="13" t="s">
        <v>131</v>
      </c>
      <c r="O25" s="15" t="s">
        <v>132</v>
      </c>
    </row>
    <row r="26">
      <c r="A26" s="5">
        <v>35.0</v>
      </c>
      <c r="B26" s="6">
        <v>45980.63497460648</v>
      </c>
      <c r="C26" s="7" t="s">
        <v>125</v>
      </c>
      <c r="D26" s="8" t="s">
        <v>133</v>
      </c>
      <c r="E26" s="8" t="s">
        <v>134</v>
      </c>
      <c r="F26" s="7" t="s">
        <v>135</v>
      </c>
      <c r="G26" s="9" t="s">
        <v>19</v>
      </c>
      <c r="H26" s="7" t="s">
        <v>136</v>
      </c>
      <c r="I26" s="7" t="s">
        <v>137</v>
      </c>
      <c r="J26" s="10">
        <v>45854.0</v>
      </c>
      <c r="K26" s="8" t="s">
        <v>138</v>
      </c>
      <c r="L26" s="7">
        <v>4.0</v>
      </c>
      <c r="M26" s="7" t="s">
        <v>106</v>
      </c>
      <c r="N26" s="13" t="s">
        <v>139</v>
      </c>
      <c r="O26" s="15" t="s">
        <v>140</v>
      </c>
    </row>
    <row r="27">
      <c r="A27" s="5">
        <v>36.0</v>
      </c>
      <c r="B27" s="6">
        <v>45980.63599929398</v>
      </c>
      <c r="C27" s="7" t="s">
        <v>125</v>
      </c>
      <c r="D27" s="8" t="s">
        <v>141</v>
      </c>
      <c r="E27" s="8" t="s">
        <v>142</v>
      </c>
      <c r="F27" s="7" t="s">
        <v>143</v>
      </c>
      <c r="G27" s="9" t="s">
        <v>144</v>
      </c>
      <c r="H27" s="7" t="s">
        <v>145</v>
      </c>
      <c r="I27" s="7" t="s">
        <v>146</v>
      </c>
      <c r="J27" s="10">
        <v>45955.0</v>
      </c>
      <c r="K27" s="8" t="s">
        <v>22</v>
      </c>
      <c r="L27" s="7">
        <v>4.0</v>
      </c>
      <c r="M27" s="7" t="s">
        <v>147</v>
      </c>
      <c r="N27" s="13" t="s">
        <v>148</v>
      </c>
      <c r="O27" s="15" t="s">
        <v>149</v>
      </c>
    </row>
    <row r="28">
      <c r="A28" s="5">
        <v>37.0</v>
      </c>
      <c r="B28" s="6">
        <v>45980.640864664354</v>
      </c>
      <c r="C28" s="7" t="s">
        <v>125</v>
      </c>
      <c r="D28" s="8" t="s">
        <v>133</v>
      </c>
      <c r="E28" s="8" t="s">
        <v>134</v>
      </c>
      <c r="F28" s="7" t="s">
        <v>135</v>
      </c>
      <c r="G28" s="9" t="s">
        <v>144</v>
      </c>
      <c r="H28" s="7" t="s">
        <v>150</v>
      </c>
      <c r="I28" s="7" t="s">
        <v>146</v>
      </c>
      <c r="J28" s="10">
        <v>45955.0</v>
      </c>
      <c r="K28" s="8" t="s">
        <v>151</v>
      </c>
      <c r="L28" s="7">
        <v>4.0</v>
      </c>
      <c r="M28" s="7" t="s">
        <v>152</v>
      </c>
      <c r="N28" s="13" t="s">
        <v>153</v>
      </c>
      <c r="O28" s="15" t="s">
        <v>154</v>
      </c>
    </row>
    <row r="29">
      <c r="A29" s="5">
        <v>38.0</v>
      </c>
      <c r="B29" s="6">
        <v>45980.64188971065</v>
      </c>
      <c r="C29" s="7" t="s">
        <v>125</v>
      </c>
      <c r="D29" s="8" t="s">
        <v>141</v>
      </c>
      <c r="E29" s="8" t="s">
        <v>142</v>
      </c>
      <c r="F29" s="7" t="s">
        <v>143</v>
      </c>
      <c r="G29" s="9" t="s">
        <v>144</v>
      </c>
      <c r="H29" s="7" t="s">
        <v>155</v>
      </c>
      <c r="I29" s="7" t="s">
        <v>156</v>
      </c>
      <c r="J29" s="10">
        <v>45961.0</v>
      </c>
      <c r="K29" s="8" t="s">
        <v>22</v>
      </c>
      <c r="L29" s="7">
        <v>4.0</v>
      </c>
      <c r="M29" s="7" t="s">
        <v>147</v>
      </c>
      <c r="N29" s="13" t="s">
        <v>157</v>
      </c>
      <c r="O29" s="15" t="s">
        <v>158</v>
      </c>
    </row>
    <row r="30">
      <c r="A30" s="5">
        <v>39.0</v>
      </c>
      <c r="B30" s="6">
        <v>45980.643535104165</v>
      </c>
      <c r="C30" s="7" t="s">
        <v>125</v>
      </c>
      <c r="D30" s="8" t="s">
        <v>141</v>
      </c>
      <c r="E30" s="8" t="s">
        <v>142</v>
      </c>
      <c r="F30" s="7" t="s">
        <v>143</v>
      </c>
      <c r="G30" s="9" t="s">
        <v>159</v>
      </c>
      <c r="H30" s="7" t="s">
        <v>160</v>
      </c>
      <c r="I30" s="7" t="s">
        <v>156</v>
      </c>
      <c r="J30" s="10">
        <v>45963.0</v>
      </c>
      <c r="K30" s="8" t="s">
        <v>22</v>
      </c>
      <c r="L30" s="7">
        <v>4.0</v>
      </c>
      <c r="M30" s="7" t="s">
        <v>147</v>
      </c>
      <c r="N30" s="13" t="s">
        <v>161</v>
      </c>
      <c r="O30" s="15" t="s">
        <v>162</v>
      </c>
    </row>
    <row r="31">
      <c r="A31" s="5">
        <v>40.0</v>
      </c>
      <c r="B31" s="6">
        <v>45980.64536065972</v>
      </c>
      <c r="C31" s="7" t="s">
        <v>125</v>
      </c>
      <c r="D31" s="8" t="s">
        <v>163</v>
      </c>
      <c r="E31" s="8" t="s">
        <v>164</v>
      </c>
      <c r="F31" s="7" t="s">
        <v>165</v>
      </c>
      <c r="G31" s="9" t="s">
        <v>144</v>
      </c>
      <c r="H31" s="7" t="s">
        <v>166</v>
      </c>
      <c r="I31" s="7" t="s">
        <v>167</v>
      </c>
      <c r="J31" s="10">
        <v>45966.0</v>
      </c>
      <c r="K31" s="8" t="s">
        <v>22</v>
      </c>
      <c r="L31" s="7">
        <v>4.0</v>
      </c>
      <c r="M31" s="7" t="s">
        <v>168</v>
      </c>
      <c r="N31" s="13" t="s">
        <v>169</v>
      </c>
      <c r="O31" s="16"/>
    </row>
    <row r="32">
      <c r="A32" s="5">
        <v>40.0</v>
      </c>
      <c r="B32" s="6">
        <v>45980.64536296296</v>
      </c>
      <c r="C32" s="7" t="s">
        <v>125</v>
      </c>
      <c r="D32" s="8" t="s">
        <v>170</v>
      </c>
      <c r="E32" s="8" t="s">
        <v>171</v>
      </c>
      <c r="F32" s="7" t="s">
        <v>172</v>
      </c>
      <c r="G32" s="9" t="s">
        <v>19</v>
      </c>
      <c r="H32" s="7" t="s">
        <v>173</v>
      </c>
      <c r="I32" s="7" t="s">
        <v>174</v>
      </c>
      <c r="J32" s="10">
        <v>45854.0</v>
      </c>
      <c r="K32" s="8" t="s">
        <v>175</v>
      </c>
      <c r="L32" s="7">
        <v>6.0</v>
      </c>
      <c r="M32" s="7" t="s">
        <v>106</v>
      </c>
      <c r="N32" s="13" t="s">
        <v>176</v>
      </c>
      <c r="O32" s="15" t="s">
        <v>177</v>
      </c>
    </row>
    <row r="33">
      <c r="A33" s="5">
        <v>41.0</v>
      </c>
      <c r="B33" s="6">
        <v>45980.64656840278</v>
      </c>
      <c r="C33" s="7" t="s">
        <v>125</v>
      </c>
      <c r="D33" s="8" t="s">
        <v>178</v>
      </c>
      <c r="E33" s="8" t="s">
        <v>179</v>
      </c>
      <c r="F33" s="7" t="s">
        <v>180</v>
      </c>
      <c r="G33" s="9" t="s">
        <v>181</v>
      </c>
      <c r="H33" s="7" t="s">
        <v>182</v>
      </c>
      <c r="I33" s="7" t="s">
        <v>183</v>
      </c>
      <c r="J33" s="10">
        <v>45916.0</v>
      </c>
      <c r="K33" s="8" t="s">
        <v>22</v>
      </c>
      <c r="L33" s="7">
        <v>4.0</v>
      </c>
      <c r="M33" s="7" t="s">
        <v>184</v>
      </c>
      <c r="N33" s="13" t="s">
        <v>185</v>
      </c>
      <c r="O33" s="15" t="s">
        <v>186</v>
      </c>
    </row>
    <row r="34">
      <c r="A34" s="5">
        <v>42.0</v>
      </c>
      <c r="B34" s="6">
        <v>45980.646724942126</v>
      </c>
      <c r="C34" s="7" t="s">
        <v>125</v>
      </c>
      <c r="D34" s="8" t="s">
        <v>141</v>
      </c>
      <c r="E34" s="8" t="s">
        <v>142</v>
      </c>
      <c r="F34" s="7" t="s">
        <v>143</v>
      </c>
      <c r="G34" s="9" t="s">
        <v>19</v>
      </c>
      <c r="H34" s="7" t="s">
        <v>173</v>
      </c>
      <c r="I34" s="7" t="s">
        <v>174</v>
      </c>
      <c r="J34" s="10">
        <v>45854.0</v>
      </c>
      <c r="K34" s="8" t="s">
        <v>175</v>
      </c>
      <c r="L34" s="7">
        <v>6.0</v>
      </c>
      <c r="M34" s="7" t="s">
        <v>106</v>
      </c>
      <c r="N34" s="13" t="s">
        <v>187</v>
      </c>
      <c r="O34" s="15" t="s">
        <v>188</v>
      </c>
    </row>
    <row r="35">
      <c r="A35" s="5">
        <v>43.0</v>
      </c>
      <c r="B35" s="6">
        <v>45980.64889486111</v>
      </c>
      <c r="C35" s="7" t="s">
        <v>125</v>
      </c>
      <c r="D35" s="8" t="s">
        <v>141</v>
      </c>
      <c r="E35" s="8" t="s">
        <v>142</v>
      </c>
      <c r="F35" s="7" t="s">
        <v>143</v>
      </c>
      <c r="G35" s="9" t="s">
        <v>181</v>
      </c>
      <c r="H35" s="7" t="s">
        <v>189</v>
      </c>
      <c r="I35" s="7" t="s">
        <v>190</v>
      </c>
      <c r="J35" s="10">
        <v>45956.0</v>
      </c>
      <c r="K35" s="8" t="s">
        <v>191</v>
      </c>
      <c r="L35" s="7">
        <v>1.0</v>
      </c>
      <c r="M35" s="7" t="s">
        <v>147</v>
      </c>
      <c r="N35" s="13" t="s">
        <v>192</v>
      </c>
      <c r="O35" s="15" t="s">
        <v>193</v>
      </c>
    </row>
    <row r="36">
      <c r="A36" s="5">
        <v>44.0</v>
      </c>
      <c r="B36" s="6">
        <v>45980.65010248843</v>
      </c>
      <c r="C36" s="7" t="s">
        <v>125</v>
      </c>
      <c r="D36" s="8" t="s">
        <v>126</v>
      </c>
      <c r="E36" s="8" t="s">
        <v>63</v>
      </c>
      <c r="F36" s="7" t="s">
        <v>127</v>
      </c>
      <c r="G36" s="9" t="s">
        <v>19</v>
      </c>
      <c r="H36" s="7" t="s">
        <v>194</v>
      </c>
      <c r="I36" s="7" t="s">
        <v>174</v>
      </c>
      <c r="J36" s="10">
        <v>45854.0</v>
      </c>
      <c r="K36" s="8" t="s">
        <v>195</v>
      </c>
      <c r="L36" s="7">
        <v>6.0</v>
      </c>
      <c r="M36" s="7" t="s">
        <v>106</v>
      </c>
      <c r="N36" s="13" t="s">
        <v>196</v>
      </c>
      <c r="O36" s="15" t="s">
        <v>197</v>
      </c>
    </row>
    <row r="37">
      <c r="A37" s="5">
        <v>45.0</v>
      </c>
      <c r="B37" s="6">
        <v>45980.65062483796</v>
      </c>
      <c r="C37" s="7" t="s">
        <v>125</v>
      </c>
      <c r="D37" s="8" t="s">
        <v>198</v>
      </c>
      <c r="E37" s="8" t="s">
        <v>199</v>
      </c>
      <c r="F37" s="7" t="s">
        <v>200</v>
      </c>
      <c r="G37" s="9" t="s">
        <v>19</v>
      </c>
      <c r="H37" s="7" t="s">
        <v>173</v>
      </c>
      <c r="I37" s="7" t="s">
        <v>201</v>
      </c>
      <c r="J37" s="10">
        <v>45854.0</v>
      </c>
      <c r="K37" s="8" t="s">
        <v>175</v>
      </c>
      <c r="L37" s="7">
        <v>6.0</v>
      </c>
      <c r="M37" s="7" t="s">
        <v>106</v>
      </c>
      <c r="N37" s="13" t="s">
        <v>202</v>
      </c>
      <c r="O37" s="15" t="s">
        <v>203</v>
      </c>
    </row>
    <row r="38">
      <c r="A38" s="5">
        <v>46.0</v>
      </c>
      <c r="B38" s="6">
        <v>45980.652583020834</v>
      </c>
      <c r="C38" s="7" t="s">
        <v>125</v>
      </c>
      <c r="D38" s="8" t="s">
        <v>141</v>
      </c>
      <c r="E38" s="8" t="s">
        <v>142</v>
      </c>
      <c r="F38" s="7" t="s">
        <v>143</v>
      </c>
      <c r="G38" s="9" t="s">
        <v>144</v>
      </c>
      <c r="H38" s="7" t="s">
        <v>204</v>
      </c>
      <c r="I38" s="7" t="s">
        <v>205</v>
      </c>
      <c r="J38" s="10">
        <v>45965.0</v>
      </c>
      <c r="K38" s="8" t="s">
        <v>206</v>
      </c>
      <c r="L38" s="7">
        <v>4.0</v>
      </c>
      <c r="M38" s="7" t="s">
        <v>147</v>
      </c>
      <c r="N38" s="13" t="s">
        <v>207</v>
      </c>
      <c r="O38" s="15" t="s">
        <v>208</v>
      </c>
    </row>
    <row r="39">
      <c r="A39" s="5">
        <v>47.0</v>
      </c>
      <c r="B39" s="6">
        <v>45980.654011273145</v>
      </c>
      <c r="C39" s="7" t="s">
        <v>125</v>
      </c>
      <c r="D39" s="8" t="s">
        <v>141</v>
      </c>
      <c r="E39" s="8" t="s">
        <v>142</v>
      </c>
      <c r="F39" s="7" t="s">
        <v>143</v>
      </c>
      <c r="G39" s="9" t="s">
        <v>209</v>
      </c>
      <c r="H39" s="7" t="s">
        <v>210</v>
      </c>
      <c r="I39" s="7" t="s">
        <v>205</v>
      </c>
      <c r="J39" s="10">
        <v>45982.0</v>
      </c>
      <c r="K39" s="8" t="s">
        <v>22</v>
      </c>
      <c r="L39" s="7">
        <v>4.0</v>
      </c>
      <c r="M39" s="7" t="s">
        <v>147</v>
      </c>
      <c r="N39" s="13" t="s">
        <v>211</v>
      </c>
      <c r="O39" s="15" t="s">
        <v>212</v>
      </c>
    </row>
    <row r="40">
      <c r="A40" s="5">
        <v>48.0</v>
      </c>
      <c r="B40" s="6">
        <v>45980.67721432871</v>
      </c>
      <c r="C40" s="7" t="s">
        <v>26</v>
      </c>
      <c r="D40" s="8" t="s">
        <v>213</v>
      </c>
      <c r="E40" s="8" t="s">
        <v>214</v>
      </c>
      <c r="F40" s="7" t="s">
        <v>215</v>
      </c>
      <c r="G40" s="9" t="s">
        <v>181</v>
      </c>
      <c r="H40" s="7" t="s">
        <v>216</v>
      </c>
      <c r="I40" s="7" t="s">
        <v>217</v>
      </c>
      <c r="J40" s="10">
        <v>45979.0</v>
      </c>
      <c r="K40" s="8" t="s">
        <v>218</v>
      </c>
      <c r="L40" s="7">
        <v>2.0</v>
      </c>
      <c r="M40" s="7" t="s">
        <v>219</v>
      </c>
      <c r="N40" s="13" t="s">
        <v>220</v>
      </c>
      <c r="O40" s="15" t="s">
        <v>221</v>
      </c>
    </row>
    <row r="41">
      <c r="A41" s="5">
        <v>49.0</v>
      </c>
      <c r="B41" s="6">
        <v>45980.81372534722</v>
      </c>
      <c r="C41" s="7" t="s">
        <v>125</v>
      </c>
      <c r="D41" s="8" t="s">
        <v>222</v>
      </c>
      <c r="E41" s="8" t="s">
        <v>223</v>
      </c>
      <c r="F41" s="7" t="s">
        <v>224</v>
      </c>
      <c r="G41" s="9" t="s">
        <v>19</v>
      </c>
      <c r="H41" s="7" t="s">
        <v>173</v>
      </c>
      <c r="I41" s="7" t="s">
        <v>174</v>
      </c>
      <c r="J41" s="10">
        <v>45854.0</v>
      </c>
      <c r="K41" s="8" t="s">
        <v>195</v>
      </c>
      <c r="L41" s="7">
        <v>6.0</v>
      </c>
      <c r="M41" s="7" t="s">
        <v>106</v>
      </c>
      <c r="N41" s="13" t="s">
        <v>225</v>
      </c>
      <c r="O41" s="15" t="s">
        <v>226</v>
      </c>
    </row>
    <row r="42">
      <c r="A42" s="5">
        <v>50.0</v>
      </c>
      <c r="B42" s="6">
        <v>45980.82272265047</v>
      </c>
      <c r="C42" s="7" t="s">
        <v>125</v>
      </c>
      <c r="D42" s="8" t="s">
        <v>227</v>
      </c>
      <c r="E42" s="8" t="s">
        <v>228</v>
      </c>
      <c r="F42" s="7" t="s">
        <v>229</v>
      </c>
      <c r="G42" s="9" t="s">
        <v>181</v>
      </c>
      <c r="H42" s="7" t="s">
        <v>230</v>
      </c>
      <c r="I42" s="7" t="s">
        <v>231</v>
      </c>
      <c r="J42" s="10">
        <v>45764.0</v>
      </c>
      <c r="K42" s="8" t="s">
        <v>232</v>
      </c>
      <c r="L42" s="7">
        <v>1.0</v>
      </c>
      <c r="M42" s="7" t="s">
        <v>59</v>
      </c>
      <c r="N42" s="13" t="s">
        <v>233</v>
      </c>
      <c r="O42" s="15" t="s">
        <v>234</v>
      </c>
    </row>
    <row r="43">
      <c r="A43" s="5">
        <v>51.0</v>
      </c>
      <c r="B43" s="6">
        <v>45980.82288792824</v>
      </c>
      <c r="C43" s="7" t="s">
        <v>125</v>
      </c>
      <c r="D43" s="8" t="s">
        <v>235</v>
      </c>
      <c r="E43" s="8" t="s">
        <v>236</v>
      </c>
      <c r="F43" s="7" t="s">
        <v>237</v>
      </c>
      <c r="G43" s="9" t="s">
        <v>19</v>
      </c>
      <c r="H43" s="7" t="s">
        <v>173</v>
      </c>
      <c r="I43" s="7" t="s">
        <v>174</v>
      </c>
      <c r="J43" s="10">
        <v>45854.0</v>
      </c>
      <c r="K43" s="8" t="s">
        <v>175</v>
      </c>
      <c r="L43" s="7">
        <v>6.0</v>
      </c>
      <c r="M43" s="7" t="s">
        <v>106</v>
      </c>
      <c r="N43" s="13" t="s">
        <v>238</v>
      </c>
      <c r="O43" s="15" t="s">
        <v>239</v>
      </c>
    </row>
    <row r="44">
      <c r="A44" s="5">
        <v>52.0</v>
      </c>
      <c r="B44" s="6">
        <v>45980.82696679398</v>
      </c>
      <c r="C44" s="7" t="s">
        <v>125</v>
      </c>
      <c r="D44" s="8" t="s">
        <v>227</v>
      </c>
      <c r="E44" s="8" t="s">
        <v>228</v>
      </c>
      <c r="F44" s="7" t="s">
        <v>229</v>
      </c>
      <c r="G44" s="9" t="s">
        <v>181</v>
      </c>
      <c r="H44" s="7" t="s">
        <v>230</v>
      </c>
      <c r="I44" s="7" t="s">
        <v>231</v>
      </c>
      <c r="J44" s="10">
        <v>45765.0</v>
      </c>
      <c r="K44" s="8" t="s">
        <v>240</v>
      </c>
      <c r="L44" s="7">
        <v>3.0</v>
      </c>
      <c r="M44" s="7" t="s">
        <v>59</v>
      </c>
      <c r="N44" s="13" t="s">
        <v>241</v>
      </c>
      <c r="O44" s="15" t="s">
        <v>242</v>
      </c>
    </row>
    <row r="45">
      <c r="A45" s="5">
        <v>53.0</v>
      </c>
      <c r="B45" s="6">
        <v>45980.829801423606</v>
      </c>
      <c r="C45" s="7" t="s">
        <v>125</v>
      </c>
      <c r="D45" s="8" t="s">
        <v>227</v>
      </c>
      <c r="E45" s="8" t="s">
        <v>228</v>
      </c>
      <c r="F45" s="7" t="s">
        <v>229</v>
      </c>
      <c r="G45" s="9" t="s">
        <v>181</v>
      </c>
      <c r="H45" s="7" t="s">
        <v>243</v>
      </c>
      <c r="I45" s="7" t="s">
        <v>231</v>
      </c>
      <c r="J45" s="10">
        <v>45779.0</v>
      </c>
      <c r="K45" s="8" t="s">
        <v>22</v>
      </c>
      <c r="L45" s="7">
        <v>4.0</v>
      </c>
      <c r="M45" s="7" t="s">
        <v>244</v>
      </c>
      <c r="N45" s="13" t="s">
        <v>245</v>
      </c>
      <c r="O45" s="15" t="s">
        <v>246</v>
      </c>
    </row>
    <row r="46">
      <c r="A46" s="5">
        <v>54.0</v>
      </c>
      <c r="B46" s="6">
        <v>45980.83116480324</v>
      </c>
      <c r="C46" s="7" t="s">
        <v>26</v>
      </c>
      <c r="D46" s="8" t="s">
        <v>247</v>
      </c>
      <c r="E46" s="8" t="s">
        <v>248</v>
      </c>
      <c r="F46" s="7" t="s">
        <v>249</v>
      </c>
      <c r="G46" s="9" t="s">
        <v>19</v>
      </c>
      <c r="H46" s="7" t="s">
        <v>44</v>
      </c>
      <c r="I46" s="7" t="s">
        <v>37</v>
      </c>
      <c r="J46" s="10">
        <v>45839.0</v>
      </c>
      <c r="K46" s="8" t="s">
        <v>67</v>
      </c>
      <c r="L46" s="7">
        <v>8.0</v>
      </c>
      <c r="M46" s="7" t="s">
        <v>33</v>
      </c>
      <c r="N46" s="13" t="s">
        <v>250</v>
      </c>
      <c r="O46" s="15" t="s">
        <v>251</v>
      </c>
    </row>
    <row r="47">
      <c r="A47" s="5">
        <v>56.0</v>
      </c>
      <c r="B47" s="6">
        <v>45980.83302997686</v>
      </c>
      <c r="C47" s="7" t="s">
        <v>125</v>
      </c>
      <c r="D47" s="8" t="s">
        <v>227</v>
      </c>
      <c r="E47" s="8" t="s">
        <v>228</v>
      </c>
      <c r="F47" s="7" t="s">
        <v>229</v>
      </c>
      <c r="G47" s="9" t="s">
        <v>181</v>
      </c>
      <c r="H47" s="7" t="s">
        <v>243</v>
      </c>
      <c r="I47" s="7" t="s">
        <v>231</v>
      </c>
      <c r="J47" s="10">
        <v>45779.0</v>
      </c>
      <c r="K47" s="8" t="s">
        <v>206</v>
      </c>
      <c r="L47" s="7">
        <v>4.0</v>
      </c>
      <c r="M47" s="7" t="s">
        <v>244</v>
      </c>
      <c r="N47" s="13" t="s">
        <v>252</v>
      </c>
      <c r="O47" s="15" t="s">
        <v>253</v>
      </c>
    </row>
    <row r="48">
      <c r="A48" s="5">
        <v>57.0</v>
      </c>
      <c r="B48" s="6">
        <v>45980.83582078703</v>
      </c>
      <c r="C48" s="7" t="s">
        <v>26</v>
      </c>
      <c r="D48" s="8" t="s">
        <v>247</v>
      </c>
      <c r="E48" s="8" t="s">
        <v>248</v>
      </c>
      <c r="F48" s="7" t="s">
        <v>249</v>
      </c>
      <c r="G48" s="9" t="s">
        <v>19</v>
      </c>
      <c r="H48" s="7" t="s">
        <v>44</v>
      </c>
      <c r="I48" s="7" t="s">
        <v>37</v>
      </c>
      <c r="J48" s="10">
        <v>45840.0</v>
      </c>
      <c r="K48" s="8" t="s">
        <v>67</v>
      </c>
      <c r="L48" s="7">
        <v>8.0</v>
      </c>
      <c r="M48" s="7" t="s">
        <v>33</v>
      </c>
      <c r="N48" s="13" t="s">
        <v>254</v>
      </c>
      <c r="O48" s="15" t="s">
        <v>255</v>
      </c>
    </row>
    <row r="49">
      <c r="A49" s="5">
        <v>58.0</v>
      </c>
      <c r="B49" s="6">
        <v>45980.8364943287</v>
      </c>
      <c r="C49" s="7" t="s">
        <v>125</v>
      </c>
      <c r="D49" s="8" t="s">
        <v>227</v>
      </c>
      <c r="E49" s="8" t="s">
        <v>228</v>
      </c>
      <c r="F49" s="7" t="s">
        <v>229</v>
      </c>
      <c r="G49" s="9" t="s">
        <v>181</v>
      </c>
      <c r="H49" s="7" t="s">
        <v>256</v>
      </c>
      <c r="I49" s="7" t="s">
        <v>231</v>
      </c>
      <c r="J49" s="10">
        <v>45783.0</v>
      </c>
      <c r="K49" s="8" t="s">
        <v>206</v>
      </c>
      <c r="L49" s="7">
        <v>4.0</v>
      </c>
      <c r="M49" s="7" t="s">
        <v>244</v>
      </c>
      <c r="N49" s="13" t="s">
        <v>257</v>
      </c>
      <c r="O49" s="15" t="s">
        <v>258</v>
      </c>
    </row>
    <row r="50">
      <c r="A50" s="5">
        <v>59.0</v>
      </c>
      <c r="B50" s="6">
        <v>45980.83748215278</v>
      </c>
      <c r="C50" s="7" t="s">
        <v>26</v>
      </c>
      <c r="D50" s="8" t="s">
        <v>213</v>
      </c>
      <c r="E50" s="8" t="s">
        <v>214</v>
      </c>
      <c r="F50" s="7" t="s">
        <v>215</v>
      </c>
      <c r="G50" s="9" t="s">
        <v>19</v>
      </c>
      <c r="H50" s="7" t="s">
        <v>259</v>
      </c>
      <c r="I50" s="7" t="s">
        <v>37</v>
      </c>
      <c r="J50" s="10">
        <v>45839.0</v>
      </c>
      <c r="K50" s="8" t="s">
        <v>67</v>
      </c>
      <c r="L50" s="7">
        <v>8.0</v>
      </c>
      <c r="M50" s="7" t="s">
        <v>33</v>
      </c>
      <c r="N50" s="13" t="s">
        <v>260</v>
      </c>
      <c r="O50" s="15" t="s">
        <v>261</v>
      </c>
    </row>
    <row r="51">
      <c r="A51" s="5">
        <v>60.0</v>
      </c>
      <c r="B51" s="6">
        <v>45980.83867319445</v>
      </c>
      <c r="C51" s="7" t="s">
        <v>125</v>
      </c>
      <c r="D51" s="8" t="s">
        <v>235</v>
      </c>
      <c r="E51" s="8" t="s">
        <v>236</v>
      </c>
      <c r="F51" s="7" t="s">
        <v>237</v>
      </c>
      <c r="G51" s="9" t="s">
        <v>144</v>
      </c>
      <c r="H51" s="7" t="s">
        <v>262</v>
      </c>
      <c r="I51" s="7" t="s">
        <v>263</v>
      </c>
      <c r="J51" s="10">
        <v>45949.0</v>
      </c>
      <c r="K51" s="8" t="s">
        <v>264</v>
      </c>
      <c r="L51" s="7">
        <v>3.0</v>
      </c>
      <c r="M51" s="7" t="s">
        <v>265</v>
      </c>
      <c r="N51" s="13" t="s">
        <v>266</v>
      </c>
      <c r="O51" s="15" t="s">
        <v>267</v>
      </c>
    </row>
    <row r="52">
      <c r="A52" s="5">
        <v>61.0</v>
      </c>
      <c r="B52" s="6">
        <v>45980.8401665625</v>
      </c>
      <c r="C52" s="7" t="s">
        <v>125</v>
      </c>
      <c r="D52" s="8" t="s">
        <v>227</v>
      </c>
      <c r="E52" s="8" t="s">
        <v>228</v>
      </c>
      <c r="F52" s="7" t="s">
        <v>229</v>
      </c>
      <c r="G52" s="9" t="s">
        <v>181</v>
      </c>
      <c r="H52" s="7" t="s">
        <v>268</v>
      </c>
      <c r="I52" s="7" t="s">
        <v>231</v>
      </c>
      <c r="J52" s="10">
        <v>45783.0</v>
      </c>
      <c r="K52" s="8" t="s">
        <v>22</v>
      </c>
      <c r="L52" s="7">
        <v>4.0</v>
      </c>
      <c r="M52" s="7" t="s">
        <v>244</v>
      </c>
      <c r="N52" s="13" t="s">
        <v>269</v>
      </c>
      <c r="O52" s="15" t="s">
        <v>270</v>
      </c>
    </row>
    <row r="53">
      <c r="A53" s="5">
        <v>62.0</v>
      </c>
      <c r="B53" s="6">
        <v>45980.8425152662</v>
      </c>
      <c r="C53" s="7" t="s">
        <v>26</v>
      </c>
      <c r="D53" s="8" t="s">
        <v>213</v>
      </c>
      <c r="E53" s="8" t="s">
        <v>214</v>
      </c>
      <c r="F53" s="7" t="s">
        <v>215</v>
      </c>
      <c r="G53" s="9" t="s">
        <v>19</v>
      </c>
      <c r="H53" s="7" t="s">
        <v>271</v>
      </c>
      <c r="I53" s="7" t="s">
        <v>37</v>
      </c>
      <c r="J53" s="10">
        <v>45840.0</v>
      </c>
      <c r="K53" s="8" t="s">
        <v>67</v>
      </c>
      <c r="L53" s="7">
        <v>8.0</v>
      </c>
      <c r="M53" s="7" t="s">
        <v>33</v>
      </c>
      <c r="N53" s="13" t="s">
        <v>272</v>
      </c>
      <c r="O53" s="15" t="s">
        <v>273</v>
      </c>
    </row>
    <row r="54">
      <c r="A54" s="5">
        <v>63.0</v>
      </c>
      <c r="B54" s="6">
        <v>45980.84401049768</v>
      </c>
      <c r="C54" s="7" t="s">
        <v>26</v>
      </c>
      <c r="D54" s="8" t="s">
        <v>274</v>
      </c>
      <c r="E54" s="8" t="s">
        <v>228</v>
      </c>
      <c r="F54" s="7" t="s">
        <v>275</v>
      </c>
      <c r="G54" s="9" t="s">
        <v>19</v>
      </c>
      <c r="H54" s="7" t="s">
        <v>44</v>
      </c>
      <c r="I54" s="7" t="s">
        <v>37</v>
      </c>
      <c r="J54" s="10">
        <v>45839.0</v>
      </c>
      <c r="K54" s="8" t="s">
        <v>67</v>
      </c>
      <c r="L54" s="7">
        <v>8.0</v>
      </c>
      <c r="M54" s="7" t="s">
        <v>33</v>
      </c>
      <c r="N54" s="13" t="s">
        <v>276</v>
      </c>
      <c r="O54" s="15" t="s">
        <v>277</v>
      </c>
    </row>
    <row r="55">
      <c r="A55" s="5">
        <v>64.0</v>
      </c>
      <c r="B55" s="6">
        <v>45980.84473736111</v>
      </c>
      <c r="C55" s="7" t="s">
        <v>26</v>
      </c>
      <c r="D55" s="8" t="s">
        <v>247</v>
      </c>
      <c r="E55" s="8" t="s">
        <v>248</v>
      </c>
      <c r="F55" s="7" t="s">
        <v>249</v>
      </c>
      <c r="G55" s="9" t="s">
        <v>181</v>
      </c>
      <c r="H55" s="7" t="s">
        <v>278</v>
      </c>
      <c r="I55" s="7" t="s">
        <v>279</v>
      </c>
      <c r="J55" s="10">
        <v>45859.0</v>
      </c>
      <c r="K55" s="8" t="s">
        <v>280</v>
      </c>
      <c r="L55" s="7">
        <v>8.0</v>
      </c>
      <c r="M55" s="7" t="s">
        <v>33</v>
      </c>
      <c r="N55" s="13" t="s">
        <v>281</v>
      </c>
      <c r="O55" s="15" t="s">
        <v>282</v>
      </c>
    </row>
    <row r="56">
      <c r="A56" s="5">
        <v>65.0</v>
      </c>
      <c r="B56" s="6">
        <v>45980.845250949074</v>
      </c>
      <c r="C56" s="7" t="s">
        <v>125</v>
      </c>
      <c r="D56" s="8" t="s">
        <v>227</v>
      </c>
      <c r="E56" s="8" t="s">
        <v>228</v>
      </c>
      <c r="F56" s="7" t="s">
        <v>229</v>
      </c>
      <c r="G56" s="9" t="s">
        <v>181</v>
      </c>
      <c r="H56" s="7" t="s">
        <v>268</v>
      </c>
      <c r="I56" s="7" t="s">
        <v>231</v>
      </c>
      <c r="J56" s="10">
        <v>45783.0</v>
      </c>
      <c r="K56" s="8" t="s">
        <v>283</v>
      </c>
      <c r="L56" s="7">
        <v>2.0</v>
      </c>
      <c r="M56" s="7" t="s">
        <v>244</v>
      </c>
      <c r="N56" s="13" t="s">
        <v>284</v>
      </c>
      <c r="O56" s="15" t="s">
        <v>285</v>
      </c>
    </row>
    <row r="57">
      <c r="A57" s="5">
        <v>66.0</v>
      </c>
      <c r="B57" s="6">
        <v>45980.84540003473</v>
      </c>
      <c r="C57" s="7" t="s">
        <v>125</v>
      </c>
      <c r="D57" s="8" t="s">
        <v>286</v>
      </c>
      <c r="E57" s="8" t="s">
        <v>287</v>
      </c>
      <c r="F57" s="7" t="s">
        <v>288</v>
      </c>
      <c r="G57" s="9" t="s">
        <v>19</v>
      </c>
      <c r="H57" s="7" t="s">
        <v>173</v>
      </c>
      <c r="I57" s="7" t="s">
        <v>174</v>
      </c>
      <c r="J57" s="10">
        <v>45854.0</v>
      </c>
      <c r="K57" s="8" t="s">
        <v>175</v>
      </c>
      <c r="L57" s="7">
        <v>6.0</v>
      </c>
      <c r="M57" s="7" t="s">
        <v>106</v>
      </c>
      <c r="N57" s="13" t="s">
        <v>289</v>
      </c>
      <c r="O57" s="15" t="s">
        <v>290</v>
      </c>
    </row>
    <row r="58">
      <c r="A58" s="5">
        <v>67.0</v>
      </c>
      <c r="B58" s="6">
        <v>45980.84684568287</v>
      </c>
      <c r="C58" s="7" t="s">
        <v>26</v>
      </c>
      <c r="D58" s="8" t="s">
        <v>247</v>
      </c>
      <c r="E58" s="8" t="s">
        <v>248</v>
      </c>
      <c r="F58" s="7" t="s">
        <v>249</v>
      </c>
      <c r="G58" s="9" t="s">
        <v>19</v>
      </c>
      <c r="H58" s="7" t="s">
        <v>291</v>
      </c>
      <c r="I58" s="7" t="s">
        <v>292</v>
      </c>
      <c r="J58" s="10">
        <v>45955.0</v>
      </c>
      <c r="K58" s="8" t="s">
        <v>58</v>
      </c>
      <c r="L58" s="7">
        <v>5.0</v>
      </c>
      <c r="M58" s="7" t="s">
        <v>59</v>
      </c>
      <c r="N58" s="13" t="s">
        <v>293</v>
      </c>
      <c r="O58" s="15" t="s">
        <v>294</v>
      </c>
    </row>
    <row r="59">
      <c r="A59" s="5">
        <v>68.0</v>
      </c>
      <c r="B59" s="6">
        <v>45980.8476762037</v>
      </c>
      <c r="C59" s="7" t="s">
        <v>125</v>
      </c>
      <c r="D59" s="8" t="s">
        <v>227</v>
      </c>
      <c r="E59" s="8" t="s">
        <v>228</v>
      </c>
      <c r="F59" s="7" t="s">
        <v>229</v>
      </c>
      <c r="G59" s="9" t="s">
        <v>181</v>
      </c>
      <c r="H59" s="7" t="s">
        <v>295</v>
      </c>
      <c r="I59" s="7" t="s">
        <v>231</v>
      </c>
      <c r="J59" s="10">
        <v>45841.0</v>
      </c>
      <c r="K59" s="8" t="s">
        <v>296</v>
      </c>
      <c r="L59" s="7">
        <v>1.0</v>
      </c>
      <c r="M59" s="7" t="s">
        <v>87</v>
      </c>
      <c r="N59" s="13" t="s">
        <v>297</v>
      </c>
      <c r="O59" s="15" t="s">
        <v>298</v>
      </c>
    </row>
    <row r="60">
      <c r="A60" s="5">
        <v>69.0</v>
      </c>
      <c r="B60" s="6">
        <v>45980.84867733796</v>
      </c>
      <c r="C60" s="7" t="s">
        <v>125</v>
      </c>
      <c r="D60" s="8" t="s">
        <v>235</v>
      </c>
      <c r="E60" s="8" t="s">
        <v>236</v>
      </c>
      <c r="F60" s="7" t="s">
        <v>237</v>
      </c>
      <c r="G60" s="9" t="s">
        <v>144</v>
      </c>
      <c r="H60" s="7" t="s">
        <v>299</v>
      </c>
      <c r="I60" s="7" t="s">
        <v>263</v>
      </c>
      <c r="J60" s="10">
        <v>45949.0</v>
      </c>
      <c r="K60" s="8" t="s">
        <v>300</v>
      </c>
      <c r="L60" s="7">
        <v>1.0</v>
      </c>
      <c r="M60" s="7" t="s">
        <v>265</v>
      </c>
      <c r="N60" s="13" t="s">
        <v>301</v>
      </c>
      <c r="O60" s="15" t="s">
        <v>302</v>
      </c>
    </row>
    <row r="61">
      <c r="A61" s="5">
        <v>70.0</v>
      </c>
      <c r="B61" s="6">
        <v>45980.850131388885</v>
      </c>
      <c r="C61" s="7" t="s">
        <v>26</v>
      </c>
      <c r="D61" s="8" t="s">
        <v>213</v>
      </c>
      <c r="E61" s="8" t="s">
        <v>214</v>
      </c>
      <c r="F61" s="7" t="s">
        <v>215</v>
      </c>
      <c r="G61" s="9" t="s">
        <v>19</v>
      </c>
      <c r="H61" s="7" t="s">
        <v>303</v>
      </c>
      <c r="I61" s="7" t="s">
        <v>304</v>
      </c>
      <c r="J61" s="10">
        <v>45841.0</v>
      </c>
      <c r="K61" s="8" t="s">
        <v>49</v>
      </c>
      <c r="L61" s="7">
        <v>8.0</v>
      </c>
      <c r="M61" s="7" t="s">
        <v>305</v>
      </c>
      <c r="N61" s="13" t="s">
        <v>306</v>
      </c>
      <c r="O61" s="15" t="s">
        <v>307</v>
      </c>
    </row>
    <row r="62">
      <c r="A62" s="5">
        <v>71.0</v>
      </c>
      <c r="B62" s="6">
        <v>45980.85457027778</v>
      </c>
      <c r="C62" s="7" t="s">
        <v>125</v>
      </c>
      <c r="D62" s="8" t="s">
        <v>227</v>
      </c>
      <c r="E62" s="8" t="s">
        <v>228</v>
      </c>
      <c r="F62" s="7" t="s">
        <v>229</v>
      </c>
      <c r="G62" s="9" t="s">
        <v>181</v>
      </c>
      <c r="H62" s="7" t="s">
        <v>308</v>
      </c>
      <c r="I62" s="7" t="s">
        <v>309</v>
      </c>
      <c r="J62" s="10">
        <v>45847.0</v>
      </c>
      <c r="K62" s="8" t="s">
        <v>310</v>
      </c>
      <c r="L62" s="7">
        <v>1.0</v>
      </c>
      <c r="M62" s="7" t="s">
        <v>106</v>
      </c>
      <c r="N62" s="13" t="s">
        <v>311</v>
      </c>
      <c r="O62" s="15" t="s">
        <v>312</v>
      </c>
    </row>
    <row r="63">
      <c r="A63" s="5">
        <v>73.0</v>
      </c>
      <c r="B63" s="6">
        <v>45980.858175960646</v>
      </c>
      <c r="C63" s="7" t="s">
        <v>26</v>
      </c>
      <c r="D63" s="8" t="s">
        <v>213</v>
      </c>
      <c r="E63" s="8" t="s">
        <v>214</v>
      </c>
      <c r="F63" s="7" t="s">
        <v>215</v>
      </c>
      <c r="G63" s="9" t="s">
        <v>181</v>
      </c>
      <c r="H63" s="7" t="s">
        <v>313</v>
      </c>
      <c r="I63" s="7" t="s">
        <v>314</v>
      </c>
      <c r="J63" s="10">
        <v>45859.0</v>
      </c>
      <c r="K63" s="8" t="s">
        <v>315</v>
      </c>
      <c r="L63" s="7">
        <v>8.0</v>
      </c>
      <c r="M63" s="7" t="s">
        <v>33</v>
      </c>
      <c r="N63" s="13" t="s">
        <v>316</v>
      </c>
      <c r="O63" s="15" t="s">
        <v>317</v>
      </c>
    </row>
    <row r="64">
      <c r="A64" s="5">
        <v>74.0</v>
      </c>
      <c r="B64" s="6">
        <v>45980.85932828704</v>
      </c>
      <c r="C64" s="7" t="s">
        <v>26</v>
      </c>
      <c r="D64" s="8" t="s">
        <v>318</v>
      </c>
      <c r="E64" s="8" t="s">
        <v>319</v>
      </c>
      <c r="F64" s="7" t="s">
        <v>320</v>
      </c>
      <c r="G64" s="9" t="s">
        <v>19</v>
      </c>
      <c r="H64" s="7" t="s">
        <v>321</v>
      </c>
      <c r="I64" s="7" t="s">
        <v>37</v>
      </c>
      <c r="J64" s="10">
        <v>45838.0</v>
      </c>
      <c r="K64" s="8" t="s">
        <v>67</v>
      </c>
      <c r="L64" s="7">
        <v>8.0</v>
      </c>
      <c r="M64" s="7" t="s">
        <v>33</v>
      </c>
      <c r="N64" s="13" t="s">
        <v>322</v>
      </c>
      <c r="O64" s="15" t="s">
        <v>323</v>
      </c>
    </row>
    <row r="65">
      <c r="A65" s="5">
        <v>75.0</v>
      </c>
      <c r="B65" s="6">
        <v>45980.863576261574</v>
      </c>
      <c r="C65" s="7" t="s">
        <v>26</v>
      </c>
      <c r="D65" s="8" t="s">
        <v>318</v>
      </c>
      <c r="E65" s="8" t="s">
        <v>319</v>
      </c>
      <c r="F65" s="7" t="s">
        <v>320</v>
      </c>
      <c r="G65" s="9" t="s">
        <v>19</v>
      </c>
      <c r="H65" s="7" t="s">
        <v>44</v>
      </c>
      <c r="I65" s="7" t="s">
        <v>37</v>
      </c>
      <c r="J65" s="10">
        <v>45839.0</v>
      </c>
      <c r="K65" s="8" t="s">
        <v>67</v>
      </c>
      <c r="L65" s="7">
        <v>8.0</v>
      </c>
      <c r="M65" s="7" t="s">
        <v>33</v>
      </c>
      <c r="N65" s="13" t="s">
        <v>324</v>
      </c>
      <c r="O65" s="15" t="s">
        <v>325</v>
      </c>
    </row>
    <row r="66">
      <c r="A66" s="5">
        <v>77.0</v>
      </c>
      <c r="B66" s="6">
        <v>45980.87328601852</v>
      </c>
      <c r="C66" s="7" t="s">
        <v>125</v>
      </c>
      <c r="D66" s="8" t="s">
        <v>326</v>
      </c>
      <c r="E66" s="8" t="s">
        <v>327</v>
      </c>
      <c r="F66" s="7" t="s">
        <v>328</v>
      </c>
      <c r="G66" s="9" t="s">
        <v>144</v>
      </c>
      <c r="H66" s="7" t="s">
        <v>329</v>
      </c>
      <c r="I66" s="7" t="s">
        <v>330</v>
      </c>
      <c r="J66" s="10">
        <v>45948.0</v>
      </c>
      <c r="K66" s="8" t="s">
        <v>138</v>
      </c>
      <c r="L66" s="7">
        <v>4.0</v>
      </c>
      <c r="M66" s="7" t="s">
        <v>331</v>
      </c>
      <c r="N66" s="13" t="s">
        <v>332</v>
      </c>
      <c r="O66" s="15" t="s">
        <v>333</v>
      </c>
    </row>
    <row r="67">
      <c r="A67" s="5">
        <v>78.0</v>
      </c>
      <c r="B67" s="6">
        <v>45980.87853862268</v>
      </c>
      <c r="C67" s="7" t="s">
        <v>125</v>
      </c>
      <c r="D67" s="8" t="s">
        <v>326</v>
      </c>
      <c r="E67" s="8" t="s">
        <v>327</v>
      </c>
      <c r="F67" s="7" t="s">
        <v>328</v>
      </c>
      <c r="G67" s="9" t="s">
        <v>209</v>
      </c>
      <c r="H67" s="7" t="s">
        <v>334</v>
      </c>
      <c r="I67" s="7" t="s">
        <v>335</v>
      </c>
      <c r="J67" s="10">
        <v>45949.0</v>
      </c>
      <c r="K67" s="8" t="s">
        <v>138</v>
      </c>
      <c r="L67" s="7">
        <v>4.0</v>
      </c>
      <c r="M67" s="7" t="s">
        <v>331</v>
      </c>
      <c r="N67" s="13" t="s">
        <v>336</v>
      </c>
      <c r="O67" s="15" t="s">
        <v>337</v>
      </c>
    </row>
    <row r="68">
      <c r="A68" s="5">
        <v>79.0</v>
      </c>
      <c r="B68" s="6">
        <v>45980.8805966088</v>
      </c>
      <c r="C68" s="7" t="s">
        <v>125</v>
      </c>
      <c r="D68" s="8" t="s">
        <v>326</v>
      </c>
      <c r="E68" s="8" t="s">
        <v>327</v>
      </c>
      <c r="F68" s="7" t="s">
        <v>328</v>
      </c>
      <c r="G68" s="9" t="s">
        <v>209</v>
      </c>
      <c r="H68" s="7" t="s">
        <v>338</v>
      </c>
      <c r="I68" s="7" t="s">
        <v>339</v>
      </c>
      <c r="J68" s="10">
        <v>45966.0</v>
      </c>
      <c r="K68" s="8" t="s">
        <v>138</v>
      </c>
      <c r="L68" s="7">
        <v>4.0</v>
      </c>
      <c r="M68" s="7" t="s">
        <v>331</v>
      </c>
      <c r="N68" s="13" t="s">
        <v>340</v>
      </c>
      <c r="O68" s="15" t="s">
        <v>341</v>
      </c>
    </row>
    <row r="69">
      <c r="A69" s="5">
        <v>80.0</v>
      </c>
      <c r="B69" s="6">
        <v>45980.88488157408</v>
      </c>
      <c r="C69" s="7" t="s">
        <v>125</v>
      </c>
      <c r="D69" s="8" t="s">
        <v>326</v>
      </c>
      <c r="E69" s="8" t="s">
        <v>327</v>
      </c>
      <c r="F69" s="7" t="s">
        <v>328</v>
      </c>
      <c r="G69" s="9" t="s">
        <v>19</v>
      </c>
      <c r="H69" s="7" t="s">
        <v>173</v>
      </c>
      <c r="I69" s="7" t="s">
        <v>174</v>
      </c>
      <c r="J69" s="10">
        <v>45854.0</v>
      </c>
      <c r="K69" s="8" t="s">
        <v>342</v>
      </c>
      <c r="L69" s="7">
        <v>6.0</v>
      </c>
      <c r="M69" s="7" t="s">
        <v>106</v>
      </c>
      <c r="N69" s="13" t="s">
        <v>343</v>
      </c>
      <c r="O69" s="15" t="s">
        <v>344</v>
      </c>
    </row>
    <row r="70">
      <c r="A70" s="5">
        <v>81.0</v>
      </c>
      <c r="B70" s="6">
        <v>45980.89255340278</v>
      </c>
      <c r="C70" s="7" t="s">
        <v>125</v>
      </c>
      <c r="D70" s="8" t="s">
        <v>326</v>
      </c>
      <c r="E70" s="8" t="s">
        <v>327</v>
      </c>
      <c r="F70" s="7" t="s">
        <v>328</v>
      </c>
      <c r="G70" s="9" t="s">
        <v>159</v>
      </c>
      <c r="H70" s="7" t="s">
        <v>345</v>
      </c>
      <c r="I70" s="7" t="s">
        <v>346</v>
      </c>
      <c r="J70" s="10">
        <v>45956.0</v>
      </c>
      <c r="K70" s="8" t="s">
        <v>347</v>
      </c>
      <c r="L70" s="7">
        <v>4.0</v>
      </c>
      <c r="M70" s="7" t="s">
        <v>331</v>
      </c>
      <c r="N70" s="13" t="s">
        <v>348</v>
      </c>
      <c r="O70" s="15" t="s">
        <v>349</v>
      </c>
    </row>
    <row r="71">
      <c r="A71" s="5">
        <v>82.0</v>
      </c>
      <c r="B71" s="6">
        <v>45980.89560150463</v>
      </c>
      <c r="C71" s="7" t="s">
        <v>125</v>
      </c>
      <c r="D71" s="8" t="s">
        <v>227</v>
      </c>
      <c r="E71" s="8" t="s">
        <v>228</v>
      </c>
      <c r="F71" s="7" t="s">
        <v>229</v>
      </c>
      <c r="G71" s="9" t="s">
        <v>19</v>
      </c>
      <c r="H71" s="7" t="s">
        <v>194</v>
      </c>
      <c r="I71" s="7" t="s">
        <v>174</v>
      </c>
      <c r="J71" s="10">
        <v>45854.0</v>
      </c>
      <c r="K71" s="8" t="s">
        <v>175</v>
      </c>
      <c r="L71" s="7">
        <v>6.0</v>
      </c>
      <c r="M71" s="7" t="s">
        <v>106</v>
      </c>
      <c r="N71" s="13" t="s">
        <v>350</v>
      </c>
      <c r="O71" s="15" t="s">
        <v>351</v>
      </c>
    </row>
    <row r="72">
      <c r="A72" s="5">
        <v>83.0</v>
      </c>
      <c r="B72" s="6">
        <v>45980.896615543985</v>
      </c>
      <c r="C72" s="7" t="s">
        <v>125</v>
      </c>
      <c r="D72" s="8" t="s">
        <v>227</v>
      </c>
      <c r="E72" s="8" t="s">
        <v>228</v>
      </c>
      <c r="F72" s="7" t="s">
        <v>229</v>
      </c>
      <c r="G72" s="9" t="s">
        <v>209</v>
      </c>
      <c r="H72" s="7" t="s">
        <v>338</v>
      </c>
      <c r="I72" s="7" t="s">
        <v>339</v>
      </c>
      <c r="J72" s="10">
        <v>45966.0</v>
      </c>
      <c r="K72" s="8" t="s">
        <v>22</v>
      </c>
      <c r="L72" s="7">
        <v>4.0</v>
      </c>
      <c r="M72" s="7" t="s">
        <v>352</v>
      </c>
      <c r="N72" s="13" t="s">
        <v>353</v>
      </c>
      <c r="O72" s="15" t="s">
        <v>354</v>
      </c>
    </row>
    <row r="73">
      <c r="A73" s="5">
        <v>84.0</v>
      </c>
      <c r="B73" s="6">
        <v>45980.90769011574</v>
      </c>
      <c r="C73" s="7" t="s">
        <v>125</v>
      </c>
      <c r="D73" s="8" t="s">
        <v>227</v>
      </c>
      <c r="E73" s="8" t="s">
        <v>228</v>
      </c>
      <c r="F73" s="7" t="s">
        <v>229</v>
      </c>
      <c r="G73" s="9" t="s">
        <v>144</v>
      </c>
      <c r="H73" s="7" t="s">
        <v>355</v>
      </c>
      <c r="I73" s="7" t="s">
        <v>356</v>
      </c>
      <c r="J73" s="10">
        <v>45948.0</v>
      </c>
      <c r="K73" s="8" t="s">
        <v>22</v>
      </c>
      <c r="L73" s="7">
        <v>4.0</v>
      </c>
      <c r="M73" s="7" t="s">
        <v>352</v>
      </c>
      <c r="N73" s="13" t="s">
        <v>357</v>
      </c>
      <c r="O73" s="15" t="s">
        <v>358</v>
      </c>
    </row>
    <row r="74">
      <c r="A74" s="5">
        <v>85.0</v>
      </c>
      <c r="B74" s="6">
        <v>45980.90883210648</v>
      </c>
      <c r="C74" s="7" t="s">
        <v>125</v>
      </c>
      <c r="D74" s="8" t="s">
        <v>227</v>
      </c>
      <c r="E74" s="8" t="s">
        <v>228</v>
      </c>
      <c r="F74" s="7" t="s">
        <v>229</v>
      </c>
      <c r="G74" s="9" t="s">
        <v>144</v>
      </c>
      <c r="H74" s="7" t="s">
        <v>334</v>
      </c>
      <c r="I74" s="7" t="s">
        <v>359</v>
      </c>
      <c r="J74" s="10">
        <v>45949.0</v>
      </c>
      <c r="K74" s="8" t="s">
        <v>22</v>
      </c>
      <c r="L74" s="7">
        <v>4.0</v>
      </c>
      <c r="M74" s="7" t="s">
        <v>352</v>
      </c>
      <c r="N74" s="13" t="s">
        <v>360</v>
      </c>
      <c r="O74" s="15" t="s">
        <v>361</v>
      </c>
    </row>
    <row r="75">
      <c r="A75" s="5">
        <v>86.0</v>
      </c>
      <c r="B75" s="6">
        <v>45980.910220844904</v>
      </c>
      <c r="C75" s="7" t="s">
        <v>125</v>
      </c>
      <c r="D75" s="8" t="s">
        <v>227</v>
      </c>
      <c r="E75" s="8" t="s">
        <v>228</v>
      </c>
      <c r="F75" s="7" t="s">
        <v>229</v>
      </c>
      <c r="G75" s="9" t="s">
        <v>159</v>
      </c>
      <c r="H75" s="7" t="s">
        <v>345</v>
      </c>
      <c r="I75" s="7" t="s">
        <v>346</v>
      </c>
      <c r="J75" s="10">
        <v>45956.0</v>
      </c>
      <c r="K75" s="8" t="s">
        <v>362</v>
      </c>
      <c r="L75" s="7">
        <v>4.0</v>
      </c>
      <c r="M75" s="7" t="s">
        <v>352</v>
      </c>
      <c r="N75" s="13" t="s">
        <v>363</v>
      </c>
      <c r="O75" s="15" t="s">
        <v>364</v>
      </c>
    </row>
    <row r="76">
      <c r="A76" s="5">
        <v>87.0</v>
      </c>
      <c r="B76" s="6">
        <v>45980.950127488424</v>
      </c>
      <c r="C76" s="7" t="s">
        <v>125</v>
      </c>
      <c r="D76" s="8" t="s">
        <v>178</v>
      </c>
      <c r="E76" s="8" t="s">
        <v>179</v>
      </c>
      <c r="F76" s="7" t="s">
        <v>180</v>
      </c>
      <c r="G76" s="9" t="s">
        <v>144</v>
      </c>
      <c r="H76" s="7" t="s">
        <v>365</v>
      </c>
      <c r="I76" s="7" t="s">
        <v>366</v>
      </c>
      <c r="J76" s="10">
        <v>45942.0</v>
      </c>
      <c r="K76" s="8" t="s">
        <v>22</v>
      </c>
      <c r="L76" s="7">
        <v>4.0</v>
      </c>
      <c r="M76" s="7" t="s">
        <v>367</v>
      </c>
      <c r="N76" s="13" t="s">
        <v>368</v>
      </c>
      <c r="O76" s="15" t="s">
        <v>369</v>
      </c>
    </row>
    <row r="77">
      <c r="A77" s="5">
        <v>88.0</v>
      </c>
      <c r="B77" s="6">
        <v>45980.96488388889</v>
      </c>
      <c r="C77" s="7" t="s">
        <v>15</v>
      </c>
      <c r="D77" s="8" t="s">
        <v>370</v>
      </c>
      <c r="E77" s="8" t="s">
        <v>248</v>
      </c>
      <c r="F77" s="7" t="s">
        <v>371</v>
      </c>
      <c r="G77" s="9" t="s">
        <v>19</v>
      </c>
      <c r="H77" s="7" t="s">
        <v>30</v>
      </c>
      <c r="I77" s="7" t="s">
        <v>37</v>
      </c>
      <c r="J77" s="10">
        <v>45838.0</v>
      </c>
      <c r="K77" s="8" t="s">
        <v>67</v>
      </c>
      <c r="L77" s="7">
        <v>8.0</v>
      </c>
      <c r="M77" s="7" t="s">
        <v>33</v>
      </c>
      <c r="N77" s="13" t="s">
        <v>372</v>
      </c>
      <c r="O77" s="15" t="s">
        <v>373</v>
      </c>
    </row>
    <row r="78">
      <c r="A78" s="5">
        <v>89.0</v>
      </c>
      <c r="B78" s="6">
        <v>45980.96624540509</v>
      </c>
      <c r="C78" s="7" t="s">
        <v>15</v>
      </c>
      <c r="D78" s="8" t="s">
        <v>370</v>
      </c>
      <c r="E78" s="8" t="s">
        <v>248</v>
      </c>
      <c r="F78" s="7" t="s">
        <v>371</v>
      </c>
      <c r="G78" s="9" t="s">
        <v>19</v>
      </c>
      <c r="H78" s="7" t="s">
        <v>44</v>
      </c>
      <c r="I78" s="7" t="s">
        <v>37</v>
      </c>
      <c r="J78" s="10">
        <v>45839.0</v>
      </c>
      <c r="K78" s="8" t="s">
        <v>38</v>
      </c>
      <c r="L78" s="7">
        <v>8.0</v>
      </c>
      <c r="M78" s="7" t="s">
        <v>33</v>
      </c>
      <c r="N78" s="13" t="s">
        <v>374</v>
      </c>
      <c r="O78" s="15" t="s">
        <v>375</v>
      </c>
    </row>
    <row r="79">
      <c r="A79" s="5">
        <v>90.0</v>
      </c>
      <c r="B79" s="6">
        <v>45980.96755247685</v>
      </c>
      <c r="C79" s="7" t="s">
        <v>15</v>
      </c>
      <c r="D79" s="8" t="s">
        <v>370</v>
      </c>
      <c r="E79" s="8" t="s">
        <v>248</v>
      </c>
      <c r="F79" s="7" t="s">
        <v>371</v>
      </c>
      <c r="G79" s="9" t="s">
        <v>19</v>
      </c>
      <c r="H79" s="7" t="s">
        <v>376</v>
      </c>
      <c r="I79" s="7" t="s">
        <v>37</v>
      </c>
      <c r="J79" s="10">
        <v>45840.0</v>
      </c>
      <c r="K79" s="8" t="s">
        <v>38</v>
      </c>
      <c r="L79" s="7">
        <v>8.0</v>
      </c>
      <c r="M79" s="7" t="s">
        <v>33</v>
      </c>
      <c r="N79" s="13" t="s">
        <v>377</v>
      </c>
      <c r="O79" s="15" t="s">
        <v>378</v>
      </c>
    </row>
    <row r="80">
      <c r="A80" s="5">
        <v>93.0</v>
      </c>
      <c r="B80" s="6">
        <v>45981.31983555555</v>
      </c>
      <c r="C80" s="7" t="s">
        <v>26</v>
      </c>
      <c r="D80" s="8" t="s">
        <v>379</v>
      </c>
      <c r="E80" s="8" t="s">
        <v>380</v>
      </c>
      <c r="F80" s="7" t="s">
        <v>381</v>
      </c>
      <c r="G80" s="9" t="s">
        <v>181</v>
      </c>
      <c r="H80" s="7" t="s">
        <v>382</v>
      </c>
      <c r="I80" s="7" t="s">
        <v>231</v>
      </c>
      <c r="J80" s="10">
        <v>45859.0</v>
      </c>
      <c r="K80" s="8" t="s">
        <v>315</v>
      </c>
      <c r="L80" s="7">
        <v>8.0</v>
      </c>
      <c r="M80" s="7" t="s">
        <v>33</v>
      </c>
      <c r="N80" s="13" t="s">
        <v>383</v>
      </c>
      <c r="O80" s="15" t="s">
        <v>384</v>
      </c>
    </row>
    <row r="81">
      <c r="A81" s="5">
        <v>94.0</v>
      </c>
      <c r="B81" s="6">
        <v>45981.32150460648</v>
      </c>
      <c r="C81" s="7" t="s">
        <v>26</v>
      </c>
      <c r="D81" s="8" t="s">
        <v>385</v>
      </c>
      <c r="E81" s="8" t="s">
        <v>179</v>
      </c>
      <c r="F81" s="7" t="s">
        <v>386</v>
      </c>
      <c r="G81" s="9" t="s">
        <v>19</v>
      </c>
      <c r="H81" s="7" t="s">
        <v>387</v>
      </c>
      <c r="I81" s="7" t="s">
        <v>388</v>
      </c>
      <c r="J81" s="10">
        <v>45825.0</v>
      </c>
      <c r="K81" s="8" t="s">
        <v>49</v>
      </c>
      <c r="L81" s="7">
        <v>8.0</v>
      </c>
      <c r="M81" s="7" t="s">
        <v>33</v>
      </c>
      <c r="N81" s="13" t="s">
        <v>389</v>
      </c>
      <c r="O81" s="15" t="s">
        <v>390</v>
      </c>
    </row>
    <row r="82">
      <c r="A82" s="5">
        <v>95.0</v>
      </c>
      <c r="B82" s="6">
        <v>45981.32208162037</v>
      </c>
      <c r="C82" s="7" t="s">
        <v>26</v>
      </c>
      <c r="D82" s="8" t="s">
        <v>379</v>
      </c>
      <c r="E82" s="8" t="s">
        <v>380</v>
      </c>
      <c r="F82" s="7" t="s">
        <v>381</v>
      </c>
      <c r="G82" s="9" t="s">
        <v>19</v>
      </c>
      <c r="H82" s="7" t="s">
        <v>44</v>
      </c>
      <c r="I82" s="7" t="s">
        <v>37</v>
      </c>
      <c r="J82" s="10">
        <v>45839.0</v>
      </c>
      <c r="K82" s="8" t="s">
        <v>67</v>
      </c>
      <c r="L82" s="7">
        <v>8.0</v>
      </c>
      <c r="M82" s="7" t="s">
        <v>33</v>
      </c>
      <c r="N82" s="13" t="s">
        <v>391</v>
      </c>
      <c r="O82" s="15" t="s">
        <v>392</v>
      </c>
    </row>
    <row r="83">
      <c r="A83" s="5">
        <v>96.0</v>
      </c>
      <c r="B83" s="6">
        <v>45981.32419186343</v>
      </c>
      <c r="C83" s="7" t="s">
        <v>26</v>
      </c>
      <c r="D83" s="8" t="s">
        <v>379</v>
      </c>
      <c r="E83" s="8" t="s">
        <v>380</v>
      </c>
      <c r="F83" s="7" t="s">
        <v>381</v>
      </c>
      <c r="G83" s="9" t="s">
        <v>19</v>
      </c>
      <c r="H83" s="7" t="s">
        <v>41</v>
      </c>
      <c r="I83" s="7" t="s">
        <v>37</v>
      </c>
      <c r="J83" s="10">
        <v>45840.0</v>
      </c>
      <c r="K83" s="8" t="s">
        <v>67</v>
      </c>
      <c r="L83" s="7">
        <v>8.0</v>
      </c>
      <c r="M83" s="7" t="s">
        <v>33</v>
      </c>
      <c r="N83" s="13" t="s">
        <v>393</v>
      </c>
      <c r="O83" s="15" t="s">
        <v>394</v>
      </c>
    </row>
    <row r="84">
      <c r="A84" s="5">
        <v>97.0</v>
      </c>
      <c r="B84" s="6">
        <v>45981.327699710644</v>
      </c>
      <c r="C84" s="7" t="s">
        <v>15</v>
      </c>
      <c r="D84" s="8" t="s">
        <v>395</v>
      </c>
      <c r="E84" s="8" t="s">
        <v>396</v>
      </c>
      <c r="F84" s="7" t="s">
        <v>397</v>
      </c>
      <c r="G84" s="9" t="s">
        <v>159</v>
      </c>
      <c r="H84" s="7" t="s">
        <v>398</v>
      </c>
      <c r="I84" s="7" t="s">
        <v>399</v>
      </c>
      <c r="J84" s="10">
        <v>45830.0</v>
      </c>
      <c r="K84" s="8" t="s">
        <v>49</v>
      </c>
      <c r="L84" s="7">
        <v>8.0</v>
      </c>
      <c r="M84" s="7" t="s">
        <v>400</v>
      </c>
      <c r="N84" s="13" t="s">
        <v>401</v>
      </c>
      <c r="O84" s="15" t="s">
        <v>402</v>
      </c>
    </row>
    <row r="85">
      <c r="A85" s="5">
        <v>98.0</v>
      </c>
      <c r="B85" s="6">
        <v>45981.33311103009</v>
      </c>
      <c r="C85" s="7" t="s">
        <v>15</v>
      </c>
      <c r="D85" s="8" t="s">
        <v>403</v>
      </c>
      <c r="E85" s="8" t="s">
        <v>404</v>
      </c>
      <c r="F85" s="7" t="s">
        <v>405</v>
      </c>
      <c r="G85" s="9" t="s">
        <v>19</v>
      </c>
      <c r="H85" s="7" t="s">
        <v>406</v>
      </c>
      <c r="I85" s="7" t="s">
        <v>407</v>
      </c>
      <c r="J85" s="10">
        <v>45823.0</v>
      </c>
      <c r="K85" s="8" t="s">
        <v>22</v>
      </c>
      <c r="L85" s="7">
        <v>4.0</v>
      </c>
      <c r="M85" s="7" t="s">
        <v>106</v>
      </c>
      <c r="N85" s="13" t="s">
        <v>408</v>
      </c>
      <c r="O85" s="15" t="s">
        <v>409</v>
      </c>
    </row>
    <row r="86">
      <c r="A86" s="5">
        <v>99.0</v>
      </c>
      <c r="B86" s="6">
        <v>45981.33405600695</v>
      </c>
      <c r="C86" s="7" t="s">
        <v>15</v>
      </c>
      <c r="D86" s="8" t="s">
        <v>410</v>
      </c>
      <c r="E86" s="8" t="s">
        <v>411</v>
      </c>
      <c r="F86" s="7" t="s">
        <v>412</v>
      </c>
      <c r="G86" s="9" t="s">
        <v>19</v>
      </c>
      <c r="H86" s="7" t="s">
        <v>406</v>
      </c>
      <c r="I86" s="7" t="s">
        <v>94</v>
      </c>
      <c r="J86" s="10">
        <v>45823.0</v>
      </c>
      <c r="K86" s="8" t="s">
        <v>22</v>
      </c>
      <c r="L86" s="7">
        <v>4.0</v>
      </c>
      <c r="M86" s="7" t="s">
        <v>106</v>
      </c>
      <c r="N86" s="13" t="s">
        <v>413</v>
      </c>
      <c r="O86" s="15" t="s">
        <v>414</v>
      </c>
    </row>
    <row r="87">
      <c r="A87" s="5">
        <v>100.0</v>
      </c>
      <c r="B87" s="6">
        <v>45981.34637039352</v>
      </c>
      <c r="C87" s="7" t="s">
        <v>15</v>
      </c>
      <c r="D87" s="8" t="s">
        <v>410</v>
      </c>
      <c r="E87" s="8" t="s">
        <v>411</v>
      </c>
      <c r="F87" s="7" t="s">
        <v>412</v>
      </c>
      <c r="G87" s="9" t="s">
        <v>415</v>
      </c>
      <c r="H87" s="7" t="s">
        <v>416</v>
      </c>
      <c r="I87" s="7" t="s">
        <v>417</v>
      </c>
      <c r="J87" s="10">
        <v>45879.0</v>
      </c>
      <c r="K87" s="8" t="s">
        <v>418</v>
      </c>
      <c r="L87" s="7">
        <v>1.0</v>
      </c>
      <c r="M87" s="7" t="s">
        <v>33</v>
      </c>
      <c r="N87" s="13" t="s">
        <v>419</v>
      </c>
      <c r="O87" s="15" t="s">
        <v>420</v>
      </c>
    </row>
    <row r="88">
      <c r="A88" s="5">
        <v>101.0</v>
      </c>
      <c r="B88" s="6">
        <v>45981.35017873843</v>
      </c>
      <c r="C88" s="7" t="s">
        <v>15</v>
      </c>
      <c r="D88" s="8" t="s">
        <v>403</v>
      </c>
      <c r="E88" s="8" t="s">
        <v>404</v>
      </c>
      <c r="F88" s="7" t="s">
        <v>405</v>
      </c>
      <c r="G88" s="9" t="s">
        <v>19</v>
      </c>
      <c r="H88" s="7" t="s">
        <v>421</v>
      </c>
      <c r="I88" s="7" t="s">
        <v>422</v>
      </c>
      <c r="J88" s="10">
        <v>45843.0</v>
      </c>
      <c r="K88" s="8" t="s">
        <v>49</v>
      </c>
      <c r="L88" s="7">
        <v>8.0</v>
      </c>
      <c r="M88" s="7" t="s">
        <v>423</v>
      </c>
      <c r="N88" s="13" t="s">
        <v>424</v>
      </c>
      <c r="O88" s="15" t="s">
        <v>425</v>
      </c>
    </row>
    <row r="89">
      <c r="A89" s="5">
        <v>102.0</v>
      </c>
      <c r="B89" s="6">
        <v>45981.35409840278</v>
      </c>
      <c r="C89" s="7" t="s">
        <v>15</v>
      </c>
      <c r="D89" s="8" t="s">
        <v>403</v>
      </c>
      <c r="E89" s="8" t="s">
        <v>404</v>
      </c>
      <c r="F89" s="7" t="s">
        <v>405</v>
      </c>
      <c r="G89" s="9" t="s">
        <v>19</v>
      </c>
      <c r="H89" s="7" t="s">
        <v>421</v>
      </c>
      <c r="I89" s="7" t="s">
        <v>422</v>
      </c>
      <c r="J89" s="10">
        <v>45844.0</v>
      </c>
      <c r="K89" s="8" t="s">
        <v>49</v>
      </c>
      <c r="L89" s="7">
        <v>8.0</v>
      </c>
      <c r="M89" s="7" t="s">
        <v>423</v>
      </c>
      <c r="N89" s="13" t="s">
        <v>426</v>
      </c>
      <c r="O89" s="15" t="s">
        <v>427</v>
      </c>
    </row>
    <row r="90">
      <c r="A90" s="5">
        <v>103.0</v>
      </c>
      <c r="B90" s="6">
        <v>45981.35782554398</v>
      </c>
      <c r="C90" s="7" t="s">
        <v>15</v>
      </c>
      <c r="D90" s="8" t="s">
        <v>410</v>
      </c>
      <c r="E90" s="8" t="s">
        <v>411</v>
      </c>
      <c r="F90" s="7" t="s">
        <v>412</v>
      </c>
      <c r="G90" s="9" t="s">
        <v>415</v>
      </c>
      <c r="H90" s="7" t="s">
        <v>428</v>
      </c>
      <c r="I90" s="7" t="s">
        <v>429</v>
      </c>
      <c r="J90" s="10">
        <v>45967.0</v>
      </c>
      <c r="K90" s="8" t="s">
        <v>232</v>
      </c>
      <c r="L90" s="7">
        <v>1.0</v>
      </c>
      <c r="M90" s="7" t="s">
        <v>87</v>
      </c>
      <c r="N90" s="13" t="s">
        <v>430</v>
      </c>
      <c r="O90" s="15" t="s">
        <v>431</v>
      </c>
    </row>
    <row r="91">
      <c r="A91" s="5">
        <v>104.0</v>
      </c>
      <c r="B91" s="6">
        <v>45981.35794619213</v>
      </c>
      <c r="C91" s="7" t="s">
        <v>26</v>
      </c>
      <c r="D91" s="8" t="s">
        <v>432</v>
      </c>
      <c r="E91" s="8" t="s">
        <v>142</v>
      </c>
      <c r="F91" s="7" t="s">
        <v>433</v>
      </c>
      <c r="G91" s="9" t="s">
        <v>19</v>
      </c>
      <c r="H91" s="7" t="s">
        <v>30</v>
      </c>
      <c r="I91" s="7" t="s">
        <v>31</v>
      </c>
      <c r="J91" s="10">
        <v>45825.0</v>
      </c>
      <c r="K91" s="8" t="s">
        <v>49</v>
      </c>
      <c r="L91" s="7">
        <v>8.0</v>
      </c>
      <c r="M91" s="7" t="s">
        <v>33</v>
      </c>
      <c r="N91" s="13" t="s">
        <v>434</v>
      </c>
      <c r="O91" s="15" t="s">
        <v>435</v>
      </c>
    </row>
    <row r="92">
      <c r="A92" s="5">
        <v>105.0</v>
      </c>
      <c r="B92" s="6">
        <v>45981.36014635417</v>
      </c>
      <c r="C92" s="7" t="s">
        <v>15</v>
      </c>
      <c r="D92" s="8" t="s">
        <v>403</v>
      </c>
      <c r="E92" s="8" t="s">
        <v>404</v>
      </c>
      <c r="F92" s="7" t="s">
        <v>405</v>
      </c>
      <c r="G92" s="9" t="s">
        <v>19</v>
      </c>
      <c r="H92" s="7" t="s">
        <v>436</v>
      </c>
      <c r="I92" s="7" t="s">
        <v>37</v>
      </c>
      <c r="J92" s="10">
        <v>45839.0</v>
      </c>
      <c r="K92" s="8" t="s">
        <v>67</v>
      </c>
      <c r="L92" s="7">
        <v>8.0</v>
      </c>
      <c r="M92" s="7" t="s">
        <v>33</v>
      </c>
      <c r="N92" s="13" t="s">
        <v>437</v>
      </c>
      <c r="O92" s="15" t="s">
        <v>438</v>
      </c>
    </row>
    <row r="93">
      <c r="A93" s="5">
        <v>107.0</v>
      </c>
      <c r="B93" s="6">
        <v>45981.36111466435</v>
      </c>
      <c r="C93" s="7" t="s">
        <v>15</v>
      </c>
      <c r="D93" s="8" t="s">
        <v>439</v>
      </c>
      <c r="E93" s="8" t="s">
        <v>440</v>
      </c>
      <c r="F93" s="7" t="s">
        <v>441</v>
      </c>
      <c r="G93" s="9" t="s">
        <v>19</v>
      </c>
      <c r="H93" s="7" t="s">
        <v>406</v>
      </c>
      <c r="I93" s="7" t="s">
        <v>94</v>
      </c>
      <c r="J93" s="10">
        <v>45823.0</v>
      </c>
      <c r="K93" s="8" t="s">
        <v>22</v>
      </c>
      <c r="L93" s="7">
        <v>4.0</v>
      </c>
      <c r="M93" s="7" t="s">
        <v>106</v>
      </c>
      <c r="N93" s="13" t="s">
        <v>442</v>
      </c>
      <c r="O93" s="15" t="s">
        <v>443</v>
      </c>
    </row>
    <row r="94">
      <c r="A94" s="5">
        <v>110.0</v>
      </c>
      <c r="B94" s="6">
        <v>45981.366527881946</v>
      </c>
      <c r="C94" s="7" t="s">
        <v>15</v>
      </c>
      <c r="D94" s="8" t="s">
        <v>403</v>
      </c>
      <c r="E94" s="8" t="s">
        <v>404</v>
      </c>
      <c r="F94" s="7" t="s">
        <v>405</v>
      </c>
      <c r="G94" s="9" t="s">
        <v>181</v>
      </c>
      <c r="H94" s="7" t="s">
        <v>444</v>
      </c>
      <c r="I94" s="7" t="s">
        <v>231</v>
      </c>
      <c r="J94" s="10">
        <v>45824.0</v>
      </c>
      <c r="K94" s="8" t="s">
        <v>310</v>
      </c>
      <c r="L94" s="7">
        <v>1.0</v>
      </c>
      <c r="M94" s="7" t="s">
        <v>445</v>
      </c>
      <c r="N94" s="13" t="s">
        <v>446</v>
      </c>
      <c r="O94" s="15" t="s">
        <v>447</v>
      </c>
    </row>
    <row r="95">
      <c r="A95" s="5">
        <v>111.0</v>
      </c>
      <c r="B95" s="6">
        <v>45981.36977784723</v>
      </c>
      <c r="C95" s="7" t="s">
        <v>15</v>
      </c>
      <c r="D95" s="8" t="s">
        <v>439</v>
      </c>
      <c r="E95" s="8" t="s">
        <v>440</v>
      </c>
      <c r="F95" s="7" t="s">
        <v>441</v>
      </c>
      <c r="G95" s="9" t="s">
        <v>19</v>
      </c>
      <c r="H95" s="7" t="s">
        <v>448</v>
      </c>
      <c r="I95" s="7" t="s">
        <v>449</v>
      </c>
      <c r="J95" s="10">
        <v>45839.0</v>
      </c>
      <c r="K95" s="8" t="s">
        <v>67</v>
      </c>
      <c r="L95" s="7">
        <v>8.0</v>
      </c>
      <c r="M95" s="7" t="s">
        <v>33</v>
      </c>
      <c r="N95" s="13" t="s">
        <v>450</v>
      </c>
      <c r="O95" s="15" t="s">
        <v>451</v>
      </c>
    </row>
    <row r="96">
      <c r="A96" s="5">
        <v>112.0</v>
      </c>
      <c r="B96" s="6">
        <v>45981.37240986111</v>
      </c>
      <c r="C96" s="7" t="s">
        <v>15</v>
      </c>
      <c r="D96" s="8" t="s">
        <v>439</v>
      </c>
      <c r="E96" s="8" t="s">
        <v>440</v>
      </c>
      <c r="F96" s="7" t="s">
        <v>441</v>
      </c>
      <c r="G96" s="9" t="s">
        <v>19</v>
      </c>
      <c r="H96" s="7" t="s">
        <v>448</v>
      </c>
      <c r="I96" s="7" t="s">
        <v>449</v>
      </c>
      <c r="J96" s="10">
        <v>45840.0</v>
      </c>
      <c r="K96" s="8" t="s">
        <v>67</v>
      </c>
      <c r="L96" s="7">
        <v>8.0</v>
      </c>
      <c r="M96" s="7" t="s">
        <v>33</v>
      </c>
      <c r="N96" s="13" t="s">
        <v>452</v>
      </c>
      <c r="O96" s="15" t="s">
        <v>453</v>
      </c>
    </row>
    <row r="97">
      <c r="A97" s="5">
        <v>113.0</v>
      </c>
      <c r="B97" s="6">
        <v>45981.375500486116</v>
      </c>
      <c r="C97" s="7" t="s">
        <v>15</v>
      </c>
      <c r="D97" s="8" t="s">
        <v>454</v>
      </c>
      <c r="E97" s="8" t="s">
        <v>440</v>
      </c>
      <c r="F97" s="7" t="s">
        <v>441</v>
      </c>
      <c r="G97" s="9" t="s">
        <v>84</v>
      </c>
      <c r="H97" s="7" t="s">
        <v>455</v>
      </c>
      <c r="I97" s="7" t="s">
        <v>456</v>
      </c>
      <c r="J97" s="10">
        <v>45876.0</v>
      </c>
      <c r="K97" s="8" t="s">
        <v>457</v>
      </c>
      <c r="L97" s="7">
        <v>8.0</v>
      </c>
      <c r="M97" s="7" t="s">
        <v>458</v>
      </c>
      <c r="N97" s="13" t="s">
        <v>459</v>
      </c>
      <c r="O97" s="15" t="s">
        <v>460</v>
      </c>
    </row>
    <row r="98">
      <c r="A98" s="5">
        <v>114.0</v>
      </c>
      <c r="B98" s="6">
        <v>45981.37600497685</v>
      </c>
      <c r="C98" s="7" t="s">
        <v>15</v>
      </c>
      <c r="D98" s="8" t="s">
        <v>76</v>
      </c>
      <c r="E98" s="8" t="s">
        <v>28</v>
      </c>
      <c r="F98" s="7" t="s">
        <v>77</v>
      </c>
      <c r="G98" s="9" t="s">
        <v>19</v>
      </c>
      <c r="H98" s="7" t="s">
        <v>406</v>
      </c>
      <c r="I98" s="7" t="s">
        <v>94</v>
      </c>
      <c r="J98" s="10">
        <v>45823.0</v>
      </c>
      <c r="K98" s="8" t="s">
        <v>22</v>
      </c>
      <c r="L98" s="7">
        <v>4.0</v>
      </c>
      <c r="M98" s="7" t="s">
        <v>461</v>
      </c>
      <c r="N98" s="13" t="s">
        <v>462</v>
      </c>
      <c r="O98" s="15" t="s">
        <v>463</v>
      </c>
    </row>
    <row r="99">
      <c r="A99" s="5">
        <v>115.0</v>
      </c>
      <c r="B99" s="6">
        <v>45981.37683916667</v>
      </c>
      <c r="C99" s="7" t="s">
        <v>15</v>
      </c>
      <c r="D99" s="8" t="s">
        <v>403</v>
      </c>
      <c r="E99" s="8" t="s">
        <v>404</v>
      </c>
      <c r="F99" s="7" t="s">
        <v>405</v>
      </c>
      <c r="G99" s="9" t="s">
        <v>19</v>
      </c>
      <c r="H99" s="7" t="s">
        <v>464</v>
      </c>
      <c r="I99" s="7" t="s">
        <v>465</v>
      </c>
      <c r="J99" s="10">
        <v>45940.0</v>
      </c>
      <c r="K99" s="8" t="s">
        <v>264</v>
      </c>
      <c r="L99" s="7">
        <v>3.0</v>
      </c>
      <c r="M99" s="7" t="s">
        <v>466</v>
      </c>
      <c r="N99" s="13" t="s">
        <v>467</v>
      </c>
      <c r="O99" s="15" t="s">
        <v>468</v>
      </c>
    </row>
    <row r="100">
      <c r="A100" s="5">
        <v>116.0</v>
      </c>
      <c r="B100" s="6">
        <v>45981.48640465278</v>
      </c>
      <c r="C100" s="7" t="s">
        <v>26</v>
      </c>
      <c r="D100" s="8" t="s">
        <v>385</v>
      </c>
      <c r="E100" s="8" t="s">
        <v>179</v>
      </c>
      <c r="F100" s="7" t="s">
        <v>386</v>
      </c>
      <c r="G100" s="9" t="s">
        <v>19</v>
      </c>
      <c r="H100" s="7" t="s">
        <v>30</v>
      </c>
      <c r="I100" s="7" t="s">
        <v>469</v>
      </c>
      <c r="J100" s="10">
        <v>45833.0</v>
      </c>
      <c r="K100" s="8" t="s">
        <v>49</v>
      </c>
      <c r="L100" s="7">
        <v>8.0</v>
      </c>
      <c r="M100" s="7" t="s">
        <v>33</v>
      </c>
      <c r="N100" s="13" t="s">
        <v>470</v>
      </c>
      <c r="O100" s="15" t="s">
        <v>471</v>
      </c>
    </row>
    <row r="101">
      <c r="A101" s="5">
        <v>117.0</v>
      </c>
      <c r="B101" s="6">
        <v>45981.489684305554</v>
      </c>
      <c r="C101" s="7" t="s">
        <v>26</v>
      </c>
      <c r="D101" s="8" t="s">
        <v>385</v>
      </c>
      <c r="E101" s="8" t="s">
        <v>179</v>
      </c>
      <c r="F101" s="7" t="s">
        <v>386</v>
      </c>
      <c r="G101" s="9" t="s">
        <v>19</v>
      </c>
      <c r="H101" s="7" t="s">
        <v>30</v>
      </c>
      <c r="I101" s="7" t="s">
        <v>37</v>
      </c>
      <c r="J101" s="10">
        <v>45838.0</v>
      </c>
      <c r="K101" s="8" t="s">
        <v>67</v>
      </c>
      <c r="L101" s="7">
        <v>8.0</v>
      </c>
      <c r="M101" s="7" t="s">
        <v>33</v>
      </c>
      <c r="N101" s="13" t="s">
        <v>472</v>
      </c>
      <c r="O101" s="15" t="s">
        <v>473</v>
      </c>
    </row>
    <row r="102">
      <c r="A102" s="5">
        <v>118.0</v>
      </c>
      <c r="B102" s="6">
        <v>45981.4926528125</v>
      </c>
      <c r="C102" s="7" t="s">
        <v>26</v>
      </c>
      <c r="D102" s="8" t="s">
        <v>385</v>
      </c>
      <c r="E102" s="8" t="s">
        <v>179</v>
      </c>
      <c r="F102" s="7" t="s">
        <v>386</v>
      </c>
      <c r="G102" s="9" t="s">
        <v>19</v>
      </c>
      <c r="H102" s="7" t="s">
        <v>44</v>
      </c>
      <c r="I102" s="7" t="s">
        <v>37</v>
      </c>
      <c r="J102" s="10">
        <v>45839.0</v>
      </c>
      <c r="K102" s="8" t="s">
        <v>67</v>
      </c>
      <c r="L102" s="7">
        <v>8.0</v>
      </c>
      <c r="M102" s="7" t="s">
        <v>33</v>
      </c>
      <c r="N102" s="13" t="s">
        <v>474</v>
      </c>
      <c r="O102" s="15" t="s">
        <v>475</v>
      </c>
    </row>
    <row r="103">
      <c r="A103" s="5">
        <v>119.0</v>
      </c>
      <c r="B103" s="6">
        <v>45981.49331637731</v>
      </c>
      <c r="C103" s="7" t="s">
        <v>26</v>
      </c>
      <c r="D103" s="8" t="s">
        <v>432</v>
      </c>
      <c r="E103" s="8" t="s">
        <v>142</v>
      </c>
      <c r="F103" s="7" t="s">
        <v>433</v>
      </c>
      <c r="G103" s="9" t="s">
        <v>19</v>
      </c>
      <c r="H103" s="7" t="s">
        <v>30</v>
      </c>
      <c r="I103" s="7" t="s">
        <v>469</v>
      </c>
      <c r="J103" s="10">
        <v>45986.0</v>
      </c>
      <c r="K103" s="8" t="s">
        <v>49</v>
      </c>
      <c r="L103" s="7">
        <v>8.0</v>
      </c>
      <c r="M103" s="7" t="s">
        <v>33</v>
      </c>
      <c r="N103" s="13" t="s">
        <v>476</v>
      </c>
      <c r="O103" s="15" t="s">
        <v>477</v>
      </c>
    </row>
    <row r="104">
      <c r="A104" s="5">
        <v>120.0</v>
      </c>
      <c r="B104" s="6">
        <v>45981.49697799768</v>
      </c>
      <c r="C104" s="7" t="s">
        <v>26</v>
      </c>
      <c r="D104" s="8" t="s">
        <v>478</v>
      </c>
      <c r="E104" s="8" t="s">
        <v>479</v>
      </c>
      <c r="F104" s="7" t="s">
        <v>480</v>
      </c>
      <c r="G104" s="9" t="s">
        <v>19</v>
      </c>
      <c r="H104" s="7" t="s">
        <v>41</v>
      </c>
      <c r="I104" s="7" t="s">
        <v>37</v>
      </c>
      <c r="J104" s="10">
        <v>45839.0</v>
      </c>
      <c r="K104" s="8" t="s">
        <v>67</v>
      </c>
      <c r="L104" s="7">
        <v>8.0</v>
      </c>
      <c r="M104" s="7" t="s">
        <v>33</v>
      </c>
      <c r="N104" s="13" t="s">
        <v>481</v>
      </c>
      <c r="O104" s="15" t="s">
        <v>482</v>
      </c>
    </row>
    <row r="105">
      <c r="A105" s="5">
        <v>121.0</v>
      </c>
      <c r="B105" s="6">
        <v>45981.5094691088</v>
      </c>
      <c r="C105" s="7" t="s">
        <v>15</v>
      </c>
      <c r="D105" s="8" t="s">
        <v>483</v>
      </c>
      <c r="E105" s="8" t="s">
        <v>484</v>
      </c>
      <c r="F105" s="7" t="s">
        <v>485</v>
      </c>
      <c r="G105" s="9" t="s">
        <v>19</v>
      </c>
      <c r="H105" s="7" t="s">
        <v>486</v>
      </c>
      <c r="I105" s="7" t="s">
        <v>487</v>
      </c>
      <c r="J105" s="10">
        <v>45940.0</v>
      </c>
      <c r="K105" s="8" t="s">
        <v>22</v>
      </c>
      <c r="L105" s="7">
        <v>4.0</v>
      </c>
      <c r="M105" s="7" t="s">
        <v>23</v>
      </c>
      <c r="N105" s="13" t="s">
        <v>488</v>
      </c>
      <c r="O105" s="15" t="s">
        <v>489</v>
      </c>
    </row>
    <row r="106">
      <c r="A106" s="5">
        <v>122.0</v>
      </c>
      <c r="B106" s="6">
        <v>45981.51531634259</v>
      </c>
      <c r="C106" s="7" t="s">
        <v>15</v>
      </c>
      <c r="D106" s="8" t="s">
        <v>395</v>
      </c>
      <c r="E106" s="8" t="s">
        <v>396</v>
      </c>
      <c r="F106" s="7" t="s">
        <v>397</v>
      </c>
      <c r="G106" s="9" t="s">
        <v>159</v>
      </c>
      <c r="H106" s="7" t="s">
        <v>490</v>
      </c>
      <c r="I106" s="7" t="s">
        <v>491</v>
      </c>
      <c r="J106" s="10">
        <v>45830.0</v>
      </c>
      <c r="K106" s="8" t="s">
        <v>22</v>
      </c>
      <c r="L106" s="7">
        <v>4.0</v>
      </c>
      <c r="M106" s="7" t="s">
        <v>400</v>
      </c>
      <c r="N106" s="13" t="s">
        <v>492</v>
      </c>
      <c r="O106" s="15" t="s">
        <v>493</v>
      </c>
    </row>
    <row r="107">
      <c r="A107" s="5">
        <v>123.0</v>
      </c>
      <c r="B107" s="6">
        <v>45981.51638954861</v>
      </c>
      <c r="C107" s="7" t="s">
        <v>15</v>
      </c>
      <c r="D107" s="8" t="s">
        <v>483</v>
      </c>
      <c r="E107" s="8" t="s">
        <v>484</v>
      </c>
      <c r="F107" s="7" t="s">
        <v>485</v>
      </c>
      <c r="G107" s="9" t="s">
        <v>19</v>
      </c>
      <c r="H107" s="7" t="s">
        <v>406</v>
      </c>
      <c r="I107" s="7" t="s">
        <v>494</v>
      </c>
      <c r="J107" s="10">
        <v>45823.0</v>
      </c>
      <c r="K107" s="8" t="s">
        <v>22</v>
      </c>
      <c r="L107" s="7">
        <v>4.0</v>
      </c>
      <c r="M107" s="7" t="s">
        <v>106</v>
      </c>
      <c r="N107" s="13" t="s">
        <v>495</v>
      </c>
      <c r="O107" s="15" t="s">
        <v>496</v>
      </c>
    </row>
    <row r="108">
      <c r="A108" s="5">
        <v>124.0</v>
      </c>
      <c r="B108" s="6">
        <v>45981.51804390046</v>
      </c>
      <c r="C108" s="7" t="s">
        <v>15</v>
      </c>
      <c r="D108" s="8" t="s">
        <v>395</v>
      </c>
      <c r="E108" s="8" t="s">
        <v>396</v>
      </c>
      <c r="F108" s="7" t="s">
        <v>397</v>
      </c>
      <c r="G108" s="9" t="s">
        <v>19</v>
      </c>
      <c r="H108" s="7" t="s">
        <v>497</v>
      </c>
      <c r="I108" s="7" t="s">
        <v>498</v>
      </c>
      <c r="J108" s="10">
        <v>45836.0</v>
      </c>
      <c r="K108" s="8" t="s">
        <v>499</v>
      </c>
      <c r="L108" s="7">
        <v>5.0</v>
      </c>
      <c r="M108" s="7" t="s">
        <v>87</v>
      </c>
      <c r="N108" s="13" t="s">
        <v>500</v>
      </c>
      <c r="O108" s="15" t="s">
        <v>501</v>
      </c>
    </row>
    <row r="109">
      <c r="A109" s="5">
        <v>125.0</v>
      </c>
      <c r="B109" s="6">
        <v>45981.52168104167</v>
      </c>
      <c r="C109" s="7" t="s">
        <v>15</v>
      </c>
      <c r="D109" s="8" t="s">
        <v>395</v>
      </c>
      <c r="E109" s="8" t="s">
        <v>396</v>
      </c>
      <c r="F109" s="7" t="s">
        <v>397</v>
      </c>
      <c r="G109" s="9" t="s">
        <v>19</v>
      </c>
      <c r="H109" s="7" t="s">
        <v>448</v>
      </c>
      <c r="I109" s="7" t="s">
        <v>502</v>
      </c>
      <c r="J109" s="10">
        <v>45839.0</v>
      </c>
      <c r="K109" s="8" t="s">
        <v>67</v>
      </c>
      <c r="L109" s="7">
        <v>8.0</v>
      </c>
      <c r="M109" s="7" t="s">
        <v>33</v>
      </c>
      <c r="N109" s="13" t="s">
        <v>503</v>
      </c>
      <c r="O109" s="15" t="s">
        <v>504</v>
      </c>
    </row>
    <row r="110">
      <c r="A110" s="5">
        <v>126.0</v>
      </c>
      <c r="B110" s="6">
        <v>45981.52547245371</v>
      </c>
      <c r="C110" s="7" t="s">
        <v>15</v>
      </c>
      <c r="D110" s="8" t="s">
        <v>395</v>
      </c>
      <c r="E110" s="8" t="s">
        <v>396</v>
      </c>
      <c r="F110" s="7" t="s">
        <v>397</v>
      </c>
      <c r="G110" s="9" t="s">
        <v>19</v>
      </c>
      <c r="H110" s="7" t="s">
        <v>448</v>
      </c>
      <c r="I110" s="7" t="s">
        <v>505</v>
      </c>
      <c r="J110" s="10">
        <v>45840.0</v>
      </c>
      <c r="K110" s="8" t="s">
        <v>67</v>
      </c>
      <c r="L110" s="7">
        <v>8.0</v>
      </c>
      <c r="M110" s="7" t="s">
        <v>33</v>
      </c>
      <c r="N110" s="13" t="s">
        <v>506</v>
      </c>
      <c r="O110" s="15" t="s">
        <v>507</v>
      </c>
    </row>
    <row r="111">
      <c r="A111" s="5">
        <v>127.0</v>
      </c>
      <c r="B111" s="6">
        <v>45981.53083533565</v>
      </c>
      <c r="C111" s="7" t="s">
        <v>15</v>
      </c>
      <c r="D111" s="8" t="s">
        <v>395</v>
      </c>
      <c r="E111" s="8" t="s">
        <v>396</v>
      </c>
      <c r="F111" s="7" t="s">
        <v>397</v>
      </c>
      <c r="G111" s="9" t="s">
        <v>19</v>
      </c>
      <c r="H111" s="7" t="s">
        <v>508</v>
      </c>
      <c r="I111" s="7" t="s">
        <v>509</v>
      </c>
      <c r="J111" s="10">
        <v>45841.0</v>
      </c>
      <c r="K111" s="8" t="s">
        <v>510</v>
      </c>
      <c r="L111" s="7">
        <v>6.0</v>
      </c>
      <c r="M111" s="7" t="s">
        <v>305</v>
      </c>
      <c r="N111" s="13" t="s">
        <v>511</v>
      </c>
      <c r="O111" s="15" t="s">
        <v>512</v>
      </c>
    </row>
    <row r="112">
      <c r="A112" s="5">
        <v>128.0</v>
      </c>
      <c r="B112" s="6">
        <v>45981.54374026621</v>
      </c>
      <c r="C112" s="7" t="s">
        <v>15</v>
      </c>
      <c r="D112" s="8" t="s">
        <v>395</v>
      </c>
      <c r="E112" s="8" t="s">
        <v>396</v>
      </c>
      <c r="F112" s="7" t="s">
        <v>397</v>
      </c>
      <c r="G112" s="9" t="s">
        <v>19</v>
      </c>
      <c r="H112" s="7" t="s">
        <v>513</v>
      </c>
      <c r="I112" s="7" t="s">
        <v>514</v>
      </c>
      <c r="J112" s="10">
        <v>45846.0</v>
      </c>
      <c r="K112" s="8" t="s">
        <v>510</v>
      </c>
      <c r="L112" s="7">
        <v>6.0</v>
      </c>
      <c r="M112" s="7" t="s">
        <v>305</v>
      </c>
      <c r="N112" s="13" t="s">
        <v>515</v>
      </c>
      <c r="O112" s="15" t="s">
        <v>516</v>
      </c>
    </row>
    <row r="113">
      <c r="A113" s="5">
        <v>129.0</v>
      </c>
      <c r="B113" s="6">
        <v>45981.54569111111</v>
      </c>
      <c r="C113" s="7" t="s">
        <v>15</v>
      </c>
      <c r="D113" s="8" t="s">
        <v>395</v>
      </c>
      <c r="E113" s="8" t="s">
        <v>396</v>
      </c>
      <c r="F113" s="7" t="s">
        <v>397</v>
      </c>
      <c r="G113" s="9" t="s">
        <v>19</v>
      </c>
      <c r="H113" s="7" t="s">
        <v>517</v>
      </c>
      <c r="I113" s="7" t="s">
        <v>231</v>
      </c>
      <c r="J113" s="10">
        <v>45793.0</v>
      </c>
      <c r="K113" s="8" t="s">
        <v>518</v>
      </c>
      <c r="L113" s="7">
        <v>2.0</v>
      </c>
      <c r="M113" s="7" t="s">
        <v>445</v>
      </c>
      <c r="N113" s="13" t="s">
        <v>519</v>
      </c>
      <c r="O113" s="15" t="s">
        <v>520</v>
      </c>
    </row>
    <row r="114">
      <c r="A114" s="5">
        <v>130.0</v>
      </c>
      <c r="B114" s="6">
        <v>45981.546941504625</v>
      </c>
      <c r="C114" s="7" t="s">
        <v>15</v>
      </c>
      <c r="D114" s="8" t="s">
        <v>395</v>
      </c>
      <c r="E114" s="8" t="s">
        <v>396</v>
      </c>
      <c r="F114" s="7" t="s">
        <v>397</v>
      </c>
      <c r="G114" s="9" t="s">
        <v>19</v>
      </c>
      <c r="H114" s="7" t="s">
        <v>517</v>
      </c>
      <c r="I114" s="7" t="s">
        <v>231</v>
      </c>
      <c r="J114" s="10">
        <v>45800.0</v>
      </c>
      <c r="K114" s="8" t="s">
        <v>518</v>
      </c>
      <c r="L114" s="7">
        <v>2.0</v>
      </c>
      <c r="M114" s="7" t="s">
        <v>445</v>
      </c>
      <c r="N114" s="13" t="s">
        <v>521</v>
      </c>
      <c r="O114" s="15" t="s">
        <v>522</v>
      </c>
    </row>
    <row r="115">
      <c r="A115" s="5">
        <v>131.0</v>
      </c>
      <c r="B115" s="6">
        <v>45981.54911601852</v>
      </c>
      <c r="C115" s="7" t="s">
        <v>15</v>
      </c>
      <c r="D115" s="8" t="s">
        <v>395</v>
      </c>
      <c r="E115" s="8" t="s">
        <v>396</v>
      </c>
      <c r="F115" s="7" t="s">
        <v>397</v>
      </c>
      <c r="G115" s="9" t="s">
        <v>19</v>
      </c>
      <c r="H115" s="7" t="s">
        <v>517</v>
      </c>
      <c r="I115" s="7" t="s">
        <v>231</v>
      </c>
      <c r="J115" s="10">
        <v>45807.0</v>
      </c>
      <c r="K115" s="8" t="s">
        <v>518</v>
      </c>
      <c r="L115" s="7">
        <v>2.0</v>
      </c>
      <c r="M115" s="7" t="s">
        <v>445</v>
      </c>
      <c r="N115" s="13" t="s">
        <v>523</v>
      </c>
      <c r="O115" s="15" t="s">
        <v>524</v>
      </c>
    </row>
    <row r="116">
      <c r="A116" s="5">
        <v>132.0</v>
      </c>
      <c r="B116" s="6">
        <v>45981.55391607639</v>
      </c>
      <c r="C116" s="7" t="s">
        <v>15</v>
      </c>
      <c r="D116" s="8" t="s">
        <v>395</v>
      </c>
      <c r="E116" s="8" t="s">
        <v>396</v>
      </c>
      <c r="F116" s="7" t="s">
        <v>397</v>
      </c>
      <c r="G116" s="9" t="s">
        <v>19</v>
      </c>
      <c r="H116" s="7" t="s">
        <v>525</v>
      </c>
      <c r="I116" s="7" t="s">
        <v>526</v>
      </c>
      <c r="J116" s="10">
        <v>45884.0</v>
      </c>
      <c r="K116" s="8" t="s">
        <v>527</v>
      </c>
      <c r="L116" s="7">
        <v>8.0</v>
      </c>
      <c r="M116" s="7" t="s">
        <v>87</v>
      </c>
      <c r="N116" s="13" t="s">
        <v>528</v>
      </c>
      <c r="O116" s="15" t="s">
        <v>529</v>
      </c>
    </row>
    <row r="117">
      <c r="A117" s="5">
        <v>134.0</v>
      </c>
      <c r="B117" s="6">
        <v>45981.55678349537</v>
      </c>
      <c r="C117" s="7" t="s">
        <v>15</v>
      </c>
      <c r="D117" s="8" t="s">
        <v>395</v>
      </c>
      <c r="E117" s="8" t="s">
        <v>396</v>
      </c>
      <c r="F117" s="7" t="s">
        <v>397</v>
      </c>
      <c r="G117" s="9" t="s">
        <v>19</v>
      </c>
      <c r="H117" s="7" t="s">
        <v>530</v>
      </c>
      <c r="I117" s="7" t="s">
        <v>526</v>
      </c>
      <c r="J117" s="10">
        <v>45885.0</v>
      </c>
      <c r="K117" s="8" t="s">
        <v>49</v>
      </c>
      <c r="L117" s="7">
        <v>8.0</v>
      </c>
      <c r="M117" s="7" t="s">
        <v>87</v>
      </c>
      <c r="N117" s="13" t="s">
        <v>531</v>
      </c>
      <c r="O117" s="15" t="s">
        <v>532</v>
      </c>
    </row>
    <row r="118">
      <c r="A118" s="5">
        <v>135.0</v>
      </c>
      <c r="B118" s="6">
        <v>45981.55862513889</v>
      </c>
      <c r="C118" s="7" t="s">
        <v>15</v>
      </c>
      <c r="D118" s="8" t="s">
        <v>395</v>
      </c>
      <c r="E118" s="8" t="s">
        <v>396</v>
      </c>
      <c r="F118" s="7" t="s">
        <v>397</v>
      </c>
      <c r="G118" s="9" t="s">
        <v>19</v>
      </c>
      <c r="H118" s="7" t="s">
        <v>530</v>
      </c>
      <c r="I118" s="7" t="s">
        <v>533</v>
      </c>
      <c r="J118" s="10">
        <v>45886.0</v>
      </c>
      <c r="K118" s="8" t="s">
        <v>49</v>
      </c>
      <c r="L118" s="7">
        <v>8.0</v>
      </c>
      <c r="M118" s="7" t="s">
        <v>87</v>
      </c>
      <c r="N118" s="13" t="s">
        <v>534</v>
      </c>
      <c r="O118" s="15" t="s">
        <v>535</v>
      </c>
    </row>
    <row r="119">
      <c r="A119" s="5">
        <v>136.0</v>
      </c>
      <c r="B119" s="6">
        <v>45981.55960177083</v>
      </c>
      <c r="C119" s="7" t="s">
        <v>15</v>
      </c>
      <c r="D119" s="8" t="s">
        <v>16</v>
      </c>
      <c r="E119" s="8" t="s">
        <v>17</v>
      </c>
      <c r="F119" s="7" t="s">
        <v>18</v>
      </c>
      <c r="G119" s="9" t="s">
        <v>415</v>
      </c>
      <c r="H119" s="7" t="s">
        <v>536</v>
      </c>
      <c r="I119" s="7" t="s">
        <v>537</v>
      </c>
      <c r="J119" s="10">
        <v>45967.0</v>
      </c>
      <c r="K119" s="8" t="s">
        <v>457</v>
      </c>
      <c r="L119" s="7">
        <v>1.0</v>
      </c>
      <c r="M119" s="7" t="s">
        <v>87</v>
      </c>
      <c r="N119" s="13" t="s">
        <v>538</v>
      </c>
      <c r="O119" s="15" t="s">
        <v>539</v>
      </c>
    </row>
    <row r="120">
      <c r="A120" s="5">
        <v>137.0</v>
      </c>
      <c r="B120" s="6">
        <v>45981.59828633102</v>
      </c>
      <c r="C120" s="7" t="s">
        <v>15</v>
      </c>
      <c r="D120" s="8" t="s">
        <v>410</v>
      </c>
      <c r="E120" s="8" t="s">
        <v>411</v>
      </c>
      <c r="F120" s="7" t="s">
        <v>412</v>
      </c>
      <c r="G120" s="9" t="s">
        <v>84</v>
      </c>
      <c r="H120" s="7" t="s">
        <v>455</v>
      </c>
      <c r="I120" s="7" t="s">
        <v>429</v>
      </c>
      <c r="J120" s="10">
        <v>45981.0</v>
      </c>
      <c r="K120" s="8" t="s">
        <v>232</v>
      </c>
      <c r="L120" s="7">
        <v>8.0</v>
      </c>
      <c r="M120" s="7" t="s">
        <v>540</v>
      </c>
      <c r="N120" s="13" t="s">
        <v>541</v>
      </c>
      <c r="O120" s="15" t="s">
        <v>542</v>
      </c>
    </row>
    <row r="121">
      <c r="A121" s="5">
        <v>138.0</v>
      </c>
      <c r="B121" s="6">
        <v>45981.60238325231</v>
      </c>
      <c r="C121" s="7" t="s">
        <v>15</v>
      </c>
      <c r="D121" s="8" t="s">
        <v>410</v>
      </c>
      <c r="E121" s="8" t="s">
        <v>411</v>
      </c>
      <c r="F121" s="7" t="s">
        <v>412</v>
      </c>
      <c r="G121" s="9" t="s">
        <v>181</v>
      </c>
      <c r="H121" s="7" t="s">
        <v>543</v>
      </c>
      <c r="I121" s="7" t="s">
        <v>314</v>
      </c>
      <c r="J121" s="10">
        <v>45908.0</v>
      </c>
      <c r="K121" s="8" t="s">
        <v>310</v>
      </c>
      <c r="L121" s="7">
        <v>1.0</v>
      </c>
      <c r="M121" s="7" t="s">
        <v>33</v>
      </c>
      <c r="N121" s="13" t="s">
        <v>544</v>
      </c>
      <c r="O121" s="15" t="s">
        <v>545</v>
      </c>
    </row>
    <row r="122">
      <c r="A122" s="5">
        <v>139.0</v>
      </c>
      <c r="B122" s="6">
        <v>45981.77988232639</v>
      </c>
      <c r="C122" s="7" t="s">
        <v>15</v>
      </c>
      <c r="D122" s="8" t="s">
        <v>546</v>
      </c>
      <c r="E122" s="8" t="s">
        <v>547</v>
      </c>
      <c r="F122" s="7" t="s">
        <v>548</v>
      </c>
      <c r="G122" s="9" t="s">
        <v>19</v>
      </c>
      <c r="H122" s="7" t="s">
        <v>30</v>
      </c>
      <c r="I122" s="7" t="s">
        <v>31</v>
      </c>
      <c r="J122" s="10">
        <v>45825.0</v>
      </c>
      <c r="K122" s="8" t="s">
        <v>49</v>
      </c>
      <c r="L122" s="7">
        <v>8.0</v>
      </c>
      <c r="M122" s="7" t="s">
        <v>549</v>
      </c>
      <c r="N122" s="13" t="s">
        <v>550</v>
      </c>
      <c r="O122" s="15" t="s">
        <v>551</v>
      </c>
    </row>
    <row r="123">
      <c r="A123" s="5">
        <v>140.0</v>
      </c>
      <c r="B123" s="6">
        <v>45981.78415923611</v>
      </c>
      <c r="C123" s="7" t="s">
        <v>15</v>
      </c>
      <c r="D123" s="8" t="s">
        <v>546</v>
      </c>
      <c r="E123" s="8" t="s">
        <v>547</v>
      </c>
      <c r="F123" s="7" t="s">
        <v>552</v>
      </c>
      <c r="G123" s="9" t="s">
        <v>19</v>
      </c>
      <c r="H123" s="7" t="s">
        <v>30</v>
      </c>
      <c r="I123" s="7" t="s">
        <v>37</v>
      </c>
      <c r="J123" s="10">
        <v>45838.0</v>
      </c>
      <c r="K123" s="8" t="s">
        <v>67</v>
      </c>
      <c r="L123" s="7">
        <v>8.0</v>
      </c>
      <c r="M123" s="7" t="s">
        <v>553</v>
      </c>
      <c r="N123" s="13" t="s">
        <v>554</v>
      </c>
      <c r="O123" s="15" t="s">
        <v>555</v>
      </c>
    </row>
    <row r="124">
      <c r="A124" s="5">
        <v>141.0</v>
      </c>
      <c r="B124" s="6">
        <v>45981.78644862269</v>
      </c>
      <c r="C124" s="7" t="s">
        <v>15</v>
      </c>
      <c r="D124" s="8" t="s">
        <v>546</v>
      </c>
      <c r="E124" s="8" t="s">
        <v>547</v>
      </c>
      <c r="F124" s="7" t="s">
        <v>552</v>
      </c>
      <c r="G124" s="9" t="s">
        <v>19</v>
      </c>
      <c r="H124" s="7" t="s">
        <v>44</v>
      </c>
      <c r="I124" s="7" t="s">
        <v>37</v>
      </c>
      <c r="J124" s="10">
        <v>45839.0</v>
      </c>
      <c r="K124" s="8" t="s">
        <v>67</v>
      </c>
      <c r="L124" s="7">
        <v>8.0</v>
      </c>
      <c r="M124" s="7" t="s">
        <v>553</v>
      </c>
      <c r="N124" s="13" t="s">
        <v>556</v>
      </c>
      <c r="O124" s="15" t="s">
        <v>557</v>
      </c>
    </row>
    <row r="125">
      <c r="A125" s="5">
        <v>142.0</v>
      </c>
      <c r="B125" s="6">
        <v>45981.78898971065</v>
      </c>
      <c r="C125" s="7" t="s">
        <v>15</v>
      </c>
      <c r="D125" s="8" t="s">
        <v>546</v>
      </c>
      <c r="E125" s="8" t="s">
        <v>547</v>
      </c>
      <c r="F125" s="7" t="s">
        <v>552</v>
      </c>
      <c r="G125" s="9" t="s">
        <v>19</v>
      </c>
      <c r="H125" s="7" t="s">
        <v>44</v>
      </c>
      <c r="I125" s="7" t="s">
        <v>37</v>
      </c>
      <c r="J125" s="10">
        <v>45840.0</v>
      </c>
      <c r="K125" s="8" t="s">
        <v>38</v>
      </c>
      <c r="L125" s="7">
        <v>8.0</v>
      </c>
      <c r="M125" s="7" t="s">
        <v>33</v>
      </c>
      <c r="N125" s="13" t="s">
        <v>558</v>
      </c>
      <c r="O125" s="15" t="s">
        <v>559</v>
      </c>
    </row>
    <row r="126">
      <c r="A126" s="5">
        <v>143.0</v>
      </c>
      <c r="B126" s="6">
        <v>45981.81140658565</v>
      </c>
      <c r="C126" s="7" t="s">
        <v>15</v>
      </c>
      <c r="D126" s="8" t="s">
        <v>546</v>
      </c>
      <c r="E126" s="8" t="s">
        <v>547</v>
      </c>
      <c r="F126" s="7" t="s">
        <v>552</v>
      </c>
      <c r="G126" s="9" t="s">
        <v>19</v>
      </c>
      <c r="H126" s="7" t="s">
        <v>560</v>
      </c>
      <c r="I126" s="7" t="s">
        <v>561</v>
      </c>
      <c r="J126" s="10">
        <v>45884.0</v>
      </c>
      <c r="K126" s="8" t="s">
        <v>67</v>
      </c>
      <c r="L126" s="7">
        <v>8.0</v>
      </c>
      <c r="M126" s="7" t="s">
        <v>87</v>
      </c>
      <c r="N126" s="13" t="s">
        <v>562</v>
      </c>
      <c r="O126" s="15" t="s">
        <v>563</v>
      </c>
    </row>
    <row r="127">
      <c r="A127" s="5">
        <v>144.0</v>
      </c>
      <c r="B127" s="6">
        <v>45981.81355475694</v>
      </c>
      <c r="C127" s="7" t="s">
        <v>15</v>
      </c>
      <c r="D127" s="8" t="s">
        <v>546</v>
      </c>
      <c r="E127" s="8" t="s">
        <v>547</v>
      </c>
      <c r="F127" s="7" t="s">
        <v>552</v>
      </c>
      <c r="G127" s="9" t="s">
        <v>19</v>
      </c>
      <c r="H127" s="7" t="s">
        <v>560</v>
      </c>
      <c r="I127" s="7" t="s">
        <v>561</v>
      </c>
      <c r="J127" s="10">
        <v>45885.0</v>
      </c>
      <c r="K127" s="8" t="s">
        <v>67</v>
      </c>
      <c r="L127" s="7">
        <v>8.0</v>
      </c>
      <c r="M127" s="7" t="s">
        <v>87</v>
      </c>
      <c r="N127" s="13" t="s">
        <v>564</v>
      </c>
      <c r="O127" s="15" t="s">
        <v>565</v>
      </c>
    </row>
    <row r="128">
      <c r="A128" s="5">
        <v>145.0</v>
      </c>
      <c r="B128" s="6">
        <v>45981.81612671296</v>
      </c>
      <c r="C128" s="7" t="s">
        <v>15</v>
      </c>
      <c r="D128" s="8" t="s">
        <v>546</v>
      </c>
      <c r="E128" s="8" t="s">
        <v>547</v>
      </c>
      <c r="F128" s="7" t="s">
        <v>552</v>
      </c>
      <c r="G128" s="9" t="s">
        <v>19</v>
      </c>
      <c r="H128" s="7" t="s">
        <v>560</v>
      </c>
      <c r="I128" s="7" t="s">
        <v>561</v>
      </c>
      <c r="J128" s="10">
        <v>45886.0</v>
      </c>
      <c r="K128" s="8" t="s">
        <v>67</v>
      </c>
      <c r="L128" s="7">
        <v>8.0</v>
      </c>
      <c r="M128" s="7" t="s">
        <v>87</v>
      </c>
      <c r="N128" s="13" t="s">
        <v>566</v>
      </c>
      <c r="O128" s="15" t="s">
        <v>567</v>
      </c>
    </row>
    <row r="129">
      <c r="A129" s="5">
        <v>146.0</v>
      </c>
      <c r="B129" s="6">
        <v>45981.84898471065</v>
      </c>
      <c r="C129" s="7" t="s">
        <v>125</v>
      </c>
      <c r="D129" s="8" t="s">
        <v>568</v>
      </c>
      <c r="E129" s="8" t="s">
        <v>569</v>
      </c>
      <c r="F129" s="7" t="s">
        <v>570</v>
      </c>
      <c r="G129" s="9" t="s">
        <v>19</v>
      </c>
      <c r="H129" s="7" t="s">
        <v>173</v>
      </c>
      <c r="I129" s="7" t="s">
        <v>174</v>
      </c>
      <c r="J129" s="10">
        <v>45854.0</v>
      </c>
      <c r="K129" s="8" t="s">
        <v>175</v>
      </c>
      <c r="L129" s="7">
        <v>7.0</v>
      </c>
      <c r="M129" s="7" t="s">
        <v>106</v>
      </c>
      <c r="N129" s="13" t="s">
        <v>571</v>
      </c>
      <c r="O129" s="15" t="s">
        <v>572</v>
      </c>
    </row>
    <row r="130">
      <c r="A130" s="5">
        <v>147.0</v>
      </c>
      <c r="B130" s="6">
        <v>45981.86290590277</v>
      </c>
      <c r="C130" s="7" t="s">
        <v>125</v>
      </c>
      <c r="D130" s="8" t="s">
        <v>573</v>
      </c>
      <c r="E130" s="8" t="s">
        <v>574</v>
      </c>
      <c r="F130" s="7" t="s">
        <v>575</v>
      </c>
      <c r="G130" s="9" t="s">
        <v>19</v>
      </c>
      <c r="H130" s="7" t="s">
        <v>173</v>
      </c>
      <c r="I130" s="7" t="s">
        <v>174</v>
      </c>
      <c r="J130" s="10">
        <v>45854.0</v>
      </c>
      <c r="K130" s="8" t="s">
        <v>175</v>
      </c>
      <c r="L130" s="7">
        <v>6.0</v>
      </c>
      <c r="M130" s="7" t="s">
        <v>106</v>
      </c>
      <c r="N130" s="13" t="s">
        <v>576</v>
      </c>
      <c r="O130" s="15" t="s">
        <v>577</v>
      </c>
    </row>
    <row r="131">
      <c r="A131" s="5">
        <v>148.0</v>
      </c>
      <c r="B131" s="6">
        <v>45981.87009633102</v>
      </c>
      <c r="C131" s="7" t="s">
        <v>125</v>
      </c>
      <c r="D131" s="8" t="s">
        <v>573</v>
      </c>
      <c r="E131" s="8" t="s">
        <v>574</v>
      </c>
      <c r="F131" s="7" t="s">
        <v>575</v>
      </c>
      <c r="G131" s="9" t="s">
        <v>159</v>
      </c>
      <c r="H131" s="7" t="s">
        <v>578</v>
      </c>
      <c r="I131" s="7" t="s">
        <v>167</v>
      </c>
      <c r="J131" s="10">
        <v>45966.0</v>
      </c>
      <c r="K131" s="8" t="s">
        <v>22</v>
      </c>
      <c r="L131" s="7">
        <v>4.0</v>
      </c>
      <c r="M131" s="7" t="s">
        <v>168</v>
      </c>
      <c r="N131" s="13" t="s">
        <v>579</v>
      </c>
      <c r="O131" s="15" t="s">
        <v>580</v>
      </c>
    </row>
    <row r="132">
      <c r="A132" s="5">
        <v>149.0</v>
      </c>
      <c r="B132" s="6">
        <v>45981.884016516204</v>
      </c>
      <c r="C132" s="7" t="s">
        <v>125</v>
      </c>
      <c r="D132" s="8" t="s">
        <v>573</v>
      </c>
      <c r="E132" s="8" t="s">
        <v>574</v>
      </c>
      <c r="F132" s="7" t="s">
        <v>575</v>
      </c>
      <c r="G132" s="9" t="s">
        <v>159</v>
      </c>
      <c r="H132" s="7" t="s">
        <v>581</v>
      </c>
      <c r="I132" s="7" t="s">
        <v>167</v>
      </c>
      <c r="J132" s="10">
        <v>45971.0</v>
      </c>
      <c r="K132" s="8" t="s">
        <v>582</v>
      </c>
      <c r="L132" s="7">
        <v>2.0</v>
      </c>
      <c r="M132" s="7" t="s">
        <v>168</v>
      </c>
      <c r="N132" s="13" t="s">
        <v>583</v>
      </c>
      <c r="O132" s="15" t="s">
        <v>584</v>
      </c>
    </row>
    <row r="133">
      <c r="A133" s="5">
        <v>150.0</v>
      </c>
      <c r="B133" s="6">
        <v>45981.88640591435</v>
      </c>
      <c r="C133" s="7" t="s">
        <v>125</v>
      </c>
      <c r="D133" s="8" t="s">
        <v>573</v>
      </c>
      <c r="E133" s="8" t="s">
        <v>574</v>
      </c>
      <c r="F133" s="7" t="s">
        <v>575</v>
      </c>
      <c r="G133" s="9" t="s">
        <v>159</v>
      </c>
      <c r="H133" s="7" t="s">
        <v>581</v>
      </c>
      <c r="I133" s="7" t="s">
        <v>167</v>
      </c>
      <c r="J133" s="10">
        <v>45947.0</v>
      </c>
      <c r="K133" s="8" t="s">
        <v>582</v>
      </c>
      <c r="L133" s="7">
        <v>2.0</v>
      </c>
      <c r="M133" s="7" t="s">
        <v>168</v>
      </c>
      <c r="N133" s="13" t="s">
        <v>585</v>
      </c>
      <c r="O133" s="15" t="s">
        <v>586</v>
      </c>
    </row>
    <row r="134">
      <c r="A134" s="5">
        <v>151.0</v>
      </c>
      <c r="B134" s="6">
        <v>45981.89196623843</v>
      </c>
      <c r="C134" s="7" t="s">
        <v>125</v>
      </c>
      <c r="D134" s="8" t="s">
        <v>126</v>
      </c>
      <c r="E134" s="8" t="s">
        <v>63</v>
      </c>
      <c r="F134" s="7" t="s">
        <v>127</v>
      </c>
      <c r="G134" s="9" t="s">
        <v>159</v>
      </c>
      <c r="H134" s="7" t="s">
        <v>587</v>
      </c>
      <c r="I134" s="7" t="s">
        <v>588</v>
      </c>
      <c r="J134" s="10">
        <v>45942.0</v>
      </c>
      <c r="K134" s="8" t="s">
        <v>589</v>
      </c>
      <c r="L134" s="7">
        <v>6.0</v>
      </c>
      <c r="M134" s="7" t="s">
        <v>590</v>
      </c>
      <c r="N134" s="13" t="s">
        <v>591</v>
      </c>
      <c r="O134" s="15" t="s">
        <v>592</v>
      </c>
    </row>
    <row r="135">
      <c r="A135" s="5">
        <v>152.0</v>
      </c>
      <c r="B135" s="6">
        <v>45981.896424652776</v>
      </c>
      <c r="C135" s="7" t="s">
        <v>125</v>
      </c>
      <c r="D135" s="8" t="s">
        <v>170</v>
      </c>
      <c r="E135" s="8" t="s">
        <v>171</v>
      </c>
      <c r="F135" s="7" t="s">
        <v>172</v>
      </c>
      <c r="G135" s="9" t="s">
        <v>159</v>
      </c>
      <c r="H135" s="7" t="s">
        <v>593</v>
      </c>
      <c r="I135" s="7" t="s">
        <v>588</v>
      </c>
      <c r="J135" s="10">
        <v>45942.0</v>
      </c>
      <c r="K135" s="8" t="s">
        <v>499</v>
      </c>
      <c r="L135" s="7">
        <v>6.0</v>
      </c>
      <c r="M135" s="7" t="s">
        <v>590</v>
      </c>
      <c r="N135" s="13" t="s">
        <v>594</v>
      </c>
      <c r="O135" s="15" t="s">
        <v>595</v>
      </c>
    </row>
    <row r="136">
      <c r="A136" s="5">
        <v>153.0</v>
      </c>
      <c r="B136" s="6">
        <v>45981.89977697917</v>
      </c>
      <c r="C136" s="7" t="s">
        <v>125</v>
      </c>
      <c r="D136" s="8" t="s">
        <v>573</v>
      </c>
      <c r="E136" s="8" t="s">
        <v>574</v>
      </c>
      <c r="F136" s="7" t="s">
        <v>575</v>
      </c>
      <c r="G136" s="9" t="s">
        <v>159</v>
      </c>
      <c r="H136" s="7" t="s">
        <v>581</v>
      </c>
      <c r="I136" s="7" t="s">
        <v>167</v>
      </c>
      <c r="J136" s="10">
        <v>45975.0</v>
      </c>
      <c r="K136" s="8" t="s">
        <v>582</v>
      </c>
      <c r="L136" s="7">
        <v>2.0</v>
      </c>
      <c r="M136" s="7" t="s">
        <v>168</v>
      </c>
      <c r="N136" s="13" t="s">
        <v>596</v>
      </c>
      <c r="O136" s="15" t="s">
        <v>597</v>
      </c>
    </row>
    <row r="137">
      <c r="A137" s="5">
        <v>154.0</v>
      </c>
      <c r="B137" s="6">
        <v>45981.90156814815</v>
      </c>
      <c r="C137" s="7" t="s">
        <v>125</v>
      </c>
      <c r="D137" s="8" t="s">
        <v>573</v>
      </c>
      <c r="E137" s="8" t="s">
        <v>574</v>
      </c>
      <c r="F137" s="7" t="s">
        <v>575</v>
      </c>
      <c r="G137" s="9" t="s">
        <v>144</v>
      </c>
      <c r="H137" s="7" t="s">
        <v>598</v>
      </c>
      <c r="I137" s="7" t="s">
        <v>599</v>
      </c>
      <c r="J137" s="10">
        <v>45963.0</v>
      </c>
      <c r="K137" s="8" t="s">
        <v>22</v>
      </c>
      <c r="L137" s="7">
        <v>4.0</v>
      </c>
      <c r="M137" s="7" t="s">
        <v>168</v>
      </c>
      <c r="N137" s="13" t="s">
        <v>600</v>
      </c>
      <c r="O137" s="15" t="s">
        <v>601</v>
      </c>
    </row>
    <row r="138">
      <c r="A138" s="5">
        <v>155.0</v>
      </c>
      <c r="B138" s="6">
        <v>45981.902179236116</v>
      </c>
      <c r="C138" s="7" t="s">
        <v>125</v>
      </c>
      <c r="D138" s="8" t="s">
        <v>126</v>
      </c>
      <c r="E138" s="8" t="s">
        <v>63</v>
      </c>
      <c r="F138" s="7" t="s">
        <v>127</v>
      </c>
      <c r="G138" s="9" t="s">
        <v>159</v>
      </c>
      <c r="H138" s="7" t="s">
        <v>587</v>
      </c>
      <c r="I138" s="7" t="s">
        <v>588</v>
      </c>
      <c r="J138" s="10">
        <v>45942.0</v>
      </c>
      <c r="K138" s="8" t="s">
        <v>602</v>
      </c>
      <c r="L138" s="7">
        <v>4.0</v>
      </c>
      <c r="M138" s="7" t="s">
        <v>590</v>
      </c>
      <c r="N138" s="13" t="s">
        <v>603</v>
      </c>
      <c r="O138" s="15" t="s">
        <v>604</v>
      </c>
    </row>
    <row r="139">
      <c r="A139" s="5">
        <v>156.0</v>
      </c>
      <c r="B139" s="6">
        <v>45981.903306493055</v>
      </c>
      <c r="C139" s="7" t="s">
        <v>125</v>
      </c>
      <c r="D139" s="8" t="s">
        <v>573</v>
      </c>
      <c r="E139" s="8" t="s">
        <v>574</v>
      </c>
      <c r="F139" s="7" t="s">
        <v>575</v>
      </c>
      <c r="G139" s="9" t="s">
        <v>144</v>
      </c>
      <c r="H139" s="7" t="s">
        <v>605</v>
      </c>
      <c r="I139" s="7" t="s">
        <v>167</v>
      </c>
      <c r="J139" s="10">
        <v>45942.0</v>
      </c>
      <c r="K139" s="8" t="s">
        <v>22</v>
      </c>
      <c r="L139" s="7">
        <v>4.0</v>
      </c>
      <c r="M139" s="7" t="s">
        <v>168</v>
      </c>
      <c r="N139" s="13" t="s">
        <v>606</v>
      </c>
      <c r="O139" s="15" t="s">
        <v>607</v>
      </c>
    </row>
    <row r="140">
      <c r="A140" s="5">
        <v>157.0</v>
      </c>
      <c r="B140" s="6">
        <v>45981.90817850694</v>
      </c>
      <c r="C140" s="7" t="s">
        <v>125</v>
      </c>
      <c r="D140" s="8" t="s">
        <v>568</v>
      </c>
      <c r="E140" s="8" t="s">
        <v>569</v>
      </c>
      <c r="F140" s="7" t="s">
        <v>570</v>
      </c>
      <c r="G140" s="9" t="s">
        <v>144</v>
      </c>
      <c r="H140" s="7" t="s">
        <v>608</v>
      </c>
      <c r="I140" s="7" t="s">
        <v>609</v>
      </c>
      <c r="J140" s="10">
        <v>45948.0</v>
      </c>
      <c r="K140" s="8" t="s">
        <v>22</v>
      </c>
      <c r="L140" s="7">
        <v>4.0</v>
      </c>
      <c r="M140" s="7" t="s">
        <v>610</v>
      </c>
      <c r="N140" s="13" t="s">
        <v>611</v>
      </c>
      <c r="O140" s="15" t="s">
        <v>612</v>
      </c>
    </row>
    <row r="141">
      <c r="A141" s="5">
        <v>158.0</v>
      </c>
      <c r="B141" s="6">
        <v>45981.91227891204</v>
      </c>
      <c r="C141" s="7" t="s">
        <v>125</v>
      </c>
      <c r="D141" s="8" t="s">
        <v>126</v>
      </c>
      <c r="E141" s="8" t="s">
        <v>63</v>
      </c>
      <c r="F141" s="7" t="s">
        <v>127</v>
      </c>
      <c r="G141" s="9" t="s">
        <v>159</v>
      </c>
      <c r="H141" s="7" t="s">
        <v>587</v>
      </c>
      <c r="I141" s="7" t="s">
        <v>588</v>
      </c>
      <c r="J141" s="10">
        <v>45942.0</v>
      </c>
      <c r="K141" s="8" t="s">
        <v>602</v>
      </c>
      <c r="L141" s="7">
        <v>4.0</v>
      </c>
      <c r="M141" s="7" t="s">
        <v>590</v>
      </c>
      <c r="N141" s="13" t="s">
        <v>613</v>
      </c>
      <c r="O141" s="15" t="s">
        <v>614</v>
      </c>
    </row>
    <row r="142">
      <c r="A142" s="5">
        <v>159.0</v>
      </c>
      <c r="B142" s="6">
        <v>45981.916091736115</v>
      </c>
      <c r="C142" s="7" t="s">
        <v>125</v>
      </c>
      <c r="D142" s="8" t="s">
        <v>126</v>
      </c>
      <c r="E142" s="8" t="s">
        <v>63</v>
      </c>
      <c r="F142" s="7" t="s">
        <v>127</v>
      </c>
      <c r="G142" s="9" t="s">
        <v>159</v>
      </c>
      <c r="H142" s="7" t="s">
        <v>615</v>
      </c>
      <c r="I142" s="7" t="s">
        <v>616</v>
      </c>
      <c r="J142" s="10">
        <v>45949.0</v>
      </c>
      <c r="K142" s="8" t="s">
        <v>617</v>
      </c>
      <c r="L142" s="7">
        <v>4.0</v>
      </c>
      <c r="M142" s="7" t="s">
        <v>590</v>
      </c>
      <c r="N142" s="13" t="s">
        <v>618</v>
      </c>
      <c r="O142" s="15" t="s">
        <v>619</v>
      </c>
    </row>
    <row r="143">
      <c r="A143" s="5">
        <v>160.0</v>
      </c>
      <c r="B143" s="6">
        <v>45981.91644716435</v>
      </c>
      <c r="C143" s="7" t="s">
        <v>125</v>
      </c>
      <c r="D143" s="8" t="s">
        <v>286</v>
      </c>
      <c r="E143" s="8" t="s">
        <v>287</v>
      </c>
      <c r="F143" s="7" t="s">
        <v>288</v>
      </c>
      <c r="G143" s="9" t="s">
        <v>159</v>
      </c>
      <c r="H143" s="7" t="s">
        <v>587</v>
      </c>
      <c r="I143" s="7" t="s">
        <v>588</v>
      </c>
      <c r="J143" s="10">
        <v>45942.0</v>
      </c>
      <c r="K143" s="8" t="s">
        <v>620</v>
      </c>
      <c r="L143" s="7">
        <v>6.0</v>
      </c>
      <c r="M143" s="7" t="s">
        <v>590</v>
      </c>
      <c r="N143" s="13" t="s">
        <v>621</v>
      </c>
      <c r="O143" s="15" t="s">
        <v>622</v>
      </c>
    </row>
    <row r="144">
      <c r="A144" s="5">
        <v>161.0</v>
      </c>
      <c r="B144" s="6">
        <v>45981.91755626157</v>
      </c>
      <c r="C144" s="7" t="s">
        <v>125</v>
      </c>
      <c r="D144" s="8" t="s">
        <v>126</v>
      </c>
      <c r="E144" s="8" t="s">
        <v>63</v>
      </c>
      <c r="F144" s="7" t="s">
        <v>127</v>
      </c>
      <c r="G144" s="9" t="s">
        <v>159</v>
      </c>
      <c r="H144" s="7" t="s">
        <v>623</v>
      </c>
      <c r="I144" s="7" t="s">
        <v>624</v>
      </c>
      <c r="J144" s="10">
        <v>45965.0</v>
      </c>
      <c r="K144" s="8" t="s">
        <v>602</v>
      </c>
      <c r="L144" s="7">
        <v>4.0</v>
      </c>
      <c r="M144" s="7" t="s">
        <v>590</v>
      </c>
      <c r="N144" s="13" t="s">
        <v>625</v>
      </c>
      <c r="O144" s="15" t="s">
        <v>626</v>
      </c>
    </row>
    <row r="145">
      <c r="A145" s="5">
        <v>162.0</v>
      </c>
      <c r="B145" s="6">
        <v>45981.92440795139</v>
      </c>
      <c r="C145" s="7" t="s">
        <v>125</v>
      </c>
      <c r="D145" s="8" t="s">
        <v>286</v>
      </c>
      <c r="E145" s="8" t="s">
        <v>287</v>
      </c>
      <c r="F145" s="7" t="s">
        <v>288</v>
      </c>
      <c r="G145" s="9" t="s">
        <v>159</v>
      </c>
      <c r="H145" s="7" t="s">
        <v>627</v>
      </c>
      <c r="I145" s="7" t="s">
        <v>616</v>
      </c>
      <c r="J145" s="10">
        <v>45949.0</v>
      </c>
      <c r="K145" s="8" t="s">
        <v>206</v>
      </c>
      <c r="L145" s="7">
        <v>4.0</v>
      </c>
      <c r="M145" s="7" t="s">
        <v>590</v>
      </c>
      <c r="N145" s="13" t="s">
        <v>628</v>
      </c>
      <c r="O145" s="15" t="s">
        <v>629</v>
      </c>
    </row>
    <row r="146">
      <c r="A146" s="5">
        <v>163.0</v>
      </c>
      <c r="B146" s="6">
        <v>45981.93188221064</v>
      </c>
      <c r="C146" s="7" t="s">
        <v>125</v>
      </c>
      <c r="D146" s="8" t="s">
        <v>286</v>
      </c>
      <c r="E146" s="8" t="s">
        <v>287</v>
      </c>
      <c r="F146" s="7" t="s">
        <v>288</v>
      </c>
      <c r="G146" s="9" t="s">
        <v>159</v>
      </c>
      <c r="H146" s="7" t="s">
        <v>587</v>
      </c>
      <c r="I146" s="7" t="s">
        <v>588</v>
      </c>
      <c r="J146" s="10">
        <v>45942.0</v>
      </c>
      <c r="K146" s="8" t="s">
        <v>22</v>
      </c>
      <c r="L146" s="7">
        <v>4.0</v>
      </c>
      <c r="M146" s="7" t="s">
        <v>590</v>
      </c>
      <c r="N146" s="13" t="s">
        <v>630</v>
      </c>
      <c r="O146" s="15" t="s">
        <v>631</v>
      </c>
    </row>
    <row r="147">
      <c r="A147" s="5">
        <v>164.0</v>
      </c>
      <c r="B147" s="6">
        <v>45981.93521644676</v>
      </c>
      <c r="C147" s="7" t="s">
        <v>125</v>
      </c>
      <c r="D147" s="8" t="s">
        <v>286</v>
      </c>
      <c r="E147" s="8" t="s">
        <v>287</v>
      </c>
      <c r="F147" s="7" t="s">
        <v>288</v>
      </c>
      <c r="G147" s="9" t="s">
        <v>159</v>
      </c>
      <c r="H147" s="7" t="s">
        <v>623</v>
      </c>
      <c r="I147" s="7" t="s">
        <v>624</v>
      </c>
      <c r="J147" s="10">
        <v>45965.0</v>
      </c>
      <c r="K147" s="8" t="s">
        <v>22</v>
      </c>
      <c r="L147" s="7">
        <v>4.0</v>
      </c>
      <c r="M147" s="7" t="s">
        <v>590</v>
      </c>
      <c r="N147" s="13" t="s">
        <v>632</v>
      </c>
      <c r="O147" s="15" t="s">
        <v>633</v>
      </c>
    </row>
    <row r="148">
      <c r="A148" s="5">
        <v>166.0</v>
      </c>
      <c r="B148" s="6">
        <v>45982.300880104165</v>
      </c>
      <c r="C148" s="7" t="s">
        <v>15</v>
      </c>
      <c r="D148" s="8" t="s">
        <v>395</v>
      </c>
      <c r="E148" s="8" t="s">
        <v>396</v>
      </c>
      <c r="F148" s="7" t="s">
        <v>397</v>
      </c>
      <c r="G148" s="9" t="s">
        <v>181</v>
      </c>
      <c r="H148" s="7" t="s">
        <v>634</v>
      </c>
      <c r="I148" s="7" t="s">
        <v>231</v>
      </c>
      <c r="J148" s="10">
        <v>45949.0</v>
      </c>
      <c r="K148" s="8" t="s">
        <v>635</v>
      </c>
      <c r="L148" s="7">
        <v>4.0</v>
      </c>
      <c r="M148" s="7" t="s">
        <v>636</v>
      </c>
      <c r="N148" s="13" t="s">
        <v>637</v>
      </c>
      <c r="O148" s="15" t="s">
        <v>638</v>
      </c>
    </row>
    <row r="149">
      <c r="A149" s="5">
        <v>167.0</v>
      </c>
      <c r="B149" s="6">
        <v>45982.30328856481</v>
      </c>
      <c r="C149" s="7" t="s">
        <v>15</v>
      </c>
      <c r="D149" s="8" t="s">
        <v>395</v>
      </c>
      <c r="E149" s="8" t="s">
        <v>396</v>
      </c>
      <c r="F149" s="7" t="s">
        <v>397</v>
      </c>
      <c r="G149" s="9" t="s">
        <v>181</v>
      </c>
      <c r="H149" s="7" t="s">
        <v>634</v>
      </c>
      <c r="I149" s="7" t="s">
        <v>231</v>
      </c>
      <c r="J149" s="10">
        <v>45950.0</v>
      </c>
      <c r="K149" s="8" t="s">
        <v>639</v>
      </c>
      <c r="L149" s="7">
        <v>4.0</v>
      </c>
      <c r="M149" s="7" t="s">
        <v>636</v>
      </c>
      <c r="N149" s="13" t="s">
        <v>640</v>
      </c>
      <c r="O149" s="15" t="s">
        <v>641</v>
      </c>
    </row>
    <row r="150">
      <c r="A150" s="5">
        <v>168.0</v>
      </c>
      <c r="B150" s="6">
        <v>45982.304876932874</v>
      </c>
      <c r="C150" s="7" t="s">
        <v>15</v>
      </c>
      <c r="D150" s="8" t="s">
        <v>395</v>
      </c>
      <c r="E150" s="8" t="s">
        <v>396</v>
      </c>
      <c r="F150" s="7" t="s">
        <v>397</v>
      </c>
      <c r="G150" s="9" t="s">
        <v>181</v>
      </c>
      <c r="H150" s="7" t="s">
        <v>634</v>
      </c>
      <c r="I150" s="7" t="s">
        <v>231</v>
      </c>
      <c r="J150" s="10">
        <v>45951.0</v>
      </c>
      <c r="K150" s="8" t="s">
        <v>639</v>
      </c>
      <c r="L150" s="7">
        <v>4.0</v>
      </c>
      <c r="M150" s="7" t="s">
        <v>636</v>
      </c>
      <c r="N150" s="13" t="s">
        <v>642</v>
      </c>
      <c r="O150" s="15" t="s">
        <v>643</v>
      </c>
    </row>
    <row r="151">
      <c r="A151" s="5">
        <v>169.0</v>
      </c>
      <c r="B151" s="6">
        <v>45982.30762173611</v>
      </c>
      <c r="C151" s="7" t="s">
        <v>15</v>
      </c>
      <c r="D151" s="8" t="s">
        <v>395</v>
      </c>
      <c r="E151" s="8" t="s">
        <v>396</v>
      </c>
      <c r="F151" s="7" t="s">
        <v>397</v>
      </c>
      <c r="G151" s="9" t="s">
        <v>181</v>
      </c>
      <c r="H151" s="7" t="s">
        <v>634</v>
      </c>
      <c r="I151" s="7" t="s">
        <v>231</v>
      </c>
      <c r="J151" s="10">
        <v>45952.0</v>
      </c>
      <c r="K151" s="8" t="s">
        <v>639</v>
      </c>
      <c r="L151" s="7">
        <v>4.0</v>
      </c>
      <c r="M151" s="7" t="s">
        <v>636</v>
      </c>
      <c r="N151" s="13" t="s">
        <v>644</v>
      </c>
      <c r="O151" s="15" t="s">
        <v>645</v>
      </c>
    </row>
    <row r="152">
      <c r="A152" s="5">
        <v>170.0</v>
      </c>
      <c r="B152" s="6">
        <v>45982.30884096065</v>
      </c>
      <c r="C152" s="7" t="s">
        <v>15</v>
      </c>
      <c r="D152" s="8" t="s">
        <v>395</v>
      </c>
      <c r="E152" s="8" t="s">
        <v>396</v>
      </c>
      <c r="F152" s="7" t="s">
        <v>646</v>
      </c>
      <c r="G152" s="9" t="s">
        <v>181</v>
      </c>
      <c r="H152" s="7" t="s">
        <v>634</v>
      </c>
      <c r="I152" s="7" t="s">
        <v>231</v>
      </c>
      <c r="J152" s="10">
        <v>45953.0</v>
      </c>
      <c r="K152" s="8" t="s">
        <v>639</v>
      </c>
      <c r="L152" s="7">
        <v>4.0</v>
      </c>
      <c r="M152" s="7" t="s">
        <v>636</v>
      </c>
      <c r="N152" s="13" t="s">
        <v>647</v>
      </c>
      <c r="O152" s="15" t="s">
        <v>648</v>
      </c>
    </row>
    <row r="153">
      <c r="A153" s="5">
        <v>171.0</v>
      </c>
      <c r="B153" s="6">
        <v>45982.353550196756</v>
      </c>
      <c r="C153" s="7" t="s">
        <v>26</v>
      </c>
      <c r="D153" s="8" t="s">
        <v>432</v>
      </c>
      <c r="E153" s="8" t="s">
        <v>142</v>
      </c>
      <c r="F153" s="7" t="s">
        <v>433</v>
      </c>
      <c r="G153" s="9" t="s">
        <v>19</v>
      </c>
      <c r="H153" s="7" t="s">
        <v>649</v>
      </c>
      <c r="I153" s="7" t="s">
        <v>37</v>
      </c>
      <c r="J153" s="10">
        <v>45838.0</v>
      </c>
      <c r="K153" s="8" t="s">
        <v>67</v>
      </c>
      <c r="L153" s="7">
        <v>8.0</v>
      </c>
      <c r="M153" s="7" t="s">
        <v>33</v>
      </c>
      <c r="N153" s="13" t="s">
        <v>650</v>
      </c>
      <c r="O153" s="15" t="s">
        <v>651</v>
      </c>
    </row>
    <row r="154">
      <c r="A154" s="5">
        <v>172.0</v>
      </c>
      <c r="B154" s="6">
        <v>45982.357900937495</v>
      </c>
      <c r="C154" s="7" t="s">
        <v>26</v>
      </c>
      <c r="D154" s="8" t="s">
        <v>432</v>
      </c>
      <c r="E154" s="8" t="s">
        <v>142</v>
      </c>
      <c r="F154" s="7" t="s">
        <v>433</v>
      </c>
      <c r="G154" s="9" t="s">
        <v>19</v>
      </c>
      <c r="H154" s="7" t="s">
        <v>44</v>
      </c>
      <c r="I154" s="7" t="s">
        <v>37</v>
      </c>
      <c r="J154" s="10">
        <v>45839.0</v>
      </c>
      <c r="K154" s="8" t="s">
        <v>67</v>
      </c>
      <c r="L154" s="7">
        <v>8.0</v>
      </c>
      <c r="M154" s="7" t="s">
        <v>33</v>
      </c>
      <c r="N154" s="13" t="s">
        <v>652</v>
      </c>
      <c r="O154" s="15" t="s">
        <v>653</v>
      </c>
    </row>
    <row r="155">
      <c r="A155" s="5">
        <v>173.0</v>
      </c>
      <c r="B155" s="6">
        <v>45982.35953605324</v>
      </c>
      <c r="C155" s="7" t="s">
        <v>26</v>
      </c>
      <c r="D155" s="8" t="s">
        <v>432</v>
      </c>
      <c r="E155" s="8" t="s">
        <v>142</v>
      </c>
      <c r="F155" s="7" t="s">
        <v>433</v>
      </c>
      <c r="G155" s="9" t="s">
        <v>19</v>
      </c>
      <c r="H155" s="7" t="s">
        <v>44</v>
      </c>
      <c r="I155" s="7" t="s">
        <v>37</v>
      </c>
      <c r="J155" s="10">
        <v>45840.0</v>
      </c>
      <c r="K155" s="8" t="s">
        <v>67</v>
      </c>
      <c r="L155" s="7">
        <v>8.0</v>
      </c>
      <c r="M155" s="7" t="s">
        <v>33</v>
      </c>
      <c r="N155" s="13" t="s">
        <v>654</v>
      </c>
      <c r="O155" s="15" t="s">
        <v>655</v>
      </c>
    </row>
    <row r="156">
      <c r="A156" s="5">
        <v>176.0</v>
      </c>
      <c r="B156" s="6">
        <v>45982.36245719907</v>
      </c>
      <c r="C156" s="7" t="s">
        <v>26</v>
      </c>
      <c r="D156" s="8" t="s">
        <v>432</v>
      </c>
      <c r="E156" s="8" t="s">
        <v>142</v>
      </c>
      <c r="F156" s="7" t="s">
        <v>433</v>
      </c>
      <c r="G156" s="9" t="s">
        <v>84</v>
      </c>
      <c r="H156" s="7" t="s">
        <v>85</v>
      </c>
      <c r="I156" s="7" t="s">
        <v>656</v>
      </c>
      <c r="J156" s="10">
        <v>45976.0</v>
      </c>
      <c r="K156" s="8" t="s">
        <v>657</v>
      </c>
      <c r="L156" s="7">
        <v>8.0</v>
      </c>
      <c r="M156" s="7" t="s">
        <v>658</v>
      </c>
      <c r="N156" s="13" t="s">
        <v>659</v>
      </c>
      <c r="O156" s="15" t="s">
        <v>660</v>
      </c>
    </row>
    <row r="157">
      <c r="A157" s="5">
        <v>177.0</v>
      </c>
      <c r="B157" s="6">
        <v>45982.544545729164</v>
      </c>
      <c r="C157" s="7" t="s">
        <v>15</v>
      </c>
      <c r="D157" s="8" t="s">
        <v>395</v>
      </c>
      <c r="E157" s="8" t="s">
        <v>396</v>
      </c>
      <c r="F157" s="7" t="s">
        <v>397</v>
      </c>
      <c r="G157" s="9" t="s">
        <v>181</v>
      </c>
      <c r="H157" s="7" t="s">
        <v>634</v>
      </c>
      <c r="I157" s="7" t="s">
        <v>231</v>
      </c>
      <c r="J157" s="10">
        <v>45954.0</v>
      </c>
      <c r="K157" s="8" t="s">
        <v>206</v>
      </c>
      <c r="L157" s="7">
        <v>4.0</v>
      </c>
      <c r="M157" s="7" t="s">
        <v>636</v>
      </c>
      <c r="N157" s="13" t="s">
        <v>661</v>
      </c>
      <c r="O157" s="15" t="s">
        <v>662</v>
      </c>
    </row>
    <row r="158">
      <c r="A158" s="5">
        <v>178.0</v>
      </c>
      <c r="B158" s="6">
        <v>45982.60299546296</v>
      </c>
      <c r="C158" s="7" t="s">
        <v>15</v>
      </c>
      <c r="D158" s="8" t="s">
        <v>663</v>
      </c>
      <c r="E158" s="8" t="s">
        <v>664</v>
      </c>
      <c r="F158" s="7" t="s">
        <v>665</v>
      </c>
      <c r="G158" s="9" t="s">
        <v>19</v>
      </c>
      <c r="H158" s="7" t="s">
        <v>44</v>
      </c>
      <c r="I158" s="7" t="s">
        <v>37</v>
      </c>
      <c r="J158" s="10">
        <v>45859.0</v>
      </c>
      <c r="K158" s="8" t="s">
        <v>67</v>
      </c>
      <c r="L158" s="7">
        <v>8.0</v>
      </c>
      <c r="M158" s="7" t="s">
        <v>33</v>
      </c>
      <c r="N158" s="13" t="s">
        <v>666</v>
      </c>
      <c r="O158" s="15" t="s">
        <v>667</v>
      </c>
    </row>
    <row r="159">
      <c r="A159" s="5">
        <v>179.0</v>
      </c>
      <c r="B159" s="6">
        <v>45982.6050990625</v>
      </c>
      <c r="C159" s="7" t="s">
        <v>15</v>
      </c>
      <c r="D159" s="8" t="s">
        <v>663</v>
      </c>
      <c r="E159" s="8" t="s">
        <v>664</v>
      </c>
      <c r="F159" s="7" t="s">
        <v>665</v>
      </c>
      <c r="G159" s="9" t="s">
        <v>19</v>
      </c>
      <c r="H159" s="7" t="s">
        <v>44</v>
      </c>
      <c r="I159" s="7" t="s">
        <v>37</v>
      </c>
      <c r="J159" s="10">
        <v>45839.0</v>
      </c>
      <c r="K159" s="8" t="s">
        <v>67</v>
      </c>
      <c r="L159" s="7">
        <v>8.0</v>
      </c>
      <c r="M159" s="7" t="s">
        <v>33</v>
      </c>
      <c r="N159" s="13" t="s">
        <v>668</v>
      </c>
      <c r="O159" s="15" t="s">
        <v>669</v>
      </c>
    </row>
    <row r="160">
      <c r="A160" s="5">
        <v>180.0</v>
      </c>
      <c r="B160" s="6">
        <v>45982.60727690972</v>
      </c>
      <c r="C160" s="7" t="s">
        <v>15</v>
      </c>
      <c r="D160" s="8" t="s">
        <v>665</v>
      </c>
      <c r="E160" s="8" t="s">
        <v>664</v>
      </c>
      <c r="F160" s="7" t="s">
        <v>670</v>
      </c>
      <c r="G160" s="9" t="s">
        <v>19</v>
      </c>
      <c r="H160" s="7" t="s">
        <v>44</v>
      </c>
      <c r="I160" s="7" t="s">
        <v>37</v>
      </c>
      <c r="J160" s="10">
        <v>45840.0</v>
      </c>
      <c r="K160" s="8" t="s">
        <v>67</v>
      </c>
      <c r="L160" s="7">
        <v>8.0</v>
      </c>
      <c r="M160" s="7" t="s">
        <v>33</v>
      </c>
      <c r="N160" s="13" t="s">
        <v>671</v>
      </c>
      <c r="O160" s="15" t="s">
        <v>672</v>
      </c>
    </row>
    <row r="161">
      <c r="A161" s="5">
        <v>181.0</v>
      </c>
      <c r="B161" s="6">
        <v>45982.89282313657</v>
      </c>
      <c r="C161" s="7" t="s">
        <v>125</v>
      </c>
      <c r="D161" s="8" t="s">
        <v>673</v>
      </c>
      <c r="E161" s="8" t="s">
        <v>674</v>
      </c>
      <c r="F161" s="7" t="s">
        <v>675</v>
      </c>
      <c r="G161" s="9" t="s">
        <v>19</v>
      </c>
      <c r="H161" s="7" t="s">
        <v>173</v>
      </c>
      <c r="I161" s="7" t="s">
        <v>174</v>
      </c>
      <c r="J161" s="10">
        <v>45854.0</v>
      </c>
      <c r="K161" s="8" t="s">
        <v>175</v>
      </c>
      <c r="L161" s="7">
        <v>6.0</v>
      </c>
      <c r="M161" s="7" t="s">
        <v>106</v>
      </c>
      <c r="N161" s="13" t="s">
        <v>676</v>
      </c>
      <c r="O161" s="15" t="s">
        <v>677</v>
      </c>
    </row>
    <row r="162">
      <c r="A162" s="5">
        <v>182.0</v>
      </c>
      <c r="B162" s="6">
        <v>45983.9154225463</v>
      </c>
      <c r="C162" s="7" t="s">
        <v>15</v>
      </c>
      <c r="D162" s="8" t="s">
        <v>678</v>
      </c>
      <c r="E162" s="8" t="s">
        <v>679</v>
      </c>
      <c r="F162" s="7" t="s">
        <v>680</v>
      </c>
      <c r="G162" s="9" t="s">
        <v>181</v>
      </c>
      <c r="H162" s="7" t="s">
        <v>681</v>
      </c>
      <c r="I162" s="7" t="s">
        <v>231</v>
      </c>
      <c r="J162" s="10">
        <v>45859.0</v>
      </c>
      <c r="K162" s="8" t="s">
        <v>682</v>
      </c>
      <c r="L162" s="7">
        <v>5.0</v>
      </c>
      <c r="M162" s="7" t="s">
        <v>87</v>
      </c>
      <c r="N162" s="13" t="s">
        <v>683</v>
      </c>
      <c r="O162" s="15" t="s">
        <v>684</v>
      </c>
    </row>
    <row r="163">
      <c r="A163" s="5">
        <v>183.0</v>
      </c>
      <c r="B163" s="6">
        <v>45983.92037306713</v>
      </c>
      <c r="C163" s="7" t="s">
        <v>15</v>
      </c>
      <c r="D163" s="8" t="s">
        <v>678</v>
      </c>
      <c r="E163" s="8" t="s">
        <v>679</v>
      </c>
      <c r="F163" s="7" t="s">
        <v>680</v>
      </c>
      <c r="G163" s="9" t="s">
        <v>181</v>
      </c>
      <c r="H163" s="7" t="s">
        <v>681</v>
      </c>
      <c r="I163" s="7" t="s">
        <v>231</v>
      </c>
      <c r="J163" s="10">
        <v>45859.0</v>
      </c>
      <c r="K163" s="8" t="s">
        <v>685</v>
      </c>
      <c r="L163" s="7">
        <v>5.0</v>
      </c>
      <c r="M163" s="7" t="s">
        <v>87</v>
      </c>
      <c r="N163" s="13" t="s">
        <v>686</v>
      </c>
      <c r="O163" s="15" t="s">
        <v>687</v>
      </c>
    </row>
    <row r="164">
      <c r="A164" s="5">
        <v>184.0</v>
      </c>
      <c r="B164" s="6">
        <v>45983.92271008102</v>
      </c>
      <c r="C164" s="7" t="s">
        <v>15</v>
      </c>
      <c r="D164" s="8" t="s">
        <v>678</v>
      </c>
      <c r="E164" s="8" t="s">
        <v>679</v>
      </c>
      <c r="F164" s="7" t="s">
        <v>680</v>
      </c>
      <c r="G164" s="9" t="s">
        <v>181</v>
      </c>
      <c r="H164" s="7" t="s">
        <v>688</v>
      </c>
      <c r="I164" s="7" t="s">
        <v>231</v>
      </c>
      <c r="J164" s="10">
        <v>45898.0</v>
      </c>
      <c r="K164" s="8" t="s">
        <v>689</v>
      </c>
      <c r="L164" s="7">
        <v>4.0</v>
      </c>
      <c r="M164" s="7" t="s">
        <v>690</v>
      </c>
      <c r="N164" s="13" t="s">
        <v>691</v>
      </c>
      <c r="O164" s="15" t="s">
        <v>692</v>
      </c>
    </row>
    <row r="165">
      <c r="A165" s="5">
        <v>185.0</v>
      </c>
      <c r="B165" s="6">
        <v>45983.92492994213</v>
      </c>
      <c r="C165" s="7" t="s">
        <v>15</v>
      </c>
      <c r="D165" s="8" t="s">
        <v>678</v>
      </c>
      <c r="E165" s="8" t="s">
        <v>679</v>
      </c>
      <c r="F165" s="7" t="s">
        <v>680</v>
      </c>
      <c r="G165" s="9" t="s">
        <v>181</v>
      </c>
      <c r="H165" s="7" t="s">
        <v>693</v>
      </c>
      <c r="I165" s="7" t="s">
        <v>231</v>
      </c>
      <c r="J165" s="10">
        <v>45927.0</v>
      </c>
      <c r="K165" s="8" t="s">
        <v>694</v>
      </c>
      <c r="L165" s="7">
        <v>3.0</v>
      </c>
      <c r="M165" s="7" t="s">
        <v>695</v>
      </c>
      <c r="N165" s="13" t="s">
        <v>696</v>
      </c>
      <c r="O165" s="15" t="s">
        <v>697</v>
      </c>
    </row>
    <row r="166">
      <c r="A166" s="5">
        <v>186.0</v>
      </c>
      <c r="B166" s="6">
        <v>45983.9282341088</v>
      </c>
      <c r="C166" s="7" t="s">
        <v>15</v>
      </c>
      <c r="D166" s="8" t="s">
        <v>678</v>
      </c>
      <c r="E166" s="8" t="s">
        <v>679</v>
      </c>
      <c r="F166" s="7" t="s">
        <v>680</v>
      </c>
      <c r="G166" s="9" t="s">
        <v>181</v>
      </c>
      <c r="H166" s="7" t="s">
        <v>698</v>
      </c>
      <c r="I166" s="7" t="s">
        <v>231</v>
      </c>
      <c r="J166" s="10">
        <v>45928.0</v>
      </c>
      <c r="K166" s="8" t="s">
        <v>699</v>
      </c>
      <c r="L166" s="7">
        <v>3.0</v>
      </c>
      <c r="M166" s="7" t="s">
        <v>33</v>
      </c>
      <c r="N166" s="13" t="s">
        <v>700</v>
      </c>
      <c r="O166" s="15" t="s">
        <v>701</v>
      </c>
    </row>
    <row r="167">
      <c r="A167" s="5">
        <v>187.0</v>
      </c>
      <c r="B167" s="6">
        <v>45983.93096037037</v>
      </c>
      <c r="C167" s="7" t="s">
        <v>15</v>
      </c>
      <c r="D167" s="8" t="s">
        <v>678</v>
      </c>
      <c r="E167" s="8" t="s">
        <v>679</v>
      </c>
      <c r="F167" s="7" t="s">
        <v>680</v>
      </c>
      <c r="G167" s="9" t="s">
        <v>19</v>
      </c>
      <c r="H167" s="7" t="s">
        <v>486</v>
      </c>
      <c r="I167" s="7" t="s">
        <v>21</v>
      </c>
      <c r="J167" s="10">
        <v>45940.0</v>
      </c>
      <c r="K167" s="8" t="s">
        <v>362</v>
      </c>
      <c r="L167" s="7">
        <v>4.0</v>
      </c>
      <c r="M167" s="7" t="s">
        <v>23</v>
      </c>
      <c r="N167" s="13" t="s">
        <v>702</v>
      </c>
      <c r="O167" s="15" t="s">
        <v>703</v>
      </c>
    </row>
    <row r="168">
      <c r="A168" s="5">
        <v>188.0</v>
      </c>
      <c r="B168" s="6">
        <v>45983.93709846065</v>
      </c>
      <c r="C168" s="7" t="s">
        <v>15</v>
      </c>
      <c r="D168" s="8" t="s">
        <v>678</v>
      </c>
      <c r="E168" s="8" t="s">
        <v>679</v>
      </c>
      <c r="F168" s="7" t="s">
        <v>680</v>
      </c>
      <c r="G168" s="9" t="s">
        <v>19</v>
      </c>
      <c r="H168" s="7" t="s">
        <v>406</v>
      </c>
      <c r="I168" s="7" t="s">
        <v>94</v>
      </c>
      <c r="J168" s="10">
        <v>45823.0</v>
      </c>
      <c r="K168" s="8" t="s">
        <v>22</v>
      </c>
      <c r="L168" s="7">
        <v>4.0</v>
      </c>
      <c r="M168" s="7" t="s">
        <v>106</v>
      </c>
      <c r="N168" s="16"/>
      <c r="O168" s="16"/>
    </row>
    <row r="169">
      <c r="A169" s="5">
        <v>189.0</v>
      </c>
      <c r="B169" s="6">
        <v>45983.937107164355</v>
      </c>
      <c r="C169" s="7" t="s">
        <v>15</v>
      </c>
      <c r="D169" s="8" t="s">
        <v>678</v>
      </c>
      <c r="E169" s="8" t="s">
        <v>679</v>
      </c>
      <c r="F169" s="7" t="s">
        <v>680</v>
      </c>
      <c r="G169" s="9" t="s">
        <v>19</v>
      </c>
      <c r="H169" s="7" t="s">
        <v>406</v>
      </c>
      <c r="I169" s="7" t="s">
        <v>94</v>
      </c>
      <c r="J169" s="10">
        <v>45823.0</v>
      </c>
      <c r="K169" s="8" t="s">
        <v>22</v>
      </c>
      <c r="L169" s="7">
        <v>4.0</v>
      </c>
      <c r="M169" s="7" t="s">
        <v>106</v>
      </c>
      <c r="N169" s="16"/>
      <c r="O169" s="16"/>
    </row>
    <row r="170">
      <c r="A170" s="5">
        <v>190.0</v>
      </c>
      <c r="B170" s="6">
        <v>45983.939451921295</v>
      </c>
      <c r="C170" s="7" t="s">
        <v>15</v>
      </c>
      <c r="D170" s="8" t="s">
        <v>678</v>
      </c>
      <c r="E170" s="8" t="s">
        <v>679</v>
      </c>
      <c r="F170" s="7" t="s">
        <v>680</v>
      </c>
      <c r="G170" s="9" t="s">
        <v>19</v>
      </c>
      <c r="H170" s="7" t="s">
        <v>704</v>
      </c>
      <c r="I170" s="7" t="s">
        <v>94</v>
      </c>
      <c r="J170" s="10">
        <v>45823.0</v>
      </c>
      <c r="K170" s="8" t="s">
        <v>22</v>
      </c>
      <c r="L170" s="7">
        <v>4.0</v>
      </c>
      <c r="M170" s="7" t="s">
        <v>106</v>
      </c>
      <c r="N170" s="13" t="s">
        <v>705</v>
      </c>
      <c r="O170" s="15" t="s">
        <v>706</v>
      </c>
    </row>
    <row r="171">
      <c r="A171" s="5">
        <v>191.0</v>
      </c>
      <c r="B171" s="6">
        <v>45983.94516275463</v>
      </c>
      <c r="C171" s="7" t="s">
        <v>15</v>
      </c>
      <c r="D171" s="8" t="s">
        <v>678</v>
      </c>
      <c r="E171" s="8" t="s">
        <v>679</v>
      </c>
      <c r="F171" s="7" t="s">
        <v>680</v>
      </c>
      <c r="G171" s="9" t="s">
        <v>181</v>
      </c>
      <c r="H171" s="7" t="s">
        <v>707</v>
      </c>
      <c r="I171" s="7" t="s">
        <v>231</v>
      </c>
      <c r="J171" s="10">
        <v>45949.0</v>
      </c>
      <c r="K171" s="8" t="s">
        <v>635</v>
      </c>
      <c r="L171" s="7">
        <v>4.0</v>
      </c>
      <c r="M171" s="7" t="s">
        <v>636</v>
      </c>
      <c r="N171" s="13" t="s">
        <v>708</v>
      </c>
      <c r="O171" s="15" t="s">
        <v>709</v>
      </c>
    </row>
    <row r="172">
      <c r="A172" s="5">
        <v>192.0</v>
      </c>
      <c r="B172" s="6">
        <v>45983.94702172454</v>
      </c>
      <c r="C172" s="7" t="s">
        <v>15</v>
      </c>
      <c r="D172" s="8" t="s">
        <v>678</v>
      </c>
      <c r="E172" s="8" t="s">
        <v>679</v>
      </c>
      <c r="F172" s="7" t="s">
        <v>680</v>
      </c>
      <c r="G172" s="9" t="s">
        <v>181</v>
      </c>
      <c r="H172" s="7" t="s">
        <v>707</v>
      </c>
      <c r="I172" s="7" t="s">
        <v>231</v>
      </c>
      <c r="J172" s="10">
        <v>45950.0</v>
      </c>
      <c r="K172" s="8" t="s">
        <v>639</v>
      </c>
      <c r="L172" s="7">
        <v>4.0</v>
      </c>
      <c r="M172" s="7" t="s">
        <v>636</v>
      </c>
      <c r="N172" s="13" t="s">
        <v>710</v>
      </c>
      <c r="O172" s="15" t="s">
        <v>711</v>
      </c>
    </row>
    <row r="173">
      <c r="A173" s="5">
        <v>193.0</v>
      </c>
      <c r="B173" s="6">
        <v>45983.949369050926</v>
      </c>
      <c r="C173" s="7" t="s">
        <v>15</v>
      </c>
      <c r="D173" s="8" t="s">
        <v>678</v>
      </c>
      <c r="E173" s="8" t="s">
        <v>679</v>
      </c>
      <c r="F173" s="7" t="s">
        <v>680</v>
      </c>
      <c r="G173" s="9" t="s">
        <v>181</v>
      </c>
      <c r="H173" s="7" t="s">
        <v>712</v>
      </c>
      <c r="I173" s="7" t="s">
        <v>231</v>
      </c>
      <c r="J173" s="10">
        <v>45951.0</v>
      </c>
      <c r="K173" s="8" t="s">
        <v>639</v>
      </c>
      <c r="L173" s="7">
        <v>4.0</v>
      </c>
      <c r="M173" s="7" t="s">
        <v>636</v>
      </c>
      <c r="N173" s="13" t="s">
        <v>713</v>
      </c>
      <c r="O173" s="15" t="s">
        <v>714</v>
      </c>
    </row>
    <row r="174">
      <c r="A174" s="5">
        <v>194.0</v>
      </c>
      <c r="B174" s="6">
        <v>45983.95067032408</v>
      </c>
      <c r="C174" s="7" t="s">
        <v>15</v>
      </c>
      <c r="D174" s="8" t="s">
        <v>678</v>
      </c>
      <c r="E174" s="8" t="s">
        <v>679</v>
      </c>
      <c r="F174" s="7" t="s">
        <v>680</v>
      </c>
      <c r="G174" s="9" t="s">
        <v>181</v>
      </c>
      <c r="H174" s="7" t="s">
        <v>707</v>
      </c>
      <c r="I174" s="7" t="s">
        <v>231</v>
      </c>
      <c r="J174" s="10">
        <v>45952.0</v>
      </c>
      <c r="K174" s="8" t="s">
        <v>639</v>
      </c>
      <c r="L174" s="7">
        <v>4.0</v>
      </c>
      <c r="M174" s="7" t="s">
        <v>636</v>
      </c>
      <c r="N174" s="13" t="s">
        <v>715</v>
      </c>
      <c r="O174" s="15" t="s">
        <v>716</v>
      </c>
    </row>
    <row r="175">
      <c r="A175" s="5">
        <v>195.0</v>
      </c>
      <c r="B175" s="6">
        <v>45983.95192486111</v>
      </c>
      <c r="C175" s="7" t="s">
        <v>15</v>
      </c>
      <c r="D175" s="8" t="s">
        <v>678</v>
      </c>
      <c r="E175" s="8" t="s">
        <v>679</v>
      </c>
      <c r="F175" s="7" t="s">
        <v>680</v>
      </c>
      <c r="G175" s="9" t="s">
        <v>181</v>
      </c>
      <c r="H175" s="7" t="s">
        <v>707</v>
      </c>
      <c r="I175" s="7" t="s">
        <v>231</v>
      </c>
      <c r="J175" s="10">
        <v>45953.0</v>
      </c>
      <c r="K175" s="8" t="s">
        <v>639</v>
      </c>
      <c r="L175" s="7">
        <v>4.0</v>
      </c>
      <c r="M175" s="7" t="s">
        <v>636</v>
      </c>
      <c r="N175" s="13" t="s">
        <v>717</v>
      </c>
      <c r="O175" s="15" t="s">
        <v>718</v>
      </c>
    </row>
    <row r="176">
      <c r="A176" s="5">
        <v>196.0</v>
      </c>
      <c r="B176" s="6">
        <v>45983.95321674769</v>
      </c>
      <c r="C176" s="7" t="s">
        <v>15</v>
      </c>
      <c r="D176" s="8" t="s">
        <v>678</v>
      </c>
      <c r="E176" s="8" t="s">
        <v>679</v>
      </c>
      <c r="F176" s="7" t="s">
        <v>680</v>
      </c>
      <c r="G176" s="9" t="s">
        <v>181</v>
      </c>
      <c r="H176" s="7" t="s">
        <v>707</v>
      </c>
      <c r="I176" s="7" t="s">
        <v>231</v>
      </c>
      <c r="J176" s="10">
        <v>45954.0</v>
      </c>
      <c r="K176" s="8" t="s">
        <v>206</v>
      </c>
      <c r="L176" s="7">
        <v>4.0</v>
      </c>
      <c r="M176" s="7" t="s">
        <v>636</v>
      </c>
      <c r="N176" s="13" t="s">
        <v>719</v>
      </c>
      <c r="O176" s="15" t="s">
        <v>720</v>
      </c>
    </row>
    <row r="177">
      <c r="A177" s="5">
        <v>197.0</v>
      </c>
      <c r="B177" s="6">
        <v>45984.480534918985</v>
      </c>
      <c r="C177" s="7" t="s">
        <v>15</v>
      </c>
      <c r="D177" s="8" t="s">
        <v>395</v>
      </c>
      <c r="E177" s="8" t="s">
        <v>396</v>
      </c>
      <c r="F177" s="7" t="s">
        <v>397</v>
      </c>
      <c r="G177" s="9" t="s">
        <v>181</v>
      </c>
      <c r="H177" s="7" t="s">
        <v>634</v>
      </c>
      <c r="I177" s="7" t="s">
        <v>231</v>
      </c>
      <c r="J177" s="10">
        <v>45954.0</v>
      </c>
      <c r="K177" s="8" t="s">
        <v>206</v>
      </c>
      <c r="L177" s="7">
        <v>4.0</v>
      </c>
      <c r="M177" s="7" t="s">
        <v>636</v>
      </c>
      <c r="N177" s="13" t="s">
        <v>721</v>
      </c>
      <c r="O177" s="15" t="s">
        <v>722</v>
      </c>
    </row>
    <row r="178">
      <c r="A178" s="5">
        <v>198.0</v>
      </c>
      <c r="B178" s="6">
        <v>45984.50096326389</v>
      </c>
      <c r="C178" s="7" t="s">
        <v>15</v>
      </c>
      <c r="D178" s="8" t="s">
        <v>16</v>
      </c>
      <c r="E178" s="8" t="s">
        <v>17</v>
      </c>
      <c r="F178" s="7" t="s">
        <v>18</v>
      </c>
      <c r="G178" s="9" t="s">
        <v>159</v>
      </c>
      <c r="H178" s="7" t="s">
        <v>723</v>
      </c>
      <c r="I178" s="7" t="s">
        <v>724</v>
      </c>
      <c r="J178" s="10">
        <v>45941.0</v>
      </c>
      <c r="K178" s="8" t="s">
        <v>22</v>
      </c>
      <c r="L178" s="7">
        <v>4.0</v>
      </c>
      <c r="M178" s="7" t="s">
        <v>725</v>
      </c>
      <c r="N178" s="13" t="s">
        <v>726</v>
      </c>
      <c r="O178" s="15" t="s">
        <v>727</v>
      </c>
    </row>
    <row r="179">
      <c r="A179" s="5">
        <v>199.0</v>
      </c>
      <c r="B179" s="6">
        <v>45984.50800607639</v>
      </c>
      <c r="C179" s="7" t="s">
        <v>15</v>
      </c>
      <c r="D179" s="8" t="s">
        <v>16</v>
      </c>
      <c r="E179" s="8" t="s">
        <v>17</v>
      </c>
      <c r="F179" s="7" t="s">
        <v>18</v>
      </c>
      <c r="G179" s="9" t="s">
        <v>159</v>
      </c>
      <c r="H179" s="7" t="s">
        <v>723</v>
      </c>
      <c r="I179" s="7" t="s">
        <v>724</v>
      </c>
      <c r="J179" s="10">
        <v>45942.0</v>
      </c>
      <c r="K179" s="8" t="s">
        <v>22</v>
      </c>
      <c r="L179" s="7">
        <v>4.0</v>
      </c>
      <c r="M179" s="7" t="s">
        <v>725</v>
      </c>
      <c r="N179" s="13" t="s">
        <v>728</v>
      </c>
      <c r="O179" s="15" t="s">
        <v>729</v>
      </c>
    </row>
    <row r="180">
      <c r="A180" s="5">
        <v>201.0</v>
      </c>
      <c r="B180" s="6">
        <v>45984.52077326389</v>
      </c>
      <c r="C180" s="7" t="s">
        <v>15</v>
      </c>
      <c r="D180" s="8" t="s">
        <v>16</v>
      </c>
      <c r="E180" s="8" t="s">
        <v>17</v>
      </c>
      <c r="F180" s="7" t="s">
        <v>18</v>
      </c>
      <c r="G180" s="9" t="s">
        <v>144</v>
      </c>
      <c r="H180" s="7" t="s">
        <v>730</v>
      </c>
      <c r="I180" s="7" t="s">
        <v>731</v>
      </c>
      <c r="J180" s="10">
        <v>45983.0</v>
      </c>
      <c r="K180" s="8" t="s">
        <v>732</v>
      </c>
      <c r="L180" s="7">
        <v>2.0</v>
      </c>
      <c r="M180" s="7" t="s">
        <v>733</v>
      </c>
      <c r="N180" s="13" t="s">
        <v>734</v>
      </c>
      <c r="O180" s="15" t="s">
        <v>735</v>
      </c>
    </row>
    <row r="181">
      <c r="A181" s="5">
        <v>202.0</v>
      </c>
      <c r="B181" s="6">
        <v>45984.601239247684</v>
      </c>
      <c r="C181" s="7" t="s">
        <v>15</v>
      </c>
      <c r="D181" s="8" t="s">
        <v>736</v>
      </c>
      <c r="E181" s="8" t="s">
        <v>737</v>
      </c>
      <c r="F181" s="7" t="s">
        <v>738</v>
      </c>
      <c r="G181" s="9" t="s">
        <v>159</v>
      </c>
      <c r="H181" s="7" t="s">
        <v>739</v>
      </c>
      <c r="I181" s="7" t="s">
        <v>94</v>
      </c>
      <c r="J181" s="10">
        <v>45823.0</v>
      </c>
      <c r="K181" s="8" t="s">
        <v>22</v>
      </c>
      <c r="L181" s="7">
        <v>4.0</v>
      </c>
      <c r="M181" s="7" t="s">
        <v>106</v>
      </c>
      <c r="N181" s="13" t="s">
        <v>740</v>
      </c>
      <c r="O181" s="15" t="s">
        <v>741</v>
      </c>
    </row>
    <row r="182">
      <c r="A182" s="5">
        <v>203.0</v>
      </c>
      <c r="B182" s="6">
        <v>45984.60551818287</v>
      </c>
      <c r="C182" s="7" t="s">
        <v>15</v>
      </c>
      <c r="D182" s="8" t="s">
        <v>736</v>
      </c>
      <c r="E182" s="8" t="s">
        <v>737</v>
      </c>
      <c r="F182" s="7" t="s">
        <v>738</v>
      </c>
      <c r="G182" s="9" t="s">
        <v>19</v>
      </c>
      <c r="H182" s="7" t="s">
        <v>30</v>
      </c>
      <c r="I182" s="7" t="s">
        <v>31</v>
      </c>
      <c r="J182" s="10">
        <v>45825.0</v>
      </c>
      <c r="K182" s="8" t="s">
        <v>49</v>
      </c>
      <c r="L182" s="7">
        <v>8.0</v>
      </c>
      <c r="M182" s="7" t="s">
        <v>33</v>
      </c>
      <c r="N182" s="13" t="s">
        <v>742</v>
      </c>
      <c r="O182" s="15" t="s">
        <v>743</v>
      </c>
    </row>
    <row r="183">
      <c r="A183" s="5">
        <v>204.0</v>
      </c>
      <c r="B183" s="6">
        <v>45984.60903359954</v>
      </c>
      <c r="C183" s="7" t="s">
        <v>15</v>
      </c>
      <c r="D183" s="8" t="s">
        <v>736</v>
      </c>
      <c r="E183" s="8" t="s">
        <v>737</v>
      </c>
      <c r="F183" s="7" t="s">
        <v>738</v>
      </c>
      <c r="G183" s="9" t="s">
        <v>19</v>
      </c>
      <c r="H183" s="7" t="s">
        <v>744</v>
      </c>
      <c r="I183" s="7" t="s">
        <v>37</v>
      </c>
      <c r="J183" s="10">
        <v>45839.0</v>
      </c>
      <c r="K183" s="8" t="s">
        <v>67</v>
      </c>
      <c r="L183" s="7">
        <v>8.0</v>
      </c>
      <c r="M183" s="7" t="s">
        <v>33</v>
      </c>
      <c r="N183" s="13" t="s">
        <v>745</v>
      </c>
      <c r="O183" s="15" t="s">
        <v>746</v>
      </c>
    </row>
    <row r="184">
      <c r="A184" s="5">
        <v>205.0</v>
      </c>
      <c r="B184" s="6">
        <v>45984.61041114583</v>
      </c>
      <c r="C184" s="7" t="s">
        <v>15</v>
      </c>
      <c r="D184" s="8" t="s">
        <v>736</v>
      </c>
      <c r="E184" s="8" t="s">
        <v>737</v>
      </c>
      <c r="F184" s="7" t="s">
        <v>738</v>
      </c>
      <c r="G184" s="9" t="s">
        <v>19</v>
      </c>
      <c r="H184" s="7" t="s">
        <v>744</v>
      </c>
      <c r="I184" s="7" t="s">
        <v>37</v>
      </c>
      <c r="J184" s="10">
        <v>45840.0</v>
      </c>
      <c r="K184" s="8" t="s">
        <v>67</v>
      </c>
      <c r="L184" s="7">
        <v>8.0</v>
      </c>
      <c r="M184" s="7" t="s">
        <v>33</v>
      </c>
      <c r="N184" s="13" t="s">
        <v>747</v>
      </c>
      <c r="O184" s="15" t="s">
        <v>748</v>
      </c>
    </row>
    <row r="185">
      <c r="A185" s="5">
        <v>206.0</v>
      </c>
      <c r="B185" s="6">
        <v>45984.61358041667</v>
      </c>
      <c r="C185" s="7" t="s">
        <v>15</v>
      </c>
      <c r="D185" s="8" t="s">
        <v>736</v>
      </c>
      <c r="E185" s="8" t="s">
        <v>737</v>
      </c>
      <c r="F185" s="7" t="s">
        <v>738</v>
      </c>
      <c r="G185" s="9" t="s">
        <v>19</v>
      </c>
      <c r="H185" s="7" t="s">
        <v>749</v>
      </c>
      <c r="I185" s="7" t="s">
        <v>21</v>
      </c>
      <c r="J185" s="10">
        <v>45940.0</v>
      </c>
      <c r="K185" s="8" t="s">
        <v>22</v>
      </c>
      <c r="L185" s="7">
        <v>4.0</v>
      </c>
      <c r="M185" s="7" t="s">
        <v>23</v>
      </c>
      <c r="N185" s="13" t="s">
        <v>750</v>
      </c>
      <c r="O185" s="15" t="s">
        <v>751</v>
      </c>
    </row>
    <row r="186">
      <c r="A186" s="5">
        <v>207.0</v>
      </c>
      <c r="B186" s="6">
        <v>45984.618221516204</v>
      </c>
      <c r="C186" s="7" t="s">
        <v>15</v>
      </c>
      <c r="D186" s="8" t="s">
        <v>736</v>
      </c>
      <c r="E186" s="8" t="s">
        <v>737</v>
      </c>
      <c r="F186" s="7" t="s">
        <v>738</v>
      </c>
      <c r="G186" s="9" t="s">
        <v>181</v>
      </c>
      <c r="H186" s="7" t="s">
        <v>752</v>
      </c>
      <c r="I186" s="7" t="s">
        <v>231</v>
      </c>
      <c r="J186" s="10">
        <v>45858.0</v>
      </c>
      <c r="K186" s="8" t="s">
        <v>753</v>
      </c>
      <c r="L186" s="7">
        <v>2.0</v>
      </c>
      <c r="M186" s="7" t="s">
        <v>754</v>
      </c>
      <c r="N186" s="13" t="s">
        <v>755</v>
      </c>
      <c r="O186" s="15" t="s">
        <v>756</v>
      </c>
    </row>
    <row r="187">
      <c r="A187" s="5">
        <v>208.0</v>
      </c>
      <c r="B187" s="6">
        <v>45984.62062509259</v>
      </c>
      <c r="C187" s="7" t="s">
        <v>15</v>
      </c>
      <c r="D187" s="8" t="s">
        <v>736</v>
      </c>
      <c r="E187" s="8" t="s">
        <v>737</v>
      </c>
      <c r="F187" s="7" t="s">
        <v>738</v>
      </c>
      <c r="G187" s="9" t="s">
        <v>181</v>
      </c>
      <c r="H187" s="7" t="s">
        <v>757</v>
      </c>
      <c r="I187" s="7" t="s">
        <v>231</v>
      </c>
      <c r="J187" s="10">
        <v>45859.0</v>
      </c>
      <c r="K187" s="8" t="s">
        <v>49</v>
      </c>
      <c r="L187" s="7">
        <v>8.0</v>
      </c>
      <c r="M187" s="7" t="s">
        <v>754</v>
      </c>
      <c r="N187" s="13" t="s">
        <v>758</v>
      </c>
      <c r="O187" s="15" t="s">
        <v>759</v>
      </c>
    </row>
    <row r="188">
      <c r="A188" s="5">
        <v>213.0</v>
      </c>
      <c r="B188" s="6">
        <v>45984.85997634259</v>
      </c>
      <c r="C188" s="7" t="s">
        <v>760</v>
      </c>
      <c r="D188" s="8" t="s">
        <v>761</v>
      </c>
      <c r="E188" s="8" t="s">
        <v>762</v>
      </c>
      <c r="F188" s="7" t="s">
        <v>763</v>
      </c>
      <c r="G188" s="9" t="s">
        <v>84</v>
      </c>
      <c r="H188" s="7" t="s">
        <v>764</v>
      </c>
      <c r="I188" s="7" t="s">
        <v>765</v>
      </c>
      <c r="J188" s="10">
        <v>45916.0</v>
      </c>
      <c r="K188" s="8" t="s">
        <v>766</v>
      </c>
      <c r="L188" s="7">
        <v>8.0</v>
      </c>
      <c r="M188" s="7" t="s">
        <v>767</v>
      </c>
      <c r="N188" s="13" t="s">
        <v>768</v>
      </c>
      <c r="O188" s="15" t="s">
        <v>769</v>
      </c>
    </row>
    <row r="189">
      <c r="A189" s="5">
        <v>214.0</v>
      </c>
      <c r="B189" s="6">
        <v>45984.8703846875</v>
      </c>
      <c r="C189" s="7" t="s">
        <v>760</v>
      </c>
      <c r="D189" s="8" t="s">
        <v>770</v>
      </c>
      <c r="E189" s="8" t="s">
        <v>142</v>
      </c>
      <c r="F189" s="7" t="s">
        <v>771</v>
      </c>
      <c r="G189" s="9" t="s">
        <v>84</v>
      </c>
      <c r="H189" s="7" t="s">
        <v>772</v>
      </c>
      <c r="I189" s="7" t="s">
        <v>773</v>
      </c>
      <c r="J189" s="10">
        <v>45916.0</v>
      </c>
      <c r="K189" s="8" t="s">
        <v>657</v>
      </c>
      <c r="L189" s="7">
        <v>8.0</v>
      </c>
      <c r="M189" s="7" t="s">
        <v>774</v>
      </c>
      <c r="N189" s="13" t="s">
        <v>775</v>
      </c>
      <c r="O189" s="15" t="s">
        <v>776</v>
      </c>
    </row>
    <row r="190">
      <c r="A190" s="5">
        <v>215.0</v>
      </c>
      <c r="B190" s="6">
        <v>45984.87259571759</v>
      </c>
      <c r="C190" s="7" t="s">
        <v>15</v>
      </c>
      <c r="D190" s="8" t="s">
        <v>76</v>
      </c>
      <c r="E190" s="8" t="s">
        <v>28</v>
      </c>
      <c r="F190" s="7" t="s">
        <v>77</v>
      </c>
      <c r="G190" s="9" t="s">
        <v>181</v>
      </c>
      <c r="H190" s="7" t="s">
        <v>777</v>
      </c>
      <c r="I190" s="7" t="s">
        <v>231</v>
      </c>
      <c r="J190" s="10">
        <v>45937.0</v>
      </c>
      <c r="K190" s="8" t="s">
        <v>49</v>
      </c>
      <c r="L190" s="7">
        <v>8.0</v>
      </c>
      <c r="M190" s="7" t="s">
        <v>33</v>
      </c>
      <c r="N190" s="13" t="s">
        <v>778</v>
      </c>
      <c r="O190" s="15" t="s">
        <v>779</v>
      </c>
    </row>
    <row r="191">
      <c r="A191" s="5">
        <v>217.0</v>
      </c>
      <c r="B191" s="6">
        <v>45984.88476829861</v>
      </c>
      <c r="C191" s="7" t="s">
        <v>760</v>
      </c>
      <c r="D191" s="8" t="s">
        <v>780</v>
      </c>
      <c r="E191" s="8" t="s">
        <v>781</v>
      </c>
      <c r="F191" s="7" t="s">
        <v>782</v>
      </c>
      <c r="G191" s="9" t="s">
        <v>84</v>
      </c>
      <c r="H191" s="7" t="s">
        <v>764</v>
      </c>
      <c r="I191" s="7" t="s">
        <v>86</v>
      </c>
      <c r="J191" s="10">
        <v>45916.0</v>
      </c>
      <c r="K191" s="8" t="s">
        <v>22</v>
      </c>
      <c r="L191" s="7">
        <v>8.0</v>
      </c>
      <c r="M191" s="7" t="s">
        <v>774</v>
      </c>
      <c r="N191" s="13" t="s">
        <v>783</v>
      </c>
      <c r="O191" s="15" t="s">
        <v>784</v>
      </c>
    </row>
    <row r="192">
      <c r="A192" s="5">
        <v>223.0</v>
      </c>
      <c r="B192" s="6">
        <v>45984.89745329861</v>
      </c>
      <c r="C192" s="7" t="s">
        <v>760</v>
      </c>
      <c r="D192" s="8" t="s">
        <v>785</v>
      </c>
      <c r="E192" s="8" t="s">
        <v>380</v>
      </c>
      <c r="F192" s="7" t="s">
        <v>786</v>
      </c>
      <c r="G192" s="9" t="s">
        <v>84</v>
      </c>
      <c r="H192" s="7" t="s">
        <v>787</v>
      </c>
      <c r="I192" s="7" t="s">
        <v>773</v>
      </c>
      <c r="J192" s="10">
        <v>45916.0</v>
      </c>
      <c r="K192" s="8" t="s">
        <v>788</v>
      </c>
      <c r="L192" s="7">
        <v>8.0</v>
      </c>
      <c r="M192" s="7" t="s">
        <v>774</v>
      </c>
      <c r="N192" s="13" t="s">
        <v>789</v>
      </c>
      <c r="O192" s="15" t="s">
        <v>790</v>
      </c>
    </row>
    <row r="193">
      <c r="A193" s="5">
        <v>224.0</v>
      </c>
      <c r="B193" s="6">
        <v>45984.90174877315</v>
      </c>
      <c r="C193" s="7" t="s">
        <v>760</v>
      </c>
      <c r="D193" s="8" t="s">
        <v>791</v>
      </c>
      <c r="E193" s="8" t="s">
        <v>164</v>
      </c>
      <c r="F193" s="7" t="s">
        <v>792</v>
      </c>
      <c r="G193" s="9" t="s">
        <v>144</v>
      </c>
      <c r="H193" s="7" t="s">
        <v>145</v>
      </c>
      <c r="I193" s="7" t="s">
        <v>793</v>
      </c>
      <c r="J193" s="10">
        <v>45948.0</v>
      </c>
      <c r="K193" s="8" t="s">
        <v>794</v>
      </c>
      <c r="L193" s="7">
        <v>4.0</v>
      </c>
      <c r="M193" s="7" t="s">
        <v>795</v>
      </c>
      <c r="N193" s="13" t="s">
        <v>796</v>
      </c>
      <c r="O193" s="15" t="s">
        <v>797</v>
      </c>
    </row>
    <row r="194">
      <c r="A194" s="5">
        <v>225.0</v>
      </c>
      <c r="B194" s="6">
        <v>45984.90507226852</v>
      </c>
      <c r="C194" s="7" t="s">
        <v>760</v>
      </c>
      <c r="D194" s="8" t="s">
        <v>798</v>
      </c>
      <c r="E194" s="8" t="s">
        <v>799</v>
      </c>
      <c r="F194" s="7" t="s">
        <v>800</v>
      </c>
      <c r="G194" s="9" t="s">
        <v>159</v>
      </c>
      <c r="H194" s="7" t="s">
        <v>801</v>
      </c>
      <c r="I194" s="7" t="s">
        <v>802</v>
      </c>
      <c r="J194" s="10">
        <v>45983.0</v>
      </c>
      <c r="K194" s="8" t="s">
        <v>803</v>
      </c>
      <c r="L194" s="7">
        <v>4.0</v>
      </c>
      <c r="M194" s="7" t="s">
        <v>804</v>
      </c>
      <c r="N194" s="13" t="s">
        <v>805</v>
      </c>
      <c r="O194" s="15" t="s">
        <v>806</v>
      </c>
    </row>
    <row r="195">
      <c r="A195" s="5">
        <v>226.0</v>
      </c>
      <c r="B195" s="6">
        <v>45984.905325162035</v>
      </c>
      <c r="C195" s="7" t="s">
        <v>760</v>
      </c>
      <c r="D195" s="8" t="s">
        <v>791</v>
      </c>
      <c r="E195" s="8" t="s">
        <v>164</v>
      </c>
      <c r="F195" s="7" t="s">
        <v>792</v>
      </c>
      <c r="G195" s="9" t="s">
        <v>144</v>
      </c>
      <c r="H195" s="7" t="s">
        <v>730</v>
      </c>
      <c r="I195" s="7" t="s">
        <v>807</v>
      </c>
      <c r="J195" s="10">
        <v>45955.0</v>
      </c>
      <c r="K195" s="8" t="s">
        <v>808</v>
      </c>
      <c r="L195" s="7">
        <v>4.0</v>
      </c>
      <c r="M195" s="7" t="s">
        <v>795</v>
      </c>
      <c r="N195" s="13" t="s">
        <v>809</v>
      </c>
      <c r="O195" s="15" t="s">
        <v>810</v>
      </c>
    </row>
    <row r="196">
      <c r="A196" s="5">
        <v>227.0</v>
      </c>
      <c r="B196" s="6">
        <v>45984.90869414352</v>
      </c>
      <c r="C196" s="7" t="s">
        <v>760</v>
      </c>
      <c r="D196" s="8" t="s">
        <v>798</v>
      </c>
      <c r="E196" s="8" t="s">
        <v>799</v>
      </c>
      <c r="F196" s="7" t="s">
        <v>800</v>
      </c>
      <c r="G196" s="9" t="s">
        <v>144</v>
      </c>
      <c r="H196" s="7" t="s">
        <v>730</v>
      </c>
      <c r="I196" s="7" t="s">
        <v>811</v>
      </c>
      <c r="J196" s="10">
        <v>45983.0</v>
      </c>
      <c r="K196" s="8" t="s">
        <v>812</v>
      </c>
      <c r="L196" s="7">
        <v>4.0</v>
      </c>
      <c r="M196" s="7" t="s">
        <v>813</v>
      </c>
      <c r="N196" s="13" t="s">
        <v>814</v>
      </c>
      <c r="O196" s="15" t="s">
        <v>815</v>
      </c>
    </row>
    <row r="197">
      <c r="A197" s="5">
        <v>229.0</v>
      </c>
      <c r="B197" s="6">
        <v>45984.9132946412</v>
      </c>
      <c r="C197" s="7" t="s">
        <v>760</v>
      </c>
      <c r="D197" s="8" t="s">
        <v>816</v>
      </c>
      <c r="E197" s="8" t="s">
        <v>817</v>
      </c>
      <c r="F197" s="7" t="s">
        <v>818</v>
      </c>
      <c r="G197" s="9" t="s">
        <v>19</v>
      </c>
      <c r="H197" s="7" t="s">
        <v>819</v>
      </c>
      <c r="I197" s="7" t="s">
        <v>820</v>
      </c>
      <c r="J197" s="10">
        <v>45977.0</v>
      </c>
      <c r="K197" s="8" t="s">
        <v>821</v>
      </c>
      <c r="L197" s="7">
        <v>3.0</v>
      </c>
      <c r="M197" s="7" t="s">
        <v>106</v>
      </c>
      <c r="N197" s="13" t="s">
        <v>822</v>
      </c>
      <c r="O197" s="15" t="s">
        <v>823</v>
      </c>
    </row>
    <row r="198">
      <c r="A198" s="5">
        <v>230.0</v>
      </c>
      <c r="B198" s="6">
        <v>45984.91569858797</v>
      </c>
      <c r="C198" s="7" t="s">
        <v>760</v>
      </c>
      <c r="D198" s="8" t="s">
        <v>798</v>
      </c>
      <c r="E198" s="8" t="s">
        <v>799</v>
      </c>
      <c r="F198" s="7" t="s">
        <v>800</v>
      </c>
      <c r="G198" s="9" t="s">
        <v>209</v>
      </c>
      <c r="H198" s="7" t="s">
        <v>824</v>
      </c>
      <c r="I198" s="7" t="s">
        <v>825</v>
      </c>
      <c r="J198" s="10">
        <v>45941.0</v>
      </c>
      <c r="K198" s="8" t="s">
        <v>826</v>
      </c>
      <c r="L198" s="7">
        <v>4.0</v>
      </c>
      <c r="M198" s="7" t="s">
        <v>813</v>
      </c>
      <c r="N198" s="13" t="s">
        <v>827</v>
      </c>
      <c r="O198" s="15" t="s">
        <v>828</v>
      </c>
    </row>
    <row r="199">
      <c r="A199" s="5">
        <v>231.0</v>
      </c>
      <c r="B199" s="6">
        <v>45984.915981412036</v>
      </c>
      <c r="C199" s="7" t="s">
        <v>760</v>
      </c>
      <c r="D199" s="8" t="s">
        <v>829</v>
      </c>
      <c r="E199" s="8" t="s">
        <v>830</v>
      </c>
      <c r="F199" s="7" t="s">
        <v>831</v>
      </c>
      <c r="G199" s="9" t="s">
        <v>19</v>
      </c>
      <c r="H199" s="7" t="s">
        <v>832</v>
      </c>
      <c r="I199" s="7" t="s">
        <v>820</v>
      </c>
      <c r="J199" s="10">
        <v>45977.0</v>
      </c>
      <c r="K199" s="8" t="s">
        <v>821</v>
      </c>
      <c r="L199" s="7">
        <v>3.0</v>
      </c>
      <c r="M199" s="7" t="s">
        <v>95</v>
      </c>
      <c r="N199" s="13" t="s">
        <v>833</v>
      </c>
      <c r="O199" s="15" t="s">
        <v>834</v>
      </c>
    </row>
    <row r="200">
      <c r="A200" s="5">
        <v>232.0</v>
      </c>
      <c r="B200" s="6">
        <v>45984.916572118054</v>
      </c>
      <c r="C200" s="7" t="s">
        <v>760</v>
      </c>
      <c r="D200" s="8" t="s">
        <v>791</v>
      </c>
      <c r="E200" s="8" t="s">
        <v>164</v>
      </c>
      <c r="F200" s="7" t="s">
        <v>792</v>
      </c>
      <c r="G200" s="9" t="s">
        <v>209</v>
      </c>
      <c r="H200" s="7" t="s">
        <v>835</v>
      </c>
      <c r="I200" s="7" t="s">
        <v>825</v>
      </c>
      <c r="J200" s="10">
        <v>45962.0</v>
      </c>
      <c r="K200" s="8" t="s">
        <v>836</v>
      </c>
      <c r="L200" s="7">
        <v>4.0</v>
      </c>
      <c r="M200" s="7" t="s">
        <v>795</v>
      </c>
      <c r="N200" s="13" t="s">
        <v>837</v>
      </c>
      <c r="O200" s="15" t="s">
        <v>838</v>
      </c>
    </row>
    <row r="201">
      <c r="A201" s="5">
        <v>234.0</v>
      </c>
      <c r="B201" s="6">
        <v>45984.9185846412</v>
      </c>
      <c r="C201" s="7" t="s">
        <v>760</v>
      </c>
      <c r="D201" s="8" t="s">
        <v>798</v>
      </c>
      <c r="E201" s="8" t="s">
        <v>799</v>
      </c>
      <c r="F201" s="7" t="s">
        <v>800</v>
      </c>
      <c r="G201" s="9" t="s">
        <v>144</v>
      </c>
      <c r="H201" s="7" t="s">
        <v>730</v>
      </c>
      <c r="I201" s="7" t="s">
        <v>811</v>
      </c>
      <c r="J201" s="10">
        <v>45941.0</v>
      </c>
      <c r="K201" s="8" t="s">
        <v>839</v>
      </c>
      <c r="L201" s="7">
        <v>4.0</v>
      </c>
      <c r="M201" s="7" t="s">
        <v>813</v>
      </c>
      <c r="N201" s="13" t="s">
        <v>840</v>
      </c>
      <c r="O201" s="15" t="s">
        <v>841</v>
      </c>
    </row>
    <row r="202">
      <c r="A202" s="5">
        <v>235.0</v>
      </c>
      <c r="B202" s="6">
        <v>45984.919999641206</v>
      </c>
      <c r="C202" s="7" t="s">
        <v>760</v>
      </c>
      <c r="D202" s="8" t="s">
        <v>791</v>
      </c>
      <c r="E202" s="8" t="s">
        <v>164</v>
      </c>
      <c r="F202" s="7" t="s">
        <v>792</v>
      </c>
      <c r="G202" s="9" t="s">
        <v>209</v>
      </c>
      <c r="H202" s="7" t="s">
        <v>842</v>
      </c>
      <c r="I202" s="7" t="s">
        <v>825</v>
      </c>
      <c r="J202" s="10">
        <v>45969.0</v>
      </c>
      <c r="K202" s="8" t="s">
        <v>843</v>
      </c>
      <c r="L202" s="7">
        <v>4.0</v>
      </c>
      <c r="M202" s="7" t="s">
        <v>844</v>
      </c>
      <c r="N202" s="13" t="s">
        <v>845</v>
      </c>
      <c r="O202" s="15" t="s">
        <v>846</v>
      </c>
    </row>
    <row r="203">
      <c r="A203" s="5">
        <v>236.0</v>
      </c>
      <c r="B203" s="6">
        <v>45984.92099547454</v>
      </c>
      <c r="C203" s="7" t="s">
        <v>26</v>
      </c>
      <c r="D203" s="8" t="s">
        <v>847</v>
      </c>
      <c r="E203" s="8" t="s">
        <v>762</v>
      </c>
      <c r="F203" s="7" t="s">
        <v>848</v>
      </c>
      <c r="G203" s="9" t="s">
        <v>19</v>
      </c>
      <c r="H203" s="7" t="s">
        <v>41</v>
      </c>
      <c r="I203" s="7" t="s">
        <v>37</v>
      </c>
      <c r="J203" s="10">
        <v>45839.0</v>
      </c>
      <c r="K203" s="8" t="s">
        <v>67</v>
      </c>
      <c r="L203" s="7">
        <v>8.0</v>
      </c>
      <c r="M203" s="7" t="s">
        <v>33</v>
      </c>
      <c r="N203" s="13" t="s">
        <v>849</v>
      </c>
      <c r="O203" s="15" t="s">
        <v>850</v>
      </c>
    </row>
    <row r="204">
      <c r="A204" s="5">
        <v>237.0</v>
      </c>
      <c r="B204" s="6">
        <v>45984.921357245374</v>
      </c>
      <c r="C204" s="7" t="s">
        <v>760</v>
      </c>
      <c r="D204" s="8" t="s">
        <v>798</v>
      </c>
      <c r="E204" s="8" t="s">
        <v>799</v>
      </c>
      <c r="F204" s="7" t="s">
        <v>800</v>
      </c>
      <c r="G204" s="9" t="s">
        <v>209</v>
      </c>
      <c r="H204" s="7" t="s">
        <v>851</v>
      </c>
      <c r="I204" s="7" t="s">
        <v>825</v>
      </c>
      <c r="J204" s="10">
        <v>45906.0</v>
      </c>
      <c r="K204" s="8" t="s">
        <v>852</v>
      </c>
      <c r="L204" s="7">
        <v>4.0</v>
      </c>
      <c r="M204" s="7" t="s">
        <v>813</v>
      </c>
      <c r="N204" s="13" t="s">
        <v>853</v>
      </c>
      <c r="O204" s="15" t="s">
        <v>854</v>
      </c>
    </row>
    <row r="205">
      <c r="A205" s="5">
        <v>238.0</v>
      </c>
      <c r="B205" s="6">
        <v>45984.922532094904</v>
      </c>
      <c r="C205" s="7" t="s">
        <v>26</v>
      </c>
      <c r="D205" s="8" t="s">
        <v>847</v>
      </c>
      <c r="E205" s="8" t="s">
        <v>762</v>
      </c>
      <c r="F205" s="7" t="s">
        <v>848</v>
      </c>
      <c r="G205" s="9" t="s">
        <v>19</v>
      </c>
      <c r="H205" s="7" t="s">
        <v>41</v>
      </c>
      <c r="I205" s="7" t="s">
        <v>37</v>
      </c>
      <c r="J205" s="10">
        <v>45840.0</v>
      </c>
      <c r="K205" s="8" t="s">
        <v>67</v>
      </c>
      <c r="L205" s="7">
        <v>8.0</v>
      </c>
      <c r="M205" s="7" t="s">
        <v>33</v>
      </c>
      <c r="N205" s="13" t="s">
        <v>855</v>
      </c>
      <c r="O205" s="15" t="s">
        <v>856</v>
      </c>
    </row>
    <row r="206">
      <c r="A206" s="5">
        <v>240.0</v>
      </c>
      <c r="B206" s="6">
        <v>45984.92500739583</v>
      </c>
      <c r="C206" s="7" t="s">
        <v>26</v>
      </c>
      <c r="D206" s="8" t="s">
        <v>847</v>
      </c>
      <c r="E206" s="8" t="s">
        <v>762</v>
      </c>
      <c r="F206" s="7" t="s">
        <v>848</v>
      </c>
      <c r="G206" s="9" t="s">
        <v>181</v>
      </c>
      <c r="H206" s="7" t="s">
        <v>857</v>
      </c>
      <c r="I206" s="7" t="s">
        <v>858</v>
      </c>
      <c r="J206" s="10">
        <v>45984.0</v>
      </c>
      <c r="K206" s="8" t="s">
        <v>859</v>
      </c>
      <c r="L206" s="7">
        <v>8.0</v>
      </c>
      <c r="M206" s="7" t="s">
        <v>860</v>
      </c>
      <c r="N206" s="13" t="s">
        <v>861</v>
      </c>
      <c r="O206" s="15" t="s">
        <v>862</v>
      </c>
    </row>
    <row r="207">
      <c r="A207" s="5">
        <v>246.0</v>
      </c>
      <c r="B207" s="6">
        <v>45985.32426447917</v>
      </c>
      <c r="C207" s="7" t="s">
        <v>760</v>
      </c>
      <c r="D207" s="8" t="s">
        <v>863</v>
      </c>
      <c r="E207" s="8" t="s">
        <v>63</v>
      </c>
      <c r="F207" s="7" t="s">
        <v>864</v>
      </c>
      <c r="G207" s="9" t="s">
        <v>159</v>
      </c>
      <c r="H207" s="7" t="s">
        <v>865</v>
      </c>
      <c r="I207" s="7" t="s">
        <v>866</v>
      </c>
      <c r="J207" s="10">
        <v>45955.0</v>
      </c>
      <c r="K207" s="8" t="s">
        <v>657</v>
      </c>
      <c r="L207" s="7">
        <v>8.0</v>
      </c>
      <c r="M207" s="7" t="s">
        <v>867</v>
      </c>
      <c r="N207" s="13" t="s">
        <v>868</v>
      </c>
      <c r="O207" s="15" t="s">
        <v>869</v>
      </c>
    </row>
    <row r="208">
      <c r="A208" s="5">
        <v>247.0</v>
      </c>
      <c r="B208" s="6">
        <v>45985.33878155093</v>
      </c>
      <c r="C208" s="7" t="s">
        <v>760</v>
      </c>
      <c r="D208" s="8" t="s">
        <v>863</v>
      </c>
      <c r="E208" s="8" t="s">
        <v>63</v>
      </c>
      <c r="F208" s="7" t="s">
        <v>864</v>
      </c>
      <c r="G208" s="9" t="s">
        <v>159</v>
      </c>
      <c r="H208" s="7" t="s">
        <v>870</v>
      </c>
      <c r="I208" s="7" t="s">
        <v>866</v>
      </c>
      <c r="J208" s="10">
        <v>45962.0</v>
      </c>
      <c r="K208" s="8" t="s">
        <v>766</v>
      </c>
      <c r="L208" s="7">
        <v>8.0</v>
      </c>
      <c r="M208" s="7" t="s">
        <v>871</v>
      </c>
      <c r="N208" s="13" t="s">
        <v>872</v>
      </c>
      <c r="O208" s="15" t="s">
        <v>873</v>
      </c>
    </row>
    <row r="209">
      <c r="A209" s="5">
        <v>248.0</v>
      </c>
      <c r="B209" s="6">
        <v>45985.413180358795</v>
      </c>
      <c r="C209" s="7" t="s">
        <v>26</v>
      </c>
      <c r="D209" s="8" t="s">
        <v>874</v>
      </c>
      <c r="E209" s="8" t="s">
        <v>171</v>
      </c>
      <c r="F209" s="7" t="s">
        <v>875</v>
      </c>
      <c r="G209" s="9" t="s">
        <v>19</v>
      </c>
      <c r="H209" s="7" t="s">
        <v>44</v>
      </c>
      <c r="I209" s="7" t="s">
        <v>37</v>
      </c>
      <c r="J209" s="10">
        <v>45839.0</v>
      </c>
      <c r="K209" s="8" t="s">
        <v>67</v>
      </c>
      <c r="L209" s="7">
        <v>8.0</v>
      </c>
      <c r="M209" s="7" t="s">
        <v>33</v>
      </c>
      <c r="N209" s="13" t="s">
        <v>876</v>
      </c>
      <c r="O209" s="15" t="s">
        <v>877</v>
      </c>
    </row>
    <row r="210">
      <c r="A210" s="5">
        <v>249.0</v>
      </c>
      <c r="B210" s="6">
        <v>45985.418355138885</v>
      </c>
      <c r="C210" s="7" t="s">
        <v>26</v>
      </c>
      <c r="D210" s="8" t="s">
        <v>874</v>
      </c>
      <c r="E210" s="8" t="s">
        <v>171</v>
      </c>
      <c r="F210" s="7" t="s">
        <v>875</v>
      </c>
      <c r="G210" s="9" t="s">
        <v>19</v>
      </c>
      <c r="H210" s="7" t="s">
        <v>41</v>
      </c>
      <c r="I210" s="7" t="s">
        <v>37</v>
      </c>
      <c r="J210" s="10">
        <v>45840.0</v>
      </c>
      <c r="K210" s="8" t="s">
        <v>67</v>
      </c>
      <c r="L210" s="7">
        <v>8.0</v>
      </c>
      <c r="M210" s="7" t="s">
        <v>33</v>
      </c>
      <c r="N210" s="13" t="s">
        <v>878</v>
      </c>
      <c r="O210" s="15" t="s">
        <v>879</v>
      </c>
    </row>
    <row r="211">
      <c r="A211" s="5">
        <v>250.0</v>
      </c>
      <c r="B211" s="6">
        <v>45985.43413998843</v>
      </c>
      <c r="C211" s="7" t="s">
        <v>15</v>
      </c>
      <c r="D211" s="8" t="s">
        <v>880</v>
      </c>
      <c r="E211" s="8" t="s">
        <v>881</v>
      </c>
      <c r="F211" s="7" t="s">
        <v>882</v>
      </c>
      <c r="G211" s="9" t="s">
        <v>19</v>
      </c>
      <c r="H211" s="7" t="s">
        <v>406</v>
      </c>
      <c r="I211" s="7" t="s">
        <v>94</v>
      </c>
      <c r="J211" s="10">
        <v>45823.0</v>
      </c>
      <c r="K211" s="8" t="s">
        <v>22</v>
      </c>
      <c r="L211" s="7">
        <v>4.0</v>
      </c>
      <c r="M211" s="7" t="s">
        <v>883</v>
      </c>
      <c r="N211" s="16"/>
      <c r="O211" s="16"/>
    </row>
    <row r="212">
      <c r="A212" s="5">
        <v>251.0</v>
      </c>
      <c r="B212" s="6">
        <v>45985.449374062504</v>
      </c>
      <c r="C212" s="7" t="s">
        <v>15</v>
      </c>
      <c r="D212" s="8" t="s">
        <v>880</v>
      </c>
      <c r="E212" s="8" t="s">
        <v>881</v>
      </c>
      <c r="F212" s="7" t="s">
        <v>882</v>
      </c>
      <c r="G212" s="9" t="s">
        <v>19</v>
      </c>
      <c r="H212" s="7" t="s">
        <v>30</v>
      </c>
      <c r="I212" s="7" t="s">
        <v>31</v>
      </c>
      <c r="J212" s="10">
        <v>45825.0</v>
      </c>
      <c r="K212" s="8" t="s">
        <v>49</v>
      </c>
      <c r="L212" s="7">
        <v>8.0</v>
      </c>
      <c r="M212" s="7" t="s">
        <v>33</v>
      </c>
      <c r="N212" s="13" t="s">
        <v>884</v>
      </c>
      <c r="O212" s="15" t="s">
        <v>885</v>
      </c>
    </row>
    <row r="213">
      <c r="A213" s="5">
        <v>252.0</v>
      </c>
      <c r="B213" s="6">
        <v>45985.452046805556</v>
      </c>
      <c r="C213" s="7" t="s">
        <v>15</v>
      </c>
      <c r="D213" s="8" t="s">
        <v>880</v>
      </c>
      <c r="E213" s="8" t="s">
        <v>881</v>
      </c>
      <c r="F213" s="7" t="s">
        <v>882</v>
      </c>
      <c r="G213" s="9" t="s">
        <v>19</v>
      </c>
      <c r="H213" s="7" t="s">
        <v>30</v>
      </c>
      <c r="I213" s="7" t="s">
        <v>37</v>
      </c>
      <c r="J213" s="10">
        <v>45838.0</v>
      </c>
      <c r="K213" s="8" t="s">
        <v>67</v>
      </c>
      <c r="L213" s="7">
        <v>8.0</v>
      </c>
      <c r="M213" s="7" t="s">
        <v>33</v>
      </c>
      <c r="N213" s="13" t="s">
        <v>886</v>
      </c>
      <c r="O213" s="15" t="s">
        <v>887</v>
      </c>
    </row>
    <row r="214">
      <c r="A214" s="5">
        <v>253.0</v>
      </c>
      <c r="B214" s="6">
        <v>45985.45367265046</v>
      </c>
      <c r="C214" s="7" t="s">
        <v>15</v>
      </c>
      <c r="D214" s="8" t="s">
        <v>880</v>
      </c>
      <c r="E214" s="8" t="s">
        <v>881</v>
      </c>
      <c r="F214" s="7" t="s">
        <v>882</v>
      </c>
      <c r="G214" s="9" t="s">
        <v>19</v>
      </c>
      <c r="H214" s="7" t="s">
        <v>436</v>
      </c>
      <c r="I214" s="7" t="s">
        <v>37</v>
      </c>
      <c r="J214" s="10">
        <v>45839.0</v>
      </c>
      <c r="K214" s="8" t="s">
        <v>67</v>
      </c>
      <c r="L214" s="7">
        <v>8.0</v>
      </c>
      <c r="M214" s="7" t="s">
        <v>33</v>
      </c>
      <c r="N214" s="13" t="s">
        <v>888</v>
      </c>
      <c r="O214" s="15" t="s">
        <v>889</v>
      </c>
    </row>
    <row r="215">
      <c r="A215" s="5">
        <v>254.0</v>
      </c>
      <c r="B215" s="6">
        <v>45985.45672700231</v>
      </c>
      <c r="C215" s="7" t="s">
        <v>15</v>
      </c>
      <c r="D215" s="8" t="s">
        <v>880</v>
      </c>
      <c r="E215" s="8" t="s">
        <v>881</v>
      </c>
      <c r="F215" s="7" t="s">
        <v>882</v>
      </c>
      <c r="G215" s="9" t="s">
        <v>19</v>
      </c>
      <c r="H215" s="7" t="s">
        <v>436</v>
      </c>
      <c r="I215" s="7" t="s">
        <v>37</v>
      </c>
      <c r="J215" s="10">
        <v>45840.0</v>
      </c>
      <c r="K215" s="8" t="s">
        <v>67</v>
      </c>
      <c r="L215" s="7">
        <v>8.0</v>
      </c>
      <c r="M215" s="7" t="s">
        <v>33</v>
      </c>
      <c r="N215" s="13" t="s">
        <v>890</v>
      </c>
      <c r="O215" s="15" t="s">
        <v>891</v>
      </c>
    </row>
    <row r="216">
      <c r="A216" s="5">
        <v>255.0</v>
      </c>
      <c r="B216" s="6">
        <v>45985.47675376157</v>
      </c>
      <c r="C216" s="7" t="s">
        <v>760</v>
      </c>
      <c r="D216" s="8" t="s">
        <v>892</v>
      </c>
      <c r="E216" s="8" t="s">
        <v>893</v>
      </c>
      <c r="F216" s="7" t="s">
        <v>894</v>
      </c>
      <c r="G216" s="9" t="s">
        <v>181</v>
      </c>
      <c r="H216" s="7" t="s">
        <v>895</v>
      </c>
      <c r="I216" s="7" t="s">
        <v>314</v>
      </c>
      <c r="J216" s="10">
        <v>45951.0</v>
      </c>
      <c r="K216" s="8" t="s">
        <v>896</v>
      </c>
      <c r="L216" s="7">
        <v>1.0</v>
      </c>
      <c r="M216" s="7" t="s">
        <v>33</v>
      </c>
      <c r="N216" s="13" t="s">
        <v>897</v>
      </c>
      <c r="O216" s="15" t="s">
        <v>898</v>
      </c>
    </row>
    <row r="217">
      <c r="A217" s="5">
        <v>256.0</v>
      </c>
      <c r="B217" s="6">
        <v>45985.48188623843</v>
      </c>
      <c r="C217" s="7" t="s">
        <v>760</v>
      </c>
      <c r="D217" s="8" t="s">
        <v>892</v>
      </c>
      <c r="E217" s="8" t="s">
        <v>893</v>
      </c>
      <c r="F217" s="7" t="s">
        <v>899</v>
      </c>
      <c r="G217" s="9" t="s">
        <v>181</v>
      </c>
      <c r="H217" s="7" t="s">
        <v>895</v>
      </c>
      <c r="I217" s="7" t="s">
        <v>314</v>
      </c>
      <c r="J217" s="10">
        <v>45950.0</v>
      </c>
      <c r="K217" s="8" t="s">
        <v>896</v>
      </c>
      <c r="L217" s="7">
        <v>1.0</v>
      </c>
      <c r="M217" s="7" t="s">
        <v>33</v>
      </c>
      <c r="N217" s="13" t="s">
        <v>900</v>
      </c>
      <c r="O217" s="15" t="s">
        <v>901</v>
      </c>
    </row>
    <row r="218">
      <c r="A218" s="5">
        <v>257.0</v>
      </c>
      <c r="B218" s="6">
        <v>45985.48930133102</v>
      </c>
      <c r="C218" s="7" t="s">
        <v>760</v>
      </c>
      <c r="D218" s="8" t="s">
        <v>902</v>
      </c>
      <c r="E218" s="8" t="s">
        <v>28</v>
      </c>
      <c r="F218" s="7" t="s">
        <v>903</v>
      </c>
      <c r="G218" s="9" t="s">
        <v>19</v>
      </c>
      <c r="H218" s="7" t="s">
        <v>904</v>
      </c>
      <c r="I218" s="7" t="s">
        <v>905</v>
      </c>
      <c r="J218" s="10">
        <v>45907.0</v>
      </c>
      <c r="K218" s="8" t="s">
        <v>906</v>
      </c>
      <c r="L218" s="7">
        <v>8.0</v>
      </c>
      <c r="M218" s="7" t="s">
        <v>907</v>
      </c>
      <c r="N218" s="13" t="s">
        <v>908</v>
      </c>
      <c r="O218" s="15" t="s">
        <v>909</v>
      </c>
    </row>
    <row r="219">
      <c r="A219" s="5">
        <v>258.0</v>
      </c>
      <c r="B219" s="6">
        <v>45985.49422548611</v>
      </c>
      <c r="C219" s="7" t="s">
        <v>26</v>
      </c>
      <c r="D219" s="8" t="s">
        <v>432</v>
      </c>
      <c r="E219" s="8" t="s">
        <v>142</v>
      </c>
      <c r="F219" s="7" t="s">
        <v>433</v>
      </c>
      <c r="G219" s="9" t="s">
        <v>181</v>
      </c>
      <c r="H219" s="7" t="s">
        <v>857</v>
      </c>
      <c r="I219" s="7" t="s">
        <v>910</v>
      </c>
      <c r="J219" s="10">
        <v>45984.0</v>
      </c>
      <c r="K219" s="8" t="s">
        <v>859</v>
      </c>
      <c r="L219" s="7">
        <v>8.0</v>
      </c>
      <c r="M219" s="7" t="s">
        <v>860</v>
      </c>
      <c r="N219" s="13" t="s">
        <v>911</v>
      </c>
      <c r="O219" s="15" t="s">
        <v>912</v>
      </c>
    </row>
    <row r="220">
      <c r="A220" s="5">
        <v>259.0</v>
      </c>
      <c r="B220" s="6">
        <v>45985.49601163194</v>
      </c>
      <c r="C220" s="7" t="s">
        <v>26</v>
      </c>
      <c r="D220" s="8" t="s">
        <v>913</v>
      </c>
      <c r="E220" s="8" t="s">
        <v>547</v>
      </c>
      <c r="F220" s="7" t="s">
        <v>914</v>
      </c>
      <c r="G220" s="9" t="s">
        <v>19</v>
      </c>
      <c r="H220" s="7" t="s">
        <v>915</v>
      </c>
      <c r="I220" s="7" t="s">
        <v>31</v>
      </c>
      <c r="J220" s="10">
        <v>45825.0</v>
      </c>
      <c r="K220" s="8" t="s">
        <v>49</v>
      </c>
      <c r="L220" s="7">
        <v>8.0</v>
      </c>
      <c r="M220" s="7" t="s">
        <v>33</v>
      </c>
      <c r="N220" s="13" t="s">
        <v>916</v>
      </c>
      <c r="O220" s="15" t="s">
        <v>917</v>
      </c>
    </row>
    <row r="221">
      <c r="A221" s="5">
        <v>260.0</v>
      </c>
      <c r="B221" s="6">
        <v>45985.49851135416</v>
      </c>
      <c r="C221" s="7" t="s">
        <v>26</v>
      </c>
      <c r="D221" s="8" t="s">
        <v>918</v>
      </c>
      <c r="E221" s="8" t="s">
        <v>919</v>
      </c>
      <c r="F221" s="7" t="s">
        <v>920</v>
      </c>
      <c r="G221" s="9" t="s">
        <v>181</v>
      </c>
      <c r="H221" s="7" t="s">
        <v>857</v>
      </c>
      <c r="I221" s="7" t="s">
        <v>910</v>
      </c>
      <c r="J221" s="10">
        <v>45984.0</v>
      </c>
      <c r="K221" s="8" t="s">
        <v>859</v>
      </c>
      <c r="L221" s="7">
        <v>8.0</v>
      </c>
      <c r="M221" s="7" t="s">
        <v>860</v>
      </c>
      <c r="N221" s="13" t="s">
        <v>921</v>
      </c>
      <c r="O221" s="15" t="s">
        <v>922</v>
      </c>
    </row>
    <row r="222">
      <c r="A222" s="5">
        <v>262.0</v>
      </c>
      <c r="B222" s="6">
        <v>45985.500261608795</v>
      </c>
      <c r="C222" s="7" t="s">
        <v>26</v>
      </c>
      <c r="D222" s="8" t="s">
        <v>274</v>
      </c>
      <c r="E222" s="8" t="s">
        <v>228</v>
      </c>
      <c r="F222" s="7" t="s">
        <v>275</v>
      </c>
      <c r="G222" s="9" t="s">
        <v>19</v>
      </c>
      <c r="H222" s="7" t="s">
        <v>44</v>
      </c>
      <c r="I222" s="7" t="s">
        <v>37</v>
      </c>
      <c r="J222" s="10">
        <v>45840.0</v>
      </c>
      <c r="K222" s="8" t="s">
        <v>67</v>
      </c>
      <c r="L222" s="7">
        <v>8.0</v>
      </c>
      <c r="M222" s="7" t="s">
        <v>33</v>
      </c>
      <c r="N222" s="13" t="s">
        <v>923</v>
      </c>
      <c r="O222" s="15" t="s">
        <v>924</v>
      </c>
    </row>
    <row r="223">
      <c r="A223" s="5">
        <v>263.0</v>
      </c>
      <c r="B223" s="6">
        <v>45985.50055023148</v>
      </c>
      <c r="C223" s="7" t="s">
        <v>26</v>
      </c>
      <c r="D223" s="8" t="s">
        <v>27</v>
      </c>
      <c r="E223" s="8" t="s">
        <v>28</v>
      </c>
      <c r="F223" s="7" t="s">
        <v>29</v>
      </c>
      <c r="G223" s="9" t="s">
        <v>181</v>
      </c>
      <c r="H223" s="7" t="s">
        <v>857</v>
      </c>
      <c r="I223" s="7" t="s">
        <v>925</v>
      </c>
      <c r="J223" s="10">
        <v>45984.0</v>
      </c>
      <c r="K223" s="8" t="s">
        <v>859</v>
      </c>
      <c r="L223" s="7">
        <v>8.0</v>
      </c>
      <c r="M223" s="7" t="s">
        <v>860</v>
      </c>
      <c r="N223" s="13" t="s">
        <v>926</v>
      </c>
      <c r="O223" s="15" t="s">
        <v>927</v>
      </c>
    </row>
    <row r="224">
      <c r="A224" s="5">
        <v>264.0</v>
      </c>
      <c r="B224" s="6">
        <v>45985.52374315972</v>
      </c>
      <c r="C224" s="7" t="s">
        <v>26</v>
      </c>
      <c r="D224" s="8" t="s">
        <v>27</v>
      </c>
      <c r="E224" s="8" t="s">
        <v>28</v>
      </c>
      <c r="F224" s="7" t="s">
        <v>29</v>
      </c>
      <c r="G224" s="9" t="s">
        <v>19</v>
      </c>
      <c r="H224" s="7" t="s">
        <v>928</v>
      </c>
      <c r="I224" s="7" t="s">
        <v>929</v>
      </c>
      <c r="J224" s="10">
        <v>45951.0</v>
      </c>
      <c r="K224" s="8" t="s">
        <v>930</v>
      </c>
      <c r="L224" s="7">
        <v>2.0</v>
      </c>
      <c r="M224" s="7" t="s">
        <v>931</v>
      </c>
      <c r="N224" s="13" t="s">
        <v>932</v>
      </c>
      <c r="O224" s="15" t="s">
        <v>933</v>
      </c>
    </row>
    <row r="225">
      <c r="A225" s="5">
        <v>265.0</v>
      </c>
      <c r="B225" s="6">
        <v>45985.52409578704</v>
      </c>
      <c r="C225" s="7" t="s">
        <v>26</v>
      </c>
      <c r="D225" s="8" t="s">
        <v>934</v>
      </c>
      <c r="E225" s="8" t="s">
        <v>287</v>
      </c>
      <c r="F225" s="7" t="s">
        <v>935</v>
      </c>
      <c r="G225" s="9" t="s">
        <v>19</v>
      </c>
      <c r="H225" s="7" t="s">
        <v>936</v>
      </c>
      <c r="I225" s="7" t="s">
        <v>31</v>
      </c>
      <c r="J225" s="10">
        <v>45825.0</v>
      </c>
      <c r="K225" s="8" t="s">
        <v>49</v>
      </c>
      <c r="L225" s="7">
        <v>8.0</v>
      </c>
      <c r="M225" s="7" t="s">
        <v>33</v>
      </c>
      <c r="N225" s="13" t="s">
        <v>937</v>
      </c>
      <c r="O225" s="15" t="s">
        <v>938</v>
      </c>
    </row>
    <row r="226">
      <c r="A226" s="5">
        <v>267.0</v>
      </c>
      <c r="B226" s="6">
        <v>45985.53263056713</v>
      </c>
      <c r="C226" s="7" t="s">
        <v>26</v>
      </c>
      <c r="D226" s="8" t="s">
        <v>274</v>
      </c>
      <c r="E226" s="8" t="s">
        <v>228</v>
      </c>
      <c r="F226" s="7" t="s">
        <v>275</v>
      </c>
      <c r="G226" s="9" t="s">
        <v>181</v>
      </c>
      <c r="H226" s="7" t="s">
        <v>857</v>
      </c>
      <c r="I226" s="7" t="s">
        <v>939</v>
      </c>
      <c r="J226" s="10">
        <v>45984.0</v>
      </c>
      <c r="K226" s="8" t="s">
        <v>859</v>
      </c>
      <c r="L226" s="7">
        <v>8.0</v>
      </c>
      <c r="M226" s="7" t="s">
        <v>860</v>
      </c>
      <c r="N226" s="13" t="s">
        <v>940</v>
      </c>
      <c r="O226" s="15" t="s">
        <v>941</v>
      </c>
    </row>
    <row r="227">
      <c r="A227" s="5">
        <v>268.0</v>
      </c>
      <c r="B227" s="6">
        <v>45985.535185</v>
      </c>
      <c r="C227" s="7" t="s">
        <v>26</v>
      </c>
      <c r="D227" s="8" t="s">
        <v>213</v>
      </c>
      <c r="E227" s="8" t="s">
        <v>214</v>
      </c>
      <c r="F227" s="7" t="s">
        <v>215</v>
      </c>
      <c r="G227" s="9" t="s">
        <v>181</v>
      </c>
      <c r="H227" s="7" t="s">
        <v>942</v>
      </c>
      <c r="I227" s="7" t="s">
        <v>943</v>
      </c>
      <c r="J227" s="10">
        <v>45875.0</v>
      </c>
      <c r="K227" s="8" t="s">
        <v>175</v>
      </c>
      <c r="L227" s="7">
        <v>6.0</v>
      </c>
      <c r="M227" s="7" t="s">
        <v>944</v>
      </c>
      <c r="N227" s="13" t="s">
        <v>945</v>
      </c>
      <c r="O227" s="15" t="s">
        <v>946</v>
      </c>
    </row>
    <row r="228">
      <c r="A228" s="5">
        <v>269.0</v>
      </c>
      <c r="B228" s="6">
        <v>45985.538213101856</v>
      </c>
      <c r="C228" s="7" t="s">
        <v>26</v>
      </c>
      <c r="D228" s="8" t="s">
        <v>213</v>
      </c>
      <c r="E228" s="8" t="s">
        <v>214</v>
      </c>
      <c r="F228" s="7" t="s">
        <v>215</v>
      </c>
      <c r="G228" s="9" t="s">
        <v>181</v>
      </c>
      <c r="H228" s="7" t="s">
        <v>857</v>
      </c>
      <c r="I228" s="7" t="s">
        <v>947</v>
      </c>
      <c r="J228" s="10">
        <v>45984.0</v>
      </c>
      <c r="K228" s="8" t="s">
        <v>859</v>
      </c>
      <c r="L228" s="7">
        <v>8.0</v>
      </c>
      <c r="M228" s="7" t="s">
        <v>860</v>
      </c>
      <c r="N228" s="13" t="s">
        <v>948</v>
      </c>
      <c r="O228" s="15" t="s">
        <v>949</v>
      </c>
    </row>
    <row r="229">
      <c r="A229" s="5">
        <v>270.0</v>
      </c>
      <c r="B229" s="6">
        <v>45985.538291770834</v>
      </c>
      <c r="C229" s="7" t="s">
        <v>26</v>
      </c>
      <c r="D229" s="8" t="s">
        <v>950</v>
      </c>
      <c r="E229" s="8" t="s">
        <v>951</v>
      </c>
      <c r="F229" s="7" t="s">
        <v>952</v>
      </c>
      <c r="G229" s="9" t="s">
        <v>19</v>
      </c>
      <c r="H229" s="7" t="s">
        <v>44</v>
      </c>
      <c r="I229" s="7" t="s">
        <v>37</v>
      </c>
      <c r="J229" s="10">
        <v>45839.0</v>
      </c>
      <c r="K229" s="8" t="s">
        <v>67</v>
      </c>
      <c r="L229" s="7">
        <v>8.0</v>
      </c>
      <c r="M229" s="7" t="s">
        <v>33</v>
      </c>
      <c r="N229" s="13" t="s">
        <v>953</v>
      </c>
      <c r="O229" s="15" t="s">
        <v>954</v>
      </c>
    </row>
    <row r="230">
      <c r="A230" s="5">
        <v>271.0</v>
      </c>
      <c r="B230" s="6">
        <v>45985.53917386574</v>
      </c>
      <c r="C230" s="7" t="s">
        <v>26</v>
      </c>
      <c r="D230" s="8" t="s">
        <v>918</v>
      </c>
      <c r="E230" s="8" t="s">
        <v>919</v>
      </c>
      <c r="F230" s="7" t="s">
        <v>920</v>
      </c>
      <c r="G230" s="9" t="s">
        <v>19</v>
      </c>
      <c r="H230" s="7" t="s">
        <v>955</v>
      </c>
      <c r="I230" s="7" t="s">
        <v>956</v>
      </c>
      <c r="J230" s="10">
        <v>45977.0</v>
      </c>
      <c r="K230" s="8" t="s">
        <v>957</v>
      </c>
      <c r="L230" s="7">
        <v>4.0</v>
      </c>
      <c r="M230" s="7" t="s">
        <v>87</v>
      </c>
      <c r="N230" s="13" t="s">
        <v>958</v>
      </c>
      <c r="O230" s="15" t="s">
        <v>959</v>
      </c>
    </row>
    <row r="231">
      <c r="A231" s="5">
        <v>272.0</v>
      </c>
      <c r="B231" s="6">
        <v>45985.540257824076</v>
      </c>
      <c r="C231" s="7" t="s">
        <v>26</v>
      </c>
      <c r="D231" s="8" t="s">
        <v>432</v>
      </c>
      <c r="E231" s="8" t="s">
        <v>142</v>
      </c>
      <c r="F231" s="7" t="s">
        <v>433</v>
      </c>
      <c r="G231" s="9" t="s">
        <v>19</v>
      </c>
      <c r="H231" s="7" t="s">
        <v>960</v>
      </c>
      <c r="I231" s="7" t="s">
        <v>961</v>
      </c>
      <c r="J231" s="10">
        <v>45961.0</v>
      </c>
      <c r="K231" s="8" t="s">
        <v>962</v>
      </c>
      <c r="L231" s="7">
        <v>4.0</v>
      </c>
      <c r="M231" s="7" t="s">
        <v>87</v>
      </c>
      <c r="N231" s="13" t="s">
        <v>963</v>
      </c>
      <c r="O231" s="15" t="s">
        <v>964</v>
      </c>
    </row>
    <row r="232">
      <c r="A232" s="5">
        <v>273.0</v>
      </c>
      <c r="B232" s="6">
        <v>45985.541269733796</v>
      </c>
      <c r="C232" s="7" t="s">
        <v>26</v>
      </c>
      <c r="D232" s="8" t="s">
        <v>965</v>
      </c>
      <c r="E232" s="8" t="s">
        <v>569</v>
      </c>
      <c r="F232" s="7" t="s">
        <v>966</v>
      </c>
      <c r="G232" s="9" t="s">
        <v>19</v>
      </c>
      <c r="H232" s="7" t="s">
        <v>30</v>
      </c>
      <c r="I232" s="7" t="s">
        <v>31</v>
      </c>
      <c r="J232" s="10">
        <v>45825.0</v>
      </c>
      <c r="K232" s="8" t="s">
        <v>49</v>
      </c>
      <c r="L232" s="7">
        <v>8.0</v>
      </c>
      <c r="M232" s="7" t="s">
        <v>553</v>
      </c>
      <c r="N232" s="13" t="s">
        <v>967</v>
      </c>
      <c r="O232" s="15" t="s">
        <v>968</v>
      </c>
    </row>
    <row r="233">
      <c r="A233" s="5">
        <v>274.0</v>
      </c>
      <c r="B233" s="6">
        <v>45985.5436815625</v>
      </c>
      <c r="C233" s="7" t="s">
        <v>26</v>
      </c>
      <c r="D233" s="8" t="s">
        <v>432</v>
      </c>
      <c r="E233" s="8" t="s">
        <v>142</v>
      </c>
      <c r="F233" s="7" t="s">
        <v>433</v>
      </c>
      <c r="G233" s="9" t="s">
        <v>19</v>
      </c>
      <c r="H233" s="7" t="s">
        <v>960</v>
      </c>
      <c r="I233" s="7" t="s">
        <v>961</v>
      </c>
      <c r="J233" s="10">
        <v>45962.0</v>
      </c>
      <c r="K233" s="8" t="s">
        <v>49</v>
      </c>
      <c r="L233" s="7">
        <v>8.0</v>
      </c>
      <c r="M233" s="7" t="s">
        <v>87</v>
      </c>
      <c r="N233" s="13" t="s">
        <v>969</v>
      </c>
      <c r="O233" s="15" t="s">
        <v>970</v>
      </c>
    </row>
    <row r="234">
      <c r="A234" s="5">
        <v>275.0</v>
      </c>
      <c r="B234" s="6">
        <v>45985.54389148148</v>
      </c>
      <c r="C234" s="7" t="s">
        <v>26</v>
      </c>
      <c r="D234" s="8" t="s">
        <v>965</v>
      </c>
      <c r="E234" s="8" t="s">
        <v>569</v>
      </c>
      <c r="F234" s="7" t="s">
        <v>966</v>
      </c>
      <c r="G234" s="9" t="s">
        <v>19</v>
      </c>
      <c r="H234" s="7" t="s">
        <v>30</v>
      </c>
      <c r="I234" s="7" t="s">
        <v>469</v>
      </c>
      <c r="J234" s="10">
        <v>45833.0</v>
      </c>
      <c r="K234" s="8" t="s">
        <v>49</v>
      </c>
      <c r="L234" s="7">
        <v>8.0</v>
      </c>
      <c r="M234" s="7" t="s">
        <v>553</v>
      </c>
      <c r="N234" s="13" t="s">
        <v>971</v>
      </c>
      <c r="O234" s="15" t="s">
        <v>972</v>
      </c>
    </row>
    <row r="235">
      <c r="A235" s="5">
        <v>276.0</v>
      </c>
      <c r="B235" s="6">
        <v>45985.54521287037</v>
      </c>
      <c r="C235" s="7" t="s">
        <v>26</v>
      </c>
      <c r="D235" s="8" t="s">
        <v>432</v>
      </c>
      <c r="E235" s="8" t="s">
        <v>142</v>
      </c>
      <c r="F235" s="7" t="s">
        <v>433</v>
      </c>
      <c r="G235" s="9" t="s">
        <v>19</v>
      </c>
      <c r="H235" s="7" t="s">
        <v>960</v>
      </c>
      <c r="I235" s="7" t="s">
        <v>961</v>
      </c>
      <c r="J235" s="10">
        <v>45963.0</v>
      </c>
      <c r="K235" s="8" t="s">
        <v>49</v>
      </c>
      <c r="L235" s="7">
        <v>8.0</v>
      </c>
      <c r="M235" s="7" t="s">
        <v>87</v>
      </c>
      <c r="N235" s="13" t="s">
        <v>973</v>
      </c>
      <c r="O235" s="15" t="s">
        <v>974</v>
      </c>
    </row>
    <row r="236">
      <c r="A236" s="5">
        <v>278.0</v>
      </c>
      <c r="B236" s="6">
        <v>45985.550854375004</v>
      </c>
      <c r="C236" s="7" t="s">
        <v>26</v>
      </c>
      <c r="D236" s="8" t="s">
        <v>934</v>
      </c>
      <c r="E236" s="8" t="s">
        <v>287</v>
      </c>
      <c r="F236" s="7" t="s">
        <v>935</v>
      </c>
      <c r="G236" s="9" t="s">
        <v>19</v>
      </c>
      <c r="H236" s="7" t="s">
        <v>975</v>
      </c>
      <c r="I236" s="7" t="s">
        <v>31</v>
      </c>
      <c r="J236" s="10">
        <v>45825.0</v>
      </c>
      <c r="K236" s="8" t="s">
        <v>49</v>
      </c>
      <c r="L236" s="7">
        <v>8.0</v>
      </c>
      <c r="M236" s="7" t="s">
        <v>33</v>
      </c>
      <c r="N236" s="13" t="s">
        <v>976</v>
      </c>
      <c r="O236" s="15" t="s">
        <v>977</v>
      </c>
    </row>
    <row r="237">
      <c r="A237" s="5">
        <v>279.0</v>
      </c>
      <c r="B237" s="6">
        <v>45985.55331802083</v>
      </c>
      <c r="C237" s="7" t="s">
        <v>26</v>
      </c>
      <c r="D237" s="8" t="s">
        <v>965</v>
      </c>
      <c r="E237" s="8" t="s">
        <v>569</v>
      </c>
      <c r="F237" s="7" t="s">
        <v>966</v>
      </c>
      <c r="G237" s="9" t="s">
        <v>19</v>
      </c>
      <c r="H237" s="7" t="s">
        <v>30</v>
      </c>
      <c r="I237" s="7" t="s">
        <v>37</v>
      </c>
      <c r="J237" s="10">
        <v>45838.0</v>
      </c>
      <c r="K237" s="8" t="s">
        <v>67</v>
      </c>
      <c r="L237" s="7">
        <v>8.0</v>
      </c>
      <c r="M237" s="7" t="s">
        <v>553</v>
      </c>
      <c r="N237" s="13" t="s">
        <v>978</v>
      </c>
      <c r="O237" s="15" t="s">
        <v>979</v>
      </c>
    </row>
    <row r="238">
      <c r="A238" s="5">
        <v>280.0</v>
      </c>
      <c r="B238" s="6">
        <v>45985.55402652778</v>
      </c>
      <c r="C238" s="7" t="s">
        <v>26</v>
      </c>
      <c r="D238" s="8" t="s">
        <v>980</v>
      </c>
      <c r="E238" s="8" t="s">
        <v>236</v>
      </c>
      <c r="F238" s="7" t="s">
        <v>981</v>
      </c>
      <c r="G238" s="9" t="s">
        <v>19</v>
      </c>
      <c r="H238" s="7" t="s">
        <v>982</v>
      </c>
      <c r="I238" s="7" t="s">
        <v>983</v>
      </c>
      <c r="J238" s="10">
        <v>45839.0</v>
      </c>
      <c r="K238" s="8" t="s">
        <v>67</v>
      </c>
      <c r="L238" s="7">
        <v>8.0</v>
      </c>
      <c r="M238" s="7" t="s">
        <v>33</v>
      </c>
      <c r="N238" s="13" t="s">
        <v>984</v>
      </c>
      <c r="O238" s="15" t="s">
        <v>985</v>
      </c>
    </row>
    <row r="239">
      <c r="A239" s="5">
        <v>281.0</v>
      </c>
      <c r="B239" s="6">
        <v>45985.5546974537</v>
      </c>
      <c r="C239" s="7" t="s">
        <v>26</v>
      </c>
      <c r="D239" s="8" t="s">
        <v>934</v>
      </c>
      <c r="E239" s="8" t="s">
        <v>287</v>
      </c>
      <c r="F239" s="7" t="s">
        <v>935</v>
      </c>
      <c r="G239" s="9" t="s">
        <v>19</v>
      </c>
      <c r="H239" s="7" t="s">
        <v>936</v>
      </c>
      <c r="I239" s="7" t="s">
        <v>469</v>
      </c>
      <c r="J239" s="10">
        <v>45833.0</v>
      </c>
      <c r="K239" s="8" t="s">
        <v>49</v>
      </c>
      <c r="L239" s="7">
        <v>8.0</v>
      </c>
      <c r="M239" s="7" t="s">
        <v>33</v>
      </c>
      <c r="N239" s="13" t="s">
        <v>986</v>
      </c>
      <c r="O239" s="15" t="s">
        <v>987</v>
      </c>
    </row>
    <row r="240">
      <c r="A240" s="5">
        <v>282.0</v>
      </c>
      <c r="B240" s="6">
        <v>45985.55553469907</v>
      </c>
      <c r="C240" s="7" t="s">
        <v>26</v>
      </c>
      <c r="D240" s="8" t="s">
        <v>965</v>
      </c>
      <c r="E240" s="8" t="s">
        <v>569</v>
      </c>
      <c r="F240" s="7" t="s">
        <v>966</v>
      </c>
      <c r="G240" s="9" t="s">
        <v>19</v>
      </c>
      <c r="H240" s="7" t="s">
        <v>99</v>
      </c>
      <c r="I240" s="7" t="s">
        <v>37</v>
      </c>
      <c r="J240" s="10">
        <v>45839.0</v>
      </c>
      <c r="K240" s="8" t="s">
        <v>67</v>
      </c>
      <c r="L240" s="7">
        <v>8.0</v>
      </c>
      <c r="M240" s="7" t="s">
        <v>553</v>
      </c>
      <c r="N240" s="13" t="s">
        <v>988</v>
      </c>
      <c r="O240" s="15" t="s">
        <v>989</v>
      </c>
    </row>
    <row r="241">
      <c r="A241" s="5">
        <v>284.0</v>
      </c>
      <c r="B241" s="6">
        <v>45985.55716563658</v>
      </c>
      <c r="C241" s="7" t="s">
        <v>26</v>
      </c>
      <c r="D241" s="8" t="s">
        <v>934</v>
      </c>
      <c r="E241" s="8" t="s">
        <v>287</v>
      </c>
      <c r="F241" s="7" t="s">
        <v>935</v>
      </c>
      <c r="G241" s="9" t="s">
        <v>19</v>
      </c>
      <c r="H241" s="7" t="s">
        <v>30</v>
      </c>
      <c r="I241" s="7" t="s">
        <v>37</v>
      </c>
      <c r="J241" s="10">
        <v>45838.0</v>
      </c>
      <c r="K241" s="8" t="s">
        <v>67</v>
      </c>
      <c r="L241" s="7">
        <v>8.0</v>
      </c>
      <c r="M241" s="7" t="s">
        <v>33</v>
      </c>
      <c r="N241" s="13" t="s">
        <v>990</v>
      </c>
      <c r="O241" s="15" t="s">
        <v>991</v>
      </c>
    </row>
    <row r="242">
      <c r="A242" s="5">
        <v>285.0</v>
      </c>
      <c r="B242" s="6">
        <v>45985.558804444445</v>
      </c>
      <c r="C242" s="7" t="s">
        <v>26</v>
      </c>
      <c r="D242" s="8" t="s">
        <v>934</v>
      </c>
      <c r="E242" s="8" t="s">
        <v>287</v>
      </c>
      <c r="F242" s="7" t="s">
        <v>935</v>
      </c>
      <c r="G242" s="9" t="s">
        <v>19</v>
      </c>
      <c r="H242" s="7" t="s">
        <v>41</v>
      </c>
      <c r="I242" s="7" t="s">
        <v>37</v>
      </c>
      <c r="J242" s="10">
        <v>45839.0</v>
      </c>
      <c r="K242" s="8" t="s">
        <v>67</v>
      </c>
      <c r="L242" s="7">
        <v>8.0</v>
      </c>
      <c r="M242" s="7" t="s">
        <v>33</v>
      </c>
      <c r="N242" s="13" t="s">
        <v>992</v>
      </c>
      <c r="O242" s="15" t="s">
        <v>993</v>
      </c>
    </row>
    <row r="243">
      <c r="A243" s="5">
        <v>286.0</v>
      </c>
      <c r="B243" s="6">
        <v>45985.5597119213</v>
      </c>
      <c r="C243" s="7" t="s">
        <v>26</v>
      </c>
      <c r="D243" s="8" t="s">
        <v>980</v>
      </c>
      <c r="E243" s="8" t="s">
        <v>236</v>
      </c>
      <c r="F243" s="7" t="s">
        <v>981</v>
      </c>
      <c r="G243" s="9" t="s">
        <v>19</v>
      </c>
      <c r="H243" s="7" t="s">
        <v>982</v>
      </c>
      <c r="I243" s="7" t="s">
        <v>983</v>
      </c>
      <c r="J243" s="10">
        <v>45840.0</v>
      </c>
      <c r="K243" s="8" t="s">
        <v>67</v>
      </c>
      <c r="L243" s="7">
        <v>8.0</v>
      </c>
      <c r="M243" s="7" t="s">
        <v>33</v>
      </c>
      <c r="N243" s="13" t="s">
        <v>994</v>
      </c>
      <c r="O243" s="15" t="s">
        <v>995</v>
      </c>
    </row>
    <row r="244">
      <c r="A244" s="5">
        <v>287.0</v>
      </c>
      <c r="B244" s="6">
        <v>45985.560352534725</v>
      </c>
      <c r="C244" s="7" t="s">
        <v>26</v>
      </c>
      <c r="D244" s="8" t="s">
        <v>934</v>
      </c>
      <c r="E244" s="8" t="s">
        <v>287</v>
      </c>
      <c r="F244" s="7" t="s">
        <v>935</v>
      </c>
      <c r="G244" s="9" t="s">
        <v>19</v>
      </c>
      <c r="H244" s="7" t="s">
        <v>44</v>
      </c>
      <c r="I244" s="7" t="s">
        <v>37</v>
      </c>
      <c r="J244" s="10">
        <v>45840.0</v>
      </c>
      <c r="K244" s="8" t="s">
        <v>67</v>
      </c>
      <c r="L244" s="7">
        <v>8.0</v>
      </c>
      <c r="M244" s="7" t="s">
        <v>33</v>
      </c>
      <c r="N244" s="13" t="s">
        <v>996</v>
      </c>
      <c r="O244" s="15" t="s">
        <v>997</v>
      </c>
    </row>
    <row r="245">
      <c r="A245" s="5">
        <v>288.0</v>
      </c>
      <c r="B245" s="6">
        <v>45985.564506423616</v>
      </c>
      <c r="C245" s="7" t="s">
        <v>26</v>
      </c>
      <c r="D245" s="8" t="s">
        <v>965</v>
      </c>
      <c r="E245" s="8" t="s">
        <v>569</v>
      </c>
      <c r="F245" s="7" t="s">
        <v>966</v>
      </c>
      <c r="G245" s="9" t="s">
        <v>19</v>
      </c>
      <c r="H245" s="7" t="s">
        <v>99</v>
      </c>
      <c r="I245" s="7" t="s">
        <v>37</v>
      </c>
      <c r="J245" s="10">
        <v>45840.0</v>
      </c>
      <c r="K245" s="8" t="s">
        <v>67</v>
      </c>
      <c r="L245" s="7">
        <v>8.0</v>
      </c>
      <c r="M245" s="7" t="s">
        <v>553</v>
      </c>
      <c r="N245" s="13" t="s">
        <v>998</v>
      </c>
      <c r="O245" s="15" t="s">
        <v>999</v>
      </c>
    </row>
    <row r="246">
      <c r="A246" s="5">
        <v>289.0</v>
      </c>
      <c r="B246" s="6">
        <v>45985.570732719905</v>
      </c>
      <c r="C246" s="7" t="s">
        <v>26</v>
      </c>
      <c r="D246" s="8" t="s">
        <v>934</v>
      </c>
      <c r="E246" s="8" t="s">
        <v>287</v>
      </c>
      <c r="F246" s="7" t="s">
        <v>935</v>
      </c>
      <c r="G246" s="9" t="s">
        <v>19</v>
      </c>
      <c r="H246" s="7" t="s">
        <v>1000</v>
      </c>
      <c r="I246" s="7" t="s">
        <v>526</v>
      </c>
      <c r="J246" s="10">
        <v>45884.0</v>
      </c>
      <c r="K246" s="8" t="s">
        <v>962</v>
      </c>
      <c r="L246" s="7">
        <v>4.0</v>
      </c>
      <c r="M246" s="7" t="s">
        <v>87</v>
      </c>
      <c r="N246" s="13" t="s">
        <v>1001</v>
      </c>
      <c r="O246" s="15" t="s">
        <v>1002</v>
      </c>
    </row>
    <row r="247">
      <c r="A247" s="5">
        <v>290.0</v>
      </c>
      <c r="B247" s="6">
        <v>45985.57227609954</v>
      </c>
      <c r="C247" s="7" t="s">
        <v>26</v>
      </c>
      <c r="D247" s="8" t="s">
        <v>934</v>
      </c>
      <c r="E247" s="8" t="s">
        <v>287</v>
      </c>
      <c r="F247" s="7" t="s">
        <v>935</v>
      </c>
      <c r="G247" s="9" t="s">
        <v>19</v>
      </c>
      <c r="H247" s="7" t="s">
        <v>1000</v>
      </c>
      <c r="I247" s="7" t="s">
        <v>526</v>
      </c>
      <c r="J247" s="10">
        <v>45885.0</v>
      </c>
      <c r="K247" s="8" t="s">
        <v>49</v>
      </c>
      <c r="L247" s="7">
        <v>8.0</v>
      </c>
      <c r="M247" s="7" t="s">
        <v>87</v>
      </c>
      <c r="N247" s="13" t="s">
        <v>1003</v>
      </c>
      <c r="O247" s="15" t="s">
        <v>1004</v>
      </c>
    </row>
    <row r="248">
      <c r="A248" s="5">
        <v>291.0</v>
      </c>
      <c r="B248" s="6">
        <v>45985.5734396412</v>
      </c>
      <c r="C248" s="7" t="s">
        <v>26</v>
      </c>
      <c r="D248" s="8" t="s">
        <v>934</v>
      </c>
      <c r="E248" s="8" t="s">
        <v>287</v>
      </c>
      <c r="F248" s="7" t="s">
        <v>935</v>
      </c>
      <c r="G248" s="9" t="s">
        <v>19</v>
      </c>
      <c r="H248" s="7" t="s">
        <v>1000</v>
      </c>
      <c r="I248" s="7" t="s">
        <v>526</v>
      </c>
      <c r="J248" s="10">
        <v>45886.0</v>
      </c>
      <c r="K248" s="8" t="s">
        <v>49</v>
      </c>
      <c r="L248" s="7">
        <v>8.0</v>
      </c>
      <c r="M248" s="7" t="s">
        <v>87</v>
      </c>
      <c r="N248" s="13" t="s">
        <v>1005</v>
      </c>
      <c r="O248" s="15" t="s">
        <v>1006</v>
      </c>
    </row>
    <row r="249">
      <c r="A249" s="5">
        <v>292.0</v>
      </c>
      <c r="B249" s="6">
        <v>45985.623321747684</v>
      </c>
      <c r="C249" s="7" t="s">
        <v>26</v>
      </c>
      <c r="D249" s="8" t="s">
        <v>1007</v>
      </c>
      <c r="E249" s="8" t="s">
        <v>479</v>
      </c>
      <c r="F249" s="7" t="s">
        <v>480</v>
      </c>
      <c r="G249" s="9" t="s">
        <v>19</v>
      </c>
      <c r="H249" s="7" t="s">
        <v>44</v>
      </c>
      <c r="I249" s="7" t="s">
        <v>37</v>
      </c>
      <c r="J249" s="10">
        <v>45840.0</v>
      </c>
      <c r="K249" s="8" t="s">
        <v>38</v>
      </c>
      <c r="L249" s="7">
        <v>8.0</v>
      </c>
      <c r="M249" s="7" t="s">
        <v>33</v>
      </c>
      <c r="N249" s="13" t="s">
        <v>1008</v>
      </c>
      <c r="O249" s="15" t="s">
        <v>1009</v>
      </c>
    </row>
    <row r="250">
      <c r="A250" s="5">
        <v>293.0</v>
      </c>
      <c r="B250" s="6">
        <v>45985.83971644676</v>
      </c>
      <c r="C250" s="7" t="s">
        <v>26</v>
      </c>
      <c r="D250" s="8" t="s">
        <v>1010</v>
      </c>
      <c r="E250" s="8" t="s">
        <v>881</v>
      </c>
      <c r="F250" s="7" t="s">
        <v>1011</v>
      </c>
      <c r="G250" s="9" t="s">
        <v>19</v>
      </c>
      <c r="H250" s="7" t="s">
        <v>1012</v>
      </c>
      <c r="I250" s="7" t="s">
        <v>1013</v>
      </c>
      <c r="J250" s="10">
        <v>45839.0</v>
      </c>
      <c r="K250" s="8" t="s">
        <v>67</v>
      </c>
      <c r="L250" s="7">
        <v>8.0</v>
      </c>
      <c r="M250" s="7" t="s">
        <v>33</v>
      </c>
      <c r="N250" s="13" t="s">
        <v>1014</v>
      </c>
      <c r="O250" s="15" t="s">
        <v>1015</v>
      </c>
    </row>
    <row r="251">
      <c r="A251" s="5">
        <v>294.0</v>
      </c>
      <c r="B251" s="6">
        <v>45985.84381359954</v>
      </c>
      <c r="C251" s="7" t="s">
        <v>26</v>
      </c>
      <c r="D251" s="8" t="s">
        <v>1010</v>
      </c>
      <c r="E251" s="8" t="s">
        <v>881</v>
      </c>
      <c r="F251" s="7" t="s">
        <v>1011</v>
      </c>
      <c r="G251" s="9" t="s">
        <v>19</v>
      </c>
      <c r="H251" s="7" t="s">
        <v>41</v>
      </c>
      <c r="I251" s="7" t="s">
        <v>37</v>
      </c>
      <c r="J251" s="10">
        <v>45840.0</v>
      </c>
      <c r="K251" s="8" t="s">
        <v>67</v>
      </c>
      <c r="L251" s="7">
        <v>8.0</v>
      </c>
      <c r="M251" s="7" t="s">
        <v>1016</v>
      </c>
      <c r="N251" s="13" t="s">
        <v>1017</v>
      </c>
      <c r="O251" s="15" t="s">
        <v>1018</v>
      </c>
    </row>
    <row r="252">
      <c r="A252" s="5">
        <v>295.0</v>
      </c>
      <c r="B252" s="6">
        <v>45985.846931458334</v>
      </c>
      <c r="C252" s="7" t="s">
        <v>26</v>
      </c>
      <c r="D252" s="8" t="s">
        <v>1010</v>
      </c>
      <c r="E252" s="8" t="s">
        <v>881</v>
      </c>
      <c r="F252" s="7" t="s">
        <v>1011</v>
      </c>
      <c r="G252" s="9" t="s">
        <v>19</v>
      </c>
      <c r="H252" s="7" t="s">
        <v>928</v>
      </c>
      <c r="I252" s="7" t="s">
        <v>929</v>
      </c>
      <c r="J252" s="10">
        <v>45951.0</v>
      </c>
      <c r="K252" s="8" t="s">
        <v>930</v>
      </c>
      <c r="L252" s="7">
        <v>2.0</v>
      </c>
      <c r="M252" s="7" t="s">
        <v>1019</v>
      </c>
      <c r="N252" s="13" t="s">
        <v>1020</v>
      </c>
      <c r="O252" s="15" t="s">
        <v>1021</v>
      </c>
    </row>
    <row r="253">
      <c r="A253" s="5">
        <v>296.0</v>
      </c>
      <c r="B253" s="6">
        <v>45985.87469635416</v>
      </c>
      <c r="C253" s="7" t="s">
        <v>26</v>
      </c>
      <c r="D253" s="8" t="s">
        <v>1022</v>
      </c>
      <c r="E253" s="8" t="s">
        <v>1023</v>
      </c>
      <c r="F253" s="7" t="s">
        <v>1024</v>
      </c>
      <c r="G253" s="9" t="s">
        <v>181</v>
      </c>
      <c r="H253" s="7" t="s">
        <v>857</v>
      </c>
      <c r="I253" s="7" t="s">
        <v>939</v>
      </c>
      <c r="J253" s="10">
        <v>45984.0</v>
      </c>
      <c r="K253" s="8" t="s">
        <v>859</v>
      </c>
      <c r="L253" s="7">
        <v>8.0</v>
      </c>
      <c r="M253" s="7" t="s">
        <v>860</v>
      </c>
      <c r="N253" s="13" t="s">
        <v>1025</v>
      </c>
      <c r="O253" s="15" t="s">
        <v>1026</v>
      </c>
    </row>
    <row r="254">
      <c r="A254" s="5">
        <v>297.0</v>
      </c>
      <c r="B254" s="6">
        <v>45985.878608680556</v>
      </c>
      <c r="C254" s="7" t="s">
        <v>26</v>
      </c>
      <c r="D254" s="8" t="s">
        <v>1022</v>
      </c>
      <c r="E254" s="8" t="s">
        <v>1023</v>
      </c>
      <c r="F254" s="7" t="s">
        <v>1024</v>
      </c>
      <c r="G254" s="9" t="s">
        <v>181</v>
      </c>
      <c r="H254" s="7" t="s">
        <v>1027</v>
      </c>
      <c r="I254" s="7" t="s">
        <v>314</v>
      </c>
      <c r="J254" s="10">
        <v>45859.0</v>
      </c>
      <c r="K254" s="8" t="s">
        <v>175</v>
      </c>
      <c r="L254" s="7">
        <v>8.0</v>
      </c>
      <c r="M254" s="7" t="s">
        <v>33</v>
      </c>
      <c r="N254" s="13" t="s">
        <v>1028</v>
      </c>
      <c r="O254" s="15" t="s">
        <v>1029</v>
      </c>
    </row>
    <row r="255">
      <c r="A255" s="5">
        <v>298.0</v>
      </c>
      <c r="B255" s="6">
        <v>45985.88165027778</v>
      </c>
      <c r="C255" s="7" t="s">
        <v>26</v>
      </c>
      <c r="D255" s="8" t="s">
        <v>1022</v>
      </c>
      <c r="E255" s="8" t="s">
        <v>1023</v>
      </c>
      <c r="F255" s="7" t="s">
        <v>1024</v>
      </c>
      <c r="G255" s="9" t="s">
        <v>181</v>
      </c>
      <c r="H255" s="7" t="s">
        <v>1030</v>
      </c>
      <c r="I255" s="7" t="s">
        <v>1031</v>
      </c>
      <c r="J255" s="10">
        <v>45979.0</v>
      </c>
      <c r="K255" s="8" t="s">
        <v>1032</v>
      </c>
      <c r="L255" s="7">
        <v>2.0</v>
      </c>
      <c r="M255" s="7" t="s">
        <v>219</v>
      </c>
      <c r="N255" s="13" t="s">
        <v>1033</v>
      </c>
      <c r="O255" s="15" t="s">
        <v>1034</v>
      </c>
    </row>
    <row r="256">
      <c r="A256" s="5">
        <v>299.0</v>
      </c>
      <c r="B256" s="6">
        <v>45985.883454537034</v>
      </c>
      <c r="C256" s="7" t="s">
        <v>26</v>
      </c>
      <c r="D256" s="8" t="s">
        <v>1022</v>
      </c>
      <c r="E256" s="8" t="s">
        <v>1023</v>
      </c>
      <c r="F256" s="7" t="s">
        <v>1024</v>
      </c>
      <c r="G256" s="9" t="s">
        <v>19</v>
      </c>
      <c r="H256" s="7" t="s">
        <v>955</v>
      </c>
      <c r="I256" s="7" t="s">
        <v>956</v>
      </c>
      <c r="J256" s="10">
        <v>45976.0</v>
      </c>
      <c r="K256" s="8" t="s">
        <v>957</v>
      </c>
      <c r="L256" s="7">
        <v>4.0</v>
      </c>
      <c r="M256" s="7" t="s">
        <v>87</v>
      </c>
      <c r="N256" s="13" t="s">
        <v>1035</v>
      </c>
      <c r="O256" s="15" t="s">
        <v>1036</v>
      </c>
    </row>
    <row r="257">
      <c r="A257" s="5">
        <v>300.0</v>
      </c>
      <c r="B257" s="6">
        <v>45985.88567167824</v>
      </c>
      <c r="C257" s="7" t="s">
        <v>26</v>
      </c>
      <c r="D257" s="8" t="s">
        <v>1022</v>
      </c>
      <c r="E257" s="8" t="s">
        <v>1023</v>
      </c>
      <c r="F257" s="7" t="s">
        <v>1024</v>
      </c>
      <c r="G257" s="9" t="s">
        <v>181</v>
      </c>
      <c r="H257" s="7" t="s">
        <v>1037</v>
      </c>
      <c r="I257" s="7" t="s">
        <v>314</v>
      </c>
      <c r="J257" s="10">
        <v>45875.0</v>
      </c>
      <c r="K257" s="8" t="s">
        <v>175</v>
      </c>
      <c r="L257" s="7">
        <v>6.0</v>
      </c>
      <c r="M257" s="7" t="s">
        <v>1038</v>
      </c>
      <c r="N257" s="13" t="s">
        <v>1039</v>
      </c>
      <c r="O257" s="15" t="s">
        <v>1040</v>
      </c>
    </row>
    <row r="258">
      <c r="A258" s="5">
        <v>301.0</v>
      </c>
      <c r="B258" s="6">
        <v>45985.9059583912</v>
      </c>
      <c r="C258" s="7" t="s">
        <v>26</v>
      </c>
      <c r="D258" s="8" t="s">
        <v>1041</v>
      </c>
      <c r="E258" s="8" t="s">
        <v>1042</v>
      </c>
      <c r="F258" s="7" t="s">
        <v>1043</v>
      </c>
      <c r="G258" s="9" t="s">
        <v>19</v>
      </c>
      <c r="H258" s="7" t="s">
        <v>936</v>
      </c>
      <c r="I258" s="7" t="s">
        <v>31</v>
      </c>
      <c r="J258" s="10">
        <v>45825.0</v>
      </c>
      <c r="K258" s="8" t="s">
        <v>49</v>
      </c>
      <c r="L258" s="7">
        <v>8.0</v>
      </c>
      <c r="M258" s="7" t="s">
        <v>33</v>
      </c>
      <c r="N258" s="13" t="s">
        <v>1044</v>
      </c>
      <c r="O258" s="15" t="s">
        <v>1045</v>
      </c>
    </row>
    <row r="259">
      <c r="A259" s="5">
        <v>302.0</v>
      </c>
      <c r="B259" s="6">
        <v>45985.91202189815</v>
      </c>
      <c r="C259" s="7" t="s">
        <v>26</v>
      </c>
      <c r="D259" s="8" t="s">
        <v>1041</v>
      </c>
      <c r="E259" s="8" t="s">
        <v>1042</v>
      </c>
      <c r="F259" s="7" t="s">
        <v>1043</v>
      </c>
      <c r="G259" s="9" t="s">
        <v>19</v>
      </c>
      <c r="H259" s="7" t="s">
        <v>41</v>
      </c>
      <c r="I259" s="7" t="s">
        <v>37</v>
      </c>
      <c r="J259" s="10">
        <v>45840.0</v>
      </c>
      <c r="K259" s="8" t="s">
        <v>67</v>
      </c>
      <c r="L259" s="7">
        <v>8.0</v>
      </c>
      <c r="M259" s="7" t="s">
        <v>33</v>
      </c>
      <c r="N259" s="13" t="s">
        <v>1046</v>
      </c>
      <c r="O259" s="15" t="s">
        <v>1047</v>
      </c>
    </row>
    <row r="260">
      <c r="A260" s="5">
        <v>303.0</v>
      </c>
      <c r="B260" s="6">
        <v>45985.91912652778</v>
      </c>
      <c r="C260" s="7" t="s">
        <v>125</v>
      </c>
      <c r="D260" s="8" t="s">
        <v>1048</v>
      </c>
      <c r="E260" s="8" t="s">
        <v>1049</v>
      </c>
      <c r="F260" s="7" t="s">
        <v>1050</v>
      </c>
      <c r="G260" s="9" t="s">
        <v>19</v>
      </c>
      <c r="H260" s="7" t="s">
        <v>173</v>
      </c>
      <c r="I260" s="7" t="s">
        <v>174</v>
      </c>
      <c r="J260" s="10">
        <v>45854.0</v>
      </c>
      <c r="K260" s="8" t="s">
        <v>175</v>
      </c>
      <c r="L260" s="7">
        <v>6.0</v>
      </c>
      <c r="M260" s="7" t="s">
        <v>106</v>
      </c>
      <c r="N260" s="13" t="s">
        <v>1051</v>
      </c>
      <c r="O260" s="15" t="s">
        <v>1052</v>
      </c>
    </row>
    <row r="261">
      <c r="A261" s="5">
        <v>304.0</v>
      </c>
      <c r="B261" s="6">
        <v>45985.92386894676</v>
      </c>
      <c r="C261" s="7" t="s">
        <v>26</v>
      </c>
      <c r="D261" s="8" t="s">
        <v>1041</v>
      </c>
      <c r="E261" s="8" t="s">
        <v>1042</v>
      </c>
      <c r="F261" s="7" t="s">
        <v>1043</v>
      </c>
      <c r="G261" s="9" t="s">
        <v>19</v>
      </c>
      <c r="H261" s="7" t="s">
        <v>41</v>
      </c>
      <c r="I261" s="7" t="s">
        <v>37</v>
      </c>
      <c r="J261" s="10">
        <v>45839.0</v>
      </c>
      <c r="K261" s="8" t="s">
        <v>67</v>
      </c>
      <c r="L261" s="7">
        <v>8.0</v>
      </c>
      <c r="M261" s="7" t="s">
        <v>33</v>
      </c>
      <c r="N261" s="13" t="s">
        <v>1053</v>
      </c>
      <c r="O261" s="15" t="s">
        <v>1054</v>
      </c>
    </row>
    <row r="262">
      <c r="A262" s="5">
        <v>305.0</v>
      </c>
      <c r="B262" s="6">
        <v>45985.933667708334</v>
      </c>
      <c r="C262" s="7" t="s">
        <v>26</v>
      </c>
      <c r="D262" s="8" t="s">
        <v>1041</v>
      </c>
      <c r="E262" s="8" t="s">
        <v>1042</v>
      </c>
      <c r="F262" s="7" t="s">
        <v>1043</v>
      </c>
      <c r="G262" s="9" t="s">
        <v>19</v>
      </c>
      <c r="H262" s="7" t="s">
        <v>936</v>
      </c>
      <c r="I262" s="7" t="s">
        <v>1055</v>
      </c>
      <c r="J262" s="10">
        <v>45833.0</v>
      </c>
      <c r="K262" s="8" t="s">
        <v>49</v>
      </c>
      <c r="L262" s="7">
        <v>8.0</v>
      </c>
      <c r="M262" s="7" t="s">
        <v>33</v>
      </c>
      <c r="N262" s="13" t="s">
        <v>1056</v>
      </c>
      <c r="O262" s="15" t="s">
        <v>1057</v>
      </c>
    </row>
    <row r="263">
      <c r="A263" s="5">
        <v>306.0</v>
      </c>
      <c r="B263" s="6">
        <v>45985.937603784725</v>
      </c>
      <c r="C263" s="7" t="s">
        <v>26</v>
      </c>
      <c r="D263" s="8" t="s">
        <v>1041</v>
      </c>
      <c r="E263" s="8" t="s">
        <v>1042</v>
      </c>
      <c r="F263" s="7" t="s">
        <v>1043</v>
      </c>
      <c r="G263" s="9" t="s">
        <v>19</v>
      </c>
      <c r="H263" s="7" t="s">
        <v>936</v>
      </c>
      <c r="I263" s="7" t="s">
        <v>37</v>
      </c>
      <c r="J263" s="10">
        <v>45838.0</v>
      </c>
      <c r="K263" s="8" t="s">
        <v>67</v>
      </c>
      <c r="L263" s="7">
        <v>8.0</v>
      </c>
      <c r="M263" s="7" t="s">
        <v>33</v>
      </c>
      <c r="N263" s="13" t="s">
        <v>1058</v>
      </c>
      <c r="O263" s="15" t="s">
        <v>1059</v>
      </c>
    </row>
    <row r="264">
      <c r="A264" s="5">
        <v>307.0</v>
      </c>
      <c r="B264" s="6">
        <v>45985.94684431713</v>
      </c>
      <c r="C264" s="7" t="s">
        <v>26</v>
      </c>
      <c r="D264" s="8" t="s">
        <v>1022</v>
      </c>
      <c r="E264" s="8" t="s">
        <v>1023</v>
      </c>
      <c r="F264" s="7" t="s">
        <v>1024</v>
      </c>
      <c r="G264" s="9" t="s">
        <v>181</v>
      </c>
      <c r="H264" s="7" t="s">
        <v>857</v>
      </c>
      <c r="I264" s="7" t="s">
        <v>939</v>
      </c>
      <c r="J264" s="10">
        <v>45984.0</v>
      </c>
      <c r="K264" s="8" t="s">
        <v>859</v>
      </c>
      <c r="L264" s="7">
        <v>8.0</v>
      </c>
      <c r="M264" s="7" t="s">
        <v>860</v>
      </c>
      <c r="N264" s="13" t="s">
        <v>1060</v>
      </c>
      <c r="O264" s="15" t="s">
        <v>1061</v>
      </c>
    </row>
    <row r="265">
      <c r="A265" s="5">
        <v>308.0</v>
      </c>
      <c r="B265" s="6">
        <v>45985.94850702546</v>
      </c>
      <c r="C265" s="7" t="s">
        <v>26</v>
      </c>
      <c r="D265" s="8" t="s">
        <v>247</v>
      </c>
      <c r="E265" s="8" t="s">
        <v>248</v>
      </c>
      <c r="F265" s="7" t="s">
        <v>249</v>
      </c>
      <c r="G265" s="9" t="s">
        <v>181</v>
      </c>
      <c r="H265" s="7" t="s">
        <v>1062</v>
      </c>
      <c r="I265" s="7" t="s">
        <v>1063</v>
      </c>
      <c r="J265" s="10">
        <v>45887.0</v>
      </c>
      <c r="K265" s="8" t="s">
        <v>518</v>
      </c>
      <c r="L265" s="7">
        <v>2.0</v>
      </c>
      <c r="M265" s="7" t="s">
        <v>1064</v>
      </c>
      <c r="N265" s="13" t="s">
        <v>1065</v>
      </c>
      <c r="O265" s="15" t="s">
        <v>1066</v>
      </c>
    </row>
    <row r="266">
      <c r="A266" s="5">
        <v>309.0</v>
      </c>
      <c r="B266" s="6">
        <v>45985.949525081014</v>
      </c>
      <c r="C266" s="7" t="s">
        <v>26</v>
      </c>
      <c r="D266" s="8" t="s">
        <v>247</v>
      </c>
      <c r="E266" s="8" t="s">
        <v>248</v>
      </c>
      <c r="F266" s="7" t="s">
        <v>249</v>
      </c>
      <c r="G266" s="9" t="s">
        <v>181</v>
      </c>
      <c r="H266" s="7" t="s">
        <v>1062</v>
      </c>
      <c r="I266" s="7" t="s">
        <v>1063</v>
      </c>
      <c r="J266" s="10">
        <v>45888.0</v>
      </c>
      <c r="K266" s="8" t="s">
        <v>518</v>
      </c>
      <c r="L266" s="7">
        <v>2.0</v>
      </c>
      <c r="M266" s="7" t="s">
        <v>1064</v>
      </c>
      <c r="N266" s="13" t="s">
        <v>1067</v>
      </c>
      <c r="O266" s="15" t="s">
        <v>1068</v>
      </c>
    </row>
    <row r="267">
      <c r="A267" s="5">
        <v>310.0</v>
      </c>
      <c r="B267" s="6">
        <v>45985.950039641204</v>
      </c>
      <c r="C267" s="7" t="s">
        <v>26</v>
      </c>
      <c r="D267" s="8" t="s">
        <v>247</v>
      </c>
      <c r="E267" s="8" t="s">
        <v>248</v>
      </c>
      <c r="F267" s="7" t="s">
        <v>249</v>
      </c>
      <c r="G267" s="9" t="s">
        <v>181</v>
      </c>
      <c r="H267" s="7" t="s">
        <v>1062</v>
      </c>
      <c r="I267" s="7" t="s">
        <v>1063</v>
      </c>
      <c r="J267" s="10">
        <v>45889.0</v>
      </c>
      <c r="K267" s="8" t="s">
        <v>518</v>
      </c>
      <c r="L267" s="7">
        <v>2.0</v>
      </c>
      <c r="M267" s="7" t="s">
        <v>1064</v>
      </c>
      <c r="N267" s="13" t="s">
        <v>1069</v>
      </c>
      <c r="O267" s="15" t="s">
        <v>1070</v>
      </c>
    </row>
    <row r="268">
      <c r="A268" s="5">
        <v>311.0</v>
      </c>
      <c r="B268" s="6">
        <v>45985.95457065973</v>
      </c>
      <c r="C268" s="7" t="s">
        <v>26</v>
      </c>
      <c r="D268" s="8" t="s">
        <v>1041</v>
      </c>
      <c r="E268" s="8" t="s">
        <v>1042</v>
      </c>
      <c r="F268" s="7" t="s">
        <v>1043</v>
      </c>
      <c r="G268" s="9" t="s">
        <v>181</v>
      </c>
      <c r="H268" s="7" t="s">
        <v>382</v>
      </c>
      <c r="I268" s="7" t="s">
        <v>231</v>
      </c>
      <c r="J268" s="10">
        <v>45859.0</v>
      </c>
      <c r="K268" s="8" t="s">
        <v>620</v>
      </c>
      <c r="L268" s="7">
        <v>8.0</v>
      </c>
      <c r="M268" s="7" t="s">
        <v>33</v>
      </c>
      <c r="N268" s="13" t="s">
        <v>1071</v>
      </c>
      <c r="O268" s="15" t="s">
        <v>1072</v>
      </c>
    </row>
    <row r="269">
      <c r="A269" s="5">
        <v>312.0</v>
      </c>
      <c r="B269" s="6">
        <v>45986.33477048611</v>
      </c>
      <c r="C269" s="7" t="s">
        <v>26</v>
      </c>
      <c r="D269" s="8" t="s">
        <v>847</v>
      </c>
      <c r="E269" s="8" t="s">
        <v>762</v>
      </c>
      <c r="F269" s="7" t="s">
        <v>848</v>
      </c>
      <c r="G269" s="9" t="s">
        <v>19</v>
      </c>
      <c r="H269" s="7" t="s">
        <v>1073</v>
      </c>
      <c r="I269" s="7" t="s">
        <v>1074</v>
      </c>
      <c r="J269" s="10">
        <v>45968.0</v>
      </c>
      <c r="K269" s="8" t="s">
        <v>639</v>
      </c>
      <c r="L269" s="7">
        <v>4.0</v>
      </c>
      <c r="M269" s="7" t="s">
        <v>87</v>
      </c>
      <c r="N269" s="13" t="s">
        <v>1075</v>
      </c>
      <c r="O269" s="15" t="s">
        <v>1076</v>
      </c>
    </row>
    <row r="270">
      <c r="A270" s="5">
        <v>313.0</v>
      </c>
      <c r="B270" s="6">
        <v>45986.347830694445</v>
      </c>
      <c r="C270" s="7" t="s">
        <v>26</v>
      </c>
      <c r="D270" s="8" t="s">
        <v>318</v>
      </c>
      <c r="E270" s="8" t="s">
        <v>319</v>
      </c>
      <c r="F270" s="7" t="s">
        <v>320</v>
      </c>
      <c r="G270" s="9" t="s">
        <v>19</v>
      </c>
      <c r="H270" s="7" t="s">
        <v>1073</v>
      </c>
      <c r="I270" s="7" t="s">
        <v>1074</v>
      </c>
      <c r="J270" s="10">
        <v>45968.0</v>
      </c>
      <c r="K270" s="8" t="s">
        <v>639</v>
      </c>
      <c r="L270" s="7">
        <v>4.0</v>
      </c>
      <c r="M270" s="7" t="s">
        <v>87</v>
      </c>
      <c r="N270" s="13" t="s">
        <v>1077</v>
      </c>
      <c r="O270" s="15" t="s">
        <v>1078</v>
      </c>
    </row>
    <row r="271">
      <c r="A271" s="5">
        <v>314.0</v>
      </c>
      <c r="B271" s="6">
        <v>45986.35075745371</v>
      </c>
      <c r="C271" s="7" t="s">
        <v>26</v>
      </c>
      <c r="D271" s="8" t="s">
        <v>318</v>
      </c>
      <c r="E271" s="8" t="s">
        <v>319</v>
      </c>
      <c r="F271" s="7" t="s">
        <v>320</v>
      </c>
      <c r="G271" s="9" t="s">
        <v>19</v>
      </c>
      <c r="H271" s="7" t="s">
        <v>1073</v>
      </c>
      <c r="I271" s="7" t="s">
        <v>1074</v>
      </c>
      <c r="J271" s="10">
        <v>45969.0</v>
      </c>
      <c r="K271" s="8" t="s">
        <v>49</v>
      </c>
      <c r="L271" s="7">
        <v>8.0</v>
      </c>
      <c r="M271" s="7" t="s">
        <v>87</v>
      </c>
      <c r="N271" s="13" t="s">
        <v>1079</v>
      </c>
      <c r="O271" s="15" t="s">
        <v>1080</v>
      </c>
    </row>
    <row r="272">
      <c r="A272" s="5">
        <v>315.0</v>
      </c>
      <c r="B272" s="6">
        <v>45986.35428966435</v>
      </c>
      <c r="C272" s="7" t="s">
        <v>26</v>
      </c>
      <c r="D272" s="8" t="s">
        <v>318</v>
      </c>
      <c r="E272" s="8" t="s">
        <v>319</v>
      </c>
      <c r="F272" s="7" t="s">
        <v>320</v>
      </c>
      <c r="G272" s="9" t="s">
        <v>19</v>
      </c>
      <c r="H272" s="7" t="s">
        <v>1073</v>
      </c>
      <c r="I272" s="7" t="s">
        <v>1074</v>
      </c>
      <c r="J272" s="10">
        <v>45970.0</v>
      </c>
      <c r="K272" s="8" t="s">
        <v>49</v>
      </c>
      <c r="L272" s="7">
        <v>8.0</v>
      </c>
      <c r="M272" s="7" t="s">
        <v>87</v>
      </c>
      <c r="N272" s="13" t="s">
        <v>1081</v>
      </c>
      <c r="O272" s="15" t="s">
        <v>1082</v>
      </c>
    </row>
    <row r="273">
      <c r="A273" s="5">
        <v>316.0</v>
      </c>
      <c r="B273" s="6">
        <v>45986.367711747684</v>
      </c>
      <c r="C273" s="7" t="s">
        <v>26</v>
      </c>
      <c r="D273" s="8" t="s">
        <v>318</v>
      </c>
      <c r="E273" s="8" t="s">
        <v>319</v>
      </c>
      <c r="F273" s="7" t="s">
        <v>320</v>
      </c>
      <c r="G273" s="9" t="s">
        <v>19</v>
      </c>
      <c r="H273" s="7" t="s">
        <v>44</v>
      </c>
      <c r="I273" s="7" t="s">
        <v>37</v>
      </c>
      <c r="J273" s="10">
        <v>45840.0</v>
      </c>
      <c r="K273" s="8" t="s">
        <v>67</v>
      </c>
      <c r="L273" s="7">
        <v>8.0</v>
      </c>
      <c r="M273" s="7" t="s">
        <v>33</v>
      </c>
      <c r="N273" s="13" t="s">
        <v>1083</v>
      </c>
      <c r="O273" s="15" t="s">
        <v>1084</v>
      </c>
    </row>
    <row r="274">
      <c r="A274" s="5">
        <v>317.0</v>
      </c>
      <c r="B274" s="6">
        <v>45986.485726666666</v>
      </c>
      <c r="C274" s="7" t="s">
        <v>15</v>
      </c>
      <c r="D274" s="8" t="s">
        <v>76</v>
      </c>
      <c r="E274" s="8" t="s">
        <v>28</v>
      </c>
      <c r="F274" s="7" t="s">
        <v>77</v>
      </c>
      <c r="G274" s="9" t="s">
        <v>181</v>
      </c>
      <c r="H274" s="7" t="s">
        <v>777</v>
      </c>
      <c r="I274" s="7" t="s">
        <v>231</v>
      </c>
      <c r="J274" s="10">
        <v>45961.0</v>
      </c>
      <c r="K274" s="8" t="s">
        <v>49</v>
      </c>
      <c r="L274" s="7">
        <v>8.0</v>
      </c>
      <c r="M274" s="7" t="s">
        <v>33</v>
      </c>
      <c r="N274" s="13" t="s">
        <v>1085</v>
      </c>
      <c r="O274" s="15" t="s">
        <v>1086</v>
      </c>
    </row>
    <row r="275">
      <c r="A275" s="5">
        <v>318.0</v>
      </c>
      <c r="B275" s="6">
        <v>45986.48952623842</v>
      </c>
      <c r="C275" s="7" t="s">
        <v>15</v>
      </c>
      <c r="D275" s="8" t="s">
        <v>76</v>
      </c>
      <c r="E275" s="8" t="s">
        <v>28</v>
      </c>
      <c r="F275" s="7" t="s">
        <v>77</v>
      </c>
      <c r="G275" s="9" t="s">
        <v>181</v>
      </c>
      <c r="H275" s="7" t="s">
        <v>777</v>
      </c>
      <c r="I275" s="7" t="s">
        <v>231</v>
      </c>
      <c r="J275" s="10">
        <v>45974.0</v>
      </c>
      <c r="K275" s="8" t="s">
        <v>22</v>
      </c>
      <c r="L275" s="7">
        <v>4.0</v>
      </c>
      <c r="M275" s="7" t="s">
        <v>33</v>
      </c>
      <c r="N275" s="13" t="s">
        <v>1087</v>
      </c>
      <c r="O275" s="15" t="s">
        <v>1088</v>
      </c>
    </row>
    <row r="276">
      <c r="A276" s="5">
        <v>319.0</v>
      </c>
      <c r="B276" s="6">
        <v>45986.603769444446</v>
      </c>
      <c r="C276" s="7" t="s">
        <v>26</v>
      </c>
      <c r="D276" s="8" t="s">
        <v>847</v>
      </c>
      <c r="E276" s="8" t="s">
        <v>762</v>
      </c>
      <c r="F276" s="7" t="s">
        <v>848</v>
      </c>
      <c r="G276" s="9" t="s">
        <v>19</v>
      </c>
      <c r="H276" s="7" t="s">
        <v>1073</v>
      </c>
      <c r="I276" s="7" t="s">
        <v>1074</v>
      </c>
      <c r="J276" s="10">
        <v>45969.0</v>
      </c>
      <c r="K276" s="8" t="s">
        <v>49</v>
      </c>
      <c r="L276" s="7">
        <v>8.0</v>
      </c>
      <c r="M276" s="7" t="s">
        <v>87</v>
      </c>
      <c r="N276" s="13" t="s">
        <v>1089</v>
      </c>
      <c r="O276" s="15" t="s">
        <v>1090</v>
      </c>
    </row>
    <row r="277">
      <c r="A277" s="5">
        <v>320.0</v>
      </c>
      <c r="B277" s="6">
        <v>45986.60509861111</v>
      </c>
      <c r="C277" s="7" t="s">
        <v>26</v>
      </c>
      <c r="D277" s="8" t="s">
        <v>847</v>
      </c>
      <c r="E277" s="8" t="s">
        <v>762</v>
      </c>
      <c r="F277" s="7" t="s">
        <v>848</v>
      </c>
      <c r="G277" s="9" t="s">
        <v>19</v>
      </c>
      <c r="H277" s="7" t="s">
        <v>1073</v>
      </c>
      <c r="I277" s="7" t="s">
        <v>1074</v>
      </c>
      <c r="J277" s="10">
        <v>45970.0</v>
      </c>
      <c r="K277" s="8" t="s">
        <v>49</v>
      </c>
      <c r="L277" s="7">
        <v>8.0</v>
      </c>
      <c r="M277" s="7" t="s">
        <v>87</v>
      </c>
      <c r="N277" s="13" t="s">
        <v>1091</v>
      </c>
      <c r="O277" s="15" t="s">
        <v>1092</v>
      </c>
    </row>
    <row r="278">
      <c r="A278" s="5">
        <v>321.0</v>
      </c>
      <c r="B278" s="6">
        <v>45986.61492396991</v>
      </c>
      <c r="C278" s="7" t="s">
        <v>26</v>
      </c>
      <c r="D278" s="8" t="s">
        <v>1010</v>
      </c>
      <c r="E278" s="8" t="s">
        <v>881</v>
      </c>
      <c r="F278" s="7" t="s">
        <v>1011</v>
      </c>
      <c r="G278" s="9" t="s">
        <v>181</v>
      </c>
      <c r="H278" s="7" t="s">
        <v>1093</v>
      </c>
      <c r="I278" s="7" t="s">
        <v>279</v>
      </c>
      <c r="J278" s="10">
        <v>45859.0</v>
      </c>
      <c r="K278" s="8" t="s">
        <v>315</v>
      </c>
      <c r="L278" s="7">
        <v>8.0</v>
      </c>
      <c r="M278" s="7" t="s">
        <v>33</v>
      </c>
      <c r="N278" s="13" t="s">
        <v>1094</v>
      </c>
      <c r="O278" s="15" t="s">
        <v>1095</v>
      </c>
    </row>
    <row r="279">
      <c r="A279" s="5">
        <v>322.0</v>
      </c>
      <c r="B279" s="6">
        <v>45986.646309375</v>
      </c>
      <c r="C279" s="7" t="s">
        <v>26</v>
      </c>
      <c r="D279" s="8" t="s">
        <v>1096</v>
      </c>
      <c r="E279" s="8" t="s">
        <v>1097</v>
      </c>
      <c r="F279" s="7" t="s">
        <v>1098</v>
      </c>
      <c r="G279" s="9" t="s">
        <v>19</v>
      </c>
      <c r="H279" s="7" t="s">
        <v>1000</v>
      </c>
      <c r="I279" s="7" t="s">
        <v>526</v>
      </c>
      <c r="J279" s="10">
        <v>45884.0</v>
      </c>
      <c r="K279" s="8" t="s">
        <v>639</v>
      </c>
      <c r="L279" s="7">
        <v>4.0</v>
      </c>
      <c r="M279" s="7" t="s">
        <v>87</v>
      </c>
      <c r="N279" s="13" t="s">
        <v>1099</v>
      </c>
      <c r="O279" s="15" t="s">
        <v>1100</v>
      </c>
    </row>
    <row r="280">
      <c r="A280" s="5">
        <v>323.0</v>
      </c>
      <c r="B280" s="6">
        <v>45986.649428923614</v>
      </c>
      <c r="C280" s="7" t="s">
        <v>26</v>
      </c>
      <c r="D280" s="8" t="s">
        <v>1096</v>
      </c>
      <c r="E280" s="8" t="s">
        <v>1097</v>
      </c>
      <c r="F280" s="7" t="s">
        <v>1098</v>
      </c>
      <c r="G280" s="9" t="s">
        <v>19</v>
      </c>
      <c r="H280" s="7" t="s">
        <v>1000</v>
      </c>
      <c r="I280" s="7" t="s">
        <v>526</v>
      </c>
      <c r="J280" s="10">
        <v>45885.0</v>
      </c>
      <c r="K280" s="8" t="s">
        <v>49</v>
      </c>
      <c r="L280" s="7">
        <v>8.0</v>
      </c>
      <c r="M280" s="7" t="s">
        <v>87</v>
      </c>
      <c r="N280" s="13" t="s">
        <v>1101</v>
      </c>
      <c r="O280" s="15" t="s">
        <v>1102</v>
      </c>
    </row>
    <row r="281">
      <c r="A281" s="5">
        <v>324.0</v>
      </c>
      <c r="B281" s="6">
        <v>45986.653051319445</v>
      </c>
      <c r="C281" s="7" t="s">
        <v>26</v>
      </c>
      <c r="D281" s="8" t="s">
        <v>1096</v>
      </c>
      <c r="E281" s="8" t="s">
        <v>1097</v>
      </c>
      <c r="F281" s="7" t="s">
        <v>1098</v>
      </c>
      <c r="G281" s="9" t="s">
        <v>19</v>
      </c>
      <c r="H281" s="7" t="s">
        <v>1000</v>
      </c>
      <c r="I281" s="7" t="s">
        <v>526</v>
      </c>
      <c r="J281" s="10">
        <v>45886.0</v>
      </c>
      <c r="K281" s="8" t="s">
        <v>49</v>
      </c>
      <c r="L281" s="7">
        <v>8.0</v>
      </c>
      <c r="M281" s="7" t="s">
        <v>87</v>
      </c>
      <c r="N281" s="13" t="s">
        <v>1103</v>
      </c>
      <c r="O281" s="15" t="s">
        <v>1104</v>
      </c>
    </row>
    <row r="282">
      <c r="A282" s="5">
        <v>325.0</v>
      </c>
      <c r="B282" s="6">
        <v>45986.65706912037</v>
      </c>
      <c r="C282" s="7" t="s">
        <v>26</v>
      </c>
      <c r="D282" s="8" t="s">
        <v>1096</v>
      </c>
      <c r="E282" s="8" t="s">
        <v>1097</v>
      </c>
      <c r="F282" s="7" t="s">
        <v>1098</v>
      </c>
      <c r="G282" s="9" t="s">
        <v>19</v>
      </c>
      <c r="H282" s="7" t="s">
        <v>1105</v>
      </c>
      <c r="I282" s="7" t="s">
        <v>498</v>
      </c>
      <c r="J282" s="10">
        <v>45961.0</v>
      </c>
      <c r="K282" s="8" t="s">
        <v>639</v>
      </c>
      <c r="L282" s="7">
        <v>4.0</v>
      </c>
      <c r="M282" s="7" t="s">
        <v>87</v>
      </c>
      <c r="N282" s="13" t="s">
        <v>1106</v>
      </c>
      <c r="O282" s="15" t="s">
        <v>1107</v>
      </c>
    </row>
    <row r="283">
      <c r="A283" s="5">
        <v>326.0</v>
      </c>
      <c r="B283" s="6">
        <v>45986.66317396991</v>
      </c>
      <c r="C283" s="7" t="s">
        <v>26</v>
      </c>
      <c r="D283" s="8" t="s">
        <v>1108</v>
      </c>
      <c r="E283" s="8" t="s">
        <v>1097</v>
      </c>
      <c r="F283" s="7" t="s">
        <v>1098</v>
      </c>
      <c r="G283" s="9" t="s">
        <v>19</v>
      </c>
      <c r="H283" s="7" t="s">
        <v>1105</v>
      </c>
      <c r="I283" s="7" t="s">
        <v>498</v>
      </c>
      <c r="J283" s="10">
        <v>45962.0</v>
      </c>
      <c r="K283" s="8" t="s">
        <v>49</v>
      </c>
      <c r="L283" s="7">
        <v>8.0</v>
      </c>
      <c r="M283" s="7" t="s">
        <v>87</v>
      </c>
      <c r="N283" s="13" t="s">
        <v>1109</v>
      </c>
      <c r="O283" s="15" t="s">
        <v>1110</v>
      </c>
    </row>
    <row r="284">
      <c r="A284" s="5">
        <v>327.0</v>
      </c>
      <c r="B284" s="6">
        <v>45986.67578988426</v>
      </c>
      <c r="C284" s="7" t="s">
        <v>26</v>
      </c>
      <c r="D284" s="8" t="s">
        <v>1096</v>
      </c>
      <c r="E284" s="8" t="s">
        <v>1097</v>
      </c>
      <c r="F284" s="7" t="s">
        <v>1098</v>
      </c>
      <c r="G284" s="9" t="s">
        <v>19</v>
      </c>
      <c r="H284" s="7" t="s">
        <v>1105</v>
      </c>
      <c r="I284" s="7" t="s">
        <v>498</v>
      </c>
      <c r="J284" s="10">
        <v>45962.0</v>
      </c>
      <c r="K284" s="8" t="s">
        <v>49</v>
      </c>
      <c r="L284" s="7">
        <v>8.0</v>
      </c>
      <c r="M284" s="7" t="s">
        <v>87</v>
      </c>
      <c r="N284" s="13" t="s">
        <v>1111</v>
      </c>
      <c r="O284" s="15" t="s">
        <v>1112</v>
      </c>
    </row>
    <row r="285">
      <c r="A285" s="5">
        <v>328.0</v>
      </c>
      <c r="B285" s="6">
        <v>45986.68044285879</v>
      </c>
      <c r="C285" s="7" t="s">
        <v>26</v>
      </c>
      <c r="D285" s="8" t="s">
        <v>1096</v>
      </c>
      <c r="E285" s="8" t="s">
        <v>1097</v>
      </c>
      <c r="F285" s="7" t="s">
        <v>1098</v>
      </c>
      <c r="G285" s="9" t="s">
        <v>19</v>
      </c>
      <c r="H285" s="7" t="s">
        <v>1105</v>
      </c>
      <c r="I285" s="7" t="s">
        <v>498</v>
      </c>
      <c r="J285" s="10">
        <v>45963.0</v>
      </c>
      <c r="K285" s="8" t="s">
        <v>49</v>
      </c>
      <c r="L285" s="7">
        <v>8.0</v>
      </c>
      <c r="M285" s="7" t="s">
        <v>87</v>
      </c>
      <c r="N285" s="13" t="s">
        <v>1113</v>
      </c>
      <c r="O285" s="15" t="s">
        <v>1114</v>
      </c>
    </row>
    <row r="286">
      <c r="A286" s="5">
        <v>329.0</v>
      </c>
      <c r="B286" s="6">
        <v>45986.82850841436</v>
      </c>
      <c r="C286" s="7" t="s">
        <v>125</v>
      </c>
      <c r="D286" s="8" t="s">
        <v>1115</v>
      </c>
      <c r="E286" s="8" t="s">
        <v>1116</v>
      </c>
      <c r="F286" s="7" t="s">
        <v>1117</v>
      </c>
      <c r="G286" s="9" t="s">
        <v>144</v>
      </c>
      <c r="H286" s="7" t="s">
        <v>1118</v>
      </c>
      <c r="I286" s="7" t="s">
        <v>1119</v>
      </c>
      <c r="J286" s="10">
        <v>45986.0</v>
      </c>
      <c r="K286" s="8" t="s">
        <v>1120</v>
      </c>
      <c r="L286" s="7">
        <v>4.0</v>
      </c>
      <c r="M286" s="7" t="s">
        <v>1121</v>
      </c>
      <c r="N286" s="13" t="s">
        <v>1122</v>
      </c>
      <c r="O286" s="15" t="s">
        <v>1123</v>
      </c>
    </row>
    <row r="287">
      <c r="A287" s="5">
        <v>330.0</v>
      </c>
      <c r="B287" s="6">
        <v>45986.8298584375</v>
      </c>
      <c r="C287" s="7" t="s">
        <v>125</v>
      </c>
      <c r="D287" s="8" t="s">
        <v>1115</v>
      </c>
      <c r="E287" s="8" t="s">
        <v>1116</v>
      </c>
      <c r="F287" s="7" t="s">
        <v>1124</v>
      </c>
      <c r="G287" s="9" t="s">
        <v>144</v>
      </c>
      <c r="H287" s="7" t="s">
        <v>1125</v>
      </c>
      <c r="I287" s="7" t="s">
        <v>1126</v>
      </c>
      <c r="J287" s="10">
        <v>45980.0</v>
      </c>
      <c r="K287" s="8" t="s">
        <v>1127</v>
      </c>
      <c r="L287" s="7">
        <v>4.0</v>
      </c>
      <c r="M287" s="7" t="s">
        <v>1121</v>
      </c>
      <c r="N287" s="13" t="s">
        <v>1128</v>
      </c>
      <c r="O287" s="15" t="s">
        <v>1129</v>
      </c>
    </row>
    <row r="288">
      <c r="A288" s="5">
        <v>331.0</v>
      </c>
      <c r="B288" s="6">
        <v>45986.83323127315</v>
      </c>
      <c r="C288" s="7" t="s">
        <v>125</v>
      </c>
      <c r="D288" s="8" t="s">
        <v>1115</v>
      </c>
      <c r="E288" s="8" t="s">
        <v>1116</v>
      </c>
      <c r="F288" s="7" t="s">
        <v>1124</v>
      </c>
      <c r="G288" s="9" t="s">
        <v>209</v>
      </c>
      <c r="H288" s="7" t="s">
        <v>1130</v>
      </c>
      <c r="I288" s="7" t="s">
        <v>1131</v>
      </c>
      <c r="J288" s="10">
        <v>45948.0</v>
      </c>
      <c r="K288" s="8" t="s">
        <v>1132</v>
      </c>
      <c r="L288" s="7">
        <v>4.0</v>
      </c>
      <c r="M288" s="7" t="s">
        <v>1133</v>
      </c>
      <c r="N288" s="16"/>
      <c r="O288" s="16"/>
    </row>
    <row r="289">
      <c r="A289" s="5">
        <v>332.0</v>
      </c>
      <c r="B289" s="6">
        <v>45986.83774552083</v>
      </c>
      <c r="C289" s="7" t="s">
        <v>125</v>
      </c>
      <c r="D289" s="8" t="s">
        <v>1115</v>
      </c>
      <c r="E289" s="8" t="s">
        <v>1116</v>
      </c>
      <c r="F289" s="7" t="s">
        <v>1124</v>
      </c>
      <c r="G289" s="9" t="s">
        <v>209</v>
      </c>
      <c r="H289" s="7" t="s">
        <v>1134</v>
      </c>
      <c r="I289" s="7" t="s">
        <v>1131</v>
      </c>
      <c r="J289" s="10">
        <v>45970.0</v>
      </c>
      <c r="K289" s="8" t="s">
        <v>129</v>
      </c>
      <c r="L289" s="7">
        <v>4.0</v>
      </c>
      <c r="M289" s="7" t="s">
        <v>1135</v>
      </c>
      <c r="N289" s="13" t="s">
        <v>1136</v>
      </c>
      <c r="O289" s="15" t="s">
        <v>1137</v>
      </c>
    </row>
    <row r="290">
      <c r="A290" s="5">
        <v>333.0</v>
      </c>
      <c r="B290" s="6">
        <v>45986.84040097222</v>
      </c>
      <c r="C290" s="7" t="s">
        <v>125</v>
      </c>
      <c r="D290" s="8" t="s">
        <v>1115</v>
      </c>
      <c r="E290" s="8" t="s">
        <v>1116</v>
      </c>
      <c r="F290" s="7" t="s">
        <v>1124</v>
      </c>
      <c r="G290" s="9" t="s">
        <v>415</v>
      </c>
      <c r="H290" s="7" t="s">
        <v>1138</v>
      </c>
      <c r="I290" s="7" t="s">
        <v>1131</v>
      </c>
      <c r="J290" s="10">
        <v>45965.0</v>
      </c>
      <c r="K290" s="8" t="s">
        <v>1139</v>
      </c>
      <c r="L290" s="7">
        <v>4.0</v>
      </c>
      <c r="M290" s="7" t="s">
        <v>1140</v>
      </c>
      <c r="N290" s="13" t="s">
        <v>1141</v>
      </c>
      <c r="O290" s="15" t="s">
        <v>1142</v>
      </c>
    </row>
    <row r="291">
      <c r="A291" s="5">
        <v>334.0</v>
      </c>
      <c r="B291" s="6">
        <v>45986.84377255787</v>
      </c>
      <c r="C291" s="7" t="s">
        <v>125</v>
      </c>
      <c r="D291" s="8" t="s">
        <v>1115</v>
      </c>
      <c r="E291" s="8" t="s">
        <v>1116</v>
      </c>
      <c r="F291" s="7" t="s">
        <v>1143</v>
      </c>
      <c r="G291" s="9" t="s">
        <v>181</v>
      </c>
      <c r="H291" s="7" t="s">
        <v>1144</v>
      </c>
      <c r="I291" s="7" t="s">
        <v>279</v>
      </c>
      <c r="J291" s="10">
        <v>45908.0</v>
      </c>
      <c r="K291" s="8" t="s">
        <v>1145</v>
      </c>
      <c r="L291" s="7">
        <v>1.0</v>
      </c>
      <c r="M291" s="7" t="s">
        <v>33</v>
      </c>
      <c r="N291" s="13" t="s">
        <v>1146</v>
      </c>
      <c r="O291" s="15" t="s">
        <v>1147</v>
      </c>
    </row>
    <row r="292">
      <c r="A292" s="5">
        <v>335.0</v>
      </c>
      <c r="B292" s="6">
        <v>45986.847250555555</v>
      </c>
      <c r="C292" s="7" t="s">
        <v>125</v>
      </c>
      <c r="D292" s="8" t="s">
        <v>1115</v>
      </c>
      <c r="E292" s="8" t="s">
        <v>1116</v>
      </c>
      <c r="F292" s="7" t="s">
        <v>1143</v>
      </c>
      <c r="G292" s="9" t="s">
        <v>19</v>
      </c>
      <c r="H292" s="7" t="s">
        <v>1148</v>
      </c>
      <c r="I292" s="7" t="s">
        <v>174</v>
      </c>
      <c r="J292" s="10">
        <v>45854.0</v>
      </c>
      <c r="K292" s="8" t="s">
        <v>175</v>
      </c>
      <c r="L292" s="7">
        <v>6.0</v>
      </c>
      <c r="M292" s="7" t="s">
        <v>106</v>
      </c>
      <c r="N292" s="13" t="s">
        <v>1149</v>
      </c>
      <c r="O292" s="15" t="s">
        <v>1150</v>
      </c>
    </row>
    <row r="293">
      <c r="A293" s="5">
        <v>336.0</v>
      </c>
      <c r="B293" s="6">
        <v>45986.89932012731</v>
      </c>
      <c r="C293" s="7" t="s">
        <v>125</v>
      </c>
      <c r="D293" s="8" t="s">
        <v>1151</v>
      </c>
      <c r="E293" s="8" t="s">
        <v>1152</v>
      </c>
      <c r="F293" s="7" t="s">
        <v>1153</v>
      </c>
      <c r="G293" s="9" t="s">
        <v>19</v>
      </c>
      <c r="H293" s="7" t="s">
        <v>194</v>
      </c>
      <c r="I293" s="7" t="s">
        <v>174</v>
      </c>
      <c r="J293" s="10">
        <v>45854.0</v>
      </c>
      <c r="K293" s="8" t="s">
        <v>175</v>
      </c>
      <c r="L293" s="7">
        <v>6.0</v>
      </c>
      <c r="M293" s="7" t="s">
        <v>1154</v>
      </c>
      <c r="N293" s="13" t="s">
        <v>1155</v>
      </c>
      <c r="O293" s="15" t="s">
        <v>1156</v>
      </c>
    </row>
    <row r="294">
      <c r="A294" s="5">
        <v>337.0</v>
      </c>
      <c r="B294" s="6">
        <v>45986.90933630787</v>
      </c>
      <c r="C294" s="7" t="s">
        <v>125</v>
      </c>
      <c r="D294" s="8" t="s">
        <v>1151</v>
      </c>
      <c r="E294" s="8" t="s">
        <v>1152</v>
      </c>
      <c r="F294" s="7" t="s">
        <v>1153</v>
      </c>
      <c r="G294" s="9" t="s">
        <v>181</v>
      </c>
      <c r="H294" s="7" t="s">
        <v>1157</v>
      </c>
      <c r="I294" s="7" t="s">
        <v>1158</v>
      </c>
      <c r="J294" s="10">
        <v>45885.0</v>
      </c>
      <c r="K294" s="8" t="s">
        <v>1159</v>
      </c>
      <c r="L294" s="7">
        <v>3.0</v>
      </c>
      <c r="M294" s="7" t="s">
        <v>1160</v>
      </c>
      <c r="N294" s="16"/>
      <c r="O294" s="16"/>
    </row>
    <row r="295">
      <c r="A295" s="5">
        <v>338.0</v>
      </c>
      <c r="B295" s="6">
        <v>45986.91963097222</v>
      </c>
      <c r="C295" s="7" t="s">
        <v>125</v>
      </c>
      <c r="D295" s="8" t="s">
        <v>1151</v>
      </c>
      <c r="E295" s="8" t="s">
        <v>1152</v>
      </c>
      <c r="F295" s="7" t="s">
        <v>1153</v>
      </c>
      <c r="G295" s="9" t="s">
        <v>144</v>
      </c>
      <c r="H295" s="7" t="s">
        <v>1161</v>
      </c>
      <c r="I295" s="7" t="s">
        <v>731</v>
      </c>
      <c r="J295" s="10">
        <v>45892.0</v>
      </c>
      <c r="K295" s="8" t="s">
        <v>732</v>
      </c>
      <c r="L295" s="7">
        <v>3.0</v>
      </c>
      <c r="M295" s="7" t="s">
        <v>1162</v>
      </c>
      <c r="N295" s="13" t="s">
        <v>1163</v>
      </c>
      <c r="O295" s="15" t="s">
        <v>1164</v>
      </c>
    </row>
    <row r="296">
      <c r="A296" s="5">
        <v>339.0</v>
      </c>
      <c r="B296" s="6">
        <v>45986.92603707176</v>
      </c>
      <c r="C296" s="7" t="s">
        <v>125</v>
      </c>
      <c r="D296" s="8" t="s">
        <v>1151</v>
      </c>
      <c r="E296" s="8" t="s">
        <v>1152</v>
      </c>
      <c r="F296" s="7" t="s">
        <v>1153</v>
      </c>
      <c r="G296" s="9" t="s">
        <v>181</v>
      </c>
      <c r="H296" s="7" t="s">
        <v>1165</v>
      </c>
      <c r="I296" s="7" t="s">
        <v>1166</v>
      </c>
      <c r="J296" s="10">
        <v>45926.0</v>
      </c>
      <c r="K296" s="8" t="s">
        <v>1167</v>
      </c>
      <c r="L296" s="7">
        <v>6.0</v>
      </c>
      <c r="M296" s="7" t="s">
        <v>1168</v>
      </c>
      <c r="N296" s="13" t="s">
        <v>1169</v>
      </c>
      <c r="O296" s="15" t="s">
        <v>1170</v>
      </c>
    </row>
    <row r="297">
      <c r="A297" s="5">
        <v>340.0</v>
      </c>
      <c r="B297" s="6">
        <v>45986.936848067126</v>
      </c>
      <c r="C297" s="7" t="s">
        <v>125</v>
      </c>
      <c r="D297" s="8" t="s">
        <v>1151</v>
      </c>
      <c r="E297" s="8" t="s">
        <v>1152</v>
      </c>
      <c r="F297" s="7" t="s">
        <v>1153</v>
      </c>
      <c r="G297" s="9" t="s">
        <v>181</v>
      </c>
      <c r="H297" s="7" t="s">
        <v>1171</v>
      </c>
      <c r="I297" s="7" t="s">
        <v>1166</v>
      </c>
      <c r="J297" s="10">
        <v>45935.0</v>
      </c>
      <c r="K297" s="8" t="s">
        <v>1172</v>
      </c>
      <c r="L297" s="7">
        <v>6.0</v>
      </c>
      <c r="M297" s="7" t="s">
        <v>1160</v>
      </c>
      <c r="N297" s="13" t="s">
        <v>1173</v>
      </c>
      <c r="O297" s="15" t="s">
        <v>1174</v>
      </c>
    </row>
    <row r="298">
      <c r="A298" s="5">
        <v>341.0</v>
      </c>
      <c r="B298" s="6">
        <v>45986.94150878472</v>
      </c>
      <c r="C298" s="7" t="s">
        <v>125</v>
      </c>
      <c r="D298" s="8" t="s">
        <v>1151</v>
      </c>
      <c r="E298" s="8" t="s">
        <v>1152</v>
      </c>
      <c r="F298" s="7" t="s">
        <v>1153</v>
      </c>
      <c r="G298" s="9" t="s">
        <v>181</v>
      </c>
      <c r="H298" s="7" t="s">
        <v>1175</v>
      </c>
      <c r="I298" s="7" t="s">
        <v>1176</v>
      </c>
      <c r="J298" s="10">
        <v>45986.0</v>
      </c>
      <c r="K298" s="8" t="s">
        <v>1159</v>
      </c>
      <c r="L298" s="7">
        <v>3.0</v>
      </c>
      <c r="M298" s="7" t="s">
        <v>1160</v>
      </c>
      <c r="N298" s="13" t="s">
        <v>1177</v>
      </c>
      <c r="O298" s="15" t="s">
        <v>1178</v>
      </c>
    </row>
    <row r="299">
      <c r="A299" s="5">
        <v>342.0</v>
      </c>
      <c r="B299" s="6">
        <v>45987.540305925926</v>
      </c>
      <c r="C299" s="7" t="s">
        <v>760</v>
      </c>
      <c r="D299" s="8" t="s">
        <v>1179</v>
      </c>
      <c r="E299" s="8" t="s">
        <v>396</v>
      </c>
      <c r="F299" s="7" t="s">
        <v>1180</v>
      </c>
      <c r="G299" s="9" t="s">
        <v>19</v>
      </c>
      <c r="H299" s="7" t="s">
        <v>56</v>
      </c>
      <c r="I299" s="7" t="s">
        <v>1181</v>
      </c>
      <c r="J299" s="10">
        <v>45955.0</v>
      </c>
      <c r="K299" s="8" t="s">
        <v>58</v>
      </c>
      <c r="L299" s="7">
        <v>5.0</v>
      </c>
      <c r="M299" s="7" t="s">
        <v>59</v>
      </c>
      <c r="N299" s="13" t="s">
        <v>1182</v>
      </c>
      <c r="O299" s="15" t="s">
        <v>1183</v>
      </c>
    </row>
    <row r="300">
      <c r="A300" s="5">
        <v>343.0</v>
      </c>
      <c r="B300" s="6">
        <v>45987.61967880787</v>
      </c>
      <c r="C300" s="7" t="s">
        <v>760</v>
      </c>
      <c r="D300" s="8" t="s">
        <v>1184</v>
      </c>
      <c r="E300" s="8" t="s">
        <v>1185</v>
      </c>
      <c r="F300" s="7" t="s">
        <v>1186</v>
      </c>
      <c r="G300" s="9" t="s">
        <v>19</v>
      </c>
      <c r="H300" s="7" t="s">
        <v>1187</v>
      </c>
      <c r="I300" s="7" t="s">
        <v>1181</v>
      </c>
      <c r="J300" s="10">
        <v>45955.0</v>
      </c>
      <c r="K300" s="8" t="s">
        <v>58</v>
      </c>
      <c r="L300" s="7">
        <v>5.0</v>
      </c>
      <c r="M300" s="7" t="s">
        <v>59</v>
      </c>
      <c r="N300" s="13" t="s">
        <v>1188</v>
      </c>
      <c r="O300" s="15" t="s">
        <v>1189</v>
      </c>
    </row>
    <row r="301">
      <c r="A301" s="5">
        <v>344.0</v>
      </c>
      <c r="B301" s="6">
        <v>45987.62685486111</v>
      </c>
      <c r="C301" s="7" t="s">
        <v>760</v>
      </c>
      <c r="D301" s="8" t="s">
        <v>1190</v>
      </c>
      <c r="E301" s="8" t="s">
        <v>1042</v>
      </c>
      <c r="F301" s="7" t="s">
        <v>1191</v>
      </c>
      <c r="G301" s="9" t="s">
        <v>84</v>
      </c>
      <c r="H301" s="7" t="s">
        <v>85</v>
      </c>
      <c r="I301" s="7" t="s">
        <v>1192</v>
      </c>
      <c r="J301" s="10">
        <v>45916.0</v>
      </c>
      <c r="K301" s="8" t="s">
        <v>1193</v>
      </c>
      <c r="L301" s="7">
        <v>8.0</v>
      </c>
      <c r="M301" s="7" t="s">
        <v>774</v>
      </c>
      <c r="N301" s="13" t="s">
        <v>1194</v>
      </c>
      <c r="O301" s="15" t="s">
        <v>1195</v>
      </c>
    </row>
    <row r="302">
      <c r="A302" s="5">
        <v>345.0</v>
      </c>
      <c r="B302" s="6">
        <v>45987.630135196756</v>
      </c>
      <c r="C302" s="7" t="s">
        <v>760</v>
      </c>
      <c r="D302" s="8" t="s">
        <v>1196</v>
      </c>
      <c r="E302" s="8" t="s">
        <v>1197</v>
      </c>
      <c r="F302" s="7" t="s">
        <v>1198</v>
      </c>
      <c r="G302" s="9" t="s">
        <v>84</v>
      </c>
      <c r="H302" s="7" t="s">
        <v>1199</v>
      </c>
      <c r="I302" s="7" t="s">
        <v>765</v>
      </c>
      <c r="J302" s="10">
        <v>45916.0</v>
      </c>
      <c r="K302" s="8" t="s">
        <v>657</v>
      </c>
      <c r="L302" s="7">
        <v>8.0</v>
      </c>
      <c r="M302" s="7" t="s">
        <v>774</v>
      </c>
      <c r="N302" s="13" t="s">
        <v>1200</v>
      </c>
      <c r="O302" s="15" t="s">
        <v>1201</v>
      </c>
    </row>
    <row r="303">
      <c r="A303" s="5">
        <v>346.0</v>
      </c>
      <c r="B303" s="6">
        <v>45987.63355626157</v>
      </c>
      <c r="C303" s="7" t="s">
        <v>760</v>
      </c>
      <c r="D303" s="8" t="s">
        <v>1190</v>
      </c>
      <c r="E303" s="8" t="s">
        <v>1042</v>
      </c>
      <c r="F303" s="7" t="s">
        <v>1191</v>
      </c>
      <c r="G303" s="9" t="s">
        <v>19</v>
      </c>
      <c r="H303" s="7" t="s">
        <v>1202</v>
      </c>
      <c r="I303" s="7" t="s">
        <v>820</v>
      </c>
      <c r="J303" s="10">
        <v>45977.0</v>
      </c>
      <c r="K303" s="8" t="s">
        <v>1203</v>
      </c>
      <c r="L303" s="7">
        <v>3.0</v>
      </c>
      <c r="M303" s="7" t="s">
        <v>106</v>
      </c>
      <c r="N303" s="13" t="s">
        <v>1204</v>
      </c>
      <c r="O303" s="15" t="s">
        <v>1205</v>
      </c>
    </row>
    <row r="304">
      <c r="A304" s="5">
        <v>348.0</v>
      </c>
      <c r="B304" s="6">
        <v>46177.955062361114</v>
      </c>
      <c r="C304" s="7" t="s">
        <v>760</v>
      </c>
      <c r="D304" s="8" t="s">
        <v>892</v>
      </c>
      <c r="E304" s="8" t="s">
        <v>893</v>
      </c>
      <c r="F304" s="7" t="s">
        <v>1206</v>
      </c>
      <c r="G304" s="9" t="s">
        <v>181</v>
      </c>
      <c r="H304" s="7" t="s">
        <v>895</v>
      </c>
      <c r="I304" s="7" t="s">
        <v>231</v>
      </c>
      <c r="J304" s="10">
        <v>45950.0</v>
      </c>
      <c r="K304" s="7" t="s">
        <v>33</v>
      </c>
      <c r="L304" s="13" t="s">
        <v>1207</v>
      </c>
      <c r="M304" s="7" t="s">
        <v>33</v>
      </c>
      <c r="N304" s="13" t="s">
        <v>1207</v>
      </c>
      <c r="O304" s="15" t="s">
        <v>1208</v>
      </c>
    </row>
    <row r="305">
      <c r="A305" s="5">
        <v>349.0</v>
      </c>
      <c r="B305" s="6">
        <v>45987.75464270833</v>
      </c>
      <c r="C305" s="7" t="s">
        <v>760</v>
      </c>
      <c r="D305" s="8" t="s">
        <v>1209</v>
      </c>
      <c r="E305" s="8" t="s">
        <v>223</v>
      </c>
      <c r="F305" s="7" t="s">
        <v>1210</v>
      </c>
      <c r="G305" s="9" t="s">
        <v>181</v>
      </c>
      <c r="H305" s="7" t="s">
        <v>895</v>
      </c>
      <c r="I305" s="7" t="s">
        <v>1211</v>
      </c>
      <c r="J305" s="10">
        <v>45950.0</v>
      </c>
      <c r="K305" s="8" t="s">
        <v>896</v>
      </c>
      <c r="L305" s="7">
        <v>1.0</v>
      </c>
      <c r="M305" s="7" t="s">
        <v>33</v>
      </c>
      <c r="N305" s="13" t="s">
        <v>1212</v>
      </c>
      <c r="O305" s="15" t="s">
        <v>1213</v>
      </c>
    </row>
    <row r="306">
      <c r="A306" s="5">
        <v>350.0</v>
      </c>
      <c r="B306" s="6">
        <v>45987.7549991088</v>
      </c>
      <c r="C306" s="7" t="s">
        <v>760</v>
      </c>
      <c r="D306" s="8" t="s">
        <v>1214</v>
      </c>
      <c r="E306" s="8" t="s">
        <v>179</v>
      </c>
      <c r="F306" s="7" t="s">
        <v>1215</v>
      </c>
      <c r="G306" s="9" t="s">
        <v>181</v>
      </c>
      <c r="H306" s="7" t="s">
        <v>1216</v>
      </c>
      <c r="I306" s="7" t="s">
        <v>1217</v>
      </c>
      <c r="J306" s="10">
        <v>45951.0</v>
      </c>
      <c r="K306" s="8" t="s">
        <v>896</v>
      </c>
      <c r="L306" s="7">
        <v>1.0</v>
      </c>
      <c r="M306" s="7" t="s">
        <v>33</v>
      </c>
      <c r="N306" s="13" t="s">
        <v>1218</v>
      </c>
      <c r="O306" s="15" t="s">
        <v>1219</v>
      </c>
    </row>
    <row r="307">
      <c r="A307" s="5">
        <v>351.0</v>
      </c>
      <c r="B307" s="6">
        <v>45987.75693859954</v>
      </c>
      <c r="C307" s="7" t="s">
        <v>760</v>
      </c>
      <c r="D307" s="8" t="s">
        <v>1220</v>
      </c>
      <c r="E307" s="8" t="s">
        <v>951</v>
      </c>
      <c r="F307" s="7" t="s">
        <v>1221</v>
      </c>
      <c r="G307" s="9" t="s">
        <v>181</v>
      </c>
      <c r="H307" s="7" t="s">
        <v>1222</v>
      </c>
      <c r="I307" s="7" t="s">
        <v>1223</v>
      </c>
      <c r="J307" s="10">
        <v>45946.0</v>
      </c>
      <c r="K307" s="8" t="s">
        <v>896</v>
      </c>
      <c r="L307" s="7">
        <v>1.0</v>
      </c>
      <c r="M307" s="7" t="s">
        <v>33</v>
      </c>
      <c r="N307" s="13" t="s">
        <v>1224</v>
      </c>
      <c r="O307" s="15" t="s">
        <v>1225</v>
      </c>
    </row>
    <row r="308">
      <c r="A308" s="5">
        <v>352.0</v>
      </c>
      <c r="B308" s="6">
        <v>45987.75884717592</v>
      </c>
      <c r="C308" s="7" t="s">
        <v>760</v>
      </c>
      <c r="D308" s="8" t="s">
        <v>1209</v>
      </c>
      <c r="E308" s="8" t="s">
        <v>223</v>
      </c>
      <c r="F308" s="7" t="s">
        <v>1210</v>
      </c>
      <c r="G308" s="9" t="s">
        <v>181</v>
      </c>
      <c r="H308" s="7" t="s">
        <v>895</v>
      </c>
      <c r="I308" s="7" t="s">
        <v>231</v>
      </c>
      <c r="J308" s="10">
        <v>45951.0</v>
      </c>
      <c r="K308" s="8" t="s">
        <v>896</v>
      </c>
      <c r="L308" s="7">
        <v>1.0</v>
      </c>
      <c r="M308" s="7" t="s">
        <v>33</v>
      </c>
      <c r="N308" s="13" t="s">
        <v>1226</v>
      </c>
      <c r="O308" s="15" t="s">
        <v>1227</v>
      </c>
    </row>
    <row r="309">
      <c r="A309" s="5">
        <v>353.0</v>
      </c>
      <c r="B309" s="6">
        <v>45987.75924738426</v>
      </c>
      <c r="C309" s="7" t="s">
        <v>760</v>
      </c>
      <c r="D309" s="8" t="s">
        <v>1214</v>
      </c>
      <c r="E309" s="8" t="s">
        <v>179</v>
      </c>
      <c r="F309" s="7" t="s">
        <v>1215</v>
      </c>
      <c r="G309" s="9" t="s">
        <v>181</v>
      </c>
      <c r="H309" s="7" t="s">
        <v>1216</v>
      </c>
      <c r="I309" s="7" t="s">
        <v>1217</v>
      </c>
      <c r="J309" s="10">
        <v>45946.0</v>
      </c>
      <c r="K309" s="8" t="s">
        <v>896</v>
      </c>
      <c r="L309" s="7">
        <v>1.0</v>
      </c>
      <c r="M309" s="7" t="s">
        <v>33</v>
      </c>
      <c r="N309" s="13" t="s">
        <v>1228</v>
      </c>
      <c r="O309" s="15" t="s">
        <v>1229</v>
      </c>
    </row>
    <row r="310">
      <c r="A310" s="5">
        <v>355.0</v>
      </c>
      <c r="B310" s="6">
        <v>45987.98051446759</v>
      </c>
      <c r="C310" s="7" t="s">
        <v>26</v>
      </c>
      <c r="D310" s="8" t="s">
        <v>1230</v>
      </c>
      <c r="E310" s="8" t="s">
        <v>91</v>
      </c>
      <c r="F310" s="7" t="s">
        <v>1231</v>
      </c>
      <c r="G310" s="9" t="s">
        <v>19</v>
      </c>
      <c r="H310" s="7" t="s">
        <v>1232</v>
      </c>
      <c r="I310" s="7" t="s">
        <v>37</v>
      </c>
      <c r="J310" s="10">
        <v>45839.0</v>
      </c>
      <c r="K310" s="8" t="s">
        <v>67</v>
      </c>
      <c r="L310" s="7">
        <v>8.0</v>
      </c>
      <c r="M310" s="7" t="s">
        <v>33</v>
      </c>
      <c r="N310" s="13" t="s">
        <v>1233</v>
      </c>
      <c r="O310" s="15" t="s">
        <v>1234</v>
      </c>
    </row>
    <row r="311">
      <c r="A311" s="5">
        <v>359.0</v>
      </c>
      <c r="B311" s="6">
        <v>45988.45081311342</v>
      </c>
      <c r="C311" s="7" t="s">
        <v>26</v>
      </c>
      <c r="D311" s="8" t="s">
        <v>1235</v>
      </c>
      <c r="E311" s="8" t="s">
        <v>737</v>
      </c>
      <c r="F311" s="7" t="s">
        <v>1236</v>
      </c>
      <c r="G311" s="9" t="s">
        <v>181</v>
      </c>
      <c r="H311" s="7" t="s">
        <v>857</v>
      </c>
      <c r="I311" s="7" t="s">
        <v>939</v>
      </c>
      <c r="J311" s="10">
        <v>45987.0</v>
      </c>
      <c r="K311" s="8" t="s">
        <v>859</v>
      </c>
      <c r="L311" s="7">
        <v>8.0</v>
      </c>
      <c r="M311" s="7" t="s">
        <v>860</v>
      </c>
      <c r="N311" s="13" t="s">
        <v>1237</v>
      </c>
      <c r="O311" s="15" t="s">
        <v>1238</v>
      </c>
    </row>
    <row r="312">
      <c r="A312" s="5">
        <v>360.0</v>
      </c>
      <c r="B312" s="6">
        <v>45988.4577909375</v>
      </c>
      <c r="C312" s="7" t="s">
        <v>26</v>
      </c>
      <c r="D312" s="8" t="s">
        <v>1235</v>
      </c>
      <c r="E312" s="8" t="s">
        <v>737</v>
      </c>
      <c r="F312" s="7" t="s">
        <v>1236</v>
      </c>
      <c r="G312" s="9" t="s">
        <v>415</v>
      </c>
      <c r="H312" s="7" t="s">
        <v>1239</v>
      </c>
      <c r="I312" s="7" t="s">
        <v>1240</v>
      </c>
      <c r="J312" s="10">
        <v>45866.0</v>
      </c>
      <c r="K312" s="8" t="s">
        <v>1241</v>
      </c>
      <c r="L312" s="7">
        <v>1.0</v>
      </c>
      <c r="M312" s="7" t="s">
        <v>87</v>
      </c>
      <c r="N312" s="13" t="s">
        <v>1242</v>
      </c>
      <c r="O312" s="15" t="s">
        <v>1243</v>
      </c>
    </row>
    <row r="313">
      <c r="A313" s="5">
        <v>361.0</v>
      </c>
      <c r="B313" s="6">
        <v>45988.46238408565</v>
      </c>
      <c r="C313" s="7" t="s">
        <v>26</v>
      </c>
      <c r="D313" s="8" t="s">
        <v>1235</v>
      </c>
      <c r="E313" s="8" t="s">
        <v>737</v>
      </c>
      <c r="F313" s="7" t="s">
        <v>1236</v>
      </c>
      <c r="G313" s="9" t="s">
        <v>19</v>
      </c>
      <c r="H313" s="7" t="s">
        <v>291</v>
      </c>
      <c r="I313" s="7" t="s">
        <v>1244</v>
      </c>
      <c r="J313" s="10">
        <v>45955.0</v>
      </c>
      <c r="K313" s="8" t="s">
        <v>58</v>
      </c>
      <c r="L313" s="7">
        <v>5.0</v>
      </c>
      <c r="M313" s="7" t="s">
        <v>59</v>
      </c>
      <c r="N313" s="13" t="s">
        <v>1245</v>
      </c>
      <c r="O313" s="15" t="s">
        <v>1246</v>
      </c>
    </row>
    <row r="314">
      <c r="A314" s="5">
        <v>362.0</v>
      </c>
      <c r="B314" s="6">
        <v>45988.5460878125</v>
      </c>
      <c r="C314" s="7" t="s">
        <v>26</v>
      </c>
      <c r="D314" s="8" t="s">
        <v>1247</v>
      </c>
      <c r="E314" s="8" t="s">
        <v>1248</v>
      </c>
      <c r="F314" s="7" t="s">
        <v>1249</v>
      </c>
      <c r="G314" s="9" t="s">
        <v>19</v>
      </c>
      <c r="H314" s="7" t="s">
        <v>30</v>
      </c>
      <c r="I314" s="7" t="s">
        <v>31</v>
      </c>
      <c r="J314" s="10">
        <v>45825.0</v>
      </c>
      <c r="K314" s="8" t="s">
        <v>49</v>
      </c>
      <c r="L314" s="7">
        <v>8.0</v>
      </c>
      <c r="M314" s="7" t="s">
        <v>33</v>
      </c>
      <c r="N314" s="13" t="s">
        <v>1250</v>
      </c>
      <c r="O314" s="15" t="s">
        <v>1251</v>
      </c>
    </row>
    <row r="315">
      <c r="A315" s="5">
        <v>363.0</v>
      </c>
      <c r="B315" s="6">
        <v>45988.54737005787</v>
      </c>
      <c r="C315" s="7" t="s">
        <v>26</v>
      </c>
      <c r="D315" s="8" t="s">
        <v>1252</v>
      </c>
      <c r="E315" s="8" t="s">
        <v>1253</v>
      </c>
      <c r="F315" s="7" t="s">
        <v>1254</v>
      </c>
      <c r="G315" s="9" t="s">
        <v>181</v>
      </c>
      <c r="H315" s="7" t="s">
        <v>1255</v>
      </c>
      <c r="I315" s="7" t="s">
        <v>314</v>
      </c>
      <c r="J315" s="10">
        <v>45875.0</v>
      </c>
      <c r="K315" s="8" t="s">
        <v>175</v>
      </c>
      <c r="L315" s="7">
        <v>6.0</v>
      </c>
      <c r="M315" s="7" t="s">
        <v>944</v>
      </c>
      <c r="N315" s="13" t="s">
        <v>1256</v>
      </c>
      <c r="O315" s="15" t="s">
        <v>1257</v>
      </c>
    </row>
    <row r="316">
      <c r="A316" s="5">
        <v>364.0</v>
      </c>
      <c r="B316" s="6">
        <v>45988.54869335648</v>
      </c>
      <c r="C316" s="7" t="s">
        <v>26</v>
      </c>
      <c r="D316" s="8" t="s">
        <v>1258</v>
      </c>
      <c r="E316" s="8" t="s">
        <v>1259</v>
      </c>
      <c r="F316" s="7" t="s">
        <v>1260</v>
      </c>
      <c r="G316" s="9" t="s">
        <v>181</v>
      </c>
      <c r="H316" s="7" t="s">
        <v>857</v>
      </c>
      <c r="I316" s="7" t="s">
        <v>1261</v>
      </c>
      <c r="J316" s="10">
        <v>45984.0</v>
      </c>
      <c r="K316" s="8" t="s">
        <v>859</v>
      </c>
      <c r="L316" s="7">
        <v>8.0</v>
      </c>
      <c r="M316" s="7" t="s">
        <v>860</v>
      </c>
      <c r="N316" s="13" t="s">
        <v>1262</v>
      </c>
      <c r="O316" s="15" t="s">
        <v>1263</v>
      </c>
    </row>
    <row r="317">
      <c r="A317" s="5">
        <v>366.0</v>
      </c>
      <c r="B317" s="6">
        <v>45988.550411828706</v>
      </c>
      <c r="C317" s="7" t="s">
        <v>26</v>
      </c>
      <c r="D317" s="8" t="s">
        <v>1264</v>
      </c>
      <c r="E317" s="8" t="s">
        <v>1049</v>
      </c>
      <c r="F317" s="7" t="s">
        <v>1265</v>
      </c>
      <c r="G317" s="9" t="s">
        <v>181</v>
      </c>
      <c r="H317" s="7" t="s">
        <v>1266</v>
      </c>
      <c r="I317" s="7" t="s">
        <v>939</v>
      </c>
      <c r="J317" s="10">
        <v>45987.0</v>
      </c>
      <c r="K317" s="8" t="s">
        <v>859</v>
      </c>
      <c r="L317" s="7">
        <v>8.0</v>
      </c>
      <c r="M317" s="7" t="s">
        <v>860</v>
      </c>
      <c r="N317" s="13" t="s">
        <v>1267</v>
      </c>
      <c r="O317" s="15" t="s">
        <v>1268</v>
      </c>
    </row>
    <row r="318">
      <c r="A318" s="5">
        <v>367.0</v>
      </c>
      <c r="B318" s="6">
        <v>45988.55117975695</v>
      </c>
      <c r="C318" s="7" t="s">
        <v>26</v>
      </c>
      <c r="D318" s="8" t="s">
        <v>1247</v>
      </c>
      <c r="E318" s="8" t="s">
        <v>1248</v>
      </c>
      <c r="F318" s="7" t="s">
        <v>1249</v>
      </c>
      <c r="G318" s="9" t="s">
        <v>19</v>
      </c>
      <c r="H318" s="7" t="s">
        <v>30</v>
      </c>
      <c r="I318" s="7" t="s">
        <v>37</v>
      </c>
      <c r="J318" s="10">
        <v>45838.0</v>
      </c>
      <c r="K318" s="8" t="s">
        <v>67</v>
      </c>
      <c r="L318" s="7">
        <v>8.0</v>
      </c>
      <c r="M318" s="7" t="s">
        <v>33</v>
      </c>
      <c r="N318" s="13" t="s">
        <v>1269</v>
      </c>
      <c r="O318" s="15" t="s">
        <v>1270</v>
      </c>
    </row>
    <row r="319">
      <c r="A319" s="5">
        <v>369.0</v>
      </c>
      <c r="B319" s="6">
        <v>45988.55321802083</v>
      </c>
      <c r="C319" s="7" t="s">
        <v>26</v>
      </c>
      <c r="D319" s="8" t="s">
        <v>1247</v>
      </c>
      <c r="E319" s="8" t="s">
        <v>1248</v>
      </c>
      <c r="F319" s="7" t="s">
        <v>1271</v>
      </c>
      <c r="G319" s="9" t="s">
        <v>19</v>
      </c>
      <c r="H319" s="7" t="s">
        <v>41</v>
      </c>
      <c r="I319" s="7" t="s">
        <v>37</v>
      </c>
      <c r="J319" s="10">
        <v>45839.0</v>
      </c>
      <c r="K319" s="8" t="s">
        <v>67</v>
      </c>
      <c r="L319" s="7">
        <v>8.0</v>
      </c>
      <c r="M319" s="7" t="s">
        <v>33</v>
      </c>
      <c r="N319" s="13" t="s">
        <v>1272</v>
      </c>
      <c r="O319" s="15" t="s">
        <v>1273</v>
      </c>
    </row>
    <row r="320">
      <c r="A320" s="5">
        <v>370.0</v>
      </c>
      <c r="B320" s="6">
        <v>45988.55416814815</v>
      </c>
      <c r="C320" s="7" t="s">
        <v>26</v>
      </c>
      <c r="D320" s="8" t="s">
        <v>1258</v>
      </c>
      <c r="E320" s="8" t="s">
        <v>1259</v>
      </c>
      <c r="F320" s="7" t="s">
        <v>1260</v>
      </c>
      <c r="G320" s="9" t="s">
        <v>19</v>
      </c>
      <c r="H320" s="7" t="s">
        <v>47</v>
      </c>
      <c r="I320" s="7" t="s">
        <v>1274</v>
      </c>
      <c r="J320" s="10">
        <v>45853.0</v>
      </c>
      <c r="K320" s="8" t="s">
        <v>49</v>
      </c>
      <c r="L320" s="7">
        <v>8.0</v>
      </c>
      <c r="M320" s="7" t="s">
        <v>1275</v>
      </c>
      <c r="N320" s="13" t="s">
        <v>1276</v>
      </c>
      <c r="O320" s="15" t="s">
        <v>1277</v>
      </c>
    </row>
    <row r="321">
      <c r="A321" s="5">
        <v>371.0</v>
      </c>
      <c r="B321" s="6">
        <v>45988.5552622338</v>
      </c>
      <c r="C321" s="7" t="s">
        <v>26</v>
      </c>
      <c r="D321" s="8" t="s">
        <v>1247</v>
      </c>
      <c r="E321" s="8" t="s">
        <v>1248</v>
      </c>
      <c r="F321" s="7" t="s">
        <v>1249</v>
      </c>
      <c r="G321" s="9" t="s">
        <v>19</v>
      </c>
      <c r="H321" s="7" t="s">
        <v>41</v>
      </c>
      <c r="I321" s="7" t="s">
        <v>37</v>
      </c>
      <c r="J321" s="10">
        <v>45840.0</v>
      </c>
      <c r="K321" s="8" t="s">
        <v>67</v>
      </c>
      <c r="L321" s="7">
        <v>8.0</v>
      </c>
      <c r="M321" s="7" t="s">
        <v>33</v>
      </c>
      <c r="N321" s="13" t="s">
        <v>1278</v>
      </c>
      <c r="O321" s="15" t="s">
        <v>1279</v>
      </c>
    </row>
    <row r="322">
      <c r="A322" s="5">
        <v>372.0</v>
      </c>
      <c r="B322" s="6">
        <v>45988.56010545139</v>
      </c>
      <c r="C322" s="7" t="s">
        <v>26</v>
      </c>
      <c r="D322" s="8" t="s">
        <v>1252</v>
      </c>
      <c r="E322" s="8" t="s">
        <v>1253</v>
      </c>
      <c r="F322" s="7" t="s">
        <v>1254</v>
      </c>
      <c r="G322" s="9" t="s">
        <v>19</v>
      </c>
      <c r="H322" s="7" t="s">
        <v>955</v>
      </c>
      <c r="I322" s="7" t="s">
        <v>956</v>
      </c>
      <c r="J322" s="10">
        <v>45977.0</v>
      </c>
      <c r="K322" s="8" t="s">
        <v>362</v>
      </c>
      <c r="L322" s="7">
        <v>4.0</v>
      </c>
      <c r="M322" s="7" t="s">
        <v>87</v>
      </c>
      <c r="N322" s="13" t="s">
        <v>1280</v>
      </c>
      <c r="O322" s="15" t="s">
        <v>1281</v>
      </c>
    </row>
    <row r="323">
      <c r="A323" s="5">
        <v>373.0</v>
      </c>
      <c r="B323" s="6">
        <v>45988.561931944445</v>
      </c>
      <c r="C323" s="7" t="s">
        <v>26</v>
      </c>
      <c r="D323" s="8" t="s">
        <v>1252</v>
      </c>
      <c r="E323" s="8" t="s">
        <v>1253</v>
      </c>
      <c r="F323" s="7" t="s">
        <v>1254</v>
      </c>
      <c r="G323" s="9" t="s">
        <v>181</v>
      </c>
      <c r="H323" s="7" t="s">
        <v>857</v>
      </c>
      <c r="I323" s="7" t="s">
        <v>939</v>
      </c>
      <c r="J323" s="10">
        <v>45987.0</v>
      </c>
      <c r="K323" s="8" t="s">
        <v>859</v>
      </c>
      <c r="L323" s="7">
        <v>8.0</v>
      </c>
      <c r="M323" s="7" t="s">
        <v>860</v>
      </c>
      <c r="N323" s="13" t="s">
        <v>1282</v>
      </c>
      <c r="O323" s="15" t="s">
        <v>1283</v>
      </c>
    </row>
    <row r="324">
      <c r="A324" s="5">
        <v>374.0</v>
      </c>
      <c r="B324" s="6">
        <v>45988.563744618055</v>
      </c>
      <c r="C324" s="7" t="s">
        <v>26</v>
      </c>
      <c r="D324" s="8" t="s">
        <v>1252</v>
      </c>
      <c r="E324" s="8" t="s">
        <v>1253</v>
      </c>
      <c r="F324" s="7" t="s">
        <v>1254</v>
      </c>
      <c r="G324" s="9" t="s">
        <v>19</v>
      </c>
      <c r="H324" s="7" t="s">
        <v>44</v>
      </c>
      <c r="I324" s="7" t="s">
        <v>37</v>
      </c>
      <c r="J324" s="10">
        <v>45839.0</v>
      </c>
      <c r="K324" s="8" t="s">
        <v>67</v>
      </c>
      <c r="L324" s="7">
        <v>8.0</v>
      </c>
      <c r="M324" s="7" t="s">
        <v>33</v>
      </c>
      <c r="N324" s="13" t="s">
        <v>1284</v>
      </c>
      <c r="O324" s="15" t="s">
        <v>1285</v>
      </c>
    </row>
    <row r="325">
      <c r="A325" s="5">
        <v>376.0</v>
      </c>
      <c r="B325" s="6">
        <v>45988.56680428241</v>
      </c>
      <c r="C325" s="7" t="s">
        <v>26</v>
      </c>
      <c r="D325" s="8" t="s">
        <v>1252</v>
      </c>
      <c r="E325" s="8" t="s">
        <v>1253</v>
      </c>
      <c r="F325" s="7" t="s">
        <v>1254</v>
      </c>
      <c r="G325" s="9" t="s">
        <v>19</v>
      </c>
      <c r="H325" s="7" t="s">
        <v>44</v>
      </c>
      <c r="I325" s="7" t="s">
        <v>37</v>
      </c>
      <c r="J325" s="10">
        <v>45840.0</v>
      </c>
      <c r="K325" s="8" t="s">
        <v>67</v>
      </c>
      <c r="L325" s="7">
        <v>8.0</v>
      </c>
      <c r="M325" s="7" t="s">
        <v>33</v>
      </c>
      <c r="N325" s="13" t="s">
        <v>1286</v>
      </c>
      <c r="O325" s="15" t="s">
        <v>1287</v>
      </c>
    </row>
    <row r="326">
      <c r="A326" s="5">
        <v>378.0</v>
      </c>
      <c r="B326" s="6">
        <v>45988.59249358796</v>
      </c>
      <c r="C326" s="7" t="s">
        <v>26</v>
      </c>
      <c r="D326" s="8" t="s">
        <v>1288</v>
      </c>
      <c r="E326" s="8" t="s">
        <v>1197</v>
      </c>
      <c r="F326" s="7" t="s">
        <v>1289</v>
      </c>
      <c r="G326" s="9" t="s">
        <v>19</v>
      </c>
      <c r="H326" s="7" t="s">
        <v>30</v>
      </c>
      <c r="I326" s="7" t="s">
        <v>31</v>
      </c>
      <c r="J326" s="10">
        <v>45825.0</v>
      </c>
      <c r="K326" s="8" t="s">
        <v>49</v>
      </c>
      <c r="L326" s="7">
        <v>8.0</v>
      </c>
      <c r="M326" s="7" t="s">
        <v>33</v>
      </c>
      <c r="N326" s="13" t="s">
        <v>1290</v>
      </c>
      <c r="O326" s="15" t="s">
        <v>1291</v>
      </c>
    </row>
    <row r="327">
      <c r="A327" s="5">
        <v>379.0</v>
      </c>
      <c r="B327" s="6">
        <v>45988.595047870374</v>
      </c>
      <c r="C327" s="7" t="s">
        <v>26</v>
      </c>
      <c r="D327" s="8" t="s">
        <v>1288</v>
      </c>
      <c r="E327" s="8" t="s">
        <v>1197</v>
      </c>
      <c r="F327" s="7" t="s">
        <v>1289</v>
      </c>
      <c r="G327" s="9" t="s">
        <v>19</v>
      </c>
      <c r="H327" s="7" t="s">
        <v>30</v>
      </c>
      <c r="I327" s="7" t="s">
        <v>469</v>
      </c>
      <c r="J327" s="10">
        <v>45833.0</v>
      </c>
      <c r="K327" s="8" t="s">
        <v>49</v>
      </c>
      <c r="L327" s="7">
        <v>8.0</v>
      </c>
      <c r="M327" s="7" t="s">
        <v>33</v>
      </c>
      <c r="N327" s="13" t="s">
        <v>1292</v>
      </c>
      <c r="O327" s="15" t="s">
        <v>1293</v>
      </c>
    </row>
    <row r="328">
      <c r="A328" s="5">
        <v>380.0</v>
      </c>
      <c r="B328" s="6">
        <v>45988.596908692125</v>
      </c>
      <c r="C328" s="7" t="s">
        <v>26</v>
      </c>
      <c r="D328" s="8" t="s">
        <v>1288</v>
      </c>
      <c r="E328" s="8" t="s">
        <v>1197</v>
      </c>
      <c r="F328" s="7" t="s">
        <v>1289</v>
      </c>
      <c r="G328" s="9" t="s">
        <v>19</v>
      </c>
      <c r="H328" s="7" t="s">
        <v>30</v>
      </c>
      <c r="I328" s="7" t="s">
        <v>37</v>
      </c>
      <c r="J328" s="10">
        <v>45838.0</v>
      </c>
      <c r="K328" s="8" t="s">
        <v>67</v>
      </c>
      <c r="L328" s="7">
        <v>8.0</v>
      </c>
      <c r="M328" s="7" t="s">
        <v>33</v>
      </c>
      <c r="N328" s="13" t="s">
        <v>1294</v>
      </c>
      <c r="O328" s="15" t="s">
        <v>1295</v>
      </c>
    </row>
    <row r="329">
      <c r="A329" s="5">
        <v>381.0</v>
      </c>
      <c r="B329" s="6">
        <v>45988.5986987037</v>
      </c>
      <c r="C329" s="7" t="s">
        <v>26</v>
      </c>
      <c r="D329" s="8" t="s">
        <v>1288</v>
      </c>
      <c r="E329" s="8" t="s">
        <v>1197</v>
      </c>
      <c r="F329" s="7" t="s">
        <v>1289</v>
      </c>
      <c r="G329" s="9" t="s">
        <v>19</v>
      </c>
      <c r="H329" s="7" t="s">
        <v>448</v>
      </c>
      <c r="I329" s="7" t="s">
        <v>37</v>
      </c>
      <c r="J329" s="10">
        <v>45839.0</v>
      </c>
      <c r="K329" s="8" t="s">
        <v>67</v>
      </c>
      <c r="L329" s="7">
        <v>8.0</v>
      </c>
      <c r="M329" s="7" t="s">
        <v>33</v>
      </c>
      <c r="N329" s="13" t="s">
        <v>1296</v>
      </c>
      <c r="O329" s="15" t="s">
        <v>1297</v>
      </c>
    </row>
    <row r="330">
      <c r="A330" s="5">
        <v>382.0</v>
      </c>
      <c r="B330" s="6">
        <v>45988.60008350694</v>
      </c>
      <c r="C330" s="7" t="s">
        <v>26</v>
      </c>
      <c r="D330" s="8" t="s">
        <v>1288</v>
      </c>
      <c r="E330" s="8" t="s">
        <v>1197</v>
      </c>
      <c r="F330" s="7" t="s">
        <v>1289</v>
      </c>
      <c r="G330" s="9" t="s">
        <v>19</v>
      </c>
      <c r="H330" s="7" t="s">
        <v>1298</v>
      </c>
      <c r="I330" s="7" t="s">
        <v>37</v>
      </c>
      <c r="J330" s="10">
        <v>45840.0</v>
      </c>
      <c r="K330" s="8" t="s">
        <v>67</v>
      </c>
      <c r="L330" s="7">
        <v>8.0</v>
      </c>
      <c r="M330" s="7" t="s">
        <v>33</v>
      </c>
      <c r="N330" s="13" t="s">
        <v>1299</v>
      </c>
      <c r="O330" s="15" t="s">
        <v>1300</v>
      </c>
    </row>
    <row r="331">
      <c r="A331" s="5">
        <v>383.0</v>
      </c>
      <c r="B331" s="6">
        <v>45988.6160568287</v>
      </c>
      <c r="C331" s="7" t="s">
        <v>26</v>
      </c>
      <c r="D331" s="8" t="s">
        <v>109</v>
      </c>
      <c r="E331" s="8" t="s">
        <v>110</v>
      </c>
      <c r="F331" s="7" t="s">
        <v>111</v>
      </c>
      <c r="G331" s="9" t="s">
        <v>181</v>
      </c>
      <c r="H331" s="7" t="s">
        <v>1301</v>
      </c>
      <c r="I331" s="7" t="s">
        <v>231</v>
      </c>
      <c r="J331" s="10">
        <v>45887.0</v>
      </c>
      <c r="K331" s="8" t="s">
        <v>518</v>
      </c>
      <c r="L331" s="7">
        <v>2.0</v>
      </c>
      <c r="M331" s="7" t="s">
        <v>1064</v>
      </c>
      <c r="N331" s="13" t="s">
        <v>1302</v>
      </c>
      <c r="O331" s="15" t="s">
        <v>1303</v>
      </c>
    </row>
    <row r="332">
      <c r="A332" s="5">
        <v>384.0</v>
      </c>
      <c r="B332" s="6">
        <v>45988.62264652778</v>
      </c>
      <c r="C332" s="7" t="s">
        <v>26</v>
      </c>
      <c r="D332" s="8" t="s">
        <v>1304</v>
      </c>
      <c r="E332" s="8" t="s">
        <v>134</v>
      </c>
      <c r="F332" s="7" t="s">
        <v>1305</v>
      </c>
      <c r="G332" s="9" t="s">
        <v>19</v>
      </c>
      <c r="H332" s="7" t="s">
        <v>1306</v>
      </c>
      <c r="I332" s="7" t="s">
        <v>37</v>
      </c>
      <c r="J332" s="10">
        <v>45839.0</v>
      </c>
      <c r="K332" s="8" t="s">
        <v>67</v>
      </c>
      <c r="L332" s="7">
        <v>8.0</v>
      </c>
      <c r="M332" s="7" t="s">
        <v>33</v>
      </c>
      <c r="N332" s="13" t="s">
        <v>1307</v>
      </c>
      <c r="O332" s="15" t="s">
        <v>1308</v>
      </c>
    </row>
    <row r="333">
      <c r="A333" s="5">
        <v>387.0</v>
      </c>
      <c r="B333" s="6">
        <v>45988.63712557871</v>
      </c>
      <c r="C333" s="7" t="s">
        <v>26</v>
      </c>
      <c r="D333" s="8" t="s">
        <v>1288</v>
      </c>
      <c r="E333" s="8" t="s">
        <v>1197</v>
      </c>
      <c r="F333" s="7" t="s">
        <v>1289</v>
      </c>
      <c r="G333" s="9" t="s">
        <v>19</v>
      </c>
      <c r="H333" s="7" t="s">
        <v>1000</v>
      </c>
      <c r="I333" s="7" t="s">
        <v>526</v>
      </c>
      <c r="J333" s="10">
        <v>45884.0</v>
      </c>
      <c r="K333" s="8" t="s">
        <v>639</v>
      </c>
      <c r="L333" s="7">
        <v>4.0</v>
      </c>
      <c r="M333" s="7" t="s">
        <v>87</v>
      </c>
      <c r="N333" s="13" t="s">
        <v>1309</v>
      </c>
      <c r="O333" s="15" t="s">
        <v>1310</v>
      </c>
    </row>
    <row r="334">
      <c r="A334" s="5">
        <v>388.0</v>
      </c>
      <c r="B334" s="6">
        <v>45988.64167197917</v>
      </c>
      <c r="C334" s="7" t="s">
        <v>26</v>
      </c>
      <c r="D334" s="8" t="s">
        <v>1288</v>
      </c>
      <c r="E334" s="8" t="s">
        <v>1197</v>
      </c>
      <c r="F334" s="7" t="s">
        <v>1289</v>
      </c>
      <c r="G334" s="9" t="s">
        <v>19</v>
      </c>
      <c r="H334" s="7" t="s">
        <v>1000</v>
      </c>
      <c r="I334" s="7" t="s">
        <v>526</v>
      </c>
      <c r="J334" s="10">
        <v>45885.0</v>
      </c>
      <c r="K334" s="8" t="s">
        <v>49</v>
      </c>
      <c r="L334" s="7">
        <v>8.0</v>
      </c>
      <c r="M334" s="7" t="s">
        <v>87</v>
      </c>
      <c r="N334" s="13" t="s">
        <v>1311</v>
      </c>
      <c r="O334" s="15" t="s">
        <v>1312</v>
      </c>
    </row>
    <row r="335">
      <c r="A335" s="5">
        <v>389.0</v>
      </c>
      <c r="B335" s="6">
        <v>45988.64308471065</v>
      </c>
      <c r="C335" s="7" t="s">
        <v>26</v>
      </c>
      <c r="D335" s="8" t="s">
        <v>1288</v>
      </c>
      <c r="E335" s="8" t="s">
        <v>1197</v>
      </c>
      <c r="F335" s="7" t="s">
        <v>1289</v>
      </c>
      <c r="G335" s="9" t="s">
        <v>19</v>
      </c>
      <c r="H335" s="7" t="s">
        <v>1000</v>
      </c>
      <c r="I335" s="7" t="s">
        <v>526</v>
      </c>
      <c r="J335" s="10">
        <v>45886.0</v>
      </c>
      <c r="K335" s="8" t="s">
        <v>49</v>
      </c>
      <c r="L335" s="7">
        <v>8.0</v>
      </c>
      <c r="M335" s="7" t="s">
        <v>87</v>
      </c>
      <c r="N335" s="13" t="s">
        <v>1313</v>
      </c>
      <c r="O335" s="15" t="s">
        <v>1314</v>
      </c>
    </row>
    <row r="336">
      <c r="A336" s="5">
        <v>390.0</v>
      </c>
      <c r="B336" s="6">
        <v>45988.648301064815</v>
      </c>
      <c r="C336" s="7" t="s">
        <v>26</v>
      </c>
      <c r="D336" s="8" t="s">
        <v>1288</v>
      </c>
      <c r="E336" s="8" t="s">
        <v>1197</v>
      </c>
      <c r="F336" s="7" t="s">
        <v>1289</v>
      </c>
      <c r="G336" s="9" t="s">
        <v>19</v>
      </c>
      <c r="H336" s="7" t="s">
        <v>1073</v>
      </c>
      <c r="I336" s="7" t="s">
        <v>1315</v>
      </c>
      <c r="J336" s="10">
        <v>45968.0</v>
      </c>
      <c r="K336" s="8" t="s">
        <v>639</v>
      </c>
      <c r="L336" s="7">
        <v>4.0</v>
      </c>
      <c r="M336" s="7" t="s">
        <v>87</v>
      </c>
      <c r="N336" s="13" t="s">
        <v>1316</v>
      </c>
      <c r="O336" s="15" t="s">
        <v>1317</v>
      </c>
    </row>
    <row r="337">
      <c r="A337" s="5">
        <v>391.0</v>
      </c>
      <c r="B337" s="6">
        <v>45988.649637905095</v>
      </c>
      <c r="C337" s="7" t="s">
        <v>26</v>
      </c>
      <c r="D337" s="8" t="s">
        <v>1288</v>
      </c>
      <c r="E337" s="8" t="s">
        <v>1197</v>
      </c>
      <c r="F337" s="7" t="s">
        <v>1289</v>
      </c>
      <c r="G337" s="9" t="s">
        <v>19</v>
      </c>
      <c r="H337" s="7" t="s">
        <v>1073</v>
      </c>
      <c r="I337" s="7" t="s">
        <v>1318</v>
      </c>
      <c r="J337" s="10">
        <v>45969.0</v>
      </c>
      <c r="K337" s="8" t="s">
        <v>49</v>
      </c>
      <c r="L337" s="7">
        <v>8.0</v>
      </c>
      <c r="M337" s="7" t="s">
        <v>87</v>
      </c>
      <c r="N337" s="13" t="s">
        <v>1319</v>
      </c>
      <c r="O337" s="15" t="s">
        <v>1320</v>
      </c>
    </row>
    <row r="338">
      <c r="A338" s="5">
        <v>392.0</v>
      </c>
      <c r="B338" s="6">
        <v>45988.65066699074</v>
      </c>
      <c r="C338" s="7" t="s">
        <v>26</v>
      </c>
      <c r="D338" s="8" t="s">
        <v>1288</v>
      </c>
      <c r="E338" s="8" t="s">
        <v>1197</v>
      </c>
      <c r="F338" s="7" t="s">
        <v>1289</v>
      </c>
      <c r="G338" s="9" t="s">
        <v>19</v>
      </c>
      <c r="H338" s="7" t="s">
        <v>1073</v>
      </c>
      <c r="I338" s="7" t="s">
        <v>1318</v>
      </c>
      <c r="J338" s="10">
        <v>45970.0</v>
      </c>
      <c r="K338" s="8" t="s">
        <v>49</v>
      </c>
      <c r="L338" s="7">
        <v>8.0</v>
      </c>
      <c r="M338" s="7" t="s">
        <v>87</v>
      </c>
      <c r="N338" s="13" t="s">
        <v>1321</v>
      </c>
      <c r="O338" s="15" t="s">
        <v>1322</v>
      </c>
    </row>
    <row r="339">
      <c r="A339" s="5">
        <v>393.0</v>
      </c>
      <c r="B339" s="6">
        <v>45988.65250678241</v>
      </c>
      <c r="C339" s="7" t="s">
        <v>26</v>
      </c>
      <c r="D339" s="8" t="s">
        <v>1288</v>
      </c>
      <c r="E339" s="8" t="s">
        <v>1197</v>
      </c>
      <c r="F339" s="7" t="s">
        <v>1289</v>
      </c>
      <c r="G339" s="9" t="s">
        <v>19</v>
      </c>
      <c r="H339" s="7" t="s">
        <v>1323</v>
      </c>
      <c r="I339" s="7" t="s">
        <v>1324</v>
      </c>
      <c r="J339" s="10">
        <v>45951.0</v>
      </c>
      <c r="K339" s="8" t="s">
        <v>930</v>
      </c>
      <c r="L339" s="7">
        <v>2.0</v>
      </c>
      <c r="M339" s="7" t="s">
        <v>1325</v>
      </c>
      <c r="N339" s="13" t="s">
        <v>1326</v>
      </c>
      <c r="O339" s="15" t="s">
        <v>1327</v>
      </c>
    </row>
    <row r="340">
      <c r="A340" s="5">
        <v>394.0</v>
      </c>
      <c r="B340" s="6">
        <v>45988.65392660879</v>
      </c>
      <c r="C340" s="7" t="s">
        <v>26</v>
      </c>
      <c r="D340" s="8" t="s">
        <v>1288</v>
      </c>
      <c r="E340" s="8" t="s">
        <v>1197</v>
      </c>
      <c r="F340" s="7" t="s">
        <v>1289</v>
      </c>
      <c r="G340" s="9" t="s">
        <v>181</v>
      </c>
      <c r="H340" s="7" t="s">
        <v>857</v>
      </c>
      <c r="I340" s="7" t="s">
        <v>1261</v>
      </c>
      <c r="J340" s="10">
        <v>45985.0</v>
      </c>
      <c r="K340" s="8" t="s">
        <v>859</v>
      </c>
      <c r="L340" s="7">
        <v>8.0</v>
      </c>
      <c r="M340" s="7" t="s">
        <v>860</v>
      </c>
      <c r="N340" s="13" t="s">
        <v>1328</v>
      </c>
      <c r="O340" s="15" t="s">
        <v>1329</v>
      </c>
    </row>
    <row r="341">
      <c r="A341" s="5">
        <v>395.0</v>
      </c>
      <c r="B341" s="6">
        <v>45988.668325763894</v>
      </c>
      <c r="C341" s="7" t="s">
        <v>125</v>
      </c>
      <c r="D341" s="8" t="s">
        <v>1330</v>
      </c>
      <c r="E341" s="8" t="s">
        <v>91</v>
      </c>
      <c r="F341" s="7" t="s">
        <v>1331</v>
      </c>
      <c r="G341" s="9" t="s">
        <v>19</v>
      </c>
      <c r="H341" s="7" t="s">
        <v>173</v>
      </c>
      <c r="I341" s="7" t="s">
        <v>174</v>
      </c>
      <c r="J341" s="10">
        <v>45854.0</v>
      </c>
      <c r="K341" s="8" t="s">
        <v>175</v>
      </c>
      <c r="L341" s="7">
        <v>6.0</v>
      </c>
      <c r="M341" s="7" t="s">
        <v>106</v>
      </c>
      <c r="N341" s="13" t="s">
        <v>1332</v>
      </c>
      <c r="O341" s="15" t="s">
        <v>1333</v>
      </c>
    </row>
    <row r="342">
      <c r="A342" s="5">
        <v>396.0</v>
      </c>
      <c r="B342" s="6">
        <v>45988.79369162037</v>
      </c>
      <c r="C342" s="7" t="s">
        <v>760</v>
      </c>
      <c r="D342" s="8" t="s">
        <v>1334</v>
      </c>
      <c r="E342" s="8" t="s">
        <v>404</v>
      </c>
      <c r="F342" s="7" t="s">
        <v>1335</v>
      </c>
      <c r="G342" s="9" t="s">
        <v>19</v>
      </c>
      <c r="H342" s="7" t="s">
        <v>1336</v>
      </c>
      <c r="I342" s="7" t="s">
        <v>1337</v>
      </c>
      <c r="J342" s="10">
        <v>45907.0</v>
      </c>
      <c r="K342" s="8" t="s">
        <v>1338</v>
      </c>
      <c r="L342" s="7">
        <v>8.0</v>
      </c>
      <c r="M342" s="7" t="s">
        <v>33</v>
      </c>
      <c r="N342" s="13" t="s">
        <v>1339</v>
      </c>
      <c r="O342" s="15" t="s">
        <v>1340</v>
      </c>
    </row>
    <row r="343">
      <c r="A343" s="5">
        <v>398.0</v>
      </c>
      <c r="B343" s="6">
        <v>45988.89614832176</v>
      </c>
      <c r="C343" s="7" t="s">
        <v>26</v>
      </c>
      <c r="D343" s="8" t="s">
        <v>1341</v>
      </c>
      <c r="E343" s="8" t="s">
        <v>1152</v>
      </c>
      <c r="F343" s="7" t="s">
        <v>1342</v>
      </c>
      <c r="G343" s="9" t="s">
        <v>19</v>
      </c>
      <c r="H343" s="7" t="s">
        <v>1343</v>
      </c>
      <c r="I343" s="7" t="s">
        <v>1344</v>
      </c>
      <c r="J343" s="10">
        <v>45955.0</v>
      </c>
      <c r="K343" s="8" t="s">
        <v>58</v>
      </c>
      <c r="L343" s="7">
        <v>5.0</v>
      </c>
      <c r="M343" s="7" t="s">
        <v>59</v>
      </c>
      <c r="N343" s="13" t="s">
        <v>1345</v>
      </c>
      <c r="O343" s="15" t="s">
        <v>1346</v>
      </c>
    </row>
    <row r="344">
      <c r="A344" s="5">
        <v>399.0</v>
      </c>
      <c r="B344" s="6">
        <v>45988.89970780093</v>
      </c>
      <c r="C344" s="7" t="s">
        <v>26</v>
      </c>
      <c r="D344" s="8" t="s">
        <v>980</v>
      </c>
      <c r="E344" s="8" t="s">
        <v>236</v>
      </c>
      <c r="F344" s="7" t="s">
        <v>981</v>
      </c>
      <c r="G344" s="9" t="s">
        <v>181</v>
      </c>
      <c r="H344" s="7" t="s">
        <v>1347</v>
      </c>
      <c r="I344" s="7" t="s">
        <v>1211</v>
      </c>
      <c r="J344" s="10">
        <v>45875.0</v>
      </c>
      <c r="K344" s="8" t="s">
        <v>175</v>
      </c>
      <c r="L344" s="7">
        <v>6.0</v>
      </c>
      <c r="M344" s="7" t="s">
        <v>944</v>
      </c>
      <c r="N344" s="13" t="s">
        <v>1348</v>
      </c>
      <c r="O344" s="15" t="s">
        <v>1349</v>
      </c>
    </row>
    <row r="345">
      <c r="A345" s="5">
        <v>400.0</v>
      </c>
      <c r="B345" s="6">
        <v>45988.90003549769</v>
      </c>
      <c r="C345" s="7" t="s">
        <v>760</v>
      </c>
      <c r="D345" s="8" t="s">
        <v>1350</v>
      </c>
      <c r="E345" s="8" t="s">
        <v>199</v>
      </c>
      <c r="F345" s="7" t="s">
        <v>1351</v>
      </c>
      <c r="G345" s="9" t="s">
        <v>19</v>
      </c>
      <c r="H345" s="7" t="s">
        <v>819</v>
      </c>
      <c r="I345" s="7" t="s">
        <v>820</v>
      </c>
      <c r="J345" s="10">
        <v>45977.0</v>
      </c>
      <c r="K345" s="8" t="s">
        <v>1352</v>
      </c>
      <c r="L345" s="7">
        <v>3.0</v>
      </c>
      <c r="M345" s="7" t="s">
        <v>106</v>
      </c>
      <c r="N345" s="13" t="s">
        <v>1353</v>
      </c>
      <c r="O345" s="15" t="s">
        <v>1354</v>
      </c>
    </row>
    <row r="346">
      <c r="A346" s="5">
        <v>401.0</v>
      </c>
      <c r="B346" s="6">
        <v>45988.90037769676</v>
      </c>
      <c r="C346" s="7" t="s">
        <v>26</v>
      </c>
      <c r="D346" s="8" t="s">
        <v>1264</v>
      </c>
      <c r="E346" s="8" t="s">
        <v>1049</v>
      </c>
      <c r="F346" s="7" t="s">
        <v>1265</v>
      </c>
      <c r="G346" s="9" t="s">
        <v>181</v>
      </c>
      <c r="H346" s="7" t="s">
        <v>1355</v>
      </c>
      <c r="I346" s="7" t="s">
        <v>1356</v>
      </c>
      <c r="J346" s="10">
        <v>45875.0</v>
      </c>
      <c r="K346" s="8" t="s">
        <v>175</v>
      </c>
      <c r="L346" s="7">
        <v>6.0</v>
      </c>
      <c r="M346" s="7" t="s">
        <v>944</v>
      </c>
      <c r="N346" s="13" t="s">
        <v>1357</v>
      </c>
      <c r="O346" s="15" t="s">
        <v>1358</v>
      </c>
    </row>
    <row r="347">
      <c r="A347" s="5">
        <v>402.0</v>
      </c>
      <c r="B347" s="6">
        <v>45988.9016853588</v>
      </c>
      <c r="C347" s="7" t="s">
        <v>26</v>
      </c>
      <c r="D347" s="8" t="s">
        <v>980</v>
      </c>
      <c r="E347" s="8" t="s">
        <v>236</v>
      </c>
      <c r="F347" s="7" t="s">
        <v>981</v>
      </c>
      <c r="G347" s="9" t="s">
        <v>181</v>
      </c>
      <c r="H347" s="7" t="s">
        <v>1359</v>
      </c>
      <c r="I347" s="7" t="s">
        <v>1360</v>
      </c>
      <c r="J347" s="10">
        <v>45987.0</v>
      </c>
      <c r="K347" s="8" t="s">
        <v>1361</v>
      </c>
      <c r="L347" s="7">
        <v>8.0</v>
      </c>
      <c r="M347" s="7" t="s">
        <v>860</v>
      </c>
      <c r="N347" s="13" t="s">
        <v>1362</v>
      </c>
      <c r="O347" s="15" t="s">
        <v>1363</v>
      </c>
    </row>
    <row r="348">
      <c r="A348" s="5">
        <v>403.0</v>
      </c>
      <c r="B348" s="6">
        <v>45988.903512986115</v>
      </c>
      <c r="C348" s="7" t="s">
        <v>26</v>
      </c>
      <c r="D348" s="8" t="s">
        <v>980</v>
      </c>
      <c r="E348" s="8" t="s">
        <v>236</v>
      </c>
      <c r="F348" s="7" t="s">
        <v>981</v>
      </c>
      <c r="G348" s="9" t="s">
        <v>19</v>
      </c>
      <c r="H348" s="7" t="s">
        <v>1364</v>
      </c>
      <c r="I348" s="7" t="s">
        <v>956</v>
      </c>
      <c r="J348" s="10">
        <v>45977.0</v>
      </c>
      <c r="K348" s="8" t="s">
        <v>1365</v>
      </c>
      <c r="L348" s="7">
        <v>4.0</v>
      </c>
      <c r="M348" s="7" t="s">
        <v>87</v>
      </c>
      <c r="N348" s="13" t="s">
        <v>1366</v>
      </c>
      <c r="O348" s="15" t="s">
        <v>1367</v>
      </c>
    </row>
    <row r="349">
      <c r="A349" s="5">
        <v>404.0</v>
      </c>
      <c r="B349" s="6">
        <v>45988.917151539354</v>
      </c>
      <c r="C349" s="7" t="s">
        <v>760</v>
      </c>
      <c r="D349" s="8" t="s">
        <v>1334</v>
      </c>
      <c r="E349" s="8" t="s">
        <v>404</v>
      </c>
      <c r="F349" s="7" t="s">
        <v>1335</v>
      </c>
      <c r="G349" s="9" t="s">
        <v>181</v>
      </c>
      <c r="H349" s="7" t="s">
        <v>1216</v>
      </c>
      <c r="I349" s="7" t="s">
        <v>231</v>
      </c>
      <c r="J349" s="10">
        <v>45950.0</v>
      </c>
      <c r="K349" s="8" t="s">
        <v>1368</v>
      </c>
      <c r="L349" s="7">
        <v>1.0</v>
      </c>
      <c r="M349" s="7" t="s">
        <v>33</v>
      </c>
      <c r="N349" s="13" t="s">
        <v>1369</v>
      </c>
      <c r="O349" s="15" t="s">
        <v>1370</v>
      </c>
    </row>
    <row r="350">
      <c r="A350" s="5">
        <v>405.0</v>
      </c>
      <c r="B350" s="6">
        <v>45988.919804502315</v>
      </c>
      <c r="C350" s="7" t="s">
        <v>760</v>
      </c>
      <c r="D350" s="8" t="s">
        <v>1334</v>
      </c>
      <c r="E350" s="8" t="s">
        <v>404</v>
      </c>
      <c r="F350" s="7" t="s">
        <v>1335</v>
      </c>
      <c r="G350" s="9" t="s">
        <v>181</v>
      </c>
      <c r="H350" s="7" t="s">
        <v>1216</v>
      </c>
      <c r="I350" s="7" t="s">
        <v>231</v>
      </c>
      <c r="J350" s="10">
        <v>45951.0</v>
      </c>
      <c r="K350" s="8" t="s">
        <v>1368</v>
      </c>
      <c r="L350" s="7">
        <v>1.0</v>
      </c>
      <c r="M350" s="7" t="s">
        <v>33</v>
      </c>
      <c r="N350" s="13" t="s">
        <v>1371</v>
      </c>
      <c r="O350" s="15" t="s">
        <v>1372</v>
      </c>
    </row>
    <row r="351">
      <c r="A351" s="5">
        <v>406.0</v>
      </c>
      <c r="B351" s="6">
        <v>45988.922077511575</v>
      </c>
      <c r="C351" s="7" t="s">
        <v>26</v>
      </c>
      <c r="D351" s="8" t="s">
        <v>1258</v>
      </c>
      <c r="E351" s="8" t="s">
        <v>1259</v>
      </c>
      <c r="F351" s="7" t="s">
        <v>1260</v>
      </c>
      <c r="G351" s="9" t="s">
        <v>19</v>
      </c>
      <c r="H351" s="7" t="s">
        <v>291</v>
      </c>
      <c r="I351" s="7" t="s">
        <v>1373</v>
      </c>
      <c r="J351" s="10">
        <v>45955.0</v>
      </c>
      <c r="K351" s="8" t="s">
        <v>58</v>
      </c>
      <c r="L351" s="7">
        <v>5.0</v>
      </c>
      <c r="M351" s="7" t="s">
        <v>59</v>
      </c>
      <c r="N351" s="13" t="s">
        <v>1374</v>
      </c>
      <c r="O351" s="15" t="s">
        <v>1375</v>
      </c>
    </row>
    <row r="352">
      <c r="A352" s="5">
        <v>407.0</v>
      </c>
      <c r="B352" s="6">
        <v>45988.92257871528</v>
      </c>
      <c r="C352" s="7" t="s">
        <v>760</v>
      </c>
      <c r="D352" s="8" t="s">
        <v>1334</v>
      </c>
      <c r="E352" s="8" t="s">
        <v>404</v>
      </c>
      <c r="F352" s="7" t="s">
        <v>1335</v>
      </c>
      <c r="G352" s="9" t="s">
        <v>181</v>
      </c>
      <c r="H352" s="7" t="s">
        <v>1216</v>
      </c>
      <c r="I352" s="7" t="s">
        <v>231</v>
      </c>
      <c r="J352" s="10">
        <v>45959.0</v>
      </c>
      <c r="K352" s="8" t="s">
        <v>1368</v>
      </c>
      <c r="L352" s="7">
        <v>1.0</v>
      </c>
      <c r="M352" s="7" t="s">
        <v>1376</v>
      </c>
      <c r="N352" s="13" t="s">
        <v>1377</v>
      </c>
      <c r="O352" s="15" t="s">
        <v>1378</v>
      </c>
    </row>
    <row r="353">
      <c r="A353" s="5">
        <v>408.0</v>
      </c>
      <c r="B353" s="6">
        <v>45988.92394815972</v>
      </c>
      <c r="C353" s="7" t="s">
        <v>760</v>
      </c>
      <c r="D353" s="8" t="s">
        <v>1334</v>
      </c>
      <c r="E353" s="8" t="s">
        <v>404</v>
      </c>
      <c r="F353" s="7" t="s">
        <v>1335</v>
      </c>
      <c r="G353" s="9" t="s">
        <v>181</v>
      </c>
      <c r="H353" s="7" t="s">
        <v>1216</v>
      </c>
      <c r="I353" s="7" t="s">
        <v>231</v>
      </c>
      <c r="J353" s="10">
        <v>45964.0</v>
      </c>
      <c r="K353" s="8" t="s">
        <v>1368</v>
      </c>
      <c r="L353" s="7">
        <v>1.0</v>
      </c>
      <c r="M353" s="7" t="s">
        <v>33</v>
      </c>
      <c r="N353" s="13" t="s">
        <v>1379</v>
      </c>
      <c r="O353" s="15" t="s">
        <v>1380</v>
      </c>
    </row>
    <row r="354">
      <c r="A354" s="5">
        <v>409.0</v>
      </c>
      <c r="B354" s="6">
        <v>45988.92533493055</v>
      </c>
      <c r="C354" s="7" t="s">
        <v>26</v>
      </c>
      <c r="D354" s="8" t="s">
        <v>1258</v>
      </c>
      <c r="E354" s="8" t="s">
        <v>1259</v>
      </c>
      <c r="F354" s="7" t="s">
        <v>1260</v>
      </c>
      <c r="G354" s="9" t="s">
        <v>19</v>
      </c>
      <c r="H354" s="7" t="s">
        <v>1381</v>
      </c>
      <c r="I354" s="7" t="s">
        <v>905</v>
      </c>
      <c r="J354" s="10">
        <v>45907.0</v>
      </c>
      <c r="K354" s="8" t="s">
        <v>1338</v>
      </c>
      <c r="L354" s="7">
        <v>8.0</v>
      </c>
      <c r="M354" s="7" t="s">
        <v>33</v>
      </c>
      <c r="N354" s="13" t="s">
        <v>1382</v>
      </c>
      <c r="O354" s="15" t="s">
        <v>1383</v>
      </c>
    </row>
    <row r="355">
      <c r="A355" s="5">
        <v>410.0</v>
      </c>
      <c r="B355" s="6">
        <v>45989.35277506945</v>
      </c>
      <c r="C355" s="7" t="s">
        <v>760</v>
      </c>
      <c r="D355" s="8" t="s">
        <v>1384</v>
      </c>
      <c r="E355" s="8" t="s">
        <v>1385</v>
      </c>
      <c r="F355" s="7" t="s">
        <v>1386</v>
      </c>
      <c r="G355" s="9" t="s">
        <v>19</v>
      </c>
      <c r="H355" s="7" t="s">
        <v>1073</v>
      </c>
      <c r="I355" s="7" t="s">
        <v>1074</v>
      </c>
      <c r="J355" s="10">
        <v>45968.0</v>
      </c>
      <c r="K355" s="8" t="s">
        <v>639</v>
      </c>
      <c r="L355" s="7">
        <v>4.0</v>
      </c>
      <c r="M355" s="7" t="s">
        <v>87</v>
      </c>
      <c r="N355" s="13" t="s">
        <v>1387</v>
      </c>
      <c r="O355" s="15" t="s">
        <v>1388</v>
      </c>
    </row>
    <row r="356">
      <c r="A356" s="5">
        <v>411.0</v>
      </c>
      <c r="B356" s="6">
        <v>45989.35882641203</v>
      </c>
      <c r="C356" s="7" t="s">
        <v>760</v>
      </c>
      <c r="D356" s="8" t="s">
        <v>1384</v>
      </c>
      <c r="E356" s="8" t="s">
        <v>1385</v>
      </c>
      <c r="F356" s="7" t="s">
        <v>1386</v>
      </c>
      <c r="G356" s="9" t="s">
        <v>19</v>
      </c>
      <c r="H356" s="7" t="s">
        <v>1073</v>
      </c>
      <c r="I356" s="7" t="s">
        <v>1074</v>
      </c>
      <c r="J356" s="10">
        <v>45969.0</v>
      </c>
      <c r="K356" s="8" t="s">
        <v>49</v>
      </c>
      <c r="L356" s="7">
        <v>8.0</v>
      </c>
      <c r="M356" s="7" t="s">
        <v>87</v>
      </c>
      <c r="N356" s="13" t="s">
        <v>1389</v>
      </c>
      <c r="O356" s="15" t="s">
        <v>1390</v>
      </c>
    </row>
    <row r="357">
      <c r="A357" s="5">
        <v>412.0</v>
      </c>
      <c r="B357" s="6">
        <v>45989.3616137037</v>
      </c>
      <c r="C357" s="7" t="s">
        <v>760</v>
      </c>
      <c r="D357" s="8" t="s">
        <v>1384</v>
      </c>
      <c r="E357" s="8" t="s">
        <v>1385</v>
      </c>
      <c r="F357" s="7" t="s">
        <v>1386</v>
      </c>
      <c r="G357" s="9" t="s">
        <v>19</v>
      </c>
      <c r="H357" s="7" t="s">
        <v>1073</v>
      </c>
      <c r="I357" s="7" t="s">
        <v>1074</v>
      </c>
      <c r="J357" s="10">
        <v>45970.0</v>
      </c>
      <c r="K357" s="8" t="s">
        <v>49</v>
      </c>
      <c r="L357" s="7">
        <v>8.0</v>
      </c>
      <c r="M357" s="7" t="s">
        <v>87</v>
      </c>
      <c r="N357" s="13" t="s">
        <v>1391</v>
      </c>
      <c r="O357" s="15" t="s">
        <v>1392</v>
      </c>
    </row>
    <row r="358">
      <c r="A358" s="5">
        <v>413.0</v>
      </c>
      <c r="B358" s="6">
        <v>45989.4354471875</v>
      </c>
      <c r="C358" s="7" t="s">
        <v>760</v>
      </c>
      <c r="D358" s="8" t="s">
        <v>902</v>
      </c>
      <c r="E358" s="8" t="s">
        <v>28</v>
      </c>
      <c r="F358" s="7" t="s">
        <v>1393</v>
      </c>
      <c r="G358" s="9" t="s">
        <v>181</v>
      </c>
      <c r="H358" s="7" t="s">
        <v>1394</v>
      </c>
      <c r="I358" s="7" t="s">
        <v>1211</v>
      </c>
      <c r="J358" s="10">
        <v>45981.0</v>
      </c>
      <c r="K358" s="8" t="s">
        <v>1395</v>
      </c>
      <c r="L358" s="7">
        <v>1.0</v>
      </c>
      <c r="M358" s="7" t="s">
        <v>553</v>
      </c>
      <c r="N358" s="13" t="s">
        <v>1396</v>
      </c>
      <c r="O358" s="15" t="s">
        <v>1397</v>
      </c>
    </row>
    <row r="359">
      <c r="A359" s="5">
        <v>414.0</v>
      </c>
      <c r="B359" s="6">
        <v>45989.43770013889</v>
      </c>
      <c r="C359" s="7" t="s">
        <v>760</v>
      </c>
      <c r="D359" s="8" t="s">
        <v>902</v>
      </c>
      <c r="E359" s="8" t="s">
        <v>28</v>
      </c>
      <c r="F359" s="7" t="s">
        <v>1393</v>
      </c>
      <c r="G359" s="9" t="s">
        <v>181</v>
      </c>
      <c r="H359" s="7" t="s">
        <v>1394</v>
      </c>
      <c r="I359" s="7" t="s">
        <v>1211</v>
      </c>
      <c r="J359" s="10">
        <v>45973.0</v>
      </c>
      <c r="K359" s="8" t="s">
        <v>1395</v>
      </c>
      <c r="L359" s="7">
        <v>1.0</v>
      </c>
      <c r="M359" s="7" t="s">
        <v>553</v>
      </c>
      <c r="N359" s="13" t="s">
        <v>1398</v>
      </c>
      <c r="O359" s="15" t="s">
        <v>1399</v>
      </c>
    </row>
    <row r="360">
      <c r="A360" s="5">
        <v>415.0</v>
      </c>
      <c r="B360" s="6">
        <v>45989.439373333335</v>
      </c>
      <c r="C360" s="7" t="s">
        <v>760</v>
      </c>
      <c r="D360" s="8" t="s">
        <v>902</v>
      </c>
      <c r="E360" s="8" t="s">
        <v>28</v>
      </c>
      <c r="F360" s="7" t="s">
        <v>1393</v>
      </c>
      <c r="G360" s="9" t="s">
        <v>181</v>
      </c>
      <c r="H360" s="7" t="s">
        <v>1394</v>
      </c>
      <c r="I360" s="7" t="s">
        <v>1211</v>
      </c>
      <c r="J360" s="10">
        <v>45946.0</v>
      </c>
      <c r="K360" s="8" t="s">
        <v>1395</v>
      </c>
      <c r="L360" s="7">
        <v>1.0</v>
      </c>
      <c r="M360" s="7" t="s">
        <v>907</v>
      </c>
      <c r="N360" s="13" t="s">
        <v>1400</v>
      </c>
      <c r="O360" s="15" t="s">
        <v>1401</v>
      </c>
    </row>
    <row r="361">
      <c r="A361" s="5">
        <v>416.0</v>
      </c>
      <c r="B361" s="6">
        <v>45989.44095754629</v>
      </c>
      <c r="C361" s="7" t="s">
        <v>760</v>
      </c>
      <c r="D361" s="8" t="s">
        <v>902</v>
      </c>
      <c r="E361" s="8" t="s">
        <v>28</v>
      </c>
      <c r="F361" s="7" t="s">
        <v>1393</v>
      </c>
      <c r="G361" s="9" t="s">
        <v>181</v>
      </c>
      <c r="H361" s="7" t="s">
        <v>1394</v>
      </c>
      <c r="I361" s="7" t="s">
        <v>1211</v>
      </c>
      <c r="J361" s="10">
        <v>45964.0</v>
      </c>
      <c r="K361" s="8" t="s">
        <v>1395</v>
      </c>
      <c r="L361" s="7">
        <v>1.0</v>
      </c>
      <c r="M361" s="7" t="s">
        <v>1402</v>
      </c>
      <c r="N361" s="13" t="s">
        <v>1403</v>
      </c>
      <c r="O361" s="15" t="s">
        <v>1404</v>
      </c>
    </row>
    <row r="362">
      <c r="A362" s="5">
        <v>417.0</v>
      </c>
      <c r="B362" s="6">
        <v>45989.443261886576</v>
      </c>
      <c r="C362" s="7" t="s">
        <v>760</v>
      </c>
      <c r="D362" s="8" t="s">
        <v>902</v>
      </c>
      <c r="E362" s="8" t="s">
        <v>28</v>
      </c>
      <c r="F362" s="7" t="s">
        <v>1393</v>
      </c>
      <c r="G362" s="9" t="s">
        <v>181</v>
      </c>
      <c r="H362" s="7" t="s">
        <v>1394</v>
      </c>
      <c r="I362" s="7" t="s">
        <v>1211</v>
      </c>
      <c r="J362" s="10">
        <v>45950.0</v>
      </c>
      <c r="K362" s="8" t="s">
        <v>1395</v>
      </c>
      <c r="L362" s="7">
        <v>1.0</v>
      </c>
      <c r="M362" s="7" t="s">
        <v>907</v>
      </c>
      <c r="N362" s="13" t="s">
        <v>1405</v>
      </c>
      <c r="O362" s="15" t="s">
        <v>1406</v>
      </c>
    </row>
    <row r="363">
      <c r="A363" s="5">
        <v>420.0</v>
      </c>
      <c r="B363" s="6">
        <v>45989.47593083333</v>
      </c>
      <c r="C363" s="7" t="s">
        <v>760</v>
      </c>
      <c r="D363" s="8" t="s">
        <v>1407</v>
      </c>
      <c r="E363" s="8" t="s">
        <v>440</v>
      </c>
      <c r="F363" s="7" t="s">
        <v>1408</v>
      </c>
      <c r="G363" s="9" t="s">
        <v>19</v>
      </c>
      <c r="H363" s="7" t="s">
        <v>1409</v>
      </c>
      <c r="I363" s="7" t="s">
        <v>1410</v>
      </c>
      <c r="J363" s="10">
        <v>45955.0</v>
      </c>
      <c r="K363" s="8" t="s">
        <v>58</v>
      </c>
      <c r="L363" s="7">
        <v>5.0</v>
      </c>
      <c r="M363" s="7" t="s">
        <v>59</v>
      </c>
      <c r="N363" s="13" t="s">
        <v>1411</v>
      </c>
      <c r="O363" s="15" t="s">
        <v>1412</v>
      </c>
    </row>
    <row r="364">
      <c r="A364" s="5">
        <v>421.0</v>
      </c>
      <c r="B364" s="6">
        <v>45989.492465625</v>
      </c>
      <c r="C364" s="7" t="s">
        <v>26</v>
      </c>
      <c r="D364" s="8" t="s">
        <v>918</v>
      </c>
      <c r="E364" s="8" t="s">
        <v>919</v>
      </c>
      <c r="F364" s="7" t="s">
        <v>920</v>
      </c>
      <c r="G364" s="9" t="s">
        <v>181</v>
      </c>
      <c r="H364" s="7" t="s">
        <v>1413</v>
      </c>
      <c r="I364" s="7" t="s">
        <v>1414</v>
      </c>
      <c r="J364" s="10">
        <v>45987.0</v>
      </c>
      <c r="K364" s="8" t="s">
        <v>732</v>
      </c>
      <c r="L364" s="7">
        <v>2.0</v>
      </c>
      <c r="M364" s="7" t="s">
        <v>1325</v>
      </c>
      <c r="N364" s="13" t="s">
        <v>1415</v>
      </c>
      <c r="O364" s="15" t="s">
        <v>1416</v>
      </c>
    </row>
    <row r="365">
      <c r="A365" s="5">
        <v>422.0</v>
      </c>
      <c r="B365" s="6">
        <v>45989.49461934028</v>
      </c>
      <c r="C365" s="7" t="s">
        <v>26</v>
      </c>
      <c r="D365" s="8" t="s">
        <v>913</v>
      </c>
      <c r="E365" s="8" t="s">
        <v>547</v>
      </c>
      <c r="F365" s="7" t="s">
        <v>914</v>
      </c>
      <c r="G365" s="9" t="s">
        <v>19</v>
      </c>
      <c r="H365" s="7" t="s">
        <v>1417</v>
      </c>
      <c r="I365" s="7" t="s">
        <v>1418</v>
      </c>
      <c r="J365" s="10">
        <v>45833.0</v>
      </c>
      <c r="K365" s="8" t="s">
        <v>49</v>
      </c>
      <c r="L365" s="7">
        <v>8.0</v>
      </c>
      <c r="M365" s="7" t="s">
        <v>33</v>
      </c>
      <c r="N365" s="13" t="s">
        <v>1419</v>
      </c>
      <c r="O365" s="15" t="s">
        <v>1420</v>
      </c>
    </row>
    <row r="366">
      <c r="A366" s="5">
        <v>423.0</v>
      </c>
      <c r="B366" s="6">
        <v>45989.49560958333</v>
      </c>
      <c r="C366" s="7" t="s">
        <v>26</v>
      </c>
      <c r="D366" s="8" t="s">
        <v>918</v>
      </c>
      <c r="E366" s="8" t="s">
        <v>919</v>
      </c>
      <c r="F366" s="7" t="s">
        <v>920</v>
      </c>
      <c r="G366" s="9" t="s">
        <v>181</v>
      </c>
      <c r="H366" s="7" t="s">
        <v>1413</v>
      </c>
      <c r="I366" s="7" t="s">
        <v>1414</v>
      </c>
      <c r="J366" s="10">
        <v>45989.0</v>
      </c>
      <c r="K366" s="8" t="s">
        <v>1421</v>
      </c>
      <c r="L366" s="7">
        <v>2.0</v>
      </c>
      <c r="M366" s="7" t="s">
        <v>1325</v>
      </c>
      <c r="N366" s="13" t="s">
        <v>1422</v>
      </c>
      <c r="O366" s="15" t="s">
        <v>1423</v>
      </c>
    </row>
    <row r="367">
      <c r="A367" s="5">
        <v>424.0</v>
      </c>
      <c r="B367" s="6">
        <v>45989.53001621528</v>
      </c>
      <c r="C367" s="7" t="s">
        <v>760</v>
      </c>
      <c r="D367" s="8" t="s">
        <v>1424</v>
      </c>
      <c r="E367" s="8" t="s">
        <v>110</v>
      </c>
      <c r="F367" s="7" t="s">
        <v>1425</v>
      </c>
      <c r="G367" s="9" t="s">
        <v>1426</v>
      </c>
      <c r="H367" s="7" t="s">
        <v>1427</v>
      </c>
      <c r="I367" s="7" t="s">
        <v>1428</v>
      </c>
      <c r="J367" s="10">
        <v>45907.0</v>
      </c>
      <c r="K367" s="8" t="s">
        <v>1429</v>
      </c>
      <c r="L367" s="7">
        <v>8.0</v>
      </c>
      <c r="M367" s="7" t="s">
        <v>33</v>
      </c>
      <c r="N367" s="13" t="s">
        <v>1430</v>
      </c>
      <c r="O367" s="15" t="s">
        <v>1431</v>
      </c>
    </row>
    <row r="368">
      <c r="A368" s="5">
        <v>425.0</v>
      </c>
      <c r="B368" s="6">
        <v>45989.535560081014</v>
      </c>
      <c r="C368" s="7" t="s">
        <v>760</v>
      </c>
      <c r="D368" s="8" t="s">
        <v>1432</v>
      </c>
      <c r="E368" s="8" t="s">
        <v>1152</v>
      </c>
      <c r="F368" s="7" t="s">
        <v>1433</v>
      </c>
      <c r="G368" s="9" t="s">
        <v>19</v>
      </c>
      <c r="H368" s="7" t="s">
        <v>955</v>
      </c>
      <c r="I368" s="7" t="s">
        <v>956</v>
      </c>
      <c r="J368" s="10">
        <v>45977.0</v>
      </c>
      <c r="K368" s="8" t="s">
        <v>957</v>
      </c>
      <c r="L368" s="7">
        <v>4.0</v>
      </c>
      <c r="M368" s="7" t="s">
        <v>87</v>
      </c>
      <c r="N368" s="13" t="s">
        <v>1434</v>
      </c>
      <c r="O368" s="15" t="s">
        <v>1435</v>
      </c>
    </row>
    <row r="369">
      <c r="A369" s="5">
        <v>426.0</v>
      </c>
      <c r="B369" s="6">
        <v>45989.53728819445</v>
      </c>
      <c r="C369" s="7" t="s">
        <v>760</v>
      </c>
      <c r="D369" s="8" t="s">
        <v>780</v>
      </c>
      <c r="E369" s="8" t="s">
        <v>781</v>
      </c>
      <c r="F369" s="7" t="s">
        <v>782</v>
      </c>
      <c r="G369" s="9" t="s">
        <v>19</v>
      </c>
      <c r="H369" s="7" t="s">
        <v>1436</v>
      </c>
      <c r="I369" s="7" t="s">
        <v>956</v>
      </c>
      <c r="J369" s="10">
        <v>45977.0</v>
      </c>
      <c r="K369" s="8" t="s">
        <v>957</v>
      </c>
      <c r="L369" s="7">
        <v>4.0</v>
      </c>
      <c r="M369" s="7" t="s">
        <v>87</v>
      </c>
      <c r="N369" s="13" t="s">
        <v>1437</v>
      </c>
      <c r="O369" s="15" t="s">
        <v>1438</v>
      </c>
    </row>
    <row r="370">
      <c r="A370" s="5">
        <v>427.0</v>
      </c>
      <c r="B370" s="6">
        <v>45989.5400033912</v>
      </c>
      <c r="C370" s="7" t="s">
        <v>760</v>
      </c>
      <c r="D370" s="8" t="s">
        <v>791</v>
      </c>
      <c r="E370" s="8" t="s">
        <v>164</v>
      </c>
      <c r="F370" s="7" t="s">
        <v>792</v>
      </c>
      <c r="G370" s="9" t="s">
        <v>144</v>
      </c>
      <c r="H370" s="7" t="s">
        <v>730</v>
      </c>
      <c r="I370" s="7" t="s">
        <v>1439</v>
      </c>
      <c r="J370" s="10">
        <v>45983.0</v>
      </c>
      <c r="K370" s="8" t="s">
        <v>1440</v>
      </c>
      <c r="L370" s="7">
        <v>4.0</v>
      </c>
      <c r="M370" s="7" t="s">
        <v>795</v>
      </c>
      <c r="N370" s="13" t="s">
        <v>1441</v>
      </c>
      <c r="O370" s="15" t="s">
        <v>1442</v>
      </c>
    </row>
    <row r="371">
      <c r="A371" s="5">
        <v>428.0</v>
      </c>
      <c r="B371" s="6">
        <v>45989.54316710648</v>
      </c>
      <c r="C371" s="7" t="s">
        <v>760</v>
      </c>
      <c r="D371" s="8" t="s">
        <v>1443</v>
      </c>
      <c r="E371" s="8" t="s">
        <v>1116</v>
      </c>
      <c r="F371" s="7" t="s">
        <v>1444</v>
      </c>
      <c r="G371" s="9" t="s">
        <v>159</v>
      </c>
      <c r="H371" s="7" t="s">
        <v>1445</v>
      </c>
      <c r="I371" s="7" t="s">
        <v>1446</v>
      </c>
      <c r="J371" s="10">
        <v>45934.0</v>
      </c>
      <c r="K371" s="8" t="s">
        <v>766</v>
      </c>
      <c r="L371" s="7">
        <v>4.0</v>
      </c>
      <c r="M371" s="7" t="s">
        <v>1447</v>
      </c>
      <c r="N371" s="13" t="s">
        <v>1448</v>
      </c>
      <c r="O371" s="15" t="s">
        <v>1449</v>
      </c>
    </row>
    <row r="372">
      <c r="A372" s="5">
        <v>430.0</v>
      </c>
      <c r="B372" s="6">
        <v>45989.563837800924</v>
      </c>
      <c r="C372" s="7" t="s">
        <v>760</v>
      </c>
      <c r="D372" s="8" t="s">
        <v>791</v>
      </c>
      <c r="E372" s="8" t="s">
        <v>164</v>
      </c>
      <c r="F372" s="7" t="s">
        <v>792</v>
      </c>
      <c r="G372" s="9" t="s">
        <v>415</v>
      </c>
      <c r="H372" s="7" t="s">
        <v>1450</v>
      </c>
      <c r="I372" s="7" t="s">
        <v>417</v>
      </c>
      <c r="J372" s="10">
        <v>45960.0</v>
      </c>
      <c r="K372" s="8" t="s">
        <v>1451</v>
      </c>
      <c r="L372" s="7">
        <v>1.0</v>
      </c>
      <c r="M372" s="7" t="s">
        <v>417</v>
      </c>
      <c r="N372" s="13" t="s">
        <v>1452</v>
      </c>
      <c r="O372" s="15" t="s">
        <v>1453</v>
      </c>
    </row>
    <row r="373">
      <c r="A373" s="5">
        <v>432.0</v>
      </c>
      <c r="B373" s="6">
        <v>45989.640612152776</v>
      </c>
      <c r="C373" s="7" t="s">
        <v>15</v>
      </c>
      <c r="D373" s="8" t="s">
        <v>1454</v>
      </c>
      <c r="E373" s="8" t="s">
        <v>574</v>
      </c>
      <c r="F373" s="7" t="s">
        <v>1455</v>
      </c>
      <c r="G373" s="9" t="s">
        <v>19</v>
      </c>
      <c r="H373" s="7" t="s">
        <v>30</v>
      </c>
      <c r="I373" s="7" t="s">
        <v>31</v>
      </c>
      <c r="J373" s="10">
        <v>45825.0</v>
      </c>
      <c r="K373" s="8" t="s">
        <v>49</v>
      </c>
      <c r="L373" s="7">
        <v>8.0</v>
      </c>
      <c r="M373" s="7" t="s">
        <v>33</v>
      </c>
      <c r="N373" s="13" t="s">
        <v>1456</v>
      </c>
      <c r="O373" s="15" t="s">
        <v>1457</v>
      </c>
    </row>
    <row r="374">
      <c r="A374" s="5">
        <v>434.0</v>
      </c>
      <c r="B374" s="6">
        <v>45989.84421502315</v>
      </c>
      <c r="C374" s="7" t="s">
        <v>26</v>
      </c>
      <c r="D374" s="8" t="s">
        <v>1341</v>
      </c>
      <c r="E374" s="8" t="s">
        <v>1152</v>
      </c>
      <c r="F374" s="7" t="s">
        <v>1342</v>
      </c>
      <c r="G374" s="9" t="s">
        <v>181</v>
      </c>
      <c r="H374" s="7" t="s">
        <v>857</v>
      </c>
      <c r="I374" s="7" t="s">
        <v>947</v>
      </c>
      <c r="J374" s="10">
        <v>45987.0</v>
      </c>
      <c r="K374" s="8" t="s">
        <v>1458</v>
      </c>
      <c r="L374" s="7">
        <v>8.0</v>
      </c>
      <c r="M374" s="7" t="s">
        <v>860</v>
      </c>
      <c r="N374" s="13" t="s">
        <v>1459</v>
      </c>
      <c r="O374" s="15" t="s">
        <v>1460</v>
      </c>
    </row>
    <row r="375">
      <c r="A375" s="5">
        <v>435.0</v>
      </c>
      <c r="B375" s="6">
        <v>45989.947453298606</v>
      </c>
      <c r="C375" s="7" t="s">
        <v>760</v>
      </c>
      <c r="D375" s="8" t="s">
        <v>1443</v>
      </c>
      <c r="E375" s="8" t="s">
        <v>1116</v>
      </c>
      <c r="F375" s="7" t="s">
        <v>1444</v>
      </c>
      <c r="G375" s="9" t="s">
        <v>209</v>
      </c>
      <c r="H375" s="7" t="s">
        <v>1461</v>
      </c>
      <c r="I375" s="7" t="s">
        <v>825</v>
      </c>
      <c r="J375" s="10">
        <v>45989.0</v>
      </c>
      <c r="K375" s="8" t="s">
        <v>1462</v>
      </c>
      <c r="L375" s="7">
        <v>4.0</v>
      </c>
      <c r="M375" s="7" t="s">
        <v>1463</v>
      </c>
      <c r="N375" s="13" t="s">
        <v>1464</v>
      </c>
      <c r="O375" s="15" t="s">
        <v>1465</v>
      </c>
    </row>
    <row r="376">
      <c r="A376" s="5">
        <v>437.0</v>
      </c>
      <c r="B376" s="6">
        <v>45990.055900046296</v>
      </c>
      <c r="C376" s="7" t="s">
        <v>26</v>
      </c>
      <c r="D376" s="8" t="s">
        <v>1264</v>
      </c>
      <c r="E376" s="8" t="s">
        <v>1049</v>
      </c>
      <c r="F376" s="7" t="s">
        <v>1265</v>
      </c>
      <c r="G376" s="9" t="s">
        <v>19</v>
      </c>
      <c r="H376" s="7" t="s">
        <v>1466</v>
      </c>
      <c r="I376" s="7" t="s">
        <v>1467</v>
      </c>
      <c r="J376" s="10">
        <v>45926.0</v>
      </c>
      <c r="K376" s="8" t="s">
        <v>1468</v>
      </c>
      <c r="L376" s="7">
        <v>4.0</v>
      </c>
      <c r="M376" s="7" t="s">
        <v>1469</v>
      </c>
      <c r="N376" s="13" t="s">
        <v>1470</v>
      </c>
      <c r="O376" s="15" t="s">
        <v>1471</v>
      </c>
    </row>
    <row r="377">
      <c r="A377" s="5">
        <v>438.0</v>
      </c>
      <c r="B377" s="6">
        <v>45990.0598303125</v>
      </c>
      <c r="C377" s="7" t="s">
        <v>26</v>
      </c>
      <c r="D377" s="8" t="s">
        <v>1264</v>
      </c>
      <c r="E377" s="8" t="s">
        <v>1049</v>
      </c>
      <c r="F377" s="7" t="s">
        <v>1265</v>
      </c>
      <c r="G377" s="9" t="s">
        <v>19</v>
      </c>
      <c r="H377" s="7" t="s">
        <v>1472</v>
      </c>
      <c r="I377" s="7" t="s">
        <v>1473</v>
      </c>
      <c r="J377" s="10">
        <v>45930.0</v>
      </c>
      <c r="K377" s="8" t="s">
        <v>1468</v>
      </c>
      <c r="L377" s="7">
        <v>4.0</v>
      </c>
      <c r="M377" s="7" t="s">
        <v>1469</v>
      </c>
      <c r="N377" s="13" t="s">
        <v>1474</v>
      </c>
      <c r="O377" s="15" t="s">
        <v>1475</v>
      </c>
    </row>
    <row r="378">
      <c r="A378" s="5">
        <v>439.0</v>
      </c>
      <c r="B378" s="6">
        <v>45990.42221107639</v>
      </c>
      <c r="C378" s="7" t="s">
        <v>26</v>
      </c>
      <c r="D378" s="8" t="s">
        <v>1476</v>
      </c>
      <c r="E378" s="8" t="s">
        <v>1385</v>
      </c>
      <c r="F378" s="7" t="s">
        <v>1477</v>
      </c>
      <c r="G378" s="9" t="s">
        <v>19</v>
      </c>
      <c r="H378" s="7" t="s">
        <v>1472</v>
      </c>
      <c r="I378" s="7" t="s">
        <v>1478</v>
      </c>
      <c r="J378" s="10">
        <v>45930.0</v>
      </c>
      <c r="K378" s="8" t="s">
        <v>1468</v>
      </c>
      <c r="L378" s="7">
        <v>4.0</v>
      </c>
      <c r="M378" s="7" t="s">
        <v>1479</v>
      </c>
      <c r="N378" s="13" t="s">
        <v>1480</v>
      </c>
      <c r="O378" s="15" t="s">
        <v>1481</v>
      </c>
    </row>
    <row r="379">
      <c r="A379" s="5">
        <v>440.0</v>
      </c>
      <c r="B379" s="6">
        <v>45990.42995564815</v>
      </c>
      <c r="C379" s="7" t="s">
        <v>26</v>
      </c>
      <c r="D379" s="8" t="s">
        <v>1476</v>
      </c>
      <c r="E379" s="8" t="s">
        <v>1385</v>
      </c>
      <c r="F379" s="7" t="s">
        <v>1477</v>
      </c>
      <c r="G379" s="9" t="s">
        <v>19</v>
      </c>
      <c r="H379" s="7" t="s">
        <v>376</v>
      </c>
      <c r="I379" s="7" t="s">
        <v>1482</v>
      </c>
      <c r="J379" s="10">
        <v>45839.0</v>
      </c>
      <c r="K379" s="8" t="s">
        <v>67</v>
      </c>
      <c r="L379" s="7">
        <v>8.0</v>
      </c>
      <c r="M379" s="7" t="s">
        <v>33</v>
      </c>
      <c r="N379" s="13" t="s">
        <v>1483</v>
      </c>
      <c r="O379" s="15" t="s">
        <v>1484</v>
      </c>
    </row>
    <row r="380">
      <c r="A380" s="5">
        <v>441.0</v>
      </c>
      <c r="B380" s="6">
        <v>45990.43688363426</v>
      </c>
      <c r="C380" s="7" t="s">
        <v>26</v>
      </c>
      <c r="D380" s="8" t="s">
        <v>1476</v>
      </c>
      <c r="E380" s="8" t="s">
        <v>1385</v>
      </c>
      <c r="F380" s="7" t="s">
        <v>1477</v>
      </c>
      <c r="G380" s="9" t="s">
        <v>19</v>
      </c>
      <c r="H380" s="7" t="s">
        <v>376</v>
      </c>
      <c r="I380" s="7" t="s">
        <v>1482</v>
      </c>
      <c r="J380" s="10">
        <v>45840.0</v>
      </c>
      <c r="K380" s="8" t="s">
        <v>67</v>
      </c>
      <c r="L380" s="7">
        <v>8.0</v>
      </c>
      <c r="M380" s="7" t="s">
        <v>33</v>
      </c>
      <c r="N380" s="13" t="s">
        <v>1485</v>
      </c>
      <c r="O380" s="15" t="s">
        <v>1486</v>
      </c>
    </row>
    <row r="381">
      <c r="A381" s="5">
        <v>442.0</v>
      </c>
      <c r="B381" s="6">
        <v>45990.44176869213</v>
      </c>
      <c r="C381" s="7" t="s">
        <v>26</v>
      </c>
      <c r="D381" s="8" t="s">
        <v>1476</v>
      </c>
      <c r="E381" s="8" t="s">
        <v>1385</v>
      </c>
      <c r="F381" s="7" t="s">
        <v>1477</v>
      </c>
      <c r="G381" s="9" t="s">
        <v>181</v>
      </c>
      <c r="H381" s="7" t="s">
        <v>857</v>
      </c>
      <c r="I381" s="7" t="s">
        <v>1487</v>
      </c>
      <c r="J381" s="10">
        <v>45987.0</v>
      </c>
      <c r="K381" s="8" t="s">
        <v>859</v>
      </c>
      <c r="L381" s="7">
        <v>8.0</v>
      </c>
      <c r="M381" s="7" t="s">
        <v>1488</v>
      </c>
      <c r="N381" s="13" t="s">
        <v>1489</v>
      </c>
      <c r="O381" s="15" t="s">
        <v>1490</v>
      </c>
    </row>
    <row r="382">
      <c r="A382" s="5">
        <v>443.0</v>
      </c>
      <c r="B382" s="6">
        <v>45990.54803638889</v>
      </c>
      <c r="C382" s="7" t="s">
        <v>760</v>
      </c>
      <c r="D382" s="8" t="s">
        <v>1443</v>
      </c>
      <c r="E382" s="8" t="s">
        <v>1116</v>
      </c>
      <c r="F382" s="7" t="s">
        <v>1444</v>
      </c>
      <c r="G382" s="9" t="s">
        <v>209</v>
      </c>
      <c r="H382" s="7" t="s">
        <v>1491</v>
      </c>
      <c r="I382" s="7" t="s">
        <v>825</v>
      </c>
      <c r="J382" s="10">
        <v>45989.0</v>
      </c>
      <c r="K382" s="8" t="s">
        <v>766</v>
      </c>
      <c r="L382" s="7">
        <v>4.0</v>
      </c>
      <c r="M382" s="7" t="s">
        <v>1492</v>
      </c>
      <c r="N382" s="13" t="s">
        <v>1493</v>
      </c>
      <c r="O382" s="15" t="s">
        <v>1494</v>
      </c>
    </row>
    <row r="383">
      <c r="A383" s="5">
        <v>444.0</v>
      </c>
      <c r="B383" s="6">
        <v>45990.567098576386</v>
      </c>
      <c r="C383" s="7" t="s">
        <v>26</v>
      </c>
      <c r="D383" s="8" t="s">
        <v>1041</v>
      </c>
      <c r="E383" s="8" t="s">
        <v>1042</v>
      </c>
      <c r="F383" s="7" t="s">
        <v>1043</v>
      </c>
      <c r="G383" s="9" t="s">
        <v>19</v>
      </c>
      <c r="H383" s="7" t="s">
        <v>1466</v>
      </c>
      <c r="I383" s="7" t="s">
        <v>1473</v>
      </c>
      <c r="J383" s="10">
        <v>45926.0</v>
      </c>
      <c r="K383" s="8" t="s">
        <v>1468</v>
      </c>
      <c r="L383" s="7">
        <v>4.0</v>
      </c>
      <c r="M383" s="7" t="s">
        <v>1469</v>
      </c>
      <c r="N383" s="13" t="s">
        <v>1495</v>
      </c>
      <c r="O383" s="15" t="s">
        <v>1496</v>
      </c>
    </row>
    <row r="384">
      <c r="A384" s="5">
        <v>445.0</v>
      </c>
      <c r="B384" s="6">
        <v>45990.57098900463</v>
      </c>
      <c r="C384" s="7" t="s">
        <v>26</v>
      </c>
      <c r="D384" s="8" t="s">
        <v>1041</v>
      </c>
      <c r="E384" s="8" t="s">
        <v>1042</v>
      </c>
      <c r="F384" s="7" t="s">
        <v>1043</v>
      </c>
      <c r="G384" s="9" t="s">
        <v>19</v>
      </c>
      <c r="H384" s="7" t="s">
        <v>1472</v>
      </c>
      <c r="I384" s="7" t="s">
        <v>1473</v>
      </c>
      <c r="J384" s="10">
        <v>45930.0</v>
      </c>
      <c r="K384" s="8" t="s">
        <v>1468</v>
      </c>
      <c r="L384" s="7">
        <v>4.0</v>
      </c>
      <c r="M384" s="7" t="s">
        <v>1469</v>
      </c>
      <c r="N384" s="13" t="s">
        <v>1497</v>
      </c>
      <c r="O384" s="15" t="s">
        <v>1498</v>
      </c>
    </row>
    <row r="385">
      <c r="A385" s="5">
        <v>446.0</v>
      </c>
      <c r="B385" s="6">
        <v>45990.58883173611</v>
      </c>
      <c r="C385" s="7" t="s">
        <v>760</v>
      </c>
      <c r="D385" s="8" t="s">
        <v>1334</v>
      </c>
      <c r="E385" s="8" t="s">
        <v>404</v>
      </c>
      <c r="F385" s="7" t="s">
        <v>1335</v>
      </c>
      <c r="G385" s="9" t="s">
        <v>181</v>
      </c>
      <c r="H385" s="7" t="s">
        <v>895</v>
      </c>
      <c r="I385" s="7" t="s">
        <v>231</v>
      </c>
      <c r="J385" s="10">
        <v>45989.0</v>
      </c>
      <c r="K385" s="8" t="s">
        <v>1368</v>
      </c>
      <c r="L385" s="7">
        <v>1.0</v>
      </c>
      <c r="M385" s="7" t="s">
        <v>33</v>
      </c>
      <c r="N385" s="13" t="s">
        <v>1499</v>
      </c>
      <c r="O385" s="15" t="s">
        <v>1500</v>
      </c>
    </row>
    <row r="386">
      <c r="A386" s="5">
        <v>447.0</v>
      </c>
      <c r="B386" s="6">
        <v>45990.60821990741</v>
      </c>
      <c r="C386" s="7" t="s">
        <v>26</v>
      </c>
      <c r="D386" s="8" t="s">
        <v>1252</v>
      </c>
      <c r="E386" s="8" t="s">
        <v>1253</v>
      </c>
      <c r="F386" s="7" t="s">
        <v>1254</v>
      </c>
      <c r="G386" s="9" t="s">
        <v>19</v>
      </c>
      <c r="H386" s="7" t="s">
        <v>1466</v>
      </c>
      <c r="I386" s="7" t="s">
        <v>1473</v>
      </c>
      <c r="J386" s="10">
        <v>45926.0</v>
      </c>
      <c r="K386" s="8" t="s">
        <v>1501</v>
      </c>
      <c r="L386" s="7">
        <v>4.0</v>
      </c>
      <c r="M386" s="7" t="s">
        <v>1469</v>
      </c>
      <c r="N386" s="13" t="s">
        <v>1502</v>
      </c>
      <c r="O386" s="15" t="s">
        <v>1503</v>
      </c>
    </row>
    <row r="387">
      <c r="A387" s="5">
        <v>448.0</v>
      </c>
      <c r="B387" s="6">
        <v>45990.60984709491</v>
      </c>
      <c r="C387" s="7" t="s">
        <v>26</v>
      </c>
      <c r="D387" s="8" t="s">
        <v>1252</v>
      </c>
      <c r="E387" s="8" t="s">
        <v>1253</v>
      </c>
      <c r="F387" s="7" t="s">
        <v>1254</v>
      </c>
      <c r="G387" s="9" t="s">
        <v>19</v>
      </c>
      <c r="H387" s="7" t="s">
        <v>1472</v>
      </c>
      <c r="I387" s="7" t="s">
        <v>1473</v>
      </c>
      <c r="J387" s="10">
        <v>45930.0</v>
      </c>
      <c r="K387" s="8" t="s">
        <v>1468</v>
      </c>
      <c r="L387" s="7">
        <v>4.0</v>
      </c>
      <c r="M387" s="7" t="s">
        <v>1469</v>
      </c>
      <c r="N387" s="13" t="s">
        <v>1504</v>
      </c>
      <c r="O387" s="15" t="s">
        <v>1505</v>
      </c>
    </row>
    <row r="388">
      <c r="A388" s="5">
        <v>449.0</v>
      </c>
      <c r="B388" s="6">
        <v>45990.67400414352</v>
      </c>
      <c r="C388" s="7" t="s">
        <v>760</v>
      </c>
      <c r="D388" s="8" t="s">
        <v>1334</v>
      </c>
      <c r="E388" s="8" t="s">
        <v>404</v>
      </c>
      <c r="F388" s="7" t="s">
        <v>1335</v>
      </c>
      <c r="G388" s="9" t="s">
        <v>19</v>
      </c>
      <c r="H388" s="7" t="s">
        <v>1506</v>
      </c>
      <c r="I388" s="7" t="s">
        <v>1240</v>
      </c>
      <c r="J388" s="10">
        <v>45990.0</v>
      </c>
      <c r="K388" s="8" t="s">
        <v>22</v>
      </c>
      <c r="L388" s="7">
        <v>4.0</v>
      </c>
      <c r="M388" s="7" t="s">
        <v>87</v>
      </c>
      <c r="N388" s="13" t="s">
        <v>1507</v>
      </c>
      <c r="O388" s="15" t="s">
        <v>1508</v>
      </c>
    </row>
    <row r="389">
      <c r="A389" s="5">
        <v>450.0</v>
      </c>
      <c r="B389" s="6">
        <v>45990.6921158912</v>
      </c>
      <c r="C389" s="7" t="s">
        <v>26</v>
      </c>
      <c r="D389" s="8" t="s">
        <v>1509</v>
      </c>
      <c r="E389" s="8" t="s">
        <v>199</v>
      </c>
      <c r="F389" s="7" t="s">
        <v>1510</v>
      </c>
      <c r="G389" s="9" t="s">
        <v>19</v>
      </c>
      <c r="H389" s="7" t="s">
        <v>1466</v>
      </c>
      <c r="I389" s="7" t="s">
        <v>1473</v>
      </c>
      <c r="J389" s="10">
        <v>45926.0</v>
      </c>
      <c r="K389" s="8" t="s">
        <v>1468</v>
      </c>
      <c r="L389" s="7">
        <v>4.0</v>
      </c>
      <c r="M389" s="7" t="s">
        <v>1469</v>
      </c>
      <c r="N389" s="13" t="s">
        <v>1511</v>
      </c>
      <c r="O389" s="15" t="s">
        <v>1512</v>
      </c>
    </row>
    <row r="390">
      <c r="A390" s="5">
        <v>452.0</v>
      </c>
      <c r="B390" s="6">
        <v>45990.69446621528</v>
      </c>
      <c r="C390" s="7" t="s">
        <v>26</v>
      </c>
      <c r="D390" s="8" t="s">
        <v>1509</v>
      </c>
      <c r="E390" s="8" t="s">
        <v>199</v>
      </c>
      <c r="F390" s="7" t="s">
        <v>1510</v>
      </c>
      <c r="G390" s="9" t="s">
        <v>19</v>
      </c>
      <c r="H390" s="7" t="s">
        <v>1472</v>
      </c>
      <c r="I390" s="7" t="s">
        <v>1473</v>
      </c>
      <c r="J390" s="10">
        <v>45930.0</v>
      </c>
      <c r="K390" s="8" t="s">
        <v>1468</v>
      </c>
      <c r="L390" s="7">
        <v>4.0</v>
      </c>
      <c r="M390" s="7" t="s">
        <v>1469</v>
      </c>
      <c r="N390" s="13" t="s">
        <v>1513</v>
      </c>
      <c r="O390" s="15" t="s">
        <v>1514</v>
      </c>
    </row>
    <row r="391">
      <c r="A391" s="5">
        <v>453.0</v>
      </c>
      <c r="B391" s="6">
        <v>45990.697080046295</v>
      </c>
      <c r="C391" s="7" t="s">
        <v>26</v>
      </c>
      <c r="D391" s="8" t="s">
        <v>1509</v>
      </c>
      <c r="E391" s="8" t="s">
        <v>199</v>
      </c>
      <c r="F391" s="7" t="s">
        <v>1510</v>
      </c>
      <c r="G391" s="9" t="s">
        <v>19</v>
      </c>
      <c r="H391" s="7" t="s">
        <v>376</v>
      </c>
      <c r="I391" s="7" t="s">
        <v>37</v>
      </c>
      <c r="J391" s="10">
        <v>45839.0</v>
      </c>
      <c r="K391" s="8" t="s">
        <v>67</v>
      </c>
      <c r="L391" s="7">
        <v>8.0</v>
      </c>
      <c r="M391" s="7" t="s">
        <v>33</v>
      </c>
      <c r="N391" s="13" t="s">
        <v>1515</v>
      </c>
      <c r="O391" s="15" t="s">
        <v>1516</v>
      </c>
    </row>
    <row r="392">
      <c r="A392" s="5">
        <v>454.0</v>
      </c>
      <c r="B392" s="6">
        <v>45990.69911840278</v>
      </c>
      <c r="C392" s="7" t="s">
        <v>26</v>
      </c>
      <c r="D392" s="8" t="s">
        <v>1509</v>
      </c>
      <c r="E392" s="8" t="s">
        <v>199</v>
      </c>
      <c r="F392" s="7" t="s">
        <v>1510</v>
      </c>
      <c r="G392" s="9" t="s">
        <v>19</v>
      </c>
      <c r="H392" s="7" t="s">
        <v>44</v>
      </c>
      <c r="I392" s="7" t="s">
        <v>37</v>
      </c>
      <c r="J392" s="10">
        <v>45840.0</v>
      </c>
      <c r="K392" s="8" t="s">
        <v>67</v>
      </c>
      <c r="L392" s="7">
        <v>8.0</v>
      </c>
      <c r="M392" s="7" t="s">
        <v>33</v>
      </c>
      <c r="N392" s="13" t="s">
        <v>1517</v>
      </c>
      <c r="O392" s="15" t="s">
        <v>1518</v>
      </c>
    </row>
    <row r="393">
      <c r="A393" s="5">
        <v>455.0</v>
      </c>
      <c r="B393" s="6">
        <v>45990.70159125</v>
      </c>
      <c r="C393" s="7" t="s">
        <v>760</v>
      </c>
      <c r="D393" s="8" t="s">
        <v>1334</v>
      </c>
      <c r="E393" s="8" t="s">
        <v>404</v>
      </c>
      <c r="F393" s="7" t="s">
        <v>1335</v>
      </c>
      <c r="G393" s="9" t="s">
        <v>159</v>
      </c>
      <c r="H393" s="7" t="s">
        <v>1519</v>
      </c>
      <c r="I393" s="7" t="s">
        <v>1520</v>
      </c>
      <c r="J393" s="10">
        <v>45942.0</v>
      </c>
      <c r="K393" s="8" t="s">
        <v>1521</v>
      </c>
      <c r="L393" s="7">
        <v>4.0</v>
      </c>
      <c r="M393" s="7" t="s">
        <v>1522</v>
      </c>
      <c r="N393" s="13" t="s">
        <v>1523</v>
      </c>
      <c r="O393" s="15" t="s">
        <v>1524</v>
      </c>
    </row>
    <row r="394">
      <c r="A394" s="5">
        <v>457.0</v>
      </c>
      <c r="B394" s="6">
        <v>45990.70794328704</v>
      </c>
      <c r="C394" s="7" t="s">
        <v>26</v>
      </c>
      <c r="D394" s="8" t="s">
        <v>1509</v>
      </c>
      <c r="E394" s="8" t="s">
        <v>199</v>
      </c>
      <c r="F394" s="7" t="s">
        <v>1510</v>
      </c>
      <c r="G394" s="9" t="s">
        <v>181</v>
      </c>
      <c r="H394" s="7" t="s">
        <v>1525</v>
      </c>
      <c r="I394" s="7" t="s">
        <v>231</v>
      </c>
      <c r="J394" s="10">
        <v>45860.0</v>
      </c>
      <c r="K394" s="8" t="s">
        <v>315</v>
      </c>
      <c r="L394" s="7">
        <v>8.0</v>
      </c>
      <c r="M394" s="7" t="s">
        <v>33</v>
      </c>
      <c r="N394" s="13" t="s">
        <v>1526</v>
      </c>
      <c r="O394" s="15" t="s">
        <v>1527</v>
      </c>
    </row>
    <row r="395">
      <c r="A395" s="5">
        <v>458.0</v>
      </c>
      <c r="B395" s="6">
        <v>45990.71325637732</v>
      </c>
      <c r="C395" s="7" t="s">
        <v>26</v>
      </c>
      <c r="D395" s="8" t="s">
        <v>1509</v>
      </c>
      <c r="E395" s="8" t="s">
        <v>199</v>
      </c>
      <c r="F395" s="7" t="s">
        <v>1510</v>
      </c>
      <c r="G395" s="9" t="s">
        <v>181</v>
      </c>
      <c r="H395" s="7" t="s">
        <v>1528</v>
      </c>
      <c r="I395" s="7" t="s">
        <v>231</v>
      </c>
      <c r="J395" s="10">
        <v>45887.0</v>
      </c>
      <c r="K395" s="8" t="s">
        <v>518</v>
      </c>
      <c r="L395" s="7">
        <v>2.0</v>
      </c>
      <c r="M395" s="7" t="s">
        <v>1064</v>
      </c>
      <c r="N395" s="13" t="s">
        <v>1529</v>
      </c>
      <c r="O395" s="15" t="s">
        <v>1530</v>
      </c>
    </row>
    <row r="396">
      <c r="A396" s="5">
        <v>459.0</v>
      </c>
      <c r="B396" s="6">
        <v>45990.71503021991</v>
      </c>
      <c r="C396" s="7" t="s">
        <v>26</v>
      </c>
      <c r="D396" s="8" t="s">
        <v>1509</v>
      </c>
      <c r="E396" s="8" t="s">
        <v>199</v>
      </c>
      <c r="F396" s="7" t="s">
        <v>1510</v>
      </c>
      <c r="G396" s="9" t="s">
        <v>181</v>
      </c>
      <c r="H396" s="7" t="s">
        <v>1528</v>
      </c>
      <c r="I396" s="7" t="s">
        <v>231</v>
      </c>
      <c r="J396" s="10">
        <v>45888.0</v>
      </c>
      <c r="K396" s="8" t="s">
        <v>518</v>
      </c>
      <c r="L396" s="7">
        <v>2.0</v>
      </c>
      <c r="M396" s="7" t="s">
        <v>1064</v>
      </c>
      <c r="N396" s="13" t="s">
        <v>1531</v>
      </c>
      <c r="O396" s="15" t="s">
        <v>1532</v>
      </c>
    </row>
    <row r="397">
      <c r="A397" s="5">
        <v>460.0</v>
      </c>
      <c r="B397" s="6">
        <v>45990.715994328704</v>
      </c>
      <c r="C397" s="7" t="s">
        <v>26</v>
      </c>
      <c r="D397" s="8" t="s">
        <v>1509</v>
      </c>
      <c r="E397" s="8" t="s">
        <v>199</v>
      </c>
      <c r="F397" s="7" t="s">
        <v>1510</v>
      </c>
      <c r="G397" s="9" t="s">
        <v>181</v>
      </c>
      <c r="H397" s="7" t="s">
        <v>1528</v>
      </c>
      <c r="I397" s="7" t="s">
        <v>231</v>
      </c>
      <c r="J397" s="10">
        <v>45889.0</v>
      </c>
      <c r="K397" s="8" t="s">
        <v>518</v>
      </c>
      <c r="L397" s="7">
        <v>2.0</v>
      </c>
      <c r="M397" s="7" t="s">
        <v>1533</v>
      </c>
      <c r="N397" s="13" t="s">
        <v>1534</v>
      </c>
      <c r="O397" s="15" t="s">
        <v>1535</v>
      </c>
    </row>
    <row r="398">
      <c r="A398" s="5">
        <v>461.0</v>
      </c>
      <c r="B398" s="6">
        <v>45990.721793969904</v>
      </c>
      <c r="C398" s="7" t="s">
        <v>760</v>
      </c>
      <c r="D398" s="8" t="s">
        <v>1334</v>
      </c>
      <c r="E398" s="8" t="s">
        <v>404</v>
      </c>
      <c r="F398" s="7" t="s">
        <v>1335</v>
      </c>
      <c r="G398" s="9" t="s">
        <v>159</v>
      </c>
      <c r="H398" s="7" t="s">
        <v>1536</v>
      </c>
      <c r="I398" s="7" t="s">
        <v>1537</v>
      </c>
      <c r="J398" s="10">
        <v>45962.0</v>
      </c>
      <c r="K398" s="8" t="s">
        <v>1538</v>
      </c>
      <c r="L398" s="7">
        <v>4.0</v>
      </c>
      <c r="M398" s="7" t="s">
        <v>1539</v>
      </c>
      <c r="N398" s="13" t="s">
        <v>1540</v>
      </c>
      <c r="O398" s="15" t="s">
        <v>1541</v>
      </c>
    </row>
    <row r="399">
      <c r="A399" s="5">
        <v>462.0</v>
      </c>
      <c r="B399" s="6">
        <v>45990.79977373843</v>
      </c>
      <c r="C399" s="7" t="s">
        <v>26</v>
      </c>
      <c r="D399" s="8" t="s">
        <v>1542</v>
      </c>
      <c r="E399" s="8" t="s">
        <v>679</v>
      </c>
      <c r="F399" s="7" t="s">
        <v>1543</v>
      </c>
      <c r="G399" s="9" t="s">
        <v>19</v>
      </c>
      <c r="H399" s="7" t="s">
        <v>1544</v>
      </c>
      <c r="I399" s="7" t="s">
        <v>1545</v>
      </c>
      <c r="J399" s="10">
        <v>45907.0</v>
      </c>
      <c r="K399" s="8" t="s">
        <v>1546</v>
      </c>
      <c r="L399" s="7">
        <v>8.0</v>
      </c>
      <c r="M399" s="7" t="s">
        <v>774</v>
      </c>
      <c r="N399" s="13" t="s">
        <v>1547</v>
      </c>
      <c r="O399" s="15" t="s">
        <v>1548</v>
      </c>
    </row>
    <row r="400">
      <c r="A400" s="5">
        <v>463.0</v>
      </c>
      <c r="B400" s="6">
        <v>45990.80857040509</v>
      </c>
      <c r="C400" s="7" t="s">
        <v>125</v>
      </c>
      <c r="D400" s="8" t="s">
        <v>1549</v>
      </c>
      <c r="E400" s="8" t="s">
        <v>380</v>
      </c>
      <c r="F400" s="7" t="s">
        <v>1550</v>
      </c>
      <c r="G400" s="9" t="s">
        <v>19</v>
      </c>
      <c r="H400" s="7" t="s">
        <v>173</v>
      </c>
      <c r="I400" s="7" t="s">
        <v>174</v>
      </c>
      <c r="J400" s="10">
        <v>45854.0</v>
      </c>
      <c r="K400" s="8" t="s">
        <v>175</v>
      </c>
      <c r="L400" s="7">
        <v>6.0</v>
      </c>
      <c r="M400" s="7" t="s">
        <v>106</v>
      </c>
      <c r="N400" s="13" t="s">
        <v>1551</v>
      </c>
      <c r="O400" s="15" t="s">
        <v>1552</v>
      </c>
    </row>
    <row r="401">
      <c r="A401" s="5">
        <v>464.0</v>
      </c>
      <c r="B401" s="6">
        <v>45990.8118680787</v>
      </c>
      <c r="C401" s="7" t="s">
        <v>125</v>
      </c>
      <c r="D401" s="8" t="s">
        <v>1549</v>
      </c>
      <c r="E401" s="8" t="s">
        <v>380</v>
      </c>
      <c r="F401" s="7" t="s">
        <v>1550</v>
      </c>
      <c r="G401" s="9" t="s">
        <v>144</v>
      </c>
      <c r="H401" s="7" t="s">
        <v>365</v>
      </c>
      <c r="I401" s="7" t="s">
        <v>366</v>
      </c>
      <c r="J401" s="10">
        <v>45942.0</v>
      </c>
      <c r="K401" s="8" t="s">
        <v>22</v>
      </c>
      <c r="L401" s="7">
        <v>4.0</v>
      </c>
      <c r="M401" s="7" t="s">
        <v>367</v>
      </c>
      <c r="N401" s="13" t="s">
        <v>1553</v>
      </c>
      <c r="O401" s="15" t="s">
        <v>1554</v>
      </c>
    </row>
    <row r="402">
      <c r="A402" s="5">
        <v>465.0</v>
      </c>
      <c r="B402" s="6">
        <v>45990.81424619213</v>
      </c>
      <c r="C402" s="7" t="s">
        <v>125</v>
      </c>
      <c r="D402" s="8" t="s">
        <v>1555</v>
      </c>
      <c r="E402" s="8" t="s">
        <v>1259</v>
      </c>
      <c r="F402" s="7" t="s">
        <v>1556</v>
      </c>
      <c r="G402" s="9" t="s">
        <v>159</v>
      </c>
      <c r="H402" s="7" t="s">
        <v>1557</v>
      </c>
      <c r="I402" s="7" t="s">
        <v>1558</v>
      </c>
      <c r="J402" s="10">
        <v>45955.0</v>
      </c>
      <c r="K402" s="8" t="s">
        <v>22</v>
      </c>
      <c r="L402" s="7">
        <v>4.0</v>
      </c>
      <c r="M402" s="7" t="s">
        <v>1559</v>
      </c>
      <c r="N402" s="13" t="s">
        <v>1560</v>
      </c>
      <c r="O402" s="15" t="s">
        <v>1561</v>
      </c>
    </row>
    <row r="403">
      <c r="A403" s="5">
        <v>466.0</v>
      </c>
      <c r="B403" s="6">
        <v>45990.81859549768</v>
      </c>
      <c r="C403" s="7" t="s">
        <v>125</v>
      </c>
      <c r="D403" s="8" t="s">
        <v>1555</v>
      </c>
      <c r="E403" s="8" t="s">
        <v>1259</v>
      </c>
      <c r="F403" s="7" t="s">
        <v>1556</v>
      </c>
      <c r="G403" s="9" t="s">
        <v>181</v>
      </c>
      <c r="H403" s="7" t="s">
        <v>1562</v>
      </c>
      <c r="I403" s="7" t="s">
        <v>1563</v>
      </c>
      <c r="J403" s="10">
        <v>45861.0</v>
      </c>
      <c r="K403" s="8" t="s">
        <v>499</v>
      </c>
      <c r="L403" s="7">
        <v>5.0</v>
      </c>
      <c r="M403" s="7" t="s">
        <v>1564</v>
      </c>
      <c r="N403" s="13" t="s">
        <v>1565</v>
      </c>
      <c r="O403" s="15" t="s">
        <v>1566</v>
      </c>
    </row>
    <row r="404">
      <c r="A404" s="5">
        <v>467.0</v>
      </c>
      <c r="B404" s="6">
        <v>45990.83062284722</v>
      </c>
      <c r="C404" s="7" t="s">
        <v>125</v>
      </c>
      <c r="D404" s="8" t="s">
        <v>1555</v>
      </c>
      <c r="E404" s="8" t="s">
        <v>1259</v>
      </c>
      <c r="F404" s="7" t="s">
        <v>1567</v>
      </c>
      <c r="G404" s="9" t="s">
        <v>159</v>
      </c>
      <c r="H404" s="7" t="s">
        <v>1568</v>
      </c>
      <c r="I404" s="7" t="s">
        <v>1569</v>
      </c>
      <c r="J404" s="10">
        <v>45962.0</v>
      </c>
      <c r="K404" s="8" t="s">
        <v>499</v>
      </c>
      <c r="L404" s="7">
        <v>5.0</v>
      </c>
      <c r="M404" s="7" t="s">
        <v>1570</v>
      </c>
      <c r="N404" s="13" t="s">
        <v>1571</v>
      </c>
      <c r="O404" s="15" t="s">
        <v>1572</v>
      </c>
    </row>
    <row r="405">
      <c r="A405" s="5">
        <v>468.0</v>
      </c>
      <c r="B405" s="6">
        <v>45990.83406498843</v>
      </c>
      <c r="C405" s="7" t="s">
        <v>125</v>
      </c>
      <c r="D405" s="8" t="s">
        <v>1555</v>
      </c>
      <c r="E405" s="8" t="s">
        <v>1259</v>
      </c>
      <c r="F405" s="7" t="s">
        <v>1556</v>
      </c>
      <c r="G405" s="9" t="s">
        <v>159</v>
      </c>
      <c r="H405" s="7" t="s">
        <v>1573</v>
      </c>
      <c r="I405" s="7" t="s">
        <v>190</v>
      </c>
      <c r="J405" s="10">
        <v>45948.0</v>
      </c>
      <c r="K405" s="8" t="s">
        <v>1574</v>
      </c>
      <c r="L405" s="7">
        <v>5.0</v>
      </c>
      <c r="M405" s="7" t="s">
        <v>1575</v>
      </c>
      <c r="N405" s="13" t="s">
        <v>1576</v>
      </c>
      <c r="O405" s="15" t="s">
        <v>1577</v>
      </c>
    </row>
    <row r="406">
      <c r="A406" s="5">
        <v>469.0</v>
      </c>
      <c r="B406" s="6">
        <v>45990.83895655093</v>
      </c>
      <c r="C406" s="7" t="s">
        <v>125</v>
      </c>
      <c r="D406" s="8" t="s">
        <v>1555</v>
      </c>
      <c r="E406" s="8" t="s">
        <v>1259</v>
      </c>
      <c r="F406" s="7" t="s">
        <v>1556</v>
      </c>
      <c r="G406" s="9" t="s">
        <v>144</v>
      </c>
      <c r="H406" s="7" t="s">
        <v>1578</v>
      </c>
      <c r="I406" s="7" t="s">
        <v>335</v>
      </c>
      <c r="J406" s="10">
        <v>45956.0</v>
      </c>
      <c r="K406" s="8" t="s">
        <v>22</v>
      </c>
      <c r="L406" s="7">
        <v>4.0</v>
      </c>
      <c r="M406" s="7" t="s">
        <v>1570</v>
      </c>
      <c r="N406" s="13" t="s">
        <v>1579</v>
      </c>
      <c r="O406" s="15" t="s">
        <v>1580</v>
      </c>
    </row>
    <row r="407">
      <c r="A407" s="5">
        <v>470.0</v>
      </c>
      <c r="B407" s="6">
        <v>45990.84724407407</v>
      </c>
      <c r="C407" s="7" t="s">
        <v>125</v>
      </c>
      <c r="D407" s="8" t="s">
        <v>1555</v>
      </c>
      <c r="E407" s="8" t="s">
        <v>1259</v>
      </c>
      <c r="F407" s="7" t="s">
        <v>1556</v>
      </c>
      <c r="G407" s="9" t="s">
        <v>209</v>
      </c>
      <c r="H407" s="7" t="s">
        <v>1581</v>
      </c>
      <c r="I407" s="7" t="s">
        <v>1582</v>
      </c>
      <c r="J407" s="10">
        <v>45934.0</v>
      </c>
      <c r="K407" s="8" t="s">
        <v>22</v>
      </c>
      <c r="L407" s="7">
        <v>4.0</v>
      </c>
      <c r="M407" s="7" t="s">
        <v>1583</v>
      </c>
      <c r="N407" s="13" t="s">
        <v>1584</v>
      </c>
      <c r="O407" s="15" t="s">
        <v>1585</v>
      </c>
    </row>
    <row r="408">
      <c r="A408" s="5">
        <v>472.0</v>
      </c>
      <c r="B408" s="6">
        <v>45990.8553309375</v>
      </c>
      <c r="C408" s="7" t="s">
        <v>26</v>
      </c>
      <c r="D408" s="8" t="s">
        <v>1586</v>
      </c>
      <c r="E408" s="8" t="s">
        <v>17</v>
      </c>
      <c r="F408" s="7" t="s">
        <v>1587</v>
      </c>
      <c r="G408" s="9" t="s">
        <v>181</v>
      </c>
      <c r="H408" s="7" t="s">
        <v>857</v>
      </c>
      <c r="I408" s="7" t="s">
        <v>1588</v>
      </c>
      <c r="J408" s="10">
        <v>45985.0</v>
      </c>
      <c r="K408" s="8" t="s">
        <v>859</v>
      </c>
      <c r="L408" s="7">
        <v>8.0</v>
      </c>
      <c r="M408" s="7" t="s">
        <v>1488</v>
      </c>
      <c r="N408" s="13" t="s">
        <v>1589</v>
      </c>
      <c r="O408" s="15" t="s">
        <v>1590</v>
      </c>
    </row>
    <row r="409">
      <c r="A409" s="5">
        <v>474.0</v>
      </c>
      <c r="B409" s="6">
        <v>45990.85775725695</v>
      </c>
      <c r="C409" s="7" t="s">
        <v>26</v>
      </c>
      <c r="D409" s="8" t="s">
        <v>1591</v>
      </c>
      <c r="E409" s="8" t="s">
        <v>223</v>
      </c>
      <c r="F409" s="7" t="s">
        <v>1592</v>
      </c>
      <c r="G409" s="9" t="s">
        <v>19</v>
      </c>
      <c r="H409" s="7" t="s">
        <v>36</v>
      </c>
      <c r="I409" s="7" t="s">
        <v>31</v>
      </c>
      <c r="J409" s="10">
        <v>45825.0</v>
      </c>
      <c r="K409" s="8" t="s">
        <v>49</v>
      </c>
      <c r="L409" s="7">
        <v>8.0</v>
      </c>
      <c r="M409" s="7" t="s">
        <v>33</v>
      </c>
      <c r="N409" s="13" t="s">
        <v>1593</v>
      </c>
      <c r="O409" s="15" t="s">
        <v>1594</v>
      </c>
    </row>
    <row r="410">
      <c r="A410" s="5">
        <v>478.0</v>
      </c>
      <c r="B410" s="6">
        <v>45990.8752725</v>
      </c>
      <c r="C410" s="7" t="s">
        <v>26</v>
      </c>
      <c r="D410" s="8" t="s">
        <v>1595</v>
      </c>
      <c r="E410" s="8" t="s">
        <v>1596</v>
      </c>
      <c r="F410" s="7" t="s">
        <v>1597</v>
      </c>
      <c r="G410" s="9" t="s">
        <v>181</v>
      </c>
      <c r="H410" s="7" t="s">
        <v>1301</v>
      </c>
      <c r="I410" s="7" t="s">
        <v>231</v>
      </c>
      <c r="J410" s="10">
        <v>45887.0</v>
      </c>
      <c r="K410" s="8" t="s">
        <v>518</v>
      </c>
      <c r="L410" s="7">
        <v>2.0</v>
      </c>
      <c r="M410" s="7" t="s">
        <v>1064</v>
      </c>
      <c r="N410" s="13" t="s">
        <v>1598</v>
      </c>
      <c r="O410" s="15" t="s">
        <v>1599</v>
      </c>
    </row>
    <row r="411">
      <c r="A411" s="5">
        <v>479.0</v>
      </c>
      <c r="B411" s="6">
        <v>45990.87978447917</v>
      </c>
      <c r="C411" s="7" t="s">
        <v>26</v>
      </c>
      <c r="D411" s="8" t="s">
        <v>1595</v>
      </c>
      <c r="E411" s="8" t="s">
        <v>1596</v>
      </c>
      <c r="F411" s="7" t="s">
        <v>1597</v>
      </c>
      <c r="G411" s="9" t="s">
        <v>19</v>
      </c>
      <c r="H411" s="7" t="s">
        <v>376</v>
      </c>
      <c r="I411" s="7" t="s">
        <v>37</v>
      </c>
      <c r="J411" s="10">
        <v>45839.0</v>
      </c>
      <c r="K411" s="8" t="s">
        <v>67</v>
      </c>
      <c r="L411" s="7">
        <v>8.0</v>
      </c>
      <c r="M411" s="7" t="s">
        <v>33</v>
      </c>
      <c r="N411" s="13" t="s">
        <v>1600</v>
      </c>
      <c r="O411" s="15" t="s">
        <v>1601</v>
      </c>
    </row>
    <row r="412">
      <c r="A412" s="5">
        <v>480.0</v>
      </c>
      <c r="B412" s="6">
        <v>45990.88533793981</v>
      </c>
      <c r="C412" s="7" t="s">
        <v>26</v>
      </c>
      <c r="D412" s="8" t="s">
        <v>1595</v>
      </c>
      <c r="E412" s="8" t="s">
        <v>1596</v>
      </c>
      <c r="F412" s="7" t="s">
        <v>1597</v>
      </c>
      <c r="G412" s="9" t="s">
        <v>19</v>
      </c>
      <c r="H412" s="7" t="s">
        <v>41</v>
      </c>
      <c r="I412" s="7" t="s">
        <v>37</v>
      </c>
      <c r="J412" s="10">
        <v>45840.0</v>
      </c>
      <c r="K412" s="8" t="s">
        <v>67</v>
      </c>
      <c r="L412" s="7">
        <v>8.0</v>
      </c>
      <c r="M412" s="7" t="s">
        <v>33</v>
      </c>
      <c r="N412" s="13" t="s">
        <v>1602</v>
      </c>
      <c r="O412" s="15" t="s">
        <v>1603</v>
      </c>
    </row>
    <row r="413">
      <c r="A413" s="5">
        <v>481.0</v>
      </c>
      <c r="B413" s="6">
        <v>45990.88891090278</v>
      </c>
      <c r="C413" s="7" t="s">
        <v>26</v>
      </c>
      <c r="D413" s="8" t="s">
        <v>1595</v>
      </c>
      <c r="E413" s="8" t="s">
        <v>1596</v>
      </c>
      <c r="F413" s="7" t="s">
        <v>1597</v>
      </c>
      <c r="G413" s="9" t="s">
        <v>181</v>
      </c>
      <c r="H413" s="7" t="s">
        <v>857</v>
      </c>
      <c r="I413" s="7" t="s">
        <v>1604</v>
      </c>
      <c r="J413" s="10">
        <v>45987.0</v>
      </c>
      <c r="K413" s="8" t="s">
        <v>859</v>
      </c>
      <c r="L413" s="7">
        <v>8.0</v>
      </c>
      <c r="M413" s="7" t="s">
        <v>860</v>
      </c>
      <c r="N413" s="13" t="s">
        <v>1605</v>
      </c>
      <c r="O413" s="15" t="s">
        <v>1606</v>
      </c>
    </row>
    <row r="414">
      <c r="A414" s="5">
        <v>482.0</v>
      </c>
      <c r="B414" s="6">
        <v>45990.89143</v>
      </c>
      <c r="C414" s="7" t="s">
        <v>26</v>
      </c>
      <c r="D414" s="8" t="s">
        <v>1595</v>
      </c>
      <c r="E414" s="8" t="s">
        <v>1596</v>
      </c>
      <c r="F414" s="7" t="s">
        <v>1597</v>
      </c>
      <c r="G414" s="9" t="s">
        <v>181</v>
      </c>
      <c r="H414" s="7" t="s">
        <v>1301</v>
      </c>
      <c r="I414" s="7" t="s">
        <v>231</v>
      </c>
      <c r="J414" s="10">
        <v>45888.0</v>
      </c>
      <c r="K414" s="8" t="s">
        <v>518</v>
      </c>
      <c r="L414" s="7">
        <v>2.0</v>
      </c>
      <c r="M414" s="7" t="s">
        <v>1064</v>
      </c>
      <c r="N414" s="13" t="s">
        <v>1607</v>
      </c>
      <c r="O414" s="15" t="s">
        <v>1608</v>
      </c>
    </row>
    <row r="415">
      <c r="A415" s="5">
        <v>483.0</v>
      </c>
      <c r="B415" s="6">
        <v>45990.89296103009</v>
      </c>
      <c r="C415" s="7" t="s">
        <v>26</v>
      </c>
      <c r="D415" s="8" t="s">
        <v>1591</v>
      </c>
      <c r="E415" s="8" t="s">
        <v>223</v>
      </c>
      <c r="F415" s="7" t="s">
        <v>1592</v>
      </c>
      <c r="G415" s="9" t="s">
        <v>19</v>
      </c>
      <c r="H415" s="7" t="s">
        <v>30</v>
      </c>
      <c r="I415" s="7" t="s">
        <v>469</v>
      </c>
      <c r="J415" s="10">
        <v>45833.0</v>
      </c>
      <c r="K415" s="8" t="s">
        <v>49</v>
      </c>
      <c r="L415" s="7">
        <v>8.0</v>
      </c>
      <c r="M415" s="7" t="s">
        <v>33</v>
      </c>
      <c r="N415" s="13" t="s">
        <v>1609</v>
      </c>
      <c r="O415" s="15" t="s">
        <v>1610</v>
      </c>
    </row>
    <row r="416">
      <c r="A416" s="5">
        <v>484.0</v>
      </c>
      <c r="B416" s="6">
        <v>45990.8954452662</v>
      </c>
      <c r="C416" s="7" t="s">
        <v>26</v>
      </c>
      <c r="D416" s="8" t="s">
        <v>1235</v>
      </c>
      <c r="E416" s="8" t="s">
        <v>737</v>
      </c>
      <c r="F416" s="7" t="s">
        <v>1236</v>
      </c>
      <c r="G416" s="9" t="s">
        <v>19</v>
      </c>
      <c r="H416" s="7" t="s">
        <v>1466</v>
      </c>
      <c r="I416" s="7" t="s">
        <v>1473</v>
      </c>
      <c r="J416" s="10">
        <v>45926.0</v>
      </c>
      <c r="K416" s="8" t="s">
        <v>1468</v>
      </c>
      <c r="L416" s="7">
        <v>4.0</v>
      </c>
      <c r="M416" s="7" t="s">
        <v>1469</v>
      </c>
      <c r="N416" s="13" t="s">
        <v>1611</v>
      </c>
      <c r="O416" s="15" t="s">
        <v>1612</v>
      </c>
    </row>
    <row r="417">
      <c r="A417" s="5">
        <v>485.0</v>
      </c>
      <c r="B417" s="6">
        <v>45990.89624462963</v>
      </c>
      <c r="C417" s="7" t="s">
        <v>26</v>
      </c>
      <c r="D417" s="8" t="s">
        <v>1591</v>
      </c>
      <c r="E417" s="8" t="s">
        <v>223</v>
      </c>
      <c r="F417" s="7" t="s">
        <v>1592</v>
      </c>
      <c r="G417" s="9" t="s">
        <v>19</v>
      </c>
      <c r="H417" s="7" t="s">
        <v>30</v>
      </c>
      <c r="I417" s="7" t="s">
        <v>37</v>
      </c>
      <c r="J417" s="10">
        <v>45838.0</v>
      </c>
      <c r="K417" s="8" t="s">
        <v>67</v>
      </c>
      <c r="L417" s="7">
        <v>8.0</v>
      </c>
      <c r="M417" s="7" t="s">
        <v>33</v>
      </c>
      <c r="N417" s="13" t="s">
        <v>1613</v>
      </c>
      <c r="O417" s="15" t="s">
        <v>1614</v>
      </c>
    </row>
    <row r="418">
      <c r="A418" s="5">
        <v>486.0</v>
      </c>
      <c r="B418" s="6">
        <v>45990.89804680555</v>
      </c>
      <c r="C418" s="7" t="s">
        <v>26</v>
      </c>
      <c r="D418" s="8" t="s">
        <v>1591</v>
      </c>
      <c r="E418" s="8" t="s">
        <v>223</v>
      </c>
      <c r="F418" s="7" t="s">
        <v>1592</v>
      </c>
      <c r="G418" s="9" t="s">
        <v>19</v>
      </c>
      <c r="H418" s="7" t="s">
        <v>44</v>
      </c>
      <c r="I418" s="7" t="s">
        <v>37</v>
      </c>
      <c r="J418" s="10">
        <v>45839.0</v>
      </c>
      <c r="K418" s="8" t="s">
        <v>67</v>
      </c>
      <c r="L418" s="7">
        <v>8.0</v>
      </c>
      <c r="M418" s="7" t="s">
        <v>33</v>
      </c>
      <c r="N418" s="13" t="s">
        <v>1615</v>
      </c>
      <c r="O418" s="15" t="s">
        <v>1616</v>
      </c>
    </row>
    <row r="419">
      <c r="A419" s="5">
        <v>487.0</v>
      </c>
      <c r="B419" s="6">
        <v>45990.89935465278</v>
      </c>
      <c r="C419" s="7" t="s">
        <v>26</v>
      </c>
      <c r="D419" s="8" t="s">
        <v>1591</v>
      </c>
      <c r="E419" s="8" t="s">
        <v>223</v>
      </c>
      <c r="F419" s="7" t="s">
        <v>1592</v>
      </c>
      <c r="G419" s="9" t="s">
        <v>19</v>
      </c>
      <c r="H419" s="7" t="s">
        <v>44</v>
      </c>
      <c r="I419" s="7" t="s">
        <v>37</v>
      </c>
      <c r="J419" s="10">
        <v>45840.0</v>
      </c>
      <c r="K419" s="8" t="s">
        <v>67</v>
      </c>
      <c r="L419" s="7">
        <v>8.0</v>
      </c>
      <c r="M419" s="7" t="s">
        <v>33</v>
      </c>
      <c r="N419" s="13" t="s">
        <v>1617</v>
      </c>
      <c r="O419" s="15" t="s">
        <v>1618</v>
      </c>
    </row>
    <row r="420">
      <c r="A420" s="5">
        <v>488.0</v>
      </c>
      <c r="B420" s="6">
        <v>45990.910116018524</v>
      </c>
      <c r="C420" s="7" t="s">
        <v>26</v>
      </c>
      <c r="D420" s="8" t="s">
        <v>1586</v>
      </c>
      <c r="E420" s="8" t="s">
        <v>17</v>
      </c>
      <c r="F420" s="7" t="s">
        <v>1587</v>
      </c>
      <c r="G420" s="9" t="s">
        <v>19</v>
      </c>
      <c r="H420" s="7" t="s">
        <v>44</v>
      </c>
      <c r="I420" s="7" t="s">
        <v>37</v>
      </c>
      <c r="J420" s="10">
        <v>45839.0</v>
      </c>
      <c r="K420" s="8" t="s">
        <v>67</v>
      </c>
      <c r="L420" s="7">
        <v>8.0</v>
      </c>
      <c r="M420" s="7" t="s">
        <v>33</v>
      </c>
      <c r="N420" s="13" t="s">
        <v>1619</v>
      </c>
      <c r="O420" s="15" t="s">
        <v>1620</v>
      </c>
    </row>
    <row r="421">
      <c r="A421" s="5">
        <v>489.0</v>
      </c>
      <c r="B421" s="6">
        <v>45990.91339523148</v>
      </c>
      <c r="C421" s="7" t="s">
        <v>26</v>
      </c>
      <c r="D421" s="8" t="s">
        <v>1586</v>
      </c>
      <c r="E421" s="8" t="s">
        <v>17</v>
      </c>
      <c r="F421" s="7" t="s">
        <v>1587</v>
      </c>
      <c r="G421" s="9" t="s">
        <v>19</v>
      </c>
      <c r="H421" s="7" t="s">
        <v>44</v>
      </c>
      <c r="I421" s="7" t="s">
        <v>37</v>
      </c>
      <c r="J421" s="10">
        <v>45840.0</v>
      </c>
      <c r="K421" s="8" t="s">
        <v>67</v>
      </c>
      <c r="L421" s="7">
        <v>8.0</v>
      </c>
      <c r="M421" s="7" t="s">
        <v>33</v>
      </c>
      <c r="N421" s="13" t="s">
        <v>1621</v>
      </c>
      <c r="O421" s="15" t="s">
        <v>1622</v>
      </c>
    </row>
    <row r="422">
      <c r="A422" s="5">
        <v>490.0</v>
      </c>
      <c r="B422" s="6">
        <v>45990.98236163195</v>
      </c>
      <c r="C422" s="7" t="s">
        <v>760</v>
      </c>
      <c r="D422" s="8" t="s">
        <v>1443</v>
      </c>
      <c r="E422" s="8" t="s">
        <v>1116</v>
      </c>
      <c r="F422" s="7" t="s">
        <v>1444</v>
      </c>
      <c r="G422" s="9" t="s">
        <v>144</v>
      </c>
      <c r="H422" s="7" t="s">
        <v>1623</v>
      </c>
      <c r="I422" s="7" t="s">
        <v>1624</v>
      </c>
      <c r="J422" s="10">
        <v>45976.0</v>
      </c>
      <c r="K422" s="8" t="s">
        <v>1132</v>
      </c>
      <c r="L422" s="7">
        <v>4.0</v>
      </c>
      <c r="M422" s="7" t="s">
        <v>1625</v>
      </c>
      <c r="N422" s="13" t="s">
        <v>1626</v>
      </c>
      <c r="O422" s="15" t="s">
        <v>1627</v>
      </c>
    </row>
    <row r="423">
      <c r="A423" s="5">
        <v>491.0</v>
      </c>
      <c r="B423" s="6">
        <v>45990.98573425926</v>
      </c>
      <c r="C423" s="7" t="s">
        <v>760</v>
      </c>
      <c r="D423" s="8" t="s">
        <v>1443</v>
      </c>
      <c r="E423" s="8" t="s">
        <v>1116</v>
      </c>
      <c r="F423" s="7" t="s">
        <v>1444</v>
      </c>
      <c r="G423" s="9" t="s">
        <v>144</v>
      </c>
      <c r="H423" s="7" t="s">
        <v>730</v>
      </c>
      <c r="I423" s="7" t="s">
        <v>1628</v>
      </c>
      <c r="J423" s="10">
        <v>45989.0</v>
      </c>
      <c r="K423" s="8" t="s">
        <v>1139</v>
      </c>
      <c r="L423" s="7">
        <v>4.0</v>
      </c>
      <c r="M423" s="7" t="s">
        <v>1629</v>
      </c>
      <c r="N423" s="13" t="s">
        <v>1630</v>
      </c>
      <c r="O423" s="15" t="s">
        <v>1631</v>
      </c>
    </row>
    <row r="424">
      <c r="A424" s="5">
        <v>492.0</v>
      </c>
      <c r="B424" s="6">
        <v>45990.987876597224</v>
      </c>
      <c r="C424" s="7" t="s">
        <v>760</v>
      </c>
      <c r="D424" s="8" t="s">
        <v>1443</v>
      </c>
      <c r="E424" s="8" t="s">
        <v>1116</v>
      </c>
      <c r="F424" s="7" t="s">
        <v>1444</v>
      </c>
      <c r="G424" s="9" t="s">
        <v>144</v>
      </c>
      <c r="H424" s="7" t="s">
        <v>730</v>
      </c>
      <c r="I424" s="7" t="s">
        <v>1632</v>
      </c>
      <c r="J424" s="10">
        <v>45990.0</v>
      </c>
      <c r="K424" s="8" t="s">
        <v>1633</v>
      </c>
      <c r="L424" s="7">
        <v>4.0</v>
      </c>
      <c r="M424" s="7" t="s">
        <v>1634</v>
      </c>
      <c r="N424" s="13" t="s">
        <v>1635</v>
      </c>
      <c r="O424" s="15" t="s">
        <v>1636</v>
      </c>
    </row>
    <row r="425">
      <c r="A425" s="5">
        <v>493.0</v>
      </c>
      <c r="B425" s="6">
        <v>45991.030147638885</v>
      </c>
      <c r="C425" s="7" t="s">
        <v>26</v>
      </c>
      <c r="D425" s="8" t="s">
        <v>1007</v>
      </c>
      <c r="E425" s="8" t="s">
        <v>479</v>
      </c>
      <c r="F425" s="7" t="s">
        <v>480</v>
      </c>
      <c r="G425" s="9" t="s">
        <v>19</v>
      </c>
      <c r="H425" s="7" t="s">
        <v>1466</v>
      </c>
      <c r="I425" s="7" t="s">
        <v>1473</v>
      </c>
      <c r="J425" s="10">
        <v>45926.0</v>
      </c>
      <c r="K425" s="8" t="s">
        <v>1637</v>
      </c>
      <c r="L425" s="7">
        <v>4.0</v>
      </c>
      <c r="M425" s="7" t="s">
        <v>1469</v>
      </c>
      <c r="N425" s="13" t="s">
        <v>1638</v>
      </c>
      <c r="O425" s="15" t="s">
        <v>1639</v>
      </c>
    </row>
    <row r="426">
      <c r="A426" s="5">
        <v>494.0</v>
      </c>
      <c r="B426" s="6">
        <v>45991.03190862268</v>
      </c>
      <c r="C426" s="7" t="s">
        <v>26</v>
      </c>
      <c r="D426" s="8" t="s">
        <v>1007</v>
      </c>
      <c r="E426" s="8" t="s">
        <v>479</v>
      </c>
      <c r="F426" s="7" t="s">
        <v>480</v>
      </c>
      <c r="G426" s="9" t="s">
        <v>19</v>
      </c>
      <c r="H426" s="7" t="s">
        <v>1472</v>
      </c>
      <c r="I426" s="7" t="s">
        <v>1473</v>
      </c>
      <c r="J426" s="10">
        <v>45930.0</v>
      </c>
      <c r="K426" s="8" t="s">
        <v>1637</v>
      </c>
      <c r="L426" s="7">
        <v>4.0</v>
      </c>
      <c r="M426" s="7" t="s">
        <v>1469</v>
      </c>
      <c r="N426" s="13" t="s">
        <v>1640</v>
      </c>
      <c r="O426" s="15" t="s">
        <v>1641</v>
      </c>
    </row>
    <row r="427">
      <c r="A427" s="5">
        <v>495.0</v>
      </c>
      <c r="B427" s="6">
        <v>45991.03636135417</v>
      </c>
      <c r="C427" s="7" t="s">
        <v>26</v>
      </c>
      <c r="D427" s="8" t="s">
        <v>1007</v>
      </c>
      <c r="E427" s="8" t="s">
        <v>479</v>
      </c>
      <c r="F427" s="7" t="s">
        <v>480</v>
      </c>
      <c r="G427" s="9" t="s">
        <v>181</v>
      </c>
      <c r="H427" s="7" t="s">
        <v>1525</v>
      </c>
      <c r="I427" s="7" t="s">
        <v>1642</v>
      </c>
      <c r="J427" s="10">
        <v>45859.0</v>
      </c>
      <c r="K427" s="8" t="s">
        <v>32</v>
      </c>
      <c r="L427" s="7">
        <v>8.0</v>
      </c>
      <c r="M427" s="7" t="s">
        <v>33</v>
      </c>
      <c r="N427" s="13" t="s">
        <v>1643</v>
      </c>
      <c r="O427" s="15" t="s">
        <v>1644</v>
      </c>
    </row>
    <row r="428">
      <c r="A428" s="5">
        <v>496.0</v>
      </c>
      <c r="B428" s="6">
        <v>45991.056502210646</v>
      </c>
      <c r="C428" s="7" t="s">
        <v>26</v>
      </c>
      <c r="D428" s="8" t="s">
        <v>1247</v>
      </c>
      <c r="E428" s="8" t="s">
        <v>1248</v>
      </c>
      <c r="F428" s="7" t="s">
        <v>1249</v>
      </c>
      <c r="G428" s="9" t="s">
        <v>19</v>
      </c>
      <c r="H428" s="7" t="s">
        <v>1645</v>
      </c>
      <c r="I428" s="7" t="s">
        <v>1646</v>
      </c>
      <c r="J428" s="10">
        <v>45822.0</v>
      </c>
      <c r="K428" s="8" t="s">
        <v>1647</v>
      </c>
      <c r="L428" s="7">
        <v>7.0</v>
      </c>
      <c r="M428" s="7" t="s">
        <v>1648</v>
      </c>
      <c r="N428" s="13" t="s">
        <v>1649</v>
      </c>
      <c r="O428" s="15" t="s">
        <v>1650</v>
      </c>
    </row>
    <row r="429">
      <c r="A429" s="5">
        <v>498.0</v>
      </c>
      <c r="B429" s="6">
        <v>45991.06278290509</v>
      </c>
      <c r="C429" s="7" t="s">
        <v>26</v>
      </c>
      <c r="D429" s="8" t="s">
        <v>1247</v>
      </c>
      <c r="E429" s="8" t="s">
        <v>1248</v>
      </c>
      <c r="F429" s="7" t="s">
        <v>1249</v>
      </c>
      <c r="G429" s="9" t="s">
        <v>19</v>
      </c>
      <c r="H429" s="7" t="s">
        <v>1645</v>
      </c>
      <c r="I429" s="7" t="s">
        <v>1646</v>
      </c>
      <c r="J429" s="10">
        <v>45829.0</v>
      </c>
      <c r="K429" s="8" t="s">
        <v>1647</v>
      </c>
      <c r="L429" s="7">
        <v>7.0</v>
      </c>
      <c r="M429" s="7" t="s">
        <v>1651</v>
      </c>
      <c r="N429" s="13" t="s">
        <v>1652</v>
      </c>
      <c r="O429" s="15" t="s">
        <v>1653</v>
      </c>
    </row>
    <row r="430">
      <c r="A430" s="5">
        <v>499.0</v>
      </c>
      <c r="B430" s="6">
        <v>45991.06850019676</v>
      </c>
      <c r="C430" s="7" t="s">
        <v>26</v>
      </c>
      <c r="D430" s="8" t="s">
        <v>1247</v>
      </c>
      <c r="E430" s="8" t="s">
        <v>1248</v>
      </c>
      <c r="F430" s="7" t="s">
        <v>1249</v>
      </c>
      <c r="G430" s="9" t="s">
        <v>19</v>
      </c>
      <c r="H430" s="7" t="s">
        <v>1645</v>
      </c>
      <c r="I430" s="7" t="s">
        <v>1646</v>
      </c>
      <c r="J430" s="10">
        <v>45836.0</v>
      </c>
      <c r="K430" s="8" t="s">
        <v>1647</v>
      </c>
      <c r="L430" s="7">
        <v>7.0</v>
      </c>
      <c r="M430" s="7" t="s">
        <v>1648</v>
      </c>
      <c r="N430" s="13" t="s">
        <v>1654</v>
      </c>
      <c r="O430" s="15" t="s">
        <v>1655</v>
      </c>
    </row>
    <row r="431">
      <c r="A431" s="5">
        <v>500.0</v>
      </c>
      <c r="B431" s="6">
        <v>45991.07198878472</v>
      </c>
      <c r="C431" s="7" t="s">
        <v>26</v>
      </c>
      <c r="D431" s="8" t="s">
        <v>1247</v>
      </c>
      <c r="E431" s="8" t="s">
        <v>1248</v>
      </c>
      <c r="F431" s="7" t="s">
        <v>1249</v>
      </c>
      <c r="G431" s="9" t="s">
        <v>19</v>
      </c>
      <c r="H431" s="7" t="s">
        <v>303</v>
      </c>
      <c r="I431" s="7" t="s">
        <v>509</v>
      </c>
      <c r="J431" s="10">
        <v>45841.0</v>
      </c>
      <c r="K431" s="8" t="s">
        <v>49</v>
      </c>
      <c r="L431" s="7">
        <v>8.0</v>
      </c>
      <c r="M431" s="7" t="s">
        <v>305</v>
      </c>
      <c r="N431" s="16"/>
      <c r="O431" s="16"/>
    </row>
    <row r="432">
      <c r="A432" s="5">
        <v>501.0</v>
      </c>
      <c r="B432" s="6">
        <v>45991.07366512732</v>
      </c>
      <c r="C432" s="7" t="s">
        <v>26</v>
      </c>
      <c r="D432" s="8" t="s">
        <v>1247</v>
      </c>
      <c r="E432" s="8" t="s">
        <v>1248</v>
      </c>
      <c r="F432" s="7" t="s">
        <v>1249</v>
      </c>
      <c r="G432" s="9" t="s">
        <v>19</v>
      </c>
      <c r="H432" s="7" t="s">
        <v>303</v>
      </c>
      <c r="I432" s="7" t="s">
        <v>1656</v>
      </c>
      <c r="J432" s="10">
        <v>45841.0</v>
      </c>
      <c r="K432" s="8" t="s">
        <v>49</v>
      </c>
      <c r="L432" s="7">
        <v>8.0</v>
      </c>
      <c r="M432" s="7" t="s">
        <v>1657</v>
      </c>
      <c r="N432" s="13" t="s">
        <v>1658</v>
      </c>
      <c r="O432" s="15" t="s">
        <v>1659</v>
      </c>
    </row>
    <row r="433">
      <c r="A433" s="5">
        <v>502.0</v>
      </c>
      <c r="B433" s="6">
        <v>45991.32216486111</v>
      </c>
      <c r="C433" s="7" t="s">
        <v>125</v>
      </c>
      <c r="D433" s="8" t="s">
        <v>235</v>
      </c>
      <c r="E433" s="8" t="s">
        <v>236</v>
      </c>
      <c r="F433" s="7" t="s">
        <v>237</v>
      </c>
      <c r="G433" s="9" t="s">
        <v>84</v>
      </c>
      <c r="H433" s="7" t="s">
        <v>85</v>
      </c>
      <c r="I433" s="7" t="s">
        <v>765</v>
      </c>
      <c r="J433" s="10">
        <v>45990.0</v>
      </c>
      <c r="K433" s="8" t="s">
        <v>49</v>
      </c>
      <c r="L433" s="7">
        <v>8.0</v>
      </c>
      <c r="M433" s="7" t="s">
        <v>1660</v>
      </c>
      <c r="N433" s="13" t="s">
        <v>1661</v>
      </c>
      <c r="O433" s="15" t="s">
        <v>1662</v>
      </c>
    </row>
    <row r="434">
      <c r="A434" s="5">
        <v>503.0</v>
      </c>
      <c r="B434" s="6">
        <v>45991.330353287034</v>
      </c>
      <c r="C434" s="7" t="s">
        <v>760</v>
      </c>
      <c r="D434" s="8" t="s">
        <v>1184</v>
      </c>
      <c r="E434" s="8" t="s">
        <v>1185</v>
      </c>
      <c r="F434" s="7" t="s">
        <v>1186</v>
      </c>
      <c r="G434" s="9" t="s">
        <v>181</v>
      </c>
      <c r="H434" s="7" t="s">
        <v>1663</v>
      </c>
      <c r="I434" s="7" t="s">
        <v>1664</v>
      </c>
      <c r="J434" s="10">
        <v>45895.0</v>
      </c>
      <c r="K434" s="8" t="s">
        <v>1665</v>
      </c>
      <c r="L434" s="7">
        <v>2.0</v>
      </c>
      <c r="M434" s="7" t="s">
        <v>1666</v>
      </c>
      <c r="N434" s="13" t="s">
        <v>1667</v>
      </c>
      <c r="O434" s="15" t="s">
        <v>1668</v>
      </c>
    </row>
    <row r="435">
      <c r="A435" s="5">
        <v>504.0</v>
      </c>
      <c r="B435" s="6">
        <v>45991.33274024306</v>
      </c>
      <c r="C435" s="7" t="s">
        <v>760</v>
      </c>
      <c r="D435" s="8" t="s">
        <v>780</v>
      </c>
      <c r="E435" s="8" t="s">
        <v>781</v>
      </c>
      <c r="F435" s="7" t="s">
        <v>782</v>
      </c>
      <c r="G435" s="9" t="s">
        <v>181</v>
      </c>
      <c r="H435" s="7" t="s">
        <v>1669</v>
      </c>
      <c r="I435" s="7" t="s">
        <v>1664</v>
      </c>
      <c r="J435" s="10">
        <v>45895.0</v>
      </c>
      <c r="K435" s="8" t="s">
        <v>1665</v>
      </c>
      <c r="L435" s="7">
        <v>2.0</v>
      </c>
      <c r="M435" s="7" t="s">
        <v>1648</v>
      </c>
      <c r="N435" s="13" t="s">
        <v>1670</v>
      </c>
      <c r="O435" s="15" t="s">
        <v>1671</v>
      </c>
    </row>
    <row r="436">
      <c r="A436" s="5">
        <v>505.0</v>
      </c>
      <c r="B436" s="6">
        <v>45991.33395782407</v>
      </c>
      <c r="C436" s="7" t="s">
        <v>760</v>
      </c>
      <c r="D436" s="8" t="s">
        <v>1672</v>
      </c>
      <c r="E436" s="8" t="s">
        <v>881</v>
      </c>
      <c r="F436" s="7" t="s">
        <v>1673</v>
      </c>
      <c r="G436" s="9" t="s">
        <v>181</v>
      </c>
      <c r="H436" s="7" t="s">
        <v>1669</v>
      </c>
      <c r="I436" s="7" t="s">
        <v>1664</v>
      </c>
      <c r="J436" s="10">
        <v>45895.0</v>
      </c>
      <c r="K436" s="8" t="s">
        <v>1665</v>
      </c>
      <c r="L436" s="7">
        <v>2.0</v>
      </c>
      <c r="M436" s="7" t="s">
        <v>1648</v>
      </c>
      <c r="N436" s="13" t="s">
        <v>1674</v>
      </c>
      <c r="O436" s="15" t="s">
        <v>1675</v>
      </c>
    </row>
    <row r="437">
      <c r="A437" s="5">
        <v>506.0</v>
      </c>
      <c r="B437" s="6">
        <v>45991.336079409724</v>
      </c>
      <c r="C437" s="7" t="s">
        <v>125</v>
      </c>
      <c r="D437" s="8" t="s">
        <v>1676</v>
      </c>
      <c r="E437" s="8" t="s">
        <v>440</v>
      </c>
      <c r="F437" s="7" t="s">
        <v>1677</v>
      </c>
      <c r="G437" s="9" t="s">
        <v>209</v>
      </c>
      <c r="H437" s="7" t="s">
        <v>1678</v>
      </c>
      <c r="I437" s="7" t="s">
        <v>1131</v>
      </c>
      <c r="J437" s="10">
        <v>45970.0</v>
      </c>
      <c r="K437" s="8" t="s">
        <v>1679</v>
      </c>
      <c r="L437" s="7">
        <v>4.0</v>
      </c>
      <c r="M437" s="7" t="s">
        <v>1680</v>
      </c>
      <c r="N437" s="13" t="s">
        <v>1681</v>
      </c>
      <c r="O437" s="15" t="s">
        <v>1682</v>
      </c>
    </row>
    <row r="438">
      <c r="A438" s="5">
        <v>507.0</v>
      </c>
      <c r="B438" s="6">
        <v>45991.33647539352</v>
      </c>
      <c r="C438" s="7" t="s">
        <v>760</v>
      </c>
      <c r="D438" s="8" t="s">
        <v>1672</v>
      </c>
      <c r="E438" s="8" t="s">
        <v>881</v>
      </c>
      <c r="F438" s="7" t="s">
        <v>1673</v>
      </c>
      <c r="G438" s="9" t="s">
        <v>181</v>
      </c>
      <c r="H438" s="7" t="s">
        <v>1669</v>
      </c>
      <c r="I438" s="7" t="s">
        <v>1664</v>
      </c>
      <c r="J438" s="10">
        <v>45896.0</v>
      </c>
      <c r="K438" s="8" t="s">
        <v>1665</v>
      </c>
      <c r="L438" s="7">
        <v>2.0</v>
      </c>
      <c r="M438" s="7" t="s">
        <v>1648</v>
      </c>
      <c r="N438" s="13" t="s">
        <v>1683</v>
      </c>
      <c r="O438" s="15" t="s">
        <v>1684</v>
      </c>
    </row>
    <row r="439">
      <c r="A439" s="5">
        <v>509.0</v>
      </c>
      <c r="B439" s="6">
        <v>45991.341975601856</v>
      </c>
      <c r="C439" s="7" t="s">
        <v>125</v>
      </c>
      <c r="D439" s="8" t="s">
        <v>1676</v>
      </c>
      <c r="E439" s="8" t="s">
        <v>440</v>
      </c>
      <c r="F439" s="7" t="s">
        <v>1677</v>
      </c>
      <c r="G439" s="9" t="s">
        <v>159</v>
      </c>
      <c r="H439" s="7" t="s">
        <v>1685</v>
      </c>
      <c r="I439" s="7" t="s">
        <v>1131</v>
      </c>
      <c r="J439" s="10">
        <v>45948.0</v>
      </c>
      <c r="K439" s="8" t="s">
        <v>1686</v>
      </c>
      <c r="L439" s="7">
        <v>4.0</v>
      </c>
      <c r="M439" s="7" t="s">
        <v>1687</v>
      </c>
      <c r="N439" s="13" t="s">
        <v>1688</v>
      </c>
      <c r="O439" s="15" t="s">
        <v>1689</v>
      </c>
    </row>
    <row r="440">
      <c r="A440" s="5">
        <v>510.0</v>
      </c>
      <c r="B440" s="6">
        <v>45991.344114583335</v>
      </c>
      <c r="C440" s="7" t="s">
        <v>125</v>
      </c>
      <c r="D440" s="8" t="s">
        <v>1676</v>
      </c>
      <c r="E440" s="8" t="s">
        <v>440</v>
      </c>
      <c r="F440" s="7" t="s">
        <v>1677</v>
      </c>
      <c r="G440" s="9" t="s">
        <v>144</v>
      </c>
      <c r="H440" s="7" t="s">
        <v>1690</v>
      </c>
      <c r="I440" s="7" t="s">
        <v>1126</v>
      </c>
      <c r="J440" s="10">
        <v>45949.0</v>
      </c>
      <c r="K440" s="8" t="s">
        <v>1691</v>
      </c>
      <c r="L440" s="7">
        <v>4.0</v>
      </c>
      <c r="M440" s="7" t="s">
        <v>1687</v>
      </c>
      <c r="N440" s="13" t="s">
        <v>1692</v>
      </c>
      <c r="O440" s="15" t="s">
        <v>1693</v>
      </c>
    </row>
    <row r="441">
      <c r="A441" s="5">
        <v>511.0</v>
      </c>
      <c r="B441" s="6">
        <v>45991.3469045949</v>
      </c>
      <c r="C441" s="7" t="s">
        <v>760</v>
      </c>
      <c r="D441" s="8" t="s">
        <v>1184</v>
      </c>
      <c r="E441" s="8" t="s">
        <v>1185</v>
      </c>
      <c r="F441" s="7" t="s">
        <v>1186</v>
      </c>
      <c r="G441" s="9" t="s">
        <v>181</v>
      </c>
      <c r="H441" s="7" t="s">
        <v>1694</v>
      </c>
      <c r="I441" s="7" t="s">
        <v>1664</v>
      </c>
      <c r="J441" s="10">
        <v>45896.0</v>
      </c>
      <c r="K441" s="8" t="s">
        <v>1665</v>
      </c>
      <c r="L441" s="7">
        <v>2.0</v>
      </c>
      <c r="M441" s="7" t="s">
        <v>1648</v>
      </c>
      <c r="N441" s="13" t="s">
        <v>1695</v>
      </c>
      <c r="O441" s="15" t="s">
        <v>1696</v>
      </c>
    </row>
    <row r="442">
      <c r="A442" s="5">
        <v>512.0</v>
      </c>
      <c r="B442" s="6">
        <v>45991.34729747685</v>
      </c>
      <c r="C442" s="7" t="s">
        <v>125</v>
      </c>
      <c r="D442" s="8" t="s">
        <v>1676</v>
      </c>
      <c r="E442" s="8" t="s">
        <v>440</v>
      </c>
      <c r="F442" s="7" t="s">
        <v>1677</v>
      </c>
      <c r="G442" s="9" t="s">
        <v>144</v>
      </c>
      <c r="H442" s="7" t="s">
        <v>1697</v>
      </c>
      <c r="I442" s="7" t="s">
        <v>1126</v>
      </c>
      <c r="J442" s="10">
        <v>45949.0</v>
      </c>
      <c r="K442" s="8" t="s">
        <v>1698</v>
      </c>
      <c r="L442" s="7">
        <v>4.0</v>
      </c>
      <c r="M442" s="7" t="s">
        <v>1680</v>
      </c>
      <c r="N442" s="13" t="s">
        <v>1699</v>
      </c>
      <c r="O442" s="15" t="s">
        <v>1700</v>
      </c>
    </row>
    <row r="443">
      <c r="A443" s="5">
        <v>514.0</v>
      </c>
      <c r="B443" s="6">
        <v>45991.369243113426</v>
      </c>
      <c r="C443" s="7" t="s">
        <v>760</v>
      </c>
      <c r="D443" s="8" t="s">
        <v>798</v>
      </c>
      <c r="E443" s="8" t="s">
        <v>799</v>
      </c>
      <c r="F443" s="7" t="s">
        <v>800</v>
      </c>
      <c r="G443" s="9" t="s">
        <v>144</v>
      </c>
      <c r="H443" s="7" t="s">
        <v>145</v>
      </c>
      <c r="I443" s="7" t="s">
        <v>811</v>
      </c>
      <c r="J443" s="10">
        <v>45955.0</v>
      </c>
      <c r="K443" s="8" t="s">
        <v>1701</v>
      </c>
      <c r="L443" s="7">
        <v>4.0</v>
      </c>
      <c r="M443" s="7" t="s">
        <v>813</v>
      </c>
      <c r="N443" s="13" t="s">
        <v>1702</v>
      </c>
      <c r="O443" s="15" t="s">
        <v>1703</v>
      </c>
    </row>
    <row r="444">
      <c r="A444" s="5">
        <v>515.0</v>
      </c>
      <c r="B444" s="6">
        <v>45991.3780633912</v>
      </c>
      <c r="C444" s="7" t="s">
        <v>760</v>
      </c>
      <c r="D444" s="8" t="s">
        <v>863</v>
      </c>
      <c r="E444" s="8" t="s">
        <v>63</v>
      </c>
      <c r="F444" s="7" t="s">
        <v>864</v>
      </c>
      <c r="G444" s="9" t="s">
        <v>181</v>
      </c>
      <c r="H444" s="7" t="s">
        <v>1669</v>
      </c>
      <c r="I444" s="7" t="s">
        <v>1704</v>
      </c>
      <c r="J444" s="10">
        <v>45895.0</v>
      </c>
      <c r="K444" s="8" t="s">
        <v>1665</v>
      </c>
      <c r="L444" s="7">
        <v>2.0</v>
      </c>
      <c r="M444" s="7" t="s">
        <v>1648</v>
      </c>
      <c r="N444" s="13" t="s">
        <v>1705</v>
      </c>
      <c r="O444" s="15" t="s">
        <v>1706</v>
      </c>
    </row>
    <row r="445">
      <c r="A445" s="5">
        <v>516.0</v>
      </c>
      <c r="B445" s="6">
        <v>45991.38011356481</v>
      </c>
      <c r="C445" s="7" t="s">
        <v>760</v>
      </c>
      <c r="D445" s="8" t="s">
        <v>863</v>
      </c>
      <c r="E445" s="8" t="s">
        <v>63</v>
      </c>
      <c r="F445" s="7" t="s">
        <v>864</v>
      </c>
      <c r="G445" s="9" t="s">
        <v>181</v>
      </c>
      <c r="H445" s="7" t="s">
        <v>1669</v>
      </c>
      <c r="I445" s="7" t="s">
        <v>1707</v>
      </c>
      <c r="J445" s="10">
        <v>45896.0</v>
      </c>
      <c r="K445" s="8" t="s">
        <v>1665</v>
      </c>
      <c r="L445" s="7">
        <v>2.0</v>
      </c>
      <c r="M445" s="7" t="s">
        <v>1648</v>
      </c>
      <c r="N445" s="13" t="s">
        <v>1708</v>
      </c>
      <c r="O445" s="15" t="s">
        <v>1709</v>
      </c>
    </row>
    <row r="446">
      <c r="A446" s="5">
        <v>517.0</v>
      </c>
      <c r="B446" s="6">
        <v>45991.381461701385</v>
      </c>
      <c r="C446" s="7" t="s">
        <v>26</v>
      </c>
      <c r="D446" s="8" t="s">
        <v>379</v>
      </c>
      <c r="E446" s="8" t="s">
        <v>380</v>
      </c>
      <c r="F446" s="7" t="s">
        <v>381</v>
      </c>
      <c r="G446" s="9" t="s">
        <v>19</v>
      </c>
      <c r="H446" s="7" t="s">
        <v>1466</v>
      </c>
      <c r="I446" s="7" t="s">
        <v>1473</v>
      </c>
      <c r="J446" s="10">
        <v>45926.0</v>
      </c>
      <c r="K446" s="8" t="s">
        <v>1468</v>
      </c>
      <c r="L446" s="7">
        <v>4.0</v>
      </c>
      <c r="M446" s="7" t="s">
        <v>1469</v>
      </c>
      <c r="N446" s="13" t="s">
        <v>1710</v>
      </c>
      <c r="O446" s="15" t="s">
        <v>1711</v>
      </c>
    </row>
    <row r="447">
      <c r="A447" s="5">
        <v>518.0</v>
      </c>
      <c r="B447" s="6">
        <v>45991.38324916667</v>
      </c>
      <c r="C447" s="7" t="s">
        <v>26</v>
      </c>
      <c r="D447" s="8" t="s">
        <v>379</v>
      </c>
      <c r="E447" s="8" t="s">
        <v>380</v>
      </c>
      <c r="F447" s="7" t="s">
        <v>381</v>
      </c>
      <c r="G447" s="9" t="s">
        <v>19</v>
      </c>
      <c r="H447" s="7" t="s">
        <v>1472</v>
      </c>
      <c r="I447" s="7" t="s">
        <v>1473</v>
      </c>
      <c r="J447" s="10">
        <v>45930.0</v>
      </c>
      <c r="K447" s="8" t="s">
        <v>1468</v>
      </c>
      <c r="L447" s="7">
        <v>4.0</v>
      </c>
      <c r="M447" s="7" t="s">
        <v>1469</v>
      </c>
      <c r="N447" s="13" t="s">
        <v>1712</v>
      </c>
      <c r="O447" s="15" t="s">
        <v>1713</v>
      </c>
    </row>
    <row r="448">
      <c r="A448" s="5">
        <v>519.0</v>
      </c>
      <c r="B448" s="6">
        <v>45991.383748761575</v>
      </c>
      <c r="C448" s="7" t="s">
        <v>760</v>
      </c>
      <c r="D448" s="8" t="s">
        <v>1179</v>
      </c>
      <c r="E448" s="8" t="s">
        <v>396</v>
      </c>
      <c r="F448" s="7" t="s">
        <v>1180</v>
      </c>
      <c r="G448" s="9" t="s">
        <v>181</v>
      </c>
      <c r="H448" s="7" t="s">
        <v>1669</v>
      </c>
      <c r="I448" s="7" t="s">
        <v>1664</v>
      </c>
      <c r="J448" s="10">
        <v>45895.0</v>
      </c>
      <c r="K448" s="8" t="s">
        <v>1665</v>
      </c>
      <c r="L448" s="7">
        <v>2.0</v>
      </c>
      <c r="M448" s="7" t="s">
        <v>1064</v>
      </c>
      <c r="N448" s="13" t="s">
        <v>1714</v>
      </c>
      <c r="O448" s="15" t="s">
        <v>1715</v>
      </c>
    </row>
    <row r="449">
      <c r="A449" s="5">
        <v>520.0</v>
      </c>
      <c r="B449" s="6">
        <v>45991.404750208334</v>
      </c>
      <c r="C449" s="7" t="s">
        <v>760</v>
      </c>
      <c r="D449" s="8" t="s">
        <v>1179</v>
      </c>
      <c r="E449" s="8" t="s">
        <v>396</v>
      </c>
      <c r="F449" s="7" t="s">
        <v>1180</v>
      </c>
      <c r="G449" s="9" t="s">
        <v>181</v>
      </c>
      <c r="H449" s="7" t="s">
        <v>1669</v>
      </c>
      <c r="I449" s="7" t="s">
        <v>1664</v>
      </c>
      <c r="J449" s="10">
        <v>45896.0</v>
      </c>
      <c r="K449" s="8" t="s">
        <v>1665</v>
      </c>
      <c r="L449" s="7">
        <v>2.0</v>
      </c>
      <c r="M449" s="7" t="s">
        <v>1064</v>
      </c>
      <c r="N449" s="13" t="s">
        <v>1716</v>
      </c>
      <c r="O449" s="15" t="s">
        <v>1717</v>
      </c>
    </row>
    <row r="450">
      <c r="A450" s="5">
        <v>521.0</v>
      </c>
      <c r="B450" s="6">
        <v>45991.40867608796</v>
      </c>
      <c r="C450" s="7" t="s">
        <v>26</v>
      </c>
      <c r="D450" s="8" t="s">
        <v>1230</v>
      </c>
      <c r="E450" s="8" t="s">
        <v>91</v>
      </c>
      <c r="F450" s="7" t="s">
        <v>1231</v>
      </c>
      <c r="G450" s="9" t="s">
        <v>19</v>
      </c>
      <c r="H450" s="7" t="s">
        <v>99</v>
      </c>
      <c r="I450" s="7" t="s">
        <v>37</v>
      </c>
      <c r="J450" s="10">
        <v>45840.0</v>
      </c>
      <c r="K450" s="8" t="s">
        <v>67</v>
      </c>
      <c r="L450" s="7">
        <v>8.0</v>
      </c>
      <c r="M450" s="7" t="s">
        <v>33</v>
      </c>
      <c r="N450" s="13" t="s">
        <v>1718</v>
      </c>
      <c r="O450" s="15" t="s">
        <v>1719</v>
      </c>
    </row>
    <row r="451">
      <c r="A451" s="5">
        <v>522.0</v>
      </c>
      <c r="B451" s="6">
        <v>45991.41429347222</v>
      </c>
      <c r="C451" s="7" t="s">
        <v>26</v>
      </c>
      <c r="D451" s="8" t="s">
        <v>1720</v>
      </c>
      <c r="E451" s="8" t="s">
        <v>404</v>
      </c>
      <c r="F451" s="7" t="s">
        <v>1721</v>
      </c>
      <c r="G451" s="9" t="s">
        <v>181</v>
      </c>
      <c r="H451" s="7" t="s">
        <v>857</v>
      </c>
      <c r="I451" s="7" t="s">
        <v>858</v>
      </c>
      <c r="J451" s="10">
        <v>45986.0</v>
      </c>
      <c r="K451" s="8" t="s">
        <v>49</v>
      </c>
      <c r="L451" s="7">
        <v>8.0</v>
      </c>
      <c r="M451" s="7" t="s">
        <v>860</v>
      </c>
      <c r="N451" s="13" t="s">
        <v>1722</v>
      </c>
      <c r="O451" s="15" t="s">
        <v>1723</v>
      </c>
    </row>
    <row r="452">
      <c r="A452" s="5">
        <v>523.0</v>
      </c>
      <c r="B452" s="6">
        <v>45991.41556652778</v>
      </c>
      <c r="C452" s="7" t="s">
        <v>26</v>
      </c>
      <c r="D452" s="8" t="s">
        <v>1724</v>
      </c>
      <c r="E452" s="8" t="s">
        <v>1725</v>
      </c>
      <c r="F452" s="7" t="s">
        <v>1726</v>
      </c>
      <c r="G452" s="9" t="s">
        <v>19</v>
      </c>
      <c r="H452" s="7" t="s">
        <v>1727</v>
      </c>
      <c r="I452" s="7" t="s">
        <v>37</v>
      </c>
      <c r="J452" s="10">
        <v>45839.0</v>
      </c>
      <c r="K452" s="8" t="s">
        <v>67</v>
      </c>
      <c r="L452" s="7">
        <v>8.0</v>
      </c>
      <c r="M452" s="7" t="s">
        <v>33</v>
      </c>
      <c r="N452" s="13" t="s">
        <v>1728</v>
      </c>
      <c r="O452" s="15" t="s">
        <v>1729</v>
      </c>
    </row>
    <row r="453">
      <c r="A453" s="5">
        <v>524.0</v>
      </c>
      <c r="B453" s="6">
        <v>45991.417826689816</v>
      </c>
      <c r="C453" s="7" t="s">
        <v>26</v>
      </c>
      <c r="D453" s="8" t="s">
        <v>1724</v>
      </c>
      <c r="E453" s="8" t="s">
        <v>1725</v>
      </c>
      <c r="F453" s="7" t="s">
        <v>1726</v>
      </c>
      <c r="G453" s="9" t="s">
        <v>19</v>
      </c>
      <c r="H453" s="7" t="s">
        <v>1727</v>
      </c>
      <c r="I453" s="7" t="s">
        <v>37</v>
      </c>
      <c r="J453" s="10">
        <v>45840.0</v>
      </c>
      <c r="K453" s="8" t="s">
        <v>67</v>
      </c>
      <c r="L453" s="7">
        <v>8.0</v>
      </c>
      <c r="M453" s="7" t="s">
        <v>33</v>
      </c>
      <c r="N453" s="13" t="s">
        <v>1730</v>
      </c>
      <c r="O453" s="15" t="s">
        <v>1731</v>
      </c>
    </row>
    <row r="454">
      <c r="A454" s="5">
        <v>525.0</v>
      </c>
      <c r="B454" s="6">
        <v>45991.41861791667</v>
      </c>
      <c r="C454" s="7" t="s">
        <v>26</v>
      </c>
      <c r="D454" s="8" t="s">
        <v>1230</v>
      </c>
      <c r="E454" s="8" t="s">
        <v>91</v>
      </c>
      <c r="F454" s="7" t="s">
        <v>1231</v>
      </c>
      <c r="G454" s="9" t="s">
        <v>181</v>
      </c>
      <c r="H454" s="7" t="s">
        <v>857</v>
      </c>
      <c r="I454" s="7" t="s">
        <v>910</v>
      </c>
      <c r="J454" s="10">
        <v>45984.0</v>
      </c>
      <c r="K454" s="8" t="s">
        <v>859</v>
      </c>
      <c r="L454" s="7">
        <v>8.0</v>
      </c>
      <c r="M454" s="7" t="s">
        <v>860</v>
      </c>
      <c r="N454" s="13" t="s">
        <v>1732</v>
      </c>
      <c r="O454" s="15" t="s">
        <v>1733</v>
      </c>
    </row>
    <row r="455">
      <c r="A455" s="5">
        <v>526.0</v>
      </c>
      <c r="B455" s="6">
        <v>45991.42041273148</v>
      </c>
      <c r="C455" s="7" t="s">
        <v>26</v>
      </c>
      <c r="D455" s="8" t="s">
        <v>1720</v>
      </c>
      <c r="E455" s="8" t="s">
        <v>404</v>
      </c>
      <c r="F455" s="7" t="s">
        <v>1721</v>
      </c>
      <c r="G455" s="9" t="s">
        <v>19</v>
      </c>
      <c r="H455" s="7" t="s">
        <v>41</v>
      </c>
      <c r="I455" s="7" t="s">
        <v>37</v>
      </c>
      <c r="J455" s="10">
        <v>45839.0</v>
      </c>
      <c r="K455" s="8" t="s">
        <v>67</v>
      </c>
      <c r="L455" s="7">
        <v>8.0</v>
      </c>
      <c r="M455" s="7" t="s">
        <v>33</v>
      </c>
      <c r="N455" s="13" t="s">
        <v>1734</v>
      </c>
      <c r="O455" s="15" t="s">
        <v>1735</v>
      </c>
    </row>
    <row r="456">
      <c r="A456" s="5">
        <v>527.0</v>
      </c>
      <c r="B456" s="6">
        <v>45991.42153295139</v>
      </c>
      <c r="C456" s="7" t="s">
        <v>26</v>
      </c>
      <c r="D456" s="8" t="s">
        <v>1720</v>
      </c>
      <c r="E456" s="8" t="s">
        <v>404</v>
      </c>
      <c r="F456" s="7" t="s">
        <v>1721</v>
      </c>
      <c r="G456" s="9" t="s">
        <v>19</v>
      </c>
      <c r="H456" s="7" t="s">
        <v>41</v>
      </c>
      <c r="I456" s="7" t="s">
        <v>37</v>
      </c>
      <c r="J456" s="10">
        <v>45840.0</v>
      </c>
      <c r="K456" s="8" t="s">
        <v>67</v>
      </c>
      <c r="L456" s="7">
        <v>8.0</v>
      </c>
      <c r="M456" s="7" t="s">
        <v>33</v>
      </c>
      <c r="N456" s="13" t="s">
        <v>1736</v>
      </c>
      <c r="O456" s="15" t="s">
        <v>1737</v>
      </c>
    </row>
    <row r="457">
      <c r="A457" s="5">
        <v>528.0</v>
      </c>
      <c r="B457" s="6">
        <v>45991.42159319445</v>
      </c>
      <c r="C457" s="7" t="s">
        <v>26</v>
      </c>
      <c r="D457" s="8" t="s">
        <v>1724</v>
      </c>
      <c r="E457" s="8" t="s">
        <v>1725</v>
      </c>
      <c r="F457" s="7" t="s">
        <v>1726</v>
      </c>
      <c r="G457" s="9" t="s">
        <v>181</v>
      </c>
      <c r="H457" s="7" t="s">
        <v>1027</v>
      </c>
      <c r="I457" s="7" t="s">
        <v>314</v>
      </c>
      <c r="J457" s="10">
        <v>45859.0</v>
      </c>
      <c r="K457" s="8" t="s">
        <v>315</v>
      </c>
      <c r="L457" s="7">
        <v>8.0</v>
      </c>
      <c r="M457" s="7" t="s">
        <v>33</v>
      </c>
      <c r="N457" s="13" t="s">
        <v>1738</v>
      </c>
      <c r="O457" s="15" t="s">
        <v>1739</v>
      </c>
    </row>
    <row r="458">
      <c r="A458" s="5">
        <v>529.0</v>
      </c>
      <c r="B458" s="6">
        <v>45991.423573692126</v>
      </c>
      <c r="C458" s="7" t="s">
        <v>26</v>
      </c>
      <c r="D458" s="8" t="s">
        <v>1724</v>
      </c>
      <c r="E458" s="8" t="s">
        <v>1725</v>
      </c>
      <c r="F458" s="7" t="s">
        <v>1726</v>
      </c>
      <c r="G458" s="9" t="s">
        <v>19</v>
      </c>
      <c r="H458" s="7" t="s">
        <v>1000</v>
      </c>
      <c r="I458" s="7" t="s">
        <v>526</v>
      </c>
      <c r="J458" s="10">
        <v>45884.0</v>
      </c>
      <c r="K458" s="8" t="s">
        <v>639</v>
      </c>
      <c r="L458" s="7">
        <v>4.0</v>
      </c>
      <c r="M458" s="7" t="s">
        <v>87</v>
      </c>
      <c r="N458" s="13" t="s">
        <v>1740</v>
      </c>
      <c r="O458" s="15" t="s">
        <v>1741</v>
      </c>
    </row>
    <row r="459">
      <c r="A459" s="5">
        <v>530.0</v>
      </c>
      <c r="B459" s="6">
        <v>45991.425129490744</v>
      </c>
      <c r="C459" s="7" t="s">
        <v>26</v>
      </c>
      <c r="D459" s="8" t="s">
        <v>1724</v>
      </c>
      <c r="E459" s="8" t="s">
        <v>1725</v>
      </c>
      <c r="F459" s="7" t="s">
        <v>1726</v>
      </c>
      <c r="G459" s="9" t="s">
        <v>19</v>
      </c>
      <c r="H459" s="7" t="s">
        <v>1000</v>
      </c>
      <c r="I459" s="7" t="s">
        <v>526</v>
      </c>
      <c r="J459" s="10">
        <v>45885.0</v>
      </c>
      <c r="K459" s="8" t="s">
        <v>49</v>
      </c>
      <c r="L459" s="7">
        <v>8.0</v>
      </c>
      <c r="M459" s="7" t="s">
        <v>87</v>
      </c>
      <c r="N459" s="13" t="s">
        <v>1742</v>
      </c>
      <c r="O459" s="15" t="s">
        <v>1743</v>
      </c>
    </row>
    <row r="460">
      <c r="A460" s="5">
        <v>531.0</v>
      </c>
      <c r="B460" s="6">
        <v>45991.42647443287</v>
      </c>
      <c r="C460" s="7" t="s">
        <v>26</v>
      </c>
      <c r="D460" s="8" t="s">
        <v>1724</v>
      </c>
      <c r="E460" s="8" t="s">
        <v>1725</v>
      </c>
      <c r="F460" s="7" t="s">
        <v>1726</v>
      </c>
      <c r="G460" s="9" t="s">
        <v>19</v>
      </c>
      <c r="H460" s="7" t="s">
        <v>1000</v>
      </c>
      <c r="I460" s="7" t="s">
        <v>1744</v>
      </c>
      <c r="J460" s="10">
        <v>45886.0</v>
      </c>
      <c r="K460" s="8" t="s">
        <v>49</v>
      </c>
      <c r="L460" s="7">
        <v>8.0</v>
      </c>
      <c r="M460" s="7" t="s">
        <v>87</v>
      </c>
      <c r="N460" s="13" t="s">
        <v>1745</v>
      </c>
      <c r="O460" s="15" t="s">
        <v>1746</v>
      </c>
    </row>
    <row r="461">
      <c r="A461" s="5">
        <v>532.0</v>
      </c>
      <c r="B461" s="6">
        <v>45991.42816552083</v>
      </c>
      <c r="C461" s="7" t="s">
        <v>26</v>
      </c>
      <c r="D461" s="8" t="s">
        <v>1724</v>
      </c>
      <c r="E461" s="8" t="s">
        <v>1725</v>
      </c>
      <c r="F461" s="7" t="s">
        <v>1726</v>
      </c>
      <c r="G461" s="9" t="s">
        <v>181</v>
      </c>
      <c r="H461" s="7" t="s">
        <v>1301</v>
      </c>
      <c r="I461" s="7" t="s">
        <v>314</v>
      </c>
      <c r="J461" s="10">
        <v>45887.0</v>
      </c>
      <c r="K461" s="8" t="s">
        <v>518</v>
      </c>
      <c r="L461" s="7">
        <v>2.0</v>
      </c>
      <c r="M461" s="7" t="s">
        <v>1064</v>
      </c>
      <c r="N461" s="13" t="s">
        <v>1747</v>
      </c>
      <c r="O461" s="15" t="s">
        <v>1748</v>
      </c>
    </row>
    <row r="462">
      <c r="A462" s="5">
        <v>533.0</v>
      </c>
      <c r="B462" s="6">
        <v>45991.4290533912</v>
      </c>
      <c r="C462" s="7" t="s">
        <v>26</v>
      </c>
      <c r="D462" s="8" t="s">
        <v>379</v>
      </c>
      <c r="E462" s="8" t="s">
        <v>380</v>
      </c>
      <c r="F462" s="7" t="s">
        <v>381</v>
      </c>
      <c r="G462" s="9" t="s">
        <v>19</v>
      </c>
      <c r="H462" s="7" t="s">
        <v>1749</v>
      </c>
      <c r="I462" s="7" t="s">
        <v>1646</v>
      </c>
      <c r="J462" s="10">
        <v>45822.0</v>
      </c>
      <c r="K462" s="8" t="s">
        <v>1750</v>
      </c>
      <c r="L462" s="7">
        <v>7.0</v>
      </c>
      <c r="M462" s="7" t="s">
        <v>1064</v>
      </c>
      <c r="N462" s="13" t="s">
        <v>1751</v>
      </c>
      <c r="O462" s="15" t="s">
        <v>1752</v>
      </c>
    </row>
    <row r="463">
      <c r="A463" s="5">
        <v>534.0</v>
      </c>
      <c r="B463" s="6">
        <v>45991.4294990625</v>
      </c>
      <c r="C463" s="7" t="s">
        <v>26</v>
      </c>
      <c r="D463" s="8" t="s">
        <v>1724</v>
      </c>
      <c r="E463" s="8" t="s">
        <v>1725</v>
      </c>
      <c r="F463" s="7" t="s">
        <v>1726</v>
      </c>
      <c r="G463" s="9" t="s">
        <v>181</v>
      </c>
      <c r="H463" s="7" t="s">
        <v>1301</v>
      </c>
      <c r="I463" s="7" t="s">
        <v>314</v>
      </c>
      <c r="J463" s="10">
        <v>45888.0</v>
      </c>
      <c r="K463" s="8" t="s">
        <v>518</v>
      </c>
      <c r="L463" s="7">
        <v>2.0</v>
      </c>
      <c r="M463" s="7" t="s">
        <v>1064</v>
      </c>
      <c r="N463" s="13" t="s">
        <v>1753</v>
      </c>
      <c r="O463" s="15" t="s">
        <v>1754</v>
      </c>
    </row>
    <row r="464">
      <c r="A464" s="5">
        <v>535.0</v>
      </c>
      <c r="B464" s="6">
        <v>45991.4305771875</v>
      </c>
      <c r="C464" s="7" t="s">
        <v>26</v>
      </c>
      <c r="D464" s="8" t="s">
        <v>379</v>
      </c>
      <c r="E464" s="8" t="s">
        <v>380</v>
      </c>
      <c r="F464" s="7" t="s">
        <v>381</v>
      </c>
      <c r="G464" s="9" t="s">
        <v>19</v>
      </c>
      <c r="H464" s="7" t="s">
        <v>1749</v>
      </c>
      <c r="I464" s="7" t="s">
        <v>1646</v>
      </c>
      <c r="J464" s="10">
        <v>45829.0</v>
      </c>
      <c r="K464" s="8" t="s">
        <v>1750</v>
      </c>
      <c r="L464" s="7">
        <v>7.0</v>
      </c>
      <c r="M464" s="7" t="s">
        <v>1064</v>
      </c>
      <c r="N464" s="13" t="s">
        <v>1755</v>
      </c>
      <c r="O464" s="15" t="s">
        <v>1756</v>
      </c>
    </row>
    <row r="465">
      <c r="A465" s="5">
        <v>536.0</v>
      </c>
      <c r="B465" s="6">
        <v>45991.43184049768</v>
      </c>
      <c r="C465" s="7" t="s">
        <v>26</v>
      </c>
      <c r="D465" s="8" t="s">
        <v>1724</v>
      </c>
      <c r="E465" s="8" t="s">
        <v>1725</v>
      </c>
      <c r="F465" s="7" t="s">
        <v>1726</v>
      </c>
      <c r="G465" s="9" t="s">
        <v>181</v>
      </c>
      <c r="H465" s="7" t="s">
        <v>1301</v>
      </c>
      <c r="I465" s="7" t="s">
        <v>314</v>
      </c>
      <c r="J465" s="10">
        <v>45889.0</v>
      </c>
      <c r="K465" s="8" t="s">
        <v>518</v>
      </c>
      <c r="L465" s="7">
        <v>2.0</v>
      </c>
      <c r="M465" s="7" t="s">
        <v>1064</v>
      </c>
      <c r="N465" s="13" t="s">
        <v>1757</v>
      </c>
      <c r="O465" s="15" t="s">
        <v>1758</v>
      </c>
    </row>
    <row r="466">
      <c r="A466" s="5">
        <v>537.0</v>
      </c>
      <c r="B466" s="6">
        <v>45991.43357328704</v>
      </c>
      <c r="C466" s="7" t="s">
        <v>26</v>
      </c>
      <c r="D466" s="8" t="s">
        <v>379</v>
      </c>
      <c r="E466" s="8" t="s">
        <v>380</v>
      </c>
      <c r="F466" s="7" t="s">
        <v>381</v>
      </c>
      <c r="G466" s="9" t="s">
        <v>19</v>
      </c>
      <c r="H466" s="7" t="s">
        <v>1749</v>
      </c>
      <c r="I466" s="7" t="s">
        <v>1646</v>
      </c>
      <c r="J466" s="10">
        <v>45836.0</v>
      </c>
      <c r="K466" s="8" t="s">
        <v>1750</v>
      </c>
      <c r="L466" s="7">
        <v>7.0</v>
      </c>
      <c r="M466" s="7" t="s">
        <v>1064</v>
      </c>
      <c r="N466" s="13" t="s">
        <v>1759</v>
      </c>
      <c r="O466" s="15" t="s">
        <v>1760</v>
      </c>
    </row>
    <row r="467">
      <c r="A467" s="5">
        <v>538.0</v>
      </c>
      <c r="B467" s="6">
        <v>45991.434535532404</v>
      </c>
      <c r="C467" s="7" t="s">
        <v>26</v>
      </c>
      <c r="D467" s="8" t="s">
        <v>1724</v>
      </c>
      <c r="E467" s="8" t="s">
        <v>1725</v>
      </c>
      <c r="F467" s="7" t="s">
        <v>1726</v>
      </c>
      <c r="G467" s="9" t="s">
        <v>181</v>
      </c>
      <c r="H467" s="7" t="s">
        <v>1669</v>
      </c>
      <c r="I467" s="7" t="s">
        <v>1664</v>
      </c>
      <c r="J467" s="10">
        <v>45895.0</v>
      </c>
      <c r="K467" s="8" t="s">
        <v>1665</v>
      </c>
      <c r="L467" s="7">
        <v>2.0</v>
      </c>
      <c r="M467" s="7" t="s">
        <v>1064</v>
      </c>
      <c r="N467" s="13" t="s">
        <v>1761</v>
      </c>
      <c r="O467" s="15" t="s">
        <v>1762</v>
      </c>
    </row>
    <row r="468">
      <c r="A468" s="5">
        <v>540.0</v>
      </c>
      <c r="B468" s="6">
        <v>45991.44018871528</v>
      </c>
      <c r="C468" s="7" t="s">
        <v>760</v>
      </c>
      <c r="D468" s="8" t="s">
        <v>1763</v>
      </c>
      <c r="E468" s="8" t="s">
        <v>1764</v>
      </c>
      <c r="F468" s="7" t="s">
        <v>1765</v>
      </c>
      <c r="G468" s="9" t="s">
        <v>181</v>
      </c>
      <c r="H468" s="7" t="s">
        <v>1669</v>
      </c>
      <c r="I468" s="7" t="s">
        <v>1664</v>
      </c>
      <c r="J468" s="10">
        <v>45895.0</v>
      </c>
      <c r="K468" s="8" t="s">
        <v>1665</v>
      </c>
      <c r="L468" s="7">
        <v>2.0</v>
      </c>
      <c r="M468" s="7" t="s">
        <v>1648</v>
      </c>
      <c r="N468" s="13" t="s">
        <v>1766</v>
      </c>
      <c r="O468" s="15" t="s">
        <v>1767</v>
      </c>
    </row>
    <row r="469">
      <c r="A469" s="5">
        <v>541.0</v>
      </c>
      <c r="B469" s="6">
        <v>45991.45486721065</v>
      </c>
      <c r="C469" s="7" t="s">
        <v>125</v>
      </c>
      <c r="D469" s="8" t="s">
        <v>326</v>
      </c>
      <c r="E469" s="8" t="s">
        <v>830</v>
      </c>
      <c r="F469" s="7" t="s">
        <v>328</v>
      </c>
      <c r="G469" s="9" t="s">
        <v>181</v>
      </c>
      <c r="H469" s="7" t="s">
        <v>1768</v>
      </c>
      <c r="I469" s="7" t="s">
        <v>1769</v>
      </c>
      <c r="J469" s="10">
        <v>45876.0</v>
      </c>
      <c r="K469" s="8" t="s">
        <v>1665</v>
      </c>
      <c r="L469" s="7">
        <v>4.0</v>
      </c>
      <c r="M469" s="7" t="s">
        <v>87</v>
      </c>
      <c r="N469" s="13" t="s">
        <v>1770</v>
      </c>
      <c r="O469" s="15" t="s">
        <v>1771</v>
      </c>
    </row>
    <row r="470">
      <c r="A470" s="5">
        <v>542.0</v>
      </c>
      <c r="B470" s="6">
        <v>45991.458468020835</v>
      </c>
      <c r="C470" s="7" t="s">
        <v>26</v>
      </c>
      <c r="D470" s="8" t="s">
        <v>950</v>
      </c>
      <c r="E470" s="8" t="s">
        <v>951</v>
      </c>
      <c r="F470" s="7" t="s">
        <v>952</v>
      </c>
      <c r="G470" s="9" t="s">
        <v>19</v>
      </c>
      <c r="H470" s="7" t="s">
        <v>41</v>
      </c>
      <c r="I470" s="7" t="s">
        <v>37</v>
      </c>
      <c r="J470" s="10">
        <v>45840.0</v>
      </c>
      <c r="K470" s="8" t="s">
        <v>49</v>
      </c>
      <c r="L470" s="7">
        <v>8.0</v>
      </c>
      <c r="M470" s="7" t="s">
        <v>33</v>
      </c>
      <c r="N470" s="13" t="s">
        <v>1772</v>
      </c>
      <c r="O470" s="15" t="s">
        <v>1773</v>
      </c>
    </row>
    <row r="471">
      <c r="A471" s="5">
        <v>543.0</v>
      </c>
      <c r="B471" s="6">
        <v>45991.46074997685</v>
      </c>
      <c r="C471" s="7" t="s">
        <v>26</v>
      </c>
      <c r="D471" s="8" t="s">
        <v>950</v>
      </c>
      <c r="E471" s="8" t="s">
        <v>951</v>
      </c>
      <c r="F471" s="7" t="s">
        <v>952</v>
      </c>
      <c r="G471" s="9" t="s">
        <v>181</v>
      </c>
      <c r="H471" s="7" t="s">
        <v>857</v>
      </c>
      <c r="I471" s="7" t="s">
        <v>939</v>
      </c>
      <c r="J471" s="10">
        <v>45984.0</v>
      </c>
      <c r="K471" s="8" t="s">
        <v>859</v>
      </c>
      <c r="L471" s="7">
        <v>8.0</v>
      </c>
      <c r="M471" s="7" t="s">
        <v>860</v>
      </c>
      <c r="N471" s="13" t="s">
        <v>1774</v>
      </c>
      <c r="O471" s="15" t="s">
        <v>1775</v>
      </c>
    </row>
    <row r="472">
      <c r="A472" s="5">
        <v>544.0</v>
      </c>
      <c r="B472" s="6">
        <v>45991.46337902777</v>
      </c>
      <c r="C472" s="7" t="s">
        <v>26</v>
      </c>
      <c r="D472" s="8" t="s">
        <v>950</v>
      </c>
      <c r="E472" s="8" t="s">
        <v>951</v>
      </c>
      <c r="F472" s="7" t="s">
        <v>952</v>
      </c>
      <c r="G472" s="9" t="s">
        <v>19</v>
      </c>
      <c r="H472" s="7" t="s">
        <v>928</v>
      </c>
      <c r="I472" s="7" t="s">
        <v>929</v>
      </c>
      <c r="J472" s="10">
        <v>45951.0</v>
      </c>
      <c r="K472" s="8" t="s">
        <v>930</v>
      </c>
      <c r="L472" s="7">
        <v>2.0</v>
      </c>
      <c r="M472" s="7" t="s">
        <v>1325</v>
      </c>
      <c r="N472" s="13" t="s">
        <v>1776</v>
      </c>
      <c r="O472" s="15" t="s">
        <v>1777</v>
      </c>
    </row>
    <row r="473">
      <c r="A473" s="5">
        <v>545.0</v>
      </c>
      <c r="B473" s="6">
        <v>45991.46695876158</v>
      </c>
      <c r="C473" s="7" t="s">
        <v>26</v>
      </c>
      <c r="D473" s="8" t="s">
        <v>1591</v>
      </c>
      <c r="E473" s="8" t="s">
        <v>223</v>
      </c>
      <c r="F473" s="7" t="s">
        <v>1592</v>
      </c>
      <c r="G473" s="9" t="s">
        <v>181</v>
      </c>
      <c r="H473" s="7" t="s">
        <v>857</v>
      </c>
      <c r="I473" s="7" t="s">
        <v>939</v>
      </c>
      <c r="J473" s="10">
        <v>45987.0</v>
      </c>
      <c r="K473" s="8" t="s">
        <v>859</v>
      </c>
      <c r="L473" s="7">
        <v>8.0</v>
      </c>
      <c r="M473" s="7" t="s">
        <v>860</v>
      </c>
      <c r="N473" s="13" t="s">
        <v>1778</v>
      </c>
      <c r="O473" s="15" t="s">
        <v>1779</v>
      </c>
    </row>
    <row r="474">
      <c r="A474" s="5">
        <v>548.0</v>
      </c>
      <c r="B474" s="6">
        <v>45991.469650370374</v>
      </c>
      <c r="C474" s="7" t="s">
        <v>26</v>
      </c>
      <c r="D474" s="8" t="s">
        <v>1780</v>
      </c>
      <c r="E474" s="8" t="s">
        <v>817</v>
      </c>
      <c r="F474" s="7" t="s">
        <v>1781</v>
      </c>
      <c r="G474" s="9" t="s">
        <v>19</v>
      </c>
      <c r="H474" s="7" t="s">
        <v>1466</v>
      </c>
      <c r="I474" s="7" t="s">
        <v>1473</v>
      </c>
      <c r="J474" s="10">
        <v>45926.0</v>
      </c>
      <c r="K474" s="8" t="s">
        <v>1468</v>
      </c>
      <c r="L474" s="7">
        <v>4.0</v>
      </c>
      <c r="M474" s="7" t="s">
        <v>1469</v>
      </c>
      <c r="N474" s="13" t="s">
        <v>1782</v>
      </c>
      <c r="O474" s="15" t="s">
        <v>1783</v>
      </c>
    </row>
    <row r="475">
      <c r="A475" s="5">
        <v>549.0</v>
      </c>
      <c r="B475" s="6">
        <v>45991.47355447916</v>
      </c>
      <c r="C475" s="7" t="s">
        <v>26</v>
      </c>
      <c r="D475" s="8" t="s">
        <v>1780</v>
      </c>
      <c r="E475" s="8" t="s">
        <v>817</v>
      </c>
      <c r="F475" s="7" t="s">
        <v>1781</v>
      </c>
      <c r="G475" s="9" t="s">
        <v>19</v>
      </c>
      <c r="H475" s="7" t="s">
        <v>1472</v>
      </c>
      <c r="I475" s="7" t="s">
        <v>1473</v>
      </c>
      <c r="J475" s="10">
        <v>45930.0</v>
      </c>
      <c r="K475" s="8" t="s">
        <v>1468</v>
      </c>
      <c r="L475" s="7">
        <v>4.0</v>
      </c>
      <c r="M475" s="7" t="s">
        <v>1469</v>
      </c>
      <c r="N475" s="13" t="s">
        <v>1784</v>
      </c>
      <c r="O475" s="15" t="s">
        <v>1785</v>
      </c>
    </row>
    <row r="476">
      <c r="A476" s="5">
        <v>550.0</v>
      </c>
      <c r="B476" s="6">
        <v>45991.47684204861</v>
      </c>
      <c r="C476" s="7" t="s">
        <v>26</v>
      </c>
      <c r="D476" s="8" t="s">
        <v>1780</v>
      </c>
      <c r="E476" s="8" t="s">
        <v>817</v>
      </c>
      <c r="F476" s="7" t="s">
        <v>1781</v>
      </c>
      <c r="G476" s="9" t="s">
        <v>181</v>
      </c>
      <c r="H476" s="7" t="s">
        <v>857</v>
      </c>
      <c r="I476" s="7" t="s">
        <v>1604</v>
      </c>
      <c r="J476" s="10">
        <v>45984.0</v>
      </c>
      <c r="K476" s="8" t="s">
        <v>859</v>
      </c>
      <c r="L476" s="7">
        <v>8.0</v>
      </c>
      <c r="M476" s="7" t="s">
        <v>1786</v>
      </c>
      <c r="N476" s="13" t="s">
        <v>1787</v>
      </c>
      <c r="O476" s="15" t="s">
        <v>1788</v>
      </c>
    </row>
    <row r="477">
      <c r="A477" s="5">
        <v>551.0</v>
      </c>
      <c r="B477" s="6">
        <v>45991.477176562505</v>
      </c>
      <c r="C477" s="7" t="s">
        <v>26</v>
      </c>
      <c r="D477" s="8" t="s">
        <v>1264</v>
      </c>
      <c r="E477" s="8" t="s">
        <v>1049</v>
      </c>
      <c r="F477" s="7" t="s">
        <v>1265</v>
      </c>
      <c r="G477" s="9" t="s">
        <v>19</v>
      </c>
      <c r="H477" s="7" t="s">
        <v>1789</v>
      </c>
      <c r="I477" s="7" t="s">
        <v>37</v>
      </c>
      <c r="J477" s="10">
        <v>45839.0</v>
      </c>
      <c r="K477" s="8" t="s">
        <v>67</v>
      </c>
      <c r="L477" s="7">
        <v>8.0</v>
      </c>
      <c r="M477" s="7" t="s">
        <v>33</v>
      </c>
      <c r="N477" s="13" t="s">
        <v>1790</v>
      </c>
      <c r="O477" s="15" t="s">
        <v>1791</v>
      </c>
    </row>
    <row r="478">
      <c r="A478" s="5">
        <v>552.0</v>
      </c>
      <c r="B478" s="6">
        <v>45991.48677212963</v>
      </c>
      <c r="C478" s="7" t="s">
        <v>26</v>
      </c>
      <c r="D478" s="8" t="s">
        <v>1264</v>
      </c>
      <c r="E478" s="8" t="s">
        <v>1049</v>
      </c>
      <c r="F478" s="7" t="s">
        <v>1265</v>
      </c>
      <c r="G478" s="9" t="s">
        <v>19</v>
      </c>
      <c r="H478" s="7" t="s">
        <v>1792</v>
      </c>
      <c r="I478" s="7" t="s">
        <v>37</v>
      </c>
      <c r="J478" s="10">
        <v>45840.0</v>
      </c>
      <c r="K478" s="8" t="s">
        <v>67</v>
      </c>
      <c r="L478" s="7">
        <v>8.0</v>
      </c>
      <c r="M478" s="7" t="s">
        <v>33</v>
      </c>
      <c r="N478" s="13" t="s">
        <v>1793</v>
      </c>
      <c r="O478" s="15" t="s">
        <v>1794</v>
      </c>
    </row>
    <row r="479">
      <c r="A479" s="5">
        <v>553.0</v>
      </c>
      <c r="B479" s="6">
        <v>45991.487118564815</v>
      </c>
      <c r="C479" s="7" t="s">
        <v>26</v>
      </c>
      <c r="D479" s="8" t="s">
        <v>1288</v>
      </c>
      <c r="E479" s="8" t="s">
        <v>1197</v>
      </c>
      <c r="F479" s="7" t="s">
        <v>1289</v>
      </c>
      <c r="G479" s="9" t="s">
        <v>19</v>
      </c>
      <c r="H479" s="7" t="s">
        <v>1466</v>
      </c>
      <c r="I479" s="7" t="s">
        <v>1473</v>
      </c>
      <c r="J479" s="10">
        <v>45926.0</v>
      </c>
      <c r="K479" s="8" t="s">
        <v>1468</v>
      </c>
      <c r="L479" s="7">
        <v>4.0</v>
      </c>
      <c r="M479" s="7" t="s">
        <v>1469</v>
      </c>
      <c r="N479" s="13" t="s">
        <v>1795</v>
      </c>
      <c r="O479" s="15" t="s">
        <v>1796</v>
      </c>
    </row>
    <row r="480">
      <c r="A480" s="5">
        <v>554.0</v>
      </c>
      <c r="B480" s="6">
        <v>45991.48851946759</v>
      </c>
      <c r="C480" s="7" t="s">
        <v>26</v>
      </c>
      <c r="D480" s="8" t="s">
        <v>1289</v>
      </c>
      <c r="E480" s="8" t="s">
        <v>1197</v>
      </c>
      <c r="F480" s="7" t="s">
        <v>1289</v>
      </c>
      <c r="G480" s="9" t="s">
        <v>19</v>
      </c>
      <c r="H480" s="7" t="s">
        <v>1797</v>
      </c>
      <c r="I480" s="7" t="s">
        <v>1473</v>
      </c>
      <c r="J480" s="10">
        <v>45930.0</v>
      </c>
      <c r="K480" s="8" t="s">
        <v>1468</v>
      </c>
      <c r="L480" s="7">
        <v>4.0</v>
      </c>
      <c r="M480" s="7" t="s">
        <v>1469</v>
      </c>
      <c r="N480" s="13" t="s">
        <v>1798</v>
      </c>
      <c r="O480" s="15" t="s">
        <v>1799</v>
      </c>
    </row>
    <row r="481">
      <c r="A481" s="5">
        <v>555.0</v>
      </c>
      <c r="B481" s="6">
        <v>45991.4982756713</v>
      </c>
      <c r="C481" s="7" t="s">
        <v>125</v>
      </c>
      <c r="D481" s="8" t="s">
        <v>1330</v>
      </c>
      <c r="E481" s="8" t="s">
        <v>91</v>
      </c>
      <c r="F481" s="7" t="s">
        <v>1331</v>
      </c>
      <c r="G481" s="9" t="s">
        <v>84</v>
      </c>
      <c r="H481" s="7" t="s">
        <v>85</v>
      </c>
      <c r="I481" s="7" t="s">
        <v>86</v>
      </c>
      <c r="J481" s="10">
        <v>45990.0</v>
      </c>
      <c r="K481" s="8" t="s">
        <v>859</v>
      </c>
      <c r="L481" s="7">
        <v>8.0</v>
      </c>
      <c r="M481" s="7" t="s">
        <v>1800</v>
      </c>
      <c r="N481" s="13" t="s">
        <v>1801</v>
      </c>
      <c r="O481" s="15" t="s">
        <v>1802</v>
      </c>
    </row>
    <row r="482">
      <c r="A482" s="5">
        <v>556.0</v>
      </c>
      <c r="B482" s="6">
        <v>45991.5185770949</v>
      </c>
      <c r="C482" s="7" t="s">
        <v>760</v>
      </c>
      <c r="D482" s="8" t="s">
        <v>1443</v>
      </c>
      <c r="E482" s="8" t="s">
        <v>1116</v>
      </c>
      <c r="F482" s="7" t="s">
        <v>1444</v>
      </c>
      <c r="G482" s="9" t="s">
        <v>181</v>
      </c>
      <c r="H482" s="7" t="s">
        <v>1669</v>
      </c>
      <c r="I482" s="7" t="s">
        <v>1664</v>
      </c>
      <c r="J482" s="10">
        <v>45895.0</v>
      </c>
      <c r="K482" s="8" t="s">
        <v>1665</v>
      </c>
      <c r="L482" s="7">
        <v>2.0</v>
      </c>
      <c r="M482" s="7" t="s">
        <v>1064</v>
      </c>
      <c r="N482" s="13" t="s">
        <v>1803</v>
      </c>
      <c r="O482" s="15" t="s">
        <v>1804</v>
      </c>
    </row>
    <row r="483">
      <c r="A483" s="5">
        <v>557.0</v>
      </c>
      <c r="B483" s="6">
        <v>45991.53204702547</v>
      </c>
      <c r="C483" s="7" t="s">
        <v>26</v>
      </c>
      <c r="D483" s="8" t="s">
        <v>1780</v>
      </c>
      <c r="E483" s="8" t="s">
        <v>817</v>
      </c>
      <c r="F483" s="7" t="s">
        <v>1781</v>
      </c>
      <c r="G483" s="9" t="s">
        <v>181</v>
      </c>
      <c r="H483" s="7" t="s">
        <v>1805</v>
      </c>
      <c r="I483" s="7" t="s">
        <v>314</v>
      </c>
      <c r="J483" s="10">
        <v>45887.0</v>
      </c>
      <c r="K483" s="8" t="s">
        <v>518</v>
      </c>
      <c r="L483" s="7">
        <v>2.0</v>
      </c>
      <c r="M483" s="7" t="s">
        <v>1064</v>
      </c>
      <c r="N483" s="13" t="s">
        <v>1806</v>
      </c>
      <c r="O483" s="15" t="s">
        <v>1807</v>
      </c>
    </row>
    <row r="484">
      <c r="A484" s="5">
        <v>559.0</v>
      </c>
      <c r="B484" s="6">
        <v>45991.53967861111</v>
      </c>
      <c r="C484" s="7" t="s">
        <v>15</v>
      </c>
      <c r="D484" s="8" t="s">
        <v>1808</v>
      </c>
      <c r="E484" s="8" t="s">
        <v>830</v>
      </c>
      <c r="F484" s="7" t="s">
        <v>1809</v>
      </c>
      <c r="G484" s="9" t="s">
        <v>19</v>
      </c>
      <c r="H484" s="7" t="s">
        <v>1810</v>
      </c>
      <c r="I484" s="7" t="s">
        <v>37</v>
      </c>
      <c r="J484" s="10">
        <v>45839.0</v>
      </c>
      <c r="K484" s="8" t="s">
        <v>67</v>
      </c>
      <c r="L484" s="7">
        <v>8.0</v>
      </c>
      <c r="M484" s="7" t="s">
        <v>33</v>
      </c>
      <c r="N484" s="13" t="s">
        <v>1811</v>
      </c>
      <c r="O484" s="15" t="s">
        <v>1812</v>
      </c>
    </row>
    <row r="485">
      <c r="A485" s="5">
        <v>560.0</v>
      </c>
      <c r="B485" s="6">
        <v>45991.54192482639</v>
      </c>
      <c r="C485" s="7" t="s">
        <v>15</v>
      </c>
      <c r="D485" s="8" t="s">
        <v>1808</v>
      </c>
      <c r="E485" s="8" t="s">
        <v>830</v>
      </c>
      <c r="F485" s="7" t="s">
        <v>1809</v>
      </c>
      <c r="G485" s="9" t="s">
        <v>181</v>
      </c>
      <c r="H485" s="7" t="s">
        <v>1810</v>
      </c>
      <c r="I485" s="7" t="s">
        <v>37</v>
      </c>
      <c r="J485" s="10">
        <v>45840.0</v>
      </c>
      <c r="K485" s="8" t="s">
        <v>67</v>
      </c>
      <c r="L485" s="7">
        <v>8.0</v>
      </c>
      <c r="M485" s="7" t="s">
        <v>33</v>
      </c>
      <c r="N485" s="13" t="s">
        <v>1813</v>
      </c>
      <c r="O485" s="15" t="s">
        <v>1814</v>
      </c>
    </row>
    <row r="486">
      <c r="A486" s="5">
        <v>561.0</v>
      </c>
      <c r="B486" s="6">
        <v>45991.54598163195</v>
      </c>
      <c r="C486" s="7" t="s">
        <v>26</v>
      </c>
      <c r="D486" s="8" t="s">
        <v>1780</v>
      </c>
      <c r="E486" s="8" t="s">
        <v>817</v>
      </c>
      <c r="F486" s="7" t="s">
        <v>1781</v>
      </c>
      <c r="G486" s="9" t="s">
        <v>181</v>
      </c>
      <c r="H486" s="7" t="s">
        <v>1805</v>
      </c>
      <c r="I486" s="7" t="s">
        <v>314</v>
      </c>
      <c r="J486" s="10">
        <v>45888.0</v>
      </c>
      <c r="K486" s="8" t="s">
        <v>518</v>
      </c>
      <c r="L486" s="7">
        <v>2.0</v>
      </c>
      <c r="M486" s="7" t="s">
        <v>1064</v>
      </c>
      <c r="N486" s="13" t="s">
        <v>1815</v>
      </c>
      <c r="O486" s="15" t="s">
        <v>1816</v>
      </c>
    </row>
    <row r="487">
      <c r="A487" s="5">
        <v>562.0</v>
      </c>
      <c r="B487" s="6">
        <v>45991.54875310185</v>
      </c>
      <c r="C487" s="7" t="s">
        <v>26</v>
      </c>
      <c r="D487" s="8" t="s">
        <v>1780</v>
      </c>
      <c r="E487" s="8" t="s">
        <v>817</v>
      </c>
      <c r="F487" s="7" t="s">
        <v>1781</v>
      </c>
      <c r="G487" s="9" t="s">
        <v>181</v>
      </c>
      <c r="H487" s="7" t="s">
        <v>1817</v>
      </c>
      <c r="I487" s="7" t="s">
        <v>314</v>
      </c>
      <c r="J487" s="10">
        <v>45889.0</v>
      </c>
      <c r="K487" s="8" t="s">
        <v>518</v>
      </c>
      <c r="L487" s="7">
        <v>2.0</v>
      </c>
      <c r="M487" s="7" t="s">
        <v>1064</v>
      </c>
      <c r="N487" s="13" t="s">
        <v>1818</v>
      </c>
      <c r="O487" s="15" t="s">
        <v>1819</v>
      </c>
    </row>
    <row r="488">
      <c r="A488" s="5">
        <v>563.0</v>
      </c>
      <c r="B488" s="6">
        <v>45991.54902826389</v>
      </c>
      <c r="C488" s="7" t="s">
        <v>125</v>
      </c>
      <c r="D488" s="8" t="s">
        <v>1820</v>
      </c>
      <c r="E488" s="8" t="s">
        <v>1764</v>
      </c>
      <c r="F488" s="7" t="s">
        <v>1821</v>
      </c>
      <c r="G488" s="9" t="s">
        <v>159</v>
      </c>
      <c r="H488" s="7" t="s">
        <v>1557</v>
      </c>
      <c r="I488" s="7" t="s">
        <v>1822</v>
      </c>
      <c r="J488" s="10">
        <v>45955.0</v>
      </c>
      <c r="K488" s="8" t="s">
        <v>22</v>
      </c>
      <c r="L488" s="7">
        <v>4.0</v>
      </c>
      <c r="M488" s="7" t="s">
        <v>1823</v>
      </c>
      <c r="N488" s="13" t="s">
        <v>1824</v>
      </c>
      <c r="O488" s="15" t="s">
        <v>1825</v>
      </c>
    </row>
    <row r="489">
      <c r="A489" s="5">
        <v>564.0</v>
      </c>
      <c r="B489" s="6">
        <v>45991.54957344907</v>
      </c>
      <c r="C489" s="7" t="s">
        <v>125</v>
      </c>
      <c r="D489" s="8" t="s">
        <v>1826</v>
      </c>
      <c r="E489" s="8" t="s">
        <v>1827</v>
      </c>
      <c r="F489" s="7" t="s">
        <v>1828</v>
      </c>
      <c r="G489" s="9" t="s">
        <v>19</v>
      </c>
      <c r="H489" s="7" t="s">
        <v>173</v>
      </c>
      <c r="I489" s="7" t="s">
        <v>174</v>
      </c>
      <c r="J489" s="10">
        <v>45854.0</v>
      </c>
      <c r="K489" s="8" t="s">
        <v>175</v>
      </c>
      <c r="L489" s="7">
        <v>6.0</v>
      </c>
      <c r="M489" s="7" t="s">
        <v>106</v>
      </c>
      <c r="N489" s="13" t="s">
        <v>1829</v>
      </c>
      <c r="O489" s="15" t="s">
        <v>1830</v>
      </c>
    </row>
    <row r="490">
      <c r="A490" s="5">
        <v>565.0</v>
      </c>
      <c r="B490" s="6">
        <v>45991.552070590275</v>
      </c>
      <c r="C490" s="7" t="s">
        <v>26</v>
      </c>
      <c r="D490" s="8" t="s">
        <v>980</v>
      </c>
      <c r="E490" s="8" t="s">
        <v>236</v>
      </c>
      <c r="F490" s="7" t="s">
        <v>981</v>
      </c>
      <c r="G490" s="9" t="s">
        <v>19</v>
      </c>
      <c r="H490" s="7" t="s">
        <v>1466</v>
      </c>
      <c r="I490" s="7" t="s">
        <v>1473</v>
      </c>
      <c r="J490" s="10">
        <v>45926.0</v>
      </c>
      <c r="K490" s="8" t="s">
        <v>1468</v>
      </c>
      <c r="L490" s="7">
        <v>4.0</v>
      </c>
      <c r="M490" s="7" t="s">
        <v>1469</v>
      </c>
      <c r="N490" s="13" t="s">
        <v>1831</v>
      </c>
      <c r="O490" s="15" t="s">
        <v>1832</v>
      </c>
    </row>
    <row r="491">
      <c r="A491" s="5">
        <v>566.0</v>
      </c>
      <c r="B491" s="6">
        <v>45991.55242878472</v>
      </c>
      <c r="C491" s="7" t="s">
        <v>15</v>
      </c>
      <c r="D491" s="8" t="s">
        <v>663</v>
      </c>
      <c r="E491" s="8" t="s">
        <v>664</v>
      </c>
      <c r="F491" s="7" t="s">
        <v>665</v>
      </c>
      <c r="G491" s="9" t="s">
        <v>19</v>
      </c>
      <c r="H491" s="7" t="s">
        <v>406</v>
      </c>
      <c r="I491" s="7" t="s">
        <v>94</v>
      </c>
      <c r="J491" s="10">
        <v>45823.0</v>
      </c>
      <c r="K491" s="8" t="s">
        <v>22</v>
      </c>
      <c r="L491" s="7">
        <v>4.0</v>
      </c>
      <c r="M491" s="7" t="s">
        <v>106</v>
      </c>
      <c r="N491" s="13" t="s">
        <v>1833</v>
      </c>
      <c r="O491" s="15" t="s">
        <v>1834</v>
      </c>
    </row>
    <row r="492">
      <c r="A492" s="5">
        <v>567.0</v>
      </c>
      <c r="B492" s="6">
        <v>45991.55316181713</v>
      </c>
      <c r="C492" s="7" t="s">
        <v>15</v>
      </c>
      <c r="D492" s="8" t="s">
        <v>1808</v>
      </c>
      <c r="E492" s="8" t="s">
        <v>830</v>
      </c>
      <c r="F492" s="7" t="s">
        <v>1809</v>
      </c>
      <c r="G492" s="9" t="s">
        <v>19</v>
      </c>
      <c r="H492" s="7" t="s">
        <v>1835</v>
      </c>
      <c r="I492" s="7" t="s">
        <v>1836</v>
      </c>
      <c r="J492" s="10">
        <v>45907.0</v>
      </c>
      <c r="K492" s="8" t="s">
        <v>689</v>
      </c>
      <c r="L492" s="7">
        <v>4.0</v>
      </c>
      <c r="M492" s="7" t="s">
        <v>1837</v>
      </c>
      <c r="N492" s="13" t="s">
        <v>1838</v>
      </c>
      <c r="O492" s="15" t="s">
        <v>1839</v>
      </c>
    </row>
    <row r="493">
      <c r="A493" s="5">
        <v>568.0</v>
      </c>
      <c r="B493" s="6">
        <v>45991.55361721065</v>
      </c>
      <c r="C493" s="7" t="s">
        <v>125</v>
      </c>
      <c r="D493" s="8" t="s">
        <v>1820</v>
      </c>
      <c r="E493" s="8" t="s">
        <v>1764</v>
      </c>
      <c r="F493" s="7" t="s">
        <v>1821</v>
      </c>
      <c r="G493" s="9" t="s">
        <v>19</v>
      </c>
      <c r="H493" s="7" t="s">
        <v>194</v>
      </c>
      <c r="I493" s="7" t="s">
        <v>174</v>
      </c>
      <c r="J493" s="10">
        <v>45854.0</v>
      </c>
      <c r="K493" s="8" t="s">
        <v>175</v>
      </c>
      <c r="L493" s="7">
        <v>6.0</v>
      </c>
      <c r="M493" s="7" t="s">
        <v>1840</v>
      </c>
      <c r="N493" s="13" t="s">
        <v>1841</v>
      </c>
      <c r="O493" s="15" t="s">
        <v>1842</v>
      </c>
    </row>
    <row r="494">
      <c r="A494" s="5">
        <v>569.0</v>
      </c>
      <c r="B494" s="6">
        <v>45991.55381744213</v>
      </c>
      <c r="C494" s="7" t="s">
        <v>125</v>
      </c>
      <c r="D494" s="8" t="s">
        <v>1826</v>
      </c>
      <c r="E494" s="8" t="s">
        <v>1827</v>
      </c>
      <c r="F494" s="7" t="s">
        <v>1828</v>
      </c>
      <c r="G494" s="9" t="s">
        <v>181</v>
      </c>
      <c r="H494" s="7" t="s">
        <v>1843</v>
      </c>
      <c r="I494" s="7" t="s">
        <v>1844</v>
      </c>
      <c r="J494" s="10">
        <v>45876.0</v>
      </c>
      <c r="K494" s="8" t="s">
        <v>518</v>
      </c>
      <c r="L494" s="7">
        <v>2.0</v>
      </c>
      <c r="M494" s="7" t="s">
        <v>33</v>
      </c>
      <c r="N494" s="13" t="s">
        <v>1845</v>
      </c>
      <c r="O494" s="15" t="s">
        <v>1846</v>
      </c>
    </row>
    <row r="495">
      <c r="A495" s="5">
        <v>570.0</v>
      </c>
      <c r="B495" s="6">
        <v>45991.55487152778</v>
      </c>
      <c r="C495" s="7" t="s">
        <v>26</v>
      </c>
      <c r="D495" s="8" t="s">
        <v>980</v>
      </c>
      <c r="E495" s="8" t="s">
        <v>236</v>
      </c>
      <c r="F495" s="7" t="s">
        <v>981</v>
      </c>
      <c r="G495" s="9" t="s">
        <v>19</v>
      </c>
      <c r="H495" s="7" t="s">
        <v>1472</v>
      </c>
      <c r="I495" s="7" t="s">
        <v>1473</v>
      </c>
      <c r="J495" s="10">
        <v>45930.0</v>
      </c>
      <c r="K495" s="8" t="s">
        <v>1468</v>
      </c>
      <c r="L495" s="7">
        <v>4.0</v>
      </c>
      <c r="M495" s="7" t="s">
        <v>1847</v>
      </c>
      <c r="N495" s="13" t="s">
        <v>1848</v>
      </c>
      <c r="O495" s="15" t="s">
        <v>1849</v>
      </c>
    </row>
    <row r="496">
      <c r="A496" s="5">
        <v>571.0</v>
      </c>
      <c r="B496" s="6">
        <v>45991.555733877314</v>
      </c>
      <c r="C496" s="7" t="s">
        <v>125</v>
      </c>
      <c r="D496" s="8" t="s">
        <v>1820</v>
      </c>
      <c r="E496" s="8" t="s">
        <v>1764</v>
      </c>
      <c r="F496" s="7" t="s">
        <v>1821</v>
      </c>
      <c r="G496" s="9" t="s">
        <v>181</v>
      </c>
      <c r="H496" s="7" t="s">
        <v>1850</v>
      </c>
      <c r="I496" s="7" t="s">
        <v>279</v>
      </c>
      <c r="J496" s="10">
        <v>45876.0</v>
      </c>
      <c r="K496" s="8" t="s">
        <v>518</v>
      </c>
      <c r="L496" s="7">
        <v>2.0</v>
      </c>
      <c r="M496" s="7" t="s">
        <v>1016</v>
      </c>
      <c r="N496" s="13" t="s">
        <v>1851</v>
      </c>
      <c r="O496" s="15" t="s">
        <v>1852</v>
      </c>
    </row>
    <row r="497">
      <c r="A497" s="5">
        <v>572.0</v>
      </c>
      <c r="B497" s="6">
        <v>45991.555962847226</v>
      </c>
      <c r="C497" s="7" t="s">
        <v>15</v>
      </c>
      <c r="D497" s="8" t="s">
        <v>663</v>
      </c>
      <c r="E497" s="8" t="s">
        <v>664</v>
      </c>
      <c r="F497" s="7" t="s">
        <v>665</v>
      </c>
      <c r="G497" s="9" t="s">
        <v>19</v>
      </c>
      <c r="H497" s="7" t="s">
        <v>41</v>
      </c>
      <c r="I497" s="7" t="s">
        <v>37</v>
      </c>
      <c r="J497" s="10">
        <v>45840.0</v>
      </c>
      <c r="K497" s="8" t="s">
        <v>67</v>
      </c>
      <c r="L497" s="7">
        <v>8.0</v>
      </c>
      <c r="M497" s="7" t="s">
        <v>33</v>
      </c>
      <c r="N497" s="13" t="s">
        <v>1853</v>
      </c>
      <c r="O497" s="15" t="s">
        <v>1854</v>
      </c>
    </row>
    <row r="498">
      <c r="A498" s="5">
        <v>573.0</v>
      </c>
      <c r="B498" s="6">
        <v>45991.55910644676</v>
      </c>
      <c r="C498" s="7" t="s">
        <v>125</v>
      </c>
      <c r="D498" s="8" t="s">
        <v>1820</v>
      </c>
      <c r="E498" s="8" t="s">
        <v>1764</v>
      </c>
      <c r="F498" s="7" t="s">
        <v>1821</v>
      </c>
      <c r="G498" s="9" t="s">
        <v>159</v>
      </c>
      <c r="H498" s="7" t="s">
        <v>1855</v>
      </c>
      <c r="I498" s="7" t="s">
        <v>1856</v>
      </c>
      <c r="J498" s="10">
        <v>45947.0</v>
      </c>
      <c r="K498" s="8" t="s">
        <v>22</v>
      </c>
      <c r="L498" s="7">
        <v>4.0</v>
      </c>
      <c r="M498" s="7" t="s">
        <v>1857</v>
      </c>
      <c r="N498" s="13" t="s">
        <v>1858</v>
      </c>
      <c r="O498" s="15" t="s">
        <v>1859</v>
      </c>
    </row>
    <row r="499">
      <c r="A499" s="5">
        <v>574.0</v>
      </c>
      <c r="B499" s="6">
        <v>45991.55973356482</v>
      </c>
      <c r="C499" s="7" t="s">
        <v>15</v>
      </c>
      <c r="D499" s="8" t="s">
        <v>663</v>
      </c>
      <c r="E499" s="8" t="s">
        <v>664</v>
      </c>
      <c r="F499" s="7" t="s">
        <v>665</v>
      </c>
      <c r="G499" s="9" t="s">
        <v>19</v>
      </c>
      <c r="H499" s="7" t="s">
        <v>1860</v>
      </c>
      <c r="I499" s="7" t="s">
        <v>21</v>
      </c>
      <c r="J499" s="10">
        <v>45940.0</v>
      </c>
      <c r="K499" s="8" t="s">
        <v>22</v>
      </c>
      <c r="L499" s="7">
        <v>4.0</v>
      </c>
      <c r="M499" s="7" t="s">
        <v>23</v>
      </c>
      <c r="N499" s="13" t="s">
        <v>1861</v>
      </c>
      <c r="O499" s="15" t="s">
        <v>1862</v>
      </c>
    </row>
    <row r="500">
      <c r="A500" s="5">
        <v>575.0</v>
      </c>
      <c r="B500" s="6">
        <v>45991.560525925925</v>
      </c>
      <c r="C500" s="7" t="s">
        <v>125</v>
      </c>
      <c r="D500" s="8" t="s">
        <v>1820</v>
      </c>
      <c r="E500" s="8" t="s">
        <v>1764</v>
      </c>
      <c r="F500" s="7" t="s">
        <v>1821</v>
      </c>
      <c r="G500" s="9" t="s">
        <v>159</v>
      </c>
      <c r="H500" s="7" t="s">
        <v>1863</v>
      </c>
      <c r="I500" s="7" t="s">
        <v>1864</v>
      </c>
      <c r="J500" s="10">
        <v>45946.0</v>
      </c>
      <c r="K500" s="8" t="s">
        <v>22</v>
      </c>
      <c r="L500" s="7">
        <v>4.0</v>
      </c>
      <c r="M500" s="7" t="s">
        <v>1823</v>
      </c>
      <c r="N500" s="13" t="s">
        <v>1865</v>
      </c>
      <c r="O500" s="15" t="s">
        <v>1866</v>
      </c>
    </row>
    <row r="501">
      <c r="A501" s="5">
        <v>576.0</v>
      </c>
      <c r="B501" s="6">
        <v>45991.56115068287</v>
      </c>
      <c r="C501" s="7" t="s">
        <v>15</v>
      </c>
      <c r="D501" s="8" t="s">
        <v>1867</v>
      </c>
      <c r="E501" s="8" t="s">
        <v>1023</v>
      </c>
      <c r="F501" s="7" t="s">
        <v>1868</v>
      </c>
      <c r="G501" s="9" t="s">
        <v>19</v>
      </c>
      <c r="H501" s="7" t="s">
        <v>387</v>
      </c>
      <c r="I501" s="7" t="s">
        <v>31</v>
      </c>
      <c r="J501" s="10">
        <v>45825.0</v>
      </c>
      <c r="K501" s="8" t="s">
        <v>49</v>
      </c>
      <c r="L501" s="7">
        <v>8.0</v>
      </c>
      <c r="M501" s="7" t="s">
        <v>553</v>
      </c>
      <c r="N501" s="13" t="s">
        <v>1869</v>
      </c>
      <c r="O501" s="15" t="s">
        <v>1870</v>
      </c>
    </row>
    <row r="502">
      <c r="A502" s="5">
        <v>578.0</v>
      </c>
      <c r="B502" s="6">
        <v>45991.5622312037</v>
      </c>
      <c r="C502" s="7" t="s">
        <v>26</v>
      </c>
      <c r="D502" s="8" t="s">
        <v>918</v>
      </c>
      <c r="E502" s="8" t="s">
        <v>919</v>
      </c>
      <c r="F502" s="7" t="s">
        <v>920</v>
      </c>
      <c r="G502" s="9" t="s">
        <v>415</v>
      </c>
      <c r="H502" s="7" t="s">
        <v>1871</v>
      </c>
      <c r="I502" s="7" t="s">
        <v>1240</v>
      </c>
      <c r="J502" s="10">
        <v>45990.0</v>
      </c>
      <c r="K502" s="8" t="s">
        <v>22</v>
      </c>
      <c r="L502" s="7">
        <v>4.0</v>
      </c>
      <c r="M502" s="7" t="s">
        <v>87</v>
      </c>
      <c r="N502" s="13" t="s">
        <v>1872</v>
      </c>
      <c r="O502" s="15" t="s">
        <v>1873</v>
      </c>
    </row>
    <row r="503">
      <c r="A503" s="5">
        <v>581.0</v>
      </c>
      <c r="B503" s="6">
        <v>45991.56623502314</v>
      </c>
      <c r="C503" s="7" t="s">
        <v>26</v>
      </c>
      <c r="D503" s="8" t="s">
        <v>1509</v>
      </c>
      <c r="E503" s="8" t="s">
        <v>199</v>
      </c>
      <c r="F503" s="7" t="s">
        <v>1510</v>
      </c>
      <c r="G503" s="9" t="s">
        <v>181</v>
      </c>
      <c r="H503" s="7" t="s">
        <v>1528</v>
      </c>
      <c r="I503" s="7" t="s">
        <v>231</v>
      </c>
      <c r="J503" s="10">
        <v>45889.0</v>
      </c>
      <c r="K503" s="8" t="s">
        <v>518</v>
      </c>
      <c r="L503" s="7">
        <v>2.0</v>
      </c>
      <c r="M503" s="7" t="s">
        <v>1064</v>
      </c>
      <c r="N503" s="13" t="s">
        <v>1874</v>
      </c>
      <c r="O503" s="15" t="s">
        <v>1875</v>
      </c>
    </row>
    <row r="504">
      <c r="A504" s="5">
        <v>582.0</v>
      </c>
      <c r="B504" s="6">
        <v>45991.56724297453</v>
      </c>
      <c r="C504" s="7" t="s">
        <v>15</v>
      </c>
      <c r="D504" s="8" t="s">
        <v>1876</v>
      </c>
      <c r="E504" s="8" t="s">
        <v>1042</v>
      </c>
      <c r="F504" s="7" t="s">
        <v>1877</v>
      </c>
      <c r="G504" s="9" t="s">
        <v>19</v>
      </c>
      <c r="H504" s="7" t="s">
        <v>30</v>
      </c>
      <c r="I504" s="7" t="s">
        <v>31</v>
      </c>
      <c r="J504" s="10">
        <v>45825.0</v>
      </c>
      <c r="K504" s="8" t="s">
        <v>49</v>
      </c>
      <c r="L504" s="7">
        <v>8.0</v>
      </c>
      <c r="M504" s="7" t="s">
        <v>33</v>
      </c>
      <c r="N504" s="13" t="s">
        <v>1878</v>
      </c>
      <c r="O504" s="15" t="s">
        <v>1879</v>
      </c>
    </row>
    <row r="505">
      <c r="A505" s="5">
        <v>583.0</v>
      </c>
      <c r="B505" s="6">
        <v>45991.56861460648</v>
      </c>
      <c r="C505" s="7" t="s">
        <v>15</v>
      </c>
      <c r="D505" s="8" t="s">
        <v>1876</v>
      </c>
      <c r="E505" s="8" t="s">
        <v>1042</v>
      </c>
      <c r="F505" s="7" t="s">
        <v>1877</v>
      </c>
      <c r="G505" s="9" t="s">
        <v>19</v>
      </c>
      <c r="H505" s="7" t="s">
        <v>30</v>
      </c>
      <c r="I505" s="7" t="s">
        <v>469</v>
      </c>
      <c r="J505" s="10">
        <v>45833.0</v>
      </c>
      <c r="K505" s="8" t="s">
        <v>49</v>
      </c>
      <c r="L505" s="7">
        <v>8.0</v>
      </c>
      <c r="M505" s="7" t="s">
        <v>33</v>
      </c>
      <c r="N505" s="13" t="s">
        <v>1880</v>
      </c>
      <c r="O505" s="15" t="s">
        <v>1881</v>
      </c>
    </row>
    <row r="506">
      <c r="A506" s="5">
        <v>584.0</v>
      </c>
      <c r="B506" s="6">
        <v>45991.57323306713</v>
      </c>
      <c r="C506" s="7" t="s">
        <v>15</v>
      </c>
      <c r="D506" s="8" t="s">
        <v>1876</v>
      </c>
      <c r="E506" s="8" t="s">
        <v>1042</v>
      </c>
      <c r="F506" s="7" t="s">
        <v>1877</v>
      </c>
      <c r="G506" s="9" t="s">
        <v>19</v>
      </c>
      <c r="H506" s="7" t="s">
        <v>30</v>
      </c>
      <c r="I506" s="7" t="s">
        <v>37</v>
      </c>
      <c r="J506" s="10">
        <v>45838.0</v>
      </c>
      <c r="K506" s="8" t="s">
        <v>67</v>
      </c>
      <c r="L506" s="7">
        <v>8.0</v>
      </c>
      <c r="M506" s="7" t="s">
        <v>33</v>
      </c>
      <c r="N506" s="13" t="s">
        <v>1882</v>
      </c>
      <c r="O506" s="15" t="s">
        <v>1883</v>
      </c>
    </row>
    <row r="507">
      <c r="A507" s="5">
        <v>585.0</v>
      </c>
      <c r="B507" s="6">
        <v>45991.57597150463</v>
      </c>
      <c r="C507" s="7" t="s">
        <v>15</v>
      </c>
      <c r="D507" s="8" t="s">
        <v>1876</v>
      </c>
      <c r="E507" s="8" t="s">
        <v>1042</v>
      </c>
      <c r="F507" s="7" t="s">
        <v>1877</v>
      </c>
      <c r="G507" s="9" t="s">
        <v>19</v>
      </c>
      <c r="H507" s="7" t="s">
        <v>99</v>
      </c>
      <c r="I507" s="7" t="s">
        <v>37</v>
      </c>
      <c r="J507" s="10">
        <v>45839.0</v>
      </c>
      <c r="K507" s="8" t="s">
        <v>67</v>
      </c>
      <c r="L507" s="7">
        <v>8.0</v>
      </c>
      <c r="M507" s="7" t="s">
        <v>33</v>
      </c>
      <c r="N507" s="13" t="s">
        <v>1884</v>
      </c>
      <c r="O507" s="15" t="s">
        <v>1885</v>
      </c>
    </row>
    <row r="508">
      <c r="A508" s="5">
        <v>586.0</v>
      </c>
      <c r="B508" s="6">
        <v>45991.57796015046</v>
      </c>
      <c r="C508" s="7" t="s">
        <v>15</v>
      </c>
      <c r="D508" s="8" t="s">
        <v>1876</v>
      </c>
      <c r="E508" s="8" t="s">
        <v>1042</v>
      </c>
      <c r="F508" s="7" t="s">
        <v>1886</v>
      </c>
      <c r="G508" s="9" t="s">
        <v>19</v>
      </c>
      <c r="H508" s="7" t="s">
        <v>1887</v>
      </c>
      <c r="I508" s="7" t="s">
        <v>37</v>
      </c>
      <c r="J508" s="10">
        <v>45840.0</v>
      </c>
      <c r="K508" s="8" t="s">
        <v>67</v>
      </c>
      <c r="L508" s="7">
        <v>8.0</v>
      </c>
      <c r="M508" s="7" t="s">
        <v>33</v>
      </c>
      <c r="N508" s="13" t="s">
        <v>1888</v>
      </c>
      <c r="O508" s="15" t="s">
        <v>1889</v>
      </c>
    </row>
    <row r="509">
      <c r="A509" s="5">
        <v>587.0</v>
      </c>
      <c r="B509" s="6">
        <v>45991.58087185185</v>
      </c>
      <c r="C509" s="7" t="s">
        <v>760</v>
      </c>
      <c r="D509" s="8" t="s">
        <v>1214</v>
      </c>
      <c r="E509" s="8" t="s">
        <v>179</v>
      </c>
      <c r="F509" s="7" t="s">
        <v>1215</v>
      </c>
      <c r="G509" s="9" t="s">
        <v>19</v>
      </c>
      <c r="H509" s="7" t="s">
        <v>56</v>
      </c>
      <c r="I509" s="7" t="s">
        <v>1181</v>
      </c>
      <c r="J509" s="10">
        <v>45955.0</v>
      </c>
      <c r="K509" s="8" t="s">
        <v>58</v>
      </c>
      <c r="L509" s="7">
        <v>5.0</v>
      </c>
      <c r="M509" s="7" t="s">
        <v>59</v>
      </c>
      <c r="N509" s="13" t="s">
        <v>1890</v>
      </c>
      <c r="O509" s="15" t="s">
        <v>1891</v>
      </c>
    </row>
    <row r="510">
      <c r="A510" s="5">
        <v>588.0</v>
      </c>
      <c r="B510" s="6">
        <v>45991.5834174537</v>
      </c>
      <c r="C510" s="7" t="s">
        <v>125</v>
      </c>
      <c r="D510" s="8" t="s">
        <v>1892</v>
      </c>
      <c r="E510" s="8" t="s">
        <v>319</v>
      </c>
      <c r="F510" s="7" t="s">
        <v>1893</v>
      </c>
      <c r="G510" s="9" t="s">
        <v>19</v>
      </c>
      <c r="H510" s="7" t="s">
        <v>173</v>
      </c>
      <c r="I510" s="7" t="s">
        <v>174</v>
      </c>
      <c r="J510" s="10">
        <v>45854.0</v>
      </c>
      <c r="K510" s="8" t="s">
        <v>175</v>
      </c>
      <c r="L510" s="7">
        <v>6.0</v>
      </c>
      <c r="M510" s="7" t="s">
        <v>106</v>
      </c>
      <c r="N510" s="13" t="s">
        <v>1894</v>
      </c>
      <c r="O510" s="15" t="s">
        <v>1895</v>
      </c>
    </row>
    <row r="511">
      <c r="A511" s="5">
        <v>590.0</v>
      </c>
      <c r="B511" s="6">
        <v>45991.58747186343</v>
      </c>
      <c r="C511" s="7" t="s">
        <v>15</v>
      </c>
      <c r="D511" s="8" t="s">
        <v>1876</v>
      </c>
      <c r="E511" s="8" t="s">
        <v>1042</v>
      </c>
      <c r="F511" s="7" t="s">
        <v>1877</v>
      </c>
      <c r="G511" s="9" t="s">
        <v>19</v>
      </c>
      <c r="H511" s="7" t="s">
        <v>406</v>
      </c>
      <c r="I511" s="7" t="s">
        <v>94</v>
      </c>
      <c r="J511" s="10">
        <v>45823.0</v>
      </c>
      <c r="K511" s="8" t="s">
        <v>22</v>
      </c>
      <c r="L511" s="7">
        <v>4.0</v>
      </c>
      <c r="M511" s="7" t="s">
        <v>106</v>
      </c>
      <c r="N511" s="13" t="s">
        <v>1896</v>
      </c>
      <c r="O511" s="16"/>
    </row>
    <row r="512">
      <c r="A512" s="5">
        <v>591.0</v>
      </c>
      <c r="B512" s="6">
        <v>45991.58751693287</v>
      </c>
      <c r="C512" s="7" t="s">
        <v>125</v>
      </c>
      <c r="D512" s="8" t="s">
        <v>1897</v>
      </c>
      <c r="E512" s="8" t="s">
        <v>1596</v>
      </c>
      <c r="F512" s="7" t="s">
        <v>1898</v>
      </c>
      <c r="G512" s="9" t="s">
        <v>19</v>
      </c>
      <c r="H512" s="7" t="s">
        <v>173</v>
      </c>
      <c r="I512" s="7" t="s">
        <v>1899</v>
      </c>
      <c r="J512" s="10">
        <v>45854.0</v>
      </c>
      <c r="K512" s="8" t="s">
        <v>175</v>
      </c>
      <c r="L512" s="7">
        <v>6.0</v>
      </c>
      <c r="M512" s="7" t="s">
        <v>106</v>
      </c>
      <c r="N512" s="13" t="s">
        <v>1900</v>
      </c>
      <c r="O512" s="15" t="s">
        <v>1901</v>
      </c>
    </row>
    <row r="513">
      <c r="A513" s="5">
        <v>592.0</v>
      </c>
      <c r="B513" s="6">
        <v>45991.58789887732</v>
      </c>
      <c r="C513" s="7" t="s">
        <v>125</v>
      </c>
      <c r="D513" s="8" t="s">
        <v>1892</v>
      </c>
      <c r="E513" s="8" t="s">
        <v>319</v>
      </c>
      <c r="F513" s="7" t="s">
        <v>1893</v>
      </c>
      <c r="G513" s="9" t="s">
        <v>84</v>
      </c>
      <c r="H513" s="7" t="s">
        <v>455</v>
      </c>
      <c r="I513" s="7" t="s">
        <v>1902</v>
      </c>
      <c r="J513" s="10">
        <v>45990.0</v>
      </c>
      <c r="K513" s="8" t="s">
        <v>859</v>
      </c>
      <c r="L513" s="7">
        <v>8.0</v>
      </c>
      <c r="M513" s="7" t="s">
        <v>33</v>
      </c>
      <c r="N513" s="13" t="s">
        <v>1903</v>
      </c>
      <c r="O513" s="15" t="s">
        <v>1904</v>
      </c>
    </row>
    <row r="514">
      <c r="A514" s="5">
        <v>593.0</v>
      </c>
      <c r="B514" s="6">
        <v>45991.58949756944</v>
      </c>
      <c r="C514" s="7" t="s">
        <v>125</v>
      </c>
      <c r="D514" s="8" t="s">
        <v>1897</v>
      </c>
      <c r="E514" s="8" t="s">
        <v>1596</v>
      </c>
      <c r="F514" s="7" t="s">
        <v>1898</v>
      </c>
      <c r="G514" s="9" t="s">
        <v>19</v>
      </c>
      <c r="H514" s="7" t="s">
        <v>173</v>
      </c>
      <c r="I514" s="7" t="s">
        <v>174</v>
      </c>
      <c r="J514" s="10">
        <v>45854.0</v>
      </c>
      <c r="K514" s="8" t="s">
        <v>175</v>
      </c>
      <c r="L514" s="7">
        <v>6.0</v>
      </c>
      <c r="M514" s="7" t="s">
        <v>106</v>
      </c>
      <c r="N514" s="13" t="s">
        <v>1905</v>
      </c>
      <c r="O514" s="15" t="s">
        <v>1906</v>
      </c>
    </row>
    <row r="515">
      <c r="A515" s="5">
        <v>594.0</v>
      </c>
      <c r="B515" s="6">
        <v>45991.589640289356</v>
      </c>
      <c r="C515" s="7" t="s">
        <v>125</v>
      </c>
      <c r="D515" s="8" t="s">
        <v>573</v>
      </c>
      <c r="E515" s="8" t="s">
        <v>574</v>
      </c>
      <c r="F515" s="7" t="s">
        <v>575</v>
      </c>
      <c r="G515" s="9" t="s">
        <v>209</v>
      </c>
      <c r="H515" s="7" t="s">
        <v>1907</v>
      </c>
      <c r="I515" s="7" t="s">
        <v>1908</v>
      </c>
      <c r="J515" s="10">
        <v>45983.0</v>
      </c>
      <c r="K515" s="8" t="s">
        <v>418</v>
      </c>
      <c r="L515" s="7">
        <v>1.0</v>
      </c>
      <c r="M515" s="7" t="s">
        <v>1909</v>
      </c>
      <c r="N515" s="13" t="s">
        <v>1910</v>
      </c>
      <c r="O515" s="15" t="s">
        <v>1911</v>
      </c>
    </row>
    <row r="516">
      <c r="A516" s="5">
        <v>595.0</v>
      </c>
      <c r="B516" s="6">
        <v>45991.590304467594</v>
      </c>
      <c r="C516" s="7" t="s">
        <v>125</v>
      </c>
      <c r="D516" s="8" t="s">
        <v>1912</v>
      </c>
      <c r="E516" s="8" t="s">
        <v>1764</v>
      </c>
      <c r="F516" s="7" t="s">
        <v>1821</v>
      </c>
      <c r="G516" s="9" t="s">
        <v>159</v>
      </c>
      <c r="H516" s="7" t="s">
        <v>1913</v>
      </c>
      <c r="I516" s="7" t="s">
        <v>1856</v>
      </c>
      <c r="J516" s="10">
        <v>45979.0</v>
      </c>
      <c r="K516" s="8" t="s">
        <v>518</v>
      </c>
      <c r="L516" s="7">
        <v>2.0</v>
      </c>
      <c r="M516" s="7" t="s">
        <v>1914</v>
      </c>
      <c r="N516" s="13" t="s">
        <v>1915</v>
      </c>
      <c r="O516" s="15" t="s">
        <v>1916</v>
      </c>
    </row>
    <row r="517">
      <c r="A517" s="5">
        <v>596.0</v>
      </c>
      <c r="B517" s="6">
        <v>45991.59111930555</v>
      </c>
      <c r="C517" s="7" t="s">
        <v>125</v>
      </c>
      <c r="D517" s="8" t="s">
        <v>1897</v>
      </c>
      <c r="E517" s="8" t="s">
        <v>1596</v>
      </c>
      <c r="F517" s="7" t="s">
        <v>1898</v>
      </c>
      <c r="G517" s="9" t="s">
        <v>144</v>
      </c>
      <c r="H517" s="7" t="s">
        <v>365</v>
      </c>
      <c r="I517" s="7" t="s">
        <v>366</v>
      </c>
      <c r="J517" s="10">
        <v>45942.0</v>
      </c>
      <c r="K517" s="8" t="s">
        <v>22</v>
      </c>
      <c r="L517" s="7">
        <v>4.0</v>
      </c>
      <c r="M517" s="7" t="s">
        <v>1917</v>
      </c>
      <c r="N517" s="13" t="s">
        <v>1918</v>
      </c>
      <c r="O517" s="15" t="s">
        <v>1919</v>
      </c>
    </row>
    <row r="518">
      <c r="A518" s="5">
        <v>597.0</v>
      </c>
      <c r="B518" s="6">
        <v>45991.59360663194</v>
      </c>
      <c r="C518" s="7" t="s">
        <v>125</v>
      </c>
      <c r="D518" s="8" t="s">
        <v>1892</v>
      </c>
      <c r="E518" s="8" t="s">
        <v>319</v>
      </c>
      <c r="F518" s="7" t="s">
        <v>1893</v>
      </c>
      <c r="G518" s="9" t="s">
        <v>209</v>
      </c>
      <c r="H518" s="7" t="s">
        <v>1920</v>
      </c>
      <c r="I518" s="7" t="s">
        <v>1921</v>
      </c>
      <c r="J518" s="10">
        <v>45990.0</v>
      </c>
      <c r="K518" s="8" t="s">
        <v>1922</v>
      </c>
      <c r="L518" s="7">
        <v>2.0</v>
      </c>
      <c r="M518" s="7" t="s">
        <v>1923</v>
      </c>
      <c r="N518" s="13" t="s">
        <v>1924</v>
      </c>
      <c r="O518" s="15" t="s">
        <v>1925</v>
      </c>
    </row>
    <row r="519">
      <c r="A519" s="5">
        <v>598.0</v>
      </c>
      <c r="B519" s="6">
        <v>45991.594450289354</v>
      </c>
      <c r="C519" s="7" t="s">
        <v>125</v>
      </c>
      <c r="D519" s="8" t="s">
        <v>1820</v>
      </c>
      <c r="E519" s="8" t="s">
        <v>1764</v>
      </c>
      <c r="F519" s="7" t="s">
        <v>1821</v>
      </c>
      <c r="G519" s="9" t="s">
        <v>159</v>
      </c>
      <c r="H519" s="7" t="s">
        <v>1926</v>
      </c>
      <c r="I519" s="7" t="s">
        <v>1856</v>
      </c>
      <c r="J519" s="10">
        <v>45960.0</v>
      </c>
      <c r="K519" s="8" t="s">
        <v>694</v>
      </c>
      <c r="L519" s="7">
        <v>3.0</v>
      </c>
      <c r="M519" s="7" t="s">
        <v>1857</v>
      </c>
      <c r="N519" s="13" t="s">
        <v>1927</v>
      </c>
      <c r="O519" s="15" t="s">
        <v>1928</v>
      </c>
    </row>
    <row r="520">
      <c r="A520" s="5">
        <v>599.0</v>
      </c>
      <c r="B520" s="6">
        <v>45991.59742002314</v>
      </c>
      <c r="C520" s="7" t="s">
        <v>125</v>
      </c>
      <c r="D520" s="8" t="s">
        <v>1892</v>
      </c>
      <c r="E520" s="8" t="s">
        <v>319</v>
      </c>
      <c r="F520" s="7" t="s">
        <v>1893</v>
      </c>
      <c r="G520" s="9" t="s">
        <v>209</v>
      </c>
      <c r="H520" s="7" t="s">
        <v>1920</v>
      </c>
      <c r="I520" s="7" t="s">
        <v>825</v>
      </c>
      <c r="J520" s="10">
        <v>45990.0</v>
      </c>
      <c r="K520" s="8" t="s">
        <v>1665</v>
      </c>
      <c r="L520" s="7">
        <v>2.0</v>
      </c>
      <c r="M520" s="7" t="s">
        <v>1923</v>
      </c>
      <c r="N520" s="13" t="s">
        <v>1929</v>
      </c>
      <c r="O520" s="15" t="s">
        <v>1930</v>
      </c>
    </row>
    <row r="521">
      <c r="A521" s="5">
        <v>600.0</v>
      </c>
      <c r="B521" s="6">
        <v>45991.60088295139</v>
      </c>
      <c r="C521" s="7" t="s">
        <v>15</v>
      </c>
      <c r="D521" s="8" t="s">
        <v>90</v>
      </c>
      <c r="E521" s="8" t="s">
        <v>91</v>
      </c>
      <c r="F521" s="7" t="s">
        <v>92</v>
      </c>
      <c r="G521" s="9" t="s">
        <v>181</v>
      </c>
      <c r="H521" s="7" t="s">
        <v>1931</v>
      </c>
      <c r="I521" s="7" t="s">
        <v>231</v>
      </c>
      <c r="J521" s="10">
        <v>45938.0</v>
      </c>
      <c r="K521" s="8" t="s">
        <v>49</v>
      </c>
      <c r="L521" s="7">
        <v>8.0</v>
      </c>
      <c r="M521" s="7" t="s">
        <v>33</v>
      </c>
      <c r="N521" s="13" t="s">
        <v>1932</v>
      </c>
      <c r="O521" s="15" t="s">
        <v>1933</v>
      </c>
    </row>
    <row r="522">
      <c r="A522" s="5">
        <v>601.0</v>
      </c>
      <c r="B522" s="6">
        <v>45991.60234010417</v>
      </c>
      <c r="C522" s="7" t="s">
        <v>15</v>
      </c>
      <c r="D522" s="8" t="s">
        <v>90</v>
      </c>
      <c r="E522" s="8" t="s">
        <v>91</v>
      </c>
      <c r="F522" s="7" t="s">
        <v>92</v>
      </c>
      <c r="G522" s="9" t="s">
        <v>181</v>
      </c>
      <c r="H522" s="7" t="s">
        <v>1931</v>
      </c>
      <c r="I522" s="7" t="s">
        <v>231</v>
      </c>
      <c r="J522" s="10">
        <v>45939.0</v>
      </c>
      <c r="K522" s="8" t="s">
        <v>49</v>
      </c>
      <c r="L522" s="7">
        <v>8.0</v>
      </c>
      <c r="M522" s="7" t="s">
        <v>33</v>
      </c>
      <c r="N522" s="13" t="s">
        <v>1934</v>
      </c>
      <c r="O522" s="15" t="s">
        <v>1935</v>
      </c>
    </row>
    <row r="523">
      <c r="A523" s="5">
        <v>602.0</v>
      </c>
      <c r="B523" s="6">
        <v>45991.603512500005</v>
      </c>
      <c r="C523" s="7" t="s">
        <v>15</v>
      </c>
      <c r="D523" s="8" t="s">
        <v>90</v>
      </c>
      <c r="E523" s="8" t="s">
        <v>91</v>
      </c>
      <c r="F523" s="7" t="s">
        <v>92</v>
      </c>
      <c r="G523" s="9" t="s">
        <v>181</v>
      </c>
      <c r="H523" s="7" t="s">
        <v>1931</v>
      </c>
      <c r="I523" s="7" t="s">
        <v>231</v>
      </c>
      <c r="J523" s="10">
        <v>45940.0</v>
      </c>
      <c r="K523" s="8" t="s">
        <v>22</v>
      </c>
      <c r="L523" s="7">
        <v>4.0</v>
      </c>
      <c r="M523" s="7" t="s">
        <v>33</v>
      </c>
      <c r="N523" s="13" t="s">
        <v>1936</v>
      </c>
      <c r="O523" s="15" t="s">
        <v>1937</v>
      </c>
    </row>
    <row r="524">
      <c r="A524" s="5">
        <v>603.0</v>
      </c>
      <c r="B524" s="6">
        <v>45991.60411885417</v>
      </c>
      <c r="C524" s="7" t="s">
        <v>125</v>
      </c>
      <c r="D524" s="8" t="s">
        <v>1892</v>
      </c>
      <c r="E524" s="8" t="s">
        <v>319</v>
      </c>
      <c r="F524" s="7" t="s">
        <v>1893</v>
      </c>
      <c r="G524" s="9" t="s">
        <v>144</v>
      </c>
      <c r="H524" s="7" t="s">
        <v>1938</v>
      </c>
      <c r="I524" s="7" t="s">
        <v>263</v>
      </c>
      <c r="J524" s="10">
        <v>45943.0</v>
      </c>
      <c r="K524" s="8" t="s">
        <v>1365</v>
      </c>
      <c r="L524" s="7">
        <v>4.0</v>
      </c>
      <c r="M524" s="7" t="s">
        <v>1939</v>
      </c>
      <c r="N524" s="13" t="s">
        <v>1940</v>
      </c>
      <c r="O524" s="15" t="s">
        <v>1941</v>
      </c>
    </row>
    <row r="525">
      <c r="A525" s="5">
        <v>604.0</v>
      </c>
      <c r="B525" s="6">
        <v>45991.60568300926</v>
      </c>
      <c r="C525" s="7" t="s">
        <v>125</v>
      </c>
      <c r="D525" s="8" t="s">
        <v>1892</v>
      </c>
      <c r="E525" s="8" t="s">
        <v>319</v>
      </c>
      <c r="F525" s="7" t="s">
        <v>1893</v>
      </c>
      <c r="G525" s="9" t="s">
        <v>144</v>
      </c>
      <c r="H525" s="7" t="s">
        <v>1942</v>
      </c>
      <c r="I525" s="7" t="s">
        <v>263</v>
      </c>
      <c r="J525" s="10">
        <v>45943.0</v>
      </c>
      <c r="K525" s="8" t="s">
        <v>1365</v>
      </c>
      <c r="L525" s="7">
        <v>4.0</v>
      </c>
      <c r="M525" s="7" t="s">
        <v>1939</v>
      </c>
      <c r="N525" s="13" t="s">
        <v>1943</v>
      </c>
      <c r="O525" s="15" t="s">
        <v>1944</v>
      </c>
    </row>
    <row r="526">
      <c r="A526" s="5">
        <v>606.0</v>
      </c>
      <c r="B526" s="6">
        <v>45991.6130856713</v>
      </c>
      <c r="C526" s="7" t="s">
        <v>15</v>
      </c>
      <c r="D526" s="8" t="s">
        <v>1867</v>
      </c>
      <c r="E526" s="8" t="s">
        <v>1023</v>
      </c>
      <c r="F526" s="7" t="s">
        <v>1868</v>
      </c>
      <c r="G526" s="9" t="s">
        <v>19</v>
      </c>
      <c r="H526" s="7" t="s">
        <v>376</v>
      </c>
      <c r="I526" s="7" t="s">
        <v>37</v>
      </c>
      <c r="J526" s="10">
        <v>45839.0</v>
      </c>
      <c r="K526" s="8" t="s">
        <v>67</v>
      </c>
      <c r="L526" s="7">
        <v>8.0</v>
      </c>
      <c r="M526" s="7" t="s">
        <v>553</v>
      </c>
      <c r="N526" s="13" t="s">
        <v>1945</v>
      </c>
      <c r="O526" s="15" t="s">
        <v>1946</v>
      </c>
    </row>
    <row r="527">
      <c r="A527" s="5">
        <v>607.0</v>
      </c>
      <c r="B527" s="6">
        <v>45991.61748371528</v>
      </c>
      <c r="C527" s="7" t="s">
        <v>26</v>
      </c>
      <c r="D527" s="8" t="s">
        <v>1947</v>
      </c>
      <c r="E527" s="8" t="s">
        <v>1948</v>
      </c>
      <c r="F527" s="7" t="s">
        <v>1949</v>
      </c>
      <c r="G527" s="9" t="s">
        <v>181</v>
      </c>
      <c r="H527" s="7" t="s">
        <v>857</v>
      </c>
      <c r="I527" s="7" t="s">
        <v>1261</v>
      </c>
      <c r="J527" s="10">
        <v>45984.0</v>
      </c>
      <c r="K527" s="8" t="s">
        <v>859</v>
      </c>
      <c r="L527" s="7">
        <v>8.0</v>
      </c>
      <c r="M527" s="7" t="s">
        <v>860</v>
      </c>
      <c r="N527" s="13" t="s">
        <v>1950</v>
      </c>
      <c r="O527" s="15" t="s">
        <v>1951</v>
      </c>
    </row>
    <row r="528">
      <c r="A528" s="5">
        <v>608.0</v>
      </c>
      <c r="B528" s="6">
        <v>45991.61925603009</v>
      </c>
      <c r="C528" s="7" t="s">
        <v>15</v>
      </c>
      <c r="D528" s="8" t="s">
        <v>1867</v>
      </c>
      <c r="E528" s="8" t="s">
        <v>1023</v>
      </c>
      <c r="F528" s="7" t="s">
        <v>1868</v>
      </c>
      <c r="G528" s="9" t="s">
        <v>19</v>
      </c>
      <c r="H528" s="7" t="s">
        <v>44</v>
      </c>
      <c r="I528" s="7" t="s">
        <v>37</v>
      </c>
      <c r="J528" s="10">
        <v>45840.0</v>
      </c>
      <c r="K528" s="8" t="s">
        <v>67</v>
      </c>
      <c r="L528" s="7">
        <v>8.0</v>
      </c>
      <c r="M528" s="7" t="s">
        <v>553</v>
      </c>
      <c r="N528" s="13" t="s">
        <v>1952</v>
      </c>
      <c r="O528" s="15" t="s">
        <v>1953</v>
      </c>
    </row>
    <row r="529">
      <c r="A529" s="5">
        <v>609.0</v>
      </c>
      <c r="B529" s="6">
        <v>45991.619686736114</v>
      </c>
      <c r="C529" s="7" t="s">
        <v>26</v>
      </c>
      <c r="D529" s="8" t="s">
        <v>1947</v>
      </c>
      <c r="E529" s="8" t="s">
        <v>1948</v>
      </c>
      <c r="F529" s="7" t="s">
        <v>1949</v>
      </c>
      <c r="G529" s="9" t="s">
        <v>181</v>
      </c>
      <c r="H529" s="7" t="s">
        <v>278</v>
      </c>
      <c r="I529" s="7" t="s">
        <v>314</v>
      </c>
      <c r="J529" s="10">
        <v>45859.0</v>
      </c>
      <c r="K529" s="8" t="s">
        <v>315</v>
      </c>
      <c r="L529" s="7">
        <v>8.0</v>
      </c>
      <c r="M529" s="7" t="s">
        <v>33</v>
      </c>
      <c r="N529" s="13" t="s">
        <v>1954</v>
      </c>
      <c r="O529" s="15" t="s">
        <v>1955</v>
      </c>
    </row>
    <row r="530">
      <c r="A530" s="5">
        <v>610.0</v>
      </c>
      <c r="B530" s="6">
        <v>45991.62133841435</v>
      </c>
      <c r="C530" s="7" t="s">
        <v>26</v>
      </c>
      <c r="D530" s="8" t="s">
        <v>1947</v>
      </c>
      <c r="E530" s="8" t="s">
        <v>1948</v>
      </c>
      <c r="F530" s="7" t="s">
        <v>1949</v>
      </c>
      <c r="G530" s="9" t="s">
        <v>181</v>
      </c>
      <c r="H530" s="7" t="s">
        <v>278</v>
      </c>
      <c r="I530" s="7" t="s">
        <v>314</v>
      </c>
      <c r="J530" s="10">
        <v>45859.0</v>
      </c>
      <c r="K530" s="8" t="s">
        <v>315</v>
      </c>
      <c r="L530" s="7">
        <v>8.0</v>
      </c>
      <c r="M530" s="7" t="s">
        <v>33</v>
      </c>
      <c r="N530" s="13" t="s">
        <v>1956</v>
      </c>
      <c r="O530" s="15" t="s">
        <v>1957</v>
      </c>
    </row>
    <row r="531">
      <c r="A531" s="5">
        <v>611.0</v>
      </c>
      <c r="B531" s="6">
        <v>45991.622072060185</v>
      </c>
      <c r="C531" s="7" t="s">
        <v>26</v>
      </c>
      <c r="D531" s="8" t="s">
        <v>1958</v>
      </c>
      <c r="E531" s="8" t="s">
        <v>574</v>
      </c>
      <c r="F531" s="7" t="s">
        <v>1959</v>
      </c>
      <c r="G531" s="9" t="s">
        <v>19</v>
      </c>
      <c r="H531" s="7" t="s">
        <v>1466</v>
      </c>
      <c r="I531" s="7" t="s">
        <v>1473</v>
      </c>
      <c r="J531" s="10">
        <v>45926.0</v>
      </c>
      <c r="K531" s="8" t="s">
        <v>1468</v>
      </c>
      <c r="L531" s="7">
        <v>4.0</v>
      </c>
      <c r="M531" s="7" t="s">
        <v>1469</v>
      </c>
      <c r="N531" s="13" t="s">
        <v>1960</v>
      </c>
      <c r="O531" s="15" t="s">
        <v>1961</v>
      </c>
    </row>
    <row r="532">
      <c r="A532" s="5">
        <v>612.0</v>
      </c>
      <c r="B532" s="6">
        <v>45991.62331972222</v>
      </c>
      <c r="C532" s="7" t="s">
        <v>26</v>
      </c>
      <c r="D532" s="8" t="s">
        <v>1947</v>
      </c>
      <c r="E532" s="8" t="s">
        <v>1948</v>
      </c>
      <c r="F532" s="7" t="s">
        <v>1949</v>
      </c>
      <c r="G532" s="9" t="s">
        <v>84</v>
      </c>
      <c r="H532" s="7" t="s">
        <v>85</v>
      </c>
      <c r="I532" s="7" t="s">
        <v>1962</v>
      </c>
      <c r="J532" s="10">
        <v>45856.0</v>
      </c>
      <c r="K532" s="8" t="s">
        <v>859</v>
      </c>
      <c r="L532" s="7">
        <v>8.0</v>
      </c>
      <c r="M532" s="7" t="s">
        <v>1963</v>
      </c>
      <c r="N532" s="13" t="s">
        <v>1964</v>
      </c>
      <c r="O532" s="15" t="s">
        <v>1965</v>
      </c>
    </row>
    <row r="533">
      <c r="A533" s="5">
        <v>613.0</v>
      </c>
      <c r="B533" s="6">
        <v>45991.625826539355</v>
      </c>
      <c r="C533" s="7" t="s">
        <v>26</v>
      </c>
      <c r="D533" s="8" t="s">
        <v>1947</v>
      </c>
      <c r="E533" s="8" t="s">
        <v>1948</v>
      </c>
      <c r="F533" s="7" t="s">
        <v>1949</v>
      </c>
      <c r="G533" s="9" t="s">
        <v>209</v>
      </c>
      <c r="H533" s="7" t="s">
        <v>1966</v>
      </c>
      <c r="I533" s="7" t="s">
        <v>1967</v>
      </c>
      <c r="J533" s="10">
        <v>45853.0</v>
      </c>
      <c r="K533" s="8" t="s">
        <v>1241</v>
      </c>
      <c r="L533" s="7">
        <v>1.0</v>
      </c>
      <c r="M533" s="7" t="s">
        <v>1968</v>
      </c>
      <c r="N533" s="13" t="s">
        <v>1969</v>
      </c>
      <c r="O533" s="15" t="s">
        <v>1970</v>
      </c>
    </row>
    <row r="534">
      <c r="A534" s="5">
        <v>615.0</v>
      </c>
      <c r="B534" s="6">
        <v>45991.62680780093</v>
      </c>
      <c r="C534" s="7" t="s">
        <v>15</v>
      </c>
      <c r="D534" s="8" t="s">
        <v>1867</v>
      </c>
      <c r="E534" s="8" t="s">
        <v>1023</v>
      </c>
      <c r="F534" s="7" t="s">
        <v>1868</v>
      </c>
      <c r="G534" s="9" t="s">
        <v>19</v>
      </c>
      <c r="H534" s="7" t="s">
        <v>406</v>
      </c>
      <c r="I534" s="7" t="s">
        <v>1971</v>
      </c>
      <c r="J534" s="10">
        <v>45823.0</v>
      </c>
      <c r="K534" s="8" t="s">
        <v>22</v>
      </c>
      <c r="L534" s="7">
        <v>4.0</v>
      </c>
      <c r="M534" s="7" t="s">
        <v>106</v>
      </c>
      <c r="N534" s="13" t="s">
        <v>1972</v>
      </c>
      <c r="O534" s="15" t="s">
        <v>1973</v>
      </c>
    </row>
    <row r="535">
      <c r="A535" s="5">
        <v>616.0</v>
      </c>
      <c r="B535" s="6">
        <v>45991.628172384255</v>
      </c>
      <c r="C535" s="7" t="s">
        <v>26</v>
      </c>
      <c r="D535" s="8" t="s">
        <v>1958</v>
      </c>
      <c r="E535" s="8" t="s">
        <v>574</v>
      </c>
      <c r="F535" s="7" t="s">
        <v>1959</v>
      </c>
      <c r="G535" s="9" t="s">
        <v>19</v>
      </c>
      <c r="H535" s="7" t="s">
        <v>1472</v>
      </c>
      <c r="I535" s="7" t="s">
        <v>1473</v>
      </c>
      <c r="J535" s="10">
        <v>45930.0</v>
      </c>
      <c r="K535" s="8" t="s">
        <v>1468</v>
      </c>
      <c r="L535" s="7">
        <v>4.0</v>
      </c>
      <c r="M535" s="7" t="s">
        <v>1469</v>
      </c>
      <c r="N535" s="13" t="s">
        <v>1974</v>
      </c>
      <c r="O535" s="15" t="s">
        <v>1975</v>
      </c>
    </row>
    <row r="536">
      <c r="A536" s="5">
        <v>617.0</v>
      </c>
      <c r="B536" s="6">
        <v>45991.628764918976</v>
      </c>
      <c r="C536" s="7" t="s">
        <v>26</v>
      </c>
      <c r="D536" s="8" t="s">
        <v>1947</v>
      </c>
      <c r="E536" s="8" t="s">
        <v>1948</v>
      </c>
      <c r="F536" s="7" t="s">
        <v>1949</v>
      </c>
      <c r="G536" s="9" t="s">
        <v>144</v>
      </c>
      <c r="H536" s="7" t="s">
        <v>1976</v>
      </c>
      <c r="I536" s="7" t="s">
        <v>1977</v>
      </c>
      <c r="J536" s="10">
        <v>45856.0</v>
      </c>
      <c r="K536" s="8" t="s">
        <v>310</v>
      </c>
      <c r="L536" s="7">
        <v>1.0</v>
      </c>
      <c r="M536" s="7" t="s">
        <v>1963</v>
      </c>
      <c r="N536" s="13" t="s">
        <v>1978</v>
      </c>
      <c r="O536" s="15" t="s">
        <v>1979</v>
      </c>
    </row>
    <row r="537">
      <c r="A537" s="5">
        <v>618.0</v>
      </c>
      <c r="B537" s="6">
        <v>45991.628894699075</v>
      </c>
      <c r="C537" s="7" t="s">
        <v>760</v>
      </c>
      <c r="D537" s="8" t="s">
        <v>1179</v>
      </c>
      <c r="E537" s="8" t="s">
        <v>396</v>
      </c>
      <c r="F537" s="7" t="s">
        <v>1180</v>
      </c>
      <c r="G537" s="9" t="s">
        <v>209</v>
      </c>
      <c r="H537" s="7" t="s">
        <v>1980</v>
      </c>
      <c r="I537" s="7" t="s">
        <v>1981</v>
      </c>
      <c r="J537" s="10">
        <v>45962.0</v>
      </c>
      <c r="K537" s="8" t="s">
        <v>1665</v>
      </c>
      <c r="L537" s="7">
        <v>2.0</v>
      </c>
      <c r="M537" s="7" t="s">
        <v>1982</v>
      </c>
      <c r="N537" s="13" t="s">
        <v>1983</v>
      </c>
      <c r="O537" s="15" t="s">
        <v>1984</v>
      </c>
    </row>
    <row r="538">
      <c r="A538" s="5">
        <v>619.0</v>
      </c>
      <c r="B538" s="6">
        <v>45991.63123482639</v>
      </c>
      <c r="C538" s="7" t="s">
        <v>15</v>
      </c>
      <c r="D538" s="8" t="s">
        <v>1867</v>
      </c>
      <c r="E538" s="8" t="s">
        <v>1023</v>
      </c>
      <c r="F538" s="7" t="s">
        <v>1868</v>
      </c>
      <c r="G538" s="9" t="s">
        <v>19</v>
      </c>
      <c r="H538" s="7" t="s">
        <v>56</v>
      </c>
      <c r="I538" s="7" t="s">
        <v>1181</v>
      </c>
      <c r="J538" s="10">
        <v>45955.0</v>
      </c>
      <c r="K538" s="8" t="s">
        <v>58</v>
      </c>
      <c r="L538" s="7">
        <v>5.0</v>
      </c>
      <c r="M538" s="7" t="s">
        <v>59</v>
      </c>
      <c r="N538" s="13" t="s">
        <v>1985</v>
      </c>
      <c r="O538" s="15" t="s">
        <v>1986</v>
      </c>
    </row>
    <row r="539">
      <c r="A539" s="5">
        <v>621.0</v>
      </c>
      <c r="B539" s="6">
        <v>45991.63368579861</v>
      </c>
      <c r="C539" s="7" t="s">
        <v>125</v>
      </c>
      <c r="D539" s="8" t="s">
        <v>1987</v>
      </c>
      <c r="E539" s="8" t="s">
        <v>762</v>
      </c>
      <c r="F539" s="7" t="s">
        <v>1988</v>
      </c>
      <c r="G539" s="9" t="s">
        <v>159</v>
      </c>
      <c r="H539" s="7" t="s">
        <v>1989</v>
      </c>
      <c r="I539" s="7" t="s">
        <v>1990</v>
      </c>
      <c r="J539" s="10">
        <v>45966.0</v>
      </c>
      <c r="K539" s="8" t="s">
        <v>22</v>
      </c>
      <c r="L539" s="7">
        <v>4.0</v>
      </c>
      <c r="M539" s="7" t="s">
        <v>1991</v>
      </c>
      <c r="N539" s="13" t="s">
        <v>1992</v>
      </c>
      <c r="O539" s="15" t="s">
        <v>1993</v>
      </c>
    </row>
    <row r="540">
      <c r="A540" s="5">
        <v>622.0</v>
      </c>
      <c r="B540" s="6">
        <v>45991.63464664352</v>
      </c>
      <c r="C540" s="7" t="s">
        <v>26</v>
      </c>
      <c r="D540" s="8" t="s">
        <v>1958</v>
      </c>
      <c r="E540" s="8" t="s">
        <v>574</v>
      </c>
      <c r="F540" s="7" t="s">
        <v>1959</v>
      </c>
      <c r="G540" s="9" t="s">
        <v>181</v>
      </c>
      <c r="H540" s="7" t="s">
        <v>857</v>
      </c>
      <c r="I540" s="7" t="s">
        <v>1588</v>
      </c>
      <c r="J540" s="10">
        <v>45987.0</v>
      </c>
      <c r="K540" s="8" t="s">
        <v>859</v>
      </c>
      <c r="L540" s="7">
        <v>8.0</v>
      </c>
      <c r="M540" s="7" t="s">
        <v>860</v>
      </c>
      <c r="N540" s="13" t="s">
        <v>1994</v>
      </c>
      <c r="O540" s="15" t="s">
        <v>1995</v>
      </c>
    </row>
    <row r="541">
      <c r="A541" s="5">
        <v>623.0</v>
      </c>
      <c r="B541" s="6">
        <v>45991.63520913194</v>
      </c>
      <c r="C541" s="7" t="s">
        <v>15</v>
      </c>
      <c r="D541" s="8" t="s">
        <v>1867</v>
      </c>
      <c r="E541" s="8" t="s">
        <v>1023</v>
      </c>
      <c r="F541" s="7" t="s">
        <v>1868</v>
      </c>
      <c r="G541" s="9" t="s">
        <v>181</v>
      </c>
      <c r="H541" s="7" t="s">
        <v>1996</v>
      </c>
      <c r="I541" s="7" t="s">
        <v>231</v>
      </c>
      <c r="J541" s="10">
        <v>45939.0</v>
      </c>
      <c r="K541" s="8" t="s">
        <v>49</v>
      </c>
      <c r="L541" s="7">
        <v>8.0</v>
      </c>
      <c r="M541" s="7" t="s">
        <v>553</v>
      </c>
      <c r="N541" s="13" t="s">
        <v>1997</v>
      </c>
      <c r="O541" s="15" t="s">
        <v>1998</v>
      </c>
    </row>
    <row r="542">
      <c r="A542" s="5">
        <v>624.0</v>
      </c>
      <c r="B542" s="6">
        <v>45991.636886458335</v>
      </c>
      <c r="C542" s="7" t="s">
        <v>125</v>
      </c>
      <c r="D542" s="8" t="s">
        <v>1987</v>
      </c>
      <c r="E542" s="8" t="s">
        <v>762</v>
      </c>
      <c r="F542" s="7" t="s">
        <v>1988</v>
      </c>
      <c r="G542" s="9" t="s">
        <v>144</v>
      </c>
      <c r="H542" s="7" t="s">
        <v>1999</v>
      </c>
      <c r="I542" s="7" t="s">
        <v>2000</v>
      </c>
      <c r="J542" s="10">
        <v>45963.0</v>
      </c>
      <c r="K542" s="8" t="s">
        <v>22</v>
      </c>
      <c r="L542" s="7">
        <v>4.0</v>
      </c>
      <c r="M542" s="7" t="s">
        <v>168</v>
      </c>
      <c r="N542" s="16"/>
      <c r="O542" s="16"/>
    </row>
    <row r="543">
      <c r="A543" s="5">
        <v>625.0</v>
      </c>
      <c r="B543" s="6">
        <v>45991.63899177083</v>
      </c>
      <c r="C543" s="7" t="s">
        <v>26</v>
      </c>
      <c r="D543" s="8" t="s">
        <v>1958</v>
      </c>
      <c r="E543" s="8" t="s">
        <v>574</v>
      </c>
      <c r="F543" s="7" t="s">
        <v>1959</v>
      </c>
      <c r="G543" s="9" t="s">
        <v>19</v>
      </c>
      <c r="H543" s="7" t="s">
        <v>376</v>
      </c>
      <c r="I543" s="7" t="s">
        <v>37</v>
      </c>
      <c r="J543" s="10">
        <v>45839.0</v>
      </c>
      <c r="K543" s="8" t="s">
        <v>67</v>
      </c>
      <c r="L543" s="7">
        <v>8.0</v>
      </c>
      <c r="M543" s="7" t="s">
        <v>33</v>
      </c>
      <c r="N543" s="13" t="s">
        <v>2001</v>
      </c>
      <c r="O543" s="15" t="s">
        <v>2002</v>
      </c>
    </row>
    <row r="544">
      <c r="A544" s="5">
        <v>626.0</v>
      </c>
      <c r="B544" s="6">
        <v>45991.64045517361</v>
      </c>
      <c r="C544" s="7" t="s">
        <v>15</v>
      </c>
      <c r="D544" s="8" t="s">
        <v>1867</v>
      </c>
      <c r="E544" s="8" t="s">
        <v>1023</v>
      </c>
      <c r="F544" s="7" t="s">
        <v>1868</v>
      </c>
      <c r="G544" s="9" t="s">
        <v>181</v>
      </c>
      <c r="H544" s="7" t="s">
        <v>2003</v>
      </c>
      <c r="I544" s="7" t="s">
        <v>231</v>
      </c>
      <c r="J544" s="10">
        <v>45945.0</v>
      </c>
      <c r="K544" s="8" t="s">
        <v>49</v>
      </c>
      <c r="L544" s="7">
        <v>8.0</v>
      </c>
      <c r="M544" s="7" t="s">
        <v>553</v>
      </c>
      <c r="N544" s="13" t="s">
        <v>2004</v>
      </c>
      <c r="O544" s="15" t="s">
        <v>2005</v>
      </c>
    </row>
    <row r="545">
      <c r="A545" s="5">
        <v>627.0</v>
      </c>
      <c r="B545" s="6">
        <v>45991.642930682865</v>
      </c>
      <c r="C545" s="7" t="s">
        <v>15</v>
      </c>
      <c r="D545" s="8" t="s">
        <v>1867</v>
      </c>
      <c r="E545" s="8" t="s">
        <v>1023</v>
      </c>
      <c r="F545" s="7" t="s">
        <v>1868</v>
      </c>
      <c r="G545" s="9" t="s">
        <v>181</v>
      </c>
      <c r="H545" s="7" t="s">
        <v>2003</v>
      </c>
      <c r="I545" s="7" t="s">
        <v>231</v>
      </c>
      <c r="J545" s="10">
        <v>45958.0</v>
      </c>
      <c r="K545" s="8" t="s">
        <v>22</v>
      </c>
      <c r="L545" s="7">
        <v>4.0</v>
      </c>
      <c r="M545" s="7" t="s">
        <v>553</v>
      </c>
      <c r="N545" s="13" t="s">
        <v>2006</v>
      </c>
      <c r="O545" s="15" t="s">
        <v>2007</v>
      </c>
    </row>
    <row r="546">
      <c r="A546" s="5">
        <v>628.0</v>
      </c>
      <c r="B546" s="6">
        <v>45991.64302216435</v>
      </c>
      <c r="C546" s="7" t="s">
        <v>26</v>
      </c>
      <c r="D546" s="8" t="s">
        <v>1958</v>
      </c>
      <c r="E546" s="8" t="s">
        <v>574</v>
      </c>
      <c r="F546" s="7" t="s">
        <v>1959</v>
      </c>
      <c r="G546" s="9" t="s">
        <v>19</v>
      </c>
      <c r="H546" s="7" t="s">
        <v>44</v>
      </c>
      <c r="I546" s="7" t="s">
        <v>37</v>
      </c>
      <c r="J546" s="10">
        <v>45840.0</v>
      </c>
      <c r="K546" s="8" t="s">
        <v>67</v>
      </c>
      <c r="L546" s="7">
        <v>8.0</v>
      </c>
      <c r="M546" s="7" t="s">
        <v>33</v>
      </c>
      <c r="N546" s="13" t="s">
        <v>2008</v>
      </c>
      <c r="O546" s="15" t="s">
        <v>2009</v>
      </c>
    </row>
    <row r="547">
      <c r="A547" s="5">
        <v>629.0</v>
      </c>
      <c r="B547" s="6">
        <v>45991.64820947917</v>
      </c>
      <c r="C547" s="7" t="s">
        <v>26</v>
      </c>
      <c r="D547" s="8" t="s">
        <v>1958</v>
      </c>
      <c r="E547" s="8" t="s">
        <v>574</v>
      </c>
      <c r="F547" s="7" t="s">
        <v>1959</v>
      </c>
      <c r="G547" s="9" t="s">
        <v>181</v>
      </c>
      <c r="H547" s="7" t="s">
        <v>382</v>
      </c>
      <c r="I547" s="7" t="s">
        <v>1211</v>
      </c>
      <c r="J547" s="10">
        <v>45859.0</v>
      </c>
      <c r="K547" s="8" t="s">
        <v>2010</v>
      </c>
      <c r="L547" s="7">
        <v>8.0</v>
      </c>
      <c r="M547" s="7" t="s">
        <v>33</v>
      </c>
      <c r="N547" s="13" t="s">
        <v>2011</v>
      </c>
      <c r="O547" s="16"/>
    </row>
    <row r="548">
      <c r="A548" s="5">
        <v>630.0</v>
      </c>
      <c r="B548" s="6">
        <v>45991.648215277775</v>
      </c>
      <c r="C548" s="7" t="s">
        <v>26</v>
      </c>
      <c r="D548" s="8" t="s">
        <v>1958</v>
      </c>
      <c r="E548" s="8" t="s">
        <v>574</v>
      </c>
      <c r="F548" s="7" t="s">
        <v>1959</v>
      </c>
      <c r="G548" s="9" t="s">
        <v>181</v>
      </c>
      <c r="H548" s="7" t="s">
        <v>382</v>
      </c>
      <c r="I548" s="7" t="s">
        <v>1211</v>
      </c>
      <c r="J548" s="10">
        <v>45859.0</v>
      </c>
      <c r="K548" s="8" t="s">
        <v>2010</v>
      </c>
      <c r="L548" s="7">
        <v>8.0</v>
      </c>
      <c r="M548" s="7" t="s">
        <v>33</v>
      </c>
      <c r="N548" s="13" t="s">
        <v>2012</v>
      </c>
      <c r="O548" s="15" t="s">
        <v>2013</v>
      </c>
    </row>
    <row r="549">
      <c r="A549" s="5">
        <v>631.0</v>
      </c>
      <c r="B549" s="6">
        <v>45991.67847560185</v>
      </c>
      <c r="C549" s="7" t="s">
        <v>15</v>
      </c>
      <c r="D549" s="8" t="s">
        <v>663</v>
      </c>
      <c r="E549" s="8" t="s">
        <v>664</v>
      </c>
      <c r="F549" s="7" t="s">
        <v>665</v>
      </c>
      <c r="G549" s="9" t="s">
        <v>181</v>
      </c>
      <c r="H549" s="7" t="s">
        <v>2014</v>
      </c>
      <c r="I549" s="7" t="s">
        <v>231</v>
      </c>
      <c r="J549" s="10">
        <v>45938.0</v>
      </c>
      <c r="K549" s="8" t="s">
        <v>49</v>
      </c>
      <c r="L549" s="7">
        <v>8.0</v>
      </c>
      <c r="M549" s="7" t="s">
        <v>33</v>
      </c>
      <c r="N549" s="13" t="s">
        <v>2015</v>
      </c>
      <c r="O549" s="15" t="s">
        <v>2016</v>
      </c>
    </row>
    <row r="550">
      <c r="A550" s="5">
        <v>632.0</v>
      </c>
      <c r="B550" s="6">
        <v>45991.68096006944</v>
      </c>
      <c r="C550" s="7" t="s">
        <v>15</v>
      </c>
      <c r="D550" s="8" t="s">
        <v>395</v>
      </c>
      <c r="E550" s="8" t="s">
        <v>396</v>
      </c>
      <c r="F550" s="7" t="s">
        <v>397</v>
      </c>
      <c r="G550" s="9" t="s">
        <v>181</v>
      </c>
      <c r="H550" s="7" t="s">
        <v>2017</v>
      </c>
      <c r="I550" s="7" t="s">
        <v>231</v>
      </c>
      <c r="J550" s="10">
        <v>45938.0</v>
      </c>
      <c r="K550" s="8" t="s">
        <v>49</v>
      </c>
      <c r="L550" s="7">
        <v>8.0</v>
      </c>
      <c r="M550" s="7" t="s">
        <v>33</v>
      </c>
      <c r="N550" s="13" t="s">
        <v>2018</v>
      </c>
      <c r="O550" s="15" t="s">
        <v>2019</v>
      </c>
    </row>
    <row r="551">
      <c r="A551" s="5">
        <v>633.0</v>
      </c>
      <c r="B551" s="6">
        <v>45991.68221672454</v>
      </c>
      <c r="C551" s="7" t="s">
        <v>15</v>
      </c>
      <c r="D551" s="8" t="s">
        <v>663</v>
      </c>
      <c r="E551" s="8" t="s">
        <v>664</v>
      </c>
      <c r="F551" s="7" t="s">
        <v>665</v>
      </c>
      <c r="G551" s="9" t="s">
        <v>181</v>
      </c>
      <c r="H551" s="7" t="s">
        <v>2014</v>
      </c>
      <c r="I551" s="7" t="s">
        <v>231</v>
      </c>
      <c r="J551" s="10">
        <v>45939.0</v>
      </c>
      <c r="K551" s="8" t="s">
        <v>49</v>
      </c>
      <c r="L551" s="7">
        <v>8.0</v>
      </c>
      <c r="M551" s="7" t="s">
        <v>33</v>
      </c>
      <c r="N551" s="13" t="s">
        <v>2020</v>
      </c>
      <c r="O551" s="15" t="s">
        <v>2021</v>
      </c>
    </row>
    <row r="552">
      <c r="A552" s="5">
        <v>634.0</v>
      </c>
      <c r="B552" s="6">
        <v>45991.68304420139</v>
      </c>
      <c r="C552" s="7" t="s">
        <v>15</v>
      </c>
      <c r="D552" s="8" t="s">
        <v>395</v>
      </c>
      <c r="E552" s="8" t="s">
        <v>396</v>
      </c>
      <c r="F552" s="7" t="s">
        <v>397</v>
      </c>
      <c r="G552" s="9" t="s">
        <v>181</v>
      </c>
      <c r="H552" s="7" t="s">
        <v>2017</v>
      </c>
      <c r="I552" s="7" t="s">
        <v>231</v>
      </c>
      <c r="J552" s="10">
        <v>45939.0</v>
      </c>
      <c r="K552" s="8" t="s">
        <v>49</v>
      </c>
      <c r="L552" s="7">
        <v>8.0</v>
      </c>
      <c r="M552" s="7" t="s">
        <v>33</v>
      </c>
      <c r="N552" s="13" t="s">
        <v>2022</v>
      </c>
      <c r="O552" s="15" t="s">
        <v>2023</v>
      </c>
    </row>
    <row r="553">
      <c r="A553" s="5">
        <v>635.0</v>
      </c>
      <c r="B553" s="6">
        <v>45991.68355696759</v>
      </c>
      <c r="C553" s="7" t="s">
        <v>15</v>
      </c>
      <c r="D553" s="8" t="s">
        <v>663</v>
      </c>
      <c r="E553" s="8" t="s">
        <v>664</v>
      </c>
      <c r="F553" s="7" t="s">
        <v>665</v>
      </c>
      <c r="G553" s="9" t="s">
        <v>181</v>
      </c>
      <c r="H553" s="7" t="s">
        <v>2014</v>
      </c>
      <c r="I553" s="7" t="s">
        <v>231</v>
      </c>
      <c r="J553" s="10">
        <v>45940.0</v>
      </c>
      <c r="K553" s="8" t="s">
        <v>22</v>
      </c>
      <c r="L553" s="7">
        <v>4.0</v>
      </c>
      <c r="M553" s="7" t="s">
        <v>33</v>
      </c>
      <c r="N553" s="13" t="s">
        <v>2024</v>
      </c>
      <c r="O553" s="15" t="s">
        <v>2025</v>
      </c>
    </row>
    <row r="554">
      <c r="A554" s="5">
        <v>636.0</v>
      </c>
      <c r="B554" s="6">
        <v>45991.68478814815</v>
      </c>
      <c r="C554" s="7" t="s">
        <v>15</v>
      </c>
      <c r="D554" s="8" t="s">
        <v>395</v>
      </c>
      <c r="E554" s="8" t="s">
        <v>396</v>
      </c>
      <c r="F554" s="7" t="s">
        <v>397</v>
      </c>
      <c r="G554" s="9" t="s">
        <v>181</v>
      </c>
      <c r="H554" s="7" t="s">
        <v>2017</v>
      </c>
      <c r="I554" s="7" t="s">
        <v>231</v>
      </c>
      <c r="J554" s="10">
        <v>45940.0</v>
      </c>
      <c r="K554" s="8" t="s">
        <v>22</v>
      </c>
      <c r="L554" s="7">
        <v>4.0</v>
      </c>
      <c r="M554" s="7" t="s">
        <v>33</v>
      </c>
      <c r="N554" s="13" t="s">
        <v>2026</v>
      </c>
      <c r="O554" s="15" t="s">
        <v>2027</v>
      </c>
    </row>
    <row r="555">
      <c r="A555" s="5">
        <v>637.0</v>
      </c>
      <c r="B555" s="6">
        <v>45991.690001435185</v>
      </c>
      <c r="C555" s="7" t="s">
        <v>26</v>
      </c>
      <c r="D555" s="8" t="s">
        <v>934</v>
      </c>
      <c r="E555" s="8" t="s">
        <v>287</v>
      </c>
      <c r="F555" s="7" t="s">
        <v>935</v>
      </c>
      <c r="G555" s="9" t="s">
        <v>19</v>
      </c>
      <c r="H555" s="7" t="s">
        <v>2028</v>
      </c>
      <c r="I555" s="7" t="s">
        <v>2029</v>
      </c>
      <c r="J555" s="10">
        <v>45991.0</v>
      </c>
      <c r="K555" s="8" t="s">
        <v>1546</v>
      </c>
      <c r="L555" s="7">
        <v>8.0</v>
      </c>
      <c r="M555" s="7" t="s">
        <v>774</v>
      </c>
      <c r="N555" s="13" t="s">
        <v>2030</v>
      </c>
      <c r="O555" s="15" t="s">
        <v>2031</v>
      </c>
    </row>
    <row r="556">
      <c r="A556" s="5">
        <v>638.0</v>
      </c>
      <c r="B556" s="6">
        <v>45991.69147503472</v>
      </c>
      <c r="C556" s="7" t="s">
        <v>26</v>
      </c>
      <c r="D556" s="8" t="s">
        <v>1247</v>
      </c>
      <c r="E556" s="8" t="s">
        <v>1248</v>
      </c>
      <c r="F556" s="7" t="s">
        <v>1249</v>
      </c>
      <c r="G556" s="9" t="s">
        <v>19</v>
      </c>
      <c r="H556" s="7" t="s">
        <v>2032</v>
      </c>
      <c r="I556" s="7" t="s">
        <v>2033</v>
      </c>
      <c r="J556" s="10">
        <v>45891.0</v>
      </c>
      <c r="K556" s="8" t="s">
        <v>639</v>
      </c>
      <c r="L556" s="7">
        <v>4.0</v>
      </c>
      <c r="M556" s="7" t="s">
        <v>87</v>
      </c>
      <c r="N556" s="13" t="s">
        <v>2034</v>
      </c>
      <c r="O556" s="15" t="s">
        <v>2035</v>
      </c>
    </row>
    <row r="557">
      <c r="A557" s="5">
        <v>639.0</v>
      </c>
      <c r="B557" s="6">
        <v>45991.69312619213</v>
      </c>
      <c r="C557" s="7" t="s">
        <v>26</v>
      </c>
      <c r="D557" s="8" t="s">
        <v>1247</v>
      </c>
      <c r="E557" s="8" t="s">
        <v>1248</v>
      </c>
      <c r="F557" s="7" t="s">
        <v>1249</v>
      </c>
      <c r="G557" s="9" t="s">
        <v>19</v>
      </c>
      <c r="H557" s="7" t="s">
        <v>2032</v>
      </c>
      <c r="I557" s="7" t="s">
        <v>2033</v>
      </c>
      <c r="J557" s="10">
        <v>45892.0</v>
      </c>
      <c r="K557" s="8" t="s">
        <v>49</v>
      </c>
      <c r="L557" s="7">
        <v>8.0</v>
      </c>
      <c r="M557" s="7" t="s">
        <v>87</v>
      </c>
      <c r="N557" s="13" t="s">
        <v>2036</v>
      </c>
      <c r="O557" s="15" t="s">
        <v>2037</v>
      </c>
    </row>
    <row r="558">
      <c r="A558" s="5">
        <v>640.0</v>
      </c>
      <c r="B558" s="6">
        <v>45991.694413425925</v>
      </c>
      <c r="C558" s="7" t="s">
        <v>26</v>
      </c>
      <c r="D558" s="8" t="s">
        <v>1247</v>
      </c>
      <c r="E558" s="8" t="s">
        <v>1248</v>
      </c>
      <c r="F558" s="7" t="s">
        <v>1249</v>
      </c>
      <c r="G558" s="9" t="s">
        <v>19</v>
      </c>
      <c r="H558" s="7" t="s">
        <v>2032</v>
      </c>
      <c r="I558" s="7" t="s">
        <v>2033</v>
      </c>
      <c r="J558" s="10">
        <v>45893.0</v>
      </c>
      <c r="K558" s="8" t="s">
        <v>49</v>
      </c>
      <c r="L558" s="7">
        <v>8.0</v>
      </c>
      <c r="M558" s="7" t="s">
        <v>87</v>
      </c>
      <c r="N558" s="13" t="s">
        <v>2038</v>
      </c>
      <c r="O558" s="15" t="s">
        <v>2039</v>
      </c>
    </row>
    <row r="559">
      <c r="A559" s="5">
        <v>641.0</v>
      </c>
      <c r="B559" s="6">
        <v>45991.69592835648</v>
      </c>
      <c r="C559" s="7" t="s">
        <v>26</v>
      </c>
      <c r="D559" s="8" t="s">
        <v>1247</v>
      </c>
      <c r="E559" s="8" t="s">
        <v>1248</v>
      </c>
      <c r="F559" s="7" t="s">
        <v>1249</v>
      </c>
      <c r="G559" s="9" t="s">
        <v>19</v>
      </c>
      <c r="H559" s="7" t="s">
        <v>955</v>
      </c>
      <c r="I559" s="7" t="s">
        <v>956</v>
      </c>
      <c r="J559" s="10">
        <v>45977.0</v>
      </c>
      <c r="K559" s="8" t="s">
        <v>957</v>
      </c>
      <c r="L559" s="7">
        <v>4.0</v>
      </c>
      <c r="M559" s="7" t="s">
        <v>87</v>
      </c>
      <c r="N559" s="13" t="s">
        <v>2040</v>
      </c>
      <c r="O559" s="15" t="s">
        <v>2041</v>
      </c>
    </row>
    <row r="560">
      <c r="A560" s="5">
        <v>642.0</v>
      </c>
      <c r="B560" s="6">
        <v>45991.69970895833</v>
      </c>
      <c r="C560" s="7" t="s">
        <v>26</v>
      </c>
      <c r="D560" s="8" t="s">
        <v>1247</v>
      </c>
      <c r="E560" s="8" t="s">
        <v>1248</v>
      </c>
      <c r="F560" s="7" t="s">
        <v>1249</v>
      </c>
      <c r="G560" s="9" t="s">
        <v>19</v>
      </c>
      <c r="H560" s="7" t="s">
        <v>87</v>
      </c>
      <c r="I560" s="7" t="s">
        <v>498</v>
      </c>
      <c r="J560" s="10">
        <v>45961.0</v>
      </c>
      <c r="K560" s="8" t="s">
        <v>639</v>
      </c>
      <c r="L560" s="7">
        <v>4.0</v>
      </c>
      <c r="M560" s="7" t="s">
        <v>87</v>
      </c>
      <c r="N560" s="13" t="s">
        <v>2042</v>
      </c>
      <c r="O560" s="15" t="s">
        <v>2043</v>
      </c>
    </row>
    <row r="561">
      <c r="A561" s="5">
        <v>643.0</v>
      </c>
      <c r="B561" s="6">
        <v>45991.70480753473</v>
      </c>
      <c r="C561" s="7" t="s">
        <v>15</v>
      </c>
      <c r="D561" s="8" t="s">
        <v>2044</v>
      </c>
      <c r="E561" s="8" t="s">
        <v>134</v>
      </c>
      <c r="F561" s="7" t="s">
        <v>2045</v>
      </c>
      <c r="G561" s="9" t="s">
        <v>19</v>
      </c>
      <c r="H561" s="7" t="s">
        <v>99</v>
      </c>
      <c r="I561" s="7" t="s">
        <v>37</v>
      </c>
      <c r="J561" s="10">
        <v>45839.0</v>
      </c>
      <c r="K561" s="8" t="s">
        <v>49</v>
      </c>
      <c r="L561" s="7">
        <v>8.0</v>
      </c>
      <c r="M561" s="7" t="s">
        <v>33</v>
      </c>
      <c r="N561" s="13" t="s">
        <v>2046</v>
      </c>
      <c r="O561" s="15" t="s">
        <v>2047</v>
      </c>
    </row>
    <row r="562">
      <c r="A562" s="5">
        <v>646.0</v>
      </c>
      <c r="B562" s="6">
        <v>45991.71343528935</v>
      </c>
      <c r="C562" s="7" t="s">
        <v>26</v>
      </c>
      <c r="D562" s="8" t="s">
        <v>1247</v>
      </c>
      <c r="E562" s="8" t="s">
        <v>1248</v>
      </c>
      <c r="F562" s="7" t="s">
        <v>1249</v>
      </c>
      <c r="G562" s="9" t="s">
        <v>19</v>
      </c>
      <c r="H562" s="7" t="s">
        <v>1105</v>
      </c>
      <c r="I562" s="7" t="s">
        <v>498</v>
      </c>
      <c r="J562" s="10">
        <v>45961.0</v>
      </c>
      <c r="K562" s="8" t="s">
        <v>639</v>
      </c>
      <c r="L562" s="7">
        <v>4.0</v>
      </c>
      <c r="M562" s="7" t="s">
        <v>87</v>
      </c>
      <c r="N562" s="13" t="s">
        <v>2048</v>
      </c>
      <c r="O562" s="15" t="s">
        <v>2049</v>
      </c>
    </row>
    <row r="563">
      <c r="A563" s="5">
        <v>648.0</v>
      </c>
      <c r="B563" s="6">
        <v>45991.71363293982</v>
      </c>
      <c r="C563" s="7" t="s">
        <v>15</v>
      </c>
      <c r="D563" s="8" t="s">
        <v>2050</v>
      </c>
      <c r="E563" s="8" t="s">
        <v>179</v>
      </c>
      <c r="F563" s="7" t="s">
        <v>2051</v>
      </c>
      <c r="G563" s="9" t="s">
        <v>84</v>
      </c>
      <c r="H563" s="7" t="s">
        <v>85</v>
      </c>
      <c r="I563" s="7" t="s">
        <v>2052</v>
      </c>
      <c r="J563" s="10">
        <v>45955.0</v>
      </c>
      <c r="K563" s="8" t="s">
        <v>2053</v>
      </c>
      <c r="L563" s="7">
        <v>8.0</v>
      </c>
      <c r="M563" s="7" t="s">
        <v>2054</v>
      </c>
      <c r="N563" s="13" t="s">
        <v>2055</v>
      </c>
      <c r="O563" s="15" t="s">
        <v>2056</v>
      </c>
    </row>
    <row r="564">
      <c r="A564" s="5">
        <v>649.0</v>
      </c>
      <c r="B564" s="6">
        <v>45991.71393590278</v>
      </c>
      <c r="C564" s="7" t="s">
        <v>125</v>
      </c>
      <c r="D564" s="8" t="s">
        <v>286</v>
      </c>
      <c r="E564" s="8" t="s">
        <v>287</v>
      </c>
      <c r="F564" s="7" t="s">
        <v>288</v>
      </c>
      <c r="G564" s="9" t="s">
        <v>84</v>
      </c>
      <c r="H564" s="7" t="s">
        <v>85</v>
      </c>
      <c r="I564" s="7" t="s">
        <v>86</v>
      </c>
      <c r="J564" s="10">
        <v>45990.0</v>
      </c>
      <c r="K564" s="8" t="s">
        <v>49</v>
      </c>
      <c r="L564" s="7">
        <v>8.0</v>
      </c>
      <c r="M564" s="7" t="s">
        <v>2057</v>
      </c>
      <c r="N564" s="13" t="s">
        <v>2058</v>
      </c>
      <c r="O564" s="15" t="s">
        <v>2059</v>
      </c>
    </row>
    <row r="565">
      <c r="A565" s="5">
        <v>650.0</v>
      </c>
      <c r="B565" s="6">
        <v>45991.714933564814</v>
      </c>
      <c r="C565" s="7" t="s">
        <v>760</v>
      </c>
      <c r="D565" s="8" t="s">
        <v>2060</v>
      </c>
      <c r="E565" s="8" t="s">
        <v>2061</v>
      </c>
      <c r="F565" s="7" t="s">
        <v>2062</v>
      </c>
      <c r="G565" s="9" t="s">
        <v>181</v>
      </c>
      <c r="H565" s="7" t="s">
        <v>895</v>
      </c>
      <c r="I565" s="7" t="s">
        <v>314</v>
      </c>
      <c r="J565" s="10">
        <v>45991.0</v>
      </c>
      <c r="K565" s="8" t="s">
        <v>2063</v>
      </c>
      <c r="L565" s="7">
        <v>1.0</v>
      </c>
      <c r="M565" s="7" t="s">
        <v>33</v>
      </c>
      <c r="N565" s="13" t="s">
        <v>2064</v>
      </c>
      <c r="O565" s="16"/>
    </row>
    <row r="566">
      <c r="A566" s="5">
        <v>651.0</v>
      </c>
      <c r="B566" s="6">
        <v>45991.71494171296</v>
      </c>
      <c r="C566" s="7" t="s">
        <v>125</v>
      </c>
      <c r="D566" s="8" t="s">
        <v>178</v>
      </c>
      <c r="E566" s="8" t="s">
        <v>179</v>
      </c>
      <c r="F566" s="7" t="s">
        <v>180</v>
      </c>
      <c r="G566" s="9" t="s">
        <v>84</v>
      </c>
      <c r="H566" s="7" t="s">
        <v>85</v>
      </c>
      <c r="I566" s="7" t="s">
        <v>2065</v>
      </c>
      <c r="J566" s="10">
        <v>45879.0</v>
      </c>
      <c r="K566" s="8" t="s">
        <v>2066</v>
      </c>
      <c r="L566" s="7">
        <v>8.0</v>
      </c>
      <c r="M566" s="7" t="s">
        <v>33</v>
      </c>
      <c r="N566" s="13" t="s">
        <v>2067</v>
      </c>
      <c r="O566" s="15" t="s">
        <v>2068</v>
      </c>
    </row>
    <row r="567">
      <c r="A567" s="5">
        <v>652.0</v>
      </c>
      <c r="B567" s="6">
        <v>45991.71594354167</v>
      </c>
      <c r="C567" s="7" t="s">
        <v>26</v>
      </c>
      <c r="D567" s="8" t="s">
        <v>1247</v>
      </c>
      <c r="E567" s="8" t="s">
        <v>1248</v>
      </c>
      <c r="F567" s="7" t="s">
        <v>1249</v>
      </c>
      <c r="G567" s="9" t="s">
        <v>19</v>
      </c>
      <c r="H567" s="7" t="s">
        <v>1105</v>
      </c>
      <c r="I567" s="7" t="s">
        <v>498</v>
      </c>
      <c r="J567" s="10">
        <v>45962.0</v>
      </c>
      <c r="K567" s="8" t="s">
        <v>49</v>
      </c>
      <c r="L567" s="7">
        <v>8.0</v>
      </c>
      <c r="M567" s="7" t="s">
        <v>87</v>
      </c>
      <c r="N567" s="13" t="s">
        <v>2069</v>
      </c>
      <c r="O567" s="15" t="s">
        <v>2070</v>
      </c>
    </row>
    <row r="568">
      <c r="A568" s="5">
        <v>653.0</v>
      </c>
      <c r="B568" s="6">
        <v>45991.71605885417</v>
      </c>
      <c r="C568" s="7" t="s">
        <v>760</v>
      </c>
      <c r="D568" s="8" t="s">
        <v>2071</v>
      </c>
      <c r="E568" s="8" t="s">
        <v>319</v>
      </c>
      <c r="F568" s="7" t="s">
        <v>2072</v>
      </c>
      <c r="G568" s="9" t="s">
        <v>144</v>
      </c>
      <c r="H568" s="7" t="s">
        <v>2073</v>
      </c>
      <c r="I568" s="7" t="s">
        <v>2074</v>
      </c>
      <c r="J568" s="10">
        <v>45990.0</v>
      </c>
      <c r="K568" s="8" t="s">
        <v>22</v>
      </c>
      <c r="L568" s="7">
        <v>4.0</v>
      </c>
      <c r="M568" s="7" t="s">
        <v>2075</v>
      </c>
      <c r="N568" s="13" t="s">
        <v>2076</v>
      </c>
      <c r="O568" s="15" t="s">
        <v>2077</v>
      </c>
    </row>
    <row r="569">
      <c r="A569" s="5">
        <v>654.0</v>
      </c>
      <c r="B569" s="6">
        <v>45991.71703097222</v>
      </c>
      <c r="C569" s="7" t="s">
        <v>125</v>
      </c>
      <c r="D569" s="8" t="s">
        <v>1987</v>
      </c>
      <c r="E569" s="8" t="s">
        <v>762</v>
      </c>
      <c r="F569" s="7" t="s">
        <v>1988</v>
      </c>
      <c r="G569" s="9" t="s">
        <v>144</v>
      </c>
      <c r="H569" s="7" t="s">
        <v>2078</v>
      </c>
      <c r="I569" s="7" t="s">
        <v>1990</v>
      </c>
      <c r="J569" s="10">
        <v>45942.0</v>
      </c>
      <c r="K569" s="8" t="s">
        <v>22</v>
      </c>
      <c r="L569" s="7">
        <v>4.0</v>
      </c>
      <c r="M569" s="7" t="s">
        <v>2079</v>
      </c>
      <c r="N569" s="13" t="s">
        <v>2080</v>
      </c>
      <c r="O569" s="16"/>
    </row>
    <row r="570">
      <c r="A570" s="5">
        <v>655.0</v>
      </c>
      <c r="B570" s="6">
        <v>45991.71707416666</v>
      </c>
      <c r="C570" s="7" t="s">
        <v>125</v>
      </c>
      <c r="D570" s="8" t="s">
        <v>2081</v>
      </c>
      <c r="E570" s="8" t="s">
        <v>664</v>
      </c>
      <c r="F570" s="7" t="s">
        <v>2082</v>
      </c>
      <c r="G570" s="9" t="s">
        <v>19</v>
      </c>
      <c r="H570" s="7" t="s">
        <v>173</v>
      </c>
      <c r="I570" s="7" t="s">
        <v>174</v>
      </c>
      <c r="J570" s="10">
        <v>45854.0</v>
      </c>
      <c r="K570" s="8" t="s">
        <v>175</v>
      </c>
      <c r="L570" s="7">
        <v>6.0</v>
      </c>
      <c r="M570" s="7" t="s">
        <v>106</v>
      </c>
      <c r="N570" s="13" t="s">
        <v>2083</v>
      </c>
      <c r="O570" s="16"/>
    </row>
    <row r="571">
      <c r="A571" s="5">
        <v>656.0</v>
      </c>
      <c r="B571" s="6">
        <v>45991.717113969906</v>
      </c>
      <c r="C571" s="7" t="s">
        <v>15</v>
      </c>
      <c r="D571" s="8" t="s">
        <v>2050</v>
      </c>
      <c r="E571" s="8" t="s">
        <v>179</v>
      </c>
      <c r="F571" s="7" t="s">
        <v>2051</v>
      </c>
      <c r="G571" s="9" t="s">
        <v>19</v>
      </c>
      <c r="H571" s="7" t="s">
        <v>2084</v>
      </c>
      <c r="I571" s="7" t="s">
        <v>94</v>
      </c>
      <c r="J571" s="10">
        <v>45823.0</v>
      </c>
      <c r="K571" s="8" t="s">
        <v>22</v>
      </c>
      <c r="L571" s="7">
        <v>4.0</v>
      </c>
      <c r="M571" s="7" t="s">
        <v>106</v>
      </c>
      <c r="N571" s="13" t="s">
        <v>2085</v>
      </c>
      <c r="O571" s="15" t="s">
        <v>2086</v>
      </c>
    </row>
    <row r="572">
      <c r="A572" s="5">
        <v>657.0</v>
      </c>
      <c r="B572" s="6">
        <v>45991.717786319445</v>
      </c>
      <c r="C572" s="7" t="s">
        <v>760</v>
      </c>
      <c r="D572" s="8" t="s">
        <v>2071</v>
      </c>
      <c r="E572" s="8" t="s">
        <v>319</v>
      </c>
      <c r="F572" s="7" t="s">
        <v>2072</v>
      </c>
      <c r="G572" s="9" t="s">
        <v>144</v>
      </c>
      <c r="H572" s="7" t="s">
        <v>2087</v>
      </c>
      <c r="I572" s="7" t="s">
        <v>2074</v>
      </c>
      <c r="J572" s="10">
        <v>45991.0</v>
      </c>
      <c r="K572" s="8" t="s">
        <v>1365</v>
      </c>
      <c r="L572" s="7">
        <v>4.0</v>
      </c>
      <c r="M572" s="7" t="s">
        <v>2075</v>
      </c>
      <c r="N572" s="13" t="s">
        <v>2088</v>
      </c>
      <c r="O572" s="15" t="s">
        <v>2089</v>
      </c>
    </row>
    <row r="573">
      <c r="A573" s="5">
        <v>658.0</v>
      </c>
      <c r="B573" s="6">
        <v>45991.718040625</v>
      </c>
      <c r="C573" s="7" t="s">
        <v>26</v>
      </c>
      <c r="D573" s="8" t="s">
        <v>1247</v>
      </c>
      <c r="E573" s="8" t="s">
        <v>1248</v>
      </c>
      <c r="F573" s="7" t="s">
        <v>1249</v>
      </c>
      <c r="G573" s="9" t="s">
        <v>19</v>
      </c>
      <c r="H573" s="7" t="s">
        <v>1105</v>
      </c>
      <c r="I573" s="7" t="s">
        <v>498</v>
      </c>
      <c r="J573" s="10">
        <v>45963.0</v>
      </c>
      <c r="K573" s="8" t="s">
        <v>49</v>
      </c>
      <c r="L573" s="7">
        <v>8.0</v>
      </c>
      <c r="M573" s="7" t="s">
        <v>87</v>
      </c>
      <c r="N573" s="13" t="s">
        <v>2090</v>
      </c>
      <c r="O573" s="15" t="s">
        <v>2091</v>
      </c>
    </row>
    <row r="574">
      <c r="A574" s="5">
        <v>659.0</v>
      </c>
      <c r="B574" s="6">
        <v>45991.71925324074</v>
      </c>
      <c r="C574" s="7" t="s">
        <v>125</v>
      </c>
      <c r="D574" s="8" t="s">
        <v>178</v>
      </c>
      <c r="E574" s="8" t="s">
        <v>179</v>
      </c>
      <c r="F574" s="7" t="s">
        <v>180</v>
      </c>
      <c r="G574" s="9" t="s">
        <v>181</v>
      </c>
      <c r="H574" s="7" t="s">
        <v>1850</v>
      </c>
      <c r="I574" s="7" t="s">
        <v>2092</v>
      </c>
      <c r="J574" s="10">
        <v>45876.0</v>
      </c>
      <c r="K574" s="8" t="s">
        <v>518</v>
      </c>
      <c r="L574" s="7">
        <v>2.0</v>
      </c>
      <c r="M574" s="7" t="s">
        <v>33</v>
      </c>
      <c r="N574" s="13" t="s">
        <v>2093</v>
      </c>
      <c r="O574" s="15" t="s">
        <v>2094</v>
      </c>
    </row>
    <row r="575">
      <c r="A575" s="5">
        <v>660.0</v>
      </c>
      <c r="B575" s="6">
        <v>45991.72175866898</v>
      </c>
      <c r="C575" s="7" t="s">
        <v>15</v>
      </c>
      <c r="D575" s="8" t="s">
        <v>2050</v>
      </c>
      <c r="E575" s="8" t="s">
        <v>179</v>
      </c>
      <c r="F575" s="7" t="s">
        <v>2051</v>
      </c>
      <c r="G575" s="9" t="s">
        <v>19</v>
      </c>
      <c r="H575" s="7" t="s">
        <v>2095</v>
      </c>
      <c r="I575" s="7" t="s">
        <v>37</v>
      </c>
      <c r="J575" s="10">
        <v>45839.0</v>
      </c>
      <c r="K575" s="8" t="s">
        <v>67</v>
      </c>
      <c r="L575" s="7">
        <v>8.0</v>
      </c>
      <c r="M575" s="7" t="s">
        <v>33</v>
      </c>
      <c r="N575" s="13" t="s">
        <v>2096</v>
      </c>
      <c r="O575" s="15" t="s">
        <v>2097</v>
      </c>
    </row>
    <row r="576">
      <c r="A576" s="5">
        <v>661.0</v>
      </c>
      <c r="B576" s="6">
        <v>45991.72379640046</v>
      </c>
      <c r="C576" s="7" t="s">
        <v>125</v>
      </c>
      <c r="D576" s="8" t="s">
        <v>178</v>
      </c>
      <c r="E576" s="8" t="s">
        <v>179</v>
      </c>
      <c r="F576" s="7" t="s">
        <v>180</v>
      </c>
      <c r="G576" s="9" t="s">
        <v>19</v>
      </c>
      <c r="H576" s="7" t="s">
        <v>173</v>
      </c>
      <c r="I576" s="7" t="s">
        <v>174</v>
      </c>
      <c r="J576" s="10">
        <v>45854.0</v>
      </c>
      <c r="K576" s="8" t="s">
        <v>175</v>
      </c>
      <c r="L576" s="7">
        <v>6.0</v>
      </c>
      <c r="M576" s="7" t="s">
        <v>106</v>
      </c>
      <c r="N576" s="13" t="s">
        <v>2098</v>
      </c>
      <c r="O576" s="15" t="s">
        <v>2099</v>
      </c>
    </row>
    <row r="577">
      <c r="A577" s="5">
        <v>662.0</v>
      </c>
      <c r="B577" s="6">
        <v>45991.72796888889</v>
      </c>
      <c r="C577" s="7" t="s">
        <v>125</v>
      </c>
      <c r="D577" s="8" t="s">
        <v>178</v>
      </c>
      <c r="E577" s="8" t="s">
        <v>179</v>
      </c>
      <c r="F577" s="7" t="s">
        <v>180</v>
      </c>
      <c r="G577" s="9" t="s">
        <v>144</v>
      </c>
      <c r="H577" s="7" t="s">
        <v>2100</v>
      </c>
      <c r="I577" s="7" t="s">
        <v>2101</v>
      </c>
      <c r="J577" s="10">
        <v>45966.0</v>
      </c>
      <c r="K577" s="8" t="s">
        <v>2102</v>
      </c>
      <c r="L577" s="7">
        <v>1.0</v>
      </c>
      <c r="M577" s="7" t="s">
        <v>2103</v>
      </c>
      <c r="N577" s="13" t="s">
        <v>2104</v>
      </c>
      <c r="O577" s="15" t="s">
        <v>2105</v>
      </c>
    </row>
    <row r="578">
      <c r="A578" s="5">
        <v>664.0</v>
      </c>
      <c r="B578" s="6">
        <v>45991.774196122686</v>
      </c>
      <c r="C578" s="7" t="s">
        <v>15</v>
      </c>
      <c r="D578" s="8" t="s">
        <v>2044</v>
      </c>
      <c r="E578" s="8" t="s">
        <v>134</v>
      </c>
      <c r="F578" s="7" t="s">
        <v>2045</v>
      </c>
      <c r="G578" s="9" t="s">
        <v>19</v>
      </c>
      <c r="H578" s="7" t="s">
        <v>44</v>
      </c>
      <c r="I578" s="7" t="s">
        <v>37</v>
      </c>
      <c r="J578" s="10">
        <v>45840.0</v>
      </c>
      <c r="K578" s="8" t="s">
        <v>49</v>
      </c>
      <c r="L578" s="7">
        <v>8.0</v>
      </c>
      <c r="M578" s="7" t="s">
        <v>33</v>
      </c>
      <c r="N578" s="13" t="s">
        <v>2106</v>
      </c>
      <c r="O578" s="15" t="s">
        <v>2107</v>
      </c>
    </row>
    <row r="579">
      <c r="A579" s="5">
        <v>665.0</v>
      </c>
      <c r="B579" s="6">
        <v>45991.77843277778</v>
      </c>
      <c r="C579" s="7" t="s">
        <v>26</v>
      </c>
      <c r="D579" s="8" t="s">
        <v>2108</v>
      </c>
      <c r="E579" s="8" t="s">
        <v>396</v>
      </c>
      <c r="F579" s="7" t="s">
        <v>2109</v>
      </c>
      <c r="G579" s="9" t="s">
        <v>19</v>
      </c>
      <c r="H579" s="7" t="s">
        <v>928</v>
      </c>
      <c r="I579" s="7" t="s">
        <v>1324</v>
      </c>
      <c r="J579" s="10">
        <v>45951.0</v>
      </c>
      <c r="K579" s="8" t="s">
        <v>930</v>
      </c>
      <c r="L579" s="7">
        <v>2.0</v>
      </c>
      <c r="M579" s="7" t="s">
        <v>1325</v>
      </c>
      <c r="N579" s="13" t="s">
        <v>2110</v>
      </c>
      <c r="O579" s="15" t="s">
        <v>2111</v>
      </c>
    </row>
    <row r="580">
      <c r="A580" s="5">
        <v>667.0</v>
      </c>
      <c r="B580" s="6">
        <v>45991.782278819446</v>
      </c>
      <c r="C580" s="7" t="s">
        <v>15</v>
      </c>
      <c r="D580" s="8" t="s">
        <v>2044</v>
      </c>
      <c r="E580" s="8" t="s">
        <v>134</v>
      </c>
      <c r="F580" s="7" t="s">
        <v>2045</v>
      </c>
      <c r="G580" s="9" t="s">
        <v>19</v>
      </c>
      <c r="H580" s="7" t="s">
        <v>406</v>
      </c>
      <c r="I580" s="7" t="s">
        <v>94</v>
      </c>
      <c r="J580" s="10">
        <v>45823.0</v>
      </c>
      <c r="K580" s="8" t="s">
        <v>22</v>
      </c>
      <c r="L580" s="7">
        <v>4.0</v>
      </c>
      <c r="M580" s="7" t="s">
        <v>106</v>
      </c>
      <c r="N580" s="13" t="s">
        <v>2112</v>
      </c>
      <c r="O580" s="15" t="s">
        <v>2113</v>
      </c>
    </row>
    <row r="581">
      <c r="A581" s="5">
        <v>668.0</v>
      </c>
      <c r="B581" s="6">
        <v>45991.78237690972</v>
      </c>
      <c r="C581" s="7" t="s">
        <v>15</v>
      </c>
      <c r="D581" s="8" t="s">
        <v>2114</v>
      </c>
      <c r="E581" s="8" t="s">
        <v>319</v>
      </c>
      <c r="F581" s="7" t="s">
        <v>2115</v>
      </c>
      <c r="G581" s="9" t="s">
        <v>144</v>
      </c>
      <c r="H581" s="7" t="s">
        <v>2116</v>
      </c>
      <c r="I581" s="7" t="s">
        <v>2117</v>
      </c>
      <c r="J581" s="10">
        <v>45878.0</v>
      </c>
      <c r="K581" s="8" t="s">
        <v>206</v>
      </c>
      <c r="L581" s="7">
        <v>4.0</v>
      </c>
      <c r="M581" s="7" t="s">
        <v>2118</v>
      </c>
      <c r="N581" s="13" t="s">
        <v>2119</v>
      </c>
      <c r="O581" s="15" t="s">
        <v>2120</v>
      </c>
    </row>
    <row r="582">
      <c r="A582" s="5">
        <v>670.0</v>
      </c>
      <c r="B582" s="6">
        <v>45991.78337612269</v>
      </c>
      <c r="C582" s="7" t="s">
        <v>26</v>
      </c>
      <c r="D582" s="8" t="s">
        <v>1230</v>
      </c>
      <c r="E582" s="8" t="s">
        <v>91</v>
      </c>
      <c r="F582" s="7" t="s">
        <v>1231</v>
      </c>
      <c r="G582" s="9" t="s">
        <v>159</v>
      </c>
      <c r="H582" s="7" t="s">
        <v>1506</v>
      </c>
      <c r="I582" s="7" t="s">
        <v>1240</v>
      </c>
      <c r="J582" s="10">
        <v>45990.0</v>
      </c>
      <c r="K582" s="8" t="s">
        <v>22</v>
      </c>
      <c r="L582" s="7">
        <v>4.0</v>
      </c>
      <c r="M582" s="7" t="s">
        <v>87</v>
      </c>
      <c r="N582" s="13" t="s">
        <v>2121</v>
      </c>
      <c r="O582" s="15" t="s">
        <v>2122</v>
      </c>
    </row>
    <row r="583">
      <c r="A583" s="5">
        <v>671.0</v>
      </c>
      <c r="B583" s="6">
        <v>45991.783548935186</v>
      </c>
      <c r="C583" s="7" t="s">
        <v>15</v>
      </c>
      <c r="D583" s="8" t="s">
        <v>2123</v>
      </c>
      <c r="E583" s="8" t="s">
        <v>199</v>
      </c>
      <c r="F583" s="7" t="s">
        <v>2124</v>
      </c>
      <c r="G583" s="9" t="s">
        <v>19</v>
      </c>
      <c r="H583" s="7" t="s">
        <v>1810</v>
      </c>
      <c r="I583" s="7" t="s">
        <v>37</v>
      </c>
      <c r="J583" s="10">
        <v>45839.0</v>
      </c>
      <c r="K583" s="8" t="s">
        <v>67</v>
      </c>
      <c r="L583" s="7">
        <v>8.0</v>
      </c>
      <c r="M583" s="7" t="s">
        <v>33</v>
      </c>
      <c r="N583" s="13" t="s">
        <v>2125</v>
      </c>
      <c r="O583" s="15" t="s">
        <v>2126</v>
      </c>
    </row>
    <row r="584">
      <c r="A584" s="5">
        <v>672.0</v>
      </c>
      <c r="B584" s="6">
        <v>45991.78446293982</v>
      </c>
      <c r="C584" s="7" t="s">
        <v>15</v>
      </c>
      <c r="D584" s="8" t="s">
        <v>2127</v>
      </c>
      <c r="E584" s="8" t="s">
        <v>118</v>
      </c>
      <c r="F584" s="7" t="s">
        <v>2128</v>
      </c>
      <c r="G584" s="9" t="s">
        <v>19</v>
      </c>
      <c r="H584" s="7" t="s">
        <v>2129</v>
      </c>
      <c r="I584" s="7" t="s">
        <v>2130</v>
      </c>
      <c r="J584" s="10">
        <v>45825.0</v>
      </c>
      <c r="K584" s="8" t="s">
        <v>49</v>
      </c>
      <c r="L584" s="7">
        <v>8.0</v>
      </c>
      <c r="M584" s="7" t="s">
        <v>2131</v>
      </c>
      <c r="N584" s="13" t="s">
        <v>2132</v>
      </c>
      <c r="O584" s="15" t="s">
        <v>2133</v>
      </c>
    </row>
    <row r="585">
      <c r="A585" s="5">
        <v>673.0</v>
      </c>
      <c r="B585" s="6">
        <v>45991.78527162037</v>
      </c>
      <c r="C585" s="7" t="s">
        <v>125</v>
      </c>
      <c r="D585" s="8" t="s">
        <v>1892</v>
      </c>
      <c r="E585" s="8" t="s">
        <v>319</v>
      </c>
      <c r="F585" s="7" t="s">
        <v>1893</v>
      </c>
      <c r="G585" s="9" t="s">
        <v>209</v>
      </c>
      <c r="H585" s="7" t="s">
        <v>2134</v>
      </c>
      <c r="I585" s="7" t="s">
        <v>825</v>
      </c>
      <c r="J585" s="10">
        <v>45983.0</v>
      </c>
      <c r="K585" s="8" t="s">
        <v>1665</v>
      </c>
      <c r="L585" s="7">
        <v>2.0</v>
      </c>
      <c r="M585" s="7" t="s">
        <v>2135</v>
      </c>
      <c r="N585" s="13" t="s">
        <v>2136</v>
      </c>
      <c r="O585" s="15" t="s">
        <v>2137</v>
      </c>
    </row>
    <row r="586">
      <c r="A586" s="5">
        <v>674.0</v>
      </c>
      <c r="B586" s="6">
        <v>45991.786264317125</v>
      </c>
      <c r="C586" s="7" t="s">
        <v>15</v>
      </c>
      <c r="D586" s="8" t="s">
        <v>2123</v>
      </c>
      <c r="E586" s="8" t="s">
        <v>199</v>
      </c>
      <c r="F586" s="7" t="s">
        <v>2124</v>
      </c>
      <c r="G586" s="9" t="s">
        <v>19</v>
      </c>
      <c r="H586" s="7" t="s">
        <v>376</v>
      </c>
      <c r="I586" s="7" t="s">
        <v>37</v>
      </c>
      <c r="J586" s="10">
        <v>45840.0</v>
      </c>
      <c r="K586" s="8" t="s">
        <v>67</v>
      </c>
      <c r="L586" s="7">
        <v>8.0</v>
      </c>
      <c r="M586" s="7" t="s">
        <v>33</v>
      </c>
      <c r="N586" s="13" t="s">
        <v>2138</v>
      </c>
      <c r="O586" s="15" t="s">
        <v>2139</v>
      </c>
    </row>
    <row r="587">
      <c r="A587" s="5">
        <v>675.0</v>
      </c>
      <c r="B587" s="6">
        <v>45991.78743256944</v>
      </c>
      <c r="C587" s="7" t="s">
        <v>26</v>
      </c>
      <c r="D587" s="8" t="s">
        <v>2140</v>
      </c>
      <c r="E587" s="8" t="s">
        <v>1185</v>
      </c>
      <c r="F587" s="7" t="s">
        <v>2141</v>
      </c>
      <c r="G587" s="9" t="s">
        <v>19</v>
      </c>
      <c r="H587" s="7" t="s">
        <v>2142</v>
      </c>
      <c r="I587" s="7" t="s">
        <v>37</v>
      </c>
      <c r="J587" s="10">
        <v>45839.0</v>
      </c>
      <c r="K587" s="8" t="s">
        <v>2143</v>
      </c>
      <c r="L587" s="7">
        <v>8.0</v>
      </c>
      <c r="M587" s="7" t="s">
        <v>33</v>
      </c>
      <c r="N587" s="13" t="s">
        <v>2144</v>
      </c>
      <c r="O587" s="15" t="s">
        <v>2145</v>
      </c>
    </row>
    <row r="588">
      <c r="A588" s="5">
        <v>676.0</v>
      </c>
      <c r="B588" s="6">
        <v>45991.78790163195</v>
      </c>
      <c r="C588" s="7" t="s">
        <v>26</v>
      </c>
      <c r="D588" s="8" t="s">
        <v>2108</v>
      </c>
      <c r="E588" s="8" t="s">
        <v>396</v>
      </c>
      <c r="F588" s="7" t="s">
        <v>2109</v>
      </c>
      <c r="G588" s="9" t="s">
        <v>19</v>
      </c>
      <c r="H588" s="7" t="s">
        <v>1073</v>
      </c>
      <c r="I588" s="7" t="s">
        <v>1074</v>
      </c>
      <c r="J588" s="10">
        <v>45968.0</v>
      </c>
      <c r="K588" s="8" t="s">
        <v>639</v>
      </c>
      <c r="L588" s="7">
        <v>4.0</v>
      </c>
      <c r="M588" s="7" t="s">
        <v>87</v>
      </c>
      <c r="N588" s="13" t="s">
        <v>2146</v>
      </c>
      <c r="O588" s="15" t="s">
        <v>2147</v>
      </c>
    </row>
    <row r="589">
      <c r="A589" s="5">
        <v>677.0</v>
      </c>
      <c r="B589" s="6">
        <v>45991.78826755787</v>
      </c>
      <c r="C589" s="7" t="s">
        <v>26</v>
      </c>
      <c r="D589" s="8" t="s">
        <v>109</v>
      </c>
      <c r="E589" s="8" t="s">
        <v>110</v>
      </c>
      <c r="F589" s="7" t="s">
        <v>111</v>
      </c>
      <c r="G589" s="9" t="s">
        <v>181</v>
      </c>
      <c r="H589" s="7" t="s">
        <v>857</v>
      </c>
      <c r="I589" s="7" t="s">
        <v>939</v>
      </c>
      <c r="J589" s="10">
        <v>45987.0</v>
      </c>
      <c r="K589" s="8" t="s">
        <v>859</v>
      </c>
      <c r="L589" s="7">
        <v>8.0</v>
      </c>
      <c r="M589" s="7" t="s">
        <v>860</v>
      </c>
      <c r="N589" s="13" t="s">
        <v>2148</v>
      </c>
      <c r="O589" s="15" t="s">
        <v>2149</v>
      </c>
    </row>
    <row r="590">
      <c r="A590" s="5">
        <v>678.0</v>
      </c>
      <c r="B590" s="6">
        <v>45991.7897595949</v>
      </c>
      <c r="C590" s="7" t="s">
        <v>26</v>
      </c>
      <c r="D590" s="8" t="s">
        <v>2140</v>
      </c>
      <c r="E590" s="8" t="s">
        <v>1185</v>
      </c>
      <c r="F590" s="7" t="s">
        <v>2141</v>
      </c>
      <c r="G590" s="9" t="s">
        <v>19</v>
      </c>
      <c r="H590" s="7" t="s">
        <v>41</v>
      </c>
      <c r="I590" s="7" t="s">
        <v>37</v>
      </c>
      <c r="J590" s="10">
        <v>45840.0</v>
      </c>
      <c r="K590" s="8" t="s">
        <v>67</v>
      </c>
      <c r="L590" s="7">
        <v>8.0</v>
      </c>
      <c r="M590" s="7" t="s">
        <v>33</v>
      </c>
      <c r="N590" s="13" t="s">
        <v>2150</v>
      </c>
      <c r="O590" s="15" t="s">
        <v>2151</v>
      </c>
    </row>
    <row r="591">
      <c r="A591" s="5">
        <v>679.0</v>
      </c>
      <c r="B591" s="6">
        <v>45991.78984452546</v>
      </c>
      <c r="C591" s="7" t="s">
        <v>15</v>
      </c>
      <c r="D591" s="8" t="s">
        <v>2114</v>
      </c>
      <c r="E591" s="8" t="s">
        <v>319</v>
      </c>
      <c r="F591" s="7" t="s">
        <v>2115</v>
      </c>
      <c r="G591" s="9" t="s">
        <v>19</v>
      </c>
      <c r="H591" s="7" t="s">
        <v>2152</v>
      </c>
      <c r="I591" s="7" t="s">
        <v>37</v>
      </c>
      <c r="J591" s="10">
        <v>45839.0</v>
      </c>
      <c r="K591" s="8" t="s">
        <v>67</v>
      </c>
      <c r="L591" s="7">
        <v>8.0</v>
      </c>
      <c r="M591" s="7" t="s">
        <v>33</v>
      </c>
      <c r="N591" s="13" t="s">
        <v>2153</v>
      </c>
      <c r="O591" s="15" t="s">
        <v>2154</v>
      </c>
    </row>
    <row r="592">
      <c r="A592" s="5">
        <v>680.0</v>
      </c>
      <c r="B592" s="6">
        <v>45991.79084357639</v>
      </c>
      <c r="C592" s="7" t="s">
        <v>15</v>
      </c>
      <c r="D592" s="8" t="s">
        <v>2127</v>
      </c>
      <c r="E592" s="8" t="s">
        <v>118</v>
      </c>
      <c r="F592" s="7" t="s">
        <v>2155</v>
      </c>
      <c r="G592" s="9" t="s">
        <v>19</v>
      </c>
      <c r="H592" s="7" t="s">
        <v>2156</v>
      </c>
      <c r="I592" s="7" t="s">
        <v>37</v>
      </c>
      <c r="J592" s="10">
        <v>45838.0</v>
      </c>
      <c r="K592" s="8" t="s">
        <v>67</v>
      </c>
      <c r="L592" s="7">
        <v>8.0</v>
      </c>
      <c r="M592" s="7" t="s">
        <v>1275</v>
      </c>
      <c r="N592" s="13" t="s">
        <v>2157</v>
      </c>
      <c r="O592" s="15" t="s">
        <v>2158</v>
      </c>
    </row>
    <row r="593">
      <c r="A593" s="5">
        <v>682.0</v>
      </c>
      <c r="B593" s="6">
        <v>45991.79286100694</v>
      </c>
      <c r="C593" s="7" t="s">
        <v>15</v>
      </c>
      <c r="D593" s="8" t="s">
        <v>2123</v>
      </c>
      <c r="E593" s="8" t="s">
        <v>199</v>
      </c>
      <c r="F593" s="7" t="s">
        <v>2124</v>
      </c>
      <c r="G593" s="9" t="s">
        <v>159</v>
      </c>
      <c r="H593" s="7" t="s">
        <v>406</v>
      </c>
      <c r="I593" s="7" t="s">
        <v>94</v>
      </c>
      <c r="J593" s="10">
        <v>45823.0</v>
      </c>
      <c r="K593" s="8" t="s">
        <v>22</v>
      </c>
      <c r="L593" s="7">
        <v>4.0</v>
      </c>
      <c r="M593" s="7" t="s">
        <v>106</v>
      </c>
      <c r="N593" s="13" t="s">
        <v>2159</v>
      </c>
      <c r="O593" s="15" t="s">
        <v>2160</v>
      </c>
    </row>
    <row r="594">
      <c r="A594" s="5">
        <v>683.0</v>
      </c>
      <c r="B594" s="6">
        <v>45991.793381435185</v>
      </c>
      <c r="C594" s="7" t="s">
        <v>26</v>
      </c>
      <c r="D594" s="8" t="s">
        <v>2140</v>
      </c>
      <c r="E594" s="8" t="s">
        <v>1185</v>
      </c>
      <c r="F594" s="7" t="s">
        <v>2141</v>
      </c>
      <c r="G594" s="9" t="s">
        <v>181</v>
      </c>
      <c r="H594" s="7" t="s">
        <v>857</v>
      </c>
      <c r="I594" s="7" t="s">
        <v>1261</v>
      </c>
      <c r="J594" s="10">
        <v>45987.0</v>
      </c>
      <c r="K594" s="8" t="s">
        <v>859</v>
      </c>
      <c r="L594" s="7">
        <v>8.0</v>
      </c>
      <c r="M594" s="7" t="s">
        <v>860</v>
      </c>
      <c r="N594" s="13" t="s">
        <v>2161</v>
      </c>
      <c r="O594" s="15" t="s">
        <v>2162</v>
      </c>
    </row>
    <row r="595">
      <c r="A595" s="5">
        <v>685.0</v>
      </c>
      <c r="B595" s="6">
        <v>45991.793697395835</v>
      </c>
      <c r="C595" s="7" t="s">
        <v>15</v>
      </c>
      <c r="D595" s="8" t="s">
        <v>2114</v>
      </c>
      <c r="E595" s="8" t="s">
        <v>319</v>
      </c>
      <c r="F595" s="7" t="s">
        <v>2115</v>
      </c>
      <c r="G595" s="9" t="s">
        <v>19</v>
      </c>
      <c r="H595" s="7" t="s">
        <v>2152</v>
      </c>
      <c r="I595" s="7" t="s">
        <v>37</v>
      </c>
      <c r="J595" s="10">
        <v>45840.0</v>
      </c>
      <c r="K595" s="8" t="s">
        <v>67</v>
      </c>
      <c r="L595" s="7">
        <v>8.0</v>
      </c>
      <c r="M595" s="7" t="s">
        <v>33</v>
      </c>
      <c r="N595" s="13" t="s">
        <v>2163</v>
      </c>
      <c r="O595" s="15" t="s">
        <v>2164</v>
      </c>
    </row>
    <row r="596">
      <c r="A596" s="5">
        <v>686.0</v>
      </c>
      <c r="B596" s="6">
        <v>45991.794802523145</v>
      </c>
      <c r="C596" s="7" t="s">
        <v>15</v>
      </c>
      <c r="D596" s="8" t="s">
        <v>2165</v>
      </c>
      <c r="E596" s="8" t="s">
        <v>799</v>
      </c>
      <c r="F596" s="7" t="s">
        <v>2166</v>
      </c>
      <c r="G596" s="9" t="s">
        <v>19</v>
      </c>
      <c r="H596" s="7" t="s">
        <v>436</v>
      </c>
      <c r="I596" s="7" t="s">
        <v>37</v>
      </c>
      <c r="J596" s="10">
        <v>45839.0</v>
      </c>
      <c r="K596" s="8" t="s">
        <v>2167</v>
      </c>
      <c r="L596" s="7">
        <v>8.0</v>
      </c>
      <c r="M596" s="7" t="s">
        <v>33</v>
      </c>
      <c r="N596" s="13" t="s">
        <v>2168</v>
      </c>
      <c r="O596" s="15" t="s">
        <v>2169</v>
      </c>
    </row>
    <row r="597">
      <c r="A597" s="5">
        <v>687.0</v>
      </c>
      <c r="B597" s="6">
        <v>45991.79556895833</v>
      </c>
      <c r="C597" s="7" t="s">
        <v>15</v>
      </c>
      <c r="D597" s="8" t="s">
        <v>2127</v>
      </c>
      <c r="E597" s="8" t="s">
        <v>118</v>
      </c>
      <c r="F597" s="7" t="s">
        <v>2128</v>
      </c>
      <c r="G597" s="9" t="s">
        <v>19</v>
      </c>
      <c r="H597" s="7" t="s">
        <v>44</v>
      </c>
      <c r="I597" s="7" t="s">
        <v>37</v>
      </c>
      <c r="J597" s="10">
        <v>45839.0</v>
      </c>
      <c r="K597" s="8" t="s">
        <v>67</v>
      </c>
      <c r="L597" s="7">
        <v>8.0</v>
      </c>
      <c r="M597" s="7" t="s">
        <v>1275</v>
      </c>
      <c r="N597" s="13" t="s">
        <v>2170</v>
      </c>
      <c r="O597" s="15" t="s">
        <v>2171</v>
      </c>
    </row>
    <row r="598">
      <c r="A598" s="5">
        <v>688.0</v>
      </c>
      <c r="B598" s="6">
        <v>45991.79565969907</v>
      </c>
      <c r="C598" s="7" t="s">
        <v>26</v>
      </c>
      <c r="D598" s="8" t="s">
        <v>2172</v>
      </c>
      <c r="E598" s="8" t="s">
        <v>411</v>
      </c>
      <c r="F598" s="7" t="s">
        <v>2173</v>
      </c>
      <c r="G598" s="9" t="s">
        <v>181</v>
      </c>
      <c r="H598" s="7" t="s">
        <v>857</v>
      </c>
      <c r="I598" s="7" t="s">
        <v>939</v>
      </c>
      <c r="J598" s="10">
        <v>45984.0</v>
      </c>
      <c r="K598" s="8" t="s">
        <v>1633</v>
      </c>
      <c r="L598" s="7">
        <v>8.0</v>
      </c>
      <c r="M598" s="7" t="s">
        <v>860</v>
      </c>
      <c r="N598" s="13" t="s">
        <v>2174</v>
      </c>
      <c r="O598" s="15" t="s">
        <v>2175</v>
      </c>
    </row>
    <row r="599">
      <c r="A599" s="5">
        <v>689.0</v>
      </c>
      <c r="B599" s="6">
        <v>45991.79587052083</v>
      </c>
      <c r="C599" s="7" t="s">
        <v>26</v>
      </c>
      <c r="D599" s="8" t="s">
        <v>1247</v>
      </c>
      <c r="E599" s="8" t="s">
        <v>1248</v>
      </c>
      <c r="F599" s="7" t="s">
        <v>1249</v>
      </c>
      <c r="G599" s="9" t="s">
        <v>19</v>
      </c>
      <c r="H599" s="7" t="s">
        <v>1105</v>
      </c>
      <c r="I599" s="7" t="s">
        <v>498</v>
      </c>
      <c r="J599" s="10">
        <v>45961.0</v>
      </c>
      <c r="K599" s="8" t="s">
        <v>639</v>
      </c>
      <c r="L599" s="7">
        <v>4.0</v>
      </c>
      <c r="M599" s="7" t="s">
        <v>87</v>
      </c>
      <c r="N599" s="13" t="s">
        <v>2176</v>
      </c>
      <c r="O599" s="15" t="s">
        <v>2177</v>
      </c>
    </row>
    <row r="600">
      <c r="A600" s="5">
        <v>690.0</v>
      </c>
      <c r="B600" s="6">
        <v>45991.79627925926</v>
      </c>
      <c r="C600" s="7" t="s">
        <v>26</v>
      </c>
      <c r="D600" s="8" t="s">
        <v>2140</v>
      </c>
      <c r="E600" s="8" t="s">
        <v>1185</v>
      </c>
      <c r="F600" s="7" t="s">
        <v>2141</v>
      </c>
      <c r="G600" s="9" t="s">
        <v>19</v>
      </c>
      <c r="H600" s="7" t="s">
        <v>2178</v>
      </c>
      <c r="I600" s="7" t="s">
        <v>2029</v>
      </c>
      <c r="J600" s="10">
        <v>45907.0</v>
      </c>
      <c r="K600" s="8" t="s">
        <v>2179</v>
      </c>
      <c r="L600" s="7">
        <v>8.0</v>
      </c>
      <c r="M600" s="7" t="s">
        <v>774</v>
      </c>
      <c r="N600" s="13" t="s">
        <v>2180</v>
      </c>
      <c r="O600" s="15" t="s">
        <v>2181</v>
      </c>
    </row>
    <row r="601">
      <c r="A601" s="5">
        <v>691.0</v>
      </c>
      <c r="B601" s="6">
        <v>45991.79649482639</v>
      </c>
      <c r="C601" s="7" t="s">
        <v>15</v>
      </c>
      <c r="D601" s="8" t="s">
        <v>2182</v>
      </c>
      <c r="E601" s="8" t="s">
        <v>1725</v>
      </c>
      <c r="F601" s="7" t="s">
        <v>2183</v>
      </c>
      <c r="G601" s="9" t="s">
        <v>19</v>
      </c>
      <c r="H601" s="7" t="s">
        <v>2184</v>
      </c>
      <c r="I601" s="7" t="s">
        <v>2185</v>
      </c>
      <c r="J601" s="10">
        <v>45845.0</v>
      </c>
      <c r="K601" s="8" t="s">
        <v>49</v>
      </c>
      <c r="L601" s="7">
        <v>8.0</v>
      </c>
      <c r="M601" s="7" t="s">
        <v>2186</v>
      </c>
      <c r="N601" s="13" t="s">
        <v>2187</v>
      </c>
      <c r="O601" s="15" t="s">
        <v>2188</v>
      </c>
    </row>
    <row r="602">
      <c r="A602" s="5">
        <v>692.0</v>
      </c>
      <c r="B602" s="6">
        <v>45991.796797233794</v>
      </c>
      <c r="C602" s="7" t="s">
        <v>15</v>
      </c>
      <c r="D602" s="8" t="s">
        <v>2127</v>
      </c>
      <c r="E602" s="8" t="s">
        <v>118</v>
      </c>
      <c r="F602" s="7" t="s">
        <v>2128</v>
      </c>
      <c r="G602" s="9" t="s">
        <v>19</v>
      </c>
      <c r="H602" s="7" t="s">
        <v>44</v>
      </c>
      <c r="I602" s="7" t="s">
        <v>37</v>
      </c>
      <c r="J602" s="10">
        <v>45840.0</v>
      </c>
      <c r="K602" s="8" t="s">
        <v>67</v>
      </c>
      <c r="L602" s="7">
        <v>8.0</v>
      </c>
      <c r="M602" s="7" t="s">
        <v>33</v>
      </c>
      <c r="N602" s="13" t="s">
        <v>2189</v>
      </c>
      <c r="O602" s="15" t="s">
        <v>2190</v>
      </c>
    </row>
    <row r="603">
      <c r="A603" s="5">
        <v>693.0</v>
      </c>
      <c r="B603" s="6">
        <v>45991.79722122685</v>
      </c>
      <c r="C603" s="7" t="s">
        <v>15</v>
      </c>
      <c r="D603" s="8" t="s">
        <v>2191</v>
      </c>
      <c r="E603" s="8" t="s">
        <v>1764</v>
      </c>
      <c r="F603" s="7" t="s">
        <v>2192</v>
      </c>
      <c r="G603" s="9" t="s">
        <v>19</v>
      </c>
      <c r="H603" s="7" t="s">
        <v>2193</v>
      </c>
      <c r="I603" s="7" t="s">
        <v>2194</v>
      </c>
      <c r="J603" s="10">
        <v>45836.0</v>
      </c>
      <c r="K603" s="8" t="s">
        <v>499</v>
      </c>
      <c r="L603" s="7">
        <v>5.0</v>
      </c>
      <c r="M603" s="7" t="s">
        <v>87</v>
      </c>
      <c r="N603" s="13" t="s">
        <v>2195</v>
      </c>
      <c r="O603" s="15" t="s">
        <v>2196</v>
      </c>
    </row>
    <row r="604">
      <c r="A604" s="5">
        <v>694.0</v>
      </c>
      <c r="B604" s="6">
        <v>45991.79769396991</v>
      </c>
      <c r="C604" s="7" t="s">
        <v>125</v>
      </c>
      <c r="D604" s="8" t="s">
        <v>2197</v>
      </c>
      <c r="E604" s="8" t="s">
        <v>881</v>
      </c>
      <c r="F604" s="7" t="s">
        <v>2198</v>
      </c>
      <c r="G604" s="9" t="s">
        <v>19</v>
      </c>
      <c r="H604" s="7" t="s">
        <v>2199</v>
      </c>
      <c r="I604" s="7" t="s">
        <v>174</v>
      </c>
      <c r="J604" s="10">
        <v>45854.0</v>
      </c>
      <c r="K604" s="8" t="s">
        <v>175</v>
      </c>
      <c r="L604" s="7">
        <v>6.0</v>
      </c>
      <c r="M604" s="7" t="s">
        <v>106</v>
      </c>
      <c r="N604" s="13" t="s">
        <v>2200</v>
      </c>
      <c r="O604" s="15" t="s">
        <v>2201</v>
      </c>
    </row>
    <row r="605">
      <c r="A605" s="5">
        <v>695.0</v>
      </c>
      <c r="B605" s="6">
        <v>45991.7977609838</v>
      </c>
      <c r="C605" s="7" t="s">
        <v>26</v>
      </c>
      <c r="D605" s="8" t="s">
        <v>2202</v>
      </c>
      <c r="E605" s="8" t="s">
        <v>484</v>
      </c>
      <c r="F605" s="7" t="s">
        <v>2203</v>
      </c>
      <c r="G605" s="9" t="s">
        <v>19</v>
      </c>
      <c r="H605" s="7" t="s">
        <v>436</v>
      </c>
      <c r="I605" s="7" t="s">
        <v>37</v>
      </c>
      <c r="J605" s="10">
        <v>45840.0</v>
      </c>
      <c r="K605" s="8" t="s">
        <v>67</v>
      </c>
      <c r="L605" s="7">
        <v>8.0</v>
      </c>
      <c r="M605" s="7" t="s">
        <v>33</v>
      </c>
      <c r="N605" s="13" t="s">
        <v>2204</v>
      </c>
      <c r="O605" s="15" t="s">
        <v>2205</v>
      </c>
    </row>
    <row r="606">
      <c r="A606" s="5">
        <v>696.0</v>
      </c>
      <c r="B606" s="6">
        <v>45991.79918394676</v>
      </c>
      <c r="C606" s="7" t="s">
        <v>15</v>
      </c>
      <c r="D606" s="8" t="s">
        <v>1454</v>
      </c>
      <c r="E606" s="8" t="s">
        <v>574</v>
      </c>
      <c r="F606" s="7" t="s">
        <v>1455</v>
      </c>
      <c r="G606" s="9" t="s">
        <v>19</v>
      </c>
      <c r="H606" s="7" t="s">
        <v>30</v>
      </c>
      <c r="I606" s="7" t="s">
        <v>37</v>
      </c>
      <c r="J606" s="10">
        <v>45838.0</v>
      </c>
      <c r="K606" s="8" t="s">
        <v>67</v>
      </c>
      <c r="L606" s="7">
        <v>8.0</v>
      </c>
      <c r="M606" s="7" t="s">
        <v>33</v>
      </c>
      <c r="N606" s="13" t="s">
        <v>2206</v>
      </c>
      <c r="O606" s="16"/>
    </row>
    <row r="607">
      <c r="A607" s="5">
        <v>697.0</v>
      </c>
      <c r="B607" s="6">
        <v>45991.79920142361</v>
      </c>
      <c r="C607" s="7" t="s">
        <v>26</v>
      </c>
      <c r="D607" s="8" t="s">
        <v>2108</v>
      </c>
      <c r="E607" s="8" t="s">
        <v>396</v>
      </c>
      <c r="F607" s="7" t="s">
        <v>2109</v>
      </c>
      <c r="G607" s="9" t="s">
        <v>19</v>
      </c>
      <c r="H607" s="7" t="s">
        <v>1073</v>
      </c>
      <c r="I607" s="7" t="s">
        <v>1074</v>
      </c>
      <c r="J607" s="10">
        <v>45970.0</v>
      </c>
      <c r="K607" s="8" t="s">
        <v>49</v>
      </c>
      <c r="L607" s="7">
        <v>8.0</v>
      </c>
      <c r="M607" s="7" t="s">
        <v>87</v>
      </c>
      <c r="N607" s="13" t="s">
        <v>2207</v>
      </c>
      <c r="O607" s="15" t="s">
        <v>2208</v>
      </c>
    </row>
    <row r="608">
      <c r="A608" s="5">
        <v>698.0</v>
      </c>
      <c r="B608" s="6">
        <v>45991.79952778935</v>
      </c>
      <c r="C608" s="7" t="s">
        <v>26</v>
      </c>
      <c r="D608" s="8" t="s">
        <v>2140</v>
      </c>
      <c r="E608" s="8" t="s">
        <v>1185</v>
      </c>
      <c r="F608" s="7" t="s">
        <v>2141</v>
      </c>
      <c r="G608" s="9" t="s">
        <v>19</v>
      </c>
      <c r="H608" s="7" t="s">
        <v>1105</v>
      </c>
      <c r="I608" s="7" t="s">
        <v>498</v>
      </c>
      <c r="J608" s="10">
        <v>45961.0</v>
      </c>
      <c r="K608" s="8" t="s">
        <v>1172</v>
      </c>
      <c r="L608" s="7">
        <v>4.0</v>
      </c>
      <c r="M608" s="7" t="s">
        <v>87</v>
      </c>
      <c r="N608" s="13" t="s">
        <v>2209</v>
      </c>
      <c r="O608" s="15" t="s">
        <v>2210</v>
      </c>
    </row>
    <row r="609">
      <c r="A609" s="5">
        <v>699.0</v>
      </c>
      <c r="B609" s="6">
        <v>45991.800118287036</v>
      </c>
      <c r="C609" s="7" t="s">
        <v>15</v>
      </c>
      <c r="D609" s="8" t="s">
        <v>2165</v>
      </c>
      <c r="E609" s="8" t="s">
        <v>799</v>
      </c>
      <c r="F609" s="7" t="s">
        <v>2166</v>
      </c>
      <c r="G609" s="9" t="s">
        <v>19</v>
      </c>
      <c r="H609" s="7" t="s">
        <v>2211</v>
      </c>
      <c r="I609" s="7" t="s">
        <v>37</v>
      </c>
      <c r="J609" s="10">
        <v>45840.0</v>
      </c>
      <c r="K609" s="8" t="s">
        <v>2212</v>
      </c>
      <c r="L609" s="7">
        <v>8.0</v>
      </c>
      <c r="M609" s="7" t="s">
        <v>33</v>
      </c>
      <c r="N609" s="13" t="s">
        <v>2213</v>
      </c>
      <c r="O609" s="15" t="s">
        <v>2214</v>
      </c>
    </row>
    <row r="610">
      <c r="A610" s="5">
        <v>700.0</v>
      </c>
      <c r="B610" s="6">
        <v>45991.80046480324</v>
      </c>
      <c r="C610" s="7" t="s">
        <v>15</v>
      </c>
      <c r="D610" s="8" t="s">
        <v>2127</v>
      </c>
      <c r="E610" s="8" t="s">
        <v>118</v>
      </c>
      <c r="F610" s="7" t="s">
        <v>2128</v>
      </c>
      <c r="G610" s="9" t="s">
        <v>19</v>
      </c>
      <c r="H610" s="7" t="s">
        <v>44</v>
      </c>
      <c r="I610" s="7" t="s">
        <v>37</v>
      </c>
      <c r="J610" s="10">
        <v>45840.0</v>
      </c>
      <c r="K610" s="8" t="s">
        <v>67</v>
      </c>
      <c r="L610" s="7">
        <v>8.0</v>
      </c>
      <c r="M610" s="7" t="s">
        <v>33</v>
      </c>
      <c r="N610" s="13" t="s">
        <v>2215</v>
      </c>
      <c r="O610" s="15" t="s">
        <v>2216</v>
      </c>
    </row>
    <row r="611">
      <c r="A611" s="5">
        <v>701.0</v>
      </c>
      <c r="B611" s="6">
        <v>45991.800807962965</v>
      </c>
      <c r="C611" s="7" t="s">
        <v>15</v>
      </c>
      <c r="D611" s="8" t="s">
        <v>2182</v>
      </c>
      <c r="E611" s="8" t="s">
        <v>1725</v>
      </c>
      <c r="F611" s="7" t="s">
        <v>2183</v>
      </c>
      <c r="G611" s="9" t="s">
        <v>19</v>
      </c>
      <c r="H611" s="7" t="s">
        <v>2184</v>
      </c>
      <c r="I611" s="7" t="s">
        <v>2217</v>
      </c>
      <c r="J611" s="10">
        <v>45846.0</v>
      </c>
      <c r="K611" s="8" t="s">
        <v>49</v>
      </c>
      <c r="L611" s="7">
        <v>8.0</v>
      </c>
      <c r="M611" s="7" t="s">
        <v>87</v>
      </c>
      <c r="N611" s="13" t="s">
        <v>2218</v>
      </c>
      <c r="O611" s="15" t="s">
        <v>2219</v>
      </c>
    </row>
    <row r="612">
      <c r="A612" s="5">
        <v>702.0</v>
      </c>
      <c r="B612" s="6">
        <v>45991.80199568287</v>
      </c>
      <c r="C612" s="7" t="s">
        <v>15</v>
      </c>
      <c r="D612" s="8" t="s">
        <v>2191</v>
      </c>
      <c r="E612" s="8" t="s">
        <v>1764</v>
      </c>
      <c r="F612" s="7" t="s">
        <v>2192</v>
      </c>
      <c r="G612" s="9" t="s">
        <v>19</v>
      </c>
      <c r="H612" s="7" t="s">
        <v>2220</v>
      </c>
      <c r="I612" s="7" t="s">
        <v>37</v>
      </c>
      <c r="J612" s="10">
        <v>45839.0</v>
      </c>
      <c r="K612" s="8" t="s">
        <v>67</v>
      </c>
      <c r="L612" s="7">
        <v>8.0</v>
      </c>
      <c r="M612" s="7" t="s">
        <v>553</v>
      </c>
      <c r="N612" s="13" t="s">
        <v>2221</v>
      </c>
      <c r="O612" s="15" t="s">
        <v>2222</v>
      </c>
    </row>
    <row r="613">
      <c r="A613" s="5">
        <v>703.0</v>
      </c>
      <c r="B613" s="6">
        <v>45991.80222064815</v>
      </c>
      <c r="C613" s="7" t="s">
        <v>15</v>
      </c>
      <c r="D613" s="8" t="s">
        <v>2114</v>
      </c>
      <c r="E613" s="8" t="s">
        <v>319</v>
      </c>
      <c r="F613" s="7" t="s">
        <v>2115</v>
      </c>
      <c r="G613" s="9" t="s">
        <v>209</v>
      </c>
      <c r="H613" s="7" t="s">
        <v>1907</v>
      </c>
      <c r="I613" s="7" t="s">
        <v>825</v>
      </c>
      <c r="J613" s="10">
        <v>45871.0</v>
      </c>
      <c r="K613" s="8" t="s">
        <v>1665</v>
      </c>
      <c r="L613" s="7">
        <v>2.0</v>
      </c>
      <c r="M613" s="7" t="s">
        <v>2118</v>
      </c>
      <c r="N613" s="13" t="s">
        <v>2223</v>
      </c>
      <c r="O613" s="15" t="s">
        <v>2224</v>
      </c>
    </row>
    <row r="614">
      <c r="A614" s="5">
        <v>704.0</v>
      </c>
      <c r="B614" s="6">
        <v>45991.80326486111</v>
      </c>
      <c r="C614" s="7" t="s">
        <v>26</v>
      </c>
      <c r="D614" s="8" t="s">
        <v>2140</v>
      </c>
      <c r="E614" s="8" t="s">
        <v>1185</v>
      </c>
      <c r="F614" s="7" t="s">
        <v>2141</v>
      </c>
      <c r="G614" s="9" t="s">
        <v>19</v>
      </c>
      <c r="H614" s="7" t="s">
        <v>2225</v>
      </c>
      <c r="I614" s="7" t="s">
        <v>498</v>
      </c>
      <c r="J614" s="10">
        <v>45962.0</v>
      </c>
      <c r="K614" s="8" t="s">
        <v>859</v>
      </c>
      <c r="L614" s="7">
        <v>8.0</v>
      </c>
      <c r="M614" s="7" t="s">
        <v>87</v>
      </c>
      <c r="N614" s="13" t="s">
        <v>2226</v>
      </c>
      <c r="O614" s="15" t="s">
        <v>2227</v>
      </c>
    </row>
    <row r="615">
      <c r="A615" s="5">
        <v>705.0</v>
      </c>
      <c r="B615" s="6">
        <v>45991.804064247684</v>
      </c>
      <c r="C615" s="7" t="s">
        <v>15</v>
      </c>
      <c r="D615" s="8" t="s">
        <v>2114</v>
      </c>
      <c r="E615" s="8" t="s">
        <v>319</v>
      </c>
      <c r="F615" s="7" t="s">
        <v>2115</v>
      </c>
      <c r="G615" s="9" t="s">
        <v>19</v>
      </c>
      <c r="H615" s="7" t="s">
        <v>2084</v>
      </c>
      <c r="I615" s="7" t="s">
        <v>94</v>
      </c>
      <c r="J615" s="10">
        <v>45823.0</v>
      </c>
      <c r="K615" s="8" t="s">
        <v>22</v>
      </c>
      <c r="L615" s="7">
        <v>4.0</v>
      </c>
      <c r="M615" s="7" t="s">
        <v>106</v>
      </c>
      <c r="N615" s="13" t="s">
        <v>2228</v>
      </c>
      <c r="O615" s="15" t="s">
        <v>2229</v>
      </c>
    </row>
    <row r="616">
      <c r="A616" s="5">
        <v>706.0</v>
      </c>
      <c r="B616" s="6">
        <v>45991.80480603009</v>
      </c>
      <c r="C616" s="7" t="s">
        <v>26</v>
      </c>
      <c r="D616" s="8" t="s">
        <v>2108</v>
      </c>
      <c r="E616" s="8" t="s">
        <v>396</v>
      </c>
      <c r="F616" s="7" t="s">
        <v>2109</v>
      </c>
      <c r="G616" s="9" t="s">
        <v>19</v>
      </c>
      <c r="H616" s="7" t="s">
        <v>2230</v>
      </c>
      <c r="I616" s="7" t="s">
        <v>31</v>
      </c>
      <c r="J616" s="10">
        <v>45825.0</v>
      </c>
      <c r="K616" s="8" t="s">
        <v>49</v>
      </c>
      <c r="L616" s="7">
        <v>8.0</v>
      </c>
      <c r="M616" s="7" t="s">
        <v>33</v>
      </c>
      <c r="N616" s="13" t="s">
        <v>2231</v>
      </c>
      <c r="O616" s="15" t="s">
        <v>2232</v>
      </c>
    </row>
    <row r="617">
      <c r="A617" s="5">
        <v>707.0</v>
      </c>
      <c r="B617" s="6">
        <v>45991.80527814815</v>
      </c>
      <c r="C617" s="7" t="s">
        <v>26</v>
      </c>
      <c r="D617" s="8" t="s">
        <v>2140</v>
      </c>
      <c r="E617" s="8" t="s">
        <v>1185</v>
      </c>
      <c r="F617" s="7" t="s">
        <v>2141</v>
      </c>
      <c r="G617" s="9" t="s">
        <v>19</v>
      </c>
      <c r="H617" s="7" t="s">
        <v>2233</v>
      </c>
      <c r="I617" s="7" t="s">
        <v>498</v>
      </c>
      <c r="J617" s="10">
        <v>45963.0</v>
      </c>
      <c r="K617" s="8" t="s">
        <v>315</v>
      </c>
      <c r="L617" s="7">
        <v>8.0</v>
      </c>
      <c r="M617" s="7" t="s">
        <v>87</v>
      </c>
      <c r="N617" s="13" t="s">
        <v>2234</v>
      </c>
      <c r="O617" s="15" t="s">
        <v>2235</v>
      </c>
    </row>
    <row r="618">
      <c r="A618" s="5">
        <v>708.0</v>
      </c>
      <c r="B618" s="6">
        <v>45991.80600628472</v>
      </c>
      <c r="C618" s="7" t="s">
        <v>15</v>
      </c>
      <c r="D618" s="8" t="s">
        <v>2182</v>
      </c>
      <c r="E618" s="8" t="s">
        <v>1725</v>
      </c>
      <c r="F618" s="7" t="s">
        <v>2183</v>
      </c>
      <c r="G618" s="9" t="s">
        <v>19</v>
      </c>
      <c r="H618" s="7" t="s">
        <v>104</v>
      </c>
      <c r="I618" s="7" t="s">
        <v>2236</v>
      </c>
      <c r="J618" s="10">
        <v>45823.0</v>
      </c>
      <c r="K618" s="8" t="s">
        <v>22</v>
      </c>
      <c r="L618" s="7">
        <v>4.0</v>
      </c>
      <c r="M618" s="7" t="s">
        <v>106</v>
      </c>
      <c r="N618" s="13" t="s">
        <v>2237</v>
      </c>
      <c r="O618" s="15" t="s">
        <v>2238</v>
      </c>
    </row>
    <row r="619">
      <c r="A619" s="5">
        <v>709.0</v>
      </c>
      <c r="B619" s="6">
        <v>45991.80683246528</v>
      </c>
      <c r="C619" s="7" t="s">
        <v>15</v>
      </c>
      <c r="D619" s="8" t="s">
        <v>2165</v>
      </c>
      <c r="E619" s="8" t="s">
        <v>799</v>
      </c>
      <c r="F619" s="7" t="s">
        <v>2166</v>
      </c>
      <c r="G619" s="9" t="s">
        <v>19</v>
      </c>
      <c r="H619" s="7" t="s">
        <v>406</v>
      </c>
      <c r="I619" s="7" t="s">
        <v>94</v>
      </c>
      <c r="J619" s="10">
        <v>45823.0</v>
      </c>
      <c r="K619" s="8" t="s">
        <v>138</v>
      </c>
      <c r="L619" s="7">
        <v>4.0</v>
      </c>
      <c r="M619" s="7" t="s">
        <v>106</v>
      </c>
      <c r="N619" s="13" t="s">
        <v>2239</v>
      </c>
      <c r="O619" s="15" t="s">
        <v>2240</v>
      </c>
    </row>
    <row r="620">
      <c r="A620" s="5">
        <v>710.0</v>
      </c>
      <c r="B620" s="6">
        <v>45991.80700457176</v>
      </c>
      <c r="C620" s="7" t="s">
        <v>15</v>
      </c>
      <c r="D620" s="8" t="s">
        <v>2127</v>
      </c>
      <c r="E620" s="8" t="s">
        <v>118</v>
      </c>
      <c r="F620" s="7" t="s">
        <v>2128</v>
      </c>
      <c r="G620" s="9" t="s">
        <v>19</v>
      </c>
      <c r="H620" s="7" t="s">
        <v>406</v>
      </c>
      <c r="I620" s="7" t="s">
        <v>94</v>
      </c>
      <c r="J620" s="10">
        <v>45823.0</v>
      </c>
      <c r="K620" s="8" t="s">
        <v>22</v>
      </c>
      <c r="L620" s="7">
        <v>4.0</v>
      </c>
      <c r="M620" s="7" t="s">
        <v>106</v>
      </c>
      <c r="N620" s="13" t="s">
        <v>2241</v>
      </c>
      <c r="O620" s="15" t="s">
        <v>2242</v>
      </c>
    </row>
    <row r="621">
      <c r="A621" s="5">
        <v>711.0</v>
      </c>
      <c r="B621" s="6">
        <v>45991.80736508102</v>
      </c>
      <c r="C621" s="7" t="s">
        <v>15</v>
      </c>
      <c r="D621" s="8" t="s">
        <v>2243</v>
      </c>
      <c r="E621" s="8" t="s">
        <v>1764</v>
      </c>
      <c r="F621" s="7" t="s">
        <v>2192</v>
      </c>
      <c r="G621" s="9" t="s">
        <v>19</v>
      </c>
      <c r="H621" s="7" t="s">
        <v>1810</v>
      </c>
      <c r="I621" s="7" t="s">
        <v>37</v>
      </c>
      <c r="J621" s="10">
        <v>45840.0</v>
      </c>
      <c r="K621" s="8" t="s">
        <v>67</v>
      </c>
      <c r="L621" s="7">
        <v>8.0</v>
      </c>
      <c r="M621" s="7" t="s">
        <v>33</v>
      </c>
      <c r="N621" s="13" t="s">
        <v>2244</v>
      </c>
      <c r="O621" s="16"/>
    </row>
    <row r="622">
      <c r="A622" s="5">
        <v>712.0</v>
      </c>
      <c r="B622" s="6">
        <v>45991.80737997685</v>
      </c>
      <c r="C622" s="7" t="s">
        <v>26</v>
      </c>
      <c r="D622" s="8" t="s">
        <v>2108</v>
      </c>
      <c r="E622" s="8" t="s">
        <v>396</v>
      </c>
      <c r="F622" s="7" t="s">
        <v>2109</v>
      </c>
      <c r="G622" s="9" t="s">
        <v>19</v>
      </c>
      <c r="H622" s="7" t="s">
        <v>30</v>
      </c>
      <c r="I622" s="7" t="s">
        <v>469</v>
      </c>
      <c r="J622" s="10">
        <v>45833.0</v>
      </c>
      <c r="K622" s="8" t="s">
        <v>49</v>
      </c>
      <c r="L622" s="7">
        <v>8.0</v>
      </c>
      <c r="M622" s="7" t="s">
        <v>33</v>
      </c>
      <c r="N622" s="13" t="s">
        <v>2245</v>
      </c>
      <c r="O622" s="15" t="s">
        <v>2246</v>
      </c>
    </row>
    <row r="623">
      <c r="A623" s="5">
        <v>713.0</v>
      </c>
      <c r="B623" s="6">
        <v>45991.8076996875</v>
      </c>
      <c r="C623" s="7" t="s">
        <v>26</v>
      </c>
      <c r="D623" s="8" t="s">
        <v>2247</v>
      </c>
      <c r="E623" s="8" t="s">
        <v>893</v>
      </c>
      <c r="F623" s="7" t="s">
        <v>2248</v>
      </c>
      <c r="G623" s="9" t="s">
        <v>19</v>
      </c>
      <c r="H623" s="7" t="s">
        <v>2249</v>
      </c>
      <c r="I623" s="7" t="s">
        <v>37</v>
      </c>
      <c r="J623" s="10">
        <v>45839.0</v>
      </c>
      <c r="K623" s="8" t="s">
        <v>67</v>
      </c>
      <c r="L623" s="7">
        <v>8.0</v>
      </c>
      <c r="M623" s="7" t="s">
        <v>553</v>
      </c>
      <c r="N623" s="13" t="s">
        <v>2250</v>
      </c>
      <c r="O623" s="15" t="s">
        <v>2251</v>
      </c>
    </row>
    <row r="624">
      <c r="A624" s="5">
        <v>714.0</v>
      </c>
      <c r="B624" s="6">
        <v>45991.80834916666</v>
      </c>
      <c r="C624" s="7" t="s">
        <v>15</v>
      </c>
      <c r="D624" s="8" t="s">
        <v>2191</v>
      </c>
      <c r="E624" s="8" t="s">
        <v>1764</v>
      </c>
      <c r="F624" s="7" t="s">
        <v>2192</v>
      </c>
      <c r="G624" s="9" t="s">
        <v>19</v>
      </c>
      <c r="H624" s="7" t="s">
        <v>1810</v>
      </c>
      <c r="I624" s="7" t="s">
        <v>37</v>
      </c>
      <c r="J624" s="10">
        <v>45840.0</v>
      </c>
      <c r="K624" s="8" t="s">
        <v>67</v>
      </c>
      <c r="L624" s="7">
        <v>8.0</v>
      </c>
      <c r="M624" s="7" t="s">
        <v>33</v>
      </c>
      <c r="N624" s="13" t="s">
        <v>2252</v>
      </c>
      <c r="O624" s="15" t="s">
        <v>2253</v>
      </c>
    </row>
    <row r="625">
      <c r="A625" s="5">
        <v>715.0</v>
      </c>
      <c r="B625" s="6">
        <v>45991.8086378125</v>
      </c>
      <c r="C625" s="7" t="s">
        <v>15</v>
      </c>
      <c r="D625" s="8" t="s">
        <v>2127</v>
      </c>
      <c r="E625" s="8" t="s">
        <v>118</v>
      </c>
      <c r="F625" s="7" t="s">
        <v>2128</v>
      </c>
      <c r="G625" s="9" t="s">
        <v>19</v>
      </c>
      <c r="H625" s="7" t="s">
        <v>406</v>
      </c>
      <c r="I625" s="7" t="s">
        <v>94</v>
      </c>
      <c r="J625" s="10">
        <v>45823.0</v>
      </c>
      <c r="K625" s="8" t="s">
        <v>22</v>
      </c>
      <c r="L625" s="7">
        <v>4.0</v>
      </c>
      <c r="M625" s="7" t="s">
        <v>106</v>
      </c>
      <c r="N625" s="13" t="s">
        <v>2254</v>
      </c>
      <c r="O625" s="15" t="s">
        <v>2255</v>
      </c>
    </row>
    <row r="626">
      <c r="A626" s="5">
        <v>716.0</v>
      </c>
      <c r="B626" s="6">
        <v>45991.810003136576</v>
      </c>
      <c r="C626" s="7" t="s">
        <v>15</v>
      </c>
      <c r="D626" s="8" t="s">
        <v>483</v>
      </c>
      <c r="E626" s="8" t="s">
        <v>484</v>
      </c>
      <c r="F626" s="7" t="s">
        <v>485</v>
      </c>
      <c r="G626" s="9" t="s">
        <v>19</v>
      </c>
      <c r="H626" s="7" t="s">
        <v>2256</v>
      </c>
      <c r="I626" s="7" t="s">
        <v>2257</v>
      </c>
      <c r="J626" s="10">
        <v>45949.0</v>
      </c>
      <c r="K626" s="8" t="s">
        <v>635</v>
      </c>
      <c r="L626" s="7">
        <v>4.0</v>
      </c>
      <c r="M626" s="7" t="s">
        <v>636</v>
      </c>
      <c r="N626" s="13" t="s">
        <v>2258</v>
      </c>
      <c r="O626" s="15" t="s">
        <v>2259</v>
      </c>
    </row>
    <row r="627">
      <c r="A627" s="5">
        <v>717.0</v>
      </c>
      <c r="B627" s="6">
        <v>45991.81049841435</v>
      </c>
      <c r="C627" s="7" t="s">
        <v>26</v>
      </c>
      <c r="D627" s="8" t="s">
        <v>2108</v>
      </c>
      <c r="E627" s="8" t="s">
        <v>396</v>
      </c>
      <c r="F627" s="7" t="s">
        <v>2109</v>
      </c>
      <c r="G627" s="9" t="s">
        <v>19</v>
      </c>
      <c r="H627" s="7" t="s">
        <v>30</v>
      </c>
      <c r="I627" s="7" t="s">
        <v>37</v>
      </c>
      <c r="J627" s="10">
        <v>45838.0</v>
      </c>
      <c r="K627" s="8" t="s">
        <v>49</v>
      </c>
      <c r="L627" s="7">
        <v>8.0</v>
      </c>
      <c r="M627" s="7" t="s">
        <v>33</v>
      </c>
      <c r="N627" s="13" t="s">
        <v>2260</v>
      </c>
      <c r="O627" s="15" t="s">
        <v>2261</v>
      </c>
    </row>
    <row r="628">
      <c r="A628" s="5">
        <v>719.0</v>
      </c>
      <c r="B628" s="6">
        <v>45991.81141112269</v>
      </c>
      <c r="C628" s="7" t="s">
        <v>26</v>
      </c>
      <c r="D628" s="8" t="s">
        <v>1247</v>
      </c>
      <c r="E628" s="8" t="s">
        <v>1248</v>
      </c>
      <c r="F628" s="7" t="s">
        <v>1249</v>
      </c>
      <c r="G628" s="9" t="s">
        <v>19</v>
      </c>
      <c r="H628" s="7" t="s">
        <v>1105</v>
      </c>
      <c r="I628" s="7" t="s">
        <v>498</v>
      </c>
      <c r="J628" s="10">
        <v>45961.0</v>
      </c>
      <c r="K628" s="8" t="s">
        <v>639</v>
      </c>
      <c r="L628" s="7">
        <v>4.0</v>
      </c>
      <c r="M628" s="7" t="s">
        <v>87</v>
      </c>
      <c r="N628" s="13" t="s">
        <v>2262</v>
      </c>
      <c r="O628" s="15" t="s">
        <v>2263</v>
      </c>
    </row>
    <row r="629">
      <c r="A629" s="5">
        <v>720.0</v>
      </c>
      <c r="B629" s="6">
        <v>45991.81178420139</v>
      </c>
      <c r="C629" s="7" t="s">
        <v>15</v>
      </c>
      <c r="D629" s="8" t="s">
        <v>2264</v>
      </c>
      <c r="E629" s="8" t="s">
        <v>380</v>
      </c>
      <c r="F629" s="7" t="s">
        <v>2265</v>
      </c>
      <c r="G629" s="9" t="s">
        <v>84</v>
      </c>
      <c r="H629" s="7" t="s">
        <v>85</v>
      </c>
      <c r="I629" s="7" t="s">
        <v>456</v>
      </c>
      <c r="J629" s="10">
        <v>45981.0</v>
      </c>
      <c r="K629" s="8" t="s">
        <v>2266</v>
      </c>
      <c r="L629" s="7">
        <v>8.0</v>
      </c>
      <c r="M629" s="7" t="s">
        <v>87</v>
      </c>
      <c r="N629" s="13" t="s">
        <v>2267</v>
      </c>
      <c r="O629" s="15" t="s">
        <v>2268</v>
      </c>
    </row>
    <row r="630">
      <c r="A630" s="5">
        <v>721.0</v>
      </c>
      <c r="B630" s="6">
        <v>45991.81198770834</v>
      </c>
      <c r="C630" s="7" t="s">
        <v>15</v>
      </c>
      <c r="D630" s="8" t="s">
        <v>483</v>
      </c>
      <c r="E630" s="8" t="s">
        <v>484</v>
      </c>
      <c r="F630" s="7" t="s">
        <v>485</v>
      </c>
      <c r="G630" s="9" t="s">
        <v>19</v>
      </c>
      <c r="H630" s="7" t="s">
        <v>2269</v>
      </c>
      <c r="I630" s="7" t="s">
        <v>314</v>
      </c>
      <c r="J630" s="10">
        <v>45981.0</v>
      </c>
      <c r="K630" s="8" t="s">
        <v>639</v>
      </c>
      <c r="L630" s="7">
        <v>4.0</v>
      </c>
      <c r="M630" s="7" t="s">
        <v>636</v>
      </c>
      <c r="N630" s="13" t="s">
        <v>2270</v>
      </c>
      <c r="O630" s="16"/>
    </row>
    <row r="631">
      <c r="A631" s="5">
        <v>722.0</v>
      </c>
      <c r="B631" s="6">
        <v>45991.81200342593</v>
      </c>
      <c r="C631" s="7" t="s">
        <v>15</v>
      </c>
      <c r="D631" s="8" t="s">
        <v>2123</v>
      </c>
      <c r="E631" s="8" t="s">
        <v>199</v>
      </c>
      <c r="F631" s="7" t="s">
        <v>2124</v>
      </c>
      <c r="G631" s="9" t="s">
        <v>84</v>
      </c>
      <c r="H631" s="7" t="s">
        <v>85</v>
      </c>
      <c r="I631" s="7" t="s">
        <v>1192</v>
      </c>
      <c r="J631" s="10">
        <v>45941.0</v>
      </c>
      <c r="K631" s="8" t="s">
        <v>457</v>
      </c>
      <c r="L631" s="7">
        <v>8.0</v>
      </c>
      <c r="M631" s="7" t="s">
        <v>2124</v>
      </c>
      <c r="N631" s="13" t="s">
        <v>2271</v>
      </c>
      <c r="O631" s="15" t="s">
        <v>2272</v>
      </c>
    </row>
    <row r="632">
      <c r="A632" s="5">
        <v>724.0</v>
      </c>
      <c r="B632" s="6">
        <v>45991.81353484954</v>
      </c>
      <c r="C632" s="7" t="s">
        <v>15</v>
      </c>
      <c r="D632" s="8" t="s">
        <v>2182</v>
      </c>
      <c r="E632" s="8" t="s">
        <v>1725</v>
      </c>
      <c r="F632" s="7" t="s">
        <v>2183</v>
      </c>
      <c r="G632" s="9" t="s">
        <v>144</v>
      </c>
      <c r="H632" s="7" t="s">
        <v>2273</v>
      </c>
      <c r="I632" s="7" t="s">
        <v>2274</v>
      </c>
      <c r="J632" s="10">
        <v>45857.0</v>
      </c>
      <c r="K632" s="8" t="s">
        <v>2275</v>
      </c>
      <c r="L632" s="7">
        <v>2.0</v>
      </c>
      <c r="M632" s="7" t="s">
        <v>2276</v>
      </c>
      <c r="N632" s="13" t="s">
        <v>2277</v>
      </c>
      <c r="O632" s="15" t="s">
        <v>2278</v>
      </c>
    </row>
    <row r="633">
      <c r="A633" s="5">
        <v>725.0</v>
      </c>
      <c r="B633" s="6">
        <v>45991.81364137732</v>
      </c>
      <c r="C633" s="7" t="s">
        <v>15</v>
      </c>
      <c r="D633" s="8" t="s">
        <v>483</v>
      </c>
      <c r="E633" s="8" t="s">
        <v>484</v>
      </c>
      <c r="F633" s="7" t="s">
        <v>485</v>
      </c>
      <c r="G633" s="9" t="s">
        <v>19</v>
      </c>
      <c r="H633" s="7" t="s">
        <v>2269</v>
      </c>
      <c r="I633" s="7" t="s">
        <v>314</v>
      </c>
      <c r="J633" s="10">
        <v>45951.0</v>
      </c>
      <c r="K633" s="8" t="s">
        <v>639</v>
      </c>
      <c r="L633" s="7">
        <v>4.0</v>
      </c>
      <c r="M633" s="7" t="s">
        <v>636</v>
      </c>
      <c r="N633" s="13" t="s">
        <v>2279</v>
      </c>
      <c r="O633" s="15" t="s">
        <v>2280</v>
      </c>
    </row>
    <row r="634">
      <c r="A634" s="5">
        <v>726.0</v>
      </c>
      <c r="B634" s="6">
        <v>45991.81377071759</v>
      </c>
      <c r="C634" s="7" t="s">
        <v>26</v>
      </c>
      <c r="D634" s="8" t="s">
        <v>2247</v>
      </c>
      <c r="E634" s="8" t="s">
        <v>893</v>
      </c>
      <c r="F634" s="7" t="s">
        <v>2248</v>
      </c>
      <c r="G634" s="9" t="s">
        <v>19</v>
      </c>
      <c r="H634" s="7" t="s">
        <v>2249</v>
      </c>
      <c r="I634" s="7" t="s">
        <v>37</v>
      </c>
      <c r="J634" s="10">
        <v>45840.0</v>
      </c>
      <c r="K634" s="8" t="s">
        <v>67</v>
      </c>
      <c r="L634" s="7">
        <v>8.0</v>
      </c>
      <c r="M634" s="7" t="s">
        <v>553</v>
      </c>
      <c r="N634" s="13" t="s">
        <v>2281</v>
      </c>
      <c r="O634" s="15" t="s">
        <v>2282</v>
      </c>
    </row>
    <row r="635">
      <c r="A635" s="5">
        <v>728.0</v>
      </c>
      <c r="B635" s="6">
        <v>45991.81522883102</v>
      </c>
      <c r="C635" s="7" t="s">
        <v>26</v>
      </c>
      <c r="D635" s="8" t="s">
        <v>2108</v>
      </c>
      <c r="E635" s="8" t="s">
        <v>396</v>
      </c>
      <c r="F635" s="7" t="s">
        <v>2109</v>
      </c>
      <c r="G635" s="9" t="s">
        <v>19</v>
      </c>
      <c r="H635" s="7" t="s">
        <v>44</v>
      </c>
      <c r="I635" s="7" t="s">
        <v>37</v>
      </c>
      <c r="J635" s="10">
        <v>45840.0</v>
      </c>
      <c r="K635" s="8" t="s">
        <v>67</v>
      </c>
      <c r="L635" s="7">
        <v>8.0</v>
      </c>
      <c r="M635" s="7" t="s">
        <v>33</v>
      </c>
      <c r="N635" s="13" t="s">
        <v>2283</v>
      </c>
      <c r="O635" s="15" t="s">
        <v>2284</v>
      </c>
    </row>
    <row r="636">
      <c r="A636" s="5">
        <v>729.0</v>
      </c>
      <c r="B636" s="6">
        <v>45991.81530287037</v>
      </c>
      <c r="C636" s="7" t="s">
        <v>15</v>
      </c>
      <c r="D636" s="8" t="s">
        <v>2191</v>
      </c>
      <c r="E636" s="8" t="s">
        <v>1764</v>
      </c>
      <c r="F636" s="7" t="s">
        <v>2192</v>
      </c>
      <c r="G636" s="9" t="s">
        <v>19</v>
      </c>
      <c r="H636" s="7" t="s">
        <v>2285</v>
      </c>
      <c r="I636" s="7" t="s">
        <v>304</v>
      </c>
      <c r="J636" s="10">
        <v>45841.0</v>
      </c>
      <c r="K636" s="8" t="s">
        <v>510</v>
      </c>
      <c r="L636" s="7">
        <v>6.0</v>
      </c>
      <c r="M636" s="7" t="s">
        <v>305</v>
      </c>
      <c r="N636" s="13" t="s">
        <v>2286</v>
      </c>
      <c r="O636" s="15" t="s">
        <v>2287</v>
      </c>
    </row>
    <row r="637">
      <c r="A637" s="5">
        <v>730.0</v>
      </c>
      <c r="B637" s="6">
        <v>45991.81580679398</v>
      </c>
      <c r="C637" s="7" t="s">
        <v>15</v>
      </c>
      <c r="D637" s="8" t="s">
        <v>483</v>
      </c>
      <c r="E637" s="8" t="s">
        <v>484</v>
      </c>
      <c r="F637" s="7" t="s">
        <v>485</v>
      </c>
      <c r="G637" s="9" t="s">
        <v>19</v>
      </c>
      <c r="H637" s="7" t="s">
        <v>2269</v>
      </c>
      <c r="I637" s="7" t="s">
        <v>314</v>
      </c>
      <c r="J637" s="10">
        <v>45952.0</v>
      </c>
      <c r="K637" s="8" t="s">
        <v>639</v>
      </c>
      <c r="L637" s="7">
        <v>4.0</v>
      </c>
      <c r="M637" s="7" t="s">
        <v>636</v>
      </c>
      <c r="N637" s="13" t="s">
        <v>2288</v>
      </c>
      <c r="O637" s="15" t="s">
        <v>2289</v>
      </c>
    </row>
    <row r="638">
      <c r="A638" s="5">
        <v>731.0</v>
      </c>
      <c r="B638" s="6">
        <v>45991.8161344213</v>
      </c>
      <c r="C638" s="7" t="s">
        <v>15</v>
      </c>
      <c r="D638" s="8" t="s">
        <v>2182</v>
      </c>
      <c r="E638" s="8" t="s">
        <v>1725</v>
      </c>
      <c r="F638" s="7" t="s">
        <v>2183</v>
      </c>
      <c r="G638" s="9" t="s">
        <v>415</v>
      </c>
      <c r="H638" s="7" t="s">
        <v>2290</v>
      </c>
      <c r="I638" s="7" t="s">
        <v>314</v>
      </c>
      <c r="J638" s="10">
        <v>45991.0</v>
      </c>
      <c r="K638" s="8" t="s">
        <v>2291</v>
      </c>
      <c r="L638" s="7">
        <v>1.0</v>
      </c>
      <c r="M638" s="7" t="s">
        <v>314</v>
      </c>
      <c r="N638" s="13" t="s">
        <v>2292</v>
      </c>
      <c r="O638" s="15" t="s">
        <v>2293</v>
      </c>
    </row>
    <row r="639">
      <c r="A639" s="5">
        <v>732.0</v>
      </c>
      <c r="B639" s="6">
        <v>45991.81697936343</v>
      </c>
      <c r="C639" s="7" t="s">
        <v>15</v>
      </c>
      <c r="D639" s="8" t="s">
        <v>483</v>
      </c>
      <c r="E639" s="8" t="s">
        <v>484</v>
      </c>
      <c r="F639" s="7" t="s">
        <v>485</v>
      </c>
      <c r="G639" s="9" t="s">
        <v>19</v>
      </c>
      <c r="H639" s="7" t="s">
        <v>2294</v>
      </c>
      <c r="I639" s="7" t="s">
        <v>314</v>
      </c>
      <c r="J639" s="10">
        <v>45953.0</v>
      </c>
      <c r="K639" s="8" t="s">
        <v>639</v>
      </c>
      <c r="L639" s="7">
        <v>4.0</v>
      </c>
      <c r="M639" s="7" t="s">
        <v>636</v>
      </c>
      <c r="N639" s="13" t="s">
        <v>2295</v>
      </c>
      <c r="O639" s="15" t="s">
        <v>2296</v>
      </c>
    </row>
    <row r="640">
      <c r="A640" s="5">
        <v>733.0</v>
      </c>
      <c r="B640" s="6">
        <v>45991.81713274306</v>
      </c>
      <c r="C640" s="7" t="s">
        <v>15</v>
      </c>
      <c r="D640" s="8" t="s">
        <v>2264</v>
      </c>
      <c r="E640" s="8" t="s">
        <v>380</v>
      </c>
      <c r="F640" s="7" t="s">
        <v>2265</v>
      </c>
      <c r="G640" s="9" t="s">
        <v>159</v>
      </c>
      <c r="H640" s="7" t="s">
        <v>204</v>
      </c>
      <c r="I640" s="7" t="s">
        <v>2297</v>
      </c>
      <c r="J640" s="10">
        <v>45962.0</v>
      </c>
      <c r="K640" s="8" t="s">
        <v>206</v>
      </c>
      <c r="L640" s="7">
        <v>4.0</v>
      </c>
      <c r="M640" s="7" t="s">
        <v>2298</v>
      </c>
      <c r="N640" s="13" t="s">
        <v>2299</v>
      </c>
      <c r="O640" s="15" t="s">
        <v>2300</v>
      </c>
    </row>
    <row r="641">
      <c r="A641" s="5">
        <v>734.0</v>
      </c>
      <c r="B641" s="6">
        <v>45991.81778104167</v>
      </c>
      <c r="C641" s="7" t="s">
        <v>26</v>
      </c>
      <c r="D641" s="8" t="s">
        <v>2108</v>
      </c>
      <c r="E641" s="8" t="s">
        <v>396</v>
      </c>
      <c r="F641" s="7" t="s">
        <v>2109</v>
      </c>
      <c r="G641" s="9" t="s">
        <v>19</v>
      </c>
      <c r="H641" s="7" t="s">
        <v>44</v>
      </c>
      <c r="I641" s="7" t="s">
        <v>37</v>
      </c>
      <c r="J641" s="10">
        <v>45839.0</v>
      </c>
      <c r="K641" s="8" t="s">
        <v>67</v>
      </c>
      <c r="L641" s="7">
        <v>8.0</v>
      </c>
      <c r="M641" s="7" t="s">
        <v>33</v>
      </c>
      <c r="N641" s="13" t="s">
        <v>2301</v>
      </c>
      <c r="O641" s="15" t="s">
        <v>2302</v>
      </c>
    </row>
    <row r="642">
      <c r="A642" s="5">
        <v>735.0</v>
      </c>
      <c r="B642" s="6">
        <v>45991.81846594907</v>
      </c>
      <c r="C642" s="7" t="s">
        <v>125</v>
      </c>
      <c r="D642" s="8" t="s">
        <v>2303</v>
      </c>
      <c r="E642" s="8" t="s">
        <v>28</v>
      </c>
      <c r="F642" s="7" t="s">
        <v>2304</v>
      </c>
      <c r="G642" s="9" t="s">
        <v>144</v>
      </c>
      <c r="H642" s="7" t="s">
        <v>365</v>
      </c>
      <c r="I642" s="7" t="s">
        <v>366</v>
      </c>
      <c r="J642" s="10">
        <v>45942.0</v>
      </c>
      <c r="K642" s="8" t="s">
        <v>22</v>
      </c>
      <c r="L642" s="7">
        <v>4.0</v>
      </c>
      <c r="M642" s="7" t="s">
        <v>367</v>
      </c>
      <c r="N642" s="13" t="s">
        <v>2305</v>
      </c>
      <c r="O642" s="15" t="s">
        <v>2306</v>
      </c>
    </row>
    <row r="643">
      <c r="A643" s="5">
        <v>736.0</v>
      </c>
      <c r="B643" s="6">
        <v>45991.81878107639</v>
      </c>
      <c r="C643" s="7" t="s">
        <v>26</v>
      </c>
      <c r="D643" s="8" t="s">
        <v>1542</v>
      </c>
      <c r="E643" s="8" t="s">
        <v>679</v>
      </c>
      <c r="F643" s="7" t="s">
        <v>1543</v>
      </c>
      <c r="G643" s="9" t="s">
        <v>181</v>
      </c>
      <c r="H643" s="7" t="s">
        <v>2307</v>
      </c>
      <c r="I643" s="7" t="s">
        <v>231</v>
      </c>
      <c r="J643" s="10">
        <v>45887.0</v>
      </c>
      <c r="K643" s="8" t="s">
        <v>518</v>
      </c>
      <c r="L643" s="7">
        <v>2.0</v>
      </c>
      <c r="M643" s="7" t="s">
        <v>2308</v>
      </c>
      <c r="N643" s="13" t="s">
        <v>2309</v>
      </c>
      <c r="O643" s="15" t="s">
        <v>2310</v>
      </c>
    </row>
    <row r="644">
      <c r="A644" s="5">
        <v>737.0</v>
      </c>
      <c r="B644" s="6">
        <v>45991.81886424769</v>
      </c>
      <c r="C644" s="7" t="s">
        <v>15</v>
      </c>
      <c r="D644" s="8" t="s">
        <v>2264</v>
      </c>
      <c r="E644" s="8" t="s">
        <v>380</v>
      </c>
      <c r="F644" s="7" t="s">
        <v>2265</v>
      </c>
      <c r="G644" s="9" t="s">
        <v>19</v>
      </c>
      <c r="H644" s="7" t="s">
        <v>406</v>
      </c>
      <c r="I644" s="7" t="s">
        <v>94</v>
      </c>
      <c r="J644" s="10">
        <v>45823.0</v>
      </c>
      <c r="K644" s="8" t="s">
        <v>22</v>
      </c>
      <c r="L644" s="7">
        <v>4.0</v>
      </c>
      <c r="M644" s="7" t="s">
        <v>106</v>
      </c>
      <c r="N644" s="13" t="s">
        <v>2311</v>
      </c>
      <c r="O644" s="15" t="s">
        <v>2312</v>
      </c>
    </row>
    <row r="645">
      <c r="A645" s="5">
        <v>738.0</v>
      </c>
      <c r="B645" s="6">
        <v>45991.81894585648</v>
      </c>
      <c r="C645" s="7" t="s">
        <v>15</v>
      </c>
      <c r="D645" s="8" t="s">
        <v>483</v>
      </c>
      <c r="E645" s="8" t="s">
        <v>484</v>
      </c>
      <c r="F645" s="7" t="s">
        <v>485</v>
      </c>
      <c r="G645" s="9" t="s">
        <v>19</v>
      </c>
      <c r="H645" s="7" t="s">
        <v>2269</v>
      </c>
      <c r="I645" s="7" t="s">
        <v>314</v>
      </c>
      <c r="J645" s="10">
        <v>45950.0</v>
      </c>
      <c r="K645" s="8" t="s">
        <v>639</v>
      </c>
      <c r="L645" s="7">
        <v>4.0</v>
      </c>
      <c r="M645" s="7" t="s">
        <v>636</v>
      </c>
      <c r="N645" s="13" t="s">
        <v>2313</v>
      </c>
      <c r="O645" s="15" t="s">
        <v>2314</v>
      </c>
    </row>
    <row r="646">
      <c r="A646" s="5">
        <v>739.0</v>
      </c>
      <c r="B646" s="6">
        <v>45991.81912670139</v>
      </c>
      <c r="C646" s="7" t="s">
        <v>26</v>
      </c>
      <c r="D646" s="8" t="s">
        <v>2315</v>
      </c>
      <c r="E646" s="8" t="s">
        <v>781</v>
      </c>
      <c r="F646" s="7" t="s">
        <v>2316</v>
      </c>
      <c r="G646" s="9" t="s">
        <v>19</v>
      </c>
      <c r="H646" s="7" t="s">
        <v>2317</v>
      </c>
      <c r="I646" s="7" t="s">
        <v>2318</v>
      </c>
      <c r="J646" s="10">
        <v>45822.0</v>
      </c>
      <c r="K646" s="8" t="s">
        <v>22</v>
      </c>
      <c r="L646" s="7">
        <v>7.0</v>
      </c>
      <c r="M646" s="7" t="s">
        <v>1064</v>
      </c>
      <c r="N646" s="13" t="s">
        <v>2319</v>
      </c>
      <c r="O646" s="15" t="s">
        <v>2320</v>
      </c>
    </row>
    <row r="647">
      <c r="A647" s="5">
        <v>740.0</v>
      </c>
      <c r="B647" s="6">
        <v>45991.81990662037</v>
      </c>
      <c r="C647" s="7" t="s">
        <v>15</v>
      </c>
      <c r="D647" s="8" t="s">
        <v>2321</v>
      </c>
      <c r="E647" s="8" t="s">
        <v>1385</v>
      </c>
      <c r="F647" s="7" t="s">
        <v>2322</v>
      </c>
      <c r="G647" s="9" t="s">
        <v>19</v>
      </c>
      <c r="H647" s="7" t="s">
        <v>2323</v>
      </c>
      <c r="I647" s="7" t="s">
        <v>31</v>
      </c>
      <c r="J647" s="10">
        <v>45825.0</v>
      </c>
      <c r="K647" s="8" t="s">
        <v>49</v>
      </c>
      <c r="L647" s="7">
        <v>8.0</v>
      </c>
      <c r="M647" s="7" t="s">
        <v>33</v>
      </c>
      <c r="N647" s="13" t="s">
        <v>2324</v>
      </c>
      <c r="O647" s="15" t="s">
        <v>2325</v>
      </c>
    </row>
    <row r="648">
      <c r="A648" s="5">
        <v>741.0</v>
      </c>
      <c r="B648" s="6">
        <v>45991.82002767361</v>
      </c>
      <c r="C648" s="7" t="s">
        <v>26</v>
      </c>
      <c r="D648" s="8" t="s">
        <v>1304</v>
      </c>
      <c r="E648" s="8" t="s">
        <v>134</v>
      </c>
      <c r="F648" s="7" t="s">
        <v>1305</v>
      </c>
      <c r="G648" s="9" t="s">
        <v>181</v>
      </c>
      <c r="H648" s="7" t="s">
        <v>857</v>
      </c>
      <c r="I648" s="7" t="s">
        <v>939</v>
      </c>
      <c r="J648" s="10">
        <v>45984.0</v>
      </c>
      <c r="K648" s="8" t="s">
        <v>859</v>
      </c>
      <c r="L648" s="7">
        <v>8.0</v>
      </c>
      <c r="M648" s="7" t="s">
        <v>860</v>
      </c>
      <c r="N648" s="13" t="s">
        <v>2326</v>
      </c>
      <c r="O648" s="15" t="s">
        <v>2327</v>
      </c>
    </row>
    <row r="649">
      <c r="A649" s="5">
        <v>742.0</v>
      </c>
      <c r="B649" s="6">
        <v>45991.82034135416</v>
      </c>
      <c r="C649" s="7" t="s">
        <v>26</v>
      </c>
      <c r="D649" s="8" t="s">
        <v>1247</v>
      </c>
      <c r="E649" s="8" t="s">
        <v>1248</v>
      </c>
      <c r="F649" s="7" t="s">
        <v>1249</v>
      </c>
      <c r="G649" s="9" t="s">
        <v>181</v>
      </c>
      <c r="H649" s="7" t="s">
        <v>278</v>
      </c>
      <c r="I649" s="7" t="s">
        <v>314</v>
      </c>
      <c r="J649" s="10">
        <v>45859.0</v>
      </c>
      <c r="K649" s="8" t="s">
        <v>2328</v>
      </c>
      <c r="L649" s="7">
        <v>8.0</v>
      </c>
      <c r="M649" s="7" t="s">
        <v>33</v>
      </c>
      <c r="N649" s="13" t="s">
        <v>2329</v>
      </c>
      <c r="O649" s="15" t="s">
        <v>2330</v>
      </c>
    </row>
    <row r="650">
      <c r="A650" s="5">
        <v>743.0</v>
      </c>
      <c r="B650" s="6">
        <v>45991.82092665509</v>
      </c>
      <c r="C650" s="7" t="s">
        <v>26</v>
      </c>
      <c r="D650" s="8" t="s">
        <v>1542</v>
      </c>
      <c r="E650" s="8" t="s">
        <v>679</v>
      </c>
      <c r="F650" s="7" t="s">
        <v>1543</v>
      </c>
      <c r="G650" s="9" t="s">
        <v>181</v>
      </c>
      <c r="H650" s="7" t="s">
        <v>2307</v>
      </c>
      <c r="I650" s="7" t="s">
        <v>231</v>
      </c>
      <c r="J650" s="10">
        <v>45888.0</v>
      </c>
      <c r="K650" s="8" t="s">
        <v>518</v>
      </c>
      <c r="L650" s="7">
        <v>2.0</v>
      </c>
      <c r="M650" s="7" t="s">
        <v>2308</v>
      </c>
      <c r="N650" s="13" t="s">
        <v>2331</v>
      </c>
      <c r="O650" s="15" t="s">
        <v>2332</v>
      </c>
    </row>
    <row r="651">
      <c r="A651" s="5">
        <v>744.0</v>
      </c>
      <c r="B651" s="6">
        <v>45991.821137175924</v>
      </c>
      <c r="C651" s="7" t="s">
        <v>15</v>
      </c>
      <c r="D651" s="8" t="s">
        <v>2321</v>
      </c>
      <c r="E651" s="8" t="s">
        <v>1385</v>
      </c>
      <c r="F651" s="7" t="s">
        <v>2322</v>
      </c>
      <c r="G651" s="9" t="s">
        <v>19</v>
      </c>
      <c r="H651" s="7" t="s">
        <v>30</v>
      </c>
      <c r="I651" s="7" t="s">
        <v>469</v>
      </c>
      <c r="J651" s="10">
        <v>45833.0</v>
      </c>
      <c r="K651" s="8" t="s">
        <v>49</v>
      </c>
      <c r="L651" s="7">
        <v>8.0</v>
      </c>
      <c r="M651" s="7" t="s">
        <v>33</v>
      </c>
      <c r="N651" s="13" t="s">
        <v>2333</v>
      </c>
      <c r="O651" s="15" t="s">
        <v>2334</v>
      </c>
    </row>
    <row r="652">
      <c r="A652" s="5">
        <v>745.0</v>
      </c>
      <c r="B652" s="6">
        <v>45991.82120766204</v>
      </c>
      <c r="C652" s="7" t="s">
        <v>26</v>
      </c>
      <c r="D652" s="8" t="s">
        <v>2202</v>
      </c>
      <c r="E652" s="8" t="s">
        <v>484</v>
      </c>
      <c r="F652" s="7" t="s">
        <v>2203</v>
      </c>
      <c r="G652" s="9" t="s">
        <v>181</v>
      </c>
      <c r="H652" s="7" t="s">
        <v>382</v>
      </c>
      <c r="I652" s="7" t="s">
        <v>231</v>
      </c>
      <c r="J652" s="10">
        <v>45859.0</v>
      </c>
      <c r="K652" s="8" t="s">
        <v>620</v>
      </c>
      <c r="L652" s="7">
        <v>8.0</v>
      </c>
      <c r="M652" s="7" t="s">
        <v>33</v>
      </c>
      <c r="N652" s="13" t="s">
        <v>2335</v>
      </c>
      <c r="O652" s="15" t="s">
        <v>2336</v>
      </c>
    </row>
    <row r="653">
      <c r="A653" s="5">
        <v>746.0</v>
      </c>
      <c r="B653" s="6">
        <v>45991.82127373843</v>
      </c>
      <c r="C653" s="7" t="s">
        <v>26</v>
      </c>
      <c r="D653" s="8" t="s">
        <v>2337</v>
      </c>
      <c r="E653" s="8" t="s">
        <v>2338</v>
      </c>
      <c r="F653" s="7" t="s">
        <v>2339</v>
      </c>
      <c r="G653" s="9" t="s">
        <v>84</v>
      </c>
      <c r="H653" s="7" t="s">
        <v>2340</v>
      </c>
      <c r="I653" s="7" t="s">
        <v>2341</v>
      </c>
      <c r="J653" s="10">
        <v>45862.0</v>
      </c>
      <c r="K653" s="8" t="s">
        <v>1139</v>
      </c>
      <c r="L653" s="7">
        <v>8.0</v>
      </c>
      <c r="M653" s="7" t="s">
        <v>2342</v>
      </c>
      <c r="N653" s="13" t="s">
        <v>2343</v>
      </c>
      <c r="O653" s="16"/>
    </row>
    <row r="654">
      <c r="A654" s="5">
        <v>747.0</v>
      </c>
      <c r="B654" s="6">
        <v>45991.821307418984</v>
      </c>
      <c r="C654" s="7" t="s">
        <v>15</v>
      </c>
      <c r="D654" s="8" t="s">
        <v>2264</v>
      </c>
      <c r="E654" s="8" t="s">
        <v>380</v>
      </c>
      <c r="F654" s="7" t="s">
        <v>2265</v>
      </c>
      <c r="G654" s="9" t="s">
        <v>415</v>
      </c>
      <c r="H654" s="7" t="s">
        <v>2344</v>
      </c>
      <c r="I654" s="7" t="s">
        <v>456</v>
      </c>
      <c r="J654" s="10">
        <v>45967.0</v>
      </c>
      <c r="K654" s="8" t="s">
        <v>1132</v>
      </c>
      <c r="L654" s="7">
        <v>1.0</v>
      </c>
      <c r="M654" s="7" t="s">
        <v>87</v>
      </c>
      <c r="N654" s="13" t="s">
        <v>2345</v>
      </c>
      <c r="O654" s="15" t="s">
        <v>2346</v>
      </c>
    </row>
    <row r="655">
      <c r="A655" s="5">
        <v>748.0</v>
      </c>
      <c r="B655" s="6">
        <v>45991.82261994213</v>
      </c>
      <c r="C655" s="7" t="s">
        <v>15</v>
      </c>
      <c r="D655" s="8" t="s">
        <v>2264</v>
      </c>
      <c r="E655" s="8" t="s">
        <v>380</v>
      </c>
      <c r="F655" s="7" t="s">
        <v>2265</v>
      </c>
      <c r="G655" s="9" t="s">
        <v>19</v>
      </c>
      <c r="H655" s="7" t="s">
        <v>2347</v>
      </c>
      <c r="I655" s="7" t="s">
        <v>21</v>
      </c>
      <c r="J655" s="10">
        <v>45940.0</v>
      </c>
      <c r="K655" s="8" t="s">
        <v>22</v>
      </c>
      <c r="L655" s="7">
        <v>4.0</v>
      </c>
      <c r="M655" s="7" t="s">
        <v>23</v>
      </c>
      <c r="N655" s="13" t="s">
        <v>2348</v>
      </c>
      <c r="O655" s="15" t="s">
        <v>2349</v>
      </c>
    </row>
    <row r="656">
      <c r="A656" s="5">
        <v>749.0</v>
      </c>
      <c r="B656" s="6">
        <v>45991.822848634256</v>
      </c>
      <c r="C656" s="7" t="s">
        <v>15</v>
      </c>
      <c r="D656" s="8" t="s">
        <v>2182</v>
      </c>
      <c r="E656" s="8" t="s">
        <v>1725</v>
      </c>
      <c r="F656" s="7" t="s">
        <v>2183</v>
      </c>
      <c r="G656" s="9" t="s">
        <v>415</v>
      </c>
      <c r="H656" s="7" t="s">
        <v>2350</v>
      </c>
      <c r="I656" s="7" t="s">
        <v>2351</v>
      </c>
      <c r="J656" s="10">
        <v>45955.0</v>
      </c>
      <c r="K656" s="8" t="s">
        <v>2053</v>
      </c>
      <c r="L656" s="7">
        <v>1.0</v>
      </c>
      <c r="M656" s="7" t="s">
        <v>2352</v>
      </c>
      <c r="N656" s="13" t="s">
        <v>2353</v>
      </c>
      <c r="O656" s="15" t="s">
        <v>2354</v>
      </c>
    </row>
    <row r="657">
      <c r="A657" s="5">
        <v>750.0</v>
      </c>
      <c r="B657" s="6">
        <v>45991.82302390046</v>
      </c>
      <c r="C657" s="7" t="s">
        <v>26</v>
      </c>
      <c r="D657" s="8" t="s">
        <v>2315</v>
      </c>
      <c r="E657" s="8" t="s">
        <v>781</v>
      </c>
      <c r="F657" s="7" t="s">
        <v>2316</v>
      </c>
      <c r="G657" s="9" t="s">
        <v>19</v>
      </c>
      <c r="H657" s="7" t="s">
        <v>2355</v>
      </c>
      <c r="I657" s="7" t="s">
        <v>2318</v>
      </c>
      <c r="J657" s="10">
        <v>45829.0</v>
      </c>
      <c r="K657" s="8" t="s">
        <v>22</v>
      </c>
      <c r="L657" s="7">
        <v>7.0</v>
      </c>
      <c r="M657" s="7" t="s">
        <v>1064</v>
      </c>
      <c r="N657" s="13" t="s">
        <v>2356</v>
      </c>
      <c r="O657" s="15" t="s">
        <v>2357</v>
      </c>
    </row>
    <row r="658">
      <c r="A658" s="5">
        <v>752.0</v>
      </c>
      <c r="B658" s="6">
        <v>45991.82377652777</v>
      </c>
      <c r="C658" s="7" t="s">
        <v>15</v>
      </c>
      <c r="D658" s="8" t="s">
        <v>2321</v>
      </c>
      <c r="E658" s="8" t="s">
        <v>1385</v>
      </c>
      <c r="F658" s="7" t="s">
        <v>2322</v>
      </c>
      <c r="G658" s="9" t="s">
        <v>19</v>
      </c>
      <c r="H658" s="7" t="s">
        <v>41</v>
      </c>
      <c r="I658" s="7" t="s">
        <v>37</v>
      </c>
      <c r="J658" s="10">
        <v>45839.0</v>
      </c>
      <c r="K658" s="8" t="s">
        <v>67</v>
      </c>
      <c r="L658" s="7">
        <v>8.0</v>
      </c>
      <c r="M658" s="7" t="s">
        <v>33</v>
      </c>
      <c r="N658" s="13" t="s">
        <v>2358</v>
      </c>
      <c r="O658" s="15" t="s">
        <v>2359</v>
      </c>
    </row>
    <row r="659">
      <c r="A659" s="5">
        <v>753.0</v>
      </c>
      <c r="B659" s="6">
        <v>45991.82521630787</v>
      </c>
      <c r="C659" s="7" t="s">
        <v>26</v>
      </c>
      <c r="D659" s="8" t="s">
        <v>2247</v>
      </c>
      <c r="E659" s="8" t="s">
        <v>893</v>
      </c>
      <c r="F659" s="7" t="s">
        <v>2248</v>
      </c>
      <c r="G659" s="9" t="s">
        <v>181</v>
      </c>
      <c r="H659" s="7" t="s">
        <v>2360</v>
      </c>
      <c r="I659" s="7" t="s">
        <v>314</v>
      </c>
      <c r="J659" s="10">
        <v>45859.0</v>
      </c>
      <c r="K659" s="8" t="s">
        <v>49</v>
      </c>
      <c r="L659" s="7">
        <v>8.0</v>
      </c>
      <c r="M659" s="7" t="s">
        <v>553</v>
      </c>
      <c r="N659" s="13" t="s">
        <v>2361</v>
      </c>
      <c r="O659" s="15" t="s">
        <v>2362</v>
      </c>
    </row>
    <row r="660">
      <c r="A660" s="5">
        <v>754.0</v>
      </c>
      <c r="B660" s="6">
        <v>45991.82557630787</v>
      </c>
      <c r="C660" s="7" t="s">
        <v>15</v>
      </c>
      <c r="D660" s="8" t="s">
        <v>2321</v>
      </c>
      <c r="E660" s="8" t="s">
        <v>1385</v>
      </c>
      <c r="F660" s="7" t="s">
        <v>2322</v>
      </c>
      <c r="G660" s="9" t="s">
        <v>19</v>
      </c>
      <c r="H660" s="7" t="s">
        <v>30</v>
      </c>
      <c r="I660" s="7" t="s">
        <v>37</v>
      </c>
      <c r="J660" s="10">
        <v>45838.0</v>
      </c>
      <c r="K660" s="8" t="s">
        <v>67</v>
      </c>
      <c r="L660" s="7">
        <v>8.0</v>
      </c>
      <c r="M660" s="7" t="s">
        <v>33</v>
      </c>
      <c r="N660" s="13" t="s">
        <v>2363</v>
      </c>
      <c r="O660" s="16"/>
    </row>
    <row r="661">
      <c r="A661" s="5">
        <v>755.0</v>
      </c>
      <c r="B661" s="6">
        <v>45991.82558809027</v>
      </c>
      <c r="C661" s="7" t="s">
        <v>760</v>
      </c>
      <c r="D661" s="8" t="s">
        <v>2364</v>
      </c>
      <c r="E661" s="8" t="s">
        <v>1596</v>
      </c>
      <c r="F661" s="7" t="s">
        <v>2365</v>
      </c>
      <c r="G661" s="9" t="s">
        <v>19</v>
      </c>
      <c r="H661" s="7" t="s">
        <v>1073</v>
      </c>
      <c r="I661" s="7" t="s">
        <v>1318</v>
      </c>
      <c r="J661" s="10">
        <v>45968.0</v>
      </c>
      <c r="K661" s="8" t="s">
        <v>639</v>
      </c>
      <c r="L661" s="7">
        <v>4.0</v>
      </c>
      <c r="M661" s="7" t="s">
        <v>87</v>
      </c>
      <c r="N661" s="13" t="s">
        <v>2366</v>
      </c>
      <c r="O661" s="15" t="s">
        <v>2367</v>
      </c>
    </row>
    <row r="662">
      <c r="A662" s="5">
        <v>757.0</v>
      </c>
      <c r="B662" s="6">
        <v>45991.825868182874</v>
      </c>
      <c r="C662" s="7" t="s">
        <v>26</v>
      </c>
      <c r="D662" s="8" t="s">
        <v>1542</v>
      </c>
      <c r="E662" s="8" t="s">
        <v>679</v>
      </c>
      <c r="F662" s="7" t="s">
        <v>1543</v>
      </c>
      <c r="G662" s="9" t="s">
        <v>181</v>
      </c>
      <c r="H662" s="7" t="s">
        <v>857</v>
      </c>
      <c r="I662" s="7" t="s">
        <v>231</v>
      </c>
      <c r="J662" s="10">
        <v>45984.0</v>
      </c>
      <c r="K662" s="8" t="s">
        <v>859</v>
      </c>
      <c r="L662" s="7">
        <v>8.0</v>
      </c>
      <c r="M662" s="7" t="s">
        <v>860</v>
      </c>
      <c r="N662" s="13" t="s">
        <v>2368</v>
      </c>
      <c r="O662" s="15" t="s">
        <v>2369</v>
      </c>
    </row>
    <row r="663">
      <c r="A663" s="5">
        <v>759.0</v>
      </c>
      <c r="B663" s="6">
        <v>45991.827312037036</v>
      </c>
      <c r="C663" s="7" t="s">
        <v>26</v>
      </c>
      <c r="D663" s="8" t="s">
        <v>1542</v>
      </c>
      <c r="E663" s="8" t="s">
        <v>679</v>
      </c>
      <c r="F663" s="7" t="s">
        <v>1543</v>
      </c>
      <c r="G663" s="9" t="s">
        <v>181</v>
      </c>
      <c r="H663" s="7" t="s">
        <v>1093</v>
      </c>
      <c r="I663" s="7" t="s">
        <v>1211</v>
      </c>
      <c r="J663" s="10">
        <v>45859.0</v>
      </c>
      <c r="K663" s="8" t="s">
        <v>315</v>
      </c>
      <c r="L663" s="7">
        <v>8.0</v>
      </c>
      <c r="M663" s="7" t="s">
        <v>33</v>
      </c>
      <c r="N663" s="13" t="s">
        <v>2370</v>
      </c>
      <c r="O663" s="15" t="s">
        <v>2371</v>
      </c>
    </row>
    <row r="664">
      <c r="A664" s="5">
        <v>760.0</v>
      </c>
      <c r="B664" s="6">
        <v>45991.827948680555</v>
      </c>
      <c r="C664" s="7" t="s">
        <v>26</v>
      </c>
      <c r="D664" s="8" t="s">
        <v>2202</v>
      </c>
      <c r="E664" s="8" t="s">
        <v>484</v>
      </c>
      <c r="F664" s="7" t="s">
        <v>2203</v>
      </c>
      <c r="G664" s="9" t="s">
        <v>19</v>
      </c>
      <c r="H664" s="7" t="s">
        <v>436</v>
      </c>
      <c r="I664" s="7" t="s">
        <v>37</v>
      </c>
      <c r="J664" s="10">
        <v>45839.0</v>
      </c>
      <c r="K664" s="8" t="s">
        <v>67</v>
      </c>
      <c r="L664" s="7">
        <v>8.0</v>
      </c>
      <c r="M664" s="7" t="s">
        <v>33</v>
      </c>
      <c r="N664" s="13" t="s">
        <v>2372</v>
      </c>
      <c r="O664" s="15" t="s">
        <v>2373</v>
      </c>
    </row>
    <row r="665">
      <c r="A665" s="5">
        <v>761.0</v>
      </c>
      <c r="B665" s="6">
        <v>45991.828174953705</v>
      </c>
      <c r="C665" s="7" t="s">
        <v>26</v>
      </c>
      <c r="D665" s="8" t="s">
        <v>274</v>
      </c>
      <c r="E665" s="8" t="s">
        <v>228</v>
      </c>
      <c r="F665" s="7" t="s">
        <v>275</v>
      </c>
      <c r="G665" s="9" t="s">
        <v>19</v>
      </c>
      <c r="H665" s="7" t="s">
        <v>1472</v>
      </c>
      <c r="I665" s="7" t="s">
        <v>1473</v>
      </c>
      <c r="J665" s="10">
        <v>45930.0</v>
      </c>
      <c r="K665" s="8" t="s">
        <v>1468</v>
      </c>
      <c r="L665" s="7">
        <v>4.0</v>
      </c>
      <c r="M665" s="7" t="s">
        <v>1469</v>
      </c>
      <c r="N665" s="13" t="s">
        <v>2374</v>
      </c>
      <c r="O665" s="15" t="s">
        <v>2375</v>
      </c>
    </row>
    <row r="666">
      <c r="A666" s="5">
        <v>762.0</v>
      </c>
      <c r="B666" s="6">
        <v>45991.82837618055</v>
      </c>
      <c r="C666" s="7" t="s">
        <v>26</v>
      </c>
      <c r="D666" s="8" t="s">
        <v>2315</v>
      </c>
      <c r="E666" s="8" t="s">
        <v>781</v>
      </c>
      <c r="F666" s="7" t="s">
        <v>2316</v>
      </c>
      <c r="G666" s="9" t="s">
        <v>19</v>
      </c>
      <c r="H666" s="7" t="s">
        <v>2355</v>
      </c>
      <c r="I666" s="7" t="s">
        <v>2318</v>
      </c>
      <c r="J666" s="10">
        <v>45836.0</v>
      </c>
      <c r="K666" s="8" t="s">
        <v>22</v>
      </c>
      <c r="L666" s="7">
        <v>7.0</v>
      </c>
      <c r="M666" s="7" t="s">
        <v>1064</v>
      </c>
      <c r="N666" s="13" t="s">
        <v>2376</v>
      </c>
      <c r="O666" s="15" t="s">
        <v>2377</v>
      </c>
    </row>
    <row r="667">
      <c r="A667" s="5">
        <v>763.0</v>
      </c>
      <c r="B667" s="6">
        <v>45991.828704803236</v>
      </c>
      <c r="C667" s="7" t="s">
        <v>15</v>
      </c>
      <c r="D667" s="8" t="s">
        <v>2321</v>
      </c>
      <c r="E667" s="8" t="s">
        <v>1385</v>
      </c>
      <c r="F667" s="7" t="s">
        <v>2322</v>
      </c>
      <c r="G667" s="9" t="s">
        <v>19</v>
      </c>
      <c r="H667" s="7" t="s">
        <v>44</v>
      </c>
      <c r="I667" s="7" t="s">
        <v>37</v>
      </c>
      <c r="J667" s="10">
        <v>45840.0</v>
      </c>
      <c r="K667" s="8" t="s">
        <v>67</v>
      </c>
      <c r="L667" s="7">
        <v>8.0</v>
      </c>
      <c r="M667" s="7" t="s">
        <v>33</v>
      </c>
      <c r="N667" s="13" t="s">
        <v>2378</v>
      </c>
      <c r="O667" s="15" t="s">
        <v>2379</v>
      </c>
    </row>
    <row r="668">
      <c r="A668" s="5">
        <v>764.0</v>
      </c>
      <c r="B668" s="6">
        <v>45991.829081284726</v>
      </c>
      <c r="C668" s="7" t="s">
        <v>15</v>
      </c>
      <c r="D668" s="8" t="s">
        <v>2182</v>
      </c>
      <c r="E668" s="8" t="s">
        <v>1725</v>
      </c>
      <c r="F668" s="7" t="s">
        <v>2183</v>
      </c>
      <c r="G668" s="9" t="s">
        <v>415</v>
      </c>
      <c r="H668" s="7" t="s">
        <v>2380</v>
      </c>
      <c r="I668" s="7" t="s">
        <v>2381</v>
      </c>
      <c r="J668" s="10">
        <v>45866.0</v>
      </c>
      <c r="K668" s="8" t="s">
        <v>2382</v>
      </c>
      <c r="L668" s="7">
        <v>1.0</v>
      </c>
      <c r="M668" s="7" t="s">
        <v>2383</v>
      </c>
      <c r="N668" s="13" t="s">
        <v>2384</v>
      </c>
      <c r="O668" s="15" t="s">
        <v>2385</v>
      </c>
    </row>
    <row r="669">
      <c r="A669" s="5">
        <v>765.0</v>
      </c>
      <c r="B669" s="6">
        <v>45991.829513206016</v>
      </c>
      <c r="C669" s="7" t="s">
        <v>15</v>
      </c>
      <c r="D669" s="8" t="s">
        <v>2191</v>
      </c>
      <c r="E669" s="8" t="s">
        <v>1764</v>
      </c>
      <c r="F669" s="7" t="s">
        <v>2192</v>
      </c>
      <c r="G669" s="9" t="s">
        <v>181</v>
      </c>
      <c r="H669" s="7" t="s">
        <v>2386</v>
      </c>
      <c r="I669" s="7" t="s">
        <v>314</v>
      </c>
      <c r="J669" s="10">
        <v>45949.0</v>
      </c>
      <c r="K669" s="8" t="s">
        <v>635</v>
      </c>
      <c r="L669" s="7">
        <v>4.0</v>
      </c>
      <c r="M669" s="7" t="s">
        <v>636</v>
      </c>
      <c r="N669" s="13" t="s">
        <v>2387</v>
      </c>
      <c r="O669" s="15" t="s">
        <v>2388</v>
      </c>
    </row>
    <row r="670">
      <c r="A670" s="5">
        <v>766.0</v>
      </c>
      <c r="B670" s="6">
        <v>45991.82979877315</v>
      </c>
      <c r="C670" s="7" t="s">
        <v>26</v>
      </c>
      <c r="D670" s="8" t="s">
        <v>2389</v>
      </c>
      <c r="E670" s="8" t="s">
        <v>1116</v>
      </c>
      <c r="F670" s="7" t="s">
        <v>2390</v>
      </c>
      <c r="G670" s="9" t="s">
        <v>19</v>
      </c>
      <c r="H670" s="7" t="s">
        <v>1105</v>
      </c>
      <c r="I670" s="7" t="s">
        <v>498</v>
      </c>
      <c r="J670" s="10">
        <v>45961.0</v>
      </c>
      <c r="K670" s="8" t="s">
        <v>639</v>
      </c>
      <c r="L670" s="7">
        <v>4.0</v>
      </c>
      <c r="M670" s="7" t="s">
        <v>2391</v>
      </c>
      <c r="N670" s="13" t="s">
        <v>2392</v>
      </c>
      <c r="O670" s="15" t="s">
        <v>2393</v>
      </c>
    </row>
    <row r="671">
      <c r="A671" s="5">
        <v>767.0</v>
      </c>
      <c r="B671" s="6">
        <v>45991.831005520835</v>
      </c>
      <c r="C671" s="7" t="s">
        <v>26</v>
      </c>
      <c r="D671" s="8" t="s">
        <v>1542</v>
      </c>
      <c r="E671" s="8" t="s">
        <v>679</v>
      </c>
      <c r="F671" s="7" t="s">
        <v>1543</v>
      </c>
      <c r="G671" s="9" t="s">
        <v>181</v>
      </c>
      <c r="H671" s="7" t="s">
        <v>2307</v>
      </c>
      <c r="I671" s="7" t="s">
        <v>1211</v>
      </c>
      <c r="J671" s="10">
        <v>45889.0</v>
      </c>
      <c r="K671" s="8" t="s">
        <v>518</v>
      </c>
      <c r="L671" s="7">
        <v>2.0</v>
      </c>
      <c r="M671" s="7" t="s">
        <v>2308</v>
      </c>
      <c r="N671" s="13" t="s">
        <v>2394</v>
      </c>
      <c r="O671" s="15" t="s">
        <v>2395</v>
      </c>
    </row>
    <row r="672">
      <c r="A672" s="5">
        <v>768.0</v>
      </c>
      <c r="B672" s="6">
        <v>45991.83124121527</v>
      </c>
      <c r="C672" s="7" t="s">
        <v>15</v>
      </c>
      <c r="D672" s="8" t="s">
        <v>2264</v>
      </c>
      <c r="E672" s="8" t="s">
        <v>380</v>
      </c>
      <c r="F672" s="7" t="s">
        <v>2265</v>
      </c>
      <c r="G672" s="9" t="s">
        <v>144</v>
      </c>
      <c r="H672" s="7" t="s">
        <v>2396</v>
      </c>
      <c r="I672" s="7" t="s">
        <v>2297</v>
      </c>
      <c r="J672" s="10">
        <v>45849.0</v>
      </c>
      <c r="K672" s="8" t="s">
        <v>2397</v>
      </c>
      <c r="L672" s="7">
        <v>3.0</v>
      </c>
      <c r="M672" s="7" t="s">
        <v>2398</v>
      </c>
      <c r="N672" s="13" t="s">
        <v>2399</v>
      </c>
      <c r="O672" s="15" t="s">
        <v>2400</v>
      </c>
    </row>
    <row r="673">
      <c r="A673" s="5">
        <v>769.0</v>
      </c>
      <c r="B673" s="6">
        <v>45991.831547326394</v>
      </c>
      <c r="C673" s="7" t="s">
        <v>26</v>
      </c>
      <c r="D673" s="8" t="s">
        <v>2401</v>
      </c>
      <c r="E673" s="8" t="s">
        <v>799</v>
      </c>
      <c r="F673" s="7" t="s">
        <v>2402</v>
      </c>
      <c r="G673" s="9" t="s">
        <v>19</v>
      </c>
      <c r="H673" s="7" t="s">
        <v>271</v>
      </c>
      <c r="I673" s="7" t="s">
        <v>37</v>
      </c>
      <c r="J673" s="10">
        <v>45840.0</v>
      </c>
      <c r="K673" s="8" t="s">
        <v>67</v>
      </c>
      <c r="L673" s="7">
        <v>8.0</v>
      </c>
      <c r="M673" s="7" t="s">
        <v>33</v>
      </c>
      <c r="N673" s="13" t="s">
        <v>2403</v>
      </c>
      <c r="O673" s="15" t="s">
        <v>2404</v>
      </c>
    </row>
    <row r="674">
      <c r="A674" s="5">
        <v>770.0</v>
      </c>
      <c r="B674" s="6">
        <v>45991.831748576384</v>
      </c>
      <c r="C674" s="7" t="s">
        <v>26</v>
      </c>
      <c r="D674" s="8" t="s">
        <v>2315</v>
      </c>
      <c r="E674" s="8" t="s">
        <v>781</v>
      </c>
      <c r="F674" s="7" t="s">
        <v>2316</v>
      </c>
      <c r="G674" s="9" t="s">
        <v>19</v>
      </c>
      <c r="H674" s="7" t="s">
        <v>2355</v>
      </c>
      <c r="I674" s="7" t="s">
        <v>2318</v>
      </c>
      <c r="J674" s="10">
        <v>45822.0</v>
      </c>
      <c r="K674" s="8" t="s">
        <v>2405</v>
      </c>
      <c r="L674" s="7">
        <v>7.0</v>
      </c>
      <c r="M674" s="7" t="s">
        <v>1064</v>
      </c>
      <c r="N674" s="13" t="s">
        <v>2406</v>
      </c>
      <c r="O674" s="16"/>
    </row>
    <row r="675">
      <c r="A675" s="5">
        <v>771.0</v>
      </c>
      <c r="B675" s="6">
        <v>45991.831789131946</v>
      </c>
      <c r="C675" s="7" t="s">
        <v>15</v>
      </c>
      <c r="D675" s="8" t="s">
        <v>2321</v>
      </c>
      <c r="E675" s="8" t="s">
        <v>1385</v>
      </c>
      <c r="F675" s="7" t="s">
        <v>2322</v>
      </c>
      <c r="G675" s="9" t="s">
        <v>19</v>
      </c>
      <c r="H675" s="7" t="s">
        <v>406</v>
      </c>
      <c r="I675" s="7" t="s">
        <v>94</v>
      </c>
      <c r="J675" s="10">
        <v>45823.0</v>
      </c>
      <c r="K675" s="8" t="s">
        <v>22</v>
      </c>
      <c r="L675" s="7">
        <v>4.0</v>
      </c>
      <c r="M675" s="7" t="s">
        <v>106</v>
      </c>
      <c r="N675" s="13" t="s">
        <v>2407</v>
      </c>
      <c r="O675" s="16"/>
    </row>
    <row r="676">
      <c r="A676" s="5">
        <v>772.0</v>
      </c>
      <c r="B676" s="6">
        <v>45991.83185695602</v>
      </c>
      <c r="C676" s="7" t="s">
        <v>26</v>
      </c>
      <c r="D676" s="8" t="s">
        <v>2389</v>
      </c>
      <c r="E676" s="8" t="s">
        <v>1116</v>
      </c>
      <c r="F676" s="7" t="s">
        <v>2390</v>
      </c>
      <c r="G676" s="9" t="s">
        <v>19</v>
      </c>
      <c r="H676" s="7" t="s">
        <v>1105</v>
      </c>
      <c r="I676" s="7" t="s">
        <v>498</v>
      </c>
      <c r="J676" s="10">
        <v>45962.0</v>
      </c>
      <c r="K676" s="8" t="s">
        <v>49</v>
      </c>
      <c r="L676" s="7">
        <v>8.0</v>
      </c>
      <c r="M676" s="7" t="s">
        <v>2391</v>
      </c>
      <c r="N676" s="13" t="s">
        <v>2408</v>
      </c>
      <c r="O676" s="15" t="s">
        <v>2409</v>
      </c>
    </row>
    <row r="677">
      <c r="A677" s="5">
        <v>773.0</v>
      </c>
      <c r="B677" s="6">
        <v>45991.83339569444</v>
      </c>
      <c r="C677" s="7" t="s">
        <v>15</v>
      </c>
      <c r="D677" s="8" t="s">
        <v>2264</v>
      </c>
      <c r="E677" s="8" t="s">
        <v>380</v>
      </c>
      <c r="F677" s="7" t="s">
        <v>2265</v>
      </c>
      <c r="G677" s="9" t="s">
        <v>144</v>
      </c>
      <c r="H677" s="7" t="s">
        <v>730</v>
      </c>
      <c r="I677" s="7" t="s">
        <v>2297</v>
      </c>
      <c r="J677" s="10">
        <v>45920.0</v>
      </c>
      <c r="K677" s="8" t="s">
        <v>1922</v>
      </c>
      <c r="L677" s="7">
        <v>2.0</v>
      </c>
      <c r="M677" s="7" t="s">
        <v>2398</v>
      </c>
      <c r="N677" s="13" t="s">
        <v>2410</v>
      </c>
      <c r="O677" s="16"/>
    </row>
    <row r="678">
      <c r="A678" s="5">
        <v>774.0</v>
      </c>
      <c r="B678" s="6">
        <v>45991.83340379629</v>
      </c>
      <c r="C678" s="7" t="s">
        <v>26</v>
      </c>
      <c r="D678" s="8" t="s">
        <v>1304</v>
      </c>
      <c r="E678" s="8" t="s">
        <v>134</v>
      </c>
      <c r="F678" s="7" t="s">
        <v>1305</v>
      </c>
      <c r="G678" s="9" t="s">
        <v>19</v>
      </c>
      <c r="H678" s="7" t="s">
        <v>448</v>
      </c>
      <c r="I678" s="7" t="s">
        <v>71</v>
      </c>
      <c r="J678" s="10">
        <v>45840.0</v>
      </c>
      <c r="K678" s="8" t="s">
        <v>67</v>
      </c>
      <c r="L678" s="7">
        <v>8.0</v>
      </c>
      <c r="M678" s="7" t="s">
        <v>33</v>
      </c>
      <c r="N678" s="13" t="s">
        <v>2411</v>
      </c>
      <c r="O678" s="15" t="s">
        <v>2412</v>
      </c>
    </row>
    <row r="679">
      <c r="A679" s="5">
        <v>776.0</v>
      </c>
      <c r="B679" s="6">
        <v>45991.83448549769</v>
      </c>
      <c r="C679" s="7" t="s">
        <v>26</v>
      </c>
      <c r="D679" s="8" t="s">
        <v>2389</v>
      </c>
      <c r="E679" s="8" t="s">
        <v>1116</v>
      </c>
      <c r="F679" s="7" t="s">
        <v>2390</v>
      </c>
      <c r="G679" s="9" t="s">
        <v>19</v>
      </c>
      <c r="H679" s="7" t="s">
        <v>2413</v>
      </c>
      <c r="I679" s="7" t="s">
        <v>498</v>
      </c>
      <c r="J679" s="10">
        <v>45963.0</v>
      </c>
      <c r="K679" s="8" t="s">
        <v>49</v>
      </c>
      <c r="L679" s="7">
        <v>8.0</v>
      </c>
      <c r="M679" s="7" t="s">
        <v>2391</v>
      </c>
      <c r="N679" s="13" t="s">
        <v>2414</v>
      </c>
      <c r="O679" s="16"/>
    </row>
    <row r="680">
      <c r="A680" s="5"/>
      <c r="B680" s="16"/>
      <c r="C680" s="16"/>
      <c r="D680" s="16"/>
      <c r="E680" s="16"/>
      <c r="F680" s="16"/>
      <c r="G680" s="18"/>
      <c r="H680" s="16"/>
      <c r="I680" s="16"/>
      <c r="J680" s="16"/>
      <c r="K680" s="16"/>
      <c r="L680" s="16"/>
      <c r="M680" s="16"/>
      <c r="N680" s="16"/>
      <c r="O680" s="15" t="s">
        <v>2415</v>
      </c>
    </row>
    <row r="681">
      <c r="A681" s="5">
        <v>777.0</v>
      </c>
      <c r="B681" s="6">
        <v>45991.835321770835</v>
      </c>
      <c r="C681" s="7" t="s">
        <v>26</v>
      </c>
      <c r="D681" s="8" t="s">
        <v>2202</v>
      </c>
      <c r="E681" s="8" t="s">
        <v>484</v>
      </c>
      <c r="F681" s="7" t="s">
        <v>2203</v>
      </c>
      <c r="G681" s="9" t="s">
        <v>181</v>
      </c>
      <c r="H681" s="7" t="s">
        <v>857</v>
      </c>
      <c r="I681" s="7" t="s">
        <v>2416</v>
      </c>
      <c r="J681" s="10">
        <v>45987.0</v>
      </c>
      <c r="K681" s="8" t="s">
        <v>859</v>
      </c>
      <c r="L681" s="7">
        <v>8.0</v>
      </c>
      <c r="M681" s="7" t="s">
        <v>1786</v>
      </c>
      <c r="N681" s="13" t="s">
        <v>2417</v>
      </c>
      <c r="O681" s="15" t="s">
        <v>2418</v>
      </c>
    </row>
    <row r="682">
      <c r="A682" s="5">
        <v>778.0</v>
      </c>
      <c r="B682" s="6">
        <v>45991.83556184028</v>
      </c>
      <c r="C682" s="7" t="s">
        <v>26</v>
      </c>
      <c r="D682" s="8" t="s">
        <v>2337</v>
      </c>
      <c r="E682" s="8" t="s">
        <v>2338</v>
      </c>
      <c r="F682" s="7" t="s">
        <v>2339</v>
      </c>
      <c r="G682" s="9" t="s">
        <v>181</v>
      </c>
      <c r="H682" s="7" t="s">
        <v>857</v>
      </c>
      <c r="I682" s="7" t="s">
        <v>2419</v>
      </c>
      <c r="J682" s="10">
        <v>45987.0</v>
      </c>
      <c r="K682" s="8" t="s">
        <v>859</v>
      </c>
      <c r="L682" s="7">
        <v>8.0</v>
      </c>
      <c r="M682" s="7" t="s">
        <v>860</v>
      </c>
      <c r="N682" s="13" t="s">
        <v>2420</v>
      </c>
      <c r="O682" s="15" t="s">
        <v>2421</v>
      </c>
    </row>
    <row r="683">
      <c r="A683" s="5">
        <v>779.0</v>
      </c>
      <c r="B683" s="6">
        <v>45991.83582537037</v>
      </c>
      <c r="C683" s="7" t="s">
        <v>15</v>
      </c>
      <c r="D683" s="8" t="s">
        <v>370</v>
      </c>
      <c r="E683" s="8" t="s">
        <v>248</v>
      </c>
      <c r="F683" s="7" t="s">
        <v>371</v>
      </c>
      <c r="G683" s="9" t="s">
        <v>19</v>
      </c>
      <c r="H683" s="7" t="s">
        <v>30</v>
      </c>
      <c r="I683" s="7" t="s">
        <v>2130</v>
      </c>
      <c r="J683" s="10">
        <v>45825.0</v>
      </c>
      <c r="K683" s="8" t="s">
        <v>49</v>
      </c>
      <c r="L683" s="7">
        <v>8.0</v>
      </c>
      <c r="M683" s="7" t="s">
        <v>33</v>
      </c>
      <c r="N683" s="13" t="s">
        <v>2422</v>
      </c>
      <c r="O683" s="15" t="s">
        <v>2423</v>
      </c>
    </row>
    <row r="684">
      <c r="A684" s="5">
        <v>780.0</v>
      </c>
      <c r="B684" s="6">
        <v>45991.836485949076</v>
      </c>
      <c r="C684" s="7" t="s">
        <v>26</v>
      </c>
      <c r="D684" s="8" t="s">
        <v>2401</v>
      </c>
      <c r="E684" s="8" t="s">
        <v>799</v>
      </c>
      <c r="F684" s="7" t="s">
        <v>2402</v>
      </c>
      <c r="G684" s="9" t="s">
        <v>19</v>
      </c>
      <c r="H684" s="7" t="s">
        <v>30</v>
      </c>
      <c r="I684" s="7" t="s">
        <v>37</v>
      </c>
      <c r="J684" s="10">
        <v>45838.0</v>
      </c>
      <c r="K684" s="8" t="s">
        <v>67</v>
      </c>
      <c r="L684" s="7">
        <v>8.0</v>
      </c>
      <c r="M684" s="7" t="s">
        <v>33</v>
      </c>
      <c r="N684" s="13" t="s">
        <v>2424</v>
      </c>
      <c r="O684" s="15" t="s">
        <v>2425</v>
      </c>
    </row>
    <row r="685">
      <c r="A685" s="5">
        <v>781.0</v>
      </c>
      <c r="B685" s="6">
        <v>45991.83737057871</v>
      </c>
      <c r="C685" s="7" t="s">
        <v>26</v>
      </c>
      <c r="D685" s="8" t="s">
        <v>2389</v>
      </c>
      <c r="E685" s="8" t="s">
        <v>1116</v>
      </c>
      <c r="F685" s="7" t="s">
        <v>2390</v>
      </c>
      <c r="G685" s="9" t="s">
        <v>19</v>
      </c>
      <c r="H685" s="7" t="s">
        <v>2426</v>
      </c>
      <c r="I685" s="7" t="s">
        <v>2427</v>
      </c>
      <c r="J685" s="10">
        <v>45884.0</v>
      </c>
      <c r="K685" s="8" t="s">
        <v>639</v>
      </c>
      <c r="L685" s="7">
        <v>4.0</v>
      </c>
      <c r="M685" s="7" t="s">
        <v>2391</v>
      </c>
      <c r="N685" s="13" t="s">
        <v>2428</v>
      </c>
      <c r="O685" s="15" t="s">
        <v>2429</v>
      </c>
    </row>
    <row r="686">
      <c r="A686" s="5">
        <v>782.0</v>
      </c>
      <c r="B686" s="6">
        <v>45991.83792547454</v>
      </c>
      <c r="C686" s="7" t="s">
        <v>26</v>
      </c>
      <c r="D686" s="8" t="s">
        <v>2315</v>
      </c>
      <c r="E686" s="8" t="s">
        <v>781</v>
      </c>
      <c r="F686" s="7" t="s">
        <v>2316</v>
      </c>
      <c r="G686" s="9" t="s">
        <v>181</v>
      </c>
      <c r="H686" s="7" t="s">
        <v>2430</v>
      </c>
      <c r="I686" s="7" t="s">
        <v>231</v>
      </c>
      <c r="J686" s="10">
        <v>45887.0</v>
      </c>
      <c r="K686" s="8" t="s">
        <v>518</v>
      </c>
      <c r="L686" s="7">
        <v>2.0</v>
      </c>
      <c r="M686" s="7" t="s">
        <v>1064</v>
      </c>
      <c r="N686" s="13" t="s">
        <v>2431</v>
      </c>
      <c r="O686" s="15" t="s">
        <v>2432</v>
      </c>
    </row>
    <row r="687">
      <c r="A687" s="5">
        <v>783.0</v>
      </c>
      <c r="B687" s="6">
        <v>45991.83840032408</v>
      </c>
      <c r="C687" s="7" t="s">
        <v>15</v>
      </c>
      <c r="D687" s="8" t="s">
        <v>370</v>
      </c>
      <c r="E687" s="8" t="s">
        <v>248</v>
      </c>
      <c r="F687" s="7" t="s">
        <v>371</v>
      </c>
      <c r="G687" s="9" t="s">
        <v>19</v>
      </c>
      <c r="H687" s="7" t="s">
        <v>486</v>
      </c>
      <c r="I687" s="7" t="s">
        <v>21</v>
      </c>
      <c r="J687" s="10">
        <v>45940.0</v>
      </c>
      <c r="K687" s="8" t="s">
        <v>22</v>
      </c>
      <c r="L687" s="7">
        <v>4.0</v>
      </c>
      <c r="M687" s="7" t="s">
        <v>2433</v>
      </c>
      <c r="N687" s="13" t="s">
        <v>2434</v>
      </c>
      <c r="O687" s="15" t="s">
        <v>2435</v>
      </c>
    </row>
    <row r="688">
      <c r="A688" s="5">
        <v>784.0</v>
      </c>
      <c r="B688" s="6">
        <v>45991.83909005787</v>
      </c>
      <c r="C688" s="7" t="s">
        <v>760</v>
      </c>
      <c r="D688" s="8" t="s">
        <v>2364</v>
      </c>
      <c r="E688" s="8" t="s">
        <v>1596</v>
      </c>
      <c r="F688" s="7" t="s">
        <v>2365</v>
      </c>
      <c r="G688" s="9" t="s">
        <v>19</v>
      </c>
      <c r="H688" s="7" t="s">
        <v>1073</v>
      </c>
      <c r="I688" s="7" t="s">
        <v>1318</v>
      </c>
      <c r="J688" s="10">
        <v>45969.0</v>
      </c>
      <c r="K688" s="8" t="s">
        <v>49</v>
      </c>
      <c r="L688" s="7">
        <v>8.0</v>
      </c>
      <c r="M688" s="7" t="s">
        <v>87</v>
      </c>
      <c r="N688" s="13" t="s">
        <v>2436</v>
      </c>
      <c r="O688" s="15" t="s">
        <v>2437</v>
      </c>
    </row>
    <row r="689">
      <c r="A689" s="5">
        <v>785.0</v>
      </c>
      <c r="B689" s="6">
        <v>45991.840168194445</v>
      </c>
      <c r="C689" s="7" t="s">
        <v>26</v>
      </c>
      <c r="D689" s="8" t="s">
        <v>2337</v>
      </c>
      <c r="E689" s="8" t="s">
        <v>2338</v>
      </c>
      <c r="F689" s="7" t="s">
        <v>2339</v>
      </c>
      <c r="G689" s="9" t="s">
        <v>84</v>
      </c>
      <c r="H689" s="7" t="s">
        <v>2340</v>
      </c>
      <c r="I689" s="7" t="s">
        <v>2341</v>
      </c>
      <c r="J689" s="10">
        <v>45862.0</v>
      </c>
      <c r="K689" s="8" t="s">
        <v>1139</v>
      </c>
      <c r="L689" s="7">
        <v>8.0</v>
      </c>
      <c r="M689" s="7" t="s">
        <v>2342</v>
      </c>
      <c r="N689" s="13" t="s">
        <v>2438</v>
      </c>
      <c r="O689" s="15" t="s">
        <v>2439</v>
      </c>
    </row>
    <row r="690">
      <c r="A690" s="5">
        <v>786.0</v>
      </c>
      <c r="B690" s="6">
        <v>45991.84066502315</v>
      </c>
      <c r="C690" s="7" t="s">
        <v>26</v>
      </c>
      <c r="D690" s="8" t="s">
        <v>2315</v>
      </c>
      <c r="E690" s="8" t="s">
        <v>781</v>
      </c>
      <c r="F690" s="7" t="s">
        <v>2316</v>
      </c>
      <c r="G690" s="9" t="s">
        <v>181</v>
      </c>
      <c r="H690" s="7" t="s">
        <v>2430</v>
      </c>
      <c r="I690" s="7" t="s">
        <v>231</v>
      </c>
      <c r="J690" s="10">
        <v>45888.0</v>
      </c>
      <c r="K690" s="8" t="s">
        <v>518</v>
      </c>
      <c r="L690" s="7">
        <v>2.0</v>
      </c>
      <c r="M690" s="7" t="s">
        <v>1064</v>
      </c>
      <c r="N690" s="13" t="s">
        <v>2440</v>
      </c>
      <c r="O690" s="15" t="s">
        <v>2441</v>
      </c>
    </row>
    <row r="691">
      <c r="A691" s="5">
        <v>787.0</v>
      </c>
      <c r="B691" s="6">
        <v>45991.840862847224</v>
      </c>
      <c r="C691" s="7" t="s">
        <v>26</v>
      </c>
      <c r="D691" s="8" t="s">
        <v>2389</v>
      </c>
      <c r="E691" s="8" t="s">
        <v>1116</v>
      </c>
      <c r="F691" s="7" t="s">
        <v>2390</v>
      </c>
      <c r="G691" s="9" t="s">
        <v>19</v>
      </c>
      <c r="H691" s="7" t="s">
        <v>2426</v>
      </c>
      <c r="I691" s="7" t="s">
        <v>2427</v>
      </c>
      <c r="J691" s="10">
        <v>45885.0</v>
      </c>
      <c r="K691" s="8" t="s">
        <v>49</v>
      </c>
      <c r="L691" s="7">
        <v>8.0</v>
      </c>
      <c r="M691" s="7" t="s">
        <v>2391</v>
      </c>
      <c r="N691" s="13" t="s">
        <v>2442</v>
      </c>
      <c r="O691" s="15" t="s">
        <v>2443</v>
      </c>
    </row>
    <row r="692">
      <c r="A692" s="5">
        <v>789.0</v>
      </c>
      <c r="B692" s="6">
        <v>45991.842059166665</v>
      </c>
      <c r="C692" s="7" t="s">
        <v>26</v>
      </c>
      <c r="D692" s="8" t="s">
        <v>2315</v>
      </c>
      <c r="E692" s="8" t="s">
        <v>781</v>
      </c>
      <c r="F692" s="7" t="s">
        <v>2316</v>
      </c>
      <c r="G692" s="9" t="s">
        <v>181</v>
      </c>
      <c r="H692" s="7" t="s">
        <v>2430</v>
      </c>
      <c r="I692" s="7" t="s">
        <v>231</v>
      </c>
      <c r="J692" s="10">
        <v>45889.0</v>
      </c>
      <c r="K692" s="8" t="s">
        <v>518</v>
      </c>
      <c r="L692" s="7">
        <v>2.0</v>
      </c>
      <c r="M692" s="7" t="s">
        <v>1064</v>
      </c>
      <c r="N692" s="13" t="s">
        <v>2444</v>
      </c>
      <c r="O692" s="16"/>
    </row>
    <row r="693">
      <c r="A693" s="5">
        <v>790.0</v>
      </c>
      <c r="B693" s="6">
        <v>45991.84207987269</v>
      </c>
      <c r="C693" s="7" t="s">
        <v>15</v>
      </c>
      <c r="D693" s="8" t="s">
        <v>370</v>
      </c>
      <c r="E693" s="8" t="s">
        <v>248</v>
      </c>
      <c r="F693" s="7" t="s">
        <v>371</v>
      </c>
      <c r="G693" s="9" t="s">
        <v>19</v>
      </c>
      <c r="H693" s="7" t="s">
        <v>2445</v>
      </c>
      <c r="I693" s="7" t="s">
        <v>94</v>
      </c>
      <c r="J693" s="10">
        <v>45823.0</v>
      </c>
      <c r="K693" s="8" t="s">
        <v>22</v>
      </c>
      <c r="L693" s="7">
        <v>4.0</v>
      </c>
      <c r="M693" s="7" t="s">
        <v>2446</v>
      </c>
      <c r="N693" s="13" t="s">
        <v>2447</v>
      </c>
      <c r="O693" s="16"/>
    </row>
    <row r="694">
      <c r="A694" s="5">
        <v>791.0</v>
      </c>
      <c r="B694" s="6">
        <v>45991.84211873842</v>
      </c>
      <c r="C694" s="7" t="s">
        <v>26</v>
      </c>
      <c r="D694" s="8" t="s">
        <v>2401</v>
      </c>
      <c r="E694" s="8" t="s">
        <v>799</v>
      </c>
      <c r="F694" s="7" t="s">
        <v>2448</v>
      </c>
      <c r="G694" s="9" t="s">
        <v>19</v>
      </c>
      <c r="H694" s="7" t="s">
        <v>1466</v>
      </c>
      <c r="I694" s="7" t="s">
        <v>1473</v>
      </c>
      <c r="J694" s="10">
        <v>45926.0</v>
      </c>
      <c r="K694" s="8" t="s">
        <v>1468</v>
      </c>
      <c r="L694" s="7">
        <v>4.0</v>
      </c>
      <c r="M694" s="7" t="s">
        <v>1469</v>
      </c>
      <c r="N694" s="13" t="s">
        <v>2449</v>
      </c>
      <c r="O694" s="15" t="s">
        <v>2450</v>
      </c>
    </row>
    <row r="695">
      <c r="A695" s="5">
        <v>792.0</v>
      </c>
      <c r="B695" s="6">
        <v>45991.84355824074</v>
      </c>
      <c r="C695" s="7" t="s">
        <v>26</v>
      </c>
      <c r="D695" s="8" t="s">
        <v>2451</v>
      </c>
      <c r="E695" s="8" t="s">
        <v>830</v>
      </c>
      <c r="F695" s="7" t="s">
        <v>2452</v>
      </c>
      <c r="G695" s="9" t="s">
        <v>19</v>
      </c>
      <c r="H695" s="7" t="s">
        <v>1466</v>
      </c>
      <c r="I695" s="7" t="s">
        <v>1473</v>
      </c>
      <c r="J695" s="10">
        <v>45926.0</v>
      </c>
      <c r="K695" s="8" t="s">
        <v>1468</v>
      </c>
      <c r="L695" s="7">
        <v>4.0</v>
      </c>
      <c r="M695" s="7" t="s">
        <v>1469</v>
      </c>
      <c r="N695" s="13" t="s">
        <v>2453</v>
      </c>
      <c r="O695" s="15" t="s">
        <v>2454</v>
      </c>
    </row>
    <row r="696">
      <c r="A696" s="5">
        <v>793.0</v>
      </c>
      <c r="B696" s="6">
        <v>45991.84423747685</v>
      </c>
      <c r="C696" s="7" t="s">
        <v>26</v>
      </c>
      <c r="D696" s="8" t="s">
        <v>2401</v>
      </c>
      <c r="E696" s="8" t="s">
        <v>799</v>
      </c>
      <c r="F696" s="7" t="s">
        <v>2402</v>
      </c>
      <c r="G696" s="9" t="s">
        <v>19</v>
      </c>
      <c r="H696" s="7" t="s">
        <v>271</v>
      </c>
      <c r="I696" s="7" t="s">
        <v>37</v>
      </c>
      <c r="J696" s="10">
        <v>45839.0</v>
      </c>
      <c r="K696" s="8" t="s">
        <v>67</v>
      </c>
      <c r="L696" s="7">
        <v>8.0</v>
      </c>
      <c r="M696" s="7" t="s">
        <v>33</v>
      </c>
      <c r="N696" s="13" t="s">
        <v>2455</v>
      </c>
      <c r="O696" s="15" t="s">
        <v>2456</v>
      </c>
    </row>
    <row r="697">
      <c r="A697" s="5">
        <v>794.0</v>
      </c>
      <c r="B697" s="6">
        <v>45991.84496122685</v>
      </c>
      <c r="C697" s="7" t="s">
        <v>26</v>
      </c>
      <c r="D697" s="8" t="s">
        <v>2389</v>
      </c>
      <c r="E697" s="8" t="s">
        <v>1116</v>
      </c>
      <c r="F697" s="7" t="s">
        <v>2390</v>
      </c>
      <c r="G697" s="9" t="s">
        <v>19</v>
      </c>
      <c r="H697" s="7" t="s">
        <v>2426</v>
      </c>
      <c r="I697" s="7" t="s">
        <v>2427</v>
      </c>
      <c r="J697" s="10">
        <v>45886.0</v>
      </c>
      <c r="K697" s="8" t="s">
        <v>49</v>
      </c>
      <c r="L697" s="7">
        <v>8.0</v>
      </c>
      <c r="M697" s="7" t="s">
        <v>2391</v>
      </c>
      <c r="N697" s="13" t="s">
        <v>2457</v>
      </c>
      <c r="O697" s="15" t="s">
        <v>2458</v>
      </c>
    </row>
    <row r="698">
      <c r="A698" s="5">
        <v>795.0</v>
      </c>
      <c r="B698" s="6">
        <v>45991.845127106484</v>
      </c>
      <c r="C698" s="7" t="s">
        <v>26</v>
      </c>
      <c r="D698" s="8" t="s">
        <v>847</v>
      </c>
      <c r="E698" s="8" t="s">
        <v>762</v>
      </c>
      <c r="F698" s="7" t="s">
        <v>848</v>
      </c>
      <c r="G698" s="9" t="s">
        <v>19</v>
      </c>
      <c r="H698" s="7" t="s">
        <v>2459</v>
      </c>
      <c r="I698" s="7" t="s">
        <v>2029</v>
      </c>
      <c r="J698" s="10">
        <v>45907.0</v>
      </c>
      <c r="K698" s="8" t="s">
        <v>2460</v>
      </c>
      <c r="L698" s="7">
        <v>8.0</v>
      </c>
      <c r="M698" s="7" t="s">
        <v>774</v>
      </c>
      <c r="N698" s="13" t="s">
        <v>2461</v>
      </c>
      <c r="O698" s="15" t="s">
        <v>2462</v>
      </c>
    </row>
    <row r="699">
      <c r="A699" s="5">
        <v>796.0</v>
      </c>
      <c r="B699" s="6">
        <v>45991.84539148148</v>
      </c>
      <c r="C699" s="7" t="s">
        <v>26</v>
      </c>
      <c r="D699" s="8" t="s">
        <v>2337</v>
      </c>
      <c r="E699" s="8" t="s">
        <v>2338</v>
      </c>
      <c r="F699" s="7" t="s">
        <v>2339</v>
      </c>
      <c r="G699" s="9" t="s">
        <v>19</v>
      </c>
      <c r="H699" s="7" t="s">
        <v>2463</v>
      </c>
      <c r="I699" s="7" t="s">
        <v>37</v>
      </c>
      <c r="J699" s="10">
        <v>45839.0</v>
      </c>
      <c r="K699" s="8" t="s">
        <v>67</v>
      </c>
      <c r="L699" s="7">
        <v>8.0</v>
      </c>
      <c r="M699" s="7" t="s">
        <v>33</v>
      </c>
      <c r="N699" s="13" t="s">
        <v>2464</v>
      </c>
      <c r="O699" s="15" t="s">
        <v>2465</v>
      </c>
    </row>
    <row r="700">
      <c r="A700" s="5">
        <v>797.0</v>
      </c>
      <c r="B700" s="6">
        <v>45991.84574283565</v>
      </c>
      <c r="C700" s="7" t="s">
        <v>760</v>
      </c>
      <c r="D700" s="8" t="s">
        <v>2466</v>
      </c>
      <c r="E700" s="8" t="s">
        <v>411</v>
      </c>
      <c r="F700" s="7" t="s">
        <v>2467</v>
      </c>
      <c r="G700" s="9" t="s">
        <v>19</v>
      </c>
      <c r="H700" s="7" t="s">
        <v>2468</v>
      </c>
      <c r="I700" s="7" t="s">
        <v>2469</v>
      </c>
      <c r="J700" s="10">
        <v>45968.0</v>
      </c>
      <c r="K700" s="8" t="s">
        <v>639</v>
      </c>
      <c r="L700" s="7">
        <v>4.0</v>
      </c>
      <c r="M700" s="7" t="s">
        <v>2391</v>
      </c>
      <c r="N700" s="13" t="s">
        <v>2470</v>
      </c>
      <c r="O700" s="15" t="s">
        <v>2471</v>
      </c>
    </row>
    <row r="701">
      <c r="A701" s="5">
        <v>798.0</v>
      </c>
      <c r="B701" s="6">
        <v>45991.84585381944</v>
      </c>
      <c r="C701" s="7" t="s">
        <v>26</v>
      </c>
      <c r="D701" s="8" t="s">
        <v>2451</v>
      </c>
      <c r="E701" s="8" t="s">
        <v>830</v>
      </c>
      <c r="F701" s="7" t="s">
        <v>2452</v>
      </c>
      <c r="G701" s="9" t="s">
        <v>19</v>
      </c>
      <c r="H701" s="7" t="s">
        <v>1472</v>
      </c>
      <c r="I701" s="7" t="s">
        <v>1473</v>
      </c>
      <c r="J701" s="10">
        <v>45930.0</v>
      </c>
      <c r="K701" s="8" t="s">
        <v>1468</v>
      </c>
      <c r="L701" s="7">
        <v>4.0</v>
      </c>
      <c r="M701" s="7" t="s">
        <v>1469</v>
      </c>
      <c r="N701" s="13" t="s">
        <v>2472</v>
      </c>
      <c r="O701" s="15" t="s">
        <v>2473</v>
      </c>
    </row>
    <row r="702">
      <c r="A702" s="5">
        <v>799.0</v>
      </c>
      <c r="B702" s="6">
        <v>45991.8478569213</v>
      </c>
      <c r="C702" s="7" t="s">
        <v>15</v>
      </c>
      <c r="D702" s="8" t="s">
        <v>2191</v>
      </c>
      <c r="E702" s="8" t="s">
        <v>1764</v>
      </c>
      <c r="F702" s="7" t="s">
        <v>2192</v>
      </c>
      <c r="G702" s="9" t="s">
        <v>181</v>
      </c>
      <c r="H702" s="7" t="s">
        <v>2386</v>
      </c>
      <c r="I702" s="7" t="s">
        <v>231</v>
      </c>
      <c r="J702" s="10">
        <v>45950.0</v>
      </c>
      <c r="K702" s="8" t="s">
        <v>639</v>
      </c>
      <c r="L702" s="7">
        <v>4.0</v>
      </c>
      <c r="M702" s="7" t="s">
        <v>636</v>
      </c>
      <c r="N702" s="13" t="s">
        <v>2474</v>
      </c>
      <c r="O702" s="15" t="s">
        <v>2475</v>
      </c>
    </row>
    <row r="703">
      <c r="A703" s="5">
        <v>800.0</v>
      </c>
      <c r="B703" s="6">
        <v>45991.8485008912</v>
      </c>
      <c r="C703" s="7" t="s">
        <v>26</v>
      </c>
      <c r="D703" s="8" t="s">
        <v>2315</v>
      </c>
      <c r="E703" s="8" t="s">
        <v>781</v>
      </c>
      <c r="F703" s="7" t="s">
        <v>2316</v>
      </c>
      <c r="G703" s="9" t="s">
        <v>181</v>
      </c>
      <c r="H703" s="7" t="s">
        <v>2430</v>
      </c>
      <c r="I703" s="7" t="s">
        <v>231</v>
      </c>
      <c r="J703" s="10">
        <v>45889.0</v>
      </c>
      <c r="K703" s="8" t="s">
        <v>518</v>
      </c>
      <c r="L703" s="7">
        <v>2.0</v>
      </c>
      <c r="M703" s="7" t="s">
        <v>1064</v>
      </c>
      <c r="N703" s="13" t="s">
        <v>2476</v>
      </c>
      <c r="O703" s="15" t="s">
        <v>2477</v>
      </c>
    </row>
    <row r="704">
      <c r="A704" s="5">
        <v>801.0</v>
      </c>
      <c r="B704" s="6">
        <v>45991.84873989584</v>
      </c>
      <c r="C704" s="7" t="s">
        <v>26</v>
      </c>
      <c r="D704" s="8" t="s">
        <v>2401</v>
      </c>
      <c r="E704" s="8" t="s">
        <v>799</v>
      </c>
      <c r="F704" s="7" t="s">
        <v>2402</v>
      </c>
      <c r="G704" s="9" t="s">
        <v>19</v>
      </c>
      <c r="H704" s="7" t="s">
        <v>1472</v>
      </c>
      <c r="I704" s="7" t="s">
        <v>1473</v>
      </c>
      <c r="J704" s="10">
        <v>45930.0</v>
      </c>
      <c r="K704" s="8" t="s">
        <v>1468</v>
      </c>
      <c r="L704" s="7">
        <v>4.0</v>
      </c>
      <c r="M704" s="7" t="s">
        <v>1469</v>
      </c>
      <c r="N704" s="13" t="s">
        <v>2478</v>
      </c>
      <c r="O704" s="15" t="s">
        <v>2479</v>
      </c>
    </row>
    <row r="705">
      <c r="A705" s="5">
        <v>802.0</v>
      </c>
      <c r="B705" s="6">
        <v>45991.84946527777</v>
      </c>
      <c r="C705" s="7" t="s">
        <v>26</v>
      </c>
      <c r="D705" s="8" t="s">
        <v>2451</v>
      </c>
      <c r="E705" s="8" t="s">
        <v>830</v>
      </c>
      <c r="F705" s="7" t="s">
        <v>2452</v>
      </c>
      <c r="G705" s="9" t="s">
        <v>19</v>
      </c>
      <c r="H705" s="7" t="s">
        <v>30</v>
      </c>
      <c r="I705" s="7" t="s">
        <v>31</v>
      </c>
      <c r="J705" s="10">
        <v>45825.0</v>
      </c>
      <c r="K705" s="8" t="s">
        <v>49</v>
      </c>
      <c r="L705" s="7">
        <v>8.0</v>
      </c>
      <c r="M705" s="7" t="s">
        <v>33</v>
      </c>
      <c r="N705" s="13" t="s">
        <v>2480</v>
      </c>
      <c r="O705" s="16"/>
    </row>
    <row r="706">
      <c r="A706" s="5">
        <v>803.0</v>
      </c>
      <c r="B706" s="6">
        <v>45991.849501516204</v>
      </c>
      <c r="C706" s="7" t="s">
        <v>760</v>
      </c>
      <c r="D706" s="8" t="s">
        <v>1184</v>
      </c>
      <c r="E706" s="8" t="s">
        <v>1185</v>
      </c>
      <c r="F706" s="7" t="s">
        <v>1186</v>
      </c>
      <c r="G706" s="9" t="s">
        <v>181</v>
      </c>
      <c r="H706" s="7" t="s">
        <v>2481</v>
      </c>
      <c r="I706" s="7" t="s">
        <v>1664</v>
      </c>
      <c r="J706" s="10">
        <v>45944.0</v>
      </c>
      <c r="K706" s="8" t="s">
        <v>685</v>
      </c>
      <c r="L706" s="7">
        <v>5.0</v>
      </c>
      <c r="M706" s="7" t="s">
        <v>2482</v>
      </c>
      <c r="N706" s="13" t="s">
        <v>2483</v>
      </c>
      <c r="O706" s="15" t="s">
        <v>2484</v>
      </c>
    </row>
    <row r="707">
      <c r="A707" s="5">
        <v>804.0</v>
      </c>
      <c r="B707" s="6">
        <v>45991.84965767361</v>
      </c>
      <c r="C707" s="7" t="s">
        <v>26</v>
      </c>
      <c r="D707" s="8" t="s">
        <v>2389</v>
      </c>
      <c r="E707" s="8" t="s">
        <v>1116</v>
      </c>
      <c r="F707" s="7" t="s">
        <v>2390</v>
      </c>
      <c r="G707" s="9" t="s">
        <v>181</v>
      </c>
      <c r="H707" s="7" t="s">
        <v>1301</v>
      </c>
      <c r="I707" s="7" t="s">
        <v>231</v>
      </c>
      <c r="J707" s="10">
        <v>45887.0</v>
      </c>
      <c r="K707" s="8" t="s">
        <v>518</v>
      </c>
      <c r="L707" s="7">
        <v>2.0</v>
      </c>
      <c r="M707" s="7" t="s">
        <v>2308</v>
      </c>
      <c r="N707" s="13" t="s">
        <v>2485</v>
      </c>
      <c r="O707" s="15" t="s">
        <v>2486</v>
      </c>
    </row>
    <row r="708">
      <c r="A708" s="5">
        <v>805.0</v>
      </c>
      <c r="B708" s="6">
        <v>45991.84979721065</v>
      </c>
      <c r="C708" s="7" t="s">
        <v>26</v>
      </c>
      <c r="D708" s="8" t="s">
        <v>2487</v>
      </c>
      <c r="E708" s="8" t="s">
        <v>164</v>
      </c>
      <c r="F708" s="7" t="s">
        <v>2488</v>
      </c>
      <c r="G708" s="9" t="s">
        <v>19</v>
      </c>
      <c r="H708" s="7" t="s">
        <v>44</v>
      </c>
      <c r="I708" s="7" t="s">
        <v>37</v>
      </c>
      <c r="J708" s="10">
        <v>45839.0</v>
      </c>
      <c r="K708" s="8" t="s">
        <v>67</v>
      </c>
      <c r="L708" s="7">
        <v>8.0</v>
      </c>
      <c r="M708" s="7" t="s">
        <v>33</v>
      </c>
      <c r="N708" s="13" t="s">
        <v>2489</v>
      </c>
      <c r="O708" s="15" t="s">
        <v>2490</v>
      </c>
    </row>
    <row r="709">
      <c r="A709" s="5">
        <v>806.0</v>
      </c>
      <c r="B709" s="6">
        <v>45991.850106412036</v>
      </c>
      <c r="C709" s="7" t="s">
        <v>26</v>
      </c>
      <c r="D709" s="8" t="s">
        <v>2337</v>
      </c>
      <c r="E709" s="8" t="s">
        <v>2338</v>
      </c>
      <c r="F709" s="7" t="s">
        <v>2339</v>
      </c>
      <c r="G709" s="9" t="s">
        <v>19</v>
      </c>
      <c r="H709" s="7" t="s">
        <v>2463</v>
      </c>
      <c r="I709" s="7" t="s">
        <v>37</v>
      </c>
      <c r="J709" s="10">
        <v>45963.0</v>
      </c>
      <c r="K709" s="8" t="s">
        <v>67</v>
      </c>
      <c r="L709" s="7">
        <v>8.0</v>
      </c>
      <c r="M709" s="7" t="s">
        <v>33</v>
      </c>
      <c r="N709" s="13" t="s">
        <v>2491</v>
      </c>
      <c r="O709" s="15" t="s">
        <v>2492</v>
      </c>
    </row>
    <row r="710">
      <c r="A710" s="5">
        <v>807.0</v>
      </c>
      <c r="B710" s="6">
        <v>45991.851035266205</v>
      </c>
      <c r="C710" s="7" t="s">
        <v>760</v>
      </c>
      <c r="D710" s="8" t="s">
        <v>1184</v>
      </c>
      <c r="E710" s="8" t="s">
        <v>1185</v>
      </c>
      <c r="F710" s="7" t="s">
        <v>1186</v>
      </c>
      <c r="G710" s="9" t="s">
        <v>181</v>
      </c>
      <c r="H710" s="7" t="s">
        <v>2481</v>
      </c>
      <c r="I710" s="7" t="s">
        <v>1664</v>
      </c>
      <c r="J710" s="10">
        <v>45954.0</v>
      </c>
      <c r="K710" s="8" t="s">
        <v>685</v>
      </c>
      <c r="L710" s="7">
        <v>5.0</v>
      </c>
      <c r="M710" s="7" t="s">
        <v>2482</v>
      </c>
      <c r="N710" s="13" t="s">
        <v>2493</v>
      </c>
      <c r="O710" s="15" t="s">
        <v>2494</v>
      </c>
    </row>
    <row r="711">
      <c r="A711" s="5">
        <v>808.0</v>
      </c>
      <c r="B711" s="6">
        <v>45991.85115422454</v>
      </c>
      <c r="C711" s="7" t="s">
        <v>15</v>
      </c>
      <c r="D711" s="8" t="s">
        <v>2191</v>
      </c>
      <c r="E711" s="8" t="s">
        <v>1764</v>
      </c>
      <c r="F711" s="7" t="s">
        <v>2192</v>
      </c>
      <c r="G711" s="9" t="s">
        <v>181</v>
      </c>
      <c r="H711" s="7" t="s">
        <v>2386</v>
      </c>
      <c r="I711" s="7" t="s">
        <v>231</v>
      </c>
      <c r="J711" s="10">
        <v>45951.0</v>
      </c>
      <c r="K711" s="8" t="s">
        <v>639</v>
      </c>
      <c r="L711" s="7">
        <v>4.0</v>
      </c>
      <c r="M711" s="7" t="s">
        <v>636</v>
      </c>
      <c r="N711" s="13" t="s">
        <v>2495</v>
      </c>
      <c r="O711" s="15" t="s">
        <v>2496</v>
      </c>
    </row>
    <row r="712">
      <c r="A712" s="5">
        <v>809.0</v>
      </c>
      <c r="B712" s="6">
        <v>45991.85137038195</v>
      </c>
      <c r="C712" s="7" t="s">
        <v>26</v>
      </c>
      <c r="D712" s="8" t="s">
        <v>2401</v>
      </c>
      <c r="E712" s="8" t="s">
        <v>799</v>
      </c>
      <c r="F712" s="7" t="s">
        <v>2402</v>
      </c>
      <c r="G712" s="9" t="s">
        <v>181</v>
      </c>
      <c r="H712" s="7" t="s">
        <v>857</v>
      </c>
      <c r="I712" s="7" t="s">
        <v>910</v>
      </c>
      <c r="J712" s="10">
        <v>45987.0</v>
      </c>
      <c r="K712" s="8" t="s">
        <v>859</v>
      </c>
      <c r="L712" s="7">
        <v>8.0</v>
      </c>
      <c r="M712" s="7" t="s">
        <v>860</v>
      </c>
      <c r="N712" s="13" t="s">
        <v>2497</v>
      </c>
      <c r="O712" s="15" t="s">
        <v>2498</v>
      </c>
    </row>
    <row r="713">
      <c r="A713" s="5">
        <v>810.0</v>
      </c>
      <c r="B713" s="6">
        <v>45991.852109872685</v>
      </c>
      <c r="C713" s="7" t="s">
        <v>26</v>
      </c>
      <c r="D713" s="8" t="s">
        <v>1258</v>
      </c>
      <c r="E713" s="8" t="s">
        <v>1259</v>
      </c>
      <c r="F713" s="7" t="s">
        <v>1260</v>
      </c>
      <c r="G713" s="9" t="s">
        <v>181</v>
      </c>
      <c r="H713" s="7" t="s">
        <v>1413</v>
      </c>
      <c r="I713" s="7" t="s">
        <v>1414</v>
      </c>
      <c r="J713" s="10">
        <v>45989.0</v>
      </c>
      <c r="K713" s="8" t="s">
        <v>1421</v>
      </c>
      <c r="L713" s="7">
        <v>2.0</v>
      </c>
      <c r="M713" s="7" t="s">
        <v>1325</v>
      </c>
      <c r="N713" s="13" t="s">
        <v>2499</v>
      </c>
      <c r="O713" s="15" t="s">
        <v>2500</v>
      </c>
    </row>
    <row r="714">
      <c r="A714" s="5">
        <v>811.0</v>
      </c>
      <c r="B714" s="6">
        <v>45991.852568159724</v>
      </c>
      <c r="C714" s="7" t="s">
        <v>26</v>
      </c>
      <c r="D714" s="8" t="s">
        <v>2389</v>
      </c>
      <c r="E714" s="8" t="s">
        <v>1116</v>
      </c>
      <c r="F714" s="7" t="s">
        <v>2390</v>
      </c>
      <c r="G714" s="9" t="s">
        <v>181</v>
      </c>
      <c r="H714" s="7" t="s">
        <v>2501</v>
      </c>
      <c r="I714" s="7" t="s">
        <v>231</v>
      </c>
      <c r="J714" s="10">
        <v>45888.0</v>
      </c>
      <c r="K714" s="8" t="s">
        <v>518</v>
      </c>
      <c r="L714" s="7">
        <v>2.0</v>
      </c>
      <c r="M714" s="7" t="s">
        <v>2308</v>
      </c>
      <c r="N714" s="13" t="s">
        <v>2502</v>
      </c>
      <c r="O714" s="15" t="s">
        <v>2503</v>
      </c>
    </row>
    <row r="715">
      <c r="A715" s="5">
        <v>812.0</v>
      </c>
      <c r="B715" s="6">
        <v>45991.853155069446</v>
      </c>
      <c r="C715" s="7" t="s">
        <v>26</v>
      </c>
      <c r="D715" s="8" t="s">
        <v>2504</v>
      </c>
      <c r="E715" s="8" t="s">
        <v>164</v>
      </c>
      <c r="F715" s="7" t="s">
        <v>2488</v>
      </c>
      <c r="G715" s="9" t="s">
        <v>19</v>
      </c>
      <c r="H715" s="7" t="s">
        <v>44</v>
      </c>
      <c r="I715" s="7" t="s">
        <v>37</v>
      </c>
      <c r="J715" s="10">
        <v>45840.0</v>
      </c>
      <c r="K715" s="8" t="s">
        <v>2505</v>
      </c>
      <c r="L715" s="7">
        <v>8.0</v>
      </c>
      <c r="M715" s="7" t="s">
        <v>33</v>
      </c>
      <c r="N715" s="13" t="s">
        <v>2506</v>
      </c>
      <c r="O715" s="15" t="s">
        <v>2507</v>
      </c>
    </row>
    <row r="716">
      <c r="A716" s="5">
        <v>813.0</v>
      </c>
      <c r="B716" s="6">
        <v>45991.85408525463</v>
      </c>
      <c r="C716" s="7" t="s">
        <v>15</v>
      </c>
      <c r="D716" s="8" t="s">
        <v>2191</v>
      </c>
      <c r="E716" s="8" t="s">
        <v>1764</v>
      </c>
      <c r="F716" s="7" t="s">
        <v>2192</v>
      </c>
      <c r="G716" s="9" t="s">
        <v>181</v>
      </c>
      <c r="H716" s="7" t="s">
        <v>2386</v>
      </c>
      <c r="I716" s="7" t="s">
        <v>231</v>
      </c>
      <c r="J716" s="10">
        <v>45952.0</v>
      </c>
      <c r="K716" s="8" t="s">
        <v>639</v>
      </c>
      <c r="L716" s="7">
        <v>4.0</v>
      </c>
      <c r="M716" s="7" t="s">
        <v>636</v>
      </c>
      <c r="N716" s="13" t="s">
        <v>2508</v>
      </c>
      <c r="O716" s="15" t="s">
        <v>2509</v>
      </c>
    </row>
    <row r="717">
      <c r="A717" s="5">
        <v>814.0</v>
      </c>
      <c r="B717" s="6">
        <v>45991.8544725463</v>
      </c>
      <c r="C717" s="7" t="s">
        <v>26</v>
      </c>
      <c r="D717" s="8" t="s">
        <v>2451</v>
      </c>
      <c r="E717" s="8" t="s">
        <v>830</v>
      </c>
      <c r="F717" s="7" t="s">
        <v>2452</v>
      </c>
      <c r="G717" s="9" t="s">
        <v>19</v>
      </c>
      <c r="H717" s="7" t="s">
        <v>30</v>
      </c>
      <c r="I717" s="7" t="s">
        <v>37</v>
      </c>
      <c r="J717" s="10">
        <v>45838.0</v>
      </c>
      <c r="K717" s="8" t="s">
        <v>67</v>
      </c>
      <c r="L717" s="7">
        <v>8.0</v>
      </c>
      <c r="M717" s="7" t="s">
        <v>33</v>
      </c>
      <c r="N717" s="13" t="s">
        <v>2510</v>
      </c>
      <c r="O717" s="15" t="s">
        <v>2511</v>
      </c>
    </row>
    <row r="718">
      <c r="A718" s="5">
        <v>815.0</v>
      </c>
      <c r="B718" s="6">
        <v>45991.85470871528</v>
      </c>
      <c r="C718" s="7" t="s">
        <v>26</v>
      </c>
      <c r="D718" s="8" t="s">
        <v>2247</v>
      </c>
      <c r="E718" s="8" t="s">
        <v>893</v>
      </c>
      <c r="F718" s="7" t="s">
        <v>2248</v>
      </c>
      <c r="G718" s="9" t="s">
        <v>181</v>
      </c>
      <c r="H718" s="7" t="s">
        <v>857</v>
      </c>
      <c r="I718" s="7" t="s">
        <v>314</v>
      </c>
      <c r="J718" s="10">
        <v>45987.0</v>
      </c>
      <c r="K718" s="8" t="s">
        <v>859</v>
      </c>
      <c r="L718" s="7">
        <v>8.0</v>
      </c>
      <c r="M718" s="7" t="s">
        <v>1786</v>
      </c>
      <c r="N718" s="13" t="s">
        <v>2512</v>
      </c>
      <c r="O718" s="15" t="s">
        <v>2513</v>
      </c>
    </row>
    <row r="719">
      <c r="A719" s="5">
        <v>816.0</v>
      </c>
      <c r="B719" s="6">
        <v>45991.85530068287</v>
      </c>
      <c r="C719" s="7" t="s">
        <v>26</v>
      </c>
      <c r="D719" s="8" t="s">
        <v>2487</v>
      </c>
      <c r="E719" s="8" t="s">
        <v>164</v>
      </c>
      <c r="F719" s="7" t="s">
        <v>2488</v>
      </c>
      <c r="G719" s="9" t="s">
        <v>19</v>
      </c>
      <c r="H719" s="7" t="s">
        <v>44</v>
      </c>
      <c r="I719" s="7" t="s">
        <v>37</v>
      </c>
      <c r="J719" s="10">
        <v>45840.0</v>
      </c>
      <c r="K719" s="8" t="s">
        <v>67</v>
      </c>
      <c r="L719" s="7">
        <v>8.0</v>
      </c>
      <c r="M719" s="7" t="s">
        <v>33</v>
      </c>
      <c r="N719" s="13" t="s">
        <v>2514</v>
      </c>
      <c r="O719" s="15" t="s">
        <v>2515</v>
      </c>
    </row>
    <row r="720">
      <c r="A720" s="5">
        <v>817.0</v>
      </c>
      <c r="B720" s="6">
        <v>45991.85541599537</v>
      </c>
      <c r="C720" s="7" t="s">
        <v>26</v>
      </c>
      <c r="D720" s="8" t="s">
        <v>2389</v>
      </c>
      <c r="E720" s="8" t="s">
        <v>1116</v>
      </c>
      <c r="F720" s="7" t="s">
        <v>2390</v>
      </c>
      <c r="G720" s="9" t="s">
        <v>181</v>
      </c>
      <c r="H720" s="7" t="s">
        <v>1301</v>
      </c>
      <c r="I720" s="7" t="s">
        <v>231</v>
      </c>
      <c r="J720" s="10">
        <v>45889.0</v>
      </c>
      <c r="K720" s="8" t="s">
        <v>518</v>
      </c>
      <c r="L720" s="7">
        <v>2.0</v>
      </c>
      <c r="M720" s="7" t="s">
        <v>2308</v>
      </c>
      <c r="N720" s="13" t="s">
        <v>2516</v>
      </c>
      <c r="O720" s="15" t="s">
        <v>2517</v>
      </c>
    </row>
    <row r="721">
      <c r="A721" s="5">
        <v>818.0</v>
      </c>
      <c r="B721" s="6">
        <v>45991.856163171295</v>
      </c>
      <c r="C721" s="7" t="s">
        <v>125</v>
      </c>
      <c r="D721" s="8" t="s">
        <v>2518</v>
      </c>
      <c r="E721" s="8" t="s">
        <v>737</v>
      </c>
      <c r="F721" s="7" t="s">
        <v>2519</v>
      </c>
      <c r="G721" s="9" t="s">
        <v>19</v>
      </c>
      <c r="H721" s="7" t="s">
        <v>173</v>
      </c>
      <c r="I721" s="7" t="s">
        <v>174</v>
      </c>
      <c r="J721" s="10">
        <v>45854.0</v>
      </c>
      <c r="K721" s="8" t="s">
        <v>620</v>
      </c>
      <c r="L721" s="7">
        <v>6.0</v>
      </c>
      <c r="M721" s="7" t="s">
        <v>106</v>
      </c>
      <c r="N721" s="13" t="s">
        <v>2520</v>
      </c>
      <c r="O721" s="15" t="s">
        <v>2521</v>
      </c>
    </row>
    <row r="722">
      <c r="A722" s="5">
        <v>819.0</v>
      </c>
      <c r="B722" s="6">
        <v>45991.85624303241</v>
      </c>
      <c r="C722" s="7" t="s">
        <v>15</v>
      </c>
      <c r="D722" s="8" t="s">
        <v>2191</v>
      </c>
      <c r="E722" s="8" t="s">
        <v>1764</v>
      </c>
      <c r="F722" s="7" t="s">
        <v>2192</v>
      </c>
      <c r="G722" s="9" t="s">
        <v>181</v>
      </c>
      <c r="H722" s="7" t="s">
        <v>2386</v>
      </c>
      <c r="I722" s="7" t="s">
        <v>231</v>
      </c>
      <c r="J722" s="10">
        <v>45953.0</v>
      </c>
      <c r="K722" s="8" t="s">
        <v>639</v>
      </c>
      <c r="L722" s="7">
        <v>4.0</v>
      </c>
      <c r="M722" s="7" t="s">
        <v>636</v>
      </c>
      <c r="N722" s="13" t="s">
        <v>2522</v>
      </c>
      <c r="O722" s="16"/>
    </row>
    <row r="723">
      <c r="A723" s="5">
        <v>820.0</v>
      </c>
      <c r="B723" s="6">
        <v>45991.85625114583</v>
      </c>
      <c r="C723" s="7" t="s">
        <v>26</v>
      </c>
      <c r="D723" s="8" t="s">
        <v>2451</v>
      </c>
      <c r="E723" s="8" t="s">
        <v>830</v>
      </c>
      <c r="F723" s="7" t="s">
        <v>2452</v>
      </c>
      <c r="G723" s="9" t="s">
        <v>19</v>
      </c>
      <c r="H723" s="7" t="s">
        <v>2523</v>
      </c>
      <c r="I723" s="7" t="s">
        <v>37</v>
      </c>
      <c r="J723" s="10">
        <v>45839.0</v>
      </c>
      <c r="K723" s="8" t="s">
        <v>67</v>
      </c>
      <c r="L723" s="7">
        <v>8.0</v>
      </c>
      <c r="M723" s="7" t="s">
        <v>33</v>
      </c>
      <c r="N723" s="13" t="s">
        <v>2524</v>
      </c>
      <c r="O723" s="15" t="s">
        <v>2525</v>
      </c>
    </row>
    <row r="724">
      <c r="A724" s="5">
        <v>821.0</v>
      </c>
      <c r="B724" s="6">
        <v>45991.85751631945</v>
      </c>
      <c r="C724" s="7" t="s">
        <v>26</v>
      </c>
      <c r="D724" s="8" t="s">
        <v>2487</v>
      </c>
      <c r="E724" s="8" t="s">
        <v>164</v>
      </c>
      <c r="F724" s="7" t="s">
        <v>2488</v>
      </c>
      <c r="G724" s="9" t="s">
        <v>181</v>
      </c>
      <c r="H724" s="7" t="s">
        <v>857</v>
      </c>
      <c r="I724" s="7" t="s">
        <v>939</v>
      </c>
      <c r="J724" s="10">
        <v>45987.0</v>
      </c>
      <c r="K724" s="8" t="s">
        <v>859</v>
      </c>
      <c r="L724" s="7">
        <v>8.0</v>
      </c>
      <c r="M724" s="7" t="s">
        <v>860</v>
      </c>
      <c r="N724" s="13" t="s">
        <v>2526</v>
      </c>
      <c r="O724" s="15" t="s">
        <v>2527</v>
      </c>
    </row>
    <row r="725">
      <c r="A725" s="5">
        <v>822.0</v>
      </c>
      <c r="B725" s="6">
        <v>45991.85767802084</v>
      </c>
      <c r="C725" s="7" t="s">
        <v>15</v>
      </c>
      <c r="D725" s="8" t="s">
        <v>2191</v>
      </c>
      <c r="E725" s="8" t="s">
        <v>1764</v>
      </c>
      <c r="F725" s="7" t="s">
        <v>2192</v>
      </c>
      <c r="G725" s="9" t="s">
        <v>181</v>
      </c>
      <c r="H725" s="7" t="s">
        <v>2386</v>
      </c>
      <c r="I725" s="7" t="s">
        <v>231</v>
      </c>
      <c r="J725" s="10">
        <v>45954.0</v>
      </c>
      <c r="K725" s="8" t="s">
        <v>206</v>
      </c>
      <c r="L725" s="7">
        <v>4.0</v>
      </c>
      <c r="M725" s="7" t="s">
        <v>636</v>
      </c>
      <c r="N725" s="13" t="s">
        <v>2528</v>
      </c>
      <c r="O725" s="15" t="s">
        <v>2529</v>
      </c>
    </row>
    <row r="726">
      <c r="A726" s="5">
        <v>824.0</v>
      </c>
      <c r="B726" s="6">
        <v>45991.85792854166</v>
      </c>
      <c r="C726" s="7" t="s">
        <v>26</v>
      </c>
      <c r="D726" s="8" t="s">
        <v>2451</v>
      </c>
      <c r="E726" s="8" t="s">
        <v>830</v>
      </c>
      <c r="F726" s="7" t="s">
        <v>2452</v>
      </c>
      <c r="G726" s="9" t="s">
        <v>19</v>
      </c>
      <c r="H726" s="7" t="s">
        <v>2523</v>
      </c>
      <c r="I726" s="7" t="s">
        <v>37</v>
      </c>
      <c r="J726" s="10">
        <v>45840.0</v>
      </c>
      <c r="K726" s="8" t="s">
        <v>67</v>
      </c>
      <c r="L726" s="7">
        <v>8.0</v>
      </c>
      <c r="M726" s="7" t="s">
        <v>33</v>
      </c>
      <c r="N726" s="13" t="s">
        <v>2530</v>
      </c>
      <c r="O726" s="15" t="s">
        <v>2531</v>
      </c>
    </row>
    <row r="727">
      <c r="A727" s="5">
        <v>825.0</v>
      </c>
      <c r="B727" s="6">
        <v>45991.859226099536</v>
      </c>
      <c r="C727" s="7" t="s">
        <v>26</v>
      </c>
      <c r="D727" s="8" t="s">
        <v>2487</v>
      </c>
      <c r="E727" s="8" t="s">
        <v>164</v>
      </c>
      <c r="F727" s="7" t="s">
        <v>2488</v>
      </c>
      <c r="G727" s="9" t="s">
        <v>19</v>
      </c>
      <c r="H727" s="7" t="s">
        <v>1466</v>
      </c>
      <c r="I727" s="7" t="s">
        <v>1473</v>
      </c>
      <c r="J727" s="10">
        <v>45926.0</v>
      </c>
      <c r="K727" s="8" t="s">
        <v>1468</v>
      </c>
      <c r="L727" s="7">
        <v>4.0</v>
      </c>
      <c r="M727" s="7" t="s">
        <v>1469</v>
      </c>
      <c r="N727" s="13" t="s">
        <v>2532</v>
      </c>
      <c r="O727" s="15" t="s">
        <v>2533</v>
      </c>
    </row>
    <row r="728">
      <c r="A728" s="5">
        <v>826.0</v>
      </c>
      <c r="B728" s="6">
        <v>45991.86047565972</v>
      </c>
      <c r="C728" s="7" t="s">
        <v>26</v>
      </c>
      <c r="D728" s="8" t="s">
        <v>2389</v>
      </c>
      <c r="E728" s="8" t="s">
        <v>1116</v>
      </c>
      <c r="F728" s="7" t="s">
        <v>2390</v>
      </c>
      <c r="G728" s="9" t="s">
        <v>19</v>
      </c>
      <c r="H728" s="7" t="s">
        <v>1466</v>
      </c>
      <c r="I728" s="7" t="s">
        <v>1473</v>
      </c>
      <c r="J728" s="10">
        <v>45926.0</v>
      </c>
      <c r="K728" s="8" t="s">
        <v>1468</v>
      </c>
      <c r="L728" s="7">
        <v>4.0</v>
      </c>
      <c r="M728" s="7" t="s">
        <v>1469</v>
      </c>
      <c r="N728" s="13" t="s">
        <v>2534</v>
      </c>
      <c r="O728" s="15" t="s">
        <v>2535</v>
      </c>
    </row>
    <row r="729">
      <c r="A729" s="5">
        <v>827.0</v>
      </c>
      <c r="B729" s="6">
        <v>45991.86083619213</v>
      </c>
      <c r="C729" s="7" t="s">
        <v>26</v>
      </c>
      <c r="D729" s="8" t="s">
        <v>2487</v>
      </c>
      <c r="E729" s="8" t="s">
        <v>164</v>
      </c>
      <c r="F729" s="7" t="s">
        <v>2488</v>
      </c>
      <c r="G729" s="9" t="s">
        <v>19</v>
      </c>
      <c r="H729" s="7" t="s">
        <v>1466</v>
      </c>
      <c r="I729" s="7" t="s">
        <v>1473</v>
      </c>
      <c r="J729" s="10">
        <v>45930.0</v>
      </c>
      <c r="K729" s="8" t="s">
        <v>1468</v>
      </c>
      <c r="L729" s="7">
        <v>4.0</v>
      </c>
      <c r="M729" s="7" t="s">
        <v>1469</v>
      </c>
      <c r="N729" s="13" t="s">
        <v>2536</v>
      </c>
      <c r="O729" s="15" t="s">
        <v>2537</v>
      </c>
    </row>
    <row r="730">
      <c r="A730" s="5">
        <v>828.0</v>
      </c>
      <c r="B730" s="6">
        <v>45991.86118216436</v>
      </c>
      <c r="C730" s="7" t="s">
        <v>15</v>
      </c>
      <c r="D730" s="8" t="s">
        <v>2050</v>
      </c>
      <c r="E730" s="8" t="s">
        <v>179</v>
      </c>
      <c r="F730" s="7" t="s">
        <v>2051</v>
      </c>
      <c r="G730" s="9" t="s">
        <v>19</v>
      </c>
      <c r="H730" s="7" t="s">
        <v>44</v>
      </c>
      <c r="I730" s="7" t="s">
        <v>37</v>
      </c>
      <c r="J730" s="10">
        <v>45840.0</v>
      </c>
      <c r="K730" s="8" t="s">
        <v>67</v>
      </c>
      <c r="L730" s="7">
        <v>8.0</v>
      </c>
      <c r="M730" s="7" t="s">
        <v>33</v>
      </c>
      <c r="N730" s="13" t="s">
        <v>2538</v>
      </c>
      <c r="O730" s="15" t="s">
        <v>2539</v>
      </c>
    </row>
    <row r="731">
      <c r="A731" s="5">
        <v>829.0</v>
      </c>
      <c r="B731" s="6">
        <v>45991.86437087963</v>
      </c>
      <c r="C731" s="7" t="s">
        <v>26</v>
      </c>
      <c r="D731" s="8" t="s">
        <v>2389</v>
      </c>
      <c r="E731" s="8" t="s">
        <v>1116</v>
      </c>
      <c r="F731" s="7" t="s">
        <v>2390</v>
      </c>
      <c r="G731" s="9" t="s">
        <v>19</v>
      </c>
      <c r="H731" s="7" t="s">
        <v>1472</v>
      </c>
      <c r="I731" s="7" t="s">
        <v>1473</v>
      </c>
      <c r="J731" s="10">
        <v>45930.0</v>
      </c>
      <c r="K731" s="8" t="s">
        <v>1468</v>
      </c>
      <c r="L731" s="7">
        <v>4.0</v>
      </c>
      <c r="M731" s="7" t="s">
        <v>1469</v>
      </c>
      <c r="N731" s="13" t="s">
        <v>2540</v>
      </c>
      <c r="O731" s="15" t="s">
        <v>2541</v>
      </c>
    </row>
    <row r="732">
      <c r="A732" s="5">
        <v>830.0</v>
      </c>
      <c r="B732" s="6">
        <v>45991.87993142361</v>
      </c>
      <c r="C732" s="7" t="s">
        <v>125</v>
      </c>
      <c r="D732" s="8" t="s">
        <v>1330</v>
      </c>
      <c r="E732" s="8" t="s">
        <v>91</v>
      </c>
      <c r="F732" s="7" t="s">
        <v>1331</v>
      </c>
      <c r="G732" s="9" t="s">
        <v>159</v>
      </c>
      <c r="H732" s="7" t="s">
        <v>2542</v>
      </c>
      <c r="I732" s="7" t="s">
        <v>2543</v>
      </c>
      <c r="J732" s="10">
        <v>45945.0</v>
      </c>
      <c r="K732" s="8" t="s">
        <v>22</v>
      </c>
      <c r="L732" s="7">
        <v>4.0</v>
      </c>
      <c r="M732" s="7" t="s">
        <v>2544</v>
      </c>
      <c r="N732" s="13" t="s">
        <v>2545</v>
      </c>
      <c r="O732" s="15" t="s">
        <v>2546</v>
      </c>
    </row>
    <row r="733">
      <c r="A733" s="5">
        <v>832.0</v>
      </c>
      <c r="B733" s="6">
        <v>45991.88740760417</v>
      </c>
      <c r="C733" s="7" t="s">
        <v>15</v>
      </c>
      <c r="D733" s="8" t="s">
        <v>2547</v>
      </c>
      <c r="E733" s="8" t="s">
        <v>110</v>
      </c>
      <c r="F733" s="7" t="s">
        <v>2548</v>
      </c>
      <c r="G733" s="9" t="s">
        <v>19</v>
      </c>
      <c r="H733" s="7" t="s">
        <v>448</v>
      </c>
      <c r="I733" s="7" t="s">
        <v>502</v>
      </c>
      <c r="J733" s="10">
        <v>45839.0</v>
      </c>
      <c r="K733" s="8" t="s">
        <v>67</v>
      </c>
      <c r="L733" s="7">
        <v>8.0</v>
      </c>
      <c r="M733" s="7" t="s">
        <v>33</v>
      </c>
      <c r="N733" s="13" t="s">
        <v>2549</v>
      </c>
      <c r="O733" s="15" t="s">
        <v>2550</v>
      </c>
    </row>
    <row r="734">
      <c r="A734" s="5">
        <v>833.0</v>
      </c>
      <c r="B734" s="6">
        <v>45991.89148394676</v>
      </c>
      <c r="C734" s="7" t="s">
        <v>15</v>
      </c>
      <c r="D734" s="8" t="s">
        <v>2547</v>
      </c>
      <c r="E734" s="8" t="s">
        <v>110</v>
      </c>
      <c r="F734" s="7" t="s">
        <v>2548</v>
      </c>
      <c r="G734" s="9" t="s">
        <v>19</v>
      </c>
      <c r="H734" s="7" t="s">
        <v>2551</v>
      </c>
      <c r="I734" s="7" t="s">
        <v>505</v>
      </c>
      <c r="J734" s="10">
        <v>45840.0</v>
      </c>
      <c r="K734" s="8" t="s">
        <v>67</v>
      </c>
      <c r="L734" s="7">
        <v>8.0</v>
      </c>
      <c r="M734" s="7" t="s">
        <v>33</v>
      </c>
      <c r="N734" s="13" t="s">
        <v>2552</v>
      </c>
      <c r="O734" s="15" t="s">
        <v>2553</v>
      </c>
    </row>
    <row r="735">
      <c r="A735" s="5">
        <v>834.0</v>
      </c>
      <c r="B735" s="6">
        <v>45991.89374321759</v>
      </c>
      <c r="C735" s="7" t="s">
        <v>15</v>
      </c>
      <c r="D735" s="8" t="s">
        <v>2547</v>
      </c>
      <c r="E735" s="8" t="s">
        <v>110</v>
      </c>
      <c r="F735" s="7" t="s">
        <v>2548</v>
      </c>
      <c r="G735" s="9" t="s">
        <v>19</v>
      </c>
      <c r="H735" s="7" t="s">
        <v>2554</v>
      </c>
      <c r="I735" s="7" t="s">
        <v>231</v>
      </c>
      <c r="J735" s="10">
        <v>45793.0</v>
      </c>
      <c r="K735" s="8" t="s">
        <v>2275</v>
      </c>
      <c r="L735" s="7">
        <v>2.0</v>
      </c>
      <c r="M735" s="7" t="s">
        <v>445</v>
      </c>
      <c r="N735" s="13" t="s">
        <v>2555</v>
      </c>
      <c r="O735" s="15" t="s">
        <v>2556</v>
      </c>
    </row>
    <row r="736">
      <c r="A736" s="5">
        <v>835.0</v>
      </c>
      <c r="B736" s="6">
        <v>45991.89495811342</v>
      </c>
      <c r="C736" s="7" t="s">
        <v>125</v>
      </c>
      <c r="D736" s="8" t="s">
        <v>1330</v>
      </c>
      <c r="E736" s="8" t="s">
        <v>91</v>
      </c>
      <c r="F736" s="7" t="s">
        <v>1331</v>
      </c>
      <c r="G736" s="9" t="s">
        <v>144</v>
      </c>
      <c r="H736" s="7" t="s">
        <v>2557</v>
      </c>
      <c r="I736" s="7" t="s">
        <v>263</v>
      </c>
      <c r="J736" s="10">
        <v>45960.0</v>
      </c>
      <c r="K736" s="8" t="s">
        <v>22</v>
      </c>
      <c r="L736" s="7">
        <v>4.0</v>
      </c>
      <c r="M736" s="7" t="s">
        <v>2544</v>
      </c>
      <c r="N736" s="13" t="s">
        <v>2558</v>
      </c>
      <c r="O736" s="15" t="s">
        <v>2559</v>
      </c>
    </row>
    <row r="737">
      <c r="A737" s="5">
        <v>836.0</v>
      </c>
      <c r="B737" s="6">
        <v>45991.896340810184</v>
      </c>
      <c r="C737" s="7" t="s">
        <v>760</v>
      </c>
      <c r="D737" s="8" t="s">
        <v>2560</v>
      </c>
      <c r="E737" s="8" t="s">
        <v>1023</v>
      </c>
      <c r="F737" s="7" t="s">
        <v>2561</v>
      </c>
      <c r="G737" s="9" t="s">
        <v>181</v>
      </c>
      <c r="H737" s="7" t="s">
        <v>1669</v>
      </c>
      <c r="I737" s="7" t="s">
        <v>1664</v>
      </c>
      <c r="J737" s="10">
        <v>45895.0</v>
      </c>
      <c r="K737" s="8" t="s">
        <v>1665</v>
      </c>
      <c r="L737" s="7">
        <v>2.0</v>
      </c>
      <c r="M737" s="7" t="s">
        <v>1648</v>
      </c>
      <c r="N737" s="13" t="s">
        <v>2562</v>
      </c>
      <c r="O737" s="15" t="s">
        <v>2563</v>
      </c>
    </row>
    <row r="738">
      <c r="A738" s="5">
        <v>837.0</v>
      </c>
      <c r="B738" s="6">
        <v>45991.896759062496</v>
      </c>
      <c r="C738" s="7" t="s">
        <v>760</v>
      </c>
      <c r="D738" s="8" t="s">
        <v>2060</v>
      </c>
      <c r="E738" s="8" t="s">
        <v>2061</v>
      </c>
      <c r="F738" s="7" t="s">
        <v>2062</v>
      </c>
      <c r="G738" s="9" t="s">
        <v>181</v>
      </c>
      <c r="H738" s="7" t="s">
        <v>895</v>
      </c>
      <c r="I738" s="7" t="s">
        <v>314</v>
      </c>
      <c r="J738" s="10">
        <v>45987.0</v>
      </c>
      <c r="K738" s="8" t="s">
        <v>2564</v>
      </c>
      <c r="L738" s="7">
        <v>1.0</v>
      </c>
      <c r="M738" s="7" t="s">
        <v>33</v>
      </c>
      <c r="N738" s="13" t="s">
        <v>2565</v>
      </c>
      <c r="O738" s="15" t="s">
        <v>2566</v>
      </c>
    </row>
    <row r="739">
      <c r="A739" s="5">
        <v>838.0</v>
      </c>
      <c r="B739" s="6">
        <v>45991.897102523144</v>
      </c>
      <c r="C739" s="7" t="s">
        <v>15</v>
      </c>
      <c r="D739" s="8" t="s">
        <v>2547</v>
      </c>
      <c r="E739" s="8" t="s">
        <v>110</v>
      </c>
      <c r="F739" s="7" t="s">
        <v>2548</v>
      </c>
      <c r="G739" s="9" t="s">
        <v>19</v>
      </c>
      <c r="H739" s="7" t="s">
        <v>2554</v>
      </c>
      <c r="I739" s="7" t="s">
        <v>231</v>
      </c>
      <c r="J739" s="10">
        <v>45800.0</v>
      </c>
      <c r="K739" s="8" t="s">
        <v>518</v>
      </c>
      <c r="L739" s="7">
        <v>2.0</v>
      </c>
      <c r="M739" s="7" t="s">
        <v>445</v>
      </c>
      <c r="N739" s="13" t="s">
        <v>2567</v>
      </c>
      <c r="O739" s="15" t="s">
        <v>2568</v>
      </c>
    </row>
    <row r="740">
      <c r="A740" s="5">
        <v>839.0</v>
      </c>
      <c r="B740" s="6">
        <v>45991.89772168982</v>
      </c>
      <c r="C740" s="7" t="s">
        <v>125</v>
      </c>
      <c r="D740" s="8" t="s">
        <v>2569</v>
      </c>
      <c r="E740" s="8" t="s">
        <v>1197</v>
      </c>
      <c r="F740" s="7" t="s">
        <v>2570</v>
      </c>
      <c r="G740" s="9" t="s">
        <v>144</v>
      </c>
      <c r="H740" s="7" t="s">
        <v>2571</v>
      </c>
      <c r="I740" s="7" t="s">
        <v>2572</v>
      </c>
      <c r="J740" s="10">
        <v>45955.0</v>
      </c>
      <c r="K740" s="8" t="s">
        <v>22</v>
      </c>
      <c r="L740" s="7">
        <v>4.0</v>
      </c>
      <c r="M740" s="7" t="s">
        <v>1823</v>
      </c>
      <c r="N740" s="13" t="s">
        <v>2573</v>
      </c>
      <c r="O740" s="15" t="s">
        <v>2574</v>
      </c>
    </row>
    <row r="741">
      <c r="A741" s="5">
        <v>840.0</v>
      </c>
      <c r="B741" s="6">
        <v>45991.89823082176</v>
      </c>
      <c r="C741" s="7" t="s">
        <v>760</v>
      </c>
      <c r="D741" s="8" t="s">
        <v>1763</v>
      </c>
      <c r="E741" s="8" t="s">
        <v>1764</v>
      </c>
      <c r="F741" s="7" t="s">
        <v>1765</v>
      </c>
      <c r="G741" s="9" t="s">
        <v>209</v>
      </c>
      <c r="H741" s="7" t="s">
        <v>2575</v>
      </c>
      <c r="I741" s="7" t="s">
        <v>825</v>
      </c>
      <c r="J741" s="10">
        <v>45991.0</v>
      </c>
      <c r="K741" s="8" t="s">
        <v>457</v>
      </c>
      <c r="L741" s="7">
        <v>4.0</v>
      </c>
      <c r="M741" s="7" t="s">
        <v>2576</v>
      </c>
      <c r="N741" s="13" t="s">
        <v>2577</v>
      </c>
      <c r="O741" s="15" t="s">
        <v>2578</v>
      </c>
    </row>
    <row r="742">
      <c r="A742" s="5">
        <v>841.0</v>
      </c>
      <c r="B742" s="6">
        <v>45991.89832928241</v>
      </c>
      <c r="C742" s="7" t="s">
        <v>760</v>
      </c>
      <c r="D742" s="8" t="s">
        <v>1424</v>
      </c>
      <c r="E742" s="8" t="s">
        <v>110</v>
      </c>
      <c r="F742" s="7" t="s">
        <v>1425</v>
      </c>
      <c r="G742" s="9" t="s">
        <v>181</v>
      </c>
      <c r="H742" s="7" t="s">
        <v>2481</v>
      </c>
      <c r="I742" s="7" t="s">
        <v>1211</v>
      </c>
      <c r="J742" s="10">
        <v>45944.0</v>
      </c>
      <c r="K742" s="8" t="s">
        <v>2579</v>
      </c>
      <c r="L742" s="7">
        <v>5.0</v>
      </c>
      <c r="M742" s="7" t="s">
        <v>2482</v>
      </c>
      <c r="N742" s="13" t="s">
        <v>2580</v>
      </c>
      <c r="O742" s="15" t="s">
        <v>2581</v>
      </c>
    </row>
    <row r="743">
      <c r="A743" s="5">
        <v>842.0</v>
      </c>
      <c r="B743" s="6">
        <v>45991.898841284725</v>
      </c>
      <c r="C743" s="7" t="s">
        <v>125</v>
      </c>
      <c r="D743" s="8" t="s">
        <v>2582</v>
      </c>
      <c r="E743" s="8" t="s">
        <v>404</v>
      </c>
      <c r="F743" s="7" t="s">
        <v>2583</v>
      </c>
      <c r="G743" s="9" t="s">
        <v>144</v>
      </c>
      <c r="H743" s="7" t="s">
        <v>2571</v>
      </c>
      <c r="I743" s="7" t="s">
        <v>1822</v>
      </c>
      <c r="J743" s="10">
        <v>45955.0</v>
      </c>
      <c r="K743" s="8" t="s">
        <v>22</v>
      </c>
      <c r="L743" s="7">
        <v>4.0</v>
      </c>
      <c r="M743" s="7" t="s">
        <v>1823</v>
      </c>
      <c r="N743" s="13" t="s">
        <v>2584</v>
      </c>
      <c r="O743" s="15" t="s">
        <v>2585</v>
      </c>
    </row>
    <row r="744">
      <c r="A744" s="5">
        <v>843.0</v>
      </c>
      <c r="B744" s="6">
        <v>45991.89969387732</v>
      </c>
      <c r="C744" s="7" t="s">
        <v>760</v>
      </c>
      <c r="D744" s="8" t="s">
        <v>1763</v>
      </c>
      <c r="E744" s="8" t="s">
        <v>1764</v>
      </c>
      <c r="F744" s="7" t="s">
        <v>1765</v>
      </c>
      <c r="G744" s="9" t="s">
        <v>209</v>
      </c>
      <c r="H744" s="7" t="s">
        <v>2586</v>
      </c>
      <c r="I744" s="7" t="s">
        <v>825</v>
      </c>
      <c r="J744" s="10">
        <v>45991.0</v>
      </c>
      <c r="K744" s="8" t="s">
        <v>418</v>
      </c>
      <c r="L744" s="7">
        <v>4.0</v>
      </c>
      <c r="M744" s="7" t="s">
        <v>2587</v>
      </c>
      <c r="N744" s="13" t="s">
        <v>2588</v>
      </c>
      <c r="O744" s="15" t="s">
        <v>2589</v>
      </c>
    </row>
    <row r="745">
      <c r="A745" s="5">
        <v>844.0</v>
      </c>
      <c r="B745" s="6">
        <v>45991.89998291667</v>
      </c>
      <c r="C745" s="7" t="s">
        <v>125</v>
      </c>
      <c r="D745" s="8" t="s">
        <v>2590</v>
      </c>
      <c r="E745" s="8" t="s">
        <v>1185</v>
      </c>
      <c r="F745" s="7" t="s">
        <v>2591</v>
      </c>
      <c r="G745" s="9" t="s">
        <v>159</v>
      </c>
      <c r="H745" s="7" t="s">
        <v>204</v>
      </c>
      <c r="I745" s="7" t="s">
        <v>167</v>
      </c>
      <c r="J745" s="10">
        <v>45966.0</v>
      </c>
      <c r="K745" s="8" t="s">
        <v>22</v>
      </c>
      <c r="L745" s="7">
        <v>4.0</v>
      </c>
      <c r="M745" s="7" t="s">
        <v>2592</v>
      </c>
      <c r="N745" s="13" t="s">
        <v>2593</v>
      </c>
      <c r="O745" s="15" t="s">
        <v>2594</v>
      </c>
    </row>
    <row r="746">
      <c r="A746" s="5">
        <v>845.0</v>
      </c>
      <c r="B746" s="6">
        <v>45991.9006218287</v>
      </c>
      <c r="C746" s="7" t="s">
        <v>760</v>
      </c>
      <c r="D746" s="8" t="s">
        <v>2060</v>
      </c>
      <c r="E746" s="8" t="s">
        <v>2061</v>
      </c>
      <c r="F746" s="7" t="s">
        <v>2062</v>
      </c>
      <c r="G746" s="9" t="s">
        <v>181</v>
      </c>
      <c r="H746" s="7" t="s">
        <v>1669</v>
      </c>
      <c r="I746" s="7" t="s">
        <v>1664</v>
      </c>
      <c r="J746" s="10">
        <v>45895.0</v>
      </c>
      <c r="K746" s="8" t="s">
        <v>1665</v>
      </c>
      <c r="L746" s="7">
        <v>2.0</v>
      </c>
      <c r="M746" s="7" t="s">
        <v>1648</v>
      </c>
      <c r="N746" s="13" t="s">
        <v>2595</v>
      </c>
      <c r="O746" s="15" t="s">
        <v>2596</v>
      </c>
    </row>
    <row r="747">
      <c r="A747" s="5">
        <v>847.0</v>
      </c>
      <c r="B747" s="6">
        <v>45991.9016313426</v>
      </c>
      <c r="C747" s="7" t="s">
        <v>760</v>
      </c>
      <c r="D747" s="8" t="s">
        <v>1424</v>
      </c>
      <c r="E747" s="8" t="s">
        <v>110</v>
      </c>
      <c r="F747" s="7" t="s">
        <v>2597</v>
      </c>
      <c r="G747" s="9" t="s">
        <v>181</v>
      </c>
      <c r="H747" s="7" t="s">
        <v>2481</v>
      </c>
      <c r="I747" s="7" t="s">
        <v>231</v>
      </c>
      <c r="J747" s="10">
        <v>45954.0</v>
      </c>
      <c r="K747" s="8" t="s">
        <v>2579</v>
      </c>
      <c r="L747" s="7">
        <v>5.0</v>
      </c>
      <c r="M747" s="7" t="s">
        <v>2482</v>
      </c>
      <c r="N747" s="13" t="s">
        <v>2598</v>
      </c>
      <c r="O747" s="15" t="s">
        <v>2599</v>
      </c>
    </row>
    <row r="748">
      <c r="A748" s="5">
        <v>848.0</v>
      </c>
      <c r="B748" s="6">
        <v>45991.90195439815</v>
      </c>
      <c r="C748" s="7" t="s">
        <v>760</v>
      </c>
      <c r="D748" s="8" t="s">
        <v>2060</v>
      </c>
      <c r="E748" s="8" t="s">
        <v>2061</v>
      </c>
      <c r="F748" s="7" t="s">
        <v>2062</v>
      </c>
      <c r="G748" s="9" t="s">
        <v>181</v>
      </c>
      <c r="H748" s="7" t="s">
        <v>1669</v>
      </c>
      <c r="I748" s="7" t="s">
        <v>1664</v>
      </c>
      <c r="J748" s="10">
        <v>45896.0</v>
      </c>
      <c r="K748" s="8" t="s">
        <v>1665</v>
      </c>
      <c r="L748" s="7">
        <v>2.0</v>
      </c>
      <c r="M748" s="7" t="s">
        <v>1648</v>
      </c>
      <c r="N748" s="13" t="s">
        <v>2600</v>
      </c>
      <c r="O748" s="15" t="s">
        <v>2601</v>
      </c>
    </row>
    <row r="749">
      <c r="A749" s="5">
        <v>849.0</v>
      </c>
      <c r="B749" s="6">
        <v>45991.90214902778</v>
      </c>
      <c r="C749" s="7" t="s">
        <v>760</v>
      </c>
      <c r="D749" s="8" t="s">
        <v>2560</v>
      </c>
      <c r="E749" s="8" t="s">
        <v>1023</v>
      </c>
      <c r="F749" s="7" t="s">
        <v>2561</v>
      </c>
      <c r="G749" s="9" t="s">
        <v>19</v>
      </c>
      <c r="H749" s="7" t="s">
        <v>1427</v>
      </c>
      <c r="I749" s="7" t="s">
        <v>2602</v>
      </c>
      <c r="J749" s="10">
        <v>45907.0</v>
      </c>
      <c r="K749" s="8" t="s">
        <v>49</v>
      </c>
      <c r="L749" s="7">
        <v>8.0</v>
      </c>
      <c r="M749" s="7" t="s">
        <v>33</v>
      </c>
      <c r="N749" s="13" t="s">
        <v>2603</v>
      </c>
      <c r="O749" s="15" t="s">
        <v>2604</v>
      </c>
    </row>
    <row r="750">
      <c r="A750" s="5">
        <v>850.0</v>
      </c>
      <c r="B750" s="6">
        <v>45991.90342548611</v>
      </c>
      <c r="C750" s="7" t="s">
        <v>15</v>
      </c>
      <c r="D750" s="8" t="s">
        <v>2547</v>
      </c>
      <c r="E750" s="8" t="s">
        <v>110</v>
      </c>
      <c r="F750" s="7" t="s">
        <v>2548</v>
      </c>
      <c r="G750" s="9" t="s">
        <v>19</v>
      </c>
      <c r="H750" s="7" t="s">
        <v>2554</v>
      </c>
      <c r="I750" s="7" t="s">
        <v>231</v>
      </c>
      <c r="J750" s="10">
        <v>45807.0</v>
      </c>
      <c r="K750" s="8" t="s">
        <v>518</v>
      </c>
      <c r="L750" s="7">
        <v>2.0</v>
      </c>
      <c r="M750" s="7" t="s">
        <v>445</v>
      </c>
      <c r="N750" s="13" t="s">
        <v>2605</v>
      </c>
      <c r="O750" s="15" t="s">
        <v>2606</v>
      </c>
    </row>
    <row r="751">
      <c r="A751" s="5">
        <v>851.0</v>
      </c>
      <c r="B751" s="6">
        <v>45991.9040340625</v>
      </c>
      <c r="C751" s="7" t="s">
        <v>760</v>
      </c>
      <c r="D751" s="8" t="s">
        <v>2060</v>
      </c>
      <c r="E751" s="8" t="s">
        <v>2061</v>
      </c>
      <c r="F751" s="7" t="s">
        <v>2062</v>
      </c>
      <c r="G751" s="9" t="s">
        <v>181</v>
      </c>
      <c r="H751" s="7" t="s">
        <v>895</v>
      </c>
      <c r="I751" s="7" t="s">
        <v>279</v>
      </c>
      <c r="J751" s="10">
        <v>45981.0</v>
      </c>
      <c r="K751" s="8" t="s">
        <v>2607</v>
      </c>
      <c r="L751" s="7">
        <v>1.0</v>
      </c>
      <c r="M751" s="7" t="s">
        <v>33</v>
      </c>
      <c r="N751" s="13" t="s">
        <v>2608</v>
      </c>
      <c r="O751" s="15" t="s">
        <v>2609</v>
      </c>
    </row>
    <row r="752">
      <c r="A752" s="5">
        <v>852.0</v>
      </c>
      <c r="B752" s="6">
        <v>45991.90455584491</v>
      </c>
      <c r="C752" s="7" t="s">
        <v>125</v>
      </c>
      <c r="D752" s="8" t="s">
        <v>2590</v>
      </c>
      <c r="E752" s="8" t="s">
        <v>1185</v>
      </c>
      <c r="F752" s="7" t="s">
        <v>2591</v>
      </c>
      <c r="G752" s="9" t="s">
        <v>144</v>
      </c>
      <c r="H752" s="7" t="s">
        <v>605</v>
      </c>
      <c r="I752" s="7" t="s">
        <v>167</v>
      </c>
      <c r="J752" s="10">
        <v>45942.0</v>
      </c>
      <c r="K752" s="8" t="s">
        <v>22</v>
      </c>
      <c r="L752" s="7">
        <v>4.0</v>
      </c>
      <c r="M752" s="7" t="s">
        <v>2592</v>
      </c>
      <c r="N752" s="13" t="s">
        <v>2610</v>
      </c>
      <c r="O752" s="15" t="s">
        <v>2611</v>
      </c>
    </row>
    <row r="753">
      <c r="A753" s="5">
        <v>853.0</v>
      </c>
      <c r="B753" s="6">
        <v>45991.90475912037</v>
      </c>
      <c r="C753" s="7" t="s">
        <v>125</v>
      </c>
      <c r="D753" s="8" t="s">
        <v>2612</v>
      </c>
      <c r="E753" s="8" t="s">
        <v>1023</v>
      </c>
      <c r="F753" s="7" t="s">
        <v>2613</v>
      </c>
      <c r="G753" s="9" t="s">
        <v>159</v>
      </c>
      <c r="H753" s="7" t="s">
        <v>2614</v>
      </c>
      <c r="I753" s="7" t="s">
        <v>2615</v>
      </c>
      <c r="J753" s="10">
        <v>45940.0</v>
      </c>
      <c r="K753" s="8" t="s">
        <v>22</v>
      </c>
      <c r="L753" s="7">
        <v>4.0</v>
      </c>
      <c r="M753" s="7" t="s">
        <v>2616</v>
      </c>
      <c r="N753" s="13" t="s">
        <v>2617</v>
      </c>
      <c r="O753" s="15" t="s">
        <v>2618</v>
      </c>
    </row>
    <row r="754">
      <c r="A754" s="5">
        <v>854.0</v>
      </c>
      <c r="B754" s="6">
        <v>45991.90507623843</v>
      </c>
      <c r="C754" s="7" t="s">
        <v>760</v>
      </c>
      <c r="D754" s="8" t="s">
        <v>2060</v>
      </c>
      <c r="E754" s="8" t="s">
        <v>2061</v>
      </c>
      <c r="F754" s="7" t="s">
        <v>2062</v>
      </c>
      <c r="G754" s="9" t="s">
        <v>181</v>
      </c>
      <c r="H754" s="7" t="s">
        <v>895</v>
      </c>
      <c r="I754" s="7" t="s">
        <v>279</v>
      </c>
      <c r="J754" s="10">
        <v>45946.0</v>
      </c>
      <c r="K754" s="8" t="s">
        <v>2619</v>
      </c>
      <c r="L754" s="7">
        <v>1.0</v>
      </c>
      <c r="M754" s="7" t="s">
        <v>33</v>
      </c>
      <c r="N754" s="13" t="s">
        <v>2620</v>
      </c>
      <c r="O754" s="15" t="s">
        <v>2621</v>
      </c>
    </row>
    <row r="755">
      <c r="A755" s="5">
        <v>855.0</v>
      </c>
      <c r="B755" s="6">
        <v>45991.90636684028</v>
      </c>
      <c r="C755" s="7" t="s">
        <v>125</v>
      </c>
      <c r="D755" s="8" t="s">
        <v>2590</v>
      </c>
      <c r="E755" s="8" t="s">
        <v>1185</v>
      </c>
      <c r="F755" s="7" t="s">
        <v>2591</v>
      </c>
      <c r="G755" s="9" t="s">
        <v>159</v>
      </c>
      <c r="H755" s="7" t="s">
        <v>2622</v>
      </c>
      <c r="I755" s="7" t="s">
        <v>167</v>
      </c>
      <c r="J755" s="10">
        <v>45940.0</v>
      </c>
      <c r="K755" s="8" t="s">
        <v>582</v>
      </c>
      <c r="L755" s="7">
        <v>2.0</v>
      </c>
      <c r="M755" s="7" t="s">
        <v>2592</v>
      </c>
      <c r="N755" s="13" t="s">
        <v>2623</v>
      </c>
      <c r="O755" s="15" t="s">
        <v>2624</v>
      </c>
    </row>
    <row r="756">
      <c r="A756" s="5">
        <v>857.0</v>
      </c>
      <c r="B756" s="6">
        <v>45991.90720731481</v>
      </c>
      <c r="C756" s="7" t="s">
        <v>15</v>
      </c>
      <c r="D756" s="8" t="s">
        <v>2547</v>
      </c>
      <c r="E756" s="8" t="s">
        <v>110</v>
      </c>
      <c r="F756" s="7" t="s">
        <v>2548</v>
      </c>
      <c r="G756" s="9" t="s">
        <v>415</v>
      </c>
      <c r="H756" s="7" t="s">
        <v>416</v>
      </c>
      <c r="I756" s="7" t="s">
        <v>417</v>
      </c>
      <c r="J756" s="10">
        <v>45879.0</v>
      </c>
      <c r="K756" s="8" t="s">
        <v>2102</v>
      </c>
      <c r="L756" s="7">
        <v>1.0</v>
      </c>
      <c r="M756" s="7" t="s">
        <v>33</v>
      </c>
      <c r="N756" s="13" t="s">
        <v>2625</v>
      </c>
      <c r="O756" s="15" t="s">
        <v>2626</v>
      </c>
    </row>
    <row r="757">
      <c r="A757" s="5">
        <v>858.0</v>
      </c>
      <c r="B757" s="6">
        <v>45991.90934627315</v>
      </c>
      <c r="C757" s="7" t="s">
        <v>15</v>
      </c>
      <c r="D757" s="8" t="s">
        <v>1454</v>
      </c>
      <c r="E757" s="8" t="s">
        <v>574</v>
      </c>
      <c r="F757" s="7" t="s">
        <v>1455</v>
      </c>
      <c r="G757" s="9" t="s">
        <v>19</v>
      </c>
      <c r="H757" s="7" t="s">
        <v>44</v>
      </c>
      <c r="I757" s="7" t="s">
        <v>37</v>
      </c>
      <c r="J757" s="10">
        <v>45839.0</v>
      </c>
      <c r="K757" s="8" t="s">
        <v>67</v>
      </c>
      <c r="L757" s="7">
        <v>8.0</v>
      </c>
      <c r="M757" s="7" t="s">
        <v>33</v>
      </c>
      <c r="N757" s="13" t="s">
        <v>2627</v>
      </c>
      <c r="O757" s="15" t="s">
        <v>2628</v>
      </c>
    </row>
    <row r="758">
      <c r="A758" s="5">
        <v>859.0</v>
      </c>
      <c r="B758" s="6">
        <v>45991.91011009259</v>
      </c>
      <c r="C758" s="7" t="s">
        <v>760</v>
      </c>
      <c r="D758" s="8" t="s">
        <v>1190</v>
      </c>
      <c r="E758" s="8" t="s">
        <v>1042</v>
      </c>
      <c r="F758" s="7" t="s">
        <v>1191</v>
      </c>
      <c r="G758" s="9" t="s">
        <v>144</v>
      </c>
      <c r="H758" s="7" t="s">
        <v>730</v>
      </c>
      <c r="I758" s="7" t="s">
        <v>2629</v>
      </c>
      <c r="J758" s="10">
        <v>45990.0</v>
      </c>
      <c r="K758" s="8" t="s">
        <v>2630</v>
      </c>
      <c r="L758" s="7">
        <v>4.0</v>
      </c>
      <c r="M758" s="7" t="s">
        <v>2631</v>
      </c>
      <c r="N758" s="13" t="s">
        <v>2632</v>
      </c>
      <c r="O758" s="15" t="s">
        <v>2633</v>
      </c>
    </row>
    <row r="759">
      <c r="A759" s="5">
        <v>860.0</v>
      </c>
      <c r="B759" s="6">
        <v>45991.91107277777</v>
      </c>
      <c r="C759" s="7" t="s">
        <v>15</v>
      </c>
      <c r="D759" s="8" t="s">
        <v>2547</v>
      </c>
      <c r="E759" s="8" t="s">
        <v>110</v>
      </c>
      <c r="F759" s="7" t="s">
        <v>2548</v>
      </c>
      <c r="G759" s="9" t="s">
        <v>144</v>
      </c>
      <c r="H759" s="7" t="s">
        <v>730</v>
      </c>
      <c r="I759" s="7" t="s">
        <v>731</v>
      </c>
      <c r="J759" s="10">
        <v>45984.0</v>
      </c>
      <c r="K759" s="8" t="s">
        <v>1922</v>
      </c>
      <c r="L759" s="7">
        <v>2.0</v>
      </c>
      <c r="M759" s="7" t="s">
        <v>2634</v>
      </c>
      <c r="N759" s="13" t="s">
        <v>2635</v>
      </c>
      <c r="O759" s="15" t="s">
        <v>2636</v>
      </c>
    </row>
    <row r="760">
      <c r="A760" s="5">
        <v>861.0</v>
      </c>
      <c r="B760" s="6">
        <v>45991.91263805555</v>
      </c>
      <c r="C760" s="7" t="s">
        <v>125</v>
      </c>
      <c r="D760" s="8" t="s">
        <v>2590</v>
      </c>
      <c r="E760" s="8" t="s">
        <v>1185</v>
      </c>
      <c r="F760" s="7" t="s">
        <v>2591</v>
      </c>
      <c r="G760" s="9" t="s">
        <v>144</v>
      </c>
      <c r="H760" s="7" t="s">
        <v>598</v>
      </c>
      <c r="I760" s="7" t="s">
        <v>599</v>
      </c>
      <c r="J760" s="10">
        <v>45963.0</v>
      </c>
      <c r="K760" s="8" t="s">
        <v>22</v>
      </c>
      <c r="L760" s="7">
        <v>4.0</v>
      </c>
      <c r="M760" s="7" t="s">
        <v>2592</v>
      </c>
      <c r="N760" s="13" t="s">
        <v>2637</v>
      </c>
      <c r="O760" s="15" t="s">
        <v>2638</v>
      </c>
    </row>
    <row r="761">
      <c r="A761" s="5">
        <v>862.0</v>
      </c>
      <c r="B761" s="6">
        <v>45991.91400106481</v>
      </c>
      <c r="C761" s="7" t="s">
        <v>125</v>
      </c>
      <c r="D761" s="8" t="s">
        <v>2612</v>
      </c>
      <c r="E761" s="8" t="s">
        <v>1023</v>
      </c>
      <c r="F761" s="7" t="s">
        <v>2613</v>
      </c>
      <c r="G761" s="9" t="s">
        <v>159</v>
      </c>
      <c r="H761" s="7" t="s">
        <v>608</v>
      </c>
      <c r="I761" s="7" t="s">
        <v>263</v>
      </c>
      <c r="J761" s="10">
        <v>45949.0</v>
      </c>
      <c r="K761" s="8" t="s">
        <v>499</v>
      </c>
      <c r="L761" s="7">
        <v>5.0</v>
      </c>
      <c r="M761" s="7" t="s">
        <v>2616</v>
      </c>
      <c r="N761" s="13" t="s">
        <v>2639</v>
      </c>
      <c r="O761" s="15" t="s">
        <v>2640</v>
      </c>
    </row>
    <row r="762">
      <c r="A762" s="5">
        <v>863.0</v>
      </c>
      <c r="B762" s="6">
        <v>45991.91407321759</v>
      </c>
      <c r="C762" s="7" t="s">
        <v>15</v>
      </c>
      <c r="D762" s="8" t="s">
        <v>2641</v>
      </c>
      <c r="E762" s="8" t="s">
        <v>1152</v>
      </c>
      <c r="F762" s="7" t="s">
        <v>2642</v>
      </c>
      <c r="G762" s="9" t="s">
        <v>181</v>
      </c>
      <c r="H762" s="7" t="s">
        <v>406</v>
      </c>
      <c r="I762" s="7" t="s">
        <v>2643</v>
      </c>
      <c r="J762" s="10">
        <v>45823.0</v>
      </c>
      <c r="K762" s="8" t="s">
        <v>22</v>
      </c>
      <c r="L762" s="7">
        <v>4.0</v>
      </c>
      <c r="M762" s="7" t="s">
        <v>95</v>
      </c>
      <c r="N762" s="13" t="s">
        <v>2644</v>
      </c>
      <c r="O762" s="15" t="s">
        <v>2645</v>
      </c>
    </row>
    <row r="763">
      <c r="A763" s="5">
        <v>864.0</v>
      </c>
      <c r="B763" s="6">
        <v>45991.9150958449</v>
      </c>
      <c r="C763" s="7" t="s">
        <v>760</v>
      </c>
      <c r="D763" s="8" t="s">
        <v>2646</v>
      </c>
      <c r="E763" s="8" t="s">
        <v>919</v>
      </c>
      <c r="F763" s="7" t="s">
        <v>2647</v>
      </c>
      <c r="G763" s="9" t="s">
        <v>84</v>
      </c>
      <c r="H763" s="7" t="s">
        <v>2648</v>
      </c>
      <c r="I763" s="7" t="s">
        <v>1192</v>
      </c>
      <c r="J763" s="10">
        <v>45916.0</v>
      </c>
      <c r="K763" s="8" t="s">
        <v>499</v>
      </c>
      <c r="L763" s="7">
        <v>8.0</v>
      </c>
      <c r="M763" s="7" t="s">
        <v>2649</v>
      </c>
      <c r="N763" s="13" t="s">
        <v>2650</v>
      </c>
      <c r="O763" s="15" t="s">
        <v>2651</v>
      </c>
    </row>
    <row r="764">
      <c r="A764" s="5">
        <v>865.0</v>
      </c>
      <c r="B764" s="6">
        <v>45991.91524854167</v>
      </c>
      <c r="C764" s="7" t="s">
        <v>125</v>
      </c>
      <c r="D764" s="8" t="s">
        <v>2590</v>
      </c>
      <c r="E764" s="8" t="s">
        <v>1185</v>
      </c>
      <c r="F764" s="7" t="s">
        <v>2591</v>
      </c>
      <c r="G764" s="9" t="s">
        <v>19</v>
      </c>
      <c r="H764" s="7" t="s">
        <v>2652</v>
      </c>
      <c r="I764" s="7" t="s">
        <v>174</v>
      </c>
      <c r="J764" s="10">
        <v>45854.0</v>
      </c>
      <c r="K764" s="8" t="s">
        <v>175</v>
      </c>
      <c r="L764" s="7">
        <v>6.0</v>
      </c>
      <c r="M764" s="7" t="s">
        <v>106</v>
      </c>
      <c r="N764" s="13" t="s">
        <v>2653</v>
      </c>
      <c r="O764" s="15" t="s">
        <v>2654</v>
      </c>
    </row>
    <row r="765">
      <c r="A765" s="5">
        <v>866.0</v>
      </c>
      <c r="B765" s="6">
        <v>45991.916593229165</v>
      </c>
      <c r="C765" s="7" t="s">
        <v>15</v>
      </c>
      <c r="D765" s="8" t="s">
        <v>2641</v>
      </c>
      <c r="E765" s="8" t="s">
        <v>1152</v>
      </c>
      <c r="F765" s="7" t="s">
        <v>2642</v>
      </c>
      <c r="G765" s="9" t="s">
        <v>19</v>
      </c>
      <c r="H765" s="7" t="s">
        <v>2655</v>
      </c>
      <c r="I765" s="7" t="s">
        <v>2656</v>
      </c>
      <c r="J765" s="10">
        <v>45843.0</v>
      </c>
      <c r="K765" s="8" t="s">
        <v>49</v>
      </c>
      <c r="L765" s="7">
        <v>8.0</v>
      </c>
      <c r="M765" s="7" t="s">
        <v>2391</v>
      </c>
      <c r="N765" s="13" t="s">
        <v>2657</v>
      </c>
      <c r="O765" s="15" t="s">
        <v>2658</v>
      </c>
    </row>
    <row r="766">
      <c r="A766" s="5">
        <v>867.0</v>
      </c>
      <c r="B766" s="6">
        <v>45991.91713594907</v>
      </c>
      <c r="C766" s="7" t="s">
        <v>15</v>
      </c>
      <c r="D766" s="8" t="s">
        <v>2547</v>
      </c>
      <c r="E766" s="8" t="s">
        <v>110</v>
      </c>
      <c r="F766" s="7" t="s">
        <v>2548</v>
      </c>
      <c r="G766" s="9" t="s">
        <v>209</v>
      </c>
      <c r="H766" s="7" t="s">
        <v>824</v>
      </c>
      <c r="I766" s="7" t="s">
        <v>825</v>
      </c>
      <c r="J766" s="10">
        <v>45913.0</v>
      </c>
      <c r="K766" s="8" t="s">
        <v>2659</v>
      </c>
      <c r="L766" s="7">
        <v>1.0</v>
      </c>
      <c r="M766" s="7" t="s">
        <v>2660</v>
      </c>
      <c r="N766" s="13" t="s">
        <v>2661</v>
      </c>
      <c r="O766" s="15" t="s">
        <v>2662</v>
      </c>
    </row>
    <row r="767">
      <c r="A767" s="5">
        <v>868.0</v>
      </c>
      <c r="B767" s="6">
        <v>45991.91823130787</v>
      </c>
      <c r="C767" s="7" t="s">
        <v>15</v>
      </c>
      <c r="D767" s="8" t="s">
        <v>2641</v>
      </c>
      <c r="E767" s="8" t="s">
        <v>1152</v>
      </c>
      <c r="F767" s="7" t="s">
        <v>2642</v>
      </c>
      <c r="G767" s="9" t="s">
        <v>19</v>
      </c>
      <c r="H767" s="7" t="s">
        <v>2655</v>
      </c>
      <c r="I767" s="7" t="s">
        <v>2663</v>
      </c>
      <c r="J767" s="10">
        <v>45844.0</v>
      </c>
      <c r="K767" s="8" t="s">
        <v>49</v>
      </c>
      <c r="L767" s="7">
        <v>8.0</v>
      </c>
      <c r="M767" s="7" t="s">
        <v>87</v>
      </c>
      <c r="N767" s="13" t="s">
        <v>2664</v>
      </c>
      <c r="O767" s="15" t="s">
        <v>2665</v>
      </c>
    </row>
    <row r="768">
      <c r="A768" s="5">
        <v>869.0</v>
      </c>
      <c r="B768" s="6">
        <v>45991.919619837965</v>
      </c>
      <c r="C768" s="7" t="s">
        <v>125</v>
      </c>
      <c r="D768" s="8" t="s">
        <v>2612</v>
      </c>
      <c r="E768" s="8" t="s">
        <v>1023</v>
      </c>
      <c r="F768" s="7" t="s">
        <v>2613</v>
      </c>
      <c r="G768" s="9" t="s">
        <v>159</v>
      </c>
      <c r="H768" s="7" t="s">
        <v>345</v>
      </c>
      <c r="I768" s="7" t="s">
        <v>190</v>
      </c>
      <c r="J768" s="10">
        <v>45956.0</v>
      </c>
      <c r="K768" s="8" t="s">
        <v>362</v>
      </c>
      <c r="L768" s="7">
        <v>4.0</v>
      </c>
      <c r="M768" s="7" t="s">
        <v>2616</v>
      </c>
      <c r="N768" s="13" t="s">
        <v>2666</v>
      </c>
      <c r="O768" s="15" t="s">
        <v>2667</v>
      </c>
    </row>
    <row r="769">
      <c r="A769" s="5">
        <v>870.0</v>
      </c>
      <c r="B769" s="6">
        <v>45991.91977040509</v>
      </c>
      <c r="C769" s="7" t="s">
        <v>15</v>
      </c>
      <c r="D769" s="8" t="s">
        <v>2641</v>
      </c>
      <c r="E769" s="8" t="s">
        <v>1152</v>
      </c>
      <c r="F769" s="7" t="s">
        <v>2642</v>
      </c>
      <c r="G769" s="9" t="s">
        <v>19</v>
      </c>
      <c r="H769" s="7" t="s">
        <v>44</v>
      </c>
      <c r="I769" s="7" t="s">
        <v>37</v>
      </c>
      <c r="J769" s="10">
        <v>45839.0</v>
      </c>
      <c r="K769" s="8" t="s">
        <v>67</v>
      </c>
      <c r="L769" s="7">
        <v>8.0</v>
      </c>
      <c r="M769" s="7" t="s">
        <v>33</v>
      </c>
      <c r="N769" s="13" t="s">
        <v>2668</v>
      </c>
      <c r="O769" s="15" t="s">
        <v>2669</v>
      </c>
    </row>
    <row r="770">
      <c r="A770" s="5">
        <v>871.0</v>
      </c>
      <c r="B770" s="6">
        <v>45991.92028199074</v>
      </c>
      <c r="C770" s="7" t="s">
        <v>760</v>
      </c>
      <c r="D770" s="8" t="s">
        <v>2670</v>
      </c>
      <c r="E770" s="8" t="s">
        <v>1725</v>
      </c>
      <c r="F770" s="7" t="s">
        <v>2671</v>
      </c>
      <c r="G770" s="9" t="s">
        <v>181</v>
      </c>
      <c r="H770" s="7" t="s">
        <v>1222</v>
      </c>
      <c r="I770" s="7" t="s">
        <v>314</v>
      </c>
      <c r="J770" s="10">
        <v>45951.0</v>
      </c>
      <c r="K770" s="8" t="s">
        <v>2672</v>
      </c>
      <c r="L770" s="7">
        <v>1.0</v>
      </c>
      <c r="M770" s="7" t="s">
        <v>33</v>
      </c>
      <c r="N770" s="13" t="s">
        <v>2673</v>
      </c>
      <c r="O770" s="15" t="s">
        <v>2674</v>
      </c>
    </row>
    <row r="771">
      <c r="A771" s="5">
        <v>872.0</v>
      </c>
      <c r="B771" s="6">
        <v>45991.92100163194</v>
      </c>
      <c r="C771" s="7" t="s">
        <v>15</v>
      </c>
      <c r="D771" s="8" t="s">
        <v>2675</v>
      </c>
      <c r="E771" s="8" t="s">
        <v>287</v>
      </c>
      <c r="F771" s="7" t="s">
        <v>2676</v>
      </c>
      <c r="G771" s="9" t="s">
        <v>181</v>
      </c>
      <c r="H771" s="7" t="s">
        <v>2677</v>
      </c>
      <c r="I771" s="7" t="s">
        <v>314</v>
      </c>
      <c r="J771" s="10">
        <v>45949.0</v>
      </c>
      <c r="K771" s="8" t="s">
        <v>635</v>
      </c>
      <c r="L771" s="7">
        <v>4.0</v>
      </c>
      <c r="M771" s="7" t="s">
        <v>636</v>
      </c>
      <c r="N771" s="13" t="s">
        <v>2678</v>
      </c>
      <c r="O771" s="15" t="s">
        <v>2679</v>
      </c>
    </row>
    <row r="772">
      <c r="A772" s="5">
        <v>873.0</v>
      </c>
      <c r="B772" s="6">
        <v>45991.92123799768</v>
      </c>
      <c r="C772" s="7" t="s">
        <v>26</v>
      </c>
      <c r="D772" s="8" t="s">
        <v>2172</v>
      </c>
      <c r="E772" s="8" t="s">
        <v>411</v>
      </c>
      <c r="F772" s="7" t="s">
        <v>2173</v>
      </c>
      <c r="G772" s="9" t="s">
        <v>19</v>
      </c>
      <c r="H772" s="7" t="s">
        <v>955</v>
      </c>
      <c r="I772" s="7" t="s">
        <v>956</v>
      </c>
      <c r="J772" s="10">
        <v>45977.0</v>
      </c>
      <c r="K772" s="8" t="s">
        <v>2680</v>
      </c>
      <c r="L772" s="7">
        <v>4.0</v>
      </c>
      <c r="M772" s="7" t="s">
        <v>87</v>
      </c>
      <c r="N772" s="13" t="s">
        <v>2681</v>
      </c>
      <c r="O772" s="15" t="s">
        <v>2682</v>
      </c>
    </row>
    <row r="773">
      <c r="A773" s="5">
        <v>874.0</v>
      </c>
      <c r="B773" s="6">
        <v>45991.922343645834</v>
      </c>
      <c r="C773" s="7" t="s">
        <v>15</v>
      </c>
      <c r="D773" s="8" t="s">
        <v>2683</v>
      </c>
      <c r="E773" s="8" t="s">
        <v>919</v>
      </c>
      <c r="F773" s="7" t="s">
        <v>2684</v>
      </c>
      <c r="G773" s="9" t="s">
        <v>181</v>
      </c>
      <c r="H773" s="7" t="s">
        <v>2685</v>
      </c>
      <c r="I773" s="7" t="s">
        <v>231</v>
      </c>
      <c r="J773" s="10">
        <v>45859.0</v>
      </c>
      <c r="K773" s="8" t="s">
        <v>22</v>
      </c>
      <c r="L773" s="7">
        <v>5.0</v>
      </c>
      <c r="M773" s="7" t="s">
        <v>754</v>
      </c>
      <c r="N773" s="13" t="s">
        <v>2686</v>
      </c>
      <c r="O773" s="15" t="s">
        <v>2687</v>
      </c>
    </row>
    <row r="774">
      <c r="A774" s="5">
        <v>875.0</v>
      </c>
      <c r="B774" s="6">
        <v>45991.923529374995</v>
      </c>
      <c r="C774" s="7" t="s">
        <v>15</v>
      </c>
      <c r="D774" s="8" t="s">
        <v>2675</v>
      </c>
      <c r="E774" s="8" t="s">
        <v>287</v>
      </c>
      <c r="F774" s="7" t="s">
        <v>2676</v>
      </c>
      <c r="G774" s="9" t="s">
        <v>181</v>
      </c>
      <c r="H774" s="7" t="s">
        <v>2677</v>
      </c>
      <c r="I774" s="7" t="s">
        <v>314</v>
      </c>
      <c r="J774" s="10">
        <v>45950.0</v>
      </c>
      <c r="K774" s="8" t="s">
        <v>639</v>
      </c>
      <c r="L774" s="7">
        <v>4.0</v>
      </c>
      <c r="M774" s="7" t="s">
        <v>636</v>
      </c>
      <c r="N774" s="13" t="s">
        <v>2688</v>
      </c>
      <c r="O774" s="15" t="s">
        <v>2689</v>
      </c>
    </row>
    <row r="775">
      <c r="A775" s="5">
        <v>876.0</v>
      </c>
      <c r="B775" s="6">
        <v>45991.92414822917</v>
      </c>
      <c r="C775" s="7" t="s">
        <v>125</v>
      </c>
      <c r="D775" s="8" t="s">
        <v>2590</v>
      </c>
      <c r="E775" s="8" t="s">
        <v>1185</v>
      </c>
      <c r="F775" s="7" t="s">
        <v>2591</v>
      </c>
      <c r="G775" s="9" t="s">
        <v>181</v>
      </c>
      <c r="H775" s="7" t="s">
        <v>1222</v>
      </c>
      <c r="I775" s="7" t="s">
        <v>231</v>
      </c>
      <c r="J775" s="10">
        <v>45826.0</v>
      </c>
      <c r="K775" s="8" t="s">
        <v>310</v>
      </c>
      <c r="L775" s="7">
        <v>1.0</v>
      </c>
      <c r="M775" s="7" t="s">
        <v>553</v>
      </c>
      <c r="N775" s="13" t="s">
        <v>2690</v>
      </c>
      <c r="O775" s="16"/>
    </row>
    <row r="776">
      <c r="A776" s="5"/>
      <c r="B776" s="16"/>
      <c r="C776" s="16"/>
      <c r="D776" s="16"/>
      <c r="E776" s="16"/>
      <c r="F776" s="16"/>
      <c r="G776" s="18"/>
      <c r="H776" s="16"/>
      <c r="I776" s="16"/>
      <c r="J776" s="16"/>
      <c r="K776" s="16"/>
      <c r="L776" s="16"/>
      <c r="M776" s="16"/>
      <c r="N776" s="16"/>
      <c r="O776" s="15" t="s">
        <v>2691</v>
      </c>
    </row>
    <row r="777">
      <c r="A777" s="5">
        <v>878.0</v>
      </c>
      <c r="B777" s="6">
        <v>45991.925746064815</v>
      </c>
      <c r="C777" s="7" t="s">
        <v>760</v>
      </c>
      <c r="D777" s="8" t="s">
        <v>2692</v>
      </c>
      <c r="E777" s="8" t="s">
        <v>1248</v>
      </c>
      <c r="F777" s="7" t="s">
        <v>2693</v>
      </c>
      <c r="G777" s="9" t="s">
        <v>19</v>
      </c>
      <c r="H777" s="7" t="s">
        <v>2694</v>
      </c>
      <c r="I777" s="7" t="s">
        <v>2602</v>
      </c>
      <c r="J777" s="10">
        <v>45907.0</v>
      </c>
      <c r="K777" s="8" t="s">
        <v>49</v>
      </c>
      <c r="L777" s="7">
        <v>8.0</v>
      </c>
      <c r="M777" s="7" t="s">
        <v>33</v>
      </c>
      <c r="N777" s="13" t="s">
        <v>2695</v>
      </c>
      <c r="O777" s="15" t="s">
        <v>2696</v>
      </c>
    </row>
    <row r="778">
      <c r="A778" s="5">
        <v>879.0</v>
      </c>
      <c r="B778" s="6">
        <v>45991.926147245365</v>
      </c>
      <c r="C778" s="7" t="s">
        <v>125</v>
      </c>
      <c r="D778" s="8" t="s">
        <v>2569</v>
      </c>
      <c r="E778" s="8" t="s">
        <v>1197</v>
      </c>
      <c r="F778" s="7" t="s">
        <v>2570</v>
      </c>
      <c r="G778" s="9" t="s">
        <v>144</v>
      </c>
      <c r="H778" s="7" t="s">
        <v>1578</v>
      </c>
      <c r="I778" s="7" t="s">
        <v>2697</v>
      </c>
      <c r="J778" s="10">
        <v>45955.0</v>
      </c>
      <c r="K778" s="8" t="s">
        <v>22</v>
      </c>
      <c r="L778" s="7">
        <v>4.0</v>
      </c>
      <c r="M778" s="7" t="s">
        <v>2698</v>
      </c>
      <c r="N778" s="13" t="s">
        <v>2699</v>
      </c>
      <c r="O778" s="15" t="s">
        <v>2700</v>
      </c>
    </row>
    <row r="779">
      <c r="A779" s="5">
        <v>880.0</v>
      </c>
      <c r="B779" s="6">
        <v>45991.92654034722</v>
      </c>
      <c r="C779" s="7" t="s">
        <v>125</v>
      </c>
      <c r="D779" s="8" t="s">
        <v>2701</v>
      </c>
      <c r="E779" s="8" t="s">
        <v>1185</v>
      </c>
      <c r="F779" s="7" t="s">
        <v>2591</v>
      </c>
      <c r="G779" s="9" t="s">
        <v>144</v>
      </c>
      <c r="H779" s="7" t="s">
        <v>2702</v>
      </c>
      <c r="I779" s="7" t="s">
        <v>456</v>
      </c>
      <c r="J779" s="10">
        <v>45813.0</v>
      </c>
      <c r="K779" s="8" t="s">
        <v>2703</v>
      </c>
      <c r="L779" s="7">
        <v>1.0</v>
      </c>
      <c r="M779" s="7" t="s">
        <v>2704</v>
      </c>
      <c r="N779" s="13" t="s">
        <v>2705</v>
      </c>
      <c r="O779" s="15" t="s">
        <v>2706</v>
      </c>
    </row>
    <row r="780">
      <c r="A780" s="5">
        <v>881.0</v>
      </c>
      <c r="B780" s="6">
        <v>45991.926734837965</v>
      </c>
      <c r="C780" s="7" t="s">
        <v>15</v>
      </c>
      <c r="D780" s="8" t="s">
        <v>2044</v>
      </c>
      <c r="E780" s="8" t="s">
        <v>134</v>
      </c>
      <c r="F780" s="7" t="s">
        <v>2045</v>
      </c>
      <c r="G780" s="9" t="s">
        <v>19</v>
      </c>
      <c r="H780" s="7" t="s">
        <v>2707</v>
      </c>
      <c r="I780" s="7" t="s">
        <v>2708</v>
      </c>
      <c r="J780" s="10">
        <v>45954.0</v>
      </c>
      <c r="K780" s="8" t="s">
        <v>22</v>
      </c>
      <c r="L780" s="7">
        <v>8.0</v>
      </c>
      <c r="M780" s="7" t="s">
        <v>445</v>
      </c>
      <c r="N780" s="13" t="s">
        <v>2709</v>
      </c>
      <c r="O780" s="15" t="s">
        <v>2710</v>
      </c>
    </row>
    <row r="781">
      <c r="A781" s="5">
        <v>883.0</v>
      </c>
      <c r="B781" s="6">
        <v>45991.92884634259</v>
      </c>
      <c r="C781" s="7" t="s">
        <v>15</v>
      </c>
      <c r="D781" s="8" t="s">
        <v>2683</v>
      </c>
      <c r="E781" s="8" t="s">
        <v>919</v>
      </c>
      <c r="F781" s="7" t="s">
        <v>2684</v>
      </c>
      <c r="G781" s="9" t="s">
        <v>181</v>
      </c>
      <c r="H781" s="7" t="s">
        <v>2711</v>
      </c>
      <c r="I781" s="7" t="s">
        <v>231</v>
      </c>
      <c r="J781" s="10">
        <v>45859.0</v>
      </c>
      <c r="K781" s="8" t="s">
        <v>685</v>
      </c>
      <c r="L781" s="7">
        <v>5.0</v>
      </c>
      <c r="M781" s="7" t="s">
        <v>2391</v>
      </c>
      <c r="N781" s="13" t="s">
        <v>2712</v>
      </c>
      <c r="O781" s="15" t="s">
        <v>2713</v>
      </c>
    </row>
    <row r="782">
      <c r="A782" s="5">
        <v>885.0</v>
      </c>
      <c r="B782" s="6">
        <v>45991.92931221065</v>
      </c>
      <c r="C782" s="7" t="s">
        <v>760</v>
      </c>
      <c r="D782" s="8" t="s">
        <v>2692</v>
      </c>
      <c r="E782" s="8" t="s">
        <v>1248</v>
      </c>
      <c r="F782" s="7" t="s">
        <v>2714</v>
      </c>
      <c r="G782" s="9" t="s">
        <v>415</v>
      </c>
      <c r="H782" s="7" t="s">
        <v>2715</v>
      </c>
      <c r="I782" s="7" t="s">
        <v>314</v>
      </c>
      <c r="J782" s="10">
        <v>45875.0</v>
      </c>
      <c r="K782" s="8" t="s">
        <v>22</v>
      </c>
      <c r="L782" s="7">
        <v>8.0</v>
      </c>
      <c r="M782" s="7" t="s">
        <v>1325</v>
      </c>
      <c r="N782" s="13" t="s">
        <v>2716</v>
      </c>
      <c r="O782" s="15" t="s">
        <v>2717</v>
      </c>
    </row>
    <row r="783">
      <c r="A783" s="5">
        <v>886.0</v>
      </c>
      <c r="B783" s="6">
        <v>45991.92937763889</v>
      </c>
      <c r="C783" s="7" t="s">
        <v>760</v>
      </c>
      <c r="D783" s="8" t="s">
        <v>2718</v>
      </c>
      <c r="E783" s="8" t="s">
        <v>91</v>
      </c>
      <c r="F783" s="7" t="s">
        <v>2719</v>
      </c>
      <c r="G783" s="9" t="s">
        <v>144</v>
      </c>
      <c r="H783" s="7" t="s">
        <v>2720</v>
      </c>
      <c r="I783" s="7" t="s">
        <v>2074</v>
      </c>
      <c r="J783" s="10">
        <v>45991.0</v>
      </c>
      <c r="K783" s="8" t="s">
        <v>2721</v>
      </c>
      <c r="L783" s="7">
        <v>4.0</v>
      </c>
      <c r="M783" s="7" t="s">
        <v>2075</v>
      </c>
      <c r="N783" s="13" t="s">
        <v>2722</v>
      </c>
      <c r="O783" s="15" t="s">
        <v>2723</v>
      </c>
    </row>
    <row r="784">
      <c r="A784" s="5">
        <v>888.0</v>
      </c>
      <c r="B784" s="6">
        <v>45991.93095076389</v>
      </c>
      <c r="C784" s="7" t="s">
        <v>125</v>
      </c>
      <c r="D784" s="8" t="s">
        <v>2590</v>
      </c>
      <c r="E784" s="8" t="s">
        <v>1185</v>
      </c>
      <c r="F784" s="7" t="s">
        <v>2591</v>
      </c>
      <c r="G784" s="9" t="s">
        <v>159</v>
      </c>
      <c r="H784" s="7" t="s">
        <v>345</v>
      </c>
      <c r="I784" s="7" t="s">
        <v>2724</v>
      </c>
      <c r="J784" s="10">
        <v>45956.0</v>
      </c>
      <c r="K784" s="8" t="s">
        <v>2725</v>
      </c>
      <c r="L784" s="7">
        <v>5.0</v>
      </c>
      <c r="M784" s="7" t="s">
        <v>2726</v>
      </c>
      <c r="N784" s="13" t="s">
        <v>2727</v>
      </c>
      <c r="O784" s="15" t="s">
        <v>2728</v>
      </c>
    </row>
    <row r="785">
      <c r="A785" s="5">
        <v>889.0</v>
      </c>
      <c r="B785" s="6">
        <v>45991.93127792824</v>
      </c>
      <c r="C785" s="7" t="s">
        <v>125</v>
      </c>
      <c r="D785" s="8" t="s">
        <v>2582</v>
      </c>
      <c r="E785" s="8" t="s">
        <v>404</v>
      </c>
      <c r="F785" s="7" t="s">
        <v>2583</v>
      </c>
      <c r="G785" s="9" t="s">
        <v>209</v>
      </c>
      <c r="H785" s="7" t="s">
        <v>2729</v>
      </c>
      <c r="I785" s="7" t="s">
        <v>2730</v>
      </c>
      <c r="J785" s="10">
        <v>45947.0</v>
      </c>
      <c r="K785" s="8" t="s">
        <v>2731</v>
      </c>
      <c r="L785" s="7">
        <v>3.0</v>
      </c>
      <c r="M785" s="7" t="s">
        <v>1823</v>
      </c>
      <c r="N785" s="13" t="s">
        <v>2732</v>
      </c>
      <c r="O785" s="15" t="s">
        <v>2733</v>
      </c>
    </row>
    <row r="786">
      <c r="A786" s="5">
        <v>891.0</v>
      </c>
      <c r="B786" s="6">
        <v>45991.931999733795</v>
      </c>
      <c r="C786" s="7" t="s">
        <v>760</v>
      </c>
      <c r="D786" s="8" t="s">
        <v>1432</v>
      </c>
      <c r="E786" s="8" t="s">
        <v>1152</v>
      </c>
      <c r="F786" s="7" t="s">
        <v>1433</v>
      </c>
      <c r="G786" s="9" t="s">
        <v>84</v>
      </c>
      <c r="H786" s="7" t="s">
        <v>2734</v>
      </c>
      <c r="I786" s="7" t="s">
        <v>1192</v>
      </c>
      <c r="J786" s="10">
        <v>45977.0</v>
      </c>
      <c r="K786" s="8" t="s">
        <v>22</v>
      </c>
      <c r="L786" s="7">
        <v>8.0</v>
      </c>
      <c r="M786" s="7" t="s">
        <v>2735</v>
      </c>
      <c r="N786" s="13" t="s">
        <v>2736</v>
      </c>
      <c r="O786" s="15" t="s">
        <v>2737</v>
      </c>
    </row>
    <row r="787">
      <c r="A787" s="5">
        <v>892.0</v>
      </c>
      <c r="B787" s="6">
        <v>45991.93254829861</v>
      </c>
      <c r="C787" s="7" t="s">
        <v>15</v>
      </c>
      <c r="D787" s="8" t="s">
        <v>410</v>
      </c>
      <c r="E787" s="8" t="s">
        <v>411</v>
      </c>
      <c r="F787" s="7" t="s">
        <v>412</v>
      </c>
      <c r="G787" s="9" t="s">
        <v>159</v>
      </c>
      <c r="H787" s="7" t="s">
        <v>2738</v>
      </c>
      <c r="I787" s="7" t="s">
        <v>2739</v>
      </c>
      <c r="J787" s="10">
        <v>45858.0</v>
      </c>
      <c r="K787" s="8" t="s">
        <v>362</v>
      </c>
      <c r="L787" s="7">
        <v>4.0</v>
      </c>
      <c r="M787" s="7" t="s">
        <v>2740</v>
      </c>
      <c r="N787" s="13" t="s">
        <v>2741</v>
      </c>
      <c r="O787" s="15" t="s">
        <v>2742</v>
      </c>
    </row>
    <row r="788">
      <c r="A788" s="5">
        <v>894.0</v>
      </c>
      <c r="B788" s="6">
        <v>45991.93276575231</v>
      </c>
      <c r="C788" s="7" t="s">
        <v>15</v>
      </c>
      <c r="D788" s="8" t="s">
        <v>2683</v>
      </c>
      <c r="E788" s="8" t="s">
        <v>919</v>
      </c>
      <c r="F788" s="7" t="s">
        <v>2684</v>
      </c>
      <c r="G788" s="9" t="s">
        <v>19</v>
      </c>
      <c r="H788" s="7" t="s">
        <v>406</v>
      </c>
      <c r="I788" s="7" t="s">
        <v>94</v>
      </c>
      <c r="J788" s="10">
        <v>45823.0</v>
      </c>
      <c r="K788" s="8" t="s">
        <v>22</v>
      </c>
      <c r="L788" s="7">
        <v>4.0</v>
      </c>
      <c r="M788" s="7" t="s">
        <v>95</v>
      </c>
      <c r="N788" s="13" t="s">
        <v>2743</v>
      </c>
      <c r="O788" s="15" t="s">
        <v>2744</v>
      </c>
    </row>
    <row r="789">
      <c r="A789" s="5">
        <v>895.0</v>
      </c>
      <c r="B789" s="6">
        <v>45991.93342613426</v>
      </c>
      <c r="C789" s="7" t="s">
        <v>760</v>
      </c>
      <c r="D789" s="8" t="s">
        <v>2745</v>
      </c>
      <c r="E789" s="8" t="s">
        <v>214</v>
      </c>
      <c r="F789" s="7" t="s">
        <v>2746</v>
      </c>
      <c r="G789" s="9" t="s">
        <v>19</v>
      </c>
      <c r="H789" s="7" t="s">
        <v>2747</v>
      </c>
      <c r="I789" s="7" t="s">
        <v>905</v>
      </c>
      <c r="J789" s="10">
        <v>45907.0</v>
      </c>
      <c r="K789" s="8" t="s">
        <v>49</v>
      </c>
      <c r="L789" s="7">
        <v>8.0</v>
      </c>
      <c r="M789" s="7" t="s">
        <v>2748</v>
      </c>
      <c r="N789" s="13" t="s">
        <v>2749</v>
      </c>
      <c r="O789" s="15" t="s">
        <v>2750</v>
      </c>
    </row>
    <row r="790">
      <c r="A790" s="5">
        <v>896.0</v>
      </c>
      <c r="B790" s="6">
        <v>45991.93350474537</v>
      </c>
      <c r="C790" s="7" t="s">
        <v>760</v>
      </c>
      <c r="D790" s="8" t="s">
        <v>902</v>
      </c>
      <c r="E790" s="8" t="s">
        <v>28</v>
      </c>
      <c r="F790" s="7" t="s">
        <v>1393</v>
      </c>
      <c r="G790" s="9" t="s">
        <v>84</v>
      </c>
      <c r="H790" s="7" t="s">
        <v>85</v>
      </c>
      <c r="I790" s="7" t="s">
        <v>1192</v>
      </c>
      <c r="J790" s="10">
        <v>45951.0</v>
      </c>
      <c r="K790" s="8" t="s">
        <v>2751</v>
      </c>
      <c r="L790" s="7">
        <v>8.0</v>
      </c>
      <c r="M790" s="7" t="s">
        <v>2752</v>
      </c>
      <c r="N790" s="13" t="s">
        <v>2753</v>
      </c>
      <c r="O790" s="16"/>
    </row>
    <row r="791">
      <c r="A791" s="5"/>
      <c r="B791" s="16"/>
      <c r="C791" s="16"/>
      <c r="D791" s="16"/>
      <c r="E791" s="16"/>
      <c r="F791" s="16"/>
      <c r="G791" s="18"/>
      <c r="H791" s="16"/>
      <c r="I791" s="16"/>
      <c r="J791" s="16"/>
      <c r="K791" s="16"/>
      <c r="L791" s="16"/>
      <c r="M791" s="16"/>
      <c r="N791" s="16"/>
      <c r="O791" s="15" t="s">
        <v>2754</v>
      </c>
    </row>
    <row r="792">
      <c r="A792" s="5">
        <v>897.0</v>
      </c>
      <c r="B792" s="6">
        <v>45991.93414653935</v>
      </c>
      <c r="C792" s="7" t="s">
        <v>125</v>
      </c>
      <c r="D792" s="8" t="s">
        <v>2569</v>
      </c>
      <c r="E792" s="8" t="s">
        <v>1197</v>
      </c>
      <c r="F792" s="7" t="s">
        <v>2570</v>
      </c>
      <c r="G792" s="9" t="s">
        <v>209</v>
      </c>
      <c r="H792" s="7" t="s">
        <v>2729</v>
      </c>
      <c r="I792" s="7" t="s">
        <v>1864</v>
      </c>
      <c r="J792" s="10">
        <v>45947.0</v>
      </c>
      <c r="K792" s="8" t="s">
        <v>2731</v>
      </c>
      <c r="L792" s="7">
        <v>3.0</v>
      </c>
      <c r="M792" s="7" t="s">
        <v>1823</v>
      </c>
      <c r="N792" s="13" t="s">
        <v>2755</v>
      </c>
      <c r="O792" s="15" t="s">
        <v>2756</v>
      </c>
    </row>
    <row r="793">
      <c r="A793" s="5">
        <v>898.0</v>
      </c>
      <c r="B793" s="6">
        <v>45991.93471945602</v>
      </c>
      <c r="C793" s="7" t="s">
        <v>760</v>
      </c>
      <c r="D793" s="8" t="s">
        <v>2757</v>
      </c>
      <c r="E793" s="8" t="s">
        <v>1049</v>
      </c>
      <c r="F793" s="7" t="s">
        <v>2758</v>
      </c>
      <c r="G793" s="9" t="s">
        <v>181</v>
      </c>
      <c r="H793" s="7" t="s">
        <v>895</v>
      </c>
      <c r="I793" s="7" t="s">
        <v>279</v>
      </c>
      <c r="J793" s="10">
        <v>45973.0</v>
      </c>
      <c r="K793" s="8" t="s">
        <v>2759</v>
      </c>
      <c r="L793" s="7">
        <v>1.0</v>
      </c>
      <c r="M793" s="7" t="s">
        <v>33</v>
      </c>
      <c r="N793" s="13" t="s">
        <v>2760</v>
      </c>
      <c r="O793" s="15" t="s">
        <v>2761</v>
      </c>
    </row>
    <row r="794">
      <c r="A794" s="5"/>
      <c r="B794" s="16"/>
      <c r="C794" s="16"/>
      <c r="D794" s="16"/>
      <c r="E794" s="16"/>
      <c r="F794" s="16"/>
      <c r="G794" s="18"/>
      <c r="H794" s="16"/>
      <c r="I794" s="16"/>
      <c r="J794" s="16"/>
      <c r="K794" s="16"/>
      <c r="L794" s="16"/>
      <c r="M794" s="16"/>
      <c r="N794" s="16"/>
      <c r="O794" s="15" t="s">
        <v>2762</v>
      </c>
    </row>
    <row r="795">
      <c r="A795" s="5">
        <v>901.0</v>
      </c>
      <c r="B795" s="6">
        <v>45991.93718357639</v>
      </c>
      <c r="C795" s="7" t="s">
        <v>760</v>
      </c>
      <c r="D795" s="8" t="s">
        <v>1184</v>
      </c>
      <c r="E795" s="8" t="s">
        <v>1185</v>
      </c>
      <c r="F795" s="7" t="s">
        <v>1186</v>
      </c>
      <c r="G795" s="9" t="s">
        <v>144</v>
      </c>
      <c r="H795" s="7" t="s">
        <v>2763</v>
      </c>
      <c r="I795" s="7" t="s">
        <v>2764</v>
      </c>
      <c r="J795" s="10">
        <v>45970.0</v>
      </c>
      <c r="K795" s="8" t="s">
        <v>1521</v>
      </c>
      <c r="L795" s="7">
        <v>4.0</v>
      </c>
      <c r="M795" s="7" t="s">
        <v>2765</v>
      </c>
      <c r="N795" s="13" t="s">
        <v>2766</v>
      </c>
      <c r="O795" s="15" t="s">
        <v>2767</v>
      </c>
    </row>
    <row r="796">
      <c r="A796" s="5">
        <v>902.0</v>
      </c>
      <c r="B796" s="6">
        <v>45991.937867500004</v>
      </c>
      <c r="C796" s="7" t="s">
        <v>15</v>
      </c>
      <c r="D796" s="8" t="s">
        <v>2683</v>
      </c>
      <c r="E796" s="8" t="s">
        <v>919</v>
      </c>
      <c r="F796" s="7" t="s">
        <v>2684</v>
      </c>
      <c r="G796" s="9" t="s">
        <v>19</v>
      </c>
      <c r="H796" s="7" t="s">
        <v>497</v>
      </c>
      <c r="I796" s="7" t="s">
        <v>2768</v>
      </c>
      <c r="J796" s="10">
        <v>45836.0</v>
      </c>
      <c r="K796" s="8" t="s">
        <v>2769</v>
      </c>
      <c r="L796" s="7">
        <v>5.0</v>
      </c>
      <c r="M796" s="7" t="s">
        <v>2391</v>
      </c>
      <c r="N796" s="13" t="s">
        <v>2770</v>
      </c>
      <c r="O796" s="15" t="s">
        <v>2771</v>
      </c>
    </row>
    <row r="797">
      <c r="A797" s="5">
        <v>903.0</v>
      </c>
      <c r="B797" s="6">
        <v>45991.93982484954</v>
      </c>
      <c r="C797" s="7" t="s">
        <v>760</v>
      </c>
      <c r="D797" s="8" t="s">
        <v>1184</v>
      </c>
      <c r="E797" s="8" t="s">
        <v>1185</v>
      </c>
      <c r="F797" s="7" t="s">
        <v>1186</v>
      </c>
      <c r="G797" s="9" t="s">
        <v>209</v>
      </c>
      <c r="H797" s="7" t="s">
        <v>2772</v>
      </c>
      <c r="I797" s="7" t="s">
        <v>825</v>
      </c>
      <c r="J797" s="10">
        <v>45976.0</v>
      </c>
      <c r="K797" s="8" t="s">
        <v>1365</v>
      </c>
      <c r="L797" s="7">
        <v>4.0</v>
      </c>
      <c r="M797" s="7" t="s">
        <v>2773</v>
      </c>
      <c r="N797" s="13" t="s">
        <v>2774</v>
      </c>
      <c r="O797" s="15" t="s">
        <v>2775</v>
      </c>
    </row>
    <row r="798">
      <c r="A798" s="5">
        <v>904.0</v>
      </c>
      <c r="B798" s="6">
        <v>45991.94193190972</v>
      </c>
      <c r="C798" s="7" t="s">
        <v>15</v>
      </c>
      <c r="D798" s="8" t="s">
        <v>2683</v>
      </c>
      <c r="E798" s="8" t="s">
        <v>919</v>
      </c>
      <c r="F798" s="7" t="s">
        <v>2684</v>
      </c>
      <c r="G798" s="9" t="s">
        <v>19</v>
      </c>
      <c r="H798" s="7" t="s">
        <v>30</v>
      </c>
      <c r="I798" s="7" t="s">
        <v>31</v>
      </c>
      <c r="J798" s="10">
        <v>45825.0</v>
      </c>
      <c r="K798" s="8" t="s">
        <v>49</v>
      </c>
      <c r="L798" s="7">
        <v>8.0</v>
      </c>
      <c r="M798" s="7" t="s">
        <v>33</v>
      </c>
      <c r="N798" s="13" t="s">
        <v>2776</v>
      </c>
      <c r="O798" s="15" t="s">
        <v>2777</v>
      </c>
    </row>
    <row r="799">
      <c r="A799" s="5">
        <v>905.0</v>
      </c>
      <c r="B799" s="6">
        <v>45991.94449229167</v>
      </c>
      <c r="C799" s="7" t="s">
        <v>15</v>
      </c>
      <c r="D799" s="8" t="s">
        <v>2683</v>
      </c>
      <c r="E799" s="8" t="s">
        <v>919</v>
      </c>
      <c r="F799" s="7" t="s">
        <v>2684</v>
      </c>
      <c r="G799" s="9" t="s">
        <v>19</v>
      </c>
      <c r="H799" s="7" t="s">
        <v>30</v>
      </c>
      <c r="I799" s="7" t="s">
        <v>469</v>
      </c>
      <c r="J799" s="10">
        <v>45833.0</v>
      </c>
      <c r="K799" s="8" t="s">
        <v>49</v>
      </c>
      <c r="L799" s="7">
        <v>8.0</v>
      </c>
      <c r="M799" s="7" t="s">
        <v>33</v>
      </c>
      <c r="N799" s="13" t="s">
        <v>2778</v>
      </c>
      <c r="O799" s="15" t="s">
        <v>2779</v>
      </c>
    </row>
    <row r="800">
      <c r="A800" s="5">
        <v>906.0</v>
      </c>
      <c r="B800" s="6">
        <v>45991.94464956019</v>
      </c>
      <c r="C800" s="7" t="s">
        <v>15</v>
      </c>
      <c r="D800" s="8" t="s">
        <v>2675</v>
      </c>
      <c r="E800" s="8" t="s">
        <v>287</v>
      </c>
      <c r="F800" s="7" t="s">
        <v>2676</v>
      </c>
      <c r="G800" s="9" t="s">
        <v>181</v>
      </c>
      <c r="H800" s="7" t="s">
        <v>2677</v>
      </c>
      <c r="I800" s="7" t="s">
        <v>314</v>
      </c>
      <c r="J800" s="10">
        <v>45951.0</v>
      </c>
      <c r="K800" s="8" t="s">
        <v>639</v>
      </c>
      <c r="L800" s="7">
        <v>4.0</v>
      </c>
      <c r="M800" s="7" t="s">
        <v>636</v>
      </c>
      <c r="N800" s="13" t="s">
        <v>2780</v>
      </c>
      <c r="O800" s="15" t="s">
        <v>2781</v>
      </c>
    </row>
    <row r="801">
      <c r="A801" s="5">
        <v>908.0</v>
      </c>
      <c r="B801" s="6">
        <v>45991.94679876158</v>
      </c>
      <c r="C801" s="7" t="s">
        <v>15</v>
      </c>
      <c r="D801" s="8" t="s">
        <v>2675</v>
      </c>
      <c r="E801" s="8" t="s">
        <v>287</v>
      </c>
      <c r="F801" s="7" t="s">
        <v>2676</v>
      </c>
      <c r="G801" s="9" t="s">
        <v>181</v>
      </c>
      <c r="H801" s="7" t="s">
        <v>2677</v>
      </c>
      <c r="I801" s="7" t="s">
        <v>314</v>
      </c>
      <c r="J801" s="10">
        <v>45952.0</v>
      </c>
      <c r="K801" s="8" t="s">
        <v>639</v>
      </c>
      <c r="L801" s="7">
        <v>4.0</v>
      </c>
      <c r="M801" s="7" t="s">
        <v>636</v>
      </c>
      <c r="N801" s="13" t="s">
        <v>2782</v>
      </c>
      <c r="O801" s="15" t="s">
        <v>2783</v>
      </c>
    </row>
    <row r="802">
      <c r="A802" s="5">
        <v>909.0</v>
      </c>
      <c r="B802" s="6">
        <v>45991.94805384259</v>
      </c>
      <c r="C802" s="7" t="s">
        <v>760</v>
      </c>
      <c r="D802" s="8" t="s">
        <v>2745</v>
      </c>
      <c r="E802" s="8" t="s">
        <v>214</v>
      </c>
      <c r="F802" s="7" t="s">
        <v>2746</v>
      </c>
      <c r="G802" s="9" t="s">
        <v>415</v>
      </c>
      <c r="H802" s="7" t="s">
        <v>2784</v>
      </c>
      <c r="I802" s="7" t="s">
        <v>314</v>
      </c>
      <c r="J802" s="10">
        <v>45875.0</v>
      </c>
      <c r="K802" s="8" t="s">
        <v>49</v>
      </c>
      <c r="L802" s="7">
        <v>8.0</v>
      </c>
      <c r="M802" s="7" t="s">
        <v>2785</v>
      </c>
      <c r="N802" s="13" t="s">
        <v>2786</v>
      </c>
      <c r="O802" s="15" t="s">
        <v>2787</v>
      </c>
    </row>
    <row r="803">
      <c r="A803" s="5">
        <v>910.0</v>
      </c>
      <c r="B803" s="6">
        <v>45991.94902530093</v>
      </c>
      <c r="C803" s="7" t="s">
        <v>15</v>
      </c>
      <c r="D803" s="8" t="s">
        <v>2675</v>
      </c>
      <c r="E803" s="8" t="s">
        <v>287</v>
      </c>
      <c r="F803" s="7" t="s">
        <v>2676</v>
      </c>
      <c r="G803" s="9" t="s">
        <v>181</v>
      </c>
      <c r="H803" s="7" t="s">
        <v>2677</v>
      </c>
      <c r="I803" s="7" t="s">
        <v>279</v>
      </c>
      <c r="J803" s="10">
        <v>45953.0</v>
      </c>
      <c r="K803" s="8" t="s">
        <v>639</v>
      </c>
      <c r="L803" s="7">
        <v>4.0</v>
      </c>
      <c r="M803" s="7" t="s">
        <v>636</v>
      </c>
      <c r="N803" s="13" t="s">
        <v>2788</v>
      </c>
      <c r="O803" s="15" t="s">
        <v>2789</v>
      </c>
    </row>
    <row r="804">
      <c r="A804" s="5">
        <v>916.0</v>
      </c>
      <c r="B804" s="6">
        <v>45991.95148878472</v>
      </c>
      <c r="C804" s="7" t="s">
        <v>26</v>
      </c>
      <c r="D804" s="8" t="s">
        <v>2451</v>
      </c>
      <c r="E804" s="8" t="s">
        <v>830</v>
      </c>
      <c r="F804" s="7" t="s">
        <v>2452</v>
      </c>
      <c r="G804" s="9" t="s">
        <v>19</v>
      </c>
      <c r="H804" s="7" t="s">
        <v>30</v>
      </c>
      <c r="I804" s="7" t="s">
        <v>31</v>
      </c>
      <c r="J804" s="10">
        <v>45825.0</v>
      </c>
      <c r="K804" s="8" t="s">
        <v>49</v>
      </c>
      <c r="L804" s="7">
        <v>8.0</v>
      </c>
      <c r="M804" s="7" t="s">
        <v>33</v>
      </c>
      <c r="N804" s="13" t="s">
        <v>2790</v>
      </c>
      <c r="O804" s="15" t="s">
        <v>2791</v>
      </c>
    </row>
    <row r="805">
      <c r="A805" s="5">
        <v>920.0</v>
      </c>
      <c r="B805" s="6">
        <v>45991.95279365741</v>
      </c>
      <c r="C805" s="7" t="s">
        <v>760</v>
      </c>
      <c r="D805" s="8" t="s">
        <v>798</v>
      </c>
      <c r="E805" s="8" t="s">
        <v>799</v>
      </c>
      <c r="F805" s="7" t="s">
        <v>800</v>
      </c>
      <c r="G805" s="9" t="s">
        <v>415</v>
      </c>
      <c r="H805" s="7" t="s">
        <v>1450</v>
      </c>
      <c r="I805" s="7" t="s">
        <v>231</v>
      </c>
      <c r="J805" s="10">
        <v>45989.0</v>
      </c>
      <c r="K805" s="8" t="s">
        <v>2792</v>
      </c>
      <c r="L805" s="7">
        <v>1.0</v>
      </c>
      <c r="M805" s="7" t="s">
        <v>417</v>
      </c>
      <c r="N805" s="13" t="s">
        <v>2793</v>
      </c>
      <c r="O805" s="15" t="s">
        <v>2794</v>
      </c>
    </row>
    <row r="806">
      <c r="A806" s="5">
        <v>921.0</v>
      </c>
      <c r="B806" s="6">
        <v>45991.95350420139</v>
      </c>
      <c r="C806" s="7" t="s">
        <v>26</v>
      </c>
      <c r="D806" s="8" t="s">
        <v>2451</v>
      </c>
      <c r="E806" s="8" t="s">
        <v>830</v>
      </c>
      <c r="F806" s="7" t="s">
        <v>2452</v>
      </c>
      <c r="G806" s="9" t="s">
        <v>181</v>
      </c>
      <c r="H806" s="7" t="s">
        <v>857</v>
      </c>
      <c r="I806" s="7" t="s">
        <v>939</v>
      </c>
      <c r="J806" s="10">
        <v>45987.0</v>
      </c>
      <c r="K806" s="8" t="s">
        <v>859</v>
      </c>
      <c r="L806" s="7">
        <v>8.0</v>
      </c>
      <c r="M806" s="7" t="s">
        <v>860</v>
      </c>
      <c r="N806" s="13" t="s">
        <v>2795</v>
      </c>
      <c r="O806" s="15" t="s">
        <v>2796</v>
      </c>
    </row>
    <row r="807">
      <c r="A807" s="5">
        <v>923.0</v>
      </c>
      <c r="B807" s="6">
        <v>45991.95550725695</v>
      </c>
      <c r="C807" s="7" t="s">
        <v>15</v>
      </c>
      <c r="D807" s="8" t="s">
        <v>2675</v>
      </c>
      <c r="E807" s="8" t="s">
        <v>287</v>
      </c>
      <c r="F807" s="7" t="s">
        <v>2676</v>
      </c>
      <c r="G807" s="9" t="s">
        <v>181</v>
      </c>
      <c r="H807" s="7" t="s">
        <v>2677</v>
      </c>
      <c r="I807" s="7" t="s">
        <v>279</v>
      </c>
      <c r="J807" s="10">
        <v>45954.0</v>
      </c>
      <c r="K807" s="8" t="s">
        <v>206</v>
      </c>
      <c r="L807" s="7">
        <v>4.0</v>
      </c>
      <c r="M807" s="7" t="s">
        <v>636</v>
      </c>
      <c r="N807" s="13" t="s">
        <v>2797</v>
      </c>
      <c r="O807" s="15" t="s">
        <v>2798</v>
      </c>
    </row>
    <row r="808">
      <c r="A808" s="5">
        <v>924.0</v>
      </c>
      <c r="B808" s="6">
        <v>45991.955911805555</v>
      </c>
      <c r="C808" s="7" t="s">
        <v>760</v>
      </c>
      <c r="D808" s="8" t="s">
        <v>2799</v>
      </c>
      <c r="E808" s="8" t="s">
        <v>171</v>
      </c>
      <c r="F808" s="7" t="s">
        <v>2800</v>
      </c>
      <c r="G808" s="9" t="s">
        <v>84</v>
      </c>
      <c r="H808" s="7" t="s">
        <v>85</v>
      </c>
      <c r="I808" s="7" t="s">
        <v>1192</v>
      </c>
      <c r="J808" s="10">
        <v>45916.0</v>
      </c>
      <c r="K808" s="8" t="s">
        <v>2801</v>
      </c>
      <c r="L808" s="7">
        <v>8.0</v>
      </c>
      <c r="M808" s="7" t="s">
        <v>2802</v>
      </c>
      <c r="N808" s="13" t="s">
        <v>2803</v>
      </c>
      <c r="O808" s="15" t="s">
        <v>2804</v>
      </c>
    </row>
    <row r="809">
      <c r="A809" s="5">
        <v>925.0</v>
      </c>
      <c r="B809" s="6">
        <v>45991.95608315972</v>
      </c>
      <c r="C809" s="7" t="s">
        <v>15</v>
      </c>
      <c r="D809" s="8" t="s">
        <v>2805</v>
      </c>
      <c r="E809" s="8" t="s">
        <v>893</v>
      </c>
      <c r="F809" s="7" t="s">
        <v>2806</v>
      </c>
      <c r="G809" s="9" t="s">
        <v>19</v>
      </c>
      <c r="H809" s="7" t="s">
        <v>406</v>
      </c>
      <c r="I809" s="7" t="s">
        <v>2643</v>
      </c>
      <c r="J809" s="10">
        <v>45823.0</v>
      </c>
      <c r="K809" s="8" t="s">
        <v>22</v>
      </c>
      <c r="L809" s="7">
        <v>4.0</v>
      </c>
      <c r="M809" s="7" t="s">
        <v>1154</v>
      </c>
      <c r="N809" s="13" t="s">
        <v>2807</v>
      </c>
      <c r="O809" s="15" t="s">
        <v>2808</v>
      </c>
    </row>
    <row r="810">
      <c r="A810" s="5">
        <v>926.0</v>
      </c>
      <c r="B810" s="6">
        <v>45991.95840592592</v>
      </c>
      <c r="C810" s="7" t="s">
        <v>760</v>
      </c>
      <c r="D810" s="8" t="s">
        <v>1209</v>
      </c>
      <c r="E810" s="8" t="s">
        <v>223</v>
      </c>
      <c r="F810" s="7" t="s">
        <v>2809</v>
      </c>
      <c r="G810" s="9" t="s">
        <v>181</v>
      </c>
      <c r="H810" s="7" t="s">
        <v>895</v>
      </c>
      <c r="I810" s="7" t="s">
        <v>279</v>
      </c>
      <c r="J810" s="10">
        <v>45964.0</v>
      </c>
      <c r="K810" s="8" t="s">
        <v>896</v>
      </c>
      <c r="L810" s="7">
        <v>1.0</v>
      </c>
      <c r="M810" s="7" t="s">
        <v>553</v>
      </c>
      <c r="N810" s="13" t="s">
        <v>2810</v>
      </c>
      <c r="O810" s="15" t="s">
        <v>2811</v>
      </c>
    </row>
    <row r="811">
      <c r="A811" s="5">
        <v>927.0</v>
      </c>
      <c r="B811" s="6">
        <v>45991.960383321755</v>
      </c>
      <c r="C811" s="7" t="s">
        <v>15</v>
      </c>
      <c r="D811" s="8" t="s">
        <v>2675</v>
      </c>
      <c r="E811" s="8" t="s">
        <v>287</v>
      </c>
      <c r="F811" s="7" t="s">
        <v>2676</v>
      </c>
      <c r="G811" s="9" t="s">
        <v>181</v>
      </c>
      <c r="H811" s="7" t="s">
        <v>2812</v>
      </c>
      <c r="I811" s="7" t="s">
        <v>279</v>
      </c>
      <c r="J811" s="10">
        <v>45964.0</v>
      </c>
      <c r="K811" s="8" t="s">
        <v>315</v>
      </c>
      <c r="L811" s="7">
        <v>8.0</v>
      </c>
      <c r="M811" s="7" t="s">
        <v>33</v>
      </c>
      <c r="N811" s="13" t="s">
        <v>2813</v>
      </c>
      <c r="O811" s="15" t="s">
        <v>2814</v>
      </c>
    </row>
    <row r="812">
      <c r="A812" s="5">
        <v>929.0</v>
      </c>
      <c r="B812" s="6">
        <v>45991.9612818287</v>
      </c>
      <c r="C812" s="7" t="s">
        <v>15</v>
      </c>
      <c r="D812" s="8" t="s">
        <v>2675</v>
      </c>
      <c r="E812" s="8" t="s">
        <v>287</v>
      </c>
      <c r="F812" s="7" t="s">
        <v>2676</v>
      </c>
      <c r="G812" s="9" t="s">
        <v>181</v>
      </c>
      <c r="H812" s="7" t="s">
        <v>2812</v>
      </c>
      <c r="I812" s="7" t="s">
        <v>279</v>
      </c>
      <c r="J812" s="10">
        <v>45965.0</v>
      </c>
      <c r="K812" s="8" t="s">
        <v>315</v>
      </c>
      <c r="L812" s="7">
        <v>8.0</v>
      </c>
      <c r="M812" s="7" t="s">
        <v>33</v>
      </c>
      <c r="N812" s="13" t="s">
        <v>2815</v>
      </c>
      <c r="O812" s="15" t="s">
        <v>2816</v>
      </c>
    </row>
    <row r="813">
      <c r="A813" s="5">
        <v>930.0</v>
      </c>
      <c r="B813" s="6">
        <v>45991.96174131944</v>
      </c>
      <c r="C813" s="7" t="s">
        <v>760</v>
      </c>
      <c r="D813" s="8" t="s">
        <v>2817</v>
      </c>
      <c r="E813" s="8" t="s">
        <v>287</v>
      </c>
      <c r="F813" s="7" t="s">
        <v>2818</v>
      </c>
      <c r="G813" s="9" t="s">
        <v>84</v>
      </c>
      <c r="H813" s="7" t="s">
        <v>2819</v>
      </c>
      <c r="I813" s="7" t="s">
        <v>1192</v>
      </c>
      <c r="J813" s="10">
        <v>45916.0</v>
      </c>
      <c r="K813" s="8" t="s">
        <v>2820</v>
      </c>
      <c r="L813" s="7">
        <v>8.0</v>
      </c>
      <c r="M813" s="7" t="s">
        <v>774</v>
      </c>
      <c r="N813" s="13" t="s">
        <v>2821</v>
      </c>
      <c r="O813" s="15" t="s">
        <v>2822</v>
      </c>
    </row>
    <row r="814">
      <c r="A814" s="5">
        <v>931.0</v>
      </c>
      <c r="B814" s="6">
        <v>45991.96207081019</v>
      </c>
      <c r="C814" s="7" t="s">
        <v>15</v>
      </c>
      <c r="D814" s="8" t="s">
        <v>2805</v>
      </c>
      <c r="E814" s="8" t="s">
        <v>893</v>
      </c>
      <c r="F814" s="7" t="s">
        <v>2806</v>
      </c>
      <c r="G814" s="9" t="s">
        <v>19</v>
      </c>
      <c r="H814" s="7" t="s">
        <v>44</v>
      </c>
      <c r="I814" s="7" t="s">
        <v>37</v>
      </c>
      <c r="J814" s="10">
        <v>45839.0</v>
      </c>
      <c r="K814" s="8" t="s">
        <v>67</v>
      </c>
      <c r="L814" s="7">
        <v>8.0</v>
      </c>
      <c r="M814" s="7" t="s">
        <v>33</v>
      </c>
      <c r="N814" s="13" t="s">
        <v>2823</v>
      </c>
      <c r="O814" s="15" t="s">
        <v>2824</v>
      </c>
    </row>
    <row r="815">
      <c r="A815" s="5">
        <v>932.0</v>
      </c>
      <c r="B815" s="6">
        <v>45991.96236489584</v>
      </c>
      <c r="C815" s="7" t="s">
        <v>15</v>
      </c>
      <c r="D815" s="8" t="s">
        <v>2675</v>
      </c>
      <c r="E815" s="8" t="s">
        <v>287</v>
      </c>
      <c r="F815" s="7" t="s">
        <v>2676</v>
      </c>
      <c r="G815" s="9" t="s">
        <v>181</v>
      </c>
      <c r="H815" s="7" t="s">
        <v>2812</v>
      </c>
      <c r="I815" s="7" t="s">
        <v>279</v>
      </c>
      <c r="J815" s="10">
        <v>45966.0</v>
      </c>
      <c r="K815" s="8" t="s">
        <v>1365</v>
      </c>
      <c r="L815" s="7">
        <v>4.0</v>
      </c>
      <c r="M815" s="7" t="s">
        <v>33</v>
      </c>
      <c r="N815" s="13" t="s">
        <v>2825</v>
      </c>
      <c r="O815" s="15" t="s">
        <v>2826</v>
      </c>
    </row>
    <row r="816">
      <c r="A816" s="5">
        <v>933.0</v>
      </c>
      <c r="B816" s="6">
        <v>45991.96273987269</v>
      </c>
      <c r="C816" s="7" t="s">
        <v>760</v>
      </c>
      <c r="D816" s="8" t="s">
        <v>785</v>
      </c>
      <c r="E816" s="8" t="s">
        <v>380</v>
      </c>
      <c r="F816" s="7" t="s">
        <v>2827</v>
      </c>
      <c r="G816" s="9" t="s">
        <v>181</v>
      </c>
      <c r="H816" s="7" t="s">
        <v>1669</v>
      </c>
      <c r="I816" s="7" t="s">
        <v>1664</v>
      </c>
      <c r="J816" s="10">
        <v>45895.0</v>
      </c>
      <c r="K816" s="8" t="s">
        <v>1665</v>
      </c>
      <c r="L816" s="7">
        <v>2.0</v>
      </c>
      <c r="M816" s="7" t="s">
        <v>1064</v>
      </c>
      <c r="N816" s="13" t="s">
        <v>2828</v>
      </c>
      <c r="O816" s="15" t="s">
        <v>2829</v>
      </c>
    </row>
    <row r="817">
      <c r="A817" s="5">
        <v>934.0</v>
      </c>
      <c r="B817" s="6">
        <v>45991.96297061343</v>
      </c>
      <c r="C817" s="7" t="s">
        <v>15</v>
      </c>
      <c r="D817" s="8" t="s">
        <v>2805</v>
      </c>
      <c r="E817" s="8" t="s">
        <v>893</v>
      </c>
      <c r="F817" s="7" t="s">
        <v>2806</v>
      </c>
      <c r="G817" s="9" t="s">
        <v>19</v>
      </c>
      <c r="H817" s="7" t="s">
        <v>44</v>
      </c>
      <c r="I817" s="7" t="s">
        <v>37</v>
      </c>
      <c r="J817" s="10">
        <v>45840.0</v>
      </c>
      <c r="K817" s="8" t="s">
        <v>67</v>
      </c>
      <c r="L817" s="7">
        <v>8.0</v>
      </c>
      <c r="M817" s="7" t="s">
        <v>33</v>
      </c>
      <c r="N817" s="13" t="s">
        <v>2830</v>
      </c>
      <c r="O817" s="15" t="s">
        <v>2831</v>
      </c>
    </row>
    <row r="818">
      <c r="A818" s="5">
        <v>935.0</v>
      </c>
      <c r="B818" s="6">
        <v>45991.96883690973</v>
      </c>
      <c r="C818" s="7" t="s">
        <v>760</v>
      </c>
      <c r="D818" s="8" t="s">
        <v>2466</v>
      </c>
      <c r="E818" s="8" t="s">
        <v>411</v>
      </c>
      <c r="F818" s="7" t="s">
        <v>2467</v>
      </c>
      <c r="G818" s="9" t="s">
        <v>19</v>
      </c>
      <c r="H818" s="7" t="s">
        <v>2468</v>
      </c>
      <c r="I818" s="7" t="s">
        <v>2832</v>
      </c>
      <c r="J818" s="10">
        <v>45969.0</v>
      </c>
      <c r="K818" s="8" t="s">
        <v>49</v>
      </c>
      <c r="L818" s="7">
        <v>8.0</v>
      </c>
      <c r="M818" s="7" t="s">
        <v>2391</v>
      </c>
      <c r="N818" s="13" t="s">
        <v>2833</v>
      </c>
      <c r="O818" s="15" t="s">
        <v>2834</v>
      </c>
    </row>
    <row r="819">
      <c r="A819" s="5">
        <v>936.0</v>
      </c>
      <c r="B819" s="6">
        <v>45991.97030616898</v>
      </c>
      <c r="C819" s="7" t="s">
        <v>760</v>
      </c>
      <c r="D819" s="8" t="s">
        <v>2466</v>
      </c>
      <c r="E819" s="8" t="s">
        <v>411</v>
      </c>
      <c r="F819" s="7" t="s">
        <v>2835</v>
      </c>
      <c r="G819" s="9" t="s">
        <v>19</v>
      </c>
      <c r="H819" s="7" t="s">
        <v>2468</v>
      </c>
      <c r="I819" s="7" t="s">
        <v>1074</v>
      </c>
      <c r="J819" s="10">
        <v>45970.0</v>
      </c>
      <c r="K819" s="8" t="s">
        <v>49</v>
      </c>
      <c r="L819" s="7">
        <v>8.0</v>
      </c>
      <c r="M819" s="7" t="s">
        <v>87</v>
      </c>
      <c r="N819" s="13" t="s">
        <v>2836</v>
      </c>
      <c r="O819" s="15" t="s">
        <v>2837</v>
      </c>
    </row>
    <row r="820">
      <c r="A820" s="5">
        <v>937.0</v>
      </c>
      <c r="B820" s="6">
        <v>45991.97173348379</v>
      </c>
      <c r="C820" s="7" t="s">
        <v>760</v>
      </c>
      <c r="D820" s="8" t="s">
        <v>2817</v>
      </c>
      <c r="E820" s="8" t="s">
        <v>287</v>
      </c>
      <c r="F820" s="7" t="s">
        <v>2818</v>
      </c>
      <c r="G820" s="9" t="s">
        <v>19</v>
      </c>
      <c r="H820" s="7" t="s">
        <v>2838</v>
      </c>
      <c r="I820" s="7" t="s">
        <v>956</v>
      </c>
      <c r="J820" s="10">
        <v>45977.0</v>
      </c>
      <c r="K820" s="8" t="s">
        <v>821</v>
      </c>
      <c r="L820" s="7">
        <v>4.0</v>
      </c>
      <c r="M820" s="7" t="s">
        <v>2839</v>
      </c>
      <c r="N820" s="13" t="s">
        <v>2840</v>
      </c>
      <c r="O820" s="15" t="s">
        <v>2841</v>
      </c>
    </row>
    <row r="821">
      <c r="A821" s="5">
        <v>938.0</v>
      </c>
      <c r="B821" s="6">
        <v>45991.973635277776</v>
      </c>
      <c r="C821" s="7" t="s">
        <v>125</v>
      </c>
      <c r="D821" s="8" t="s">
        <v>2842</v>
      </c>
      <c r="E821" s="8" t="s">
        <v>1253</v>
      </c>
      <c r="F821" s="7" t="s">
        <v>2843</v>
      </c>
      <c r="G821" s="9" t="s">
        <v>159</v>
      </c>
      <c r="H821" s="7" t="s">
        <v>2844</v>
      </c>
      <c r="I821" s="7" t="s">
        <v>2845</v>
      </c>
      <c r="J821" s="10">
        <v>45956.0</v>
      </c>
      <c r="K821" s="8" t="s">
        <v>2846</v>
      </c>
      <c r="L821" s="7">
        <v>4.0</v>
      </c>
      <c r="M821" s="7" t="s">
        <v>1939</v>
      </c>
      <c r="N821" s="13" t="s">
        <v>2847</v>
      </c>
      <c r="O821" s="15" t="s">
        <v>2848</v>
      </c>
    </row>
    <row r="822">
      <c r="A822" s="5">
        <v>939.0</v>
      </c>
      <c r="B822" s="6">
        <v>45991.97389085648</v>
      </c>
      <c r="C822" s="7" t="s">
        <v>15</v>
      </c>
      <c r="D822" s="8" t="s">
        <v>2849</v>
      </c>
      <c r="E822" s="8" t="s">
        <v>2338</v>
      </c>
      <c r="F822" s="7" t="s">
        <v>2850</v>
      </c>
      <c r="G822" s="9" t="s">
        <v>19</v>
      </c>
      <c r="H822" s="7" t="s">
        <v>406</v>
      </c>
      <c r="I822" s="7" t="s">
        <v>94</v>
      </c>
      <c r="J822" s="10">
        <v>45823.0</v>
      </c>
      <c r="K822" s="8" t="s">
        <v>22</v>
      </c>
      <c r="L822" s="7">
        <v>4.0</v>
      </c>
      <c r="M822" s="7" t="s">
        <v>106</v>
      </c>
      <c r="N822" s="13" t="s">
        <v>2851</v>
      </c>
      <c r="O822" s="15" t="s">
        <v>2852</v>
      </c>
    </row>
    <row r="823">
      <c r="A823" s="5">
        <v>940.0</v>
      </c>
      <c r="B823" s="6">
        <v>45991.97521395833</v>
      </c>
      <c r="C823" s="7" t="s">
        <v>760</v>
      </c>
      <c r="D823" s="8" t="s">
        <v>2817</v>
      </c>
      <c r="E823" s="8" t="s">
        <v>287</v>
      </c>
      <c r="F823" s="7" t="s">
        <v>2818</v>
      </c>
      <c r="G823" s="9" t="s">
        <v>19</v>
      </c>
      <c r="H823" s="7" t="s">
        <v>2853</v>
      </c>
      <c r="I823" s="7" t="s">
        <v>1240</v>
      </c>
      <c r="J823" s="10">
        <v>45990.0</v>
      </c>
      <c r="K823" s="8" t="s">
        <v>22</v>
      </c>
      <c r="L823" s="7">
        <v>4.0</v>
      </c>
      <c r="M823" s="7" t="s">
        <v>2839</v>
      </c>
      <c r="N823" s="13" t="s">
        <v>2854</v>
      </c>
      <c r="O823" s="15" t="s">
        <v>2855</v>
      </c>
    </row>
    <row r="824">
      <c r="A824" s="5">
        <v>941.0</v>
      </c>
      <c r="B824" s="6">
        <v>45991.97578403935</v>
      </c>
      <c r="C824" s="7" t="s">
        <v>15</v>
      </c>
      <c r="D824" s="8" t="s">
        <v>2849</v>
      </c>
      <c r="E824" s="8" t="s">
        <v>2338</v>
      </c>
      <c r="F824" s="7" t="s">
        <v>2850</v>
      </c>
      <c r="G824" s="9" t="s">
        <v>19</v>
      </c>
      <c r="H824" s="7" t="s">
        <v>41</v>
      </c>
      <c r="I824" s="7" t="s">
        <v>37</v>
      </c>
      <c r="J824" s="10">
        <v>45839.0</v>
      </c>
      <c r="K824" s="8" t="s">
        <v>67</v>
      </c>
      <c r="L824" s="7">
        <v>8.0</v>
      </c>
      <c r="M824" s="7" t="s">
        <v>33</v>
      </c>
      <c r="N824" s="13" t="s">
        <v>2856</v>
      </c>
      <c r="O824" s="15" t="s">
        <v>2857</v>
      </c>
    </row>
    <row r="825">
      <c r="A825" s="5">
        <v>942.0</v>
      </c>
      <c r="B825" s="6">
        <v>45991.97683528935</v>
      </c>
      <c r="C825" s="7" t="s">
        <v>15</v>
      </c>
      <c r="D825" s="8" t="s">
        <v>2849</v>
      </c>
      <c r="E825" s="8" t="s">
        <v>2338</v>
      </c>
      <c r="F825" s="7" t="s">
        <v>2850</v>
      </c>
      <c r="G825" s="9" t="s">
        <v>19</v>
      </c>
      <c r="H825" s="7" t="s">
        <v>44</v>
      </c>
      <c r="I825" s="7" t="s">
        <v>37</v>
      </c>
      <c r="J825" s="10">
        <v>45840.0</v>
      </c>
      <c r="K825" s="8" t="s">
        <v>67</v>
      </c>
      <c r="L825" s="7">
        <v>8.0</v>
      </c>
      <c r="M825" s="7" t="s">
        <v>33</v>
      </c>
      <c r="N825" s="13" t="s">
        <v>2858</v>
      </c>
      <c r="O825" s="15" t="s">
        <v>2859</v>
      </c>
    </row>
    <row r="826">
      <c r="A826" s="5">
        <v>943.0</v>
      </c>
      <c r="B826" s="6">
        <v>45991.979293136574</v>
      </c>
      <c r="C826" s="7" t="s">
        <v>15</v>
      </c>
      <c r="D826" s="8" t="s">
        <v>2849</v>
      </c>
      <c r="E826" s="8" t="s">
        <v>2338</v>
      </c>
      <c r="F826" s="7" t="s">
        <v>2850</v>
      </c>
      <c r="G826" s="9" t="s">
        <v>181</v>
      </c>
      <c r="H826" s="7" t="s">
        <v>2860</v>
      </c>
      <c r="I826" s="7" t="s">
        <v>231</v>
      </c>
      <c r="J826" s="10">
        <v>45939.0</v>
      </c>
      <c r="K826" s="8" t="s">
        <v>49</v>
      </c>
      <c r="L826" s="7">
        <v>8.0</v>
      </c>
      <c r="M826" s="7" t="s">
        <v>33</v>
      </c>
      <c r="N826" s="13" t="s">
        <v>2861</v>
      </c>
      <c r="O826" s="15" t="s">
        <v>2862</v>
      </c>
    </row>
    <row r="827">
      <c r="A827" s="5">
        <v>944.0</v>
      </c>
      <c r="B827" s="6">
        <v>45991.97998716435</v>
      </c>
      <c r="C827" s="7" t="s">
        <v>125</v>
      </c>
      <c r="D827" s="8" t="s">
        <v>2842</v>
      </c>
      <c r="E827" s="8" t="s">
        <v>1253</v>
      </c>
      <c r="F827" s="7" t="s">
        <v>2843</v>
      </c>
      <c r="G827" s="9" t="s">
        <v>144</v>
      </c>
      <c r="H827" s="7" t="s">
        <v>2863</v>
      </c>
      <c r="I827" s="7" t="s">
        <v>2864</v>
      </c>
      <c r="J827" s="10">
        <v>45949.0</v>
      </c>
      <c r="K827" s="8" t="s">
        <v>2865</v>
      </c>
      <c r="L827" s="7">
        <v>4.0</v>
      </c>
      <c r="M827" s="7" t="s">
        <v>1939</v>
      </c>
      <c r="N827" s="13" t="s">
        <v>2866</v>
      </c>
      <c r="O827" s="15" t="s">
        <v>2867</v>
      </c>
    </row>
    <row r="828">
      <c r="A828" s="5">
        <v>945.0</v>
      </c>
      <c r="B828" s="6">
        <v>45991.98115043981</v>
      </c>
      <c r="C828" s="7" t="s">
        <v>15</v>
      </c>
      <c r="D828" s="8" t="s">
        <v>2849</v>
      </c>
      <c r="E828" s="8" t="s">
        <v>2338</v>
      </c>
      <c r="F828" s="7" t="s">
        <v>2850</v>
      </c>
      <c r="G828" s="9" t="s">
        <v>181</v>
      </c>
      <c r="H828" s="7" t="s">
        <v>2860</v>
      </c>
      <c r="I828" s="7" t="s">
        <v>231</v>
      </c>
      <c r="J828" s="10">
        <v>45947.0</v>
      </c>
      <c r="K828" s="8" t="s">
        <v>49</v>
      </c>
      <c r="L828" s="7">
        <v>8.0</v>
      </c>
      <c r="M828" s="7" t="s">
        <v>33</v>
      </c>
      <c r="N828" s="13" t="s">
        <v>2868</v>
      </c>
      <c r="O828" s="15" t="s">
        <v>2869</v>
      </c>
    </row>
    <row r="829">
      <c r="A829" s="5">
        <v>946.0</v>
      </c>
      <c r="B829" s="6">
        <v>45991.98246616898</v>
      </c>
      <c r="C829" s="7" t="s">
        <v>15</v>
      </c>
      <c r="D829" s="8" t="s">
        <v>2849</v>
      </c>
      <c r="E829" s="8" t="s">
        <v>2338</v>
      </c>
      <c r="F829" s="7" t="s">
        <v>2850</v>
      </c>
      <c r="G829" s="9" t="s">
        <v>181</v>
      </c>
      <c r="H829" s="7" t="s">
        <v>2860</v>
      </c>
      <c r="I829" s="7" t="s">
        <v>231</v>
      </c>
      <c r="J829" s="10">
        <v>45954.0</v>
      </c>
      <c r="K829" s="8" t="s">
        <v>22</v>
      </c>
      <c r="L829" s="7">
        <v>4.0</v>
      </c>
      <c r="M829" s="7" t="s">
        <v>33</v>
      </c>
      <c r="N829" s="13" t="s">
        <v>2870</v>
      </c>
      <c r="O829" s="15" t="s">
        <v>2871</v>
      </c>
    </row>
    <row r="830">
      <c r="A830" s="5">
        <v>947.0</v>
      </c>
      <c r="B830" s="6">
        <v>45991.98530748843</v>
      </c>
      <c r="C830" s="7" t="s">
        <v>15</v>
      </c>
      <c r="D830" s="8" t="s">
        <v>1808</v>
      </c>
      <c r="E830" s="8" t="s">
        <v>830</v>
      </c>
      <c r="F830" s="7" t="s">
        <v>1809</v>
      </c>
      <c r="G830" s="9" t="s">
        <v>19</v>
      </c>
      <c r="H830" s="7" t="s">
        <v>406</v>
      </c>
      <c r="I830" s="7" t="s">
        <v>94</v>
      </c>
      <c r="J830" s="10">
        <v>45823.0</v>
      </c>
      <c r="K830" s="8" t="s">
        <v>22</v>
      </c>
      <c r="L830" s="7">
        <v>4.0</v>
      </c>
      <c r="M830" s="7" t="s">
        <v>106</v>
      </c>
      <c r="N830" s="13" t="s">
        <v>2872</v>
      </c>
      <c r="O830" s="15" t="s">
        <v>2873</v>
      </c>
    </row>
    <row r="831">
      <c r="A831" s="5">
        <v>948.0</v>
      </c>
      <c r="B831" s="6">
        <v>45991.98762961806</v>
      </c>
      <c r="C831" s="7" t="s">
        <v>125</v>
      </c>
      <c r="D831" s="8" t="s">
        <v>2842</v>
      </c>
      <c r="E831" s="8" t="s">
        <v>1253</v>
      </c>
      <c r="F831" s="7" t="s">
        <v>2843</v>
      </c>
      <c r="G831" s="9" t="s">
        <v>144</v>
      </c>
      <c r="H831" s="7" t="s">
        <v>2874</v>
      </c>
      <c r="I831" s="7" t="s">
        <v>2875</v>
      </c>
      <c r="J831" s="10">
        <v>45943.0</v>
      </c>
      <c r="K831" s="8" t="s">
        <v>2876</v>
      </c>
      <c r="L831" s="7">
        <v>2.0</v>
      </c>
      <c r="M831" s="7" t="s">
        <v>1939</v>
      </c>
      <c r="N831" s="13" t="s">
        <v>2877</v>
      </c>
      <c r="O831" s="15" t="s">
        <v>2878</v>
      </c>
    </row>
    <row r="832">
      <c r="A832" s="5">
        <v>949.0</v>
      </c>
      <c r="B832" s="6">
        <v>45991.98791596065</v>
      </c>
      <c r="C832" s="7" t="s">
        <v>15</v>
      </c>
      <c r="D832" s="8" t="s">
        <v>2849</v>
      </c>
      <c r="E832" s="8" t="s">
        <v>2338</v>
      </c>
      <c r="F832" s="7" t="s">
        <v>2850</v>
      </c>
      <c r="G832" s="9" t="s">
        <v>19</v>
      </c>
      <c r="H832" s="7" t="s">
        <v>2879</v>
      </c>
      <c r="I832" s="7" t="s">
        <v>2880</v>
      </c>
      <c r="J832" s="10">
        <v>45955.0</v>
      </c>
      <c r="K832" s="8" t="s">
        <v>58</v>
      </c>
      <c r="L832" s="7">
        <v>5.0</v>
      </c>
      <c r="M832" s="7" t="s">
        <v>59</v>
      </c>
      <c r="N832" s="13" t="s">
        <v>2881</v>
      </c>
      <c r="O832" s="15" t="s">
        <v>2882</v>
      </c>
    </row>
    <row r="833">
      <c r="A833" s="5">
        <v>950.0</v>
      </c>
      <c r="B833" s="6">
        <v>45991.989077962964</v>
      </c>
      <c r="C833" s="7" t="s">
        <v>15</v>
      </c>
      <c r="D833" s="8" t="s">
        <v>410</v>
      </c>
      <c r="E833" s="8" t="s">
        <v>411</v>
      </c>
      <c r="F833" s="7" t="s">
        <v>412</v>
      </c>
      <c r="G833" s="9" t="s">
        <v>144</v>
      </c>
      <c r="H833" s="7" t="s">
        <v>730</v>
      </c>
      <c r="I833" s="7" t="s">
        <v>731</v>
      </c>
      <c r="J833" s="10">
        <v>45984.0</v>
      </c>
      <c r="K833" s="8" t="s">
        <v>2275</v>
      </c>
      <c r="L833" s="7">
        <v>2.0</v>
      </c>
      <c r="M833" s="7" t="s">
        <v>2883</v>
      </c>
      <c r="N833" s="13" t="s">
        <v>2884</v>
      </c>
      <c r="O833" s="15" t="s">
        <v>2885</v>
      </c>
    </row>
    <row r="834">
      <c r="A834" s="5">
        <v>951.0</v>
      </c>
      <c r="B834" s="6">
        <v>45991.98961346065</v>
      </c>
      <c r="C834" s="7" t="s">
        <v>15</v>
      </c>
      <c r="D834" s="8" t="s">
        <v>1808</v>
      </c>
      <c r="E834" s="8" t="s">
        <v>830</v>
      </c>
      <c r="F834" s="7" t="s">
        <v>1809</v>
      </c>
      <c r="G834" s="9" t="s">
        <v>181</v>
      </c>
      <c r="H834" s="7" t="s">
        <v>2886</v>
      </c>
      <c r="I834" s="7" t="s">
        <v>231</v>
      </c>
      <c r="J834" s="10">
        <v>45939.0</v>
      </c>
      <c r="K834" s="8" t="s">
        <v>49</v>
      </c>
      <c r="L834" s="7">
        <v>8.0</v>
      </c>
      <c r="M834" s="7" t="s">
        <v>33</v>
      </c>
      <c r="N834" s="13" t="s">
        <v>2887</v>
      </c>
      <c r="O834" s="15" t="s">
        <v>2888</v>
      </c>
    </row>
    <row r="835">
      <c r="A835" s="5">
        <v>952.0</v>
      </c>
      <c r="B835" s="6">
        <v>45991.99105336805</v>
      </c>
      <c r="C835" s="7" t="s">
        <v>15</v>
      </c>
      <c r="D835" s="8" t="s">
        <v>1808</v>
      </c>
      <c r="E835" s="8" t="s">
        <v>830</v>
      </c>
      <c r="F835" s="7" t="s">
        <v>1809</v>
      </c>
      <c r="G835" s="9" t="s">
        <v>181</v>
      </c>
      <c r="H835" s="7" t="s">
        <v>2886</v>
      </c>
      <c r="I835" s="7" t="s">
        <v>1211</v>
      </c>
      <c r="J835" s="10">
        <v>45940.0</v>
      </c>
      <c r="K835" s="8" t="s">
        <v>49</v>
      </c>
      <c r="L835" s="7">
        <v>8.0</v>
      </c>
      <c r="M835" s="7" t="s">
        <v>33</v>
      </c>
      <c r="N835" s="13" t="s">
        <v>2889</v>
      </c>
      <c r="O835" s="15" t="s">
        <v>2890</v>
      </c>
    </row>
    <row r="836">
      <c r="A836" s="5">
        <v>953.0</v>
      </c>
      <c r="B836" s="6">
        <v>45991.991171331014</v>
      </c>
      <c r="C836" s="7" t="s">
        <v>125</v>
      </c>
      <c r="D836" s="8" t="s">
        <v>2842</v>
      </c>
      <c r="E836" s="8" t="s">
        <v>1253</v>
      </c>
      <c r="F836" s="7" t="s">
        <v>2843</v>
      </c>
      <c r="G836" s="9" t="s">
        <v>159</v>
      </c>
      <c r="H836" s="7" t="s">
        <v>2614</v>
      </c>
      <c r="I836" s="7" t="s">
        <v>2875</v>
      </c>
      <c r="J836" s="10">
        <v>45940.0</v>
      </c>
      <c r="K836" s="8" t="s">
        <v>2865</v>
      </c>
      <c r="L836" s="7">
        <v>4.0</v>
      </c>
      <c r="M836" s="7" t="s">
        <v>1939</v>
      </c>
      <c r="N836" s="13" t="s">
        <v>2891</v>
      </c>
      <c r="O836" s="15" t="s">
        <v>2892</v>
      </c>
    </row>
    <row r="837">
      <c r="A837" s="5">
        <v>954.0</v>
      </c>
      <c r="B837" s="6">
        <v>45991.99329021991</v>
      </c>
      <c r="C837" s="7" t="s">
        <v>15</v>
      </c>
      <c r="D837" s="8" t="s">
        <v>1808</v>
      </c>
      <c r="E837" s="8" t="s">
        <v>830</v>
      </c>
      <c r="F837" s="7" t="s">
        <v>1809</v>
      </c>
      <c r="G837" s="9" t="s">
        <v>181</v>
      </c>
      <c r="H837" s="7" t="s">
        <v>2886</v>
      </c>
      <c r="I837" s="7" t="s">
        <v>1211</v>
      </c>
      <c r="J837" s="10">
        <v>45941.0</v>
      </c>
      <c r="K837" s="8" t="s">
        <v>689</v>
      </c>
      <c r="L837" s="7">
        <v>4.0</v>
      </c>
      <c r="M837" s="7" t="s">
        <v>33</v>
      </c>
      <c r="N837" s="13" t="s">
        <v>2893</v>
      </c>
      <c r="O837" s="15" t="s">
        <v>2894</v>
      </c>
    </row>
    <row r="838">
      <c r="A838" s="5">
        <v>956.0</v>
      </c>
      <c r="B838" s="6">
        <v>45991.99589883102</v>
      </c>
      <c r="C838" s="7" t="s">
        <v>15</v>
      </c>
      <c r="D838" s="8" t="s">
        <v>1808</v>
      </c>
      <c r="E838" s="8" t="s">
        <v>830</v>
      </c>
      <c r="F838" s="7" t="s">
        <v>1809</v>
      </c>
      <c r="G838" s="9" t="s">
        <v>19</v>
      </c>
      <c r="H838" s="7" t="s">
        <v>2895</v>
      </c>
      <c r="I838" s="7" t="s">
        <v>2880</v>
      </c>
      <c r="J838" s="10">
        <v>45955.0</v>
      </c>
      <c r="K838" s="8" t="s">
        <v>58</v>
      </c>
      <c r="L838" s="7">
        <v>5.0</v>
      </c>
      <c r="M838" s="7" t="s">
        <v>59</v>
      </c>
      <c r="N838" s="13" t="s">
        <v>2896</v>
      </c>
      <c r="O838" s="15" t="s">
        <v>2897</v>
      </c>
    </row>
    <row r="839">
      <c r="A839" s="5">
        <v>957.0</v>
      </c>
      <c r="B839" s="6">
        <v>45991.9959500463</v>
      </c>
      <c r="C839" s="7" t="s">
        <v>125</v>
      </c>
      <c r="D839" s="8" t="s">
        <v>2842</v>
      </c>
      <c r="E839" s="8" t="s">
        <v>1253</v>
      </c>
      <c r="F839" s="7" t="s">
        <v>2843</v>
      </c>
      <c r="G839" s="9" t="s">
        <v>159</v>
      </c>
      <c r="H839" s="7" t="s">
        <v>173</v>
      </c>
      <c r="I839" s="7" t="s">
        <v>174</v>
      </c>
      <c r="J839" s="10">
        <v>45854.0</v>
      </c>
      <c r="K839" s="8" t="s">
        <v>175</v>
      </c>
      <c r="L839" s="7">
        <v>6.0</v>
      </c>
      <c r="M839" s="7" t="s">
        <v>106</v>
      </c>
      <c r="N839" s="13" t="s">
        <v>2898</v>
      </c>
      <c r="O839" s="15" t="s">
        <v>2899</v>
      </c>
    </row>
    <row r="840">
      <c r="A840" s="5">
        <v>960.0</v>
      </c>
      <c r="B840" s="6">
        <v>45991.99743878472</v>
      </c>
      <c r="C840" s="7" t="s">
        <v>15</v>
      </c>
      <c r="D840" s="8" t="s">
        <v>410</v>
      </c>
      <c r="E840" s="8" t="s">
        <v>411</v>
      </c>
      <c r="F840" s="7" t="s">
        <v>412</v>
      </c>
      <c r="G840" s="9" t="s">
        <v>209</v>
      </c>
      <c r="H840" s="7" t="s">
        <v>2900</v>
      </c>
      <c r="I840" s="7" t="s">
        <v>2901</v>
      </c>
      <c r="J840" s="10">
        <v>45854.0</v>
      </c>
      <c r="K840" s="8" t="s">
        <v>418</v>
      </c>
      <c r="L840" s="7">
        <v>1.0</v>
      </c>
      <c r="M840" s="7" t="s">
        <v>2902</v>
      </c>
      <c r="N840" s="13" t="s">
        <v>2903</v>
      </c>
      <c r="O840" s="15" t="s">
        <v>2904</v>
      </c>
    </row>
    <row r="841">
      <c r="A841" s="5">
        <v>961.0</v>
      </c>
      <c r="B841" s="6">
        <v>45991.999050370374</v>
      </c>
      <c r="C841" s="7" t="s">
        <v>125</v>
      </c>
      <c r="D841" s="8" t="s">
        <v>2842</v>
      </c>
      <c r="E841" s="8" t="s">
        <v>1253</v>
      </c>
      <c r="F841" s="7" t="s">
        <v>2843</v>
      </c>
      <c r="G841" s="9" t="s">
        <v>159</v>
      </c>
      <c r="H841" s="7" t="s">
        <v>2905</v>
      </c>
      <c r="I841" s="7" t="s">
        <v>2906</v>
      </c>
      <c r="J841" s="10">
        <v>45963.0</v>
      </c>
      <c r="K841" s="8" t="s">
        <v>1365</v>
      </c>
      <c r="L841" s="7">
        <v>4.0</v>
      </c>
      <c r="M841" s="7" t="s">
        <v>2907</v>
      </c>
      <c r="N841" s="13" t="s">
        <v>2908</v>
      </c>
      <c r="O841" s="15" t="s">
        <v>2909</v>
      </c>
    </row>
    <row r="842">
      <c r="A842" s="5">
        <v>962.0</v>
      </c>
      <c r="B842" s="6">
        <v>45991.99923311343</v>
      </c>
      <c r="C842" s="7" t="s">
        <v>15</v>
      </c>
      <c r="D842" s="8" t="s">
        <v>410</v>
      </c>
      <c r="E842" s="8" t="s">
        <v>411</v>
      </c>
      <c r="F842" s="7" t="s">
        <v>412</v>
      </c>
      <c r="G842" s="9" t="s">
        <v>209</v>
      </c>
      <c r="H842" s="7" t="s">
        <v>2900</v>
      </c>
      <c r="I842" s="7" t="s">
        <v>2901</v>
      </c>
      <c r="J842" s="10">
        <v>45846.0</v>
      </c>
      <c r="K842" s="8" t="s">
        <v>2659</v>
      </c>
      <c r="L842" s="7">
        <v>1.0</v>
      </c>
      <c r="M842" s="7" t="s">
        <v>2902</v>
      </c>
      <c r="N842" s="13" t="s">
        <v>2910</v>
      </c>
      <c r="O842" s="15" t="s">
        <v>2911</v>
      </c>
    </row>
    <row r="843">
      <c r="A843" s="5">
        <v>963.0</v>
      </c>
      <c r="B843" s="6">
        <v>45992.001902557866</v>
      </c>
      <c r="C843" s="7" t="s">
        <v>15</v>
      </c>
      <c r="D843" s="8" t="s">
        <v>410</v>
      </c>
      <c r="E843" s="8" t="s">
        <v>411</v>
      </c>
      <c r="F843" s="7" t="s">
        <v>412</v>
      </c>
      <c r="G843" s="9" t="s">
        <v>144</v>
      </c>
      <c r="H843" s="7" t="s">
        <v>730</v>
      </c>
      <c r="I843" s="7" t="s">
        <v>2912</v>
      </c>
      <c r="J843" s="10">
        <v>45983.0</v>
      </c>
      <c r="K843" s="8" t="s">
        <v>2275</v>
      </c>
      <c r="L843" s="7">
        <v>2.0</v>
      </c>
      <c r="M843" s="7" t="s">
        <v>2883</v>
      </c>
      <c r="N843" s="13" t="s">
        <v>2913</v>
      </c>
      <c r="O843" s="15" t="s">
        <v>2914</v>
      </c>
    </row>
    <row r="844">
      <c r="A844" s="5">
        <v>964.0</v>
      </c>
      <c r="B844" s="6">
        <v>45992.00459134259</v>
      </c>
      <c r="C844" s="7" t="s">
        <v>26</v>
      </c>
      <c r="D844" s="8" t="s">
        <v>2401</v>
      </c>
      <c r="E844" s="8" t="s">
        <v>799</v>
      </c>
      <c r="F844" s="7" t="s">
        <v>2402</v>
      </c>
      <c r="G844" s="9" t="s">
        <v>19</v>
      </c>
      <c r="H844" s="7" t="s">
        <v>2915</v>
      </c>
      <c r="I844" s="7" t="s">
        <v>31</v>
      </c>
      <c r="J844" s="10">
        <v>45825.0</v>
      </c>
      <c r="K844" s="8" t="s">
        <v>49</v>
      </c>
      <c r="L844" s="7">
        <v>8.0</v>
      </c>
      <c r="M844" s="7" t="s">
        <v>33</v>
      </c>
      <c r="N844" s="13" t="s">
        <v>2916</v>
      </c>
      <c r="O844" s="15" t="s">
        <v>2917</v>
      </c>
    </row>
    <row r="845">
      <c r="A845" s="5">
        <v>965.0</v>
      </c>
      <c r="B845" s="6">
        <v>45992.03265635417</v>
      </c>
      <c r="C845" s="7" t="s">
        <v>15</v>
      </c>
      <c r="D845" s="8" t="s">
        <v>2918</v>
      </c>
      <c r="E845" s="8" t="s">
        <v>2919</v>
      </c>
      <c r="F845" s="7" t="s">
        <v>2920</v>
      </c>
      <c r="G845" s="9" t="s">
        <v>19</v>
      </c>
      <c r="H845" s="7" t="s">
        <v>2921</v>
      </c>
      <c r="I845" s="7" t="s">
        <v>37</v>
      </c>
      <c r="J845" s="10">
        <v>45838.0</v>
      </c>
      <c r="K845" s="8" t="s">
        <v>2922</v>
      </c>
      <c r="L845" s="7">
        <v>8.0</v>
      </c>
      <c r="M845" s="7" t="s">
        <v>33</v>
      </c>
      <c r="N845" s="13" t="s">
        <v>2923</v>
      </c>
      <c r="O845" s="15" t="s">
        <v>2924</v>
      </c>
    </row>
    <row r="846">
      <c r="A846" s="5">
        <v>966.0</v>
      </c>
      <c r="B846" s="6">
        <v>45992.03537736111</v>
      </c>
      <c r="C846" s="7" t="s">
        <v>15</v>
      </c>
      <c r="D846" s="8" t="s">
        <v>2918</v>
      </c>
      <c r="E846" s="8" t="s">
        <v>2919</v>
      </c>
      <c r="F846" s="7" t="s">
        <v>2920</v>
      </c>
      <c r="G846" s="9" t="s">
        <v>19</v>
      </c>
      <c r="H846" s="7" t="s">
        <v>44</v>
      </c>
      <c r="I846" s="7" t="s">
        <v>37</v>
      </c>
      <c r="J846" s="10">
        <v>45839.0</v>
      </c>
      <c r="K846" s="8" t="s">
        <v>2925</v>
      </c>
      <c r="L846" s="7">
        <v>8.0</v>
      </c>
      <c r="M846" s="7" t="s">
        <v>33</v>
      </c>
      <c r="N846" s="13" t="s">
        <v>2926</v>
      </c>
      <c r="O846" s="15" t="s">
        <v>2927</v>
      </c>
    </row>
    <row r="847">
      <c r="A847" s="5">
        <v>967.0</v>
      </c>
      <c r="B847" s="6">
        <v>45992.03690327547</v>
      </c>
      <c r="C847" s="7" t="s">
        <v>15</v>
      </c>
      <c r="D847" s="8" t="s">
        <v>2918</v>
      </c>
      <c r="E847" s="8" t="s">
        <v>2919</v>
      </c>
      <c r="F847" s="7" t="s">
        <v>2920</v>
      </c>
      <c r="G847" s="9" t="s">
        <v>19</v>
      </c>
      <c r="H847" s="7" t="s">
        <v>44</v>
      </c>
      <c r="I847" s="7" t="s">
        <v>37</v>
      </c>
      <c r="J847" s="10">
        <v>45840.0</v>
      </c>
      <c r="K847" s="8" t="s">
        <v>2925</v>
      </c>
      <c r="L847" s="7">
        <v>8.0</v>
      </c>
      <c r="M847" s="7" t="s">
        <v>33</v>
      </c>
      <c r="N847" s="13" t="s">
        <v>2928</v>
      </c>
      <c r="O847" s="15" t="s">
        <v>2929</v>
      </c>
    </row>
    <row r="848">
      <c r="A848" s="5">
        <v>968.0</v>
      </c>
      <c r="B848" s="6">
        <v>45992.04060125</v>
      </c>
      <c r="C848" s="7" t="s">
        <v>15</v>
      </c>
      <c r="D848" s="8" t="s">
        <v>2918</v>
      </c>
      <c r="E848" s="8" t="s">
        <v>2919</v>
      </c>
      <c r="F848" s="7" t="s">
        <v>2920</v>
      </c>
      <c r="G848" s="9" t="s">
        <v>19</v>
      </c>
      <c r="H848" s="7" t="s">
        <v>30</v>
      </c>
      <c r="I848" s="7" t="s">
        <v>31</v>
      </c>
      <c r="J848" s="10">
        <v>45825.0</v>
      </c>
      <c r="K848" s="8" t="s">
        <v>49</v>
      </c>
      <c r="L848" s="7">
        <v>8.0</v>
      </c>
      <c r="M848" s="7" t="s">
        <v>33</v>
      </c>
      <c r="N848" s="13" t="s">
        <v>2930</v>
      </c>
      <c r="O848" s="15" t="s">
        <v>2931</v>
      </c>
    </row>
    <row r="849">
      <c r="A849" s="5">
        <v>969.0</v>
      </c>
      <c r="B849" s="6">
        <v>45992.04398699074</v>
      </c>
      <c r="C849" s="7" t="s">
        <v>15</v>
      </c>
      <c r="D849" s="8" t="s">
        <v>2920</v>
      </c>
      <c r="E849" s="8" t="s">
        <v>2919</v>
      </c>
      <c r="F849" s="7" t="s">
        <v>2920</v>
      </c>
      <c r="G849" s="9" t="s">
        <v>19</v>
      </c>
      <c r="H849" s="7" t="s">
        <v>104</v>
      </c>
      <c r="I849" s="7" t="s">
        <v>2932</v>
      </c>
      <c r="J849" s="10">
        <v>45823.0</v>
      </c>
      <c r="K849" s="8" t="s">
        <v>499</v>
      </c>
      <c r="L849" s="7">
        <v>4.0</v>
      </c>
      <c r="M849" s="7" t="s">
        <v>106</v>
      </c>
      <c r="N849" s="13" t="s">
        <v>2933</v>
      </c>
      <c r="O849" s="15" t="s">
        <v>2934</v>
      </c>
    </row>
    <row r="850">
      <c r="A850" s="5">
        <v>970.0</v>
      </c>
      <c r="B850" s="6">
        <v>45992.04663956018</v>
      </c>
      <c r="C850" s="7" t="s">
        <v>15</v>
      </c>
      <c r="D850" s="8" t="s">
        <v>2918</v>
      </c>
      <c r="E850" s="8" t="s">
        <v>2919</v>
      </c>
      <c r="F850" s="7" t="s">
        <v>2920</v>
      </c>
      <c r="G850" s="9" t="s">
        <v>19</v>
      </c>
      <c r="H850" s="7" t="s">
        <v>104</v>
      </c>
      <c r="I850" s="7" t="s">
        <v>2932</v>
      </c>
      <c r="J850" s="10">
        <v>45823.0</v>
      </c>
      <c r="K850" s="8" t="s">
        <v>499</v>
      </c>
      <c r="L850" s="7">
        <v>4.0</v>
      </c>
      <c r="M850" s="7" t="s">
        <v>106</v>
      </c>
      <c r="N850" s="13" t="s">
        <v>2935</v>
      </c>
      <c r="O850" s="15" t="s">
        <v>2936</v>
      </c>
    </row>
    <row r="851">
      <c r="A851" s="5">
        <v>971.0</v>
      </c>
      <c r="B851" s="6">
        <v>45992.04896090278</v>
      </c>
      <c r="C851" s="7" t="s">
        <v>15</v>
      </c>
      <c r="D851" s="8" t="s">
        <v>2918</v>
      </c>
      <c r="E851" s="8" t="s">
        <v>2919</v>
      </c>
      <c r="F851" s="7" t="s">
        <v>2920</v>
      </c>
      <c r="G851" s="9" t="s">
        <v>19</v>
      </c>
      <c r="H851" s="7" t="s">
        <v>2256</v>
      </c>
      <c r="I851" s="7" t="s">
        <v>2937</v>
      </c>
      <c r="J851" s="10">
        <v>45949.0</v>
      </c>
      <c r="K851" s="8" t="s">
        <v>1172</v>
      </c>
      <c r="L851" s="7">
        <v>4.0</v>
      </c>
      <c r="M851" s="7" t="s">
        <v>636</v>
      </c>
      <c r="N851" s="13" t="s">
        <v>2938</v>
      </c>
      <c r="O851" s="15" t="s">
        <v>2939</v>
      </c>
    </row>
    <row r="852">
      <c r="A852" s="5">
        <v>972.0</v>
      </c>
      <c r="B852" s="6">
        <v>45992.05099395833</v>
      </c>
      <c r="C852" s="7" t="s">
        <v>15</v>
      </c>
      <c r="D852" s="8" t="s">
        <v>2918</v>
      </c>
      <c r="E852" s="8" t="s">
        <v>2919</v>
      </c>
      <c r="F852" s="7" t="s">
        <v>2920</v>
      </c>
      <c r="G852" s="9" t="s">
        <v>19</v>
      </c>
      <c r="H852" s="7" t="s">
        <v>2940</v>
      </c>
      <c r="I852" s="7" t="s">
        <v>2941</v>
      </c>
      <c r="J852" s="10">
        <v>45951.0</v>
      </c>
      <c r="K852" s="8" t="s">
        <v>1365</v>
      </c>
      <c r="L852" s="7">
        <v>4.0</v>
      </c>
      <c r="M852" s="7" t="s">
        <v>636</v>
      </c>
      <c r="N852" s="13" t="s">
        <v>2942</v>
      </c>
      <c r="O852" s="15" t="s">
        <v>2943</v>
      </c>
    </row>
    <row r="853">
      <c r="A853" s="5">
        <v>973.0</v>
      </c>
      <c r="B853" s="6">
        <v>45992.05275407407</v>
      </c>
      <c r="C853" s="7" t="s">
        <v>15</v>
      </c>
      <c r="D853" s="8" t="s">
        <v>2918</v>
      </c>
      <c r="E853" s="8" t="s">
        <v>2919</v>
      </c>
      <c r="F853" s="7" t="s">
        <v>2920</v>
      </c>
      <c r="G853" s="9" t="s">
        <v>19</v>
      </c>
      <c r="H853" s="7" t="s">
        <v>2269</v>
      </c>
      <c r="I853" s="7" t="s">
        <v>314</v>
      </c>
      <c r="J853" s="10">
        <v>45952.0</v>
      </c>
      <c r="K853" s="8" t="s">
        <v>1365</v>
      </c>
      <c r="L853" s="7">
        <v>4.0</v>
      </c>
      <c r="M853" s="7" t="s">
        <v>636</v>
      </c>
      <c r="N853" s="13" t="s">
        <v>2944</v>
      </c>
      <c r="O853" s="15" t="s">
        <v>2945</v>
      </c>
    </row>
    <row r="854">
      <c r="A854" s="5">
        <v>974.0</v>
      </c>
      <c r="B854" s="6">
        <v>45992.055031400465</v>
      </c>
      <c r="C854" s="7" t="s">
        <v>15</v>
      </c>
      <c r="D854" s="8" t="s">
        <v>2918</v>
      </c>
      <c r="E854" s="8" t="s">
        <v>2919</v>
      </c>
      <c r="F854" s="7" t="s">
        <v>2920</v>
      </c>
      <c r="G854" s="9" t="s">
        <v>19</v>
      </c>
      <c r="H854" s="7" t="s">
        <v>2269</v>
      </c>
      <c r="I854" s="7" t="s">
        <v>314</v>
      </c>
      <c r="J854" s="10">
        <v>45953.0</v>
      </c>
      <c r="K854" s="8" t="s">
        <v>1365</v>
      </c>
      <c r="L854" s="7">
        <v>4.0</v>
      </c>
      <c r="M854" s="7" t="s">
        <v>636</v>
      </c>
      <c r="N854" s="13" t="s">
        <v>2946</v>
      </c>
      <c r="O854" s="15" t="s">
        <v>2947</v>
      </c>
    </row>
    <row r="855">
      <c r="A855" s="5">
        <v>975.0</v>
      </c>
      <c r="B855" s="6">
        <v>45992.0574961574</v>
      </c>
      <c r="C855" s="7" t="s">
        <v>15</v>
      </c>
      <c r="D855" s="8" t="s">
        <v>2918</v>
      </c>
      <c r="E855" s="8" t="s">
        <v>2919</v>
      </c>
      <c r="F855" s="7" t="s">
        <v>2920</v>
      </c>
      <c r="G855" s="9" t="s">
        <v>19</v>
      </c>
      <c r="H855" s="7" t="s">
        <v>2269</v>
      </c>
      <c r="I855" s="7" t="s">
        <v>314</v>
      </c>
      <c r="J855" s="10">
        <v>45950.0</v>
      </c>
      <c r="K855" s="8" t="s">
        <v>1365</v>
      </c>
      <c r="L855" s="7">
        <v>4.0</v>
      </c>
      <c r="M855" s="7" t="s">
        <v>636</v>
      </c>
      <c r="N855" s="13" t="s">
        <v>2948</v>
      </c>
      <c r="O855" s="15" t="s">
        <v>2949</v>
      </c>
    </row>
    <row r="856">
      <c r="A856" s="5">
        <v>976.0</v>
      </c>
      <c r="B856" s="6">
        <v>45992.05955440972</v>
      </c>
      <c r="C856" s="7" t="s">
        <v>15</v>
      </c>
      <c r="D856" s="8" t="s">
        <v>2918</v>
      </c>
      <c r="E856" s="8" t="s">
        <v>2919</v>
      </c>
      <c r="F856" s="7" t="s">
        <v>2920</v>
      </c>
      <c r="G856" s="9" t="s">
        <v>19</v>
      </c>
      <c r="H856" s="7" t="s">
        <v>486</v>
      </c>
      <c r="I856" s="7" t="s">
        <v>487</v>
      </c>
      <c r="J856" s="10">
        <v>45940.0</v>
      </c>
      <c r="K856" s="8" t="s">
        <v>1365</v>
      </c>
      <c r="L856" s="7">
        <v>4.0</v>
      </c>
      <c r="M856" s="7" t="s">
        <v>23</v>
      </c>
      <c r="N856" s="13" t="s">
        <v>2950</v>
      </c>
      <c r="O856" s="15" t="s">
        <v>2951</v>
      </c>
    </row>
    <row r="857">
      <c r="A857" s="5">
        <v>977.0</v>
      </c>
      <c r="B857" s="6">
        <v>45992.06948957176</v>
      </c>
      <c r="C857" s="7" t="s">
        <v>15</v>
      </c>
      <c r="D857" s="8" t="s">
        <v>2918</v>
      </c>
      <c r="E857" s="8" t="s">
        <v>2919</v>
      </c>
      <c r="F857" s="7" t="s">
        <v>2920</v>
      </c>
      <c r="G857" s="9" t="s">
        <v>19</v>
      </c>
      <c r="H857" s="7" t="s">
        <v>2952</v>
      </c>
      <c r="I857" s="7" t="s">
        <v>2033</v>
      </c>
      <c r="J857" s="10">
        <v>45891.0</v>
      </c>
      <c r="K857" s="8" t="s">
        <v>962</v>
      </c>
      <c r="L857" s="7">
        <v>4.0</v>
      </c>
      <c r="M857" s="7" t="s">
        <v>2953</v>
      </c>
      <c r="N857" s="13" t="s">
        <v>2954</v>
      </c>
      <c r="O857" s="15" t="s">
        <v>2955</v>
      </c>
    </row>
    <row r="858">
      <c r="A858" s="5">
        <v>978.0</v>
      </c>
      <c r="B858" s="6">
        <v>45992.07171991898</v>
      </c>
      <c r="C858" s="7" t="s">
        <v>15</v>
      </c>
      <c r="D858" s="8" t="s">
        <v>2918</v>
      </c>
      <c r="E858" s="8" t="s">
        <v>2919</v>
      </c>
      <c r="F858" s="7" t="s">
        <v>2920</v>
      </c>
      <c r="G858" s="9" t="s">
        <v>19</v>
      </c>
      <c r="H858" s="7" t="s">
        <v>2952</v>
      </c>
      <c r="I858" s="7" t="s">
        <v>2033</v>
      </c>
      <c r="J858" s="10">
        <v>45892.0</v>
      </c>
      <c r="K858" s="8" t="s">
        <v>315</v>
      </c>
      <c r="L858" s="7">
        <v>8.0</v>
      </c>
      <c r="M858" s="7" t="s">
        <v>87</v>
      </c>
      <c r="N858" s="13" t="s">
        <v>2956</v>
      </c>
      <c r="O858" s="15" t="s">
        <v>2957</v>
      </c>
    </row>
    <row r="859">
      <c r="A859" s="5">
        <v>979.0</v>
      </c>
      <c r="B859" s="6">
        <v>45992.07350168981</v>
      </c>
      <c r="C859" s="7" t="s">
        <v>15</v>
      </c>
      <c r="D859" s="8" t="s">
        <v>2918</v>
      </c>
      <c r="E859" s="8" t="s">
        <v>2919</v>
      </c>
      <c r="F859" s="7" t="s">
        <v>2920</v>
      </c>
      <c r="G859" s="9" t="s">
        <v>19</v>
      </c>
      <c r="H859" s="7" t="s">
        <v>2952</v>
      </c>
      <c r="I859" s="7" t="s">
        <v>2033</v>
      </c>
      <c r="J859" s="10">
        <v>45893.0</v>
      </c>
      <c r="K859" s="8" t="s">
        <v>315</v>
      </c>
      <c r="L859" s="7">
        <v>8.0</v>
      </c>
      <c r="M859" s="7" t="s">
        <v>87</v>
      </c>
      <c r="N859" s="13" t="s">
        <v>2958</v>
      </c>
      <c r="O859" s="15" t="s">
        <v>2959</v>
      </c>
    </row>
    <row r="860">
      <c r="A860" s="5">
        <v>980.0</v>
      </c>
      <c r="B860" s="6">
        <v>45992.075901585646</v>
      </c>
      <c r="C860" s="7" t="s">
        <v>15</v>
      </c>
      <c r="D860" s="8" t="s">
        <v>2918</v>
      </c>
      <c r="E860" s="8" t="s">
        <v>2919</v>
      </c>
      <c r="F860" s="7" t="s">
        <v>2920</v>
      </c>
      <c r="G860" s="9" t="s">
        <v>415</v>
      </c>
      <c r="H860" s="7" t="s">
        <v>2960</v>
      </c>
      <c r="I860" s="7" t="s">
        <v>2381</v>
      </c>
      <c r="J860" s="10">
        <v>45866.0</v>
      </c>
      <c r="K860" s="8" t="s">
        <v>2961</v>
      </c>
      <c r="L860" s="7">
        <v>1.0</v>
      </c>
      <c r="M860" s="7" t="s">
        <v>2962</v>
      </c>
      <c r="N860" s="13" t="s">
        <v>2963</v>
      </c>
      <c r="O860" s="15" t="s">
        <v>2964</v>
      </c>
    </row>
    <row r="861">
      <c r="A861" s="5">
        <v>981.0</v>
      </c>
      <c r="B861" s="6">
        <v>45992.07808378473</v>
      </c>
      <c r="C861" s="7" t="s">
        <v>15</v>
      </c>
      <c r="D861" s="8" t="s">
        <v>2918</v>
      </c>
      <c r="E861" s="8" t="s">
        <v>2919</v>
      </c>
      <c r="F861" s="7" t="s">
        <v>2920</v>
      </c>
      <c r="G861" s="9" t="s">
        <v>415</v>
      </c>
      <c r="H861" s="7" t="s">
        <v>2965</v>
      </c>
      <c r="I861" s="7" t="s">
        <v>231</v>
      </c>
      <c r="J861" s="10">
        <v>45881.0</v>
      </c>
      <c r="K861" s="8" t="s">
        <v>2961</v>
      </c>
      <c r="L861" s="7">
        <v>1.0</v>
      </c>
      <c r="M861" s="7" t="s">
        <v>314</v>
      </c>
      <c r="N861" s="13" t="s">
        <v>2966</v>
      </c>
      <c r="O861" s="15" t="s">
        <v>2967</v>
      </c>
    </row>
    <row r="862">
      <c r="A862" s="5">
        <v>982.0</v>
      </c>
      <c r="B862" s="6">
        <v>45992.08474496528</v>
      </c>
      <c r="C862" s="7" t="s">
        <v>15</v>
      </c>
      <c r="D862" s="8" t="s">
        <v>2968</v>
      </c>
      <c r="E862" s="8" t="s">
        <v>1259</v>
      </c>
      <c r="F862" s="7" t="s">
        <v>2969</v>
      </c>
      <c r="G862" s="9" t="s">
        <v>19</v>
      </c>
      <c r="H862" s="7" t="s">
        <v>30</v>
      </c>
      <c r="I862" s="7" t="s">
        <v>2130</v>
      </c>
      <c r="J862" s="10">
        <v>45825.0</v>
      </c>
      <c r="K862" s="8" t="s">
        <v>49</v>
      </c>
      <c r="L862" s="7">
        <v>8.0</v>
      </c>
      <c r="M862" s="7" t="s">
        <v>33</v>
      </c>
      <c r="N862" s="13" t="s">
        <v>2970</v>
      </c>
      <c r="O862" s="15" t="s">
        <v>2971</v>
      </c>
    </row>
    <row r="863">
      <c r="A863" s="5">
        <v>983.0</v>
      </c>
      <c r="B863" s="6">
        <v>45992.090302453704</v>
      </c>
      <c r="C863" s="7" t="s">
        <v>15</v>
      </c>
      <c r="D863" s="8" t="s">
        <v>2968</v>
      </c>
      <c r="E863" s="8" t="s">
        <v>1259</v>
      </c>
      <c r="F863" s="7" t="s">
        <v>2969</v>
      </c>
      <c r="G863" s="9" t="s">
        <v>19</v>
      </c>
      <c r="H863" s="7" t="s">
        <v>30</v>
      </c>
      <c r="I863" s="7" t="s">
        <v>469</v>
      </c>
      <c r="J863" s="10">
        <v>45833.0</v>
      </c>
      <c r="K863" s="8" t="s">
        <v>49</v>
      </c>
      <c r="L863" s="7">
        <v>8.0</v>
      </c>
      <c r="M863" s="7" t="s">
        <v>33</v>
      </c>
      <c r="N863" s="13" t="s">
        <v>2972</v>
      </c>
      <c r="O863" s="15" t="s">
        <v>2973</v>
      </c>
    </row>
    <row r="864">
      <c r="A864" s="5">
        <v>984.0</v>
      </c>
      <c r="B864" s="6">
        <v>45992.09313699074</v>
      </c>
      <c r="C864" s="7" t="s">
        <v>15</v>
      </c>
      <c r="D864" s="8" t="s">
        <v>2968</v>
      </c>
      <c r="E864" s="8" t="s">
        <v>1259</v>
      </c>
      <c r="F864" s="7" t="s">
        <v>2969</v>
      </c>
      <c r="G864" s="9" t="s">
        <v>19</v>
      </c>
      <c r="H864" s="7" t="s">
        <v>975</v>
      </c>
      <c r="I864" s="7" t="s">
        <v>37</v>
      </c>
      <c r="J864" s="10">
        <v>45838.0</v>
      </c>
      <c r="K864" s="8" t="s">
        <v>67</v>
      </c>
      <c r="L864" s="7">
        <v>8.0</v>
      </c>
      <c r="M864" s="7" t="s">
        <v>33</v>
      </c>
      <c r="N864" s="13" t="s">
        <v>2974</v>
      </c>
      <c r="O864" s="15" t="s">
        <v>2975</v>
      </c>
    </row>
    <row r="865">
      <c r="A865" s="5">
        <v>985.0</v>
      </c>
      <c r="B865" s="6">
        <v>45992.09731297454</v>
      </c>
      <c r="C865" s="7" t="s">
        <v>15</v>
      </c>
      <c r="D865" s="8" t="s">
        <v>2968</v>
      </c>
      <c r="E865" s="8" t="s">
        <v>1259</v>
      </c>
      <c r="F865" s="7" t="s">
        <v>2969</v>
      </c>
      <c r="G865" s="9" t="s">
        <v>19</v>
      </c>
      <c r="H865" s="7" t="s">
        <v>41</v>
      </c>
      <c r="I865" s="7" t="s">
        <v>37</v>
      </c>
      <c r="J865" s="10">
        <v>45839.0</v>
      </c>
      <c r="K865" s="8" t="s">
        <v>2143</v>
      </c>
      <c r="L865" s="7">
        <v>8.0</v>
      </c>
      <c r="M865" s="7" t="s">
        <v>33</v>
      </c>
      <c r="N865" s="13" t="s">
        <v>2976</v>
      </c>
      <c r="O865" s="15" t="s">
        <v>2977</v>
      </c>
    </row>
    <row r="866">
      <c r="A866" s="5">
        <v>986.0</v>
      </c>
      <c r="B866" s="6">
        <v>45992.099959513886</v>
      </c>
      <c r="C866" s="7" t="s">
        <v>15</v>
      </c>
      <c r="D866" s="8" t="s">
        <v>2968</v>
      </c>
      <c r="E866" s="8" t="s">
        <v>1259</v>
      </c>
      <c r="F866" s="7" t="s">
        <v>2969</v>
      </c>
      <c r="G866" s="9" t="s">
        <v>19</v>
      </c>
      <c r="H866" s="7" t="s">
        <v>41</v>
      </c>
      <c r="I866" s="7" t="s">
        <v>37</v>
      </c>
      <c r="J866" s="10">
        <v>45840.0</v>
      </c>
      <c r="K866" s="8" t="s">
        <v>67</v>
      </c>
      <c r="L866" s="7">
        <v>8.0</v>
      </c>
      <c r="M866" s="7" t="s">
        <v>1275</v>
      </c>
      <c r="N866" s="13" t="s">
        <v>2978</v>
      </c>
      <c r="O866" s="15" t="s">
        <v>2979</v>
      </c>
    </row>
    <row r="867">
      <c r="A867" s="5">
        <v>987.0</v>
      </c>
      <c r="B867" s="6">
        <v>45992.10536534722</v>
      </c>
      <c r="C867" s="7" t="s">
        <v>15</v>
      </c>
      <c r="D867" s="8" t="s">
        <v>2968</v>
      </c>
      <c r="E867" s="8" t="s">
        <v>1259</v>
      </c>
      <c r="F867" s="7" t="s">
        <v>2969</v>
      </c>
      <c r="G867" s="9" t="s">
        <v>19</v>
      </c>
      <c r="H867" s="7" t="s">
        <v>406</v>
      </c>
      <c r="I867" s="7" t="s">
        <v>94</v>
      </c>
      <c r="J867" s="10">
        <v>45823.0</v>
      </c>
      <c r="K867" s="8" t="s">
        <v>22</v>
      </c>
      <c r="L867" s="7">
        <v>4.0</v>
      </c>
      <c r="M867" s="7" t="s">
        <v>2980</v>
      </c>
      <c r="N867" s="13" t="s">
        <v>2981</v>
      </c>
      <c r="O867" s="15" t="s">
        <v>2982</v>
      </c>
    </row>
    <row r="868">
      <c r="A868" s="5">
        <v>988.0</v>
      </c>
      <c r="B868" s="6">
        <v>45992.11035973379</v>
      </c>
      <c r="C868" s="7" t="s">
        <v>15</v>
      </c>
      <c r="D868" s="8" t="s">
        <v>2968</v>
      </c>
      <c r="E868" s="8" t="s">
        <v>1259</v>
      </c>
      <c r="F868" s="7" t="s">
        <v>2969</v>
      </c>
      <c r="G868" s="9" t="s">
        <v>415</v>
      </c>
      <c r="H868" s="7" t="s">
        <v>2983</v>
      </c>
      <c r="I868" s="7" t="s">
        <v>2984</v>
      </c>
      <c r="J868" s="10">
        <v>45861.0</v>
      </c>
      <c r="K868" s="8" t="s">
        <v>1633</v>
      </c>
      <c r="L868" s="7">
        <v>1.0</v>
      </c>
      <c r="M868" s="7" t="s">
        <v>2962</v>
      </c>
      <c r="N868" s="13" t="s">
        <v>2985</v>
      </c>
      <c r="O868" s="15" t="s">
        <v>2986</v>
      </c>
    </row>
    <row r="869">
      <c r="A869" s="5">
        <v>989.0</v>
      </c>
      <c r="B869" s="6">
        <v>45992.22912928241</v>
      </c>
      <c r="C869" s="7" t="s">
        <v>26</v>
      </c>
      <c r="D869" s="8" t="s">
        <v>1304</v>
      </c>
      <c r="E869" s="8" t="s">
        <v>134</v>
      </c>
      <c r="F869" s="7" t="s">
        <v>1305</v>
      </c>
      <c r="G869" s="9" t="s">
        <v>181</v>
      </c>
      <c r="H869" s="7" t="s">
        <v>2987</v>
      </c>
      <c r="I869" s="7" t="s">
        <v>2988</v>
      </c>
      <c r="J869" s="10">
        <v>45887.0</v>
      </c>
      <c r="K869" s="8" t="s">
        <v>518</v>
      </c>
      <c r="L869" s="7">
        <v>2.0</v>
      </c>
      <c r="M869" s="7" t="s">
        <v>2989</v>
      </c>
      <c r="N869" s="13" t="s">
        <v>2990</v>
      </c>
      <c r="O869" s="15" t="s">
        <v>2991</v>
      </c>
    </row>
    <row r="870">
      <c r="A870" s="5">
        <v>990.0</v>
      </c>
      <c r="B870" s="6">
        <v>45992.25440600695</v>
      </c>
      <c r="C870" s="7" t="s">
        <v>15</v>
      </c>
      <c r="D870" s="8" t="s">
        <v>2675</v>
      </c>
      <c r="E870" s="8" t="s">
        <v>287</v>
      </c>
      <c r="F870" s="7" t="s">
        <v>2676</v>
      </c>
      <c r="G870" s="9" t="s">
        <v>181</v>
      </c>
      <c r="H870" s="7" t="s">
        <v>2812</v>
      </c>
      <c r="I870" s="7" t="s">
        <v>279</v>
      </c>
      <c r="J870" s="10">
        <v>45965.0</v>
      </c>
      <c r="K870" s="8" t="s">
        <v>315</v>
      </c>
      <c r="L870" s="7">
        <v>8.0</v>
      </c>
      <c r="M870" s="7" t="s">
        <v>33</v>
      </c>
      <c r="N870" s="13" t="s">
        <v>2992</v>
      </c>
      <c r="O870" s="15" t="s">
        <v>2993</v>
      </c>
    </row>
    <row r="871">
      <c r="A871" s="5">
        <v>991.0</v>
      </c>
      <c r="B871" s="6">
        <v>45992.318924861116</v>
      </c>
      <c r="C871" s="7" t="s">
        <v>125</v>
      </c>
      <c r="D871" s="8" t="s">
        <v>2994</v>
      </c>
      <c r="E871" s="8" t="s">
        <v>2061</v>
      </c>
      <c r="F871" s="7" t="s">
        <v>2995</v>
      </c>
      <c r="G871" s="9" t="s">
        <v>144</v>
      </c>
      <c r="H871" s="7" t="s">
        <v>2996</v>
      </c>
      <c r="I871" s="7" t="s">
        <v>2997</v>
      </c>
      <c r="J871" s="10">
        <v>45955.0</v>
      </c>
      <c r="K871" s="8" t="s">
        <v>22</v>
      </c>
      <c r="L871" s="7">
        <v>4.0</v>
      </c>
      <c r="M871" s="7" t="s">
        <v>1823</v>
      </c>
      <c r="N871" s="13" t="s">
        <v>2998</v>
      </c>
      <c r="O871" s="15" t="s">
        <v>2999</v>
      </c>
    </row>
    <row r="872">
      <c r="A872" s="5">
        <v>992.0</v>
      </c>
      <c r="B872" s="6">
        <v>45992.321216620374</v>
      </c>
      <c r="C872" s="7" t="s">
        <v>125</v>
      </c>
      <c r="D872" s="8" t="s">
        <v>2994</v>
      </c>
      <c r="E872" s="8" t="s">
        <v>2061</v>
      </c>
      <c r="F872" s="7" t="s">
        <v>2995</v>
      </c>
      <c r="G872" s="9" t="s">
        <v>19</v>
      </c>
      <c r="H872" s="7" t="s">
        <v>173</v>
      </c>
      <c r="I872" s="7" t="s">
        <v>174</v>
      </c>
      <c r="J872" s="10">
        <v>45854.0</v>
      </c>
      <c r="K872" s="8" t="s">
        <v>175</v>
      </c>
      <c r="L872" s="7">
        <v>6.0</v>
      </c>
      <c r="M872" s="7" t="s">
        <v>106</v>
      </c>
      <c r="N872" s="7"/>
      <c r="O872" s="23"/>
    </row>
    <row r="873">
      <c r="A873" s="5">
        <v>993.0</v>
      </c>
      <c r="B873" s="6">
        <v>45992.383221365744</v>
      </c>
      <c r="C873" s="7" t="s">
        <v>125</v>
      </c>
      <c r="D873" s="8" t="s">
        <v>2994</v>
      </c>
      <c r="E873" s="8" t="s">
        <v>2061</v>
      </c>
      <c r="F873" s="7" t="s">
        <v>2995</v>
      </c>
      <c r="G873" s="9" t="s">
        <v>19</v>
      </c>
      <c r="H873" s="7" t="s">
        <v>1148</v>
      </c>
      <c r="I873" s="7" t="s">
        <v>174</v>
      </c>
      <c r="J873" s="10">
        <v>45854.0</v>
      </c>
      <c r="K873" s="8" t="s">
        <v>175</v>
      </c>
      <c r="L873" s="7">
        <v>6.0</v>
      </c>
      <c r="M873" s="7" t="s">
        <v>106</v>
      </c>
      <c r="N873" s="13" t="s">
        <v>3000</v>
      </c>
      <c r="O873" s="15" t="s">
        <v>3001</v>
      </c>
    </row>
    <row r="874">
      <c r="A874" s="5">
        <v>994.0</v>
      </c>
      <c r="B874" s="6">
        <v>45992.40867884259</v>
      </c>
      <c r="C874" s="7" t="s">
        <v>15</v>
      </c>
      <c r="D874" s="8" t="s">
        <v>3002</v>
      </c>
      <c r="E874" s="8" t="s">
        <v>1097</v>
      </c>
      <c r="F874" s="7" t="s">
        <v>3003</v>
      </c>
      <c r="G874" s="9" t="s">
        <v>19</v>
      </c>
      <c r="H874" s="7" t="s">
        <v>30</v>
      </c>
      <c r="I874" s="7" t="s">
        <v>37</v>
      </c>
      <c r="J874" s="10">
        <v>45838.0</v>
      </c>
      <c r="K874" s="8" t="s">
        <v>67</v>
      </c>
      <c r="L874" s="7">
        <v>8.0</v>
      </c>
      <c r="M874" s="7" t="s">
        <v>33</v>
      </c>
      <c r="N874" s="13" t="s">
        <v>3004</v>
      </c>
      <c r="O874" s="15" t="s">
        <v>3005</v>
      </c>
    </row>
    <row r="875">
      <c r="A875" s="5">
        <v>995.0</v>
      </c>
      <c r="B875" s="6">
        <v>45992.41719140046</v>
      </c>
      <c r="C875" s="7" t="s">
        <v>15</v>
      </c>
      <c r="D875" s="8" t="s">
        <v>3006</v>
      </c>
      <c r="E875" s="8" t="s">
        <v>228</v>
      </c>
      <c r="F875" s="7" t="s">
        <v>3007</v>
      </c>
      <c r="G875" s="9" t="s">
        <v>181</v>
      </c>
      <c r="H875" s="7" t="s">
        <v>3008</v>
      </c>
      <c r="I875" s="7" t="s">
        <v>231</v>
      </c>
      <c r="J875" s="10">
        <v>45858.0</v>
      </c>
      <c r="K875" s="8" t="s">
        <v>753</v>
      </c>
      <c r="L875" s="7">
        <v>2.0</v>
      </c>
      <c r="M875" s="7" t="s">
        <v>3009</v>
      </c>
      <c r="N875" s="13" t="s">
        <v>3010</v>
      </c>
      <c r="O875" s="15" t="s">
        <v>3011</v>
      </c>
    </row>
    <row r="876">
      <c r="A876" s="5">
        <v>996.0</v>
      </c>
      <c r="B876" s="6">
        <v>45992.41726326389</v>
      </c>
      <c r="C876" s="7" t="s">
        <v>15</v>
      </c>
      <c r="D876" s="8" t="s">
        <v>1808</v>
      </c>
      <c r="E876" s="8" t="s">
        <v>830</v>
      </c>
      <c r="F876" s="7" t="s">
        <v>1809</v>
      </c>
      <c r="G876" s="9" t="s">
        <v>181</v>
      </c>
      <c r="H876" s="7" t="s">
        <v>3012</v>
      </c>
      <c r="I876" s="7" t="s">
        <v>1211</v>
      </c>
      <c r="J876" s="10">
        <v>45858.0</v>
      </c>
      <c r="K876" s="8" t="s">
        <v>1032</v>
      </c>
      <c r="L876" s="7">
        <v>2.0</v>
      </c>
      <c r="M876" s="7" t="s">
        <v>87</v>
      </c>
      <c r="N876" s="13" t="s">
        <v>3013</v>
      </c>
      <c r="O876" s="15" t="s">
        <v>3014</v>
      </c>
    </row>
    <row r="877">
      <c r="A877" s="5">
        <v>997.0</v>
      </c>
      <c r="B877" s="6">
        <v>45992.42056168981</v>
      </c>
      <c r="C877" s="7" t="s">
        <v>15</v>
      </c>
      <c r="D877" s="8" t="s">
        <v>1808</v>
      </c>
      <c r="E877" s="8" t="s">
        <v>830</v>
      </c>
      <c r="F877" s="7" t="s">
        <v>1809</v>
      </c>
      <c r="G877" s="9" t="s">
        <v>181</v>
      </c>
      <c r="H877" s="7" t="s">
        <v>3015</v>
      </c>
      <c r="I877" s="7" t="s">
        <v>1211</v>
      </c>
      <c r="J877" s="10">
        <v>45859.0</v>
      </c>
      <c r="K877" s="8" t="s">
        <v>49</v>
      </c>
      <c r="L877" s="7">
        <v>8.0</v>
      </c>
      <c r="M877" s="7" t="s">
        <v>87</v>
      </c>
      <c r="N877" s="13" t="s">
        <v>3016</v>
      </c>
      <c r="O877" s="15" t="s">
        <v>3017</v>
      </c>
    </row>
    <row r="878">
      <c r="A878" s="5">
        <v>998.0</v>
      </c>
      <c r="B878" s="6">
        <v>45992.42429023148</v>
      </c>
      <c r="C878" s="7" t="s">
        <v>15</v>
      </c>
      <c r="D878" s="8" t="s">
        <v>2849</v>
      </c>
      <c r="E878" s="8" t="s">
        <v>2338</v>
      </c>
      <c r="F878" s="7" t="s">
        <v>2850</v>
      </c>
      <c r="G878" s="9" t="s">
        <v>181</v>
      </c>
      <c r="H878" s="7" t="s">
        <v>3018</v>
      </c>
      <c r="I878" s="7" t="s">
        <v>231</v>
      </c>
      <c r="J878" s="10">
        <v>45858.0</v>
      </c>
      <c r="K878" s="8" t="s">
        <v>1665</v>
      </c>
      <c r="L878" s="7">
        <v>2.0</v>
      </c>
      <c r="M878" s="7" t="s">
        <v>87</v>
      </c>
      <c r="N878" s="13" t="s">
        <v>3019</v>
      </c>
      <c r="O878" s="15" t="s">
        <v>3020</v>
      </c>
    </row>
    <row r="879">
      <c r="A879" s="5">
        <v>999.0</v>
      </c>
      <c r="B879" s="6">
        <v>45992.42527233796</v>
      </c>
      <c r="C879" s="7" t="s">
        <v>15</v>
      </c>
      <c r="D879" s="8" t="s">
        <v>2849</v>
      </c>
      <c r="E879" s="8" t="s">
        <v>2338</v>
      </c>
      <c r="F879" s="7" t="s">
        <v>2850</v>
      </c>
      <c r="G879" s="9" t="s">
        <v>181</v>
      </c>
      <c r="H879" s="7" t="s">
        <v>3015</v>
      </c>
      <c r="I879" s="7" t="s">
        <v>231</v>
      </c>
      <c r="J879" s="10">
        <v>45859.0</v>
      </c>
      <c r="K879" s="8" t="s">
        <v>49</v>
      </c>
      <c r="L879" s="7">
        <v>8.0</v>
      </c>
      <c r="M879" s="7" t="s">
        <v>87</v>
      </c>
      <c r="N879" s="13" t="s">
        <v>3021</v>
      </c>
      <c r="O879" s="15" t="s">
        <v>3022</v>
      </c>
    </row>
    <row r="880">
      <c r="A880" s="5">
        <v>1000.0</v>
      </c>
      <c r="B880" s="6">
        <v>45992.45392677083</v>
      </c>
      <c r="C880" s="7" t="s">
        <v>26</v>
      </c>
      <c r="D880" s="8" t="s">
        <v>3023</v>
      </c>
      <c r="E880" s="8" t="s">
        <v>3024</v>
      </c>
      <c r="F880" s="7" t="s">
        <v>3025</v>
      </c>
      <c r="G880" s="9" t="s">
        <v>19</v>
      </c>
      <c r="H880" s="7" t="s">
        <v>30</v>
      </c>
      <c r="I880" s="7" t="s">
        <v>2130</v>
      </c>
      <c r="J880" s="10">
        <v>45825.0</v>
      </c>
      <c r="K880" s="8" t="s">
        <v>32</v>
      </c>
      <c r="L880" s="7">
        <v>8.0</v>
      </c>
      <c r="M880" s="7" t="s">
        <v>33</v>
      </c>
      <c r="N880" s="13" t="s">
        <v>3026</v>
      </c>
      <c r="O880" s="15" t="s">
        <v>3027</v>
      </c>
    </row>
    <row r="881">
      <c r="A881" s="5">
        <v>1001.0</v>
      </c>
      <c r="B881" s="6">
        <v>45992.46572603009</v>
      </c>
      <c r="C881" s="7" t="s">
        <v>26</v>
      </c>
      <c r="D881" s="8" t="s">
        <v>3023</v>
      </c>
      <c r="E881" s="8" t="s">
        <v>3024</v>
      </c>
      <c r="F881" s="7" t="s">
        <v>3025</v>
      </c>
      <c r="G881" s="9" t="s">
        <v>19</v>
      </c>
      <c r="H881" s="7" t="s">
        <v>30</v>
      </c>
      <c r="I881" s="7" t="s">
        <v>37</v>
      </c>
      <c r="J881" s="10">
        <v>45838.0</v>
      </c>
      <c r="K881" s="8" t="s">
        <v>38</v>
      </c>
      <c r="L881" s="7">
        <v>8.0</v>
      </c>
      <c r="M881" s="7" t="s">
        <v>33</v>
      </c>
      <c r="N881" s="13" t="s">
        <v>3028</v>
      </c>
      <c r="O881" s="15" t="s">
        <v>3029</v>
      </c>
    </row>
    <row r="882">
      <c r="A882" s="5">
        <v>1002.0</v>
      </c>
      <c r="B882" s="6">
        <v>45992.46614142361</v>
      </c>
      <c r="C882" s="7" t="s">
        <v>26</v>
      </c>
      <c r="D882" s="8" t="s">
        <v>3030</v>
      </c>
      <c r="E882" s="8" t="s">
        <v>1827</v>
      </c>
      <c r="F882" s="7" t="s">
        <v>3031</v>
      </c>
      <c r="G882" s="9" t="s">
        <v>19</v>
      </c>
      <c r="H882" s="7" t="s">
        <v>3032</v>
      </c>
      <c r="I882" s="7" t="s">
        <v>3033</v>
      </c>
      <c r="J882" s="10">
        <v>45891.0</v>
      </c>
      <c r="K882" s="8" t="s">
        <v>689</v>
      </c>
      <c r="L882" s="7">
        <v>4.0</v>
      </c>
      <c r="M882" s="7" t="s">
        <v>87</v>
      </c>
      <c r="N882" s="13" t="s">
        <v>3034</v>
      </c>
      <c r="O882" s="15" t="s">
        <v>3035</v>
      </c>
    </row>
    <row r="883">
      <c r="A883" s="5">
        <v>1003.0</v>
      </c>
      <c r="B883" s="6">
        <v>45992.46771203703</v>
      </c>
      <c r="C883" s="7" t="s">
        <v>15</v>
      </c>
      <c r="D883" s="8" t="s">
        <v>3036</v>
      </c>
      <c r="E883" s="8" t="s">
        <v>569</v>
      </c>
      <c r="F883" s="7" t="s">
        <v>3037</v>
      </c>
      <c r="G883" s="9" t="s">
        <v>19</v>
      </c>
      <c r="H883" s="7" t="s">
        <v>30</v>
      </c>
      <c r="I883" s="7" t="s">
        <v>31</v>
      </c>
      <c r="J883" s="10">
        <v>45825.0</v>
      </c>
      <c r="K883" s="8" t="s">
        <v>49</v>
      </c>
      <c r="L883" s="7">
        <v>8.0</v>
      </c>
      <c r="M883" s="7" t="s">
        <v>33</v>
      </c>
      <c r="N883" s="13" t="s">
        <v>3038</v>
      </c>
      <c r="O883" s="15" t="s">
        <v>3039</v>
      </c>
    </row>
    <row r="884">
      <c r="A884" s="5">
        <v>1004.0</v>
      </c>
      <c r="B884" s="6">
        <v>45992.46823619213</v>
      </c>
      <c r="C884" s="7" t="s">
        <v>26</v>
      </c>
      <c r="D884" s="8" t="s">
        <v>3030</v>
      </c>
      <c r="E884" s="8" t="s">
        <v>1827</v>
      </c>
      <c r="F884" s="7" t="s">
        <v>3031</v>
      </c>
      <c r="G884" s="9" t="s">
        <v>19</v>
      </c>
      <c r="H884" s="7" t="s">
        <v>3032</v>
      </c>
      <c r="I884" s="7" t="s">
        <v>3040</v>
      </c>
      <c r="J884" s="10">
        <v>45892.0</v>
      </c>
      <c r="K884" s="8" t="s">
        <v>49</v>
      </c>
      <c r="L884" s="7">
        <v>8.0</v>
      </c>
      <c r="M884" s="7" t="s">
        <v>87</v>
      </c>
      <c r="N884" s="13" t="s">
        <v>3041</v>
      </c>
      <c r="O884" s="15" t="s">
        <v>3042</v>
      </c>
    </row>
    <row r="885">
      <c r="A885" s="5">
        <v>1005.0</v>
      </c>
      <c r="B885" s="6">
        <v>45992.469661655094</v>
      </c>
      <c r="C885" s="7" t="s">
        <v>26</v>
      </c>
      <c r="D885" s="8" t="s">
        <v>3030</v>
      </c>
      <c r="E885" s="8" t="s">
        <v>1827</v>
      </c>
      <c r="F885" s="7" t="s">
        <v>3031</v>
      </c>
      <c r="G885" s="9" t="s">
        <v>19</v>
      </c>
      <c r="H885" s="7" t="s">
        <v>3032</v>
      </c>
      <c r="I885" s="7" t="s">
        <v>3033</v>
      </c>
      <c r="J885" s="10">
        <v>45893.0</v>
      </c>
      <c r="K885" s="8" t="s">
        <v>3043</v>
      </c>
      <c r="L885" s="7">
        <v>8.0</v>
      </c>
      <c r="M885" s="7" t="s">
        <v>87</v>
      </c>
      <c r="N885" s="13" t="s">
        <v>3044</v>
      </c>
      <c r="O885" s="15" t="s">
        <v>3045</v>
      </c>
    </row>
    <row r="886">
      <c r="A886" s="5">
        <v>1006.0</v>
      </c>
      <c r="B886" s="6">
        <v>45992.471959814815</v>
      </c>
      <c r="C886" s="7" t="s">
        <v>15</v>
      </c>
      <c r="D886" s="8" t="s">
        <v>3036</v>
      </c>
      <c r="E886" s="8" t="s">
        <v>569</v>
      </c>
      <c r="F886" s="7" t="s">
        <v>3037</v>
      </c>
      <c r="G886" s="9" t="s">
        <v>19</v>
      </c>
      <c r="H886" s="7" t="s">
        <v>30</v>
      </c>
      <c r="I886" s="7" t="s">
        <v>469</v>
      </c>
      <c r="J886" s="10">
        <v>45833.0</v>
      </c>
      <c r="K886" s="8" t="s">
        <v>49</v>
      </c>
      <c r="L886" s="7">
        <v>8.0</v>
      </c>
      <c r="M886" s="7" t="s">
        <v>33</v>
      </c>
      <c r="N886" s="13" t="s">
        <v>3046</v>
      </c>
      <c r="O886" s="15" t="s">
        <v>3047</v>
      </c>
    </row>
    <row r="887">
      <c r="A887" s="5">
        <v>1007.0</v>
      </c>
      <c r="B887" s="6">
        <v>45992.472731064816</v>
      </c>
      <c r="C887" s="7" t="s">
        <v>26</v>
      </c>
      <c r="D887" s="8" t="s">
        <v>3030</v>
      </c>
      <c r="E887" s="8" t="s">
        <v>1827</v>
      </c>
      <c r="F887" s="7" t="s">
        <v>3031</v>
      </c>
      <c r="G887" s="9" t="s">
        <v>19</v>
      </c>
      <c r="H887" s="7" t="s">
        <v>3048</v>
      </c>
      <c r="I887" s="7" t="s">
        <v>961</v>
      </c>
      <c r="J887" s="10">
        <v>45961.0</v>
      </c>
      <c r="K887" s="8" t="s">
        <v>689</v>
      </c>
      <c r="L887" s="7">
        <v>4.0</v>
      </c>
      <c r="M887" s="7" t="s">
        <v>2391</v>
      </c>
      <c r="N887" s="13" t="s">
        <v>3049</v>
      </c>
      <c r="O887" s="15" t="s">
        <v>3050</v>
      </c>
    </row>
    <row r="888">
      <c r="A888" s="5">
        <v>1008.0</v>
      </c>
      <c r="B888" s="6">
        <v>45992.47286763889</v>
      </c>
      <c r="C888" s="7" t="s">
        <v>26</v>
      </c>
      <c r="D888" s="8" t="s">
        <v>3023</v>
      </c>
      <c r="E888" s="8" t="s">
        <v>3024</v>
      </c>
      <c r="F888" s="7" t="s">
        <v>3025</v>
      </c>
      <c r="G888" s="9" t="s">
        <v>19</v>
      </c>
      <c r="H888" s="7" t="s">
        <v>44</v>
      </c>
      <c r="I888" s="7" t="s">
        <v>37</v>
      </c>
      <c r="J888" s="10">
        <v>45839.0</v>
      </c>
      <c r="K888" s="8" t="s">
        <v>38</v>
      </c>
      <c r="L888" s="7">
        <v>8.0</v>
      </c>
      <c r="M888" s="7" t="s">
        <v>33</v>
      </c>
      <c r="N888" s="13" t="s">
        <v>3051</v>
      </c>
      <c r="O888" s="15" t="s">
        <v>3052</v>
      </c>
    </row>
    <row r="889">
      <c r="A889" s="5">
        <v>1009.0</v>
      </c>
      <c r="B889" s="6">
        <v>45992.47556179398</v>
      </c>
      <c r="C889" s="7" t="s">
        <v>26</v>
      </c>
      <c r="D889" s="8" t="s">
        <v>3023</v>
      </c>
      <c r="E889" s="8" t="s">
        <v>3024</v>
      </c>
      <c r="F889" s="7" t="s">
        <v>3025</v>
      </c>
      <c r="G889" s="9" t="s">
        <v>19</v>
      </c>
      <c r="H889" s="7" t="s">
        <v>44</v>
      </c>
      <c r="I889" s="7" t="s">
        <v>37</v>
      </c>
      <c r="J889" s="10">
        <v>45840.0</v>
      </c>
      <c r="K889" s="8" t="s">
        <v>3053</v>
      </c>
      <c r="L889" s="7">
        <v>8.0</v>
      </c>
      <c r="M889" s="7" t="s">
        <v>33</v>
      </c>
      <c r="N889" s="13" t="s">
        <v>3054</v>
      </c>
      <c r="O889" s="15" t="s">
        <v>3055</v>
      </c>
    </row>
    <row r="890">
      <c r="A890" s="5">
        <v>1010.0</v>
      </c>
      <c r="B890" s="6">
        <v>45992.4758297338</v>
      </c>
      <c r="C890" s="7" t="s">
        <v>15</v>
      </c>
      <c r="D890" s="8" t="s">
        <v>3036</v>
      </c>
      <c r="E890" s="8" t="s">
        <v>569</v>
      </c>
      <c r="F890" s="7" t="s">
        <v>3037</v>
      </c>
      <c r="G890" s="9" t="s">
        <v>19</v>
      </c>
      <c r="H890" s="7" t="s">
        <v>30</v>
      </c>
      <c r="I890" s="7" t="s">
        <v>37</v>
      </c>
      <c r="J890" s="10">
        <v>45838.0</v>
      </c>
      <c r="K890" s="8" t="s">
        <v>67</v>
      </c>
      <c r="L890" s="7">
        <v>8.0</v>
      </c>
      <c r="M890" s="7" t="s">
        <v>33</v>
      </c>
      <c r="N890" s="13" t="s">
        <v>3056</v>
      </c>
      <c r="O890" s="15" t="s">
        <v>3057</v>
      </c>
    </row>
    <row r="891">
      <c r="A891" s="5">
        <v>1011.0</v>
      </c>
      <c r="B891" s="6">
        <v>45992.48003835648</v>
      </c>
      <c r="C891" s="7" t="s">
        <v>15</v>
      </c>
      <c r="D891" s="8" t="s">
        <v>3036</v>
      </c>
      <c r="E891" s="8" t="s">
        <v>569</v>
      </c>
      <c r="F891" s="7" t="s">
        <v>3037</v>
      </c>
      <c r="G891" s="9" t="s">
        <v>19</v>
      </c>
      <c r="H891" s="7" t="s">
        <v>44</v>
      </c>
      <c r="I891" s="7" t="s">
        <v>37</v>
      </c>
      <c r="J891" s="10">
        <v>45839.0</v>
      </c>
      <c r="K891" s="8" t="s">
        <v>67</v>
      </c>
      <c r="L891" s="7">
        <v>8.0</v>
      </c>
      <c r="M891" s="7" t="s">
        <v>33</v>
      </c>
      <c r="N891" s="13" t="s">
        <v>3058</v>
      </c>
      <c r="O891" s="15" t="s">
        <v>3059</v>
      </c>
    </row>
    <row r="892">
      <c r="A892" s="5">
        <v>1012.0</v>
      </c>
      <c r="B892" s="6">
        <v>45992.48054417824</v>
      </c>
      <c r="C892" s="7" t="s">
        <v>26</v>
      </c>
      <c r="D892" s="8" t="s">
        <v>3023</v>
      </c>
      <c r="E892" s="8" t="s">
        <v>3024</v>
      </c>
      <c r="F892" s="7" t="s">
        <v>3025</v>
      </c>
      <c r="G892" s="9" t="s">
        <v>84</v>
      </c>
      <c r="H892" s="7" t="s">
        <v>85</v>
      </c>
      <c r="I892" s="7" t="s">
        <v>86</v>
      </c>
      <c r="J892" s="10">
        <v>45935.0</v>
      </c>
      <c r="K892" s="8" t="s">
        <v>32</v>
      </c>
      <c r="L892" s="7">
        <v>8.0</v>
      </c>
      <c r="M892" s="7" t="s">
        <v>3060</v>
      </c>
      <c r="N892" s="13" t="s">
        <v>3061</v>
      </c>
      <c r="O892" s="15" t="s">
        <v>3062</v>
      </c>
    </row>
    <row r="893">
      <c r="A893" s="5">
        <v>1013.0</v>
      </c>
      <c r="B893" s="6">
        <v>45992.48300886574</v>
      </c>
      <c r="C893" s="7" t="s">
        <v>15</v>
      </c>
      <c r="D893" s="8" t="s">
        <v>3036</v>
      </c>
      <c r="E893" s="8" t="s">
        <v>569</v>
      </c>
      <c r="F893" s="7" t="s">
        <v>3037</v>
      </c>
      <c r="G893" s="9" t="s">
        <v>19</v>
      </c>
      <c r="H893" s="7" t="s">
        <v>44</v>
      </c>
      <c r="I893" s="7" t="s">
        <v>37</v>
      </c>
      <c r="J893" s="10">
        <v>45840.0</v>
      </c>
      <c r="K893" s="8" t="s">
        <v>67</v>
      </c>
      <c r="L893" s="7">
        <v>8.0</v>
      </c>
      <c r="M893" s="7" t="s">
        <v>33</v>
      </c>
      <c r="N893" s="13" t="s">
        <v>3063</v>
      </c>
      <c r="O893" s="15" t="s">
        <v>3064</v>
      </c>
    </row>
    <row r="894">
      <c r="A894" s="5">
        <v>1014.0</v>
      </c>
      <c r="B894" s="6">
        <v>45992.48766667824</v>
      </c>
      <c r="C894" s="7" t="s">
        <v>15</v>
      </c>
      <c r="D894" s="8" t="s">
        <v>3036</v>
      </c>
      <c r="E894" s="8" t="s">
        <v>569</v>
      </c>
      <c r="F894" s="7" t="s">
        <v>3037</v>
      </c>
      <c r="G894" s="9" t="s">
        <v>19</v>
      </c>
      <c r="H894" s="7" t="s">
        <v>104</v>
      </c>
      <c r="I894" s="7" t="s">
        <v>2932</v>
      </c>
      <c r="J894" s="10">
        <v>45823.0</v>
      </c>
      <c r="K894" s="8" t="s">
        <v>22</v>
      </c>
      <c r="L894" s="7">
        <v>4.0</v>
      </c>
      <c r="M894" s="7" t="s">
        <v>106</v>
      </c>
      <c r="N894" s="13" t="s">
        <v>3065</v>
      </c>
      <c r="O894" s="15" t="s">
        <v>3066</v>
      </c>
    </row>
    <row r="895">
      <c r="A895" s="5">
        <v>1015.0</v>
      </c>
      <c r="B895" s="6">
        <v>45992.49079568287</v>
      </c>
      <c r="C895" s="7" t="s">
        <v>26</v>
      </c>
      <c r="D895" s="8" t="s">
        <v>3023</v>
      </c>
      <c r="E895" s="8" t="s">
        <v>3024</v>
      </c>
      <c r="F895" s="7" t="s">
        <v>3025</v>
      </c>
      <c r="G895" s="9" t="s">
        <v>144</v>
      </c>
      <c r="H895" s="7" t="s">
        <v>3067</v>
      </c>
      <c r="I895" s="7" t="s">
        <v>3068</v>
      </c>
      <c r="J895" s="10">
        <v>45990.0</v>
      </c>
      <c r="K895" s="8" t="s">
        <v>3069</v>
      </c>
      <c r="L895" s="7">
        <v>4.0</v>
      </c>
      <c r="M895" s="7" t="s">
        <v>3070</v>
      </c>
      <c r="N895" s="13" t="s">
        <v>3071</v>
      </c>
      <c r="O895" s="15" t="s">
        <v>3072</v>
      </c>
    </row>
    <row r="896">
      <c r="A896" s="5">
        <v>1016.0</v>
      </c>
      <c r="B896" s="6">
        <v>45992.519372615745</v>
      </c>
      <c r="C896" s="7" t="s">
        <v>15</v>
      </c>
      <c r="D896" s="8" t="s">
        <v>1454</v>
      </c>
      <c r="E896" s="8" t="s">
        <v>574</v>
      </c>
      <c r="F896" s="7" t="s">
        <v>1455</v>
      </c>
      <c r="G896" s="9" t="s">
        <v>19</v>
      </c>
      <c r="H896" s="7" t="s">
        <v>99</v>
      </c>
      <c r="I896" s="7" t="s">
        <v>37</v>
      </c>
      <c r="J896" s="10">
        <v>45840.0</v>
      </c>
      <c r="K896" s="8" t="s">
        <v>67</v>
      </c>
      <c r="L896" s="7">
        <v>8.0</v>
      </c>
      <c r="M896" s="7" t="s">
        <v>33</v>
      </c>
      <c r="N896" s="13" t="s">
        <v>3073</v>
      </c>
      <c r="O896" s="15" t="s">
        <v>3074</v>
      </c>
    </row>
    <row r="897">
      <c r="A897" s="5">
        <v>1017.0</v>
      </c>
      <c r="B897" s="6">
        <v>45992.53006965278</v>
      </c>
      <c r="C897" s="7" t="s">
        <v>15</v>
      </c>
      <c r="D897" s="8" t="s">
        <v>1454</v>
      </c>
      <c r="E897" s="8" t="s">
        <v>574</v>
      </c>
      <c r="F897" s="7" t="s">
        <v>1455</v>
      </c>
      <c r="G897" s="9" t="s">
        <v>19</v>
      </c>
      <c r="H897" s="7" t="s">
        <v>406</v>
      </c>
      <c r="I897" s="7" t="s">
        <v>94</v>
      </c>
      <c r="J897" s="10">
        <v>45823.0</v>
      </c>
      <c r="K897" s="8" t="s">
        <v>22</v>
      </c>
      <c r="L897" s="7">
        <v>4.0</v>
      </c>
      <c r="M897" s="7" t="s">
        <v>106</v>
      </c>
      <c r="N897" s="13" t="s">
        <v>3075</v>
      </c>
      <c r="O897" s="15" t="s">
        <v>3076</v>
      </c>
    </row>
    <row r="898">
      <c r="A898" s="5">
        <v>1018.0</v>
      </c>
      <c r="B898" s="6">
        <v>45992.53624353009</v>
      </c>
      <c r="C898" s="7" t="s">
        <v>26</v>
      </c>
      <c r="D898" s="8" t="s">
        <v>3077</v>
      </c>
      <c r="E898" s="8" t="s">
        <v>440</v>
      </c>
      <c r="F898" s="7" t="s">
        <v>3078</v>
      </c>
      <c r="G898" s="9" t="s">
        <v>84</v>
      </c>
      <c r="H898" s="7" t="s">
        <v>85</v>
      </c>
      <c r="I898" s="7" t="s">
        <v>3079</v>
      </c>
      <c r="J898" s="10">
        <v>45941.0</v>
      </c>
      <c r="K898" s="8" t="s">
        <v>49</v>
      </c>
      <c r="L898" s="7">
        <v>8.0</v>
      </c>
      <c r="M898" s="7" t="s">
        <v>3080</v>
      </c>
      <c r="N898" s="13" t="s">
        <v>3081</v>
      </c>
      <c r="O898" s="15" t="s">
        <v>3082</v>
      </c>
    </row>
    <row r="899">
      <c r="A899" s="5">
        <v>1019.0</v>
      </c>
      <c r="B899" s="6">
        <v>45992.53731659723</v>
      </c>
      <c r="C899" s="7" t="s">
        <v>15</v>
      </c>
      <c r="D899" s="8" t="s">
        <v>3083</v>
      </c>
      <c r="E899" s="8" t="s">
        <v>1049</v>
      </c>
      <c r="F899" s="7" t="s">
        <v>3084</v>
      </c>
      <c r="G899" s="9" t="s">
        <v>19</v>
      </c>
      <c r="H899" s="7" t="s">
        <v>3085</v>
      </c>
      <c r="I899" s="7" t="s">
        <v>21</v>
      </c>
      <c r="J899" s="10">
        <v>45940.0</v>
      </c>
      <c r="K899" s="8" t="s">
        <v>22</v>
      </c>
      <c r="L899" s="7">
        <v>4.0</v>
      </c>
      <c r="M899" s="7" t="s">
        <v>23</v>
      </c>
      <c r="N899" s="13" t="s">
        <v>3086</v>
      </c>
      <c r="O899" s="15" t="s">
        <v>3087</v>
      </c>
    </row>
    <row r="900">
      <c r="A900" s="5">
        <v>1020.0</v>
      </c>
      <c r="B900" s="6">
        <v>45992.5381074537</v>
      </c>
      <c r="C900" s="7" t="s">
        <v>26</v>
      </c>
      <c r="D900" s="8" t="s">
        <v>3077</v>
      </c>
      <c r="E900" s="8" t="s">
        <v>440</v>
      </c>
      <c r="F900" s="7" t="s">
        <v>3078</v>
      </c>
      <c r="G900" s="9" t="s">
        <v>19</v>
      </c>
      <c r="H900" s="7" t="s">
        <v>30</v>
      </c>
      <c r="I900" s="7" t="s">
        <v>3088</v>
      </c>
      <c r="J900" s="10">
        <v>45833.0</v>
      </c>
      <c r="K900" s="8" t="s">
        <v>49</v>
      </c>
      <c r="L900" s="7">
        <v>8.0</v>
      </c>
      <c r="M900" s="7" t="s">
        <v>33</v>
      </c>
      <c r="N900" s="13" t="s">
        <v>3089</v>
      </c>
      <c r="O900" s="15" t="s">
        <v>3090</v>
      </c>
    </row>
    <row r="901">
      <c r="A901" s="5">
        <v>1021.0</v>
      </c>
      <c r="B901" s="6">
        <v>45992.54223643518</v>
      </c>
      <c r="C901" s="7" t="s">
        <v>26</v>
      </c>
      <c r="D901" s="8" t="s">
        <v>3077</v>
      </c>
      <c r="E901" s="8" t="s">
        <v>440</v>
      </c>
      <c r="F901" s="7" t="s">
        <v>3078</v>
      </c>
      <c r="G901" s="9" t="s">
        <v>19</v>
      </c>
      <c r="H901" s="7" t="s">
        <v>30</v>
      </c>
      <c r="I901" s="7" t="s">
        <v>37</v>
      </c>
      <c r="J901" s="10">
        <v>45838.0</v>
      </c>
      <c r="K901" s="8" t="s">
        <v>67</v>
      </c>
      <c r="L901" s="7">
        <v>8.0</v>
      </c>
      <c r="M901" s="7" t="s">
        <v>33</v>
      </c>
      <c r="N901" s="13" t="s">
        <v>3091</v>
      </c>
      <c r="O901" s="15" t="s">
        <v>3092</v>
      </c>
    </row>
    <row r="902">
      <c r="A902" s="5">
        <v>1022.0</v>
      </c>
      <c r="B902" s="6">
        <v>45992.544722962964</v>
      </c>
      <c r="C902" s="7" t="s">
        <v>26</v>
      </c>
      <c r="D902" s="8" t="s">
        <v>3023</v>
      </c>
      <c r="E902" s="8" t="s">
        <v>3024</v>
      </c>
      <c r="F902" s="7" t="s">
        <v>3025</v>
      </c>
      <c r="G902" s="9" t="s">
        <v>181</v>
      </c>
      <c r="H902" s="7" t="s">
        <v>857</v>
      </c>
      <c r="I902" s="7" t="s">
        <v>939</v>
      </c>
      <c r="J902" s="10">
        <v>45984.0</v>
      </c>
      <c r="K902" s="8" t="s">
        <v>3093</v>
      </c>
      <c r="L902" s="7">
        <v>8.0</v>
      </c>
      <c r="M902" s="7" t="s">
        <v>860</v>
      </c>
      <c r="N902" s="13" t="s">
        <v>3094</v>
      </c>
      <c r="O902" s="15" t="s">
        <v>3095</v>
      </c>
    </row>
    <row r="903">
      <c r="A903" s="5">
        <v>1023.0</v>
      </c>
      <c r="B903" s="6">
        <v>45992.55113003472</v>
      </c>
      <c r="C903" s="7" t="s">
        <v>26</v>
      </c>
      <c r="D903" s="8" t="s">
        <v>3023</v>
      </c>
      <c r="E903" s="8" t="s">
        <v>3024</v>
      </c>
      <c r="F903" s="7" t="s">
        <v>3025</v>
      </c>
      <c r="G903" s="9" t="s">
        <v>19</v>
      </c>
      <c r="H903" s="7" t="s">
        <v>928</v>
      </c>
      <c r="I903" s="7" t="s">
        <v>929</v>
      </c>
      <c r="J903" s="10">
        <v>45951.0</v>
      </c>
      <c r="K903" s="8" t="s">
        <v>3096</v>
      </c>
      <c r="L903" s="7">
        <v>2.0</v>
      </c>
      <c r="M903" s="7" t="s">
        <v>1325</v>
      </c>
      <c r="N903" s="13" t="s">
        <v>3097</v>
      </c>
      <c r="O903" s="15" t="s">
        <v>3098</v>
      </c>
    </row>
    <row r="904">
      <c r="A904" s="5">
        <v>1024.0</v>
      </c>
      <c r="B904" s="6">
        <v>45992.55241741898</v>
      </c>
      <c r="C904" s="7" t="s">
        <v>15</v>
      </c>
      <c r="D904" s="8" t="s">
        <v>3083</v>
      </c>
      <c r="E904" s="8" t="s">
        <v>1049</v>
      </c>
      <c r="F904" s="7" t="s">
        <v>3084</v>
      </c>
      <c r="G904" s="9" t="s">
        <v>19</v>
      </c>
      <c r="H904" s="7" t="s">
        <v>99</v>
      </c>
      <c r="I904" s="7" t="s">
        <v>37</v>
      </c>
      <c r="J904" s="10">
        <v>45840.0</v>
      </c>
      <c r="K904" s="8" t="s">
        <v>67</v>
      </c>
      <c r="L904" s="7">
        <v>8.0</v>
      </c>
      <c r="M904" s="7" t="s">
        <v>33</v>
      </c>
      <c r="N904" s="13" t="s">
        <v>3099</v>
      </c>
      <c r="O904" s="15" t="s">
        <v>3100</v>
      </c>
    </row>
    <row r="905">
      <c r="A905" s="5">
        <v>1025.0</v>
      </c>
      <c r="B905" s="6">
        <v>45992.55444060185</v>
      </c>
      <c r="C905" s="7" t="s">
        <v>15</v>
      </c>
      <c r="D905" s="8" t="s">
        <v>3036</v>
      </c>
      <c r="E905" s="8" t="s">
        <v>569</v>
      </c>
      <c r="F905" s="7" t="s">
        <v>3037</v>
      </c>
      <c r="G905" s="9" t="s">
        <v>415</v>
      </c>
      <c r="H905" s="7" t="s">
        <v>2960</v>
      </c>
      <c r="I905" s="7" t="s">
        <v>2381</v>
      </c>
      <c r="J905" s="10">
        <v>45866.0</v>
      </c>
      <c r="K905" s="8" t="s">
        <v>2102</v>
      </c>
      <c r="L905" s="7">
        <v>1.0</v>
      </c>
      <c r="M905" s="7" t="s">
        <v>2962</v>
      </c>
      <c r="N905" s="13" t="s">
        <v>3101</v>
      </c>
      <c r="O905" s="15" t="s">
        <v>3102</v>
      </c>
    </row>
    <row r="906">
      <c r="A906" s="5">
        <v>1026.0</v>
      </c>
      <c r="B906" s="6">
        <v>45992.55784836806</v>
      </c>
      <c r="C906" s="7" t="s">
        <v>15</v>
      </c>
      <c r="D906" s="8" t="s">
        <v>3036</v>
      </c>
      <c r="E906" s="8" t="s">
        <v>569</v>
      </c>
      <c r="F906" s="7" t="s">
        <v>3037</v>
      </c>
      <c r="G906" s="9" t="s">
        <v>415</v>
      </c>
      <c r="H906" s="7" t="s">
        <v>2965</v>
      </c>
      <c r="I906" s="7" t="s">
        <v>231</v>
      </c>
      <c r="J906" s="10">
        <v>45881.0</v>
      </c>
      <c r="K906" s="8" t="s">
        <v>2102</v>
      </c>
      <c r="L906" s="7">
        <v>1.0</v>
      </c>
      <c r="M906" s="7" t="s">
        <v>314</v>
      </c>
      <c r="N906" s="13" t="s">
        <v>3103</v>
      </c>
      <c r="O906" s="15" t="s">
        <v>3104</v>
      </c>
    </row>
    <row r="907">
      <c r="A907" s="5">
        <v>1027.0</v>
      </c>
      <c r="B907" s="6">
        <v>45992.56107658565</v>
      </c>
      <c r="C907" s="7" t="s">
        <v>26</v>
      </c>
      <c r="D907" s="8" t="s">
        <v>3023</v>
      </c>
      <c r="E907" s="8" t="s">
        <v>3024</v>
      </c>
      <c r="F907" s="7" t="s">
        <v>3025</v>
      </c>
      <c r="G907" s="9" t="s">
        <v>209</v>
      </c>
      <c r="H907" s="7" t="s">
        <v>3105</v>
      </c>
      <c r="I907" s="7" t="s">
        <v>314</v>
      </c>
      <c r="J907" s="10">
        <v>45988.0</v>
      </c>
      <c r="K907" s="8" t="s">
        <v>3106</v>
      </c>
      <c r="L907" s="7">
        <v>1.0</v>
      </c>
      <c r="M907" s="7" t="s">
        <v>3060</v>
      </c>
      <c r="N907" s="13" t="s">
        <v>3107</v>
      </c>
      <c r="O907" s="15" t="s">
        <v>3108</v>
      </c>
    </row>
    <row r="908">
      <c r="A908" s="5">
        <v>1028.0</v>
      </c>
      <c r="B908" s="6">
        <v>45992.56208078704</v>
      </c>
      <c r="C908" s="7" t="s">
        <v>15</v>
      </c>
      <c r="D908" s="8" t="s">
        <v>3083</v>
      </c>
      <c r="E908" s="8" t="s">
        <v>1049</v>
      </c>
      <c r="F908" s="7" t="s">
        <v>3109</v>
      </c>
      <c r="G908" s="9" t="s">
        <v>19</v>
      </c>
      <c r="H908" s="7" t="s">
        <v>99</v>
      </c>
      <c r="I908" s="7" t="s">
        <v>37</v>
      </c>
      <c r="J908" s="10">
        <v>45839.0</v>
      </c>
      <c r="K908" s="8" t="s">
        <v>67</v>
      </c>
      <c r="L908" s="7">
        <v>8.0</v>
      </c>
      <c r="M908" s="7" t="s">
        <v>33</v>
      </c>
      <c r="N908" s="13" t="s">
        <v>3110</v>
      </c>
      <c r="O908" s="15" t="s">
        <v>3111</v>
      </c>
    </row>
    <row r="909">
      <c r="A909" s="5">
        <v>1029.0</v>
      </c>
      <c r="B909" s="6">
        <v>45992.57483200231</v>
      </c>
      <c r="C909" s="7" t="s">
        <v>15</v>
      </c>
      <c r="D909" s="8" t="s">
        <v>3083</v>
      </c>
      <c r="E909" s="8" t="s">
        <v>1049</v>
      </c>
      <c r="F909" s="7" t="s">
        <v>3109</v>
      </c>
      <c r="G909" s="9" t="s">
        <v>159</v>
      </c>
      <c r="H909" s="7" t="s">
        <v>406</v>
      </c>
      <c r="I909" s="7" t="s">
        <v>94</v>
      </c>
      <c r="J909" s="10">
        <v>45823.0</v>
      </c>
      <c r="K909" s="8" t="s">
        <v>22</v>
      </c>
      <c r="L909" s="7">
        <v>4.0</v>
      </c>
      <c r="M909" s="7" t="s">
        <v>1154</v>
      </c>
      <c r="N909" s="13" t="s">
        <v>3112</v>
      </c>
      <c r="O909" s="15" t="s">
        <v>3113</v>
      </c>
    </row>
    <row r="910">
      <c r="A910" s="5">
        <v>1030.0</v>
      </c>
      <c r="B910" s="6">
        <v>45992.580691469906</v>
      </c>
      <c r="C910" s="7" t="s">
        <v>15</v>
      </c>
      <c r="D910" s="8" t="s">
        <v>3114</v>
      </c>
      <c r="E910" s="8" t="s">
        <v>142</v>
      </c>
      <c r="F910" s="7" t="s">
        <v>3115</v>
      </c>
      <c r="G910" s="9" t="s">
        <v>415</v>
      </c>
      <c r="H910" s="7" t="s">
        <v>2983</v>
      </c>
      <c r="I910" s="7" t="s">
        <v>3116</v>
      </c>
      <c r="J910" s="10">
        <v>45975.0</v>
      </c>
      <c r="K910" s="8" t="s">
        <v>3117</v>
      </c>
      <c r="L910" s="7">
        <v>1.0</v>
      </c>
      <c r="M910" s="7" t="s">
        <v>3115</v>
      </c>
      <c r="N910" s="13" t="s">
        <v>3118</v>
      </c>
      <c r="O910" s="15" t="s">
        <v>3119</v>
      </c>
    </row>
    <row r="911">
      <c r="A911" s="5">
        <v>1031.0</v>
      </c>
      <c r="B911" s="6">
        <v>45992.58168206019</v>
      </c>
      <c r="C911" s="7" t="s">
        <v>26</v>
      </c>
      <c r="D911" s="8" t="s">
        <v>3077</v>
      </c>
      <c r="E911" s="8" t="s">
        <v>440</v>
      </c>
      <c r="F911" s="7" t="s">
        <v>3078</v>
      </c>
      <c r="G911" s="9" t="s">
        <v>19</v>
      </c>
      <c r="H911" s="7" t="s">
        <v>99</v>
      </c>
      <c r="I911" s="7" t="s">
        <v>37</v>
      </c>
      <c r="J911" s="10">
        <v>45839.0</v>
      </c>
      <c r="K911" s="8" t="s">
        <v>67</v>
      </c>
      <c r="L911" s="7">
        <v>8.0</v>
      </c>
      <c r="M911" s="7" t="s">
        <v>33</v>
      </c>
      <c r="N911" s="13" t="s">
        <v>3120</v>
      </c>
      <c r="O911" s="15" t="s">
        <v>3121</v>
      </c>
    </row>
    <row r="912">
      <c r="A912" s="5">
        <v>1033.0</v>
      </c>
      <c r="B912" s="6">
        <v>45992.59517331018</v>
      </c>
      <c r="C912" s="7" t="s">
        <v>15</v>
      </c>
      <c r="D912" s="8" t="s">
        <v>3114</v>
      </c>
      <c r="E912" s="8" t="s">
        <v>142</v>
      </c>
      <c r="F912" s="7" t="s">
        <v>3115</v>
      </c>
      <c r="G912" s="9" t="s">
        <v>19</v>
      </c>
      <c r="H912" s="7" t="s">
        <v>3122</v>
      </c>
      <c r="I912" s="7" t="s">
        <v>21</v>
      </c>
      <c r="J912" s="10">
        <v>45940.0</v>
      </c>
      <c r="K912" s="8" t="s">
        <v>22</v>
      </c>
      <c r="L912" s="7">
        <v>4.0</v>
      </c>
      <c r="M912" s="7" t="s">
        <v>23</v>
      </c>
      <c r="N912" s="13" t="s">
        <v>3123</v>
      </c>
      <c r="O912" s="15" t="s">
        <v>3124</v>
      </c>
    </row>
    <row r="913">
      <c r="A913" s="5">
        <v>1034.0</v>
      </c>
      <c r="B913" s="6">
        <v>45992.59809339121</v>
      </c>
      <c r="C913" s="7" t="s">
        <v>15</v>
      </c>
      <c r="D913" s="8" t="s">
        <v>3114</v>
      </c>
      <c r="E913" s="8" t="s">
        <v>142</v>
      </c>
      <c r="F913" s="7" t="s">
        <v>3115</v>
      </c>
      <c r="G913" s="9" t="s">
        <v>19</v>
      </c>
      <c r="H913" s="7" t="s">
        <v>406</v>
      </c>
      <c r="I913" s="7" t="s">
        <v>94</v>
      </c>
      <c r="J913" s="10">
        <v>45823.0</v>
      </c>
      <c r="K913" s="8" t="s">
        <v>22</v>
      </c>
      <c r="L913" s="7">
        <v>4.0</v>
      </c>
      <c r="M913" s="7" t="s">
        <v>106</v>
      </c>
      <c r="N913" s="13" t="s">
        <v>3125</v>
      </c>
      <c r="O913" s="15" t="s">
        <v>3126</v>
      </c>
    </row>
    <row r="914">
      <c r="A914" s="5">
        <v>1035.0</v>
      </c>
      <c r="B914" s="6">
        <v>45992.60012315972</v>
      </c>
      <c r="C914" s="7" t="s">
        <v>15</v>
      </c>
      <c r="D914" s="8" t="s">
        <v>3114</v>
      </c>
      <c r="E914" s="8" t="s">
        <v>142</v>
      </c>
      <c r="F914" s="7" t="s">
        <v>3115</v>
      </c>
      <c r="G914" s="9" t="s">
        <v>181</v>
      </c>
      <c r="H914" s="7" t="s">
        <v>3127</v>
      </c>
      <c r="I914" s="7" t="s">
        <v>231</v>
      </c>
      <c r="J914" s="10">
        <v>45858.0</v>
      </c>
      <c r="K914" s="8" t="s">
        <v>22</v>
      </c>
      <c r="L914" s="7">
        <v>4.0</v>
      </c>
      <c r="M914" s="7" t="s">
        <v>87</v>
      </c>
      <c r="N914" s="13" t="s">
        <v>3128</v>
      </c>
      <c r="O914" s="15" t="s">
        <v>3129</v>
      </c>
    </row>
    <row r="915">
      <c r="A915" s="5">
        <v>1036.0</v>
      </c>
      <c r="B915" s="6">
        <v>45992.605494131945</v>
      </c>
      <c r="C915" s="7" t="s">
        <v>15</v>
      </c>
      <c r="D915" s="8" t="s">
        <v>3114</v>
      </c>
      <c r="E915" s="8" t="s">
        <v>142</v>
      </c>
      <c r="F915" s="7" t="s">
        <v>3115</v>
      </c>
      <c r="G915" s="9" t="s">
        <v>84</v>
      </c>
      <c r="H915" s="7" t="s">
        <v>85</v>
      </c>
      <c r="I915" s="7" t="s">
        <v>3130</v>
      </c>
      <c r="J915" s="10">
        <v>45954.0</v>
      </c>
      <c r="K915" s="8" t="s">
        <v>2053</v>
      </c>
      <c r="L915" s="7">
        <v>8.0</v>
      </c>
      <c r="M915" s="7" t="s">
        <v>87</v>
      </c>
      <c r="N915" s="13" t="s">
        <v>3131</v>
      </c>
      <c r="O915" s="15" t="s">
        <v>3132</v>
      </c>
    </row>
    <row r="916">
      <c r="A916" s="5">
        <v>1037.0</v>
      </c>
      <c r="B916" s="6">
        <v>45992.61456591435</v>
      </c>
      <c r="C916" s="7" t="s">
        <v>125</v>
      </c>
      <c r="D916" s="8" t="s">
        <v>3133</v>
      </c>
      <c r="E916" s="8" t="s">
        <v>484</v>
      </c>
      <c r="F916" s="7" t="s">
        <v>3134</v>
      </c>
      <c r="G916" s="9" t="s">
        <v>19</v>
      </c>
      <c r="H916" s="7" t="s">
        <v>3135</v>
      </c>
      <c r="I916" s="7" t="s">
        <v>174</v>
      </c>
      <c r="J916" s="10">
        <v>45854.0</v>
      </c>
      <c r="K916" s="8" t="s">
        <v>175</v>
      </c>
      <c r="L916" s="7">
        <v>6.0</v>
      </c>
      <c r="M916" s="7" t="s">
        <v>106</v>
      </c>
      <c r="N916" s="13" t="s">
        <v>3136</v>
      </c>
      <c r="O916" s="15" t="s">
        <v>3137</v>
      </c>
    </row>
    <row r="917">
      <c r="A917" s="5">
        <v>1038.0</v>
      </c>
      <c r="B917" s="6">
        <v>45992.61975253472</v>
      </c>
      <c r="C917" s="7" t="s">
        <v>125</v>
      </c>
      <c r="D917" s="8" t="s">
        <v>673</v>
      </c>
      <c r="E917" s="8" t="s">
        <v>674</v>
      </c>
      <c r="F917" s="7" t="s">
        <v>675</v>
      </c>
      <c r="G917" s="9" t="s">
        <v>144</v>
      </c>
      <c r="H917" s="7" t="s">
        <v>3138</v>
      </c>
      <c r="I917" s="7" t="s">
        <v>1126</v>
      </c>
      <c r="J917" s="10">
        <v>45949.0</v>
      </c>
      <c r="K917" s="8" t="s">
        <v>22</v>
      </c>
      <c r="L917" s="7">
        <v>4.0</v>
      </c>
      <c r="M917" s="7" t="s">
        <v>3139</v>
      </c>
      <c r="N917" s="13" t="s">
        <v>3140</v>
      </c>
      <c r="O917" s="15" t="s">
        <v>3141</v>
      </c>
    </row>
    <row r="918">
      <c r="A918" s="5">
        <v>1039.0</v>
      </c>
      <c r="B918" s="6">
        <v>45992.62397673611</v>
      </c>
      <c r="C918" s="7" t="s">
        <v>26</v>
      </c>
      <c r="D918" s="8" t="s">
        <v>3077</v>
      </c>
      <c r="E918" s="8" t="s">
        <v>440</v>
      </c>
      <c r="F918" s="7" t="s">
        <v>3078</v>
      </c>
      <c r="G918" s="9" t="s">
        <v>19</v>
      </c>
      <c r="H918" s="7" t="s">
        <v>99</v>
      </c>
      <c r="I918" s="7" t="s">
        <v>37</v>
      </c>
      <c r="J918" s="10">
        <v>45840.0</v>
      </c>
      <c r="K918" s="8" t="s">
        <v>67</v>
      </c>
      <c r="L918" s="7">
        <v>8.0</v>
      </c>
      <c r="M918" s="7" t="s">
        <v>33</v>
      </c>
      <c r="N918" s="13" t="s">
        <v>3142</v>
      </c>
      <c r="O918" s="15" t="s">
        <v>3143</v>
      </c>
    </row>
    <row r="919">
      <c r="A919" s="5">
        <v>1040.0</v>
      </c>
      <c r="B919" s="6">
        <v>45992.62546935186</v>
      </c>
      <c r="C919" s="7" t="s">
        <v>26</v>
      </c>
      <c r="D919" s="8" t="s">
        <v>1288</v>
      </c>
      <c r="E919" s="8" t="s">
        <v>1197</v>
      </c>
      <c r="F919" s="7" t="s">
        <v>1289</v>
      </c>
      <c r="G919" s="9" t="s">
        <v>19</v>
      </c>
      <c r="H919" s="7" t="s">
        <v>1472</v>
      </c>
      <c r="I919" s="7" t="s">
        <v>1473</v>
      </c>
      <c r="J919" s="10">
        <v>45930.0</v>
      </c>
      <c r="K919" s="8" t="s">
        <v>1468</v>
      </c>
      <c r="L919" s="7">
        <v>4.0</v>
      </c>
      <c r="M919" s="7" t="s">
        <v>1469</v>
      </c>
      <c r="N919" s="13" t="s">
        <v>3144</v>
      </c>
      <c r="O919" s="15" t="s">
        <v>3145</v>
      </c>
    </row>
    <row r="920">
      <c r="A920" s="5">
        <v>1041.0</v>
      </c>
      <c r="B920" s="6">
        <v>45992.62725012732</v>
      </c>
      <c r="C920" s="7" t="s">
        <v>125</v>
      </c>
      <c r="D920" s="8" t="s">
        <v>3133</v>
      </c>
      <c r="E920" s="8" t="s">
        <v>484</v>
      </c>
      <c r="F920" s="7" t="s">
        <v>3134</v>
      </c>
      <c r="G920" s="9" t="s">
        <v>159</v>
      </c>
      <c r="H920" s="7" t="s">
        <v>3146</v>
      </c>
      <c r="I920" s="7" t="s">
        <v>3147</v>
      </c>
      <c r="J920" s="10">
        <v>45956.0</v>
      </c>
      <c r="K920" s="8" t="s">
        <v>3148</v>
      </c>
      <c r="L920" s="7">
        <v>3.0</v>
      </c>
      <c r="M920" s="7" t="s">
        <v>3149</v>
      </c>
      <c r="N920" s="13" t="s">
        <v>3150</v>
      </c>
      <c r="O920" s="15" t="s">
        <v>3151</v>
      </c>
    </row>
    <row r="921">
      <c r="A921" s="5">
        <v>1042.0</v>
      </c>
      <c r="B921" s="6">
        <v>45992.633669710645</v>
      </c>
      <c r="C921" s="7" t="s">
        <v>125</v>
      </c>
      <c r="D921" s="8" t="s">
        <v>3133</v>
      </c>
      <c r="E921" s="8" t="s">
        <v>484</v>
      </c>
      <c r="F921" s="7" t="s">
        <v>3134</v>
      </c>
      <c r="G921" s="9" t="s">
        <v>415</v>
      </c>
      <c r="H921" s="7" t="s">
        <v>3152</v>
      </c>
      <c r="I921" s="7" t="s">
        <v>1131</v>
      </c>
      <c r="J921" s="10">
        <v>45965.0</v>
      </c>
      <c r="K921" s="8" t="s">
        <v>753</v>
      </c>
      <c r="L921" s="7">
        <v>2.0</v>
      </c>
      <c r="M921" s="7" t="s">
        <v>3149</v>
      </c>
      <c r="N921" s="13" t="s">
        <v>3153</v>
      </c>
      <c r="O921" s="15" t="s">
        <v>3154</v>
      </c>
    </row>
    <row r="922">
      <c r="A922" s="5">
        <v>1043.0</v>
      </c>
      <c r="B922" s="6">
        <v>45992.63597363426</v>
      </c>
      <c r="C922" s="7" t="s">
        <v>760</v>
      </c>
      <c r="D922" s="8" t="s">
        <v>863</v>
      </c>
      <c r="E922" s="8" t="s">
        <v>63</v>
      </c>
      <c r="F922" s="7" t="s">
        <v>864</v>
      </c>
      <c r="G922" s="9" t="s">
        <v>19</v>
      </c>
      <c r="H922" s="7" t="s">
        <v>3155</v>
      </c>
      <c r="I922" s="7" t="s">
        <v>3156</v>
      </c>
      <c r="J922" s="10">
        <v>45989.0</v>
      </c>
      <c r="K922" s="8" t="s">
        <v>1139</v>
      </c>
      <c r="L922" s="7">
        <v>5.0</v>
      </c>
      <c r="M922" s="7" t="s">
        <v>1325</v>
      </c>
      <c r="N922" s="13" t="s">
        <v>3157</v>
      </c>
      <c r="O922" s="15" t="s">
        <v>3158</v>
      </c>
    </row>
    <row r="923">
      <c r="A923" s="5">
        <v>1044.0</v>
      </c>
      <c r="B923" s="6">
        <v>45992.63703179398</v>
      </c>
      <c r="C923" s="7" t="s">
        <v>760</v>
      </c>
      <c r="D923" s="8" t="s">
        <v>3159</v>
      </c>
      <c r="E923" s="8" t="s">
        <v>664</v>
      </c>
      <c r="F923" s="7" t="s">
        <v>3160</v>
      </c>
      <c r="G923" s="9" t="s">
        <v>19</v>
      </c>
      <c r="H923" s="7" t="s">
        <v>3161</v>
      </c>
      <c r="I923" s="7" t="s">
        <v>3162</v>
      </c>
      <c r="J923" s="10">
        <v>45989.0</v>
      </c>
      <c r="K923" s="8" t="s">
        <v>1139</v>
      </c>
      <c r="L923" s="7">
        <v>5.0</v>
      </c>
      <c r="M923" s="7" t="s">
        <v>2785</v>
      </c>
      <c r="N923" s="13" t="s">
        <v>3163</v>
      </c>
      <c r="O923" s="15" t="s">
        <v>3164</v>
      </c>
    </row>
    <row r="924">
      <c r="A924" s="5">
        <v>1045.0</v>
      </c>
      <c r="B924" s="6">
        <v>45992.63933837963</v>
      </c>
      <c r="C924" s="7" t="s">
        <v>125</v>
      </c>
      <c r="D924" s="8" t="s">
        <v>3133</v>
      </c>
      <c r="E924" s="8" t="s">
        <v>484</v>
      </c>
      <c r="F924" s="7" t="s">
        <v>3165</v>
      </c>
      <c r="G924" s="9" t="s">
        <v>144</v>
      </c>
      <c r="H924" s="7" t="s">
        <v>3166</v>
      </c>
      <c r="I924" s="7" t="s">
        <v>1131</v>
      </c>
      <c r="J924" s="10">
        <v>45948.0</v>
      </c>
      <c r="K924" s="8" t="s">
        <v>499</v>
      </c>
      <c r="L924" s="7">
        <v>4.0</v>
      </c>
      <c r="M924" s="7" t="s">
        <v>3149</v>
      </c>
      <c r="N924" s="13" t="s">
        <v>3167</v>
      </c>
      <c r="O924" s="15" t="s">
        <v>3168</v>
      </c>
    </row>
    <row r="925">
      <c r="A925" s="5">
        <v>1046.0</v>
      </c>
      <c r="B925" s="6">
        <v>45992.641430069445</v>
      </c>
      <c r="C925" s="7" t="s">
        <v>760</v>
      </c>
      <c r="D925" s="8" t="s">
        <v>3169</v>
      </c>
      <c r="E925" s="8" t="s">
        <v>236</v>
      </c>
      <c r="F925" s="7" t="s">
        <v>3170</v>
      </c>
      <c r="G925" s="9" t="s">
        <v>3171</v>
      </c>
      <c r="H925" s="7" t="s">
        <v>1222</v>
      </c>
      <c r="I925" s="7" t="s">
        <v>3172</v>
      </c>
      <c r="J925" s="10">
        <v>45950.0</v>
      </c>
      <c r="K925" s="8" t="s">
        <v>3173</v>
      </c>
      <c r="L925" s="7">
        <v>1.0</v>
      </c>
      <c r="M925" s="7" t="s">
        <v>33</v>
      </c>
      <c r="N925" s="13" t="s">
        <v>3174</v>
      </c>
      <c r="O925" s="15" t="s">
        <v>3175</v>
      </c>
    </row>
    <row r="926">
      <c r="A926" s="5">
        <v>1047.0</v>
      </c>
      <c r="B926" s="6">
        <v>45992.64299790509</v>
      </c>
      <c r="C926" s="7" t="s">
        <v>125</v>
      </c>
      <c r="D926" s="8" t="s">
        <v>3133</v>
      </c>
      <c r="E926" s="8" t="s">
        <v>484</v>
      </c>
      <c r="F926" s="7" t="s">
        <v>3134</v>
      </c>
      <c r="G926" s="9" t="s">
        <v>144</v>
      </c>
      <c r="H926" s="7" t="s">
        <v>1578</v>
      </c>
      <c r="I926" s="7" t="s">
        <v>1126</v>
      </c>
      <c r="J926" s="10">
        <v>45949.0</v>
      </c>
      <c r="K926" s="8" t="s">
        <v>175</v>
      </c>
      <c r="L926" s="7">
        <v>4.0</v>
      </c>
      <c r="M926" s="7" t="s">
        <v>3176</v>
      </c>
      <c r="N926" s="13" t="s">
        <v>3177</v>
      </c>
      <c r="O926" s="15" t="s">
        <v>3178</v>
      </c>
    </row>
    <row r="927">
      <c r="A927" s="5">
        <v>1048.0</v>
      </c>
      <c r="B927" s="6">
        <v>45992.64716864583</v>
      </c>
      <c r="C927" s="7" t="s">
        <v>125</v>
      </c>
      <c r="D927" s="8" t="s">
        <v>3133</v>
      </c>
      <c r="E927" s="8" t="s">
        <v>484</v>
      </c>
      <c r="F927" s="7" t="s">
        <v>3134</v>
      </c>
      <c r="G927" s="9" t="s">
        <v>159</v>
      </c>
      <c r="H927" s="7" t="s">
        <v>3179</v>
      </c>
      <c r="I927" s="7" t="s">
        <v>1131</v>
      </c>
      <c r="J927" s="10">
        <v>45970.0</v>
      </c>
      <c r="K927" s="8" t="s">
        <v>3180</v>
      </c>
      <c r="L927" s="7">
        <v>4.0</v>
      </c>
      <c r="M927" s="7" t="s">
        <v>3181</v>
      </c>
      <c r="N927" s="13" t="s">
        <v>3182</v>
      </c>
      <c r="O927" s="15" t="s">
        <v>3183</v>
      </c>
    </row>
    <row r="928">
      <c r="A928" s="5">
        <v>1049.0</v>
      </c>
      <c r="B928" s="6">
        <v>45992.65050870371</v>
      </c>
      <c r="C928" s="7" t="s">
        <v>125</v>
      </c>
      <c r="D928" s="8" t="s">
        <v>3133</v>
      </c>
      <c r="E928" s="8" t="s">
        <v>484</v>
      </c>
      <c r="F928" s="7" t="s">
        <v>3134</v>
      </c>
      <c r="G928" s="9" t="s">
        <v>144</v>
      </c>
      <c r="H928" s="7" t="s">
        <v>3184</v>
      </c>
      <c r="I928" s="7" t="s">
        <v>1126</v>
      </c>
      <c r="J928" s="10">
        <v>45949.0</v>
      </c>
      <c r="K928" s="8" t="s">
        <v>1032</v>
      </c>
      <c r="L928" s="7">
        <v>2.0</v>
      </c>
      <c r="M928" s="7" t="s">
        <v>3176</v>
      </c>
      <c r="N928" s="13" t="s">
        <v>3185</v>
      </c>
      <c r="O928" s="15" t="s">
        <v>3186</v>
      </c>
    </row>
    <row r="929">
      <c r="A929" s="5">
        <v>1050.0</v>
      </c>
      <c r="B929" s="6">
        <v>45992.6543088426</v>
      </c>
      <c r="C929" s="7" t="s">
        <v>125</v>
      </c>
      <c r="D929" s="8" t="s">
        <v>3133</v>
      </c>
      <c r="E929" s="8" t="s">
        <v>484</v>
      </c>
      <c r="F929" s="7" t="s">
        <v>3134</v>
      </c>
      <c r="G929" s="9" t="s">
        <v>415</v>
      </c>
      <c r="H929" s="7" t="s">
        <v>3187</v>
      </c>
      <c r="I929" s="7" t="s">
        <v>1131</v>
      </c>
      <c r="J929" s="10">
        <v>45964.0</v>
      </c>
      <c r="K929" s="8" t="s">
        <v>753</v>
      </c>
      <c r="L929" s="7">
        <v>2.0</v>
      </c>
      <c r="M929" s="7" t="s">
        <v>3188</v>
      </c>
      <c r="N929" s="13" t="s">
        <v>3189</v>
      </c>
      <c r="O929" s="15" t="s">
        <v>3190</v>
      </c>
    </row>
    <row r="930">
      <c r="A930" s="5">
        <v>1051.0</v>
      </c>
      <c r="B930" s="6">
        <v>45992.71119246528</v>
      </c>
      <c r="C930" s="7" t="s">
        <v>760</v>
      </c>
      <c r="D930" s="8" t="s">
        <v>2560</v>
      </c>
      <c r="E930" s="8" t="s">
        <v>1023</v>
      </c>
      <c r="F930" s="7" t="s">
        <v>2561</v>
      </c>
      <c r="G930" s="9" t="s">
        <v>3171</v>
      </c>
      <c r="H930" s="7" t="s">
        <v>3191</v>
      </c>
      <c r="I930" s="7" t="s">
        <v>3162</v>
      </c>
      <c r="J930" s="10">
        <v>45989.0</v>
      </c>
      <c r="K930" s="8" t="s">
        <v>3192</v>
      </c>
      <c r="L930" s="7">
        <v>6.0</v>
      </c>
      <c r="M930" s="7" t="s">
        <v>1325</v>
      </c>
      <c r="N930" s="13" t="s">
        <v>3193</v>
      </c>
      <c r="O930" s="15" t="s">
        <v>3194</v>
      </c>
    </row>
    <row r="931">
      <c r="A931" s="5">
        <v>1052.0</v>
      </c>
      <c r="B931" s="6">
        <v>45992.73209150463</v>
      </c>
      <c r="C931" s="7" t="s">
        <v>760</v>
      </c>
      <c r="D931" s="8" t="s">
        <v>1350</v>
      </c>
      <c r="E931" s="8" t="s">
        <v>199</v>
      </c>
      <c r="F931" s="7" t="s">
        <v>1351</v>
      </c>
      <c r="G931" s="9" t="s">
        <v>181</v>
      </c>
      <c r="H931" s="7" t="s">
        <v>3195</v>
      </c>
      <c r="I931" s="7" t="s">
        <v>231</v>
      </c>
      <c r="J931" s="10">
        <v>45976.0</v>
      </c>
      <c r="K931" s="8" t="s">
        <v>3196</v>
      </c>
      <c r="L931" s="7">
        <v>3.0</v>
      </c>
      <c r="M931" s="7" t="s">
        <v>3197</v>
      </c>
      <c r="N931" s="13" t="s">
        <v>3198</v>
      </c>
      <c r="O931" s="15" t="s">
        <v>3199</v>
      </c>
    </row>
    <row r="932">
      <c r="A932" s="5">
        <v>1053.0</v>
      </c>
      <c r="B932" s="6">
        <v>45992.788145949075</v>
      </c>
      <c r="C932" s="7" t="s">
        <v>125</v>
      </c>
      <c r="D932" s="8" t="s">
        <v>673</v>
      </c>
      <c r="E932" s="8" t="s">
        <v>674</v>
      </c>
      <c r="F932" s="7" t="s">
        <v>675</v>
      </c>
      <c r="G932" s="9" t="s">
        <v>144</v>
      </c>
      <c r="H932" s="7" t="s">
        <v>3200</v>
      </c>
      <c r="I932" s="7" t="s">
        <v>1126</v>
      </c>
      <c r="J932" s="10">
        <v>45949.0</v>
      </c>
      <c r="K932" s="8" t="s">
        <v>22</v>
      </c>
      <c r="L932" s="7">
        <v>4.0</v>
      </c>
      <c r="M932" s="7" t="s">
        <v>3201</v>
      </c>
      <c r="N932" s="13" t="s">
        <v>3202</v>
      </c>
      <c r="O932" s="15" t="s">
        <v>3203</v>
      </c>
    </row>
    <row r="933">
      <c r="A933" s="5">
        <v>1054.0</v>
      </c>
      <c r="B933" s="6">
        <v>45992.79384267361</v>
      </c>
      <c r="C933" s="7" t="s">
        <v>125</v>
      </c>
      <c r="D933" s="8" t="s">
        <v>673</v>
      </c>
      <c r="E933" s="8" t="s">
        <v>674</v>
      </c>
      <c r="F933" s="7" t="s">
        <v>675</v>
      </c>
      <c r="G933" s="9" t="s">
        <v>415</v>
      </c>
      <c r="H933" s="7" t="s">
        <v>3204</v>
      </c>
      <c r="I933" s="7" t="s">
        <v>1131</v>
      </c>
      <c r="J933" s="10">
        <v>45965.0</v>
      </c>
      <c r="K933" s="8" t="s">
        <v>753</v>
      </c>
      <c r="L933" s="7">
        <v>2.0</v>
      </c>
      <c r="M933" s="7" t="s">
        <v>3201</v>
      </c>
      <c r="N933" s="13" t="s">
        <v>3205</v>
      </c>
      <c r="O933" s="15" t="s">
        <v>3206</v>
      </c>
    </row>
    <row r="934">
      <c r="A934" s="5">
        <v>1055.0</v>
      </c>
      <c r="B934" s="6">
        <v>45992.795354421294</v>
      </c>
      <c r="C934" s="7" t="s">
        <v>125</v>
      </c>
      <c r="D934" s="8" t="s">
        <v>673</v>
      </c>
      <c r="E934" s="8" t="s">
        <v>674</v>
      </c>
      <c r="F934" s="7" t="s">
        <v>675</v>
      </c>
      <c r="G934" s="9" t="s">
        <v>415</v>
      </c>
      <c r="H934" s="7" t="s">
        <v>3204</v>
      </c>
      <c r="I934" s="7" t="s">
        <v>1131</v>
      </c>
      <c r="J934" s="10">
        <v>45966.0</v>
      </c>
      <c r="K934" s="8" t="s">
        <v>1032</v>
      </c>
      <c r="L934" s="7">
        <v>2.0</v>
      </c>
      <c r="M934" s="7" t="s">
        <v>3201</v>
      </c>
      <c r="N934" s="13" t="s">
        <v>3207</v>
      </c>
      <c r="O934" s="15" t="s">
        <v>3208</v>
      </c>
    </row>
    <row r="935">
      <c r="A935" s="5">
        <v>1056.0</v>
      </c>
      <c r="B935" s="6">
        <v>45992.79794230324</v>
      </c>
      <c r="C935" s="7" t="s">
        <v>125</v>
      </c>
      <c r="D935" s="8" t="s">
        <v>673</v>
      </c>
      <c r="E935" s="8" t="s">
        <v>674</v>
      </c>
      <c r="F935" s="7" t="s">
        <v>675</v>
      </c>
      <c r="G935" s="9" t="s">
        <v>209</v>
      </c>
      <c r="H935" s="7" t="s">
        <v>3209</v>
      </c>
      <c r="I935" s="7" t="s">
        <v>1131</v>
      </c>
      <c r="J935" s="10">
        <v>45970.0</v>
      </c>
      <c r="K935" s="8" t="s">
        <v>206</v>
      </c>
      <c r="L935" s="7">
        <v>4.0</v>
      </c>
      <c r="M935" s="7" t="s">
        <v>3201</v>
      </c>
      <c r="N935" s="13" t="s">
        <v>3210</v>
      </c>
      <c r="O935" s="15" t="s">
        <v>3211</v>
      </c>
    </row>
    <row r="936">
      <c r="A936" s="5">
        <v>1057.0</v>
      </c>
      <c r="B936" s="6">
        <v>45992.801574074074</v>
      </c>
      <c r="C936" s="7" t="s">
        <v>125</v>
      </c>
      <c r="D936" s="8" t="s">
        <v>3212</v>
      </c>
      <c r="E936" s="8" t="s">
        <v>2338</v>
      </c>
      <c r="F936" s="7" t="s">
        <v>3213</v>
      </c>
      <c r="G936" s="9" t="s">
        <v>19</v>
      </c>
      <c r="H936" s="7" t="s">
        <v>173</v>
      </c>
      <c r="I936" s="7" t="s">
        <v>174</v>
      </c>
      <c r="J936" s="10">
        <v>45854.0</v>
      </c>
      <c r="K936" s="8" t="s">
        <v>175</v>
      </c>
      <c r="L936" s="7">
        <v>6.0</v>
      </c>
      <c r="M936" s="7" t="s">
        <v>106</v>
      </c>
      <c r="N936" s="13" t="s">
        <v>3214</v>
      </c>
      <c r="O936" s="15" t="s">
        <v>3215</v>
      </c>
    </row>
    <row r="937">
      <c r="A937" s="5">
        <v>1058.0</v>
      </c>
      <c r="B937" s="6">
        <v>45992.804475150464</v>
      </c>
      <c r="C937" s="7" t="s">
        <v>125</v>
      </c>
      <c r="D937" s="8" t="s">
        <v>2569</v>
      </c>
      <c r="E937" s="8" t="s">
        <v>1197</v>
      </c>
      <c r="F937" s="7" t="s">
        <v>2570</v>
      </c>
      <c r="G937" s="9" t="s">
        <v>19</v>
      </c>
      <c r="H937" s="7" t="s">
        <v>3216</v>
      </c>
      <c r="I937" s="7" t="s">
        <v>174</v>
      </c>
      <c r="J937" s="10">
        <v>45854.0</v>
      </c>
      <c r="K937" s="8" t="s">
        <v>175</v>
      </c>
      <c r="L937" s="7">
        <v>6.0</v>
      </c>
      <c r="M937" s="7" t="s">
        <v>106</v>
      </c>
      <c r="N937" s="13" t="s">
        <v>3217</v>
      </c>
      <c r="O937" s="15" t="s">
        <v>3222</v>
      </c>
    </row>
    <row r="938">
      <c r="A938" s="5">
        <v>1059.0</v>
      </c>
      <c r="B938" s="6">
        <v>45992.80758949074</v>
      </c>
      <c r="C938" s="7" t="s">
        <v>125</v>
      </c>
      <c r="D938" s="8" t="s">
        <v>3212</v>
      </c>
      <c r="E938" s="8" t="s">
        <v>2338</v>
      </c>
      <c r="F938" s="7" t="s">
        <v>3213</v>
      </c>
      <c r="G938" s="9" t="s">
        <v>159</v>
      </c>
      <c r="H938" s="7" t="s">
        <v>3234</v>
      </c>
      <c r="I938" s="7" t="s">
        <v>1131</v>
      </c>
      <c r="J938" s="10">
        <v>45965.0</v>
      </c>
      <c r="K938" s="8" t="s">
        <v>1665</v>
      </c>
      <c r="L938" s="7">
        <v>2.0</v>
      </c>
      <c r="M938" s="7" t="s">
        <v>3235</v>
      </c>
      <c r="N938" s="13" t="s">
        <v>3236</v>
      </c>
      <c r="O938" s="15" t="s">
        <v>3237</v>
      </c>
    </row>
    <row r="939">
      <c r="A939" s="5">
        <v>1060.0</v>
      </c>
      <c r="B939" s="6">
        <v>45992.809338969906</v>
      </c>
      <c r="C939" s="7" t="s">
        <v>125</v>
      </c>
      <c r="D939" s="8" t="s">
        <v>3213</v>
      </c>
      <c r="E939" s="8" t="s">
        <v>2338</v>
      </c>
      <c r="F939" s="7" t="s">
        <v>3213</v>
      </c>
      <c r="G939" s="9" t="s">
        <v>159</v>
      </c>
      <c r="H939" s="7" t="s">
        <v>3234</v>
      </c>
      <c r="I939" s="7" t="s">
        <v>1131</v>
      </c>
      <c r="J939" s="10">
        <v>45966.0</v>
      </c>
      <c r="K939" s="8" t="s">
        <v>1665</v>
      </c>
      <c r="L939" s="7">
        <v>2.0</v>
      </c>
      <c r="M939" s="7" t="s">
        <v>3235</v>
      </c>
      <c r="N939" s="13" t="s">
        <v>3238</v>
      </c>
      <c r="O939" s="15" t="s">
        <v>3239</v>
      </c>
    </row>
    <row r="940">
      <c r="A940" s="5">
        <v>1061.0</v>
      </c>
      <c r="B940" s="6">
        <v>45992.81155063657</v>
      </c>
      <c r="C940" s="7" t="s">
        <v>125</v>
      </c>
      <c r="D940" s="8" t="s">
        <v>3212</v>
      </c>
      <c r="E940" s="8" t="s">
        <v>2338</v>
      </c>
      <c r="F940" s="7" t="s">
        <v>3213</v>
      </c>
      <c r="G940" s="9" t="s">
        <v>159</v>
      </c>
      <c r="H940" s="7" t="s">
        <v>3234</v>
      </c>
      <c r="I940" s="7" t="s">
        <v>1131</v>
      </c>
      <c r="J940" s="10">
        <v>45966.0</v>
      </c>
      <c r="K940" s="8" t="s">
        <v>1665</v>
      </c>
      <c r="L940" s="7">
        <v>2.0</v>
      </c>
      <c r="M940" s="7" t="s">
        <v>3235</v>
      </c>
      <c r="N940" s="13" t="s">
        <v>3240</v>
      </c>
      <c r="O940" s="15" t="s">
        <v>3241</v>
      </c>
    </row>
    <row r="941">
      <c r="A941" s="5">
        <v>1062.0</v>
      </c>
      <c r="B941" s="6">
        <v>45992.81180915509</v>
      </c>
      <c r="C941" s="7" t="s">
        <v>125</v>
      </c>
      <c r="D941" s="8" t="s">
        <v>3242</v>
      </c>
      <c r="E941" s="8" t="s">
        <v>248</v>
      </c>
      <c r="F941" s="7" t="s">
        <v>3243</v>
      </c>
      <c r="G941" s="9" t="s">
        <v>19</v>
      </c>
      <c r="H941" s="7" t="s">
        <v>3244</v>
      </c>
      <c r="I941" s="7" t="s">
        <v>174</v>
      </c>
      <c r="J941" s="10">
        <v>45854.0</v>
      </c>
      <c r="K941" s="8" t="s">
        <v>175</v>
      </c>
      <c r="L941" s="7">
        <v>6.0</v>
      </c>
      <c r="M941" s="7" t="s">
        <v>106</v>
      </c>
      <c r="N941" s="13" t="s">
        <v>3245</v>
      </c>
      <c r="O941" s="15" t="s">
        <v>3246</v>
      </c>
    </row>
    <row r="942">
      <c r="A942" s="5">
        <v>1063.0</v>
      </c>
      <c r="B942" s="6">
        <v>45992.815876458335</v>
      </c>
      <c r="C942" s="7" t="s">
        <v>125</v>
      </c>
      <c r="D942" s="8" t="s">
        <v>3242</v>
      </c>
      <c r="E942" s="8" t="s">
        <v>248</v>
      </c>
      <c r="F942" s="7" t="s">
        <v>3243</v>
      </c>
      <c r="G942" s="9" t="s">
        <v>209</v>
      </c>
      <c r="H942" s="7" t="s">
        <v>3247</v>
      </c>
      <c r="I942" s="7" t="s">
        <v>3248</v>
      </c>
      <c r="J942" s="10">
        <v>45951.0</v>
      </c>
      <c r="K942" s="8" t="s">
        <v>206</v>
      </c>
      <c r="L942" s="7">
        <v>4.0</v>
      </c>
      <c r="M942" s="7" t="s">
        <v>147</v>
      </c>
      <c r="N942" s="13" t="s">
        <v>3249</v>
      </c>
      <c r="O942" s="23"/>
    </row>
    <row r="943">
      <c r="A943" s="5">
        <v>1064.0</v>
      </c>
      <c r="B943" s="6">
        <v>45992.815932314814</v>
      </c>
      <c r="C943" s="7" t="s">
        <v>125</v>
      </c>
      <c r="D943" s="8" t="s">
        <v>3212</v>
      </c>
      <c r="E943" s="8" t="s">
        <v>2338</v>
      </c>
      <c r="F943" s="7" t="s">
        <v>3213</v>
      </c>
      <c r="G943" s="9" t="s">
        <v>144</v>
      </c>
      <c r="H943" s="7" t="s">
        <v>3250</v>
      </c>
      <c r="I943" s="7" t="s">
        <v>1126</v>
      </c>
      <c r="J943" s="10">
        <v>45949.0</v>
      </c>
      <c r="K943" s="8" t="s">
        <v>957</v>
      </c>
      <c r="L943" s="7">
        <v>4.0</v>
      </c>
      <c r="M943" s="7" t="s">
        <v>3251</v>
      </c>
      <c r="N943" s="13" t="s">
        <v>3252</v>
      </c>
      <c r="O943" s="15" t="s">
        <v>3253</v>
      </c>
    </row>
    <row r="944">
      <c r="A944" s="5">
        <v>1065.0</v>
      </c>
      <c r="B944" s="6">
        <v>45992.81623984953</v>
      </c>
      <c r="C944" s="7" t="s">
        <v>125</v>
      </c>
      <c r="D944" s="8" t="s">
        <v>227</v>
      </c>
      <c r="E944" s="8" t="s">
        <v>228</v>
      </c>
      <c r="F944" s="7" t="s">
        <v>229</v>
      </c>
      <c r="G944" s="9" t="s">
        <v>159</v>
      </c>
      <c r="H944" s="7" t="s">
        <v>345</v>
      </c>
      <c r="I944" s="7" t="s">
        <v>346</v>
      </c>
      <c r="J944" s="10">
        <v>45956.0</v>
      </c>
      <c r="K944" s="8" t="s">
        <v>362</v>
      </c>
      <c r="L944" s="7">
        <v>4.0</v>
      </c>
      <c r="M944" s="7" t="s">
        <v>352</v>
      </c>
      <c r="N944" s="13" t="s">
        <v>3254</v>
      </c>
      <c r="O944" s="15" t="s">
        <v>3255</v>
      </c>
    </row>
    <row r="945">
      <c r="A945" s="5">
        <v>1066.0</v>
      </c>
      <c r="B945" s="6">
        <v>45992.81794221065</v>
      </c>
      <c r="C945" s="7" t="s">
        <v>15</v>
      </c>
      <c r="D945" s="8" t="s">
        <v>2044</v>
      </c>
      <c r="E945" s="8" t="s">
        <v>134</v>
      </c>
      <c r="F945" s="7" t="s">
        <v>2045</v>
      </c>
      <c r="G945" s="9" t="s">
        <v>19</v>
      </c>
      <c r="H945" s="7" t="s">
        <v>20</v>
      </c>
      <c r="I945" s="7" t="s">
        <v>21</v>
      </c>
      <c r="J945" s="10">
        <v>45940.0</v>
      </c>
      <c r="K945" s="8" t="s">
        <v>22</v>
      </c>
      <c r="L945" s="7">
        <v>4.0</v>
      </c>
      <c r="M945" s="7" t="s">
        <v>23</v>
      </c>
      <c r="N945" s="13" t="s">
        <v>3256</v>
      </c>
      <c r="O945" s="15" t="s">
        <v>3257</v>
      </c>
    </row>
    <row r="946">
      <c r="A946" s="5">
        <v>1067.0</v>
      </c>
      <c r="B946" s="6">
        <v>45992.82050783565</v>
      </c>
      <c r="C946" s="7" t="s">
        <v>125</v>
      </c>
      <c r="D946" s="8" t="s">
        <v>3212</v>
      </c>
      <c r="E946" s="8" t="s">
        <v>2338</v>
      </c>
      <c r="F946" s="7" t="s">
        <v>3213</v>
      </c>
      <c r="G946" s="9" t="s">
        <v>209</v>
      </c>
      <c r="H946" s="7" t="s">
        <v>3258</v>
      </c>
      <c r="I946" s="7" t="s">
        <v>3259</v>
      </c>
      <c r="J946" s="10">
        <v>45948.0</v>
      </c>
      <c r="K946" s="8" t="s">
        <v>22</v>
      </c>
      <c r="L946" s="7">
        <v>4.0</v>
      </c>
      <c r="M946" s="7" t="s">
        <v>1135</v>
      </c>
      <c r="N946" s="13" t="s">
        <v>3260</v>
      </c>
      <c r="O946" s="15" t="s">
        <v>3261</v>
      </c>
    </row>
    <row r="947">
      <c r="A947" s="5">
        <v>1068.0</v>
      </c>
      <c r="B947" s="6">
        <v>45992.82175540509</v>
      </c>
      <c r="C947" s="7" t="s">
        <v>125</v>
      </c>
      <c r="D947" s="8" t="s">
        <v>3242</v>
      </c>
      <c r="E947" s="8" t="s">
        <v>248</v>
      </c>
      <c r="F947" s="7" t="s">
        <v>3243</v>
      </c>
      <c r="G947" s="9" t="s">
        <v>209</v>
      </c>
      <c r="H947" s="7" t="s">
        <v>3262</v>
      </c>
      <c r="I947" s="7" t="s">
        <v>205</v>
      </c>
      <c r="J947" s="10">
        <v>45951.0</v>
      </c>
      <c r="K947" s="8" t="s">
        <v>3263</v>
      </c>
      <c r="L947" s="7">
        <v>4.0</v>
      </c>
      <c r="M947" s="7" t="s">
        <v>3264</v>
      </c>
      <c r="N947" s="13" t="s">
        <v>3265</v>
      </c>
      <c r="O947" s="15" t="s">
        <v>3266</v>
      </c>
    </row>
    <row r="948">
      <c r="A948" s="5">
        <v>1069.0</v>
      </c>
      <c r="B948" s="6">
        <v>45992.82367329861</v>
      </c>
      <c r="C948" s="7" t="s">
        <v>125</v>
      </c>
      <c r="D948" s="8" t="s">
        <v>3212</v>
      </c>
      <c r="E948" s="8" t="s">
        <v>2338</v>
      </c>
      <c r="F948" s="7" t="s">
        <v>3213</v>
      </c>
      <c r="G948" s="9" t="s">
        <v>209</v>
      </c>
      <c r="H948" s="7" t="s">
        <v>3267</v>
      </c>
      <c r="I948" s="7" t="s">
        <v>1131</v>
      </c>
      <c r="J948" s="10">
        <v>45970.0</v>
      </c>
      <c r="K948" s="8" t="s">
        <v>206</v>
      </c>
      <c r="L948" s="7">
        <v>4.0</v>
      </c>
      <c r="M948" s="7" t="s">
        <v>3268</v>
      </c>
      <c r="N948" s="13" t="s">
        <v>3269</v>
      </c>
      <c r="O948" s="15" t="s">
        <v>3270</v>
      </c>
    </row>
    <row r="949">
      <c r="A949" s="5">
        <v>1070.0</v>
      </c>
      <c r="B949" s="6">
        <v>45992.825843865736</v>
      </c>
      <c r="C949" s="7" t="s">
        <v>125</v>
      </c>
      <c r="D949" s="8" t="s">
        <v>3271</v>
      </c>
      <c r="E949" s="8" t="s">
        <v>479</v>
      </c>
      <c r="F949" s="7" t="s">
        <v>3272</v>
      </c>
      <c r="G949" s="9" t="s">
        <v>19</v>
      </c>
      <c r="H949" s="7" t="s">
        <v>173</v>
      </c>
      <c r="I949" s="7" t="s">
        <v>174</v>
      </c>
      <c r="J949" s="10">
        <v>45854.0</v>
      </c>
      <c r="K949" s="8" t="s">
        <v>175</v>
      </c>
      <c r="L949" s="7">
        <v>6.0</v>
      </c>
      <c r="M949" s="7" t="s">
        <v>106</v>
      </c>
      <c r="N949" s="13" t="s">
        <v>3273</v>
      </c>
      <c r="O949" s="15" t="s">
        <v>3274</v>
      </c>
    </row>
    <row r="950">
      <c r="A950" s="5">
        <v>1071.0</v>
      </c>
      <c r="B950" s="6">
        <v>45992.82759726852</v>
      </c>
      <c r="C950" s="7" t="s">
        <v>125</v>
      </c>
      <c r="D950" s="8" t="s">
        <v>3242</v>
      </c>
      <c r="E950" s="8" t="s">
        <v>248</v>
      </c>
      <c r="F950" s="7" t="s">
        <v>3243</v>
      </c>
      <c r="G950" s="9" t="s">
        <v>144</v>
      </c>
      <c r="H950" s="7" t="s">
        <v>150</v>
      </c>
      <c r="I950" s="7" t="s">
        <v>3275</v>
      </c>
      <c r="J950" s="10">
        <v>45955.0</v>
      </c>
      <c r="K950" s="8" t="s">
        <v>22</v>
      </c>
      <c r="L950" s="7">
        <v>4.0</v>
      </c>
      <c r="M950" s="7" t="s">
        <v>3276</v>
      </c>
      <c r="N950" s="13" t="s">
        <v>3277</v>
      </c>
      <c r="O950" s="15" t="s">
        <v>3278</v>
      </c>
    </row>
    <row r="951">
      <c r="A951" s="5">
        <v>1072.0</v>
      </c>
      <c r="B951" s="6">
        <v>45992.829157025466</v>
      </c>
      <c r="C951" s="7" t="s">
        <v>125</v>
      </c>
      <c r="D951" s="8" t="s">
        <v>3271</v>
      </c>
      <c r="E951" s="8" t="s">
        <v>479</v>
      </c>
      <c r="F951" s="7" t="s">
        <v>3272</v>
      </c>
      <c r="G951" s="9" t="s">
        <v>159</v>
      </c>
      <c r="H951" s="7" t="s">
        <v>2571</v>
      </c>
      <c r="I951" s="7" t="s">
        <v>3279</v>
      </c>
      <c r="J951" s="10">
        <v>45955.0</v>
      </c>
      <c r="K951" s="8" t="s">
        <v>22</v>
      </c>
      <c r="L951" s="7">
        <v>4.0</v>
      </c>
      <c r="M951" s="7" t="s">
        <v>1823</v>
      </c>
      <c r="N951" s="13" t="s">
        <v>3280</v>
      </c>
      <c r="O951" s="15" t="s">
        <v>3281</v>
      </c>
    </row>
    <row r="952">
      <c r="A952" s="5">
        <v>1073.0</v>
      </c>
      <c r="B952" s="6">
        <v>45992.83331069445</v>
      </c>
      <c r="C952" s="7" t="s">
        <v>125</v>
      </c>
      <c r="D952" s="8" t="s">
        <v>3242</v>
      </c>
      <c r="E952" s="8" t="s">
        <v>248</v>
      </c>
      <c r="F952" s="7" t="s">
        <v>3243</v>
      </c>
      <c r="G952" s="9" t="s">
        <v>144</v>
      </c>
      <c r="H952" s="7" t="s">
        <v>1557</v>
      </c>
      <c r="I952" s="7" t="s">
        <v>3282</v>
      </c>
      <c r="J952" s="10">
        <v>45963.0</v>
      </c>
      <c r="K952" s="8" t="s">
        <v>206</v>
      </c>
      <c r="L952" s="7">
        <v>4.0</v>
      </c>
      <c r="M952" s="7" t="s">
        <v>3276</v>
      </c>
      <c r="N952" s="13" t="s">
        <v>3283</v>
      </c>
      <c r="O952" s="15" t="s">
        <v>3284</v>
      </c>
    </row>
    <row r="953">
      <c r="A953" s="5">
        <v>1074.0</v>
      </c>
      <c r="B953" s="6">
        <v>45992.836125127316</v>
      </c>
      <c r="C953" s="7" t="s">
        <v>125</v>
      </c>
      <c r="D953" s="8" t="s">
        <v>3271</v>
      </c>
      <c r="E953" s="8" t="s">
        <v>479</v>
      </c>
      <c r="F953" s="7" t="s">
        <v>3272</v>
      </c>
      <c r="G953" s="9" t="s">
        <v>209</v>
      </c>
      <c r="H953" s="7" t="s">
        <v>3285</v>
      </c>
      <c r="I953" s="7" t="s">
        <v>3286</v>
      </c>
      <c r="J953" s="10">
        <v>45947.0</v>
      </c>
      <c r="K953" s="8" t="s">
        <v>3287</v>
      </c>
      <c r="L953" s="7">
        <v>3.0</v>
      </c>
      <c r="M953" s="7" t="s">
        <v>1823</v>
      </c>
      <c r="N953" s="13" t="s">
        <v>3288</v>
      </c>
      <c r="O953" s="15" t="s">
        <v>3289</v>
      </c>
    </row>
    <row r="954">
      <c r="A954" s="5">
        <v>1075.0</v>
      </c>
      <c r="B954" s="6">
        <v>45992.839841493056</v>
      </c>
      <c r="C954" s="7" t="s">
        <v>26</v>
      </c>
      <c r="D954" s="8" t="s">
        <v>1108</v>
      </c>
      <c r="E954" s="8" t="s">
        <v>2919</v>
      </c>
      <c r="F954" s="7" t="s">
        <v>3290</v>
      </c>
      <c r="G954" s="9" t="s">
        <v>19</v>
      </c>
      <c r="H954" s="7" t="s">
        <v>3291</v>
      </c>
      <c r="I954" s="7" t="s">
        <v>31</v>
      </c>
      <c r="J954" s="10">
        <v>45825.0</v>
      </c>
      <c r="K954" s="8" t="s">
        <v>49</v>
      </c>
      <c r="L954" s="7">
        <v>8.0</v>
      </c>
      <c r="M954" s="7" t="s">
        <v>33</v>
      </c>
      <c r="N954" s="13" t="s">
        <v>3292</v>
      </c>
      <c r="O954" s="15" t="s">
        <v>3293</v>
      </c>
    </row>
    <row r="955">
      <c r="A955" s="5">
        <v>1076.0</v>
      </c>
      <c r="B955" s="6">
        <v>45992.84240422454</v>
      </c>
      <c r="C955" s="7" t="s">
        <v>26</v>
      </c>
      <c r="D955" s="8" t="s">
        <v>1108</v>
      </c>
      <c r="E955" s="8" t="s">
        <v>2919</v>
      </c>
      <c r="F955" s="7" t="s">
        <v>3290</v>
      </c>
      <c r="G955" s="9" t="s">
        <v>19</v>
      </c>
      <c r="H955" s="7" t="s">
        <v>3294</v>
      </c>
      <c r="I955" s="7" t="s">
        <v>469</v>
      </c>
      <c r="J955" s="10">
        <v>45833.0</v>
      </c>
      <c r="K955" s="8" t="s">
        <v>49</v>
      </c>
      <c r="L955" s="7">
        <v>8.0</v>
      </c>
      <c r="M955" s="7" t="s">
        <v>33</v>
      </c>
      <c r="N955" s="13" t="s">
        <v>3295</v>
      </c>
      <c r="O955" s="15" t="s">
        <v>3296</v>
      </c>
    </row>
    <row r="956">
      <c r="A956" s="5">
        <v>1077.0</v>
      </c>
      <c r="B956" s="6">
        <v>45992.843905208334</v>
      </c>
      <c r="C956" s="7" t="s">
        <v>26</v>
      </c>
      <c r="D956" s="8" t="s">
        <v>1108</v>
      </c>
      <c r="E956" s="8" t="s">
        <v>2919</v>
      </c>
      <c r="F956" s="7" t="s">
        <v>3290</v>
      </c>
      <c r="G956" s="9" t="s">
        <v>19</v>
      </c>
      <c r="H956" s="7" t="s">
        <v>41</v>
      </c>
      <c r="I956" s="7" t="s">
        <v>37</v>
      </c>
      <c r="J956" s="10">
        <v>45839.0</v>
      </c>
      <c r="K956" s="8" t="s">
        <v>67</v>
      </c>
      <c r="L956" s="7">
        <v>8.0</v>
      </c>
      <c r="M956" s="7" t="s">
        <v>33</v>
      </c>
      <c r="N956" s="13" t="s">
        <v>3297</v>
      </c>
      <c r="O956" s="15" t="s">
        <v>3298</v>
      </c>
    </row>
    <row r="957">
      <c r="A957" s="5">
        <v>1078.0</v>
      </c>
      <c r="B957" s="6">
        <v>45992.84459862269</v>
      </c>
      <c r="C957" s="7" t="s">
        <v>125</v>
      </c>
      <c r="D957" s="8" t="s">
        <v>3271</v>
      </c>
      <c r="E957" s="8" t="s">
        <v>479</v>
      </c>
      <c r="F957" s="7" t="s">
        <v>3272</v>
      </c>
      <c r="G957" s="9" t="s">
        <v>209</v>
      </c>
      <c r="H957" s="7" t="s">
        <v>3299</v>
      </c>
      <c r="I957" s="7" t="s">
        <v>1856</v>
      </c>
      <c r="J957" s="10">
        <v>45960.0</v>
      </c>
      <c r="K957" s="8" t="s">
        <v>3263</v>
      </c>
      <c r="L957" s="7">
        <v>3.0</v>
      </c>
      <c r="M957" s="7" t="s">
        <v>1823</v>
      </c>
      <c r="N957" s="13" t="s">
        <v>3300</v>
      </c>
      <c r="O957" s="15" t="s">
        <v>3301</v>
      </c>
    </row>
    <row r="958">
      <c r="A958" s="5">
        <v>1079.0</v>
      </c>
      <c r="B958" s="6">
        <v>45992.84745299768</v>
      </c>
      <c r="C958" s="7" t="s">
        <v>26</v>
      </c>
      <c r="D958" s="8" t="s">
        <v>1108</v>
      </c>
      <c r="E958" s="8" t="s">
        <v>2919</v>
      </c>
      <c r="F958" s="7" t="s">
        <v>3290</v>
      </c>
      <c r="G958" s="9" t="s">
        <v>19</v>
      </c>
      <c r="H958" s="7" t="s">
        <v>41</v>
      </c>
      <c r="I958" s="7" t="s">
        <v>37</v>
      </c>
      <c r="J958" s="10">
        <v>45840.0</v>
      </c>
      <c r="K958" s="8" t="s">
        <v>67</v>
      </c>
      <c r="L958" s="7">
        <v>8.0</v>
      </c>
      <c r="M958" s="7" t="s">
        <v>33</v>
      </c>
      <c r="N958" s="13" t="s">
        <v>3302</v>
      </c>
      <c r="O958" s="15" t="s">
        <v>3303</v>
      </c>
    </row>
    <row r="959">
      <c r="A959" s="5">
        <v>1080.0</v>
      </c>
      <c r="B959" s="6">
        <v>45992.84920251157</v>
      </c>
      <c r="C959" s="7" t="s">
        <v>26</v>
      </c>
      <c r="D959" s="8" t="s">
        <v>1108</v>
      </c>
      <c r="E959" s="8" t="s">
        <v>2919</v>
      </c>
      <c r="F959" s="7" t="s">
        <v>3290</v>
      </c>
      <c r="G959" s="9" t="s">
        <v>181</v>
      </c>
      <c r="H959" s="7" t="s">
        <v>857</v>
      </c>
      <c r="I959" s="7" t="s">
        <v>910</v>
      </c>
      <c r="J959" s="10">
        <v>45987.0</v>
      </c>
      <c r="K959" s="8" t="s">
        <v>859</v>
      </c>
      <c r="L959" s="7">
        <v>8.0</v>
      </c>
      <c r="M959" s="7" t="s">
        <v>860</v>
      </c>
      <c r="N959" s="13" t="s">
        <v>3304</v>
      </c>
      <c r="O959" s="15" t="s">
        <v>3305</v>
      </c>
    </row>
    <row r="960">
      <c r="A960" s="5">
        <v>1081.0</v>
      </c>
      <c r="B960" s="6">
        <v>45992.85032736111</v>
      </c>
      <c r="C960" s="7" t="s">
        <v>125</v>
      </c>
      <c r="D960" s="8" t="s">
        <v>3242</v>
      </c>
      <c r="E960" s="8" t="s">
        <v>248</v>
      </c>
      <c r="F960" s="7" t="s">
        <v>3243</v>
      </c>
      <c r="G960" s="9" t="s">
        <v>159</v>
      </c>
      <c r="H960" s="7" t="s">
        <v>3306</v>
      </c>
      <c r="I960" s="7" t="s">
        <v>3307</v>
      </c>
      <c r="J960" s="10">
        <v>45966.0</v>
      </c>
      <c r="K960" s="8" t="s">
        <v>3308</v>
      </c>
      <c r="L960" s="7">
        <v>2.0</v>
      </c>
      <c r="M960" s="7" t="s">
        <v>3276</v>
      </c>
      <c r="N960" s="13" t="s">
        <v>3309</v>
      </c>
      <c r="O960" s="15" t="s">
        <v>3310</v>
      </c>
    </row>
    <row r="961">
      <c r="A961" s="5">
        <v>1082.0</v>
      </c>
      <c r="B961" s="6">
        <v>45992.8510546412</v>
      </c>
      <c r="C961" s="7" t="s">
        <v>125</v>
      </c>
      <c r="D961" s="8" t="s">
        <v>2081</v>
      </c>
      <c r="E961" s="8" t="s">
        <v>1827</v>
      </c>
      <c r="F961" s="7" t="s">
        <v>2082</v>
      </c>
      <c r="G961" s="9" t="s">
        <v>181</v>
      </c>
      <c r="H961" s="7" t="s">
        <v>3311</v>
      </c>
      <c r="I961" s="7" t="s">
        <v>2092</v>
      </c>
      <c r="J961" s="10">
        <v>45876.0</v>
      </c>
      <c r="K961" s="8" t="s">
        <v>518</v>
      </c>
      <c r="L961" s="7">
        <v>2.0</v>
      </c>
      <c r="M961" s="7" t="s">
        <v>33</v>
      </c>
      <c r="N961" s="13" t="s">
        <v>3312</v>
      </c>
      <c r="O961" s="15" t="s">
        <v>3313</v>
      </c>
    </row>
    <row r="962">
      <c r="A962" s="5">
        <v>1083.0</v>
      </c>
      <c r="B962" s="6">
        <v>45992.8539753125</v>
      </c>
      <c r="C962" s="7" t="s">
        <v>125</v>
      </c>
      <c r="D962" s="8" t="s">
        <v>3212</v>
      </c>
      <c r="E962" s="8" t="s">
        <v>2338</v>
      </c>
      <c r="F962" s="7" t="s">
        <v>3213</v>
      </c>
      <c r="G962" s="9" t="s">
        <v>181</v>
      </c>
      <c r="H962" s="7" t="s">
        <v>243</v>
      </c>
      <c r="I962" s="7" t="s">
        <v>231</v>
      </c>
      <c r="J962" s="10">
        <v>45779.0</v>
      </c>
      <c r="K962" s="8" t="s">
        <v>206</v>
      </c>
      <c r="L962" s="7">
        <v>4.0</v>
      </c>
      <c r="M962" s="7" t="s">
        <v>244</v>
      </c>
      <c r="N962" s="13" t="s">
        <v>3314</v>
      </c>
      <c r="O962" s="15" t="s">
        <v>3315</v>
      </c>
    </row>
    <row r="963">
      <c r="A963" s="5">
        <v>1084.0</v>
      </c>
      <c r="B963" s="6">
        <v>45992.8566241088</v>
      </c>
      <c r="C963" s="7" t="s">
        <v>125</v>
      </c>
      <c r="D963" s="8" t="s">
        <v>3212</v>
      </c>
      <c r="E963" s="8" t="s">
        <v>2338</v>
      </c>
      <c r="F963" s="7" t="s">
        <v>3213</v>
      </c>
      <c r="G963" s="9" t="s">
        <v>181</v>
      </c>
      <c r="H963" s="7" t="s">
        <v>3213</v>
      </c>
      <c r="I963" s="7" t="s">
        <v>231</v>
      </c>
      <c r="J963" s="10">
        <v>45783.0</v>
      </c>
      <c r="K963" s="8" t="s">
        <v>49</v>
      </c>
      <c r="L963" s="7">
        <v>8.0</v>
      </c>
      <c r="M963" s="7" t="s">
        <v>244</v>
      </c>
      <c r="N963" s="13" t="s">
        <v>3316</v>
      </c>
      <c r="O963" s="15" t="s">
        <v>3317</v>
      </c>
    </row>
    <row r="964">
      <c r="A964" s="5">
        <v>1085.0</v>
      </c>
      <c r="B964" s="6">
        <v>45992.85926668982</v>
      </c>
      <c r="C964" s="7" t="s">
        <v>125</v>
      </c>
      <c r="D964" s="8" t="s">
        <v>3271</v>
      </c>
      <c r="E964" s="8" t="s">
        <v>479</v>
      </c>
      <c r="F964" s="7" t="s">
        <v>3272</v>
      </c>
      <c r="G964" s="9" t="s">
        <v>181</v>
      </c>
      <c r="H964" s="7" t="s">
        <v>243</v>
      </c>
      <c r="I964" s="7" t="s">
        <v>231</v>
      </c>
      <c r="J964" s="10">
        <v>45779.0</v>
      </c>
      <c r="K964" s="8" t="s">
        <v>3318</v>
      </c>
      <c r="L964" s="7">
        <v>4.0</v>
      </c>
      <c r="M964" s="7" t="s">
        <v>244</v>
      </c>
      <c r="N964" s="13" t="s">
        <v>3319</v>
      </c>
      <c r="O964" s="15" t="s">
        <v>3320</v>
      </c>
    </row>
    <row r="965">
      <c r="A965" s="5">
        <v>1086.0</v>
      </c>
      <c r="B965" s="6">
        <v>45992.85938783565</v>
      </c>
      <c r="C965" s="7" t="s">
        <v>125</v>
      </c>
      <c r="D965" s="8" t="s">
        <v>3212</v>
      </c>
      <c r="E965" s="8" t="s">
        <v>2338</v>
      </c>
      <c r="F965" s="7" t="s">
        <v>3213</v>
      </c>
      <c r="G965" s="9" t="s">
        <v>181</v>
      </c>
      <c r="H965" s="7" t="s">
        <v>256</v>
      </c>
      <c r="I965" s="7" t="s">
        <v>231</v>
      </c>
      <c r="J965" s="10">
        <v>45783.0</v>
      </c>
      <c r="K965" s="8" t="s">
        <v>49</v>
      </c>
      <c r="L965" s="7">
        <v>8.0</v>
      </c>
      <c r="M965" s="7" t="s">
        <v>244</v>
      </c>
      <c r="N965" s="13" t="s">
        <v>3321</v>
      </c>
      <c r="O965" s="15" t="s">
        <v>3322</v>
      </c>
    </row>
    <row r="966">
      <c r="A966" s="5">
        <v>1087.0</v>
      </c>
      <c r="B966" s="6">
        <v>45992.86046306713</v>
      </c>
      <c r="C966" s="7" t="s">
        <v>125</v>
      </c>
      <c r="D966" s="8" t="s">
        <v>3271</v>
      </c>
      <c r="E966" s="8" t="s">
        <v>479</v>
      </c>
      <c r="F966" s="7" t="s">
        <v>3272</v>
      </c>
      <c r="G966" s="9" t="s">
        <v>181</v>
      </c>
      <c r="H966" s="7" t="s">
        <v>243</v>
      </c>
      <c r="I966" s="7" t="s">
        <v>231</v>
      </c>
      <c r="J966" s="10">
        <v>45779.0</v>
      </c>
      <c r="K966" s="8" t="s">
        <v>22</v>
      </c>
      <c r="L966" s="7">
        <v>4.0</v>
      </c>
      <c r="M966" s="7" t="s">
        <v>244</v>
      </c>
      <c r="N966" s="13" t="s">
        <v>3323</v>
      </c>
      <c r="O966" s="15" t="s">
        <v>3324</v>
      </c>
    </row>
    <row r="967">
      <c r="A967" s="5">
        <v>1088.0</v>
      </c>
      <c r="B967" s="6">
        <v>45992.86168016204</v>
      </c>
      <c r="C967" s="7" t="s">
        <v>125</v>
      </c>
      <c r="D967" s="8" t="s">
        <v>3271</v>
      </c>
      <c r="E967" s="8" t="s">
        <v>479</v>
      </c>
      <c r="F967" s="7" t="s">
        <v>3272</v>
      </c>
      <c r="G967" s="9" t="s">
        <v>181</v>
      </c>
      <c r="H967" s="7" t="s">
        <v>3325</v>
      </c>
      <c r="I967" s="7" t="s">
        <v>231</v>
      </c>
      <c r="J967" s="10">
        <v>45783.0</v>
      </c>
      <c r="K967" s="8" t="s">
        <v>3326</v>
      </c>
      <c r="L967" s="7">
        <v>8.0</v>
      </c>
      <c r="M967" s="7" t="s">
        <v>244</v>
      </c>
      <c r="N967" s="13" t="s">
        <v>3327</v>
      </c>
      <c r="O967" s="15" t="s">
        <v>3328</v>
      </c>
    </row>
    <row r="968">
      <c r="A968" s="5">
        <v>1089.0</v>
      </c>
      <c r="B968" s="6">
        <v>45992.86305788194</v>
      </c>
      <c r="C968" s="7" t="s">
        <v>125</v>
      </c>
      <c r="D968" s="8" t="s">
        <v>3271</v>
      </c>
      <c r="E968" s="8" t="s">
        <v>479</v>
      </c>
      <c r="F968" s="7" t="s">
        <v>3272</v>
      </c>
      <c r="G968" s="9" t="s">
        <v>181</v>
      </c>
      <c r="H968" s="7" t="s">
        <v>3329</v>
      </c>
      <c r="I968" s="7" t="s">
        <v>231</v>
      </c>
      <c r="J968" s="10">
        <v>45784.0</v>
      </c>
      <c r="K968" s="8" t="s">
        <v>22</v>
      </c>
      <c r="L968" s="7">
        <v>4.0</v>
      </c>
      <c r="M968" s="7" t="s">
        <v>244</v>
      </c>
      <c r="N968" s="13" t="s">
        <v>3330</v>
      </c>
      <c r="O968" s="15" t="s">
        <v>3331</v>
      </c>
    </row>
    <row r="969">
      <c r="A969" s="5">
        <v>1090.0</v>
      </c>
      <c r="B969" s="6">
        <v>45992.86685731482</v>
      </c>
      <c r="C969" s="7" t="s">
        <v>125</v>
      </c>
      <c r="D969" s="8" t="s">
        <v>3271</v>
      </c>
      <c r="E969" s="8" t="s">
        <v>479</v>
      </c>
      <c r="F969" s="7" t="s">
        <v>3272</v>
      </c>
      <c r="G969" s="9" t="s">
        <v>159</v>
      </c>
      <c r="H969" s="7" t="s">
        <v>345</v>
      </c>
      <c r="I969" s="7" t="s">
        <v>3332</v>
      </c>
      <c r="J969" s="10">
        <v>45956.0</v>
      </c>
      <c r="K969" s="8" t="s">
        <v>682</v>
      </c>
      <c r="L969" s="7">
        <v>5.0</v>
      </c>
      <c r="M969" s="7" t="s">
        <v>1823</v>
      </c>
      <c r="N969" s="13" t="s">
        <v>3333</v>
      </c>
      <c r="O969" s="15" t="s">
        <v>3334</v>
      </c>
    </row>
    <row r="970">
      <c r="A970" s="5">
        <v>1091.0</v>
      </c>
      <c r="B970" s="6">
        <v>45992.868842916665</v>
      </c>
      <c r="C970" s="7" t="s">
        <v>125</v>
      </c>
      <c r="D970" s="8" t="s">
        <v>3271</v>
      </c>
      <c r="E970" s="8" t="s">
        <v>479</v>
      </c>
      <c r="F970" s="7" t="s">
        <v>3272</v>
      </c>
      <c r="G970" s="9" t="s">
        <v>181</v>
      </c>
      <c r="H970" s="7" t="s">
        <v>3311</v>
      </c>
      <c r="I970" s="7" t="s">
        <v>231</v>
      </c>
      <c r="J970" s="10">
        <v>45876.0</v>
      </c>
      <c r="K970" s="8" t="s">
        <v>582</v>
      </c>
      <c r="L970" s="7">
        <v>2.0</v>
      </c>
      <c r="M970" s="7" t="s">
        <v>553</v>
      </c>
      <c r="N970" s="13" t="s">
        <v>3335</v>
      </c>
      <c r="O970" s="15" t="s">
        <v>3336</v>
      </c>
    </row>
    <row r="971">
      <c r="A971" s="5">
        <v>1092.0</v>
      </c>
      <c r="B971" s="6">
        <v>45992.87553922454</v>
      </c>
      <c r="C971" s="7" t="s">
        <v>125</v>
      </c>
      <c r="D971" s="8" t="s">
        <v>3242</v>
      </c>
      <c r="E971" s="8" t="s">
        <v>248</v>
      </c>
      <c r="F971" s="7" t="s">
        <v>3243</v>
      </c>
      <c r="G971" s="9" t="s">
        <v>181</v>
      </c>
      <c r="H971" s="7" t="s">
        <v>3337</v>
      </c>
      <c r="I971" s="7" t="s">
        <v>231</v>
      </c>
      <c r="J971" s="10">
        <v>45783.0</v>
      </c>
      <c r="K971" s="8" t="s">
        <v>315</v>
      </c>
      <c r="L971" s="7">
        <v>8.0</v>
      </c>
      <c r="M971" s="7" t="s">
        <v>244</v>
      </c>
      <c r="N971" s="13" t="s">
        <v>3338</v>
      </c>
      <c r="O971" s="15" t="s">
        <v>3339</v>
      </c>
    </row>
    <row r="972">
      <c r="A972" s="5">
        <v>1093.0</v>
      </c>
      <c r="B972" s="6">
        <v>45992.87842042824</v>
      </c>
      <c r="C972" s="7" t="s">
        <v>125</v>
      </c>
      <c r="D972" s="8" t="s">
        <v>3242</v>
      </c>
      <c r="E972" s="8" t="s">
        <v>248</v>
      </c>
      <c r="F972" s="7" t="s">
        <v>3243</v>
      </c>
      <c r="G972" s="9" t="s">
        <v>181</v>
      </c>
      <c r="H972" s="7" t="s">
        <v>243</v>
      </c>
      <c r="I972" s="7" t="s">
        <v>231</v>
      </c>
      <c r="J972" s="10">
        <v>45779.0</v>
      </c>
      <c r="K972" s="8" t="s">
        <v>22</v>
      </c>
      <c r="L972" s="7">
        <v>4.0</v>
      </c>
      <c r="M972" s="7" t="s">
        <v>244</v>
      </c>
      <c r="N972" s="13" t="s">
        <v>3340</v>
      </c>
      <c r="O972" s="15" t="s">
        <v>3341</v>
      </c>
    </row>
    <row r="973">
      <c r="A973" s="5">
        <v>1094.0</v>
      </c>
      <c r="B973" s="6">
        <v>45992.879784895835</v>
      </c>
      <c r="C973" s="7" t="s">
        <v>125</v>
      </c>
      <c r="D973" s="8" t="s">
        <v>3242</v>
      </c>
      <c r="E973" s="8" t="s">
        <v>248</v>
      </c>
      <c r="F973" s="7" t="s">
        <v>3243</v>
      </c>
      <c r="G973" s="9" t="s">
        <v>159</v>
      </c>
      <c r="H973" s="7" t="s">
        <v>3342</v>
      </c>
      <c r="I973" s="7" t="s">
        <v>3343</v>
      </c>
      <c r="J973" s="10">
        <v>45956.0</v>
      </c>
      <c r="K973" s="8" t="s">
        <v>3344</v>
      </c>
      <c r="L973" s="7">
        <v>4.0</v>
      </c>
      <c r="M973" s="7" t="s">
        <v>147</v>
      </c>
      <c r="N973" s="13" t="s">
        <v>3345</v>
      </c>
      <c r="O973" s="23"/>
    </row>
    <row r="974">
      <c r="A974" s="5">
        <v>1095.0</v>
      </c>
      <c r="B974" s="6">
        <v>45992.8797953125</v>
      </c>
      <c r="C974" s="7" t="s">
        <v>125</v>
      </c>
      <c r="D974" s="8" t="s">
        <v>2081</v>
      </c>
      <c r="E974" s="8" t="s">
        <v>664</v>
      </c>
      <c r="F974" s="7" t="s">
        <v>2082</v>
      </c>
      <c r="G974" s="9" t="s">
        <v>144</v>
      </c>
      <c r="H974" s="7" t="s">
        <v>365</v>
      </c>
      <c r="I974" s="7" t="s">
        <v>366</v>
      </c>
      <c r="J974" s="10">
        <v>45942.0</v>
      </c>
      <c r="K974" s="8" t="s">
        <v>22</v>
      </c>
      <c r="L974" s="7">
        <v>4.0</v>
      </c>
      <c r="M974" s="7" t="s">
        <v>367</v>
      </c>
      <c r="N974" s="13" t="s">
        <v>3346</v>
      </c>
      <c r="O974" s="15" t="s">
        <v>3347</v>
      </c>
    </row>
    <row r="975">
      <c r="A975" s="5">
        <v>1096.0</v>
      </c>
      <c r="B975" s="6">
        <v>45992.8814044676</v>
      </c>
      <c r="C975" s="7" t="s">
        <v>125</v>
      </c>
      <c r="D975" s="8" t="s">
        <v>3242</v>
      </c>
      <c r="E975" s="8" t="s">
        <v>248</v>
      </c>
      <c r="F975" s="7" t="s">
        <v>3243</v>
      </c>
      <c r="G975" s="9" t="s">
        <v>159</v>
      </c>
      <c r="H975" s="7" t="s">
        <v>3342</v>
      </c>
      <c r="I975" s="7" t="s">
        <v>3343</v>
      </c>
      <c r="J975" s="10">
        <v>45956.0</v>
      </c>
      <c r="K975" s="8" t="s">
        <v>3344</v>
      </c>
      <c r="L975" s="7">
        <v>4.0</v>
      </c>
      <c r="M975" s="7" t="s">
        <v>147</v>
      </c>
      <c r="N975" s="13" t="s">
        <v>3348</v>
      </c>
      <c r="O975" s="15" t="s">
        <v>3349</v>
      </c>
    </row>
    <row r="976">
      <c r="A976" s="5">
        <v>1097.0</v>
      </c>
      <c r="B976" s="6">
        <v>45992.88318462963</v>
      </c>
      <c r="C976" s="7" t="s">
        <v>125</v>
      </c>
      <c r="D976" s="8" t="s">
        <v>2081</v>
      </c>
      <c r="E976" s="8" t="s">
        <v>664</v>
      </c>
      <c r="F976" s="7" t="s">
        <v>2082</v>
      </c>
      <c r="G976" s="9" t="s">
        <v>181</v>
      </c>
      <c r="H976" s="7" t="s">
        <v>3311</v>
      </c>
      <c r="I976" s="7" t="s">
        <v>2092</v>
      </c>
      <c r="J976" s="10">
        <v>45876.0</v>
      </c>
      <c r="K976" s="8" t="s">
        <v>518</v>
      </c>
      <c r="L976" s="7">
        <v>2.0</v>
      </c>
      <c r="M976" s="7" t="s">
        <v>33</v>
      </c>
      <c r="N976" s="13" t="s">
        <v>3350</v>
      </c>
      <c r="O976" s="15" t="s">
        <v>3351</v>
      </c>
    </row>
    <row r="977">
      <c r="A977" s="5">
        <v>1098.0</v>
      </c>
      <c r="B977" s="6">
        <v>45992.88561064815</v>
      </c>
      <c r="C977" s="7" t="s">
        <v>125</v>
      </c>
      <c r="D977" s="8" t="s">
        <v>2081</v>
      </c>
      <c r="E977" s="8" t="s">
        <v>664</v>
      </c>
      <c r="F977" s="7" t="s">
        <v>2082</v>
      </c>
      <c r="G977" s="9" t="s">
        <v>19</v>
      </c>
      <c r="H977" s="7" t="s">
        <v>173</v>
      </c>
      <c r="I977" s="7" t="s">
        <v>174</v>
      </c>
      <c r="J977" s="10">
        <v>45854.0</v>
      </c>
      <c r="K977" s="8" t="s">
        <v>175</v>
      </c>
      <c r="L977" s="7">
        <v>6.0</v>
      </c>
      <c r="M977" s="7" t="s">
        <v>106</v>
      </c>
      <c r="N977" s="13" t="s">
        <v>3352</v>
      </c>
      <c r="O977" s="15" t="s">
        <v>3353</v>
      </c>
    </row>
    <row r="978">
      <c r="A978" s="5">
        <v>1099.0</v>
      </c>
      <c r="B978" s="6">
        <v>45993.434645914356</v>
      </c>
      <c r="C978" s="7" t="s">
        <v>760</v>
      </c>
      <c r="D978" s="8" t="s">
        <v>2071</v>
      </c>
      <c r="E978" s="8" t="s">
        <v>319</v>
      </c>
      <c r="F978" s="7" t="s">
        <v>2072</v>
      </c>
      <c r="G978" s="9" t="s">
        <v>181</v>
      </c>
      <c r="H978" s="7" t="s">
        <v>3354</v>
      </c>
      <c r="I978" s="7" t="s">
        <v>3355</v>
      </c>
      <c r="J978" s="10">
        <v>45992.0</v>
      </c>
      <c r="K978" s="8" t="s">
        <v>753</v>
      </c>
      <c r="L978" s="7">
        <v>2.0</v>
      </c>
      <c r="M978" s="7" t="s">
        <v>305</v>
      </c>
      <c r="N978" s="13" t="s">
        <v>3356</v>
      </c>
      <c r="O978" s="15" t="s">
        <v>3357</v>
      </c>
    </row>
    <row r="979">
      <c r="A979" s="5">
        <v>1100.0</v>
      </c>
      <c r="B979" s="6">
        <v>45993.44228940972</v>
      </c>
      <c r="C979" s="7" t="s">
        <v>760</v>
      </c>
      <c r="D979" s="8" t="s">
        <v>780</v>
      </c>
      <c r="E979" s="8" t="s">
        <v>781</v>
      </c>
      <c r="F979" s="7" t="s">
        <v>782</v>
      </c>
      <c r="G979" s="9" t="s">
        <v>181</v>
      </c>
      <c r="H979" s="7" t="s">
        <v>1669</v>
      </c>
      <c r="I979" s="7" t="s">
        <v>1664</v>
      </c>
      <c r="J979" s="10">
        <v>45896.0</v>
      </c>
      <c r="K979" s="8" t="s">
        <v>1665</v>
      </c>
      <c r="L979" s="7">
        <v>2.0</v>
      </c>
      <c r="M979" s="7" t="s">
        <v>1648</v>
      </c>
      <c r="N979" s="13" t="s">
        <v>3358</v>
      </c>
      <c r="O979" s="15" t="s">
        <v>3359</v>
      </c>
    </row>
    <row r="980">
      <c r="A980" s="5">
        <v>1101.0</v>
      </c>
      <c r="B980" s="6">
        <v>45993.44391434028</v>
      </c>
      <c r="C980" s="7" t="s">
        <v>760</v>
      </c>
      <c r="D980" s="8" t="s">
        <v>1179</v>
      </c>
      <c r="E980" s="8" t="s">
        <v>396</v>
      </c>
      <c r="F980" s="7" t="s">
        <v>1180</v>
      </c>
      <c r="G980" s="9" t="s">
        <v>181</v>
      </c>
      <c r="H980" s="7" t="s">
        <v>3360</v>
      </c>
      <c r="I980" s="7" t="s">
        <v>3361</v>
      </c>
      <c r="J980" s="10">
        <v>45901.0</v>
      </c>
      <c r="K980" s="8" t="s">
        <v>3362</v>
      </c>
      <c r="L980" s="7">
        <v>4.0</v>
      </c>
      <c r="M980" s="7" t="s">
        <v>1325</v>
      </c>
      <c r="N980" s="13" t="s">
        <v>3363</v>
      </c>
      <c r="O980" s="15" t="s">
        <v>3364</v>
      </c>
    </row>
    <row r="981">
      <c r="A981" s="5">
        <v>1102.0</v>
      </c>
      <c r="B981" s="6">
        <v>45993.513304699074</v>
      </c>
      <c r="C981" s="7" t="s">
        <v>125</v>
      </c>
      <c r="D981" s="8" t="s">
        <v>3365</v>
      </c>
      <c r="E981" s="8" t="s">
        <v>110</v>
      </c>
      <c r="F981" s="7" t="s">
        <v>3366</v>
      </c>
      <c r="G981" s="9" t="s">
        <v>19</v>
      </c>
      <c r="H981" s="7" t="s">
        <v>173</v>
      </c>
      <c r="I981" s="7" t="s">
        <v>174</v>
      </c>
      <c r="J981" s="10">
        <v>45854.0</v>
      </c>
      <c r="K981" s="8" t="s">
        <v>175</v>
      </c>
      <c r="L981" s="7">
        <v>6.0</v>
      </c>
      <c r="M981" s="7" t="s">
        <v>106</v>
      </c>
      <c r="N981" s="13" t="s">
        <v>3367</v>
      </c>
      <c r="O981" s="15" t="s">
        <v>3368</v>
      </c>
    </row>
    <row r="982">
      <c r="A982" s="5">
        <v>1103.0</v>
      </c>
      <c r="B982" s="6">
        <v>45993.553451562504</v>
      </c>
      <c r="C982" s="7" t="s">
        <v>760</v>
      </c>
      <c r="D982" s="8" t="s">
        <v>3369</v>
      </c>
      <c r="E982" s="8" t="s">
        <v>1948</v>
      </c>
      <c r="F982" s="7" t="s">
        <v>3370</v>
      </c>
      <c r="G982" s="9" t="s">
        <v>19</v>
      </c>
      <c r="H982" s="7" t="s">
        <v>3161</v>
      </c>
      <c r="I982" s="7" t="s">
        <v>3371</v>
      </c>
      <c r="J982" s="10">
        <v>45989.0</v>
      </c>
      <c r="K982" s="8" t="s">
        <v>3372</v>
      </c>
      <c r="L982" s="7">
        <v>5.0</v>
      </c>
      <c r="M982" s="7" t="s">
        <v>1325</v>
      </c>
      <c r="N982" s="13" t="s">
        <v>3373</v>
      </c>
      <c r="O982" s="15" t="s">
        <v>3374</v>
      </c>
    </row>
    <row r="983">
      <c r="A983" s="5">
        <v>1104.0</v>
      </c>
      <c r="B983" s="6">
        <v>45993.56983641203</v>
      </c>
      <c r="C983" s="7" t="s">
        <v>15</v>
      </c>
      <c r="D983" s="8" t="s">
        <v>3006</v>
      </c>
      <c r="E983" s="8" t="s">
        <v>228</v>
      </c>
      <c r="F983" s="7" t="s">
        <v>3007</v>
      </c>
      <c r="G983" s="9" t="s">
        <v>84</v>
      </c>
      <c r="H983" s="7" t="s">
        <v>455</v>
      </c>
      <c r="I983" s="7" t="s">
        <v>3375</v>
      </c>
      <c r="J983" s="10">
        <v>45981.0</v>
      </c>
      <c r="K983" s="8" t="s">
        <v>1132</v>
      </c>
      <c r="L983" s="7">
        <v>8.0</v>
      </c>
      <c r="M983" s="7" t="s">
        <v>3376</v>
      </c>
      <c r="N983" s="13" t="s">
        <v>3377</v>
      </c>
      <c r="O983" s="15" t="s">
        <v>3378</v>
      </c>
    </row>
    <row r="984">
      <c r="A984" s="5">
        <v>1105.0</v>
      </c>
      <c r="B984" s="6">
        <v>45993.576455648144</v>
      </c>
      <c r="C984" s="7" t="s">
        <v>15</v>
      </c>
      <c r="D984" s="8" t="s">
        <v>3006</v>
      </c>
      <c r="E984" s="8" t="s">
        <v>228</v>
      </c>
      <c r="F984" s="7" t="s">
        <v>3007</v>
      </c>
      <c r="G984" s="9" t="s">
        <v>19</v>
      </c>
      <c r="H984" s="7" t="s">
        <v>44</v>
      </c>
      <c r="I984" s="7" t="s">
        <v>37</v>
      </c>
      <c r="J984" s="10">
        <v>45839.0</v>
      </c>
      <c r="K984" s="8" t="s">
        <v>67</v>
      </c>
      <c r="L984" s="7">
        <v>8.0</v>
      </c>
      <c r="M984" s="7" t="s">
        <v>33</v>
      </c>
      <c r="N984" s="13" t="s">
        <v>3379</v>
      </c>
      <c r="O984" s="15" t="s">
        <v>3380</v>
      </c>
    </row>
    <row r="985">
      <c r="A985" s="5">
        <v>1106.0</v>
      </c>
      <c r="B985" s="6">
        <v>45993.578411435185</v>
      </c>
      <c r="C985" s="7" t="s">
        <v>15</v>
      </c>
      <c r="D985" s="8" t="s">
        <v>3381</v>
      </c>
      <c r="E985" s="8" t="s">
        <v>1827</v>
      </c>
      <c r="F985" s="7" t="s">
        <v>3382</v>
      </c>
      <c r="G985" s="9" t="s">
        <v>181</v>
      </c>
      <c r="H985" s="7" t="s">
        <v>3383</v>
      </c>
      <c r="I985" s="7" t="s">
        <v>3384</v>
      </c>
      <c r="J985" s="10">
        <v>45838.0</v>
      </c>
      <c r="K985" s="8" t="s">
        <v>3385</v>
      </c>
      <c r="L985" s="7">
        <v>8.0</v>
      </c>
      <c r="M985" s="7" t="s">
        <v>33</v>
      </c>
      <c r="N985" s="13" t="s">
        <v>3386</v>
      </c>
      <c r="O985" s="15" t="s">
        <v>3387</v>
      </c>
    </row>
    <row r="986">
      <c r="A986" s="5">
        <v>1107.0</v>
      </c>
      <c r="B986" s="6">
        <v>45993.58018990741</v>
      </c>
      <c r="C986" s="7" t="s">
        <v>15</v>
      </c>
      <c r="D986" s="8" t="s">
        <v>2264</v>
      </c>
      <c r="E986" s="8" t="s">
        <v>1827</v>
      </c>
      <c r="F986" s="7" t="s">
        <v>3382</v>
      </c>
      <c r="G986" s="9" t="s">
        <v>181</v>
      </c>
      <c r="H986" s="7" t="s">
        <v>3383</v>
      </c>
      <c r="I986" s="7" t="s">
        <v>3384</v>
      </c>
      <c r="J986" s="10">
        <v>45839.0</v>
      </c>
      <c r="K986" s="8" t="s">
        <v>3385</v>
      </c>
      <c r="L986" s="7">
        <v>8.0</v>
      </c>
      <c r="M986" s="7" t="s">
        <v>33</v>
      </c>
      <c r="N986" s="13" t="s">
        <v>3388</v>
      </c>
      <c r="O986" s="23"/>
    </row>
    <row r="987">
      <c r="A987" s="5">
        <v>1108.0</v>
      </c>
      <c r="B987" s="6">
        <v>45993.58022041667</v>
      </c>
      <c r="C987" s="7" t="s">
        <v>15</v>
      </c>
      <c r="D987" s="8" t="s">
        <v>2264</v>
      </c>
      <c r="E987" s="8" t="s">
        <v>1827</v>
      </c>
      <c r="F987" s="7" t="s">
        <v>3382</v>
      </c>
      <c r="G987" s="9" t="s">
        <v>181</v>
      </c>
      <c r="H987" s="7" t="s">
        <v>3383</v>
      </c>
      <c r="I987" s="7" t="s">
        <v>3384</v>
      </c>
      <c r="J987" s="10">
        <v>45839.0</v>
      </c>
      <c r="K987" s="8" t="s">
        <v>3385</v>
      </c>
      <c r="L987" s="7">
        <v>8.0</v>
      </c>
      <c r="M987" s="7" t="s">
        <v>33</v>
      </c>
      <c r="N987" s="13" t="s">
        <v>3389</v>
      </c>
      <c r="O987" s="15" t="s">
        <v>3390</v>
      </c>
    </row>
    <row r="988">
      <c r="A988" s="5">
        <v>1109.0</v>
      </c>
      <c r="B988" s="6">
        <v>45993.581279618054</v>
      </c>
      <c r="C988" s="7" t="s">
        <v>15</v>
      </c>
      <c r="D988" s="8" t="s">
        <v>3006</v>
      </c>
      <c r="E988" s="8" t="s">
        <v>228</v>
      </c>
      <c r="F988" s="7" t="s">
        <v>3007</v>
      </c>
      <c r="G988" s="9" t="s">
        <v>19</v>
      </c>
      <c r="H988" s="7" t="s">
        <v>44</v>
      </c>
      <c r="I988" s="7" t="s">
        <v>37</v>
      </c>
      <c r="J988" s="10">
        <v>45840.0</v>
      </c>
      <c r="K988" s="8" t="s">
        <v>67</v>
      </c>
      <c r="L988" s="7">
        <v>8.0</v>
      </c>
      <c r="M988" s="7" t="s">
        <v>33</v>
      </c>
      <c r="N988" s="13" t="s">
        <v>3391</v>
      </c>
      <c r="O988" s="15" t="s">
        <v>3392</v>
      </c>
    </row>
    <row r="989">
      <c r="A989" s="5">
        <v>1110.0</v>
      </c>
      <c r="B989" s="6">
        <v>45993.627877384264</v>
      </c>
      <c r="C989" s="7" t="s">
        <v>760</v>
      </c>
      <c r="D989" s="8" t="s">
        <v>3369</v>
      </c>
      <c r="E989" s="8" t="s">
        <v>1948</v>
      </c>
      <c r="F989" s="7" t="s">
        <v>3370</v>
      </c>
      <c r="G989" s="9" t="s">
        <v>19</v>
      </c>
      <c r="H989" s="7" t="s">
        <v>3161</v>
      </c>
      <c r="I989" s="7" t="s">
        <v>3371</v>
      </c>
      <c r="J989" s="10">
        <v>45989.0</v>
      </c>
      <c r="K989" s="8" t="s">
        <v>689</v>
      </c>
      <c r="L989" s="7">
        <v>5.0</v>
      </c>
      <c r="M989" s="7" t="s">
        <v>1325</v>
      </c>
      <c r="N989" s="13" t="s">
        <v>3393</v>
      </c>
      <c r="O989" s="15" t="s">
        <v>3394</v>
      </c>
    </row>
    <row r="990">
      <c r="A990" s="5">
        <v>1112.0</v>
      </c>
      <c r="B990" s="6">
        <v>45993.63868837963</v>
      </c>
      <c r="C990" s="7" t="s">
        <v>760</v>
      </c>
      <c r="D990" s="8" t="s">
        <v>3395</v>
      </c>
      <c r="E990" s="8" t="s">
        <v>1097</v>
      </c>
      <c r="F990" s="7" t="s">
        <v>3396</v>
      </c>
      <c r="G990" s="9" t="s">
        <v>19</v>
      </c>
      <c r="H990" s="7" t="s">
        <v>3397</v>
      </c>
      <c r="I990" s="7" t="s">
        <v>3398</v>
      </c>
      <c r="J990" s="10">
        <v>45989.0</v>
      </c>
      <c r="K990" s="8" t="s">
        <v>3372</v>
      </c>
      <c r="L990" s="7">
        <v>5.0</v>
      </c>
      <c r="M990" s="7" t="s">
        <v>1325</v>
      </c>
      <c r="N990" s="13" t="s">
        <v>3399</v>
      </c>
      <c r="O990" s="15" t="s">
        <v>3400</v>
      </c>
    </row>
    <row r="991">
      <c r="A991" s="5">
        <v>1113.0</v>
      </c>
      <c r="B991" s="6">
        <v>45993.641388310185</v>
      </c>
      <c r="C991" s="7" t="s">
        <v>760</v>
      </c>
      <c r="D991" s="8" t="s">
        <v>3369</v>
      </c>
      <c r="E991" s="8" t="s">
        <v>1948</v>
      </c>
      <c r="F991" s="7" t="s">
        <v>3370</v>
      </c>
      <c r="G991" s="9" t="s">
        <v>181</v>
      </c>
      <c r="H991" s="7" t="s">
        <v>3401</v>
      </c>
      <c r="I991" s="7" t="s">
        <v>231</v>
      </c>
      <c r="J991" s="10">
        <v>45959.0</v>
      </c>
      <c r="K991" s="8" t="s">
        <v>310</v>
      </c>
      <c r="L991" s="7">
        <v>1.0</v>
      </c>
      <c r="M991" s="7" t="s">
        <v>33</v>
      </c>
      <c r="N991" s="13" t="s">
        <v>3402</v>
      </c>
      <c r="O991" s="15" t="s">
        <v>3403</v>
      </c>
    </row>
    <row r="992">
      <c r="A992" s="5">
        <v>1114.0</v>
      </c>
      <c r="B992" s="6">
        <v>45993.642655185184</v>
      </c>
      <c r="C992" s="7" t="s">
        <v>760</v>
      </c>
      <c r="D992" s="8" t="s">
        <v>3395</v>
      </c>
      <c r="E992" s="8" t="s">
        <v>1097</v>
      </c>
      <c r="F992" s="7" t="s">
        <v>3396</v>
      </c>
      <c r="G992" s="9" t="s">
        <v>19</v>
      </c>
      <c r="H992" s="7" t="s">
        <v>3161</v>
      </c>
      <c r="I992" s="7" t="s">
        <v>3398</v>
      </c>
      <c r="J992" s="10">
        <v>45989.0</v>
      </c>
      <c r="K992" s="8" t="s">
        <v>3372</v>
      </c>
      <c r="L992" s="7">
        <v>5.0</v>
      </c>
      <c r="M992" s="7" t="s">
        <v>1325</v>
      </c>
      <c r="N992" s="13" t="s">
        <v>3404</v>
      </c>
      <c r="O992" s="15" t="s">
        <v>3405</v>
      </c>
    </row>
    <row r="993">
      <c r="A993" s="5">
        <v>1116.0</v>
      </c>
      <c r="B993" s="6">
        <v>45993.814230856486</v>
      </c>
      <c r="C993" s="7" t="s">
        <v>760</v>
      </c>
      <c r="D993" s="8" t="s">
        <v>3406</v>
      </c>
      <c r="E993" s="8" t="s">
        <v>134</v>
      </c>
      <c r="F993" s="7" t="s">
        <v>3407</v>
      </c>
      <c r="G993" s="9" t="s">
        <v>159</v>
      </c>
      <c r="H993" s="7" t="s">
        <v>3408</v>
      </c>
      <c r="I993" s="7" t="s">
        <v>1240</v>
      </c>
      <c r="J993" s="10">
        <v>45990.0</v>
      </c>
      <c r="K993" s="8" t="s">
        <v>22</v>
      </c>
      <c r="L993" s="7">
        <v>4.0</v>
      </c>
      <c r="M993" s="7" t="s">
        <v>87</v>
      </c>
      <c r="N993" s="13" t="s">
        <v>3409</v>
      </c>
      <c r="O993" s="15" t="s">
        <v>3410</v>
      </c>
    </row>
    <row r="994">
      <c r="A994" s="5">
        <v>1117.0</v>
      </c>
      <c r="B994" s="6">
        <v>45993.8150165625</v>
      </c>
      <c r="C994" s="7" t="s">
        <v>760</v>
      </c>
      <c r="D994" s="8" t="s">
        <v>1209</v>
      </c>
      <c r="E994" s="8" t="s">
        <v>223</v>
      </c>
      <c r="F994" s="7" t="s">
        <v>1210</v>
      </c>
      <c r="G994" s="9" t="s">
        <v>181</v>
      </c>
      <c r="H994" s="7" t="s">
        <v>895</v>
      </c>
      <c r="I994" s="7" t="s">
        <v>279</v>
      </c>
      <c r="J994" s="10">
        <v>45989.0</v>
      </c>
      <c r="K994" s="8" t="s">
        <v>896</v>
      </c>
      <c r="L994" s="7">
        <v>1.0</v>
      </c>
      <c r="M994" s="7" t="s">
        <v>33</v>
      </c>
      <c r="N994" s="13" t="s">
        <v>3411</v>
      </c>
      <c r="O994" s="15" t="s">
        <v>3412</v>
      </c>
    </row>
    <row r="995">
      <c r="A995" s="5">
        <v>1118.0</v>
      </c>
      <c r="B995" s="6">
        <v>45993.818654780094</v>
      </c>
      <c r="C995" s="7" t="s">
        <v>760</v>
      </c>
      <c r="D995" s="8" t="s">
        <v>1209</v>
      </c>
      <c r="E995" s="8" t="s">
        <v>223</v>
      </c>
      <c r="F995" s="7" t="s">
        <v>1210</v>
      </c>
      <c r="G995" s="9" t="s">
        <v>181</v>
      </c>
      <c r="H995" s="7" t="s">
        <v>895</v>
      </c>
      <c r="I995" s="7" t="s">
        <v>279</v>
      </c>
      <c r="J995" s="10">
        <v>45959.0</v>
      </c>
      <c r="K995" s="8" t="s">
        <v>896</v>
      </c>
      <c r="L995" s="7">
        <v>1.0</v>
      </c>
      <c r="M995" s="7" t="s">
        <v>33</v>
      </c>
      <c r="N995" s="13" t="s">
        <v>3413</v>
      </c>
      <c r="O995" s="15" t="s">
        <v>3414</v>
      </c>
    </row>
    <row r="996">
      <c r="A996" s="5">
        <v>1119.0</v>
      </c>
      <c r="B996" s="6">
        <v>45993.821244375</v>
      </c>
      <c r="C996" s="7" t="s">
        <v>760</v>
      </c>
      <c r="D996" s="8" t="s">
        <v>1209</v>
      </c>
      <c r="E996" s="8" t="s">
        <v>223</v>
      </c>
      <c r="F996" s="7" t="s">
        <v>1210</v>
      </c>
      <c r="G996" s="9" t="s">
        <v>181</v>
      </c>
      <c r="H996" s="7" t="s">
        <v>895</v>
      </c>
      <c r="I996" s="7" t="s">
        <v>279</v>
      </c>
      <c r="J996" s="10">
        <v>45952.0</v>
      </c>
      <c r="K996" s="8" t="s">
        <v>896</v>
      </c>
      <c r="L996" s="7">
        <v>1.0</v>
      </c>
      <c r="M996" s="7" t="s">
        <v>33</v>
      </c>
      <c r="N996" s="13" t="s">
        <v>3415</v>
      </c>
      <c r="O996" s="15" t="s">
        <v>3416</v>
      </c>
    </row>
    <row r="997">
      <c r="A997" s="5">
        <v>1120.0</v>
      </c>
      <c r="B997" s="6">
        <v>45993.82278574074</v>
      </c>
      <c r="C997" s="7" t="s">
        <v>760</v>
      </c>
      <c r="D997" s="8" t="s">
        <v>1209</v>
      </c>
      <c r="E997" s="8" t="s">
        <v>223</v>
      </c>
      <c r="F997" s="7" t="s">
        <v>1210</v>
      </c>
      <c r="G997" s="9" t="s">
        <v>181</v>
      </c>
      <c r="H997" s="7" t="s">
        <v>895</v>
      </c>
      <c r="I997" s="7" t="s">
        <v>279</v>
      </c>
      <c r="J997" s="10">
        <v>45946.0</v>
      </c>
      <c r="K997" s="8" t="s">
        <v>896</v>
      </c>
      <c r="L997" s="7">
        <v>1.0</v>
      </c>
      <c r="M997" s="7" t="s">
        <v>33</v>
      </c>
      <c r="N997" s="13" t="s">
        <v>3417</v>
      </c>
      <c r="O997" s="15" t="s">
        <v>3418</v>
      </c>
    </row>
    <row r="998">
      <c r="A998" s="5">
        <v>1124.0</v>
      </c>
      <c r="B998" s="6">
        <v>45994.22585510417</v>
      </c>
      <c r="C998" s="7" t="s">
        <v>125</v>
      </c>
      <c r="D998" s="8" t="s">
        <v>3419</v>
      </c>
      <c r="E998" s="8" t="s">
        <v>396</v>
      </c>
      <c r="F998" s="7" t="s">
        <v>3420</v>
      </c>
      <c r="G998" s="9" t="s">
        <v>159</v>
      </c>
      <c r="H998" s="7" t="s">
        <v>1926</v>
      </c>
      <c r="I998" s="7" t="s">
        <v>1856</v>
      </c>
      <c r="J998" s="10">
        <v>45960.0</v>
      </c>
      <c r="K998" s="8" t="s">
        <v>694</v>
      </c>
      <c r="L998" s="7">
        <v>3.0</v>
      </c>
      <c r="M998" s="7" t="s">
        <v>3421</v>
      </c>
      <c r="N998" s="13" t="s">
        <v>3422</v>
      </c>
      <c r="O998" s="15" t="s">
        <v>3423</v>
      </c>
    </row>
    <row r="999">
      <c r="A999" s="5">
        <v>1125.0</v>
      </c>
      <c r="B999" s="6">
        <v>45994.22897626157</v>
      </c>
      <c r="C999" s="7" t="s">
        <v>125</v>
      </c>
      <c r="D999" s="8" t="s">
        <v>3419</v>
      </c>
      <c r="E999" s="8" t="s">
        <v>396</v>
      </c>
      <c r="F999" s="7" t="s">
        <v>3424</v>
      </c>
      <c r="G999" s="9" t="s">
        <v>159</v>
      </c>
      <c r="H999" s="7" t="s">
        <v>1913</v>
      </c>
      <c r="I999" s="7" t="s">
        <v>1856</v>
      </c>
      <c r="J999" s="10">
        <v>45979.0</v>
      </c>
      <c r="K999" s="8" t="s">
        <v>1159</v>
      </c>
      <c r="L999" s="7">
        <v>2.0</v>
      </c>
      <c r="M999" s="7" t="s">
        <v>1914</v>
      </c>
      <c r="N999" s="13" t="s">
        <v>3425</v>
      </c>
      <c r="O999" s="15" t="s">
        <v>3426</v>
      </c>
    </row>
    <row r="1000">
      <c r="A1000" s="5">
        <v>1126.0</v>
      </c>
      <c r="B1000" s="6">
        <v>45994.23223039352</v>
      </c>
      <c r="C1000" s="7" t="s">
        <v>125</v>
      </c>
      <c r="D1000" s="8" t="s">
        <v>3419</v>
      </c>
      <c r="E1000" s="8" t="s">
        <v>396</v>
      </c>
      <c r="F1000" s="7" t="s">
        <v>3424</v>
      </c>
      <c r="G1000" s="9" t="s">
        <v>159</v>
      </c>
      <c r="H1000" s="7" t="s">
        <v>1557</v>
      </c>
      <c r="I1000" s="7" t="s">
        <v>2997</v>
      </c>
      <c r="J1000" s="10">
        <v>45955.0</v>
      </c>
      <c r="K1000" s="8" t="s">
        <v>22</v>
      </c>
      <c r="L1000" s="7">
        <v>4.0</v>
      </c>
      <c r="M1000" s="7" t="s">
        <v>3421</v>
      </c>
      <c r="N1000" s="13" t="s">
        <v>3427</v>
      </c>
      <c r="O1000" s="15" t="s">
        <v>3428</v>
      </c>
    </row>
    <row r="1001">
      <c r="A1001" s="5">
        <v>1127.0</v>
      </c>
      <c r="B1001" s="6">
        <v>45994.23523491898</v>
      </c>
      <c r="C1001" s="7" t="s">
        <v>125</v>
      </c>
      <c r="D1001" s="8" t="s">
        <v>3419</v>
      </c>
      <c r="E1001" s="8" t="s">
        <v>396</v>
      </c>
      <c r="F1001" s="7" t="s">
        <v>3429</v>
      </c>
      <c r="G1001" s="9" t="s">
        <v>19</v>
      </c>
      <c r="H1001" s="7" t="s">
        <v>173</v>
      </c>
      <c r="I1001" s="7" t="s">
        <v>174</v>
      </c>
      <c r="J1001" s="10">
        <v>45854.0</v>
      </c>
      <c r="K1001" s="8" t="s">
        <v>175</v>
      </c>
      <c r="L1001" s="7">
        <v>6.0</v>
      </c>
      <c r="M1001" s="7" t="s">
        <v>95</v>
      </c>
      <c r="N1001" s="13" t="s">
        <v>3430</v>
      </c>
      <c r="O1001" s="15" t="s">
        <v>3431</v>
      </c>
    </row>
    <row r="1002">
      <c r="A1002" s="5">
        <v>1128.0</v>
      </c>
      <c r="B1002" s="6">
        <v>45994.23823672454</v>
      </c>
      <c r="C1002" s="7" t="s">
        <v>125</v>
      </c>
      <c r="D1002" s="8" t="s">
        <v>3419</v>
      </c>
      <c r="E1002" s="8" t="s">
        <v>396</v>
      </c>
      <c r="F1002" s="7" t="s">
        <v>3424</v>
      </c>
      <c r="G1002" s="9" t="s">
        <v>181</v>
      </c>
      <c r="H1002" s="7" t="s">
        <v>1850</v>
      </c>
      <c r="I1002" s="7" t="s">
        <v>279</v>
      </c>
      <c r="J1002" s="10">
        <v>45876.0</v>
      </c>
      <c r="K1002" s="8" t="s">
        <v>518</v>
      </c>
      <c r="L1002" s="7">
        <v>2.0</v>
      </c>
      <c r="M1002" s="7" t="s">
        <v>33</v>
      </c>
      <c r="N1002" s="13" t="s">
        <v>3432</v>
      </c>
      <c r="O1002" s="15" t="s">
        <v>3433</v>
      </c>
    </row>
    <row r="1003">
      <c r="A1003" s="5">
        <v>1129.0</v>
      </c>
      <c r="B1003" s="6">
        <v>45994.24050337963</v>
      </c>
      <c r="C1003" s="7" t="s">
        <v>125</v>
      </c>
      <c r="D1003" s="8" t="s">
        <v>3419</v>
      </c>
      <c r="E1003" s="8" t="s">
        <v>396</v>
      </c>
      <c r="F1003" s="7" t="s">
        <v>3429</v>
      </c>
      <c r="G1003" s="9" t="s">
        <v>159</v>
      </c>
      <c r="H1003" s="7" t="s">
        <v>1855</v>
      </c>
      <c r="I1003" s="7" t="s">
        <v>1856</v>
      </c>
      <c r="J1003" s="10">
        <v>45947.0</v>
      </c>
      <c r="K1003" s="8" t="s">
        <v>22</v>
      </c>
      <c r="L1003" s="7">
        <v>4.0</v>
      </c>
      <c r="M1003" s="7" t="s">
        <v>3421</v>
      </c>
      <c r="N1003" s="13" t="s">
        <v>3434</v>
      </c>
      <c r="O1003" s="15" t="s">
        <v>3435</v>
      </c>
    </row>
    <row r="1004">
      <c r="A1004" s="5">
        <v>1130.0</v>
      </c>
      <c r="B1004" s="6">
        <v>45994.24374950232</v>
      </c>
      <c r="C1004" s="7" t="s">
        <v>125</v>
      </c>
      <c r="D1004" s="8" t="s">
        <v>3419</v>
      </c>
      <c r="E1004" s="8" t="s">
        <v>396</v>
      </c>
      <c r="F1004" s="7" t="s">
        <v>3424</v>
      </c>
      <c r="G1004" s="9" t="s">
        <v>159</v>
      </c>
      <c r="H1004" s="7" t="s">
        <v>1863</v>
      </c>
      <c r="I1004" s="7" t="s">
        <v>1864</v>
      </c>
      <c r="J1004" s="10">
        <v>45946.0</v>
      </c>
      <c r="K1004" s="8" t="s">
        <v>22</v>
      </c>
      <c r="L1004" s="7">
        <v>4.0</v>
      </c>
      <c r="M1004" s="7" t="s">
        <v>3436</v>
      </c>
      <c r="N1004" s="7"/>
      <c r="O1004" s="23"/>
    </row>
    <row r="1005">
      <c r="A1005" s="5">
        <v>1131.0</v>
      </c>
      <c r="B1005" s="6">
        <v>45994.244831828706</v>
      </c>
      <c r="C1005" s="7" t="s">
        <v>125</v>
      </c>
      <c r="D1005" s="8" t="s">
        <v>3419</v>
      </c>
      <c r="E1005" s="8" t="s">
        <v>396</v>
      </c>
      <c r="F1005" s="7" t="s">
        <v>3424</v>
      </c>
      <c r="G1005" s="9" t="s">
        <v>159</v>
      </c>
      <c r="H1005" s="7" t="s">
        <v>1863</v>
      </c>
      <c r="I1005" s="7" t="s">
        <v>1864</v>
      </c>
      <c r="J1005" s="10">
        <v>45946.0</v>
      </c>
      <c r="K1005" s="8" t="s">
        <v>22</v>
      </c>
      <c r="L1005" s="7">
        <v>4.0</v>
      </c>
      <c r="M1005" s="7" t="s">
        <v>3436</v>
      </c>
      <c r="N1005" s="13" t="s">
        <v>3437</v>
      </c>
      <c r="O1005" s="15" t="s">
        <v>3438</v>
      </c>
    </row>
    <row r="1006">
      <c r="A1006" s="5">
        <v>1132.0</v>
      </c>
      <c r="B1006" s="6">
        <v>45994.36559267361</v>
      </c>
      <c r="C1006" s="7" t="s">
        <v>760</v>
      </c>
      <c r="D1006" s="8" t="s">
        <v>780</v>
      </c>
      <c r="E1006" s="8" t="s">
        <v>781</v>
      </c>
      <c r="F1006" s="7" t="s">
        <v>782</v>
      </c>
      <c r="G1006" s="9" t="s">
        <v>209</v>
      </c>
      <c r="H1006" s="7" t="s">
        <v>3439</v>
      </c>
      <c r="I1006" s="7" t="s">
        <v>3440</v>
      </c>
      <c r="J1006" s="10">
        <v>45983.0</v>
      </c>
      <c r="K1006" s="8" t="s">
        <v>206</v>
      </c>
      <c r="L1006" s="7">
        <v>4.0</v>
      </c>
      <c r="M1006" s="7" t="s">
        <v>3441</v>
      </c>
      <c r="N1006" s="13" t="s">
        <v>3442</v>
      </c>
      <c r="O1006" s="15" t="s">
        <v>3443</v>
      </c>
    </row>
    <row r="1007">
      <c r="A1007" s="5">
        <v>1134.0</v>
      </c>
      <c r="B1007" s="6">
        <v>45994.37337366898</v>
      </c>
      <c r="C1007" s="7" t="s">
        <v>760</v>
      </c>
      <c r="D1007" s="8" t="s">
        <v>780</v>
      </c>
      <c r="E1007" s="8" t="s">
        <v>781</v>
      </c>
      <c r="F1007" s="7" t="s">
        <v>782</v>
      </c>
      <c r="G1007" s="9" t="s">
        <v>209</v>
      </c>
      <c r="H1007" s="7" t="s">
        <v>3439</v>
      </c>
      <c r="I1007" s="7" t="s">
        <v>3444</v>
      </c>
      <c r="J1007" s="10">
        <v>45942.0</v>
      </c>
      <c r="K1007" s="8" t="s">
        <v>957</v>
      </c>
      <c r="L1007" s="7">
        <v>4.0</v>
      </c>
      <c r="M1007" s="7" t="s">
        <v>3445</v>
      </c>
      <c r="N1007" s="13" t="s">
        <v>3446</v>
      </c>
      <c r="O1007" s="15" t="s">
        <v>3447</v>
      </c>
    </row>
    <row r="1008">
      <c r="A1008" s="5">
        <v>1136.0</v>
      </c>
      <c r="B1008" s="6">
        <v>45994.4229890625</v>
      </c>
      <c r="C1008" s="7" t="s">
        <v>125</v>
      </c>
      <c r="D1008" s="8" t="s">
        <v>3448</v>
      </c>
      <c r="E1008" s="8" t="s">
        <v>1725</v>
      </c>
      <c r="F1008" s="7" t="s">
        <v>3449</v>
      </c>
      <c r="G1008" s="9" t="s">
        <v>159</v>
      </c>
      <c r="H1008" s="7" t="s">
        <v>587</v>
      </c>
      <c r="I1008" s="7" t="s">
        <v>588</v>
      </c>
      <c r="J1008" s="10">
        <v>45942.0</v>
      </c>
      <c r="K1008" s="8" t="s">
        <v>620</v>
      </c>
      <c r="L1008" s="7">
        <v>6.0</v>
      </c>
      <c r="M1008" s="7" t="s">
        <v>590</v>
      </c>
      <c r="N1008" s="13" t="s">
        <v>3450</v>
      </c>
      <c r="O1008" s="15" t="s">
        <v>3451</v>
      </c>
    </row>
    <row r="1009">
      <c r="A1009" s="5">
        <v>1137.0</v>
      </c>
      <c r="B1009" s="6">
        <v>45994.42514628472</v>
      </c>
      <c r="C1009" s="7" t="s">
        <v>125</v>
      </c>
      <c r="D1009" s="8" t="s">
        <v>3448</v>
      </c>
      <c r="E1009" s="8" t="s">
        <v>1725</v>
      </c>
      <c r="F1009" s="7" t="s">
        <v>3449</v>
      </c>
      <c r="G1009" s="9" t="s">
        <v>159</v>
      </c>
      <c r="H1009" s="7" t="s">
        <v>210</v>
      </c>
      <c r="I1009" s="7" t="s">
        <v>3452</v>
      </c>
      <c r="J1009" s="10">
        <v>45949.0</v>
      </c>
      <c r="K1009" s="8" t="s">
        <v>22</v>
      </c>
      <c r="L1009" s="7">
        <v>4.0</v>
      </c>
      <c r="M1009" s="7" t="s">
        <v>590</v>
      </c>
      <c r="N1009" s="13" t="s">
        <v>3453</v>
      </c>
      <c r="O1009" s="15" t="s">
        <v>3454</v>
      </c>
    </row>
    <row r="1010">
      <c r="A1010" s="5">
        <v>1138.0</v>
      </c>
      <c r="B1010" s="6">
        <v>45994.42673034722</v>
      </c>
      <c r="C1010" s="7" t="s">
        <v>125</v>
      </c>
      <c r="D1010" s="8" t="s">
        <v>3448</v>
      </c>
      <c r="E1010" s="8" t="s">
        <v>1725</v>
      </c>
      <c r="F1010" s="7" t="s">
        <v>3449</v>
      </c>
      <c r="G1010" s="9" t="s">
        <v>159</v>
      </c>
      <c r="H1010" s="7" t="s">
        <v>623</v>
      </c>
      <c r="I1010" s="7" t="s">
        <v>624</v>
      </c>
      <c r="J1010" s="10">
        <v>45965.0</v>
      </c>
      <c r="K1010" s="8" t="s">
        <v>22</v>
      </c>
      <c r="L1010" s="7">
        <v>4.0</v>
      </c>
      <c r="M1010" s="7" t="s">
        <v>590</v>
      </c>
      <c r="N1010" s="13" t="s">
        <v>3455</v>
      </c>
      <c r="O1010" s="15" t="s">
        <v>3456</v>
      </c>
    </row>
    <row r="1011">
      <c r="A1011" s="5">
        <v>1139.0</v>
      </c>
      <c r="B1011" s="6">
        <v>45994.43704761574</v>
      </c>
      <c r="C1011" s="7" t="s">
        <v>125</v>
      </c>
      <c r="D1011" s="8" t="s">
        <v>3457</v>
      </c>
      <c r="E1011" s="8" t="s">
        <v>2919</v>
      </c>
      <c r="F1011" s="7" t="s">
        <v>3458</v>
      </c>
      <c r="G1011" s="9" t="s">
        <v>159</v>
      </c>
      <c r="H1011" s="7" t="s">
        <v>3234</v>
      </c>
      <c r="I1011" s="7" t="s">
        <v>1131</v>
      </c>
      <c r="J1011" s="10">
        <v>45965.0</v>
      </c>
      <c r="K1011" s="8" t="s">
        <v>1032</v>
      </c>
      <c r="L1011" s="7">
        <v>2.0</v>
      </c>
      <c r="M1011" s="7" t="s">
        <v>3459</v>
      </c>
      <c r="N1011" s="13" t="s">
        <v>3460</v>
      </c>
      <c r="O1011" s="15" t="s">
        <v>3461</v>
      </c>
    </row>
    <row r="1012">
      <c r="A1012" s="5">
        <v>1140.0</v>
      </c>
      <c r="B1012" s="6">
        <v>45994.43992888889</v>
      </c>
      <c r="C1012" s="7" t="s">
        <v>125</v>
      </c>
      <c r="D1012" s="8" t="s">
        <v>3457</v>
      </c>
      <c r="E1012" s="8" t="s">
        <v>2919</v>
      </c>
      <c r="F1012" s="7" t="s">
        <v>3458</v>
      </c>
      <c r="G1012" s="9" t="s">
        <v>159</v>
      </c>
      <c r="H1012" s="7" t="s">
        <v>3462</v>
      </c>
      <c r="I1012" s="7" t="s">
        <v>1131</v>
      </c>
      <c r="J1012" s="10">
        <v>45966.0</v>
      </c>
      <c r="K1012" s="8" t="s">
        <v>1032</v>
      </c>
      <c r="L1012" s="7">
        <v>2.0</v>
      </c>
      <c r="M1012" s="7" t="s">
        <v>3459</v>
      </c>
      <c r="N1012" s="13" t="s">
        <v>3463</v>
      </c>
      <c r="O1012" s="15" t="s">
        <v>3464</v>
      </c>
    </row>
    <row r="1013">
      <c r="A1013" s="5">
        <v>1141.0</v>
      </c>
      <c r="B1013" s="6">
        <v>45994.441712025466</v>
      </c>
      <c r="C1013" s="7" t="s">
        <v>125</v>
      </c>
      <c r="D1013" s="8" t="s">
        <v>3457</v>
      </c>
      <c r="E1013" s="8" t="s">
        <v>2919</v>
      </c>
      <c r="F1013" s="7" t="s">
        <v>3458</v>
      </c>
      <c r="G1013" s="9" t="s">
        <v>144</v>
      </c>
      <c r="H1013" s="7" t="s">
        <v>3465</v>
      </c>
      <c r="I1013" s="7" t="s">
        <v>1126</v>
      </c>
      <c r="J1013" s="10">
        <v>45949.0</v>
      </c>
      <c r="K1013" s="8" t="s">
        <v>22</v>
      </c>
      <c r="L1013" s="7">
        <v>4.0</v>
      </c>
      <c r="M1013" s="7" t="s">
        <v>1121</v>
      </c>
      <c r="N1013" s="13" t="s">
        <v>3466</v>
      </c>
      <c r="O1013" s="15" t="s">
        <v>3467</v>
      </c>
    </row>
    <row r="1014">
      <c r="A1014" s="5">
        <v>1143.0</v>
      </c>
      <c r="B1014" s="6">
        <v>45994.44359616898</v>
      </c>
      <c r="C1014" s="7" t="s">
        <v>125</v>
      </c>
      <c r="D1014" s="8" t="s">
        <v>3457</v>
      </c>
      <c r="E1014" s="8" t="s">
        <v>2919</v>
      </c>
      <c r="F1014" s="7" t="s">
        <v>3458</v>
      </c>
      <c r="G1014" s="9" t="s">
        <v>209</v>
      </c>
      <c r="H1014" s="7" t="s">
        <v>3258</v>
      </c>
      <c r="I1014" s="7" t="s">
        <v>3259</v>
      </c>
      <c r="J1014" s="10">
        <v>45948.0</v>
      </c>
      <c r="K1014" s="8" t="s">
        <v>22</v>
      </c>
      <c r="L1014" s="7">
        <v>4.0</v>
      </c>
      <c r="M1014" s="7" t="s">
        <v>1135</v>
      </c>
      <c r="N1014" s="13" t="s">
        <v>3468</v>
      </c>
      <c r="O1014" s="15" t="s">
        <v>3469</v>
      </c>
    </row>
    <row r="1015">
      <c r="A1015" s="5">
        <v>1144.0</v>
      </c>
      <c r="B1015" s="6">
        <v>45994.44556920139</v>
      </c>
      <c r="C1015" s="7" t="s">
        <v>125</v>
      </c>
      <c r="D1015" s="8" t="s">
        <v>3457</v>
      </c>
      <c r="E1015" s="8" t="s">
        <v>2919</v>
      </c>
      <c r="F1015" s="7" t="s">
        <v>3458</v>
      </c>
      <c r="G1015" s="9" t="s">
        <v>159</v>
      </c>
      <c r="H1015" s="7" t="s">
        <v>3209</v>
      </c>
      <c r="I1015" s="7" t="s">
        <v>1131</v>
      </c>
      <c r="J1015" s="10">
        <v>45970.0</v>
      </c>
      <c r="K1015" s="8" t="s">
        <v>1468</v>
      </c>
      <c r="L1015" s="7">
        <v>4.0</v>
      </c>
      <c r="M1015" s="7" t="s">
        <v>3268</v>
      </c>
      <c r="N1015" s="13" t="s">
        <v>3470</v>
      </c>
      <c r="O1015" s="15" t="s">
        <v>3471</v>
      </c>
    </row>
    <row r="1016">
      <c r="A1016" s="5">
        <v>1146.0</v>
      </c>
      <c r="B1016" s="6">
        <v>45994.44979912037</v>
      </c>
      <c r="C1016" s="7" t="s">
        <v>125</v>
      </c>
      <c r="D1016" s="8" t="s">
        <v>3457</v>
      </c>
      <c r="E1016" s="8" t="s">
        <v>2919</v>
      </c>
      <c r="F1016" s="7" t="s">
        <v>3458</v>
      </c>
      <c r="G1016" s="9" t="s">
        <v>19</v>
      </c>
      <c r="H1016" s="7" t="s">
        <v>173</v>
      </c>
      <c r="I1016" s="7" t="s">
        <v>174</v>
      </c>
      <c r="J1016" s="10">
        <v>45854.0</v>
      </c>
      <c r="K1016" s="8" t="s">
        <v>175</v>
      </c>
      <c r="L1016" s="7">
        <v>6.0</v>
      </c>
      <c r="M1016" s="7" t="s">
        <v>106</v>
      </c>
      <c r="N1016" s="13" t="s">
        <v>3472</v>
      </c>
      <c r="O1016" s="15" t="s">
        <v>3473</v>
      </c>
    </row>
    <row r="1017">
      <c r="A1017" s="5">
        <v>1147.0</v>
      </c>
      <c r="B1017" s="6">
        <v>45994.54348891204</v>
      </c>
      <c r="C1017" s="7" t="s">
        <v>125</v>
      </c>
      <c r="D1017" s="8" t="s">
        <v>2197</v>
      </c>
      <c r="E1017" s="8" t="s">
        <v>881</v>
      </c>
      <c r="F1017" s="7" t="s">
        <v>2198</v>
      </c>
      <c r="G1017" s="9" t="s">
        <v>159</v>
      </c>
      <c r="H1017" s="7" t="s">
        <v>3474</v>
      </c>
      <c r="I1017" s="7" t="s">
        <v>1131</v>
      </c>
      <c r="J1017" s="10">
        <v>45965.0</v>
      </c>
      <c r="K1017" s="8" t="s">
        <v>753</v>
      </c>
      <c r="L1017" s="7">
        <v>2.0</v>
      </c>
      <c r="M1017" s="7" t="s">
        <v>3235</v>
      </c>
      <c r="N1017" s="13" t="s">
        <v>3475</v>
      </c>
      <c r="O1017" s="15" t="s">
        <v>3476</v>
      </c>
    </row>
    <row r="1018">
      <c r="A1018" s="5">
        <v>1148.0</v>
      </c>
      <c r="B1018" s="6">
        <v>45994.546493946764</v>
      </c>
      <c r="C1018" s="7" t="s">
        <v>125</v>
      </c>
      <c r="D1018" s="8" t="s">
        <v>2197</v>
      </c>
      <c r="E1018" s="8" t="s">
        <v>881</v>
      </c>
      <c r="F1018" s="7" t="s">
        <v>2198</v>
      </c>
      <c r="G1018" s="9" t="s">
        <v>159</v>
      </c>
      <c r="H1018" s="7" t="s">
        <v>3474</v>
      </c>
      <c r="I1018" s="7" t="s">
        <v>1131</v>
      </c>
      <c r="J1018" s="10">
        <v>45966.0</v>
      </c>
      <c r="K1018" s="8" t="s">
        <v>753</v>
      </c>
      <c r="L1018" s="7">
        <v>2.0</v>
      </c>
      <c r="M1018" s="7" t="s">
        <v>3477</v>
      </c>
      <c r="N1018" s="13" t="s">
        <v>3478</v>
      </c>
      <c r="O1018" s="15" t="s">
        <v>3479</v>
      </c>
    </row>
    <row r="1019">
      <c r="A1019" s="5">
        <v>1149.0</v>
      </c>
      <c r="B1019" s="6">
        <v>45994.55068251157</v>
      </c>
      <c r="C1019" s="7" t="s">
        <v>125</v>
      </c>
      <c r="D1019" s="8" t="s">
        <v>2197</v>
      </c>
      <c r="E1019" s="8" t="s">
        <v>881</v>
      </c>
      <c r="F1019" s="7" t="s">
        <v>2198</v>
      </c>
      <c r="G1019" s="9" t="s">
        <v>144</v>
      </c>
      <c r="H1019" s="7" t="s">
        <v>3480</v>
      </c>
      <c r="I1019" s="7" t="s">
        <v>1126</v>
      </c>
      <c r="J1019" s="10">
        <v>45949.0</v>
      </c>
      <c r="K1019" s="8" t="s">
        <v>3263</v>
      </c>
      <c r="L1019" s="7">
        <v>4.0</v>
      </c>
      <c r="M1019" s="7" t="s">
        <v>3251</v>
      </c>
      <c r="N1019" s="13" t="s">
        <v>3481</v>
      </c>
      <c r="O1019" s="15" t="s">
        <v>3482</v>
      </c>
    </row>
    <row r="1020">
      <c r="A1020" s="5">
        <v>1150.0</v>
      </c>
      <c r="B1020" s="6">
        <v>45994.55467337963</v>
      </c>
      <c r="C1020" s="7" t="s">
        <v>125</v>
      </c>
      <c r="D1020" s="8" t="s">
        <v>2197</v>
      </c>
      <c r="E1020" s="8" t="s">
        <v>881</v>
      </c>
      <c r="F1020" s="7" t="s">
        <v>2198</v>
      </c>
      <c r="G1020" s="9" t="s">
        <v>209</v>
      </c>
      <c r="H1020" s="7" t="s">
        <v>3483</v>
      </c>
      <c r="I1020" s="7" t="s">
        <v>3259</v>
      </c>
      <c r="J1020" s="10">
        <v>45948.0</v>
      </c>
      <c r="K1020" s="8" t="s">
        <v>3263</v>
      </c>
      <c r="L1020" s="7">
        <v>4.0</v>
      </c>
      <c r="M1020" s="7" t="s">
        <v>1135</v>
      </c>
      <c r="N1020" s="13" t="s">
        <v>3484</v>
      </c>
      <c r="O1020" s="15" t="s">
        <v>3485</v>
      </c>
    </row>
    <row r="1021">
      <c r="A1021" s="5">
        <v>1151.0</v>
      </c>
      <c r="B1021" s="6">
        <v>45994.56074025463</v>
      </c>
      <c r="C1021" s="7" t="s">
        <v>125</v>
      </c>
      <c r="D1021" s="8" t="s">
        <v>2197</v>
      </c>
      <c r="E1021" s="8" t="s">
        <v>881</v>
      </c>
      <c r="F1021" s="7" t="s">
        <v>2198</v>
      </c>
      <c r="G1021" s="9" t="s">
        <v>209</v>
      </c>
      <c r="H1021" s="7" t="s">
        <v>1134</v>
      </c>
      <c r="I1021" s="7" t="s">
        <v>1131</v>
      </c>
      <c r="J1021" s="10">
        <v>45970.0</v>
      </c>
      <c r="K1021" s="8" t="s">
        <v>3263</v>
      </c>
      <c r="L1021" s="7">
        <v>4.0</v>
      </c>
      <c r="M1021" s="7" t="s">
        <v>3268</v>
      </c>
      <c r="N1021" s="13" t="s">
        <v>3486</v>
      </c>
      <c r="O1021" s="15" t="s">
        <v>3487</v>
      </c>
    </row>
    <row r="1022">
      <c r="A1022" s="5">
        <v>1152.0</v>
      </c>
      <c r="B1022" s="6">
        <v>45994.57828321759</v>
      </c>
      <c r="C1022" s="7" t="s">
        <v>125</v>
      </c>
      <c r="D1022" s="8" t="s">
        <v>2197</v>
      </c>
      <c r="E1022" s="8" t="s">
        <v>881</v>
      </c>
      <c r="F1022" s="7" t="s">
        <v>2198</v>
      </c>
      <c r="G1022" s="9" t="s">
        <v>209</v>
      </c>
      <c r="H1022" s="7" t="s">
        <v>3488</v>
      </c>
      <c r="I1022" s="7" t="s">
        <v>1126</v>
      </c>
      <c r="J1022" s="10">
        <v>45950.0</v>
      </c>
      <c r="K1022" s="8" t="s">
        <v>3489</v>
      </c>
      <c r="L1022" s="7">
        <v>3.0</v>
      </c>
      <c r="M1022" s="7" t="s">
        <v>3490</v>
      </c>
      <c r="N1022" s="13" t="s">
        <v>3491</v>
      </c>
      <c r="O1022" s="15" t="s">
        <v>3492</v>
      </c>
    </row>
    <row r="1023">
      <c r="A1023" s="5">
        <v>1153.0</v>
      </c>
      <c r="B1023" s="6">
        <v>45994.59983383102</v>
      </c>
      <c r="C1023" s="7" t="s">
        <v>760</v>
      </c>
      <c r="D1023" s="8" t="s">
        <v>1179</v>
      </c>
      <c r="E1023" s="8" t="s">
        <v>396</v>
      </c>
      <c r="F1023" s="7" t="s">
        <v>1180</v>
      </c>
      <c r="G1023" s="9" t="s">
        <v>19</v>
      </c>
      <c r="H1023" s="7" t="s">
        <v>3493</v>
      </c>
      <c r="I1023" s="7" t="s">
        <v>3162</v>
      </c>
      <c r="J1023" s="10">
        <v>45989.0</v>
      </c>
      <c r="K1023" s="8" t="s">
        <v>3372</v>
      </c>
      <c r="L1023" s="7">
        <v>5.0</v>
      </c>
      <c r="M1023" s="7" t="s">
        <v>1325</v>
      </c>
      <c r="N1023" s="13" t="s">
        <v>3494</v>
      </c>
      <c r="O1023" s="15" t="s">
        <v>3495</v>
      </c>
    </row>
    <row r="1024">
      <c r="A1024" s="5">
        <v>1154.0</v>
      </c>
      <c r="B1024" s="6">
        <v>45994.60126851852</v>
      </c>
      <c r="C1024" s="7" t="s">
        <v>760</v>
      </c>
      <c r="D1024" s="8" t="s">
        <v>1179</v>
      </c>
      <c r="E1024" s="8" t="s">
        <v>396</v>
      </c>
      <c r="F1024" s="7" t="s">
        <v>1180</v>
      </c>
      <c r="G1024" s="9" t="s">
        <v>19</v>
      </c>
      <c r="H1024" s="7" t="s">
        <v>3493</v>
      </c>
      <c r="I1024" s="7" t="s">
        <v>3162</v>
      </c>
      <c r="J1024" s="10">
        <v>45989.0</v>
      </c>
      <c r="K1024" s="8" t="s">
        <v>3372</v>
      </c>
      <c r="L1024" s="7">
        <v>5.0</v>
      </c>
      <c r="M1024" s="7" t="s">
        <v>1325</v>
      </c>
      <c r="N1024" s="13" t="s">
        <v>3496</v>
      </c>
      <c r="O1024" s="15" t="s">
        <v>3497</v>
      </c>
    </row>
    <row r="1025">
      <c r="A1025" s="5">
        <v>1157.0</v>
      </c>
      <c r="B1025" s="6">
        <v>45994.65727216435</v>
      </c>
      <c r="C1025" s="7" t="s">
        <v>760</v>
      </c>
      <c r="D1025" s="8" t="s">
        <v>3498</v>
      </c>
      <c r="E1025" s="8" t="s">
        <v>679</v>
      </c>
      <c r="F1025" s="7" t="s">
        <v>3499</v>
      </c>
      <c r="G1025" s="9" t="s">
        <v>415</v>
      </c>
      <c r="H1025" s="7" t="s">
        <v>3500</v>
      </c>
      <c r="I1025" s="7" t="s">
        <v>231</v>
      </c>
      <c r="J1025" s="10">
        <v>45908.0</v>
      </c>
      <c r="K1025" s="8" t="s">
        <v>1352</v>
      </c>
      <c r="L1025" s="7">
        <v>8.0</v>
      </c>
      <c r="M1025" s="7" t="s">
        <v>1325</v>
      </c>
      <c r="N1025" s="13" t="s">
        <v>3501</v>
      </c>
      <c r="O1025" s="15" t="s">
        <v>3502</v>
      </c>
    </row>
    <row r="1026">
      <c r="A1026" s="5">
        <v>1159.0</v>
      </c>
      <c r="B1026" s="6">
        <v>45994.7878341551</v>
      </c>
      <c r="C1026" s="7" t="s">
        <v>26</v>
      </c>
      <c r="D1026" s="8" t="s">
        <v>1288</v>
      </c>
      <c r="E1026" s="8" t="s">
        <v>1197</v>
      </c>
      <c r="F1026" s="7" t="s">
        <v>1289</v>
      </c>
      <c r="G1026" s="9" t="s">
        <v>19</v>
      </c>
      <c r="H1026" s="7" t="s">
        <v>52</v>
      </c>
      <c r="I1026" s="7" t="s">
        <v>1337</v>
      </c>
      <c r="J1026" s="10">
        <v>45907.0</v>
      </c>
      <c r="K1026" s="8" t="s">
        <v>49</v>
      </c>
      <c r="L1026" s="7">
        <v>8.0</v>
      </c>
      <c r="M1026" s="7" t="s">
        <v>33</v>
      </c>
      <c r="N1026" s="13" t="s">
        <v>3503</v>
      </c>
      <c r="O1026" s="15" t="s">
        <v>3504</v>
      </c>
    </row>
    <row r="1027">
      <c r="A1027" s="5">
        <v>1160.0</v>
      </c>
      <c r="B1027" s="6">
        <v>45994.86219465278</v>
      </c>
      <c r="C1027" s="7" t="s">
        <v>15</v>
      </c>
      <c r="D1027" s="8" t="s">
        <v>2683</v>
      </c>
      <c r="E1027" s="8" t="s">
        <v>919</v>
      </c>
      <c r="F1027" s="7" t="s">
        <v>2684</v>
      </c>
      <c r="G1027" s="9" t="s">
        <v>19</v>
      </c>
      <c r="H1027" s="7" t="s">
        <v>30</v>
      </c>
      <c r="I1027" s="7" t="s">
        <v>37</v>
      </c>
      <c r="J1027" s="10">
        <v>45838.0</v>
      </c>
      <c r="K1027" s="8" t="s">
        <v>67</v>
      </c>
      <c r="L1027" s="7">
        <v>8.0</v>
      </c>
      <c r="M1027" s="7" t="s">
        <v>33</v>
      </c>
      <c r="N1027" s="13" t="s">
        <v>3505</v>
      </c>
      <c r="O1027" s="15" t="s">
        <v>3506</v>
      </c>
    </row>
    <row r="1028">
      <c r="A1028" s="5">
        <v>1161.0</v>
      </c>
      <c r="B1028" s="6">
        <v>45994.86751141204</v>
      </c>
      <c r="C1028" s="7" t="s">
        <v>15</v>
      </c>
      <c r="D1028" s="8" t="s">
        <v>2683</v>
      </c>
      <c r="E1028" s="8" t="s">
        <v>919</v>
      </c>
      <c r="F1028" s="7" t="s">
        <v>2684</v>
      </c>
      <c r="G1028" s="9" t="s">
        <v>19</v>
      </c>
      <c r="H1028" s="7" t="s">
        <v>3507</v>
      </c>
      <c r="I1028" s="7" t="s">
        <v>37</v>
      </c>
      <c r="J1028" s="10">
        <v>45839.0</v>
      </c>
      <c r="K1028" s="8" t="s">
        <v>67</v>
      </c>
      <c r="L1028" s="7">
        <v>8.0</v>
      </c>
      <c r="M1028" s="7" t="s">
        <v>33</v>
      </c>
      <c r="N1028" s="13" t="s">
        <v>3508</v>
      </c>
      <c r="O1028" s="15" t="s">
        <v>3509</v>
      </c>
    </row>
    <row r="1029">
      <c r="A1029" s="5">
        <v>1162.0</v>
      </c>
      <c r="B1029" s="6">
        <v>45994.87404304398</v>
      </c>
      <c r="C1029" s="7" t="s">
        <v>15</v>
      </c>
      <c r="D1029" s="8" t="s">
        <v>2683</v>
      </c>
      <c r="E1029" s="8" t="s">
        <v>919</v>
      </c>
      <c r="F1029" s="7" t="s">
        <v>2684</v>
      </c>
      <c r="G1029" s="9" t="s">
        <v>19</v>
      </c>
      <c r="H1029" s="7" t="s">
        <v>44</v>
      </c>
      <c r="I1029" s="7" t="s">
        <v>37</v>
      </c>
      <c r="J1029" s="10">
        <v>45840.0</v>
      </c>
      <c r="K1029" s="8" t="s">
        <v>67</v>
      </c>
      <c r="L1029" s="7">
        <v>8.0</v>
      </c>
      <c r="M1029" s="7" t="s">
        <v>33</v>
      </c>
      <c r="N1029" s="13" t="s">
        <v>3510</v>
      </c>
      <c r="O1029" s="15" t="s">
        <v>3511</v>
      </c>
    </row>
    <row r="1030">
      <c r="A1030" s="5">
        <v>1163.0</v>
      </c>
      <c r="B1030" s="6">
        <v>45994.90385043982</v>
      </c>
      <c r="C1030" s="7" t="s">
        <v>15</v>
      </c>
      <c r="D1030" s="8" t="s">
        <v>2683</v>
      </c>
      <c r="E1030" s="8" t="s">
        <v>919</v>
      </c>
      <c r="F1030" s="7" t="s">
        <v>2684</v>
      </c>
      <c r="G1030" s="9" t="s">
        <v>19</v>
      </c>
      <c r="H1030" s="7" t="s">
        <v>3512</v>
      </c>
      <c r="I1030" s="7" t="s">
        <v>3513</v>
      </c>
      <c r="J1030" s="10">
        <v>45829.0</v>
      </c>
      <c r="K1030" s="8" t="s">
        <v>22</v>
      </c>
      <c r="L1030" s="7">
        <v>4.0</v>
      </c>
      <c r="M1030" s="7" t="s">
        <v>2391</v>
      </c>
      <c r="N1030" s="13" t="s">
        <v>3514</v>
      </c>
      <c r="O1030" s="15" t="s">
        <v>3515</v>
      </c>
    </row>
    <row r="1031">
      <c r="A1031" s="5">
        <v>1164.0</v>
      </c>
      <c r="B1031" s="6">
        <v>45994.90926849537</v>
      </c>
      <c r="C1031" s="7" t="s">
        <v>15</v>
      </c>
      <c r="D1031" s="8" t="s">
        <v>2683</v>
      </c>
      <c r="E1031" s="8" t="s">
        <v>919</v>
      </c>
      <c r="F1031" s="7" t="s">
        <v>2684</v>
      </c>
      <c r="G1031" s="9" t="s">
        <v>19</v>
      </c>
      <c r="H1031" s="7" t="s">
        <v>3512</v>
      </c>
      <c r="I1031" s="7" t="s">
        <v>3516</v>
      </c>
      <c r="J1031" s="10">
        <v>45830.0</v>
      </c>
      <c r="K1031" s="8" t="s">
        <v>1468</v>
      </c>
      <c r="L1031" s="7">
        <v>4.0</v>
      </c>
      <c r="M1031" s="7" t="s">
        <v>2391</v>
      </c>
      <c r="N1031" s="13" t="s">
        <v>3517</v>
      </c>
      <c r="O1031" s="15" t="s">
        <v>3518</v>
      </c>
    </row>
    <row r="1032">
      <c r="A1032" s="5">
        <v>1165.0</v>
      </c>
      <c r="B1032" s="6">
        <v>45994.91340391204</v>
      </c>
      <c r="C1032" s="7" t="s">
        <v>15</v>
      </c>
      <c r="D1032" s="8" t="s">
        <v>2683</v>
      </c>
      <c r="E1032" s="8" t="s">
        <v>919</v>
      </c>
      <c r="F1032" s="7" t="s">
        <v>2684</v>
      </c>
      <c r="G1032" s="9" t="s">
        <v>19</v>
      </c>
      <c r="H1032" s="7" t="s">
        <v>3519</v>
      </c>
      <c r="I1032" s="7" t="s">
        <v>3520</v>
      </c>
      <c r="J1032" s="10">
        <v>45884.0</v>
      </c>
      <c r="K1032" s="8" t="s">
        <v>962</v>
      </c>
      <c r="L1032" s="7">
        <v>4.0</v>
      </c>
      <c r="M1032" s="7" t="s">
        <v>2391</v>
      </c>
      <c r="N1032" s="13" t="s">
        <v>3521</v>
      </c>
      <c r="O1032" s="15" t="s">
        <v>3522</v>
      </c>
    </row>
    <row r="1033">
      <c r="A1033" s="5">
        <v>1166.0</v>
      </c>
      <c r="B1033" s="6">
        <v>45994.91639759259</v>
      </c>
      <c r="C1033" s="7" t="s">
        <v>15</v>
      </c>
      <c r="D1033" s="8" t="s">
        <v>2683</v>
      </c>
      <c r="E1033" s="8" t="s">
        <v>919</v>
      </c>
      <c r="F1033" s="7" t="s">
        <v>2684</v>
      </c>
      <c r="G1033" s="9" t="s">
        <v>19</v>
      </c>
      <c r="H1033" s="7" t="s">
        <v>3519</v>
      </c>
      <c r="I1033" s="7" t="s">
        <v>3520</v>
      </c>
      <c r="J1033" s="10">
        <v>45884.0</v>
      </c>
      <c r="K1033" s="8" t="s">
        <v>49</v>
      </c>
      <c r="L1033" s="7">
        <v>8.0</v>
      </c>
      <c r="M1033" s="7" t="s">
        <v>2391</v>
      </c>
      <c r="N1033" s="13" t="s">
        <v>3523</v>
      </c>
      <c r="O1033" s="15" t="s">
        <v>3524</v>
      </c>
    </row>
    <row r="1034">
      <c r="A1034" s="5">
        <v>1167.0</v>
      </c>
      <c r="B1034" s="6">
        <v>45994.920578969904</v>
      </c>
      <c r="C1034" s="7" t="s">
        <v>15</v>
      </c>
      <c r="D1034" s="8" t="s">
        <v>2683</v>
      </c>
      <c r="E1034" s="8" t="s">
        <v>919</v>
      </c>
      <c r="F1034" s="7" t="s">
        <v>2684</v>
      </c>
      <c r="G1034" s="9" t="s">
        <v>19</v>
      </c>
      <c r="H1034" s="7" t="s">
        <v>3519</v>
      </c>
      <c r="I1034" s="7" t="s">
        <v>3520</v>
      </c>
      <c r="J1034" s="10">
        <v>45886.0</v>
      </c>
      <c r="K1034" s="8" t="s">
        <v>49</v>
      </c>
      <c r="L1034" s="7">
        <v>8.0</v>
      </c>
      <c r="M1034" s="7" t="s">
        <v>2391</v>
      </c>
      <c r="N1034" s="13" t="s">
        <v>3525</v>
      </c>
      <c r="O1034" s="15" t="s">
        <v>3526</v>
      </c>
    </row>
    <row r="1035">
      <c r="A1035" s="5">
        <v>1168.0</v>
      </c>
      <c r="B1035" s="6">
        <v>45994.92558070602</v>
      </c>
      <c r="C1035" s="7" t="s">
        <v>15</v>
      </c>
      <c r="D1035" s="8" t="s">
        <v>2683</v>
      </c>
      <c r="E1035" s="8" t="s">
        <v>919</v>
      </c>
      <c r="F1035" s="7" t="s">
        <v>2684</v>
      </c>
      <c r="G1035" s="9" t="s">
        <v>19</v>
      </c>
      <c r="H1035" s="7" t="s">
        <v>3527</v>
      </c>
      <c r="I1035" s="7" t="s">
        <v>2033</v>
      </c>
      <c r="J1035" s="10">
        <v>46254.0</v>
      </c>
      <c r="K1035" s="8" t="s">
        <v>962</v>
      </c>
      <c r="L1035" s="7">
        <v>4.0</v>
      </c>
      <c r="M1035" s="7" t="s">
        <v>2391</v>
      </c>
      <c r="N1035" s="13" t="s">
        <v>3528</v>
      </c>
      <c r="O1035" s="15" t="s">
        <v>3529</v>
      </c>
    </row>
    <row r="1036">
      <c r="A1036" s="5">
        <v>1169.0</v>
      </c>
      <c r="B1036" s="6">
        <v>45994.9275528588</v>
      </c>
      <c r="C1036" s="7" t="s">
        <v>15</v>
      </c>
      <c r="D1036" s="8" t="s">
        <v>2683</v>
      </c>
      <c r="E1036" s="8" t="s">
        <v>919</v>
      </c>
      <c r="F1036" s="7" t="s">
        <v>2684</v>
      </c>
      <c r="G1036" s="9" t="s">
        <v>19</v>
      </c>
      <c r="H1036" s="7" t="s">
        <v>3527</v>
      </c>
      <c r="I1036" s="7" t="s">
        <v>2033</v>
      </c>
      <c r="J1036" s="10">
        <v>45892.0</v>
      </c>
      <c r="K1036" s="8" t="s">
        <v>3326</v>
      </c>
      <c r="L1036" s="7">
        <v>8.0</v>
      </c>
      <c r="M1036" s="7" t="s">
        <v>2391</v>
      </c>
      <c r="N1036" s="13" t="s">
        <v>3530</v>
      </c>
      <c r="O1036" s="15" t="s">
        <v>3531</v>
      </c>
    </row>
    <row r="1037">
      <c r="A1037" s="5">
        <v>1170.0</v>
      </c>
      <c r="B1037" s="6">
        <v>45994.92946605324</v>
      </c>
      <c r="C1037" s="7" t="s">
        <v>15</v>
      </c>
      <c r="D1037" s="8" t="s">
        <v>2683</v>
      </c>
      <c r="E1037" s="8" t="s">
        <v>919</v>
      </c>
      <c r="F1037" s="7" t="s">
        <v>2684</v>
      </c>
      <c r="G1037" s="9" t="s">
        <v>19</v>
      </c>
      <c r="H1037" s="7" t="s">
        <v>3527</v>
      </c>
      <c r="I1037" s="7" t="s">
        <v>2033</v>
      </c>
      <c r="J1037" s="10">
        <v>45893.0</v>
      </c>
      <c r="K1037" s="8" t="s">
        <v>3326</v>
      </c>
      <c r="L1037" s="7">
        <v>8.0</v>
      </c>
      <c r="M1037" s="7" t="s">
        <v>2391</v>
      </c>
      <c r="N1037" s="13" t="s">
        <v>3532</v>
      </c>
      <c r="O1037" s="15" t="s">
        <v>3533</v>
      </c>
    </row>
    <row r="1038">
      <c r="A1038" s="5">
        <v>1171.0</v>
      </c>
      <c r="B1038" s="6">
        <v>45995.32865930555</v>
      </c>
      <c r="C1038" s="7" t="s">
        <v>125</v>
      </c>
      <c r="D1038" s="8" t="s">
        <v>1048</v>
      </c>
      <c r="E1038" s="8" t="s">
        <v>1049</v>
      </c>
      <c r="F1038" s="7" t="s">
        <v>1050</v>
      </c>
      <c r="G1038" s="9" t="s">
        <v>144</v>
      </c>
      <c r="H1038" s="7" t="s">
        <v>3534</v>
      </c>
      <c r="I1038" s="7" t="s">
        <v>3535</v>
      </c>
      <c r="J1038" s="10">
        <v>45948.0</v>
      </c>
      <c r="K1038" s="8" t="s">
        <v>22</v>
      </c>
      <c r="L1038" s="7">
        <v>4.0</v>
      </c>
      <c r="M1038" s="7" t="s">
        <v>3536</v>
      </c>
      <c r="N1038" s="13" t="s">
        <v>3537</v>
      </c>
      <c r="O1038" s="15" t="s">
        <v>3538</v>
      </c>
    </row>
    <row r="1039">
      <c r="A1039" s="5">
        <v>1172.0</v>
      </c>
      <c r="B1039" s="6">
        <v>45995.33069394676</v>
      </c>
      <c r="C1039" s="7" t="s">
        <v>125</v>
      </c>
      <c r="D1039" s="8" t="s">
        <v>1048</v>
      </c>
      <c r="E1039" s="8" t="s">
        <v>1049</v>
      </c>
      <c r="F1039" s="7" t="s">
        <v>1050</v>
      </c>
      <c r="G1039" s="9" t="s">
        <v>144</v>
      </c>
      <c r="H1039" s="7" t="s">
        <v>3534</v>
      </c>
      <c r="I1039" s="7" t="s">
        <v>335</v>
      </c>
      <c r="J1039" s="10">
        <v>45949.0</v>
      </c>
      <c r="K1039" s="8" t="s">
        <v>22</v>
      </c>
      <c r="L1039" s="7">
        <v>4.0</v>
      </c>
      <c r="M1039" s="7" t="s">
        <v>3536</v>
      </c>
      <c r="N1039" s="13" t="s">
        <v>3539</v>
      </c>
      <c r="O1039" s="15" t="s">
        <v>3540</v>
      </c>
    </row>
    <row r="1040">
      <c r="A1040" s="5">
        <v>1174.0</v>
      </c>
      <c r="B1040" s="6">
        <v>45995.442140694446</v>
      </c>
      <c r="C1040" s="7" t="s">
        <v>26</v>
      </c>
      <c r="D1040" s="8" t="s">
        <v>3541</v>
      </c>
      <c r="E1040" s="8" t="s">
        <v>674</v>
      </c>
      <c r="F1040" s="7" t="s">
        <v>3542</v>
      </c>
      <c r="G1040" s="9" t="s">
        <v>19</v>
      </c>
      <c r="H1040" s="7" t="s">
        <v>387</v>
      </c>
      <c r="I1040" s="7" t="s">
        <v>31</v>
      </c>
      <c r="J1040" s="10">
        <v>45825.0</v>
      </c>
      <c r="K1040" s="8" t="s">
        <v>49</v>
      </c>
      <c r="L1040" s="7">
        <v>8.0</v>
      </c>
      <c r="M1040" s="7" t="s">
        <v>1016</v>
      </c>
      <c r="N1040" s="13" t="s">
        <v>3543</v>
      </c>
      <c r="O1040" s="15" t="s">
        <v>3544</v>
      </c>
    </row>
    <row r="1041">
      <c r="A1041" s="5">
        <v>1175.0</v>
      </c>
      <c r="B1041" s="6">
        <v>45995.44359753472</v>
      </c>
      <c r="C1041" s="7" t="s">
        <v>26</v>
      </c>
      <c r="D1041" s="8" t="s">
        <v>3541</v>
      </c>
      <c r="E1041" s="8" t="s">
        <v>674</v>
      </c>
      <c r="F1041" s="7" t="s">
        <v>3542</v>
      </c>
      <c r="G1041" s="9" t="s">
        <v>19</v>
      </c>
      <c r="H1041" s="7" t="s">
        <v>387</v>
      </c>
      <c r="I1041" s="7" t="s">
        <v>31</v>
      </c>
      <c r="J1041" s="10">
        <v>45833.0</v>
      </c>
      <c r="K1041" s="8" t="s">
        <v>49</v>
      </c>
      <c r="L1041" s="7">
        <v>8.0</v>
      </c>
      <c r="M1041" s="7" t="s">
        <v>1016</v>
      </c>
      <c r="N1041" s="13" t="s">
        <v>3545</v>
      </c>
      <c r="O1041" s="15" t="s">
        <v>3546</v>
      </c>
    </row>
    <row r="1042">
      <c r="A1042" s="5">
        <v>1176.0</v>
      </c>
      <c r="B1042" s="6">
        <v>45995.44508065972</v>
      </c>
      <c r="C1042" s="7" t="s">
        <v>26</v>
      </c>
      <c r="D1042" s="8" t="s">
        <v>3547</v>
      </c>
      <c r="E1042" s="8" t="s">
        <v>1764</v>
      </c>
      <c r="F1042" s="7" t="s">
        <v>3548</v>
      </c>
      <c r="G1042" s="9" t="s">
        <v>19</v>
      </c>
      <c r="H1042" s="7" t="s">
        <v>3549</v>
      </c>
      <c r="I1042" s="7" t="s">
        <v>3550</v>
      </c>
      <c r="J1042" s="10">
        <v>45838.0</v>
      </c>
      <c r="K1042" s="8" t="s">
        <v>67</v>
      </c>
      <c r="L1042" s="7">
        <v>8.0</v>
      </c>
      <c r="M1042" s="7" t="s">
        <v>33</v>
      </c>
      <c r="N1042" s="13" t="s">
        <v>3551</v>
      </c>
      <c r="O1042" s="15" t="s">
        <v>3552</v>
      </c>
    </row>
    <row r="1043">
      <c r="A1043" s="5">
        <v>1178.0</v>
      </c>
      <c r="B1043" s="6">
        <v>45995.447711863424</v>
      </c>
      <c r="C1043" s="7" t="s">
        <v>26</v>
      </c>
      <c r="D1043" s="8" t="s">
        <v>3547</v>
      </c>
      <c r="E1043" s="8" t="s">
        <v>1764</v>
      </c>
      <c r="F1043" s="7" t="s">
        <v>3548</v>
      </c>
      <c r="G1043" s="9" t="s">
        <v>19</v>
      </c>
      <c r="H1043" s="7" t="s">
        <v>41</v>
      </c>
      <c r="I1043" s="7" t="s">
        <v>112</v>
      </c>
      <c r="J1043" s="10">
        <v>45839.0</v>
      </c>
      <c r="K1043" s="8" t="s">
        <v>67</v>
      </c>
      <c r="L1043" s="7">
        <v>8.0</v>
      </c>
      <c r="M1043" s="7" t="s">
        <v>33</v>
      </c>
      <c r="N1043" s="13" t="s">
        <v>3553</v>
      </c>
      <c r="O1043" s="15" t="s">
        <v>3554</v>
      </c>
    </row>
    <row r="1044">
      <c r="A1044" s="5">
        <v>1179.0</v>
      </c>
      <c r="B1044" s="6">
        <v>45995.4490134375</v>
      </c>
      <c r="C1044" s="7" t="s">
        <v>26</v>
      </c>
      <c r="D1044" s="8" t="s">
        <v>3547</v>
      </c>
      <c r="E1044" s="8" t="s">
        <v>1764</v>
      </c>
      <c r="F1044" s="7" t="s">
        <v>3548</v>
      </c>
      <c r="G1044" s="9" t="s">
        <v>19</v>
      </c>
      <c r="H1044" s="7" t="s">
        <v>41</v>
      </c>
      <c r="I1044" s="7" t="s">
        <v>3550</v>
      </c>
      <c r="J1044" s="10">
        <v>45840.0</v>
      </c>
      <c r="K1044" s="8" t="s">
        <v>67</v>
      </c>
      <c r="L1044" s="7">
        <v>8.0</v>
      </c>
      <c r="M1044" s="7" t="s">
        <v>33</v>
      </c>
      <c r="N1044" s="13" t="s">
        <v>3555</v>
      </c>
      <c r="O1044" s="15" t="s">
        <v>3556</v>
      </c>
    </row>
    <row r="1045">
      <c r="A1045" s="5">
        <v>1181.0</v>
      </c>
      <c r="B1045" s="6">
        <v>45995.452293333336</v>
      </c>
      <c r="C1045" s="7" t="s">
        <v>26</v>
      </c>
      <c r="D1045" s="8" t="s">
        <v>3547</v>
      </c>
      <c r="E1045" s="8" t="s">
        <v>1764</v>
      </c>
      <c r="F1045" s="7" t="s">
        <v>3548</v>
      </c>
      <c r="G1045" s="9" t="s">
        <v>19</v>
      </c>
      <c r="H1045" s="7" t="s">
        <v>3557</v>
      </c>
      <c r="I1045" s="7" t="s">
        <v>3558</v>
      </c>
      <c r="J1045" s="10">
        <v>45977.0</v>
      </c>
      <c r="K1045" s="8" t="s">
        <v>1365</v>
      </c>
      <c r="L1045" s="7">
        <v>4.0</v>
      </c>
      <c r="M1045" s="7" t="s">
        <v>3559</v>
      </c>
      <c r="N1045" s="13" t="s">
        <v>3560</v>
      </c>
      <c r="O1045" s="15" t="s">
        <v>3561</v>
      </c>
    </row>
    <row r="1046">
      <c r="A1046" s="5">
        <v>1182.0</v>
      </c>
      <c r="B1046" s="6">
        <v>45995.45384976851</v>
      </c>
      <c r="C1046" s="7" t="s">
        <v>26</v>
      </c>
      <c r="D1046" s="8" t="s">
        <v>3541</v>
      </c>
      <c r="E1046" s="8" t="s">
        <v>674</v>
      </c>
      <c r="F1046" s="7" t="s">
        <v>3542</v>
      </c>
      <c r="G1046" s="9" t="s">
        <v>19</v>
      </c>
      <c r="H1046" s="7" t="s">
        <v>30</v>
      </c>
      <c r="I1046" s="7" t="s">
        <v>37</v>
      </c>
      <c r="J1046" s="10">
        <v>45838.0</v>
      </c>
      <c r="K1046" s="8" t="s">
        <v>67</v>
      </c>
      <c r="L1046" s="7">
        <v>8.0</v>
      </c>
      <c r="M1046" s="7" t="s">
        <v>1016</v>
      </c>
      <c r="N1046" s="13" t="s">
        <v>3562</v>
      </c>
      <c r="O1046" s="15" t="s">
        <v>3563</v>
      </c>
    </row>
    <row r="1047">
      <c r="A1047" s="5">
        <v>1183.0</v>
      </c>
      <c r="B1047" s="6">
        <v>45995.455777118055</v>
      </c>
      <c r="C1047" s="7" t="s">
        <v>26</v>
      </c>
      <c r="D1047" s="8" t="s">
        <v>3547</v>
      </c>
      <c r="E1047" s="8" t="s">
        <v>1764</v>
      </c>
      <c r="F1047" s="7" t="s">
        <v>3548</v>
      </c>
      <c r="G1047" s="9" t="s">
        <v>181</v>
      </c>
      <c r="H1047" s="7" t="s">
        <v>857</v>
      </c>
      <c r="I1047" s="7" t="s">
        <v>3564</v>
      </c>
      <c r="J1047" s="10">
        <v>45987.0</v>
      </c>
      <c r="K1047" s="8" t="s">
        <v>859</v>
      </c>
      <c r="L1047" s="7">
        <v>8.0</v>
      </c>
      <c r="M1047" s="7" t="s">
        <v>1488</v>
      </c>
      <c r="N1047" s="13" t="s">
        <v>3565</v>
      </c>
      <c r="O1047" s="15" t="s">
        <v>3566</v>
      </c>
    </row>
    <row r="1048">
      <c r="A1048" s="5">
        <v>1184.0</v>
      </c>
      <c r="B1048" s="6">
        <v>45995.457819999996</v>
      </c>
      <c r="C1048" s="7" t="s">
        <v>26</v>
      </c>
      <c r="D1048" s="8" t="s">
        <v>3541</v>
      </c>
      <c r="E1048" s="8" t="s">
        <v>674</v>
      </c>
      <c r="F1048" s="7" t="s">
        <v>3542</v>
      </c>
      <c r="G1048" s="9" t="s">
        <v>19</v>
      </c>
      <c r="H1048" s="7" t="s">
        <v>41</v>
      </c>
      <c r="I1048" s="7" t="s">
        <v>37</v>
      </c>
      <c r="J1048" s="10">
        <v>45839.0</v>
      </c>
      <c r="K1048" s="8" t="s">
        <v>67</v>
      </c>
      <c r="L1048" s="7">
        <v>8.0</v>
      </c>
      <c r="M1048" s="7" t="s">
        <v>1016</v>
      </c>
      <c r="N1048" s="13" t="s">
        <v>3567</v>
      </c>
      <c r="O1048" s="15" t="s">
        <v>3568</v>
      </c>
    </row>
    <row r="1049">
      <c r="A1049" s="5">
        <v>1185.0</v>
      </c>
      <c r="B1049" s="6">
        <v>45995.458712499996</v>
      </c>
      <c r="C1049" s="7" t="s">
        <v>26</v>
      </c>
      <c r="D1049" s="8" t="s">
        <v>3547</v>
      </c>
      <c r="E1049" s="8" t="s">
        <v>1764</v>
      </c>
      <c r="F1049" s="7" t="s">
        <v>3548</v>
      </c>
      <c r="G1049" s="9" t="s">
        <v>19</v>
      </c>
      <c r="H1049" s="7" t="s">
        <v>56</v>
      </c>
      <c r="I1049" s="7" t="s">
        <v>3569</v>
      </c>
      <c r="J1049" s="10">
        <v>45955.0</v>
      </c>
      <c r="K1049" s="8" t="s">
        <v>58</v>
      </c>
      <c r="L1049" s="7">
        <v>5.0</v>
      </c>
      <c r="M1049" s="7" t="s">
        <v>3570</v>
      </c>
      <c r="N1049" s="13" t="s">
        <v>3571</v>
      </c>
      <c r="O1049" s="15" t="s">
        <v>3572</v>
      </c>
    </row>
    <row r="1050">
      <c r="A1050" s="5">
        <v>1186.0</v>
      </c>
      <c r="B1050" s="6">
        <v>45995.46473158565</v>
      </c>
      <c r="C1050" s="7" t="s">
        <v>26</v>
      </c>
      <c r="D1050" s="8" t="s">
        <v>3541</v>
      </c>
      <c r="E1050" s="8" t="s">
        <v>674</v>
      </c>
      <c r="F1050" s="7" t="s">
        <v>3542</v>
      </c>
      <c r="G1050" s="9" t="s">
        <v>19</v>
      </c>
      <c r="H1050" s="7" t="s">
        <v>41</v>
      </c>
      <c r="I1050" s="7" t="s">
        <v>37</v>
      </c>
      <c r="J1050" s="10">
        <v>45840.0</v>
      </c>
      <c r="K1050" s="8" t="s">
        <v>67</v>
      </c>
      <c r="L1050" s="7">
        <v>8.0</v>
      </c>
      <c r="M1050" s="7" t="s">
        <v>1016</v>
      </c>
      <c r="N1050" s="13" t="s">
        <v>3573</v>
      </c>
      <c r="O1050" s="15" t="s">
        <v>3574</v>
      </c>
    </row>
    <row r="1051">
      <c r="A1051" s="5">
        <v>1187.0</v>
      </c>
      <c r="B1051" s="6">
        <v>45995.47388260417</v>
      </c>
      <c r="C1051" s="7" t="s">
        <v>26</v>
      </c>
      <c r="D1051" s="8" t="s">
        <v>3541</v>
      </c>
      <c r="E1051" s="8" t="s">
        <v>674</v>
      </c>
      <c r="F1051" s="7" t="s">
        <v>3542</v>
      </c>
      <c r="G1051" s="9" t="s">
        <v>19</v>
      </c>
      <c r="H1051" s="7" t="s">
        <v>1105</v>
      </c>
      <c r="I1051" s="7" t="s">
        <v>498</v>
      </c>
      <c r="J1051" s="10">
        <v>45961.0</v>
      </c>
      <c r="K1051" s="8" t="s">
        <v>639</v>
      </c>
      <c r="L1051" s="7">
        <v>4.0</v>
      </c>
      <c r="M1051" s="7" t="s">
        <v>87</v>
      </c>
      <c r="N1051" s="13" t="s">
        <v>3575</v>
      </c>
      <c r="O1051" s="15" t="s">
        <v>3576</v>
      </c>
    </row>
    <row r="1052">
      <c r="A1052" s="5">
        <v>1188.0</v>
      </c>
      <c r="B1052" s="6">
        <v>45995.47634627315</v>
      </c>
      <c r="C1052" s="7" t="s">
        <v>26</v>
      </c>
      <c r="D1052" s="8" t="s">
        <v>3541</v>
      </c>
      <c r="E1052" s="8" t="s">
        <v>674</v>
      </c>
      <c r="F1052" s="7" t="s">
        <v>3542</v>
      </c>
      <c r="G1052" s="9" t="s">
        <v>19</v>
      </c>
      <c r="H1052" s="7" t="s">
        <v>1105</v>
      </c>
      <c r="I1052" s="7" t="s">
        <v>498</v>
      </c>
      <c r="J1052" s="10">
        <v>45962.0</v>
      </c>
      <c r="K1052" s="8" t="s">
        <v>3385</v>
      </c>
      <c r="L1052" s="7">
        <v>8.0</v>
      </c>
      <c r="M1052" s="7" t="s">
        <v>87</v>
      </c>
      <c r="N1052" s="13" t="s">
        <v>3577</v>
      </c>
      <c r="O1052" s="15" t="s">
        <v>3578</v>
      </c>
    </row>
    <row r="1053">
      <c r="A1053" s="5">
        <v>1189.0</v>
      </c>
      <c r="B1053" s="6">
        <v>45995.47788533565</v>
      </c>
      <c r="C1053" s="7" t="s">
        <v>26</v>
      </c>
      <c r="D1053" s="8" t="s">
        <v>3541</v>
      </c>
      <c r="E1053" s="8" t="s">
        <v>674</v>
      </c>
      <c r="F1053" s="7" t="s">
        <v>3542</v>
      </c>
      <c r="G1053" s="9" t="s">
        <v>19</v>
      </c>
      <c r="H1053" s="7" t="s">
        <v>1105</v>
      </c>
      <c r="I1053" s="7" t="s">
        <v>498</v>
      </c>
      <c r="J1053" s="10">
        <v>45963.0</v>
      </c>
      <c r="K1053" s="8" t="s">
        <v>49</v>
      </c>
      <c r="L1053" s="7">
        <v>8.0</v>
      </c>
      <c r="M1053" s="7" t="s">
        <v>87</v>
      </c>
      <c r="N1053" s="13" t="s">
        <v>3579</v>
      </c>
      <c r="O1053" s="15" t="s">
        <v>3580</v>
      </c>
    </row>
    <row r="1054">
      <c r="A1054" s="5">
        <v>1190.0</v>
      </c>
      <c r="B1054" s="6">
        <v>45995.489003310184</v>
      </c>
      <c r="C1054" s="7" t="s">
        <v>26</v>
      </c>
      <c r="D1054" s="8" t="s">
        <v>3030</v>
      </c>
      <c r="E1054" s="8" t="s">
        <v>1827</v>
      </c>
      <c r="F1054" s="7" t="s">
        <v>3031</v>
      </c>
      <c r="G1054" s="9" t="s">
        <v>19</v>
      </c>
      <c r="H1054" s="7" t="s">
        <v>936</v>
      </c>
      <c r="I1054" s="7" t="s">
        <v>31</v>
      </c>
      <c r="J1054" s="10">
        <v>45825.0</v>
      </c>
      <c r="K1054" s="8" t="s">
        <v>49</v>
      </c>
      <c r="L1054" s="7">
        <v>8.0</v>
      </c>
      <c r="M1054" s="7" t="s">
        <v>33</v>
      </c>
      <c r="N1054" s="13" t="s">
        <v>3581</v>
      </c>
      <c r="O1054" s="15" t="s">
        <v>3582</v>
      </c>
    </row>
    <row r="1055">
      <c r="A1055" s="5">
        <v>1191.0</v>
      </c>
      <c r="B1055" s="6">
        <v>45995.49275462963</v>
      </c>
      <c r="C1055" s="7" t="s">
        <v>26</v>
      </c>
      <c r="D1055" s="8" t="s">
        <v>3030</v>
      </c>
      <c r="E1055" s="8" t="s">
        <v>1827</v>
      </c>
      <c r="F1055" s="7" t="s">
        <v>3031</v>
      </c>
      <c r="G1055" s="9" t="s">
        <v>19</v>
      </c>
      <c r="H1055" s="7" t="s">
        <v>3294</v>
      </c>
      <c r="I1055" s="7" t="s">
        <v>469</v>
      </c>
      <c r="J1055" s="10">
        <v>45833.0</v>
      </c>
      <c r="K1055" s="8" t="s">
        <v>49</v>
      </c>
      <c r="L1055" s="7">
        <v>8.0</v>
      </c>
      <c r="M1055" s="7" t="s">
        <v>33</v>
      </c>
      <c r="N1055" s="13" t="s">
        <v>3583</v>
      </c>
      <c r="O1055" s="15" t="s">
        <v>3584</v>
      </c>
    </row>
    <row r="1056">
      <c r="A1056" s="5">
        <v>1192.0</v>
      </c>
      <c r="B1056" s="6">
        <v>45995.49492622685</v>
      </c>
      <c r="C1056" s="7" t="s">
        <v>26</v>
      </c>
      <c r="D1056" s="8" t="s">
        <v>3030</v>
      </c>
      <c r="E1056" s="8" t="s">
        <v>1827</v>
      </c>
      <c r="F1056" s="7" t="s">
        <v>3031</v>
      </c>
      <c r="G1056" s="9" t="s">
        <v>19</v>
      </c>
      <c r="H1056" s="7" t="s">
        <v>2156</v>
      </c>
      <c r="I1056" s="7" t="s">
        <v>37</v>
      </c>
      <c r="J1056" s="10">
        <v>45838.0</v>
      </c>
      <c r="K1056" s="8" t="s">
        <v>2143</v>
      </c>
      <c r="L1056" s="7">
        <v>8.0</v>
      </c>
      <c r="M1056" s="7" t="s">
        <v>33</v>
      </c>
      <c r="N1056" s="13" t="s">
        <v>3585</v>
      </c>
      <c r="O1056" s="15" t="s">
        <v>3586</v>
      </c>
    </row>
    <row r="1057">
      <c r="A1057" s="5">
        <v>1195.0</v>
      </c>
      <c r="B1057" s="6">
        <v>45995.60294244213</v>
      </c>
      <c r="C1057" s="7" t="s">
        <v>760</v>
      </c>
      <c r="D1057" s="8" t="s">
        <v>829</v>
      </c>
      <c r="E1057" s="8" t="s">
        <v>830</v>
      </c>
      <c r="F1057" s="7" t="s">
        <v>3587</v>
      </c>
      <c r="G1057" s="9" t="s">
        <v>181</v>
      </c>
      <c r="H1057" s="7" t="s">
        <v>3588</v>
      </c>
      <c r="I1057" s="7" t="s">
        <v>3589</v>
      </c>
      <c r="J1057" s="10">
        <v>45995.0</v>
      </c>
      <c r="K1057" s="8" t="s">
        <v>2266</v>
      </c>
      <c r="L1057" s="7">
        <v>5.0</v>
      </c>
      <c r="M1057" s="7" t="s">
        <v>3590</v>
      </c>
      <c r="N1057" s="13" t="s">
        <v>3591</v>
      </c>
      <c r="O1057" s="15" t="s">
        <v>3592</v>
      </c>
    </row>
    <row r="1058">
      <c r="A1058" s="5">
        <v>1196.0</v>
      </c>
      <c r="B1058" s="6">
        <v>45995.60568354167</v>
      </c>
      <c r="C1058" s="7" t="s">
        <v>760</v>
      </c>
      <c r="D1058" s="8" t="s">
        <v>829</v>
      </c>
      <c r="E1058" s="8" t="s">
        <v>830</v>
      </c>
      <c r="F1058" s="7" t="s">
        <v>3587</v>
      </c>
      <c r="G1058" s="9" t="s">
        <v>19</v>
      </c>
      <c r="H1058" s="7" t="s">
        <v>3161</v>
      </c>
      <c r="I1058" s="7" t="s">
        <v>3371</v>
      </c>
      <c r="J1058" s="10">
        <v>45989.0</v>
      </c>
      <c r="K1058" s="8" t="s">
        <v>1139</v>
      </c>
      <c r="L1058" s="7">
        <v>5.0</v>
      </c>
      <c r="M1058" s="7" t="s">
        <v>1325</v>
      </c>
      <c r="N1058" s="13" t="s">
        <v>3593</v>
      </c>
      <c r="O1058" s="15" t="s">
        <v>3594</v>
      </c>
    </row>
    <row r="1059">
      <c r="A1059" s="5">
        <v>1197.0</v>
      </c>
      <c r="B1059" s="6">
        <v>45995.60622873843</v>
      </c>
      <c r="C1059" s="7" t="s">
        <v>760</v>
      </c>
      <c r="D1059" s="8" t="s">
        <v>863</v>
      </c>
      <c r="E1059" s="8" t="s">
        <v>63</v>
      </c>
      <c r="F1059" s="7" t="s">
        <v>864</v>
      </c>
      <c r="G1059" s="9" t="s">
        <v>19</v>
      </c>
      <c r="H1059" s="7" t="s">
        <v>3595</v>
      </c>
      <c r="I1059" s="7" t="s">
        <v>3596</v>
      </c>
      <c r="J1059" s="10">
        <v>45989.0</v>
      </c>
      <c r="K1059" s="8" t="s">
        <v>3597</v>
      </c>
      <c r="L1059" s="7">
        <v>5.0</v>
      </c>
      <c r="M1059" s="7" t="s">
        <v>1325</v>
      </c>
      <c r="N1059" s="13" t="s">
        <v>3598</v>
      </c>
      <c r="O1059" s="15" t="s">
        <v>3599</v>
      </c>
    </row>
    <row r="1060">
      <c r="A1060" s="5">
        <v>1198.0</v>
      </c>
      <c r="B1060" s="6">
        <v>45995.60673596065</v>
      </c>
      <c r="C1060" s="7" t="s">
        <v>760</v>
      </c>
      <c r="D1060" s="8" t="s">
        <v>3600</v>
      </c>
      <c r="E1060" s="8" t="s">
        <v>830</v>
      </c>
      <c r="F1060" s="7" t="s">
        <v>3587</v>
      </c>
      <c r="G1060" s="9" t="s">
        <v>19</v>
      </c>
      <c r="H1060" s="7" t="s">
        <v>3161</v>
      </c>
      <c r="I1060" s="7" t="s">
        <v>3371</v>
      </c>
      <c r="J1060" s="10">
        <v>45989.0</v>
      </c>
      <c r="K1060" s="8" t="s">
        <v>1139</v>
      </c>
      <c r="L1060" s="7">
        <v>5.0</v>
      </c>
      <c r="M1060" s="7" t="s">
        <v>1325</v>
      </c>
      <c r="N1060" s="13" t="s">
        <v>3601</v>
      </c>
      <c r="O1060" s="15" t="s">
        <v>3602</v>
      </c>
    </row>
    <row r="1061">
      <c r="A1061" s="5">
        <v>1199.0</v>
      </c>
      <c r="B1061" s="6">
        <v>45995.643531678244</v>
      </c>
      <c r="C1061" s="7" t="s">
        <v>760</v>
      </c>
      <c r="D1061" s="8" t="s">
        <v>3603</v>
      </c>
      <c r="E1061" s="8" t="s">
        <v>2919</v>
      </c>
      <c r="F1061" s="7" t="s">
        <v>3604</v>
      </c>
      <c r="G1061" s="9" t="s">
        <v>181</v>
      </c>
      <c r="H1061" s="7" t="s">
        <v>3605</v>
      </c>
      <c r="I1061" s="7" t="s">
        <v>231</v>
      </c>
      <c r="J1061" s="10">
        <v>45976.0</v>
      </c>
      <c r="K1061" s="8" t="s">
        <v>3606</v>
      </c>
      <c r="L1061" s="7">
        <v>3.0</v>
      </c>
      <c r="M1061" s="7" t="s">
        <v>3607</v>
      </c>
      <c r="N1061" s="13" t="s">
        <v>3608</v>
      </c>
      <c r="O1061" s="15" t="s">
        <v>3609</v>
      </c>
    </row>
    <row r="1062">
      <c r="A1062" s="5">
        <v>1200.0</v>
      </c>
      <c r="B1062" s="6">
        <v>45996.39392094908</v>
      </c>
      <c r="C1062" s="7" t="s">
        <v>760</v>
      </c>
      <c r="D1062" s="8" t="s">
        <v>3610</v>
      </c>
      <c r="E1062" s="8" t="s">
        <v>893</v>
      </c>
      <c r="F1062" s="7" t="s">
        <v>1206</v>
      </c>
      <c r="G1062" s="9" t="s">
        <v>181</v>
      </c>
      <c r="H1062" s="7" t="s">
        <v>895</v>
      </c>
      <c r="I1062" s="7" t="s">
        <v>231</v>
      </c>
      <c r="J1062" s="10">
        <v>45994.0</v>
      </c>
      <c r="K1062" s="8" t="s">
        <v>896</v>
      </c>
      <c r="L1062" s="7">
        <v>1.0</v>
      </c>
      <c r="M1062" s="7" t="s">
        <v>33</v>
      </c>
      <c r="N1062" s="13" t="s">
        <v>3611</v>
      </c>
      <c r="O1062" s="15" t="s">
        <v>3612</v>
      </c>
    </row>
    <row r="1063">
      <c r="A1063" s="5">
        <v>1201.0</v>
      </c>
      <c r="B1063" s="6">
        <v>45996.39681362269</v>
      </c>
      <c r="C1063" s="7" t="s">
        <v>760</v>
      </c>
      <c r="D1063" s="8" t="s">
        <v>892</v>
      </c>
      <c r="E1063" s="8" t="s">
        <v>893</v>
      </c>
      <c r="F1063" s="7" t="s">
        <v>899</v>
      </c>
      <c r="G1063" s="9" t="s">
        <v>181</v>
      </c>
      <c r="H1063" s="7" t="s">
        <v>895</v>
      </c>
      <c r="I1063" s="7" t="s">
        <v>231</v>
      </c>
      <c r="J1063" s="10">
        <v>45989.0</v>
      </c>
      <c r="K1063" s="8" t="s">
        <v>896</v>
      </c>
      <c r="L1063" s="7">
        <v>1.0</v>
      </c>
      <c r="M1063" s="7" t="s">
        <v>33</v>
      </c>
      <c r="N1063" s="13" t="s">
        <v>3613</v>
      </c>
      <c r="O1063" s="15" t="s">
        <v>3614</v>
      </c>
    </row>
    <row r="1064">
      <c r="A1064" s="5">
        <v>1203.0</v>
      </c>
      <c r="B1064" s="6">
        <v>45996.40827375</v>
      </c>
      <c r="C1064" s="7" t="s">
        <v>760</v>
      </c>
      <c r="D1064" s="8" t="s">
        <v>892</v>
      </c>
      <c r="E1064" s="8" t="s">
        <v>893</v>
      </c>
      <c r="F1064" s="7" t="s">
        <v>899</v>
      </c>
      <c r="G1064" s="9" t="s">
        <v>181</v>
      </c>
      <c r="H1064" s="7" t="s">
        <v>895</v>
      </c>
      <c r="I1064" s="7" t="s">
        <v>231</v>
      </c>
      <c r="J1064" s="10">
        <v>45964.0</v>
      </c>
      <c r="K1064" s="8" t="s">
        <v>896</v>
      </c>
      <c r="L1064" s="7">
        <v>1.0</v>
      </c>
      <c r="M1064" s="7" t="s">
        <v>33</v>
      </c>
      <c r="N1064" s="13" t="s">
        <v>3615</v>
      </c>
      <c r="O1064" s="15" t="s">
        <v>3616</v>
      </c>
    </row>
    <row r="1065">
      <c r="A1065" s="5">
        <v>1205.0</v>
      </c>
      <c r="B1065" s="6">
        <v>45996.413312199074</v>
      </c>
      <c r="C1065" s="7" t="s">
        <v>760</v>
      </c>
      <c r="D1065" s="8" t="s">
        <v>2071</v>
      </c>
      <c r="E1065" s="8" t="s">
        <v>319</v>
      </c>
      <c r="F1065" s="7" t="s">
        <v>2072</v>
      </c>
      <c r="G1065" s="9" t="s">
        <v>181</v>
      </c>
      <c r="H1065" s="7" t="s">
        <v>3617</v>
      </c>
      <c r="I1065" s="7" t="s">
        <v>314</v>
      </c>
      <c r="J1065" s="10">
        <v>45996.0</v>
      </c>
      <c r="K1065" s="8" t="s">
        <v>264</v>
      </c>
      <c r="L1065" s="7">
        <v>3.0</v>
      </c>
      <c r="M1065" s="7" t="s">
        <v>3607</v>
      </c>
      <c r="N1065" s="13" t="s">
        <v>3618</v>
      </c>
      <c r="O1065" s="15" t="s">
        <v>3619</v>
      </c>
    </row>
    <row r="1066">
      <c r="A1066" s="5">
        <v>1206.0</v>
      </c>
      <c r="B1066" s="6">
        <v>45996.41414724537</v>
      </c>
      <c r="C1066" s="7" t="s">
        <v>760</v>
      </c>
      <c r="D1066" s="8" t="s">
        <v>892</v>
      </c>
      <c r="E1066" s="8" t="s">
        <v>893</v>
      </c>
      <c r="F1066" s="7" t="s">
        <v>899</v>
      </c>
      <c r="G1066" s="9" t="s">
        <v>181</v>
      </c>
      <c r="H1066" s="7" t="s">
        <v>895</v>
      </c>
      <c r="I1066" s="7" t="s">
        <v>231</v>
      </c>
      <c r="J1066" s="10">
        <v>45981.0</v>
      </c>
      <c r="K1066" s="8" t="s">
        <v>896</v>
      </c>
      <c r="L1066" s="7">
        <v>1.0</v>
      </c>
      <c r="M1066" s="7" t="s">
        <v>33</v>
      </c>
      <c r="N1066" s="13" t="s">
        <v>3620</v>
      </c>
      <c r="O1066" s="15" t="s">
        <v>3621</v>
      </c>
    </row>
    <row r="1067">
      <c r="A1067" s="5">
        <v>1207.0</v>
      </c>
      <c r="B1067" s="6">
        <v>45996.41461769676</v>
      </c>
      <c r="C1067" s="7" t="s">
        <v>760</v>
      </c>
      <c r="D1067" s="8" t="s">
        <v>780</v>
      </c>
      <c r="E1067" s="8" t="s">
        <v>781</v>
      </c>
      <c r="F1067" s="7" t="s">
        <v>782</v>
      </c>
      <c r="G1067" s="9" t="s">
        <v>181</v>
      </c>
      <c r="H1067" s="7" t="s">
        <v>3605</v>
      </c>
      <c r="I1067" s="7" t="s">
        <v>231</v>
      </c>
      <c r="J1067" s="10">
        <v>45996.0</v>
      </c>
      <c r="K1067" s="8" t="s">
        <v>264</v>
      </c>
      <c r="L1067" s="7">
        <v>3.0</v>
      </c>
      <c r="M1067" s="7" t="s">
        <v>3607</v>
      </c>
      <c r="N1067" s="13" t="s">
        <v>3622</v>
      </c>
      <c r="O1067" s="15" t="s">
        <v>3623</v>
      </c>
    </row>
    <row r="1068">
      <c r="A1068" s="5">
        <v>1208.0</v>
      </c>
      <c r="B1068" s="6">
        <v>45996.41903082176</v>
      </c>
      <c r="C1068" s="7" t="s">
        <v>760</v>
      </c>
      <c r="D1068" s="8" t="s">
        <v>892</v>
      </c>
      <c r="E1068" s="8" t="s">
        <v>893</v>
      </c>
      <c r="F1068" s="7" t="s">
        <v>899</v>
      </c>
      <c r="G1068" s="9" t="s">
        <v>181</v>
      </c>
      <c r="H1068" s="7" t="s">
        <v>895</v>
      </c>
      <c r="I1068" s="7" t="s">
        <v>231</v>
      </c>
      <c r="J1068" s="10">
        <v>45973.0</v>
      </c>
      <c r="K1068" s="8" t="s">
        <v>896</v>
      </c>
      <c r="L1068" s="7">
        <v>1.0</v>
      </c>
      <c r="M1068" s="7" t="s">
        <v>33</v>
      </c>
      <c r="N1068" s="13" t="s">
        <v>3624</v>
      </c>
      <c r="O1068" s="15" t="s">
        <v>3625</v>
      </c>
    </row>
    <row r="1069">
      <c r="A1069" s="5">
        <v>1210.0</v>
      </c>
      <c r="B1069" s="6">
        <v>45996.43037425926</v>
      </c>
      <c r="C1069" s="7" t="s">
        <v>760</v>
      </c>
      <c r="D1069" s="8" t="s">
        <v>892</v>
      </c>
      <c r="E1069" s="8" t="s">
        <v>893</v>
      </c>
      <c r="F1069" s="7" t="s">
        <v>899</v>
      </c>
      <c r="G1069" s="9" t="s">
        <v>159</v>
      </c>
      <c r="H1069" s="7" t="s">
        <v>1871</v>
      </c>
      <c r="I1069" s="7" t="s">
        <v>3626</v>
      </c>
      <c r="J1069" s="10">
        <v>45990.0</v>
      </c>
      <c r="K1069" s="8" t="s">
        <v>22</v>
      </c>
      <c r="L1069" s="7">
        <v>4.0</v>
      </c>
      <c r="M1069" s="7" t="s">
        <v>3627</v>
      </c>
      <c r="N1069" s="13" t="s">
        <v>3628</v>
      </c>
      <c r="O1069" s="15" t="s">
        <v>3629</v>
      </c>
    </row>
    <row r="1070">
      <c r="A1070" s="5">
        <v>1212.0</v>
      </c>
      <c r="B1070" s="6">
        <v>45996.59970070602</v>
      </c>
      <c r="C1070" s="7" t="s">
        <v>26</v>
      </c>
      <c r="D1070" s="8" t="s">
        <v>3030</v>
      </c>
      <c r="E1070" s="8" t="s">
        <v>1827</v>
      </c>
      <c r="F1070" s="7" t="s">
        <v>3031</v>
      </c>
      <c r="G1070" s="9" t="s">
        <v>19</v>
      </c>
      <c r="H1070" s="7" t="s">
        <v>271</v>
      </c>
      <c r="I1070" s="7" t="s">
        <v>37</v>
      </c>
      <c r="J1070" s="10">
        <v>45839.0</v>
      </c>
      <c r="K1070" s="8" t="s">
        <v>67</v>
      </c>
      <c r="L1070" s="7">
        <v>8.0</v>
      </c>
      <c r="M1070" s="7" t="s">
        <v>33</v>
      </c>
      <c r="N1070" s="13" t="s">
        <v>3630</v>
      </c>
      <c r="O1070" s="15" t="s">
        <v>3631</v>
      </c>
    </row>
    <row r="1071">
      <c r="A1071" s="5">
        <v>1213.0</v>
      </c>
      <c r="B1071" s="6">
        <v>45996.600976284724</v>
      </c>
      <c r="C1071" s="7" t="s">
        <v>26</v>
      </c>
      <c r="D1071" s="8" t="s">
        <v>3030</v>
      </c>
      <c r="E1071" s="8" t="s">
        <v>1827</v>
      </c>
      <c r="F1071" s="7" t="s">
        <v>3031</v>
      </c>
      <c r="G1071" s="9" t="s">
        <v>19</v>
      </c>
      <c r="H1071" s="7" t="s">
        <v>3632</v>
      </c>
      <c r="I1071" s="7" t="s">
        <v>37</v>
      </c>
      <c r="J1071" s="10">
        <v>45840.0</v>
      </c>
      <c r="K1071" s="8" t="s">
        <v>67</v>
      </c>
      <c r="L1071" s="7">
        <v>8.0</v>
      </c>
      <c r="M1071" s="7" t="s">
        <v>33</v>
      </c>
      <c r="N1071" s="13" t="s">
        <v>3633</v>
      </c>
      <c r="O1071" s="15" t="s">
        <v>3634</v>
      </c>
    </row>
    <row r="1072">
      <c r="A1072" s="5">
        <v>1215.0</v>
      </c>
      <c r="B1072" s="6">
        <v>45996.86280548611</v>
      </c>
      <c r="C1072" s="7" t="s">
        <v>760</v>
      </c>
      <c r="D1072" s="8" t="s">
        <v>3635</v>
      </c>
      <c r="E1072" s="8" t="s">
        <v>17</v>
      </c>
      <c r="F1072" s="7" t="s">
        <v>3636</v>
      </c>
      <c r="G1072" s="9" t="s">
        <v>159</v>
      </c>
      <c r="H1072" s="7" t="s">
        <v>1871</v>
      </c>
      <c r="I1072" s="7" t="s">
        <v>1240</v>
      </c>
      <c r="J1072" s="10">
        <v>45990.0</v>
      </c>
      <c r="K1072" s="8" t="s">
        <v>1633</v>
      </c>
      <c r="L1072" s="7">
        <v>4.0</v>
      </c>
      <c r="M1072" s="7" t="s">
        <v>3637</v>
      </c>
      <c r="N1072" s="13" t="s">
        <v>3638</v>
      </c>
      <c r="O1072" s="15" t="s">
        <v>3639</v>
      </c>
    </row>
    <row r="1073">
      <c r="A1073" s="5">
        <v>1220.0</v>
      </c>
      <c r="B1073" s="6">
        <v>45997.757557523146</v>
      </c>
      <c r="C1073" s="7" t="s">
        <v>760</v>
      </c>
      <c r="D1073" s="8" t="s">
        <v>1763</v>
      </c>
      <c r="E1073" s="8" t="s">
        <v>1764</v>
      </c>
      <c r="F1073" s="7" t="s">
        <v>1765</v>
      </c>
      <c r="G1073" s="9" t="s">
        <v>144</v>
      </c>
      <c r="H1073" s="7" t="s">
        <v>730</v>
      </c>
      <c r="I1073" s="7" t="s">
        <v>3640</v>
      </c>
      <c r="J1073" s="10">
        <v>45997.0</v>
      </c>
      <c r="K1073" s="8" t="s">
        <v>3117</v>
      </c>
      <c r="L1073" s="7">
        <v>4.0</v>
      </c>
      <c r="M1073" s="7" t="s">
        <v>3641</v>
      </c>
      <c r="N1073" s="13" t="s">
        <v>3642</v>
      </c>
      <c r="O1073" s="15" t="s">
        <v>3643</v>
      </c>
    </row>
    <row r="1074">
      <c r="A1074" s="5">
        <v>1221.0</v>
      </c>
      <c r="B1074" s="6">
        <v>45997.75874784723</v>
      </c>
      <c r="C1074" s="7" t="s">
        <v>125</v>
      </c>
      <c r="D1074" s="8" t="s">
        <v>1826</v>
      </c>
      <c r="E1074" s="8" t="s">
        <v>1827</v>
      </c>
      <c r="F1074" s="7" t="s">
        <v>3644</v>
      </c>
      <c r="G1074" s="9" t="s">
        <v>159</v>
      </c>
      <c r="H1074" s="7" t="s">
        <v>3645</v>
      </c>
      <c r="I1074" s="7" t="s">
        <v>3646</v>
      </c>
      <c r="J1074" s="10">
        <v>45940.0</v>
      </c>
      <c r="K1074" s="8" t="s">
        <v>22</v>
      </c>
      <c r="L1074" s="7">
        <v>4.0</v>
      </c>
      <c r="M1074" s="7" t="s">
        <v>2616</v>
      </c>
      <c r="N1074" s="13" t="s">
        <v>3647</v>
      </c>
      <c r="O1074" s="15" t="s">
        <v>3648</v>
      </c>
    </row>
    <row r="1075">
      <c r="A1075" s="5">
        <v>1223.0</v>
      </c>
      <c r="B1075" s="6">
        <v>45997.762699259256</v>
      </c>
      <c r="C1075" s="7" t="s">
        <v>125</v>
      </c>
      <c r="D1075" s="8" t="s">
        <v>1826</v>
      </c>
      <c r="E1075" s="8" t="s">
        <v>1827</v>
      </c>
      <c r="F1075" s="7" t="s">
        <v>1828</v>
      </c>
      <c r="G1075" s="9" t="s">
        <v>159</v>
      </c>
      <c r="H1075" s="7" t="s">
        <v>608</v>
      </c>
      <c r="I1075" s="7" t="s">
        <v>3649</v>
      </c>
      <c r="J1075" s="10">
        <v>45949.0</v>
      </c>
      <c r="K1075" s="8" t="s">
        <v>499</v>
      </c>
      <c r="L1075" s="7">
        <v>5.0</v>
      </c>
      <c r="M1075" s="7" t="s">
        <v>2616</v>
      </c>
      <c r="N1075" s="13" t="s">
        <v>3650</v>
      </c>
      <c r="O1075" s="15" t="s">
        <v>3651</v>
      </c>
    </row>
    <row r="1076">
      <c r="A1076" s="5">
        <v>1224.0</v>
      </c>
      <c r="B1076" s="6">
        <v>45997.76592997686</v>
      </c>
      <c r="C1076" s="7" t="s">
        <v>125</v>
      </c>
      <c r="D1076" s="8" t="s">
        <v>1826</v>
      </c>
      <c r="E1076" s="8" t="s">
        <v>1827</v>
      </c>
      <c r="F1076" s="7" t="s">
        <v>1828</v>
      </c>
      <c r="G1076" s="9" t="s">
        <v>144</v>
      </c>
      <c r="H1076" s="7" t="s">
        <v>3652</v>
      </c>
      <c r="I1076" s="7" t="s">
        <v>3653</v>
      </c>
      <c r="J1076" s="10">
        <v>46004.0</v>
      </c>
      <c r="K1076" s="8" t="s">
        <v>3308</v>
      </c>
      <c r="L1076" s="7">
        <v>2.0</v>
      </c>
      <c r="M1076" s="7" t="s">
        <v>2616</v>
      </c>
      <c r="N1076" s="13" t="s">
        <v>3654</v>
      </c>
      <c r="O1076" s="15" t="s">
        <v>3655</v>
      </c>
    </row>
    <row r="1077">
      <c r="A1077" s="5">
        <v>1225.0</v>
      </c>
      <c r="B1077" s="6">
        <v>45997.77692709491</v>
      </c>
      <c r="C1077" s="7" t="s">
        <v>26</v>
      </c>
      <c r="D1077" s="8" t="s">
        <v>3656</v>
      </c>
      <c r="E1077" s="8" t="s">
        <v>2061</v>
      </c>
      <c r="F1077" s="7" t="s">
        <v>3657</v>
      </c>
      <c r="G1077" s="9" t="s">
        <v>19</v>
      </c>
      <c r="H1077" s="7" t="s">
        <v>30</v>
      </c>
      <c r="I1077" s="7" t="s">
        <v>31</v>
      </c>
      <c r="J1077" s="10">
        <v>45825.0</v>
      </c>
      <c r="K1077" s="8" t="s">
        <v>49</v>
      </c>
      <c r="L1077" s="7">
        <v>8.0</v>
      </c>
      <c r="M1077" s="7" t="s">
        <v>33</v>
      </c>
      <c r="N1077" s="13" t="s">
        <v>3658</v>
      </c>
      <c r="O1077" s="15" t="s">
        <v>3659</v>
      </c>
    </row>
    <row r="1078">
      <c r="A1078" s="5">
        <v>1226.0</v>
      </c>
      <c r="B1078" s="6">
        <v>45997.77975417824</v>
      </c>
      <c r="C1078" s="7" t="s">
        <v>26</v>
      </c>
      <c r="D1078" s="8" t="s">
        <v>3656</v>
      </c>
      <c r="E1078" s="8" t="s">
        <v>2061</v>
      </c>
      <c r="F1078" s="7" t="s">
        <v>3657</v>
      </c>
      <c r="G1078" s="9" t="s">
        <v>19</v>
      </c>
      <c r="H1078" s="7" t="s">
        <v>30</v>
      </c>
      <c r="I1078" s="7" t="s">
        <v>469</v>
      </c>
      <c r="J1078" s="10">
        <v>45833.0</v>
      </c>
      <c r="K1078" s="8" t="s">
        <v>49</v>
      </c>
      <c r="L1078" s="7">
        <v>8.0</v>
      </c>
      <c r="M1078" s="7" t="s">
        <v>33</v>
      </c>
      <c r="N1078" s="13" t="s">
        <v>3660</v>
      </c>
      <c r="O1078" s="15" t="s">
        <v>3661</v>
      </c>
    </row>
    <row r="1079">
      <c r="A1079" s="5">
        <v>1228.0</v>
      </c>
      <c r="B1079" s="6">
        <v>45997.78351572917</v>
      </c>
      <c r="C1079" s="7" t="s">
        <v>26</v>
      </c>
      <c r="D1079" s="8" t="s">
        <v>3656</v>
      </c>
      <c r="E1079" s="8" t="s">
        <v>2061</v>
      </c>
      <c r="F1079" s="7" t="s">
        <v>3657</v>
      </c>
      <c r="G1079" s="9" t="s">
        <v>19</v>
      </c>
      <c r="H1079" s="7" t="s">
        <v>30</v>
      </c>
      <c r="I1079" s="7" t="s">
        <v>37</v>
      </c>
      <c r="J1079" s="10">
        <v>45838.0</v>
      </c>
      <c r="K1079" s="8" t="s">
        <v>67</v>
      </c>
      <c r="L1079" s="7">
        <v>8.0</v>
      </c>
      <c r="M1079" s="7" t="s">
        <v>33</v>
      </c>
      <c r="N1079" s="13" t="s">
        <v>3662</v>
      </c>
      <c r="O1079" s="15" t="s">
        <v>3663</v>
      </c>
    </row>
    <row r="1080">
      <c r="A1080" s="5">
        <v>1229.0</v>
      </c>
      <c r="B1080" s="6">
        <v>45997.78798849537</v>
      </c>
      <c r="C1080" s="7" t="s">
        <v>26</v>
      </c>
      <c r="D1080" s="8" t="s">
        <v>3656</v>
      </c>
      <c r="E1080" s="8" t="s">
        <v>2061</v>
      </c>
      <c r="F1080" s="7" t="s">
        <v>3657</v>
      </c>
      <c r="G1080" s="9" t="s">
        <v>19</v>
      </c>
      <c r="H1080" s="7" t="s">
        <v>99</v>
      </c>
      <c r="I1080" s="7" t="s">
        <v>37</v>
      </c>
      <c r="J1080" s="10">
        <v>45839.0</v>
      </c>
      <c r="K1080" s="8" t="s">
        <v>67</v>
      </c>
      <c r="L1080" s="7">
        <v>8.0</v>
      </c>
      <c r="M1080" s="7" t="s">
        <v>33</v>
      </c>
      <c r="N1080" s="13" t="s">
        <v>3664</v>
      </c>
      <c r="O1080" s="15" t="s">
        <v>3665</v>
      </c>
    </row>
    <row r="1081">
      <c r="A1081" s="5">
        <v>1230.0</v>
      </c>
      <c r="B1081" s="6">
        <v>45997.79236806713</v>
      </c>
      <c r="C1081" s="7" t="s">
        <v>26</v>
      </c>
      <c r="D1081" s="8" t="s">
        <v>3656</v>
      </c>
      <c r="E1081" s="8" t="s">
        <v>2061</v>
      </c>
      <c r="F1081" s="7" t="s">
        <v>3657</v>
      </c>
      <c r="G1081" s="9" t="s">
        <v>19</v>
      </c>
      <c r="H1081" s="7" t="s">
        <v>99</v>
      </c>
      <c r="I1081" s="7" t="s">
        <v>37</v>
      </c>
      <c r="J1081" s="10">
        <v>45840.0</v>
      </c>
      <c r="K1081" s="8" t="s">
        <v>67</v>
      </c>
      <c r="L1081" s="7">
        <v>8.0</v>
      </c>
      <c r="M1081" s="7" t="s">
        <v>33</v>
      </c>
      <c r="N1081" s="13" t="s">
        <v>3666</v>
      </c>
      <c r="O1081" s="15" t="s">
        <v>3667</v>
      </c>
    </row>
    <row r="1082">
      <c r="A1082" s="5">
        <v>1231.0</v>
      </c>
      <c r="B1082" s="6">
        <v>45997.7962537037</v>
      </c>
      <c r="C1082" s="7" t="s">
        <v>125</v>
      </c>
      <c r="D1082" s="8" t="s">
        <v>235</v>
      </c>
      <c r="E1082" s="8" t="s">
        <v>236</v>
      </c>
      <c r="F1082" s="7" t="s">
        <v>237</v>
      </c>
      <c r="G1082" s="9" t="s">
        <v>159</v>
      </c>
      <c r="H1082" s="7" t="s">
        <v>345</v>
      </c>
      <c r="I1082" s="7" t="s">
        <v>190</v>
      </c>
      <c r="J1082" s="10">
        <v>45956.0</v>
      </c>
      <c r="K1082" s="8" t="s">
        <v>1574</v>
      </c>
      <c r="L1082" s="7">
        <v>4.0</v>
      </c>
      <c r="M1082" s="7" t="s">
        <v>2616</v>
      </c>
      <c r="N1082" s="13" t="s">
        <v>3668</v>
      </c>
      <c r="O1082" s="15" t="s">
        <v>3669</v>
      </c>
    </row>
    <row r="1083">
      <c r="A1083" s="5">
        <v>1232.0</v>
      </c>
      <c r="B1083" s="6">
        <v>45997.814054456016</v>
      </c>
      <c r="C1083" s="7" t="s">
        <v>125</v>
      </c>
      <c r="D1083" s="8" t="s">
        <v>235</v>
      </c>
      <c r="E1083" s="8" t="s">
        <v>236</v>
      </c>
      <c r="F1083" s="7" t="s">
        <v>237</v>
      </c>
      <c r="G1083" s="9" t="s">
        <v>209</v>
      </c>
      <c r="H1083" s="7" t="s">
        <v>3670</v>
      </c>
      <c r="I1083" s="7" t="s">
        <v>3671</v>
      </c>
      <c r="J1083" s="10">
        <v>45927.0</v>
      </c>
      <c r="K1083" s="8" t="s">
        <v>2102</v>
      </c>
      <c r="L1083" s="7">
        <v>1.0</v>
      </c>
      <c r="M1083" s="7" t="s">
        <v>3672</v>
      </c>
      <c r="N1083" s="13" t="s">
        <v>3673</v>
      </c>
      <c r="O1083" s="15" t="s">
        <v>3674</v>
      </c>
    </row>
    <row r="1084">
      <c r="A1084" s="5">
        <v>1233.0</v>
      </c>
      <c r="B1084" s="6">
        <v>45997.82140032407</v>
      </c>
      <c r="C1084" s="7" t="s">
        <v>125</v>
      </c>
      <c r="D1084" s="8" t="s">
        <v>235</v>
      </c>
      <c r="E1084" s="8" t="s">
        <v>3675</v>
      </c>
      <c r="F1084" s="7" t="s">
        <v>237</v>
      </c>
      <c r="G1084" s="9" t="s">
        <v>144</v>
      </c>
      <c r="H1084" s="7" t="s">
        <v>3676</v>
      </c>
      <c r="I1084" s="7" t="s">
        <v>3677</v>
      </c>
      <c r="J1084" s="10">
        <v>45913.0</v>
      </c>
      <c r="K1084" s="8" t="s">
        <v>3678</v>
      </c>
      <c r="L1084" s="7">
        <v>2.0</v>
      </c>
      <c r="M1084" s="7" t="s">
        <v>3672</v>
      </c>
      <c r="N1084" s="13" t="s">
        <v>3679</v>
      </c>
      <c r="O1084" s="15" t="s">
        <v>3680</v>
      </c>
    </row>
    <row r="1085">
      <c r="A1085" s="5">
        <v>1234.0</v>
      </c>
      <c r="B1085" s="6">
        <v>45997.829823113425</v>
      </c>
      <c r="C1085" s="7" t="s">
        <v>125</v>
      </c>
      <c r="D1085" s="8" t="s">
        <v>235</v>
      </c>
      <c r="E1085" s="8" t="s">
        <v>236</v>
      </c>
      <c r="F1085" s="7" t="s">
        <v>237</v>
      </c>
      <c r="G1085" s="9" t="s">
        <v>144</v>
      </c>
      <c r="H1085" s="7" t="s">
        <v>3681</v>
      </c>
      <c r="I1085" s="7" t="s">
        <v>3677</v>
      </c>
      <c r="J1085" s="10">
        <v>45879.0</v>
      </c>
      <c r="K1085" s="8" t="s">
        <v>3308</v>
      </c>
      <c r="L1085" s="7">
        <v>2.0</v>
      </c>
      <c r="M1085" s="7" t="s">
        <v>3672</v>
      </c>
      <c r="N1085" s="13" t="s">
        <v>3682</v>
      </c>
      <c r="O1085" s="15" t="s">
        <v>3683</v>
      </c>
    </row>
    <row r="1086">
      <c r="A1086" s="5">
        <v>1235.0</v>
      </c>
      <c r="B1086" s="6">
        <v>45997.91489236111</v>
      </c>
      <c r="C1086" s="7" t="s">
        <v>760</v>
      </c>
      <c r="D1086" s="8" t="s">
        <v>2817</v>
      </c>
      <c r="E1086" s="8" t="s">
        <v>287</v>
      </c>
      <c r="F1086" s="7" t="s">
        <v>2818</v>
      </c>
      <c r="G1086" s="9" t="s">
        <v>181</v>
      </c>
      <c r="H1086" s="7" t="s">
        <v>3354</v>
      </c>
      <c r="I1086" s="7" t="s">
        <v>314</v>
      </c>
      <c r="J1086" s="10">
        <v>45992.0</v>
      </c>
      <c r="K1086" s="8" t="s">
        <v>753</v>
      </c>
      <c r="L1086" s="7">
        <v>2.0</v>
      </c>
      <c r="M1086" s="7" t="s">
        <v>3684</v>
      </c>
      <c r="N1086" s="13" t="s">
        <v>3685</v>
      </c>
      <c r="O1086" s="15" t="s">
        <v>3686</v>
      </c>
    </row>
    <row r="1087">
      <c r="A1087" s="5">
        <v>1238.0</v>
      </c>
      <c r="B1087" s="6">
        <v>45997.9971125463</v>
      </c>
      <c r="C1087" s="7" t="s">
        <v>760</v>
      </c>
      <c r="D1087" s="8" t="s">
        <v>3687</v>
      </c>
      <c r="E1087" s="8" t="s">
        <v>737</v>
      </c>
      <c r="F1087" s="7" t="s">
        <v>3688</v>
      </c>
      <c r="G1087" s="9" t="s">
        <v>84</v>
      </c>
      <c r="H1087" s="7" t="s">
        <v>764</v>
      </c>
      <c r="I1087" s="7" t="s">
        <v>86</v>
      </c>
      <c r="J1087" s="10">
        <v>45916.0</v>
      </c>
      <c r="K1087" s="8" t="s">
        <v>22</v>
      </c>
      <c r="L1087" s="7">
        <v>8.0</v>
      </c>
      <c r="M1087" s="7" t="s">
        <v>774</v>
      </c>
      <c r="N1087" s="13" t="s">
        <v>3689</v>
      </c>
      <c r="O1087" s="15" t="s">
        <v>3690</v>
      </c>
    </row>
    <row r="1088">
      <c r="A1088" s="5">
        <v>1239.0</v>
      </c>
      <c r="B1088" s="6">
        <v>45998.00478574074</v>
      </c>
      <c r="C1088" s="7" t="s">
        <v>760</v>
      </c>
      <c r="D1088" s="8" t="s">
        <v>3687</v>
      </c>
      <c r="E1088" s="8" t="s">
        <v>737</v>
      </c>
      <c r="F1088" s="7" t="s">
        <v>3688</v>
      </c>
      <c r="G1088" s="9" t="s">
        <v>19</v>
      </c>
      <c r="H1088" s="7" t="s">
        <v>1436</v>
      </c>
      <c r="I1088" s="7" t="s">
        <v>956</v>
      </c>
      <c r="J1088" s="10">
        <v>45977.0</v>
      </c>
      <c r="K1088" s="8" t="s">
        <v>957</v>
      </c>
      <c r="L1088" s="7">
        <v>4.0</v>
      </c>
      <c r="M1088" s="7" t="s">
        <v>87</v>
      </c>
      <c r="N1088" s="13" t="s">
        <v>3691</v>
      </c>
      <c r="O1088" s="15" t="s">
        <v>3692</v>
      </c>
    </row>
    <row r="1089">
      <c r="A1089" s="5">
        <v>1241.0</v>
      </c>
      <c r="B1089" s="6">
        <v>45998.02244310185</v>
      </c>
      <c r="C1089" s="7" t="s">
        <v>760</v>
      </c>
      <c r="D1089" s="8" t="s">
        <v>3687</v>
      </c>
      <c r="E1089" s="8" t="s">
        <v>737</v>
      </c>
      <c r="F1089" s="7" t="s">
        <v>3688</v>
      </c>
      <c r="G1089" s="9" t="s">
        <v>181</v>
      </c>
      <c r="H1089" s="7" t="s">
        <v>3605</v>
      </c>
      <c r="I1089" s="7" t="s">
        <v>231</v>
      </c>
      <c r="J1089" s="10">
        <v>45996.0</v>
      </c>
      <c r="K1089" s="8" t="s">
        <v>264</v>
      </c>
      <c r="L1089" s="7">
        <v>3.0</v>
      </c>
      <c r="M1089" s="7" t="s">
        <v>3607</v>
      </c>
      <c r="N1089" s="13" t="s">
        <v>3693</v>
      </c>
      <c r="O1089" s="15" t="s">
        <v>3694</v>
      </c>
    </row>
    <row r="1090">
      <c r="A1090" s="5">
        <v>1243.0</v>
      </c>
      <c r="B1090" s="6">
        <v>45998.038753437504</v>
      </c>
      <c r="C1090" s="7" t="s">
        <v>760</v>
      </c>
      <c r="D1090" s="8" t="s">
        <v>3687</v>
      </c>
      <c r="E1090" s="8" t="s">
        <v>737</v>
      </c>
      <c r="F1090" s="7" t="s">
        <v>3688</v>
      </c>
      <c r="G1090" s="9" t="s">
        <v>181</v>
      </c>
      <c r="H1090" s="7" t="s">
        <v>895</v>
      </c>
      <c r="I1090" s="7" t="s">
        <v>314</v>
      </c>
      <c r="J1090" s="10">
        <v>45952.0</v>
      </c>
      <c r="K1090" s="8" t="s">
        <v>310</v>
      </c>
      <c r="L1090" s="7">
        <v>1.0</v>
      </c>
      <c r="M1090" s="7" t="s">
        <v>33</v>
      </c>
      <c r="N1090" s="13" t="s">
        <v>3695</v>
      </c>
      <c r="O1090" s="15" t="s">
        <v>3696</v>
      </c>
    </row>
    <row r="1091">
      <c r="A1091" s="5">
        <v>1246.0</v>
      </c>
      <c r="B1091" s="6">
        <v>45998.04255459491</v>
      </c>
      <c r="C1091" s="7" t="s">
        <v>760</v>
      </c>
      <c r="D1091" s="8" t="s">
        <v>3687</v>
      </c>
      <c r="E1091" s="8" t="s">
        <v>737</v>
      </c>
      <c r="F1091" s="7" t="s">
        <v>3688</v>
      </c>
      <c r="G1091" s="9" t="s">
        <v>181</v>
      </c>
      <c r="H1091" s="7" t="s">
        <v>895</v>
      </c>
      <c r="I1091" s="7" t="s">
        <v>314</v>
      </c>
      <c r="J1091" s="10">
        <v>45975.0</v>
      </c>
      <c r="K1091" s="8" t="s">
        <v>310</v>
      </c>
      <c r="L1091" s="7">
        <v>1.0</v>
      </c>
      <c r="M1091" s="7" t="s">
        <v>33</v>
      </c>
      <c r="N1091" s="13" t="s">
        <v>3697</v>
      </c>
      <c r="O1091" s="15" t="s">
        <v>3698</v>
      </c>
    </row>
    <row r="1092">
      <c r="A1092" s="5">
        <v>1247.0</v>
      </c>
      <c r="B1092" s="6">
        <v>45998.045128136575</v>
      </c>
      <c r="C1092" s="7" t="s">
        <v>26</v>
      </c>
      <c r="D1092" s="8" t="s">
        <v>913</v>
      </c>
      <c r="E1092" s="8" t="s">
        <v>547</v>
      </c>
      <c r="F1092" s="7" t="s">
        <v>914</v>
      </c>
      <c r="G1092" s="9" t="s">
        <v>181</v>
      </c>
      <c r="H1092" s="7" t="s">
        <v>857</v>
      </c>
      <c r="I1092" s="7" t="s">
        <v>3699</v>
      </c>
      <c r="J1092" s="10">
        <v>45984.0</v>
      </c>
      <c r="K1092" s="8" t="s">
        <v>859</v>
      </c>
      <c r="L1092" s="7">
        <v>8.0</v>
      </c>
      <c r="M1092" s="7" t="s">
        <v>860</v>
      </c>
      <c r="N1092" s="13" t="s">
        <v>3700</v>
      </c>
      <c r="O1092" s="15" t="s">
        <v>3701</v>
      </c>
    </row>
    <row r="1093">
      <c r="A1093" s="5">
        <v>1248.0</v>
      </c>
      <c r="B1093" s="6">
        <v>45998.045190324076</v>
      </c>
      <c r="C1093" s="7" t="s">
        <v>760</v>
      </c>
      <c r="D1093" s="8" t="s">
        <v>3687</v>
      </c>
      <c r="E1093" s="8" t="s">
        <v>737</v>
      </c>
      <c r="F1093" s="7" t="s">
        <v>3688</v>
      </c>
      <c r="G1093" s="9" t="s">
        <v>181</v>
      </c>
      <c r="H1093" s="7" t="s">
        <v>895</v>
      </c>
      <c r="I1093" s="7" t="s">
        <v>314</v>
      </c>
      <c r="J1093" s="10">
        <v>45987.0</v>
      </c>
      <c r="K1093" s="8" t="s">
        <v>310</v>
      </c>
      <c r="L1093" s="7">
        <v>1.0</v>
      </c>
      <c r="M1093" s="7" t="s">
        <v>33</v>
      </c>
      <c r="N1093" s="13" t="s">
        <v>3702</v>
      </c>
      <c r="O1093" s="15" t="s">
        <v>3703</v>
      </c>
    </row>
    <row r="1094">
      <c r="A1094" s="5">
        <v>1249.0</v>
      </c>
      <c r="B1094" s="6">
        <v>45998.0480703588</v>
      </c>
      <c r="C1094" s="7" t="s">
        <v>26</v>
      </c>
      <c r="D1094" s="8" t="s">
        <v>913</v>
      </c>
      <c r="E1094" s="8" t="s">
        <v>547</v>
      </c>
      <c r="F1094" s="7" t="s">
        <v>914</v>
      </c>
      <c r="G1094" s="9" t="s">
        <v>19</v>
      </c>
      <c r="H1094" s="7" t="s">
        <v>321</v>
      </c>
      <c r="I1094" s="7" t="s">
        <v>112</v>
      </c>
      <c r="J1094" s="10">
        <v>45838.0</v>
      </c>
      <c r="K1094" s="8" t="s">
        <v>67</v>
      </c>
      <c r="L1094" s="7">
        <v>8.0</v>
      </c>
      <c r="M1094" s="7" t="s">
        <v>33</v>
      </c>
      <c r="N1094" s="13" t="s">
        <v>3704</v>
      </c>
      <c r="O1094" s="15" t="s">
        <v>3705</v>
      </c>
    </row>
    <row r="1095">
      <c r="A1095" s="5">
        <v>1250.0</v>
      </c>
      <c r="B1095" s="6">
        <v>45998.054097835644</v>
      </c>
      <c r="C1095" s="7" t="s">
        <v>26</v>
      </c>
      <c r="D1095" s="8" t="s">
        <v>913</v>
      </c>
      <c r="E1095" s="8" t="s">
        <v>547</v>
      </c>
      <c r="F1095" s="7" t="s">
        <v>914</v>
      </c>
      <c r="G1095" s="9" t="s">
        <v>19</v>
      </c>
      <c r="H1095" s="7" t="s">
        <v>1012</v>
      </c>
      <c r="I1095" s="7" t="s">
        <v>112</v>
      </c>
      <c r="J1095" s="10">
        <v>45839.0</v>
      </c>
      <c r="K1095" s="8" t="s">
        <v>67</v>
      </c>
      <c r="L1095" s="7">
        <v>8.0</v>
      </c>
      <c r="M1095" s="7" t="s">
        <v>33</v>
      </c>
      <c r="N1095" s="13" t="s">
        <v>3706</v>
      </c>
      <c r="O1095" s="15" t="s">
        <v>3707</v>
      </c>
    </row>
    <row r="1096">
      <c r="A1096" s="5">
        <v>1251.0</v>
      </c>
      <c r="B1096" s="6">
        <v>45998.05837255787</v>
      </c>
      <c r="C1096" s="7" t="s">
        <v>26</v>
      </c>
      <c r="D1096" s="8" t="s">
        <v>874</v>
      </c>
      <c r="E1096" s="8" t="s">
        <v>171</v>
      </c>
      <c r="F1096" s="7" t="s">
        <v>875</v>
      </c>
      <c r="G1096" s="9" t="s">
        <v>181</v>
      </c>
      <c r="H1096" s="7" t="s">
        <v>857</v>
      </c>
      <c r="I1096" s="7" t="s">
        <v>939</v>
      </c>
      <c r="J1096" s="10">
        <v>45984.0</v>
      </c>
      <c r="K1096" s="8" t="s">
        <v>859</v>
      </c>
      <c r="L1096" s="7">
        <v>8.0</v>
      </c>
      <c r="M1096" s="7" t="s">
        <v>860</v>
      </c>
      <c r="N1096" s="13" t="s">
        <v>3708</v>
      </c>
      <c r="O1096" s="15" t="s">
        <v>3709</v>
      </c>
    </row>
    <row r="1097">
      <c r="A1097" s="5">
        <v>1252.0</v>
      </c>
      <c r="B1097" s="6">
        <v>45998.078124629625</v>
      </c>
      <c r="C1097" s="7" t="s">
        <v>26</v>
      </c>
      <c r="D1097" s="8" t="s">
        <v>874</v>
      </c>
      <c r="E1097" s="8" t="s">
        <v>171</v>
      </c>
      <c r="F1097" s="7" t="s">
        <v>875</v>
      </c>
      <c r="G1097" s="9" t="s">
        <v>181</v>
      </c>
      <c r="H1097" s="7" t="s">
        <v>3710</v>
      </c>
      <c r="I1097" s="7" t="s">
        <v>1642</v>
      </c>
      <c r="J1097" s="10">
        <v>45859.0</v>
      </c>
      <c r="K1097" s="8" t="s">
        <v>315</v>
      </c>
      <c r="L1097" s="7">
        <v>8.0</v>
      </c>
      <c r="M1097" s="7" t="s">
        <v>553</v>
      </c>
      <c r="N1097" s="13" t="s">
        <v>3711</v>
      </c>
      <c r="O1097" s="15" t="s">
        <v>3712</v>
      </c>
    </row>
    <row r="1098">
      <c r="A1098" s="5">
        <v>1253.0</v>
      </c>
      <c r="B1098" s="6">
        <v>45998.513380578705</v>
      </c>
      <c r="C1098" s="7" t="s">
        <v>760</v>
      </c>
      <c r="D1098" s="8" t="s">
        <v>892</v>
      </c>
      <c r="E1098" s="8" t="s">
        <v>893</v>
      </c>
      <c r="F1098" s="7" t="s">
        <v>899</v>
      </c>
      <c r="G1098" s="9" t="s">
        <v>144</v>
      </c>
      <c r="H1098" s="7" t="s">
        <v>3713</v>
      </c>
      <c r="I1098" s="7" t="s">
        <v>3714</v>
      </c>
      <c r="J1098" s="10">
        <v>45996.0</v>
      </c>
      <c r="K1098" s="8" t="s">
        <v>3715</v>
      </c>
      <c r="L1098" s="7">
        <v>2.0</v>
      </c>
      <c r="M1098" s="7" t="s">
        <v>3716</v>
      </c>
      <c r="N1098" s="13" t="s">
        <v>3717</v>
      </c>
      <c r="O1098" s="15" t="s">
        <v>3718</v>
      </c>
    </row>
    <row r="1099">
      <c r="A1099" s="5">
        <v>1255.0</v>
      </c>
      <c r="B1099" s="6">
        <v>45998.54803954861</v>
      </c>
      <c r="C1099" s="7" t="s">
        <v>125</v>
      </c>
      <c r="D1099" s="8" t="s">
        <v>3719</v>
      </c>
      <c r="E1099" s="8" t="s">
        <v>1248</v>
      </c>
      <c r="F1099" s="7" t="s">
        <v>3720</v>
      </c>
      <c r="G1099" s="9" t="s">
        <v>19</v>
      </c>
      <c r="H1099" s="7" t="s">
        <v>173</v>
      </c>
      <c r="I1099" s="7" t="s">
        <v>174</v>
      </c>
      <c r="J1099" s="10">
        <v>45854.0</v>
      </c>
      <c r="K1099" s="8" t="s">
        <v>175</v>
      </c>
      <c r="L1099" s="7">
        <v>6.0</v>
      </c>
      <c r="M1099" s="7" t="s">
        <v>3721</v>
      </c>
      <c r="N1099" s="13" t="s">
        <v>3722</v>
      </c>
      <c r="O1099" s="15" t="s">
        <v>3723</v>
      </c>
    </row>
    <row r="1100">
      <c r="A1100" s="5">
        <v>1256.0</v>
      </c>
      <c r="B1100" s="6">
        <v>45998.55729600694</v>
      </c>
      <c r="C1100" s="7" t="s">
        <v>125</v>
      </c>
      <c r="D1100" s="8" t="s">
        <v>3719</v>
      </c>
      <c r="E1100" s="8" t="s">
        <v>1248</v>
      </c>
      <c r="F1100" s="7" t="s">
        <v>3720</v>
      </c>
      <c r="G1100" s="9" t="s">
        <v>209</v>
      </c>
      <c r="H1100" s="7" t="s">
        <v>3724</v>
      </c>
      <c r="I1100" s="7" t="s">
        <v>205</v>
      </c>
      <c r="J1100" s="10">
        <v>45951.0</v>
      </c>
      <c r="K1100" s="8" t="s">
        <v>1032</v>
      </c>
      <c r="L1100" s="7">
        <v>2.0</v>
      </c>
      <c r="M1100" s="7" t="s">
        <v>3725</v>
      </c>
      <c r="N1100" s="13" t="s">
        <v>3726</v>
      </c>
      <c r="O1100" s="15" t="s">
        <v>3727</v>
      </c>
    </row>
    <row r="1101">
      <c r="A1101" s="5">
        <v>1257.0</v>
      </c>
      <c r="B1101" s="6">
        <v>45998.56316818287</v>
      </c>
      <c r="C1101" s="7" t="s">
        <v>125</v>
      </c>
      <c r="D1101" s="8" t="s">
        <v>3719</v>
      </c>
      <c r="E1101" s="8" t="s">
        <v>1248</v>
      </c>
      <c r="F1101" s="7" t="s">
        <v>3720</v>
      </c>
      <c r="G1101" s="9" t="s">
        <v>181</v>
      </c>
      <c r="H1101" s="7" t="s">
        <v>1850</v>
      </c>
      <c r="I1101" s="7" t="s">
        <v>2092</v>
      </c>
      <c r="J1101" s="10">
        <v>45876.0</v>
      </c>
      <c r="K1101" s="8" t="s">
        <v>582</v>
      </c>
      <c r="L1101" s="7">
        <v>2.0</v>
      </c>
      <c r="M1101" s="7" t="s">
        <v>3728</v>
      </c>
      <c r="N1101" s="7"/>
      <c r="O1101" s="23"/>
    </row>
    <row r="1102">
      <c r="A1102" s="5">
        <v>1258.0</v>
      </c>
      <c r="B1102" s="6">
        <v>45998.56512649306</v>
      </c>
      <c r="C1102" s="7" t="s">
        <v>125</v>
      </c>
      <c r="D1102" s="8" t="s">
        <v>3729</v>
      </c>
      <c r="E1102" s="8" t="s">
        <v>1248</v>
      </c>
      <c r="F1102" s="7" t="s">
        <v>3720</v>
      </c>
      <c r="G1102" s="9" t="s">
        <v>181</v>
      </c>
      <c r="H1102" s="7" t="s">
        <v>1850</v>
      </c>
      <c r="I1102" s="7" t="s">
        <v>2092</v>
      </c>
      <c r="J1102" s="10">
        <v>45876.0</v>
      </c>
      <c r="K1102" s="8" t="s">
        <v>582</v>
      </c>
      <c r="L1102" s="7">
        <v>2.0</v>
      </c>
      <c r="M1102" s="7" t="s">
        <v>33</v>
      </c>
      <c r="N1102" s="13" t="s">
        <v>3730</v>
      </c>
      <c r="O1102" s="15" t="s">
        <v>3731</v>
      </c>
    </row>
    <row r="1103">
      <c r="A1103" s="5">
        <v>1259.0</v>
      </c>
      <c r="B1103" s="6">
        <v>45998.571584537036</v>
      </c>
      <c r="C1103" s="7" t="s">
        <v>125</v>
      </c>
      <c r="D1103" s="8" t="s">
        <v>3719</v>
      </c>
      <c r="E1103" s="8" t="s">
        <v>1248</v>
      </c>
      <c r="F1103" s="7" t="s">
        <v>3720</v>
      </c>
      <c r="G1103" s="9" t="s">
        <v>144</v>
      </c>
      <c r="H1103" s="7" t="s">
        <v>150</v>
      </c>
      <c r="I1103" s="7" t="s">
        <v>3275</v>
      </c>
      <c r="J1103" s="10">
        <v>45955.0</v>
      </c>
      <c r="K1103" s="8" t="s">
        <v>22</v>
      </c>
      <c r="L1103" s="7">
        <v>4.0</v>
      </c>
      <c r="M1103" s="7" t="s">
        <v>3732</v>
      </c>
      <c r="N1103" s="13" t="s">
        <v>3733</v>
      </c>
      <c r="O1103" s="15" t="s">
        <v>3734</v>
      </c>
    </row>
    <row r="1104">
      <c r="A1104" s="5">
        <v>1260.0</v>
      </c>
      <c r="B1104" s="6">
        <v>45998.60657055555</v>
      </c>
      <c r="C1104" s="7" t="s">
        <v>26</v>
      </c>
      <c r="D1104" s="8" t="s">
        <v>1235</v>
      </c>
      <c r="E1104" s="8" t="s">
        <v>737</v>
      </c>
      <c r="F1104" s="7" t="s">
        <v>1236</v>
      </c>
      <c r="G1104" s="9" t="s">
        <v>19</v>
      </c>
      <c r="H1104" s="7" t="s">
        <v>3735</v>
      </c>
      <c r="I1104" s="7" t="s">
        <v>3736</v>
      </c>
      <c r="J1104" s="10">
        <v>46008.0</v>
      </c>
      <c r="K1104" s="8" t="s">
        <v>3737</v>
      </c>
      <c r="L1104" s="7">
        <v>8.0</v>
      </c>
      <c r="M1104" s="7" t="s">
        <v>931</v>
      </c>
      <c r="N1104" s="13" t="s">
        <v>3738</v>
      </c>
      <c r="O1104" s="15" t="s">
        <v>3739</v>
      </c>
    </row>
    <row r="1105">
      <c r="A1105" s="5">
        <v>1261.0</v>
      </c>
      <c r="B1105" s="6">
        <v>45998.6143971875</v>
      </c>
      <c r="C1105" s="7" t="s">
        <v>26</v>
      </c>
      <c r="D1105" s="8" t="s">
        <v>379</v>
      </c>
      <c r="E1105" s="8" t="s">
        <v>380</v>
      </c>
      <c r="F1105" s="7" t="s">
        <v>381</v>
      </c>
      <c r="G1105" s="9" t="s">
        <v>19</v>
      </c>
      <c r="H1105" s="7" t="s">
        <v>3740</v>
      </c>
      <c r="I1105" s="7" t="s">
        <v>3736</v>
      </c>
      <c r="J1105" s="10">
        <v>46007.0</v>
      </c>
      <c r="K1105" s="8" t="s">
        <v>3737</v>
      </c>
      <c r="L1105" s="7">
        <v>8.0</v>
      </c>
      <c r="M1105" s="7" t="s">
        <v>1325</v>
      </c>
      <c r="N1105" s="13" t="s">
        <v>3741</v>
      </c>
      <c r="O1105" s="15" t="s">
        <v>3742</v>
      </c>
    </row>
    <row r="1106">
      <c r="A1106" s="5">
        <v>1262.0</v>
      </c>
      <c r="B1106" s="6">
        <v>45998.63953256945</v>
      </c>
      <c r="C1106" s="7" t="s">
        <v>26</v>
      </c>
      <c r="D1106" s="8" t="s">
        <v>379</v>
      </c>
      <c r="E1106" s="8" t="s">
        <v>380</v>
      </c>
      <c r="F1106" s="7" t="s">
        <v>381</v>
      </c>
      <c r="G1106" s="9" t="s">
        <v>181</v>
      </c>
      <c r="H1106" s="7" t="s">
        <v>3743</v>
      </c>
      <c r="I1106" s="7" t="s">
        <v>231</v>
      </c>
      <c r="J1106" s="10">
        <v>45987.0</v>
      </c>
      <c r="K1106" s="8" t="s">
        <v>859</v>
      </c>
      <c r="L1106" s="7">
        <v>8.0</v>
      </c>
      <c r="M1106" s="7" t="s">
        <v>860</v>
      </c>
      <c r="N1106" s="13" t="s">
        <v>3744</v>
      </c>
      <c r="O1106" s="15" t="s">
        <v>3745</v>
      </c>
    </row>
    <row r="1107">
      <c r="A1107" s="5">
        <v>1264.0</v>
      </c>
      <c r="B1107" s="6">
        <v>45998.65395850694</v>
      </c>
      <c r="C1107" s="7" t="s">
        <v>26</v>
      </c>
      <c r="D1107" s="8" t="s">
        <v>918</v>
      </c>
      <c r="E1107" s="8" t="s">
        <v>919</v>
      </c>
      <c r="F1107" s="7" t="s">
        <v>920</v>
      </c>
      <c r="G1107" s="9" t="s">
        <v>19</v>
      </c>
      <c r="H1107" s="7" t="s">
        <v>3746</v>
      </c>
      <c r="I1107" s="7" t="s">
        <v>3736</v>
      </c>
      <c r="J1107" s="10">
        <v>46007.0</v>
      </c>
      <c r="K1107" s="8" t="s">
        <v>3737</v>
      </c>
      <c r="L1107" s="7">
        <v>8.0</v>
      </c>
      <c r="M1107" s="7" t="s">
        <v>1325</v>
      </c>
      <c r="N1107" s="13" t="s">
        <v>3747</v>
      </c>
      <c r="O1107" s="15" t="s">
        <v>3748</v>
      </c>
    </row>
    <row r="1108">
      <c r="A1108" s="5">
        <v>1267.0</v>
      </c>
      <c r="B1108" s="6">
        <v>45998.6766440625</v>
      </c>
      <c r="C1108" s="7" t="s">
        <v>125</v>
      </c>
      <c r="D1108" s="8" t="s">
        <v>3749</v>
      </c>
      <c r="E1108" s="8" t="s">
        <v>17</v>
      </c>
      <c r="F1108" s="7" t="s">
        <v>3750</v>
      </c>
      <c r="G1108" s="9" t="s">
        <v>19</v>
      </c>
      <c r="H1108" s="7" t="s">
        <v>173</v>
      </c>
      <c r="I1108" s="7" t="s">
        <v>174</v>
      </c>
      <c r="J1108" s="10">
        <v>45854.0</v>
      </c>
      <c r="K1108" s="8" t="s">
        <v>175</v>
      </c>
      <c r="L1108" s="7">
        <v>6.0</v>
      </c>
      <c r="M1108" s="7" t="s">
        <v>106</v>
      </c>
      <c r="N1108" s="13" t="s">
        <v>3751</v>
      </c>
      <c r="O1108" s="15" t="s">
        <v>3752</v>
      </c>
    </row>
    <row r="1109">
      <c r="A1109" s="5">
        <v>1268.0</v>
      </c>
      <c r="B1109" s="6">
        <v>45998.68020429398</v>
      </c>
      <c r="C1109" s="7" t="s">
        <v>15</v>
      </c>
      <c r="D1109" s="8" t="s">
        <v>3753</v>
      </c>
      <c r="E1109" s="8" t="s">
        <v>817</v>
      </c>
      <c r="F1109" s="7" t="s">
        <v>3754</v>
      </c>
      <c r="G1109" s="9" t="s">
        <v>181</v>
      </c>
      <c r="H1109" s="7" t="s">
        <v>3755</v>
      </c>
      <c r="I1109" s="7" t="s">
        <v>231</v>
      </c>
      <c r="J1109" s="10">
        <v>45971.0</v>
      </c>
      <c r="K1109" s="8" t="s">
        <v>22</v>
      </c>
      <c r="L1109" s="7">
        <v>4.0</v>
      </c>
      <c r="M1109" s="7" t="s">
        <v>33</v>
      </c>
      <c r="N1109" s="13" t="s">
        <v>3756</v>
      </c>
      <c r="O1109" s="15" t="s">
        <v>3757</v>
      </c>
    </row>
    <row r="1110">
      <c r="A1110" s="5">
        <v>1269.0</v>
      </c>
      <c r="B1110" s="6">
        <v>45998.68151041667</v>
      </c>
      <c r="C1110" s="7" t="s">
        <v>15</v>
      </c>
      <c r="D1110" s="8" t="s">
        <v>3758</v>
      </c>
      <c r="E1110" s="8" t="s">
        <v>674</v>
      </c>
      <c r="F1110" s="7" t="s">
        <v>3759</v>
      </c>
      <c r="G1110" s="9" t="s">
        <v>181</v>
      </c>
      <c r="H1110" s="7" t="s">
        <v>3760</v>
      </c>
      <c r="I1110" s="7" t="s">
        <v>314</v>
      </c>
      <c r="J1110" s="10">
        <v>45936.0</v>
      </c>
      <c r="K1110" s="8" t="s">
        <v>49</v>
      </c>
      <c r="L1110" s="7">
        <v>8.0</v>
      </c>
      <c r="M1110" s="7" t="s">
        <v>33</v>
      </c>
      <c r="N1110" s="13" t="s">
        <v>3761</v>
      </c>
      <c r="O1110" s="15" t="s">
        <v>3762</v>
      </c>
    </row>
    <row r="1111">
      <c r="A1111" s="5">
        <v>1270.0</v>
      </c>
      <c r="B1111" s="6">
        <v>45998.68176827546</v>
      </c>
      <c r="C1111" s="7" t="s">
        <v>15</v>
      </c>
      <c r="D1111" s="8" t="s">
        <v>3763</v>
      </c>
      <c r="E1111" s="8" t="s">
        <v>236</v>
      </c>
      <c r="F1111" s="7" t="s">
        <v>3764</v>
      </c>
      <c r="G1111" s="9" t="s">
        <v>19</v>
      </c>
      <c r="H1111" s="7" t="s">
        <v>30</v>
      </c>
      <c r="I1111" s="7" t="s">
        <v>37</v>
      </c>
      <c r="J1111" s="10">
        <v>45838.0</v>
      </c>
      <c r="K1111" s="8" t="s">
        <v>67</v>
      </c>
      <c r="L1111" s="7">
        <v>8.0</v>
      </c>
      <c r="M1111" s="7" t="s">
        <v>33</v>
      </c>
      <c r="N1111" s="13" t="s">
        <v>3765</v>
      </c>
      <c r="O1111" s="15" t="s">
        <v>3766</v>
      </c>
    </row>
    <row r="1112">
      <c r="A1112" s="5">
        <v>1271.0</v>
      </c>
      <c r="B1112" s="6">
        <v>45998.68288577546</v>
      </c>
      <c r="C1112" s="7" t="s">
        <v>15</v>
      </c>
      <c r="D1112" s="8" t="s">
        <v>3753</v>
      </c>
      <c r="E1112" s="8" t="s">
        <v>817</v>
      </c>
      <c r="F1112" s="7" t="s">
        <v>3754</v>
      </c>
      <c r="G1112" s="9" t="s">
        <v>181</v>
      </c>
      <c r="H1112" s="7" t="s">
        <v>3767</v>
      </c>
      <c r="I1112" s="7" t="s">
        <v>231</v>
      </c>
      <c r="J1112" s="10">
        <v>45972.0</v>
      </c>
      <c r="K1112" s="8" t="s">
        <v>22</v>
      </c>
      <c r="L1112" s="7">
        <v>4.0</v>
      </c>
      <c r="M1112" s="7" t="s">
        <v>33</v>
      </c>
      <c r="N1112" s="13" t="s">
        <v>3768</v>
      </c>
      <c r="O1112" s="15" t="s">
        <v>3769</v>
      </c>
    </row>
    <row r="1113">
      <c r="A1113" s="5">
        <v>1272.0</v>
      </c>
      <c r="B1113" s="6">
        <v>45998.68297751158</v>
      </c>
      <c r="C1113" s="7" t="s">
        <v>15</v>
      </c>
      <c r="D1113" s="8" t="s">
        <v>3758</v>
      </c>
      <c r="E1113" s="8" t="s">
        <v>674</v>
      </c>
      <c r="F1113" s="7" t="s">
        <v>3759</v>
      </c>
      <c r="G1113" s="9" t="s">
        <v>181</v>
      </c>
      <c r="H1113" s="7" t="s">
        <v>3760</v>
      </c>
      <c r="I1113" s="7">
        <v>54.0</v>
      </c>
      <c r="J1113" s="10">
        <v>45937.0</v>
      </c>
      <c r="K1113" s="8" t="s">
        <v>49</v>
      </c>
      <c r="L1113" s="7">
        <v>8.0</v>
      </c>
      <c r="M1113" s="7" t="s">
        <v>3770</v>
      </c>
      <c r="N1113" s="13" t="s">
        <v>3771</v>
      </c>
      <c r="O1113" s="15" t="s">
        <v>3772</v>
      </c>
    </row>
    <row r="1114">
      <c r="A1114" s="5">
        <v>1273.0</v>
      </c>
      <c r="B1114" s="6">
        <v>45998.683268865745</v>
      </c>
      <c r="C1114" s="7" t="s">
        <v>15</v>
      </c>
      <c r="D1114" s="8" t="s">
        <v>3763</v>
      </c>
      <c r="E1114" s="8" t="s">
        <v>236</v>
      </c>
      <c r="F1114" s="7" t="s">
        <v>3764</v>
      </c>
      <c r="G1114" s="9" t="s">
        <v>19</v>
      </c>
      <c r="H1114" s="7" t="s">
        <v>2249</v>
      </c>
      <c r="I1114" s="7" t="s">
        <v>37</v>
      </c>
      <c r="J1114" s="10">
        <v>45839.0</v>
      </c>
      <c r="K1114" s="8" t="s">
        <v>67</v>
      </c>
      <c r="L1114" s="7">
        <v>8.0</v>
      </c>
      <c r="M1114" s="7" t="s">
        <v>33</v>
      </c>
      <c r="N1114" s="13" t="s">
        <v>3773</v>
      </c>
      <c r="O1114" s="15" t="s">
        <v>3774</v>
      </c>
    </row>
    <row r="1115">
      <c r="A1115" s="5">
        <v>1274.0</v>
      </c>
      <c r="B1115" s="6">
        <v>45998.684244675926</v>
      </c>
      <c r="C1115" s="7" t="s">
        <v>15</v>
      </c>
      <c r="D1115" s="8" t="s">
        <v>3763</v>
      </c>
      <c r="E1115" s="8" t="s">
        <v>236</v>
      </c>
      <c r="F1115" s="7" t="s">
        <v>3764</v>
      </c>
      <c r="G1115" s="9" t="s">
        <v>19</v>
      </c>
      <c r="H1115" s="7" t="s">
        <v>2249</v>
      </c>
      <c r="I1115" s="7" t="s">
        <v>37</v>
      </c>
      <c r="J1115" s="10">
        <v>45840.0</v>
      </c>
      <c r="K1115" s="8" t="s">
        <v>67</v>
      </c>
      <c r="L1115" s="7">
        <v>8.0</v>
      </c>
      <c r="M1115" s="7" t="s">
        <v>33</v>
      </c>
      <c r="N1115" s="13" t="s">
        <v>3775</v>
      </c>
      <c r="O1115" s="15" t="s">
        <v>3776</v>
      </c>
    </row>
    <row r="1116">
      <c r="A1116" s="5">
        <v>1275.0</v>
      </c>
      <c r="B1116" s="6">
        <v>45998.68459980324</v>
      </c>
      <c r="C1116" s="7" t="s">
        <v>15</v>
      </c>
      <c r="D1116" s="8" t="s">
        <v>3758</v>
      </c>
      <c r="E1116" s="8" t="s">
        <v>674</v>
      </c>
      <c r="F1116" s="7" t="s">
        <v>3759</v>
      </c>
      <c r="G1116" s="9" t="s">
        <v>181</v>
      </c>
      <c r="H1116" s="7" t="s">
        <v>3760</v>
      </c>
      <c r="I1116" s="7" t="s">
        <v>314</v>
      </c>
      <c r="J1116" s="10">
        <v>45975.0</v>
      </c>
      <c r="K1116" s="8" t="s">
        <v>22</v>
      </c>
      <c r="L1116" s="7">
        <v>4.0</v>
      </c>
      <c r="M1116" s="7" t="s">
        <v>33</v>
      </c>
      <c r="N1116" s="13" t="s">
        <v>3777</v>
      </c>
      <c r="O1116" s="15" t="s">
        <v>3778</v>
      </c>
    </row>
    <row r="1117">
      <c r="A1117" s="5">
        <v>1276.0</v>
      </c>
      <c r="B1117" s="6">
        <v>45998.685068425926</v>
      </c>
      <c r="C1117" s="7" t="s">
        <v>15</v>
      </c>
      <c r="D1117" s="8" t="s">
        <v>3753</v>
      </c>
      <c r="E1117" s="8" t="s">
        <v>817</v>
      </c>
      <c r="F1117" s="7" t="s">
        <v>3754</v>
      </c>
      <c r="G1117" s="9" t="s">
        <v>181</v>
      </c>
      <c r="H1117" s="7" t="s">
        <v>3767</v>
      </c>
      <c r="I1117" s="7" t="s">
        <v>231</v>
      </c>
      <c r="J1117" s="10">
        <v>45971.0</v>
      </c>
      <c r="K1117" s="8" t="s">
        <v>1159</v>
      </c>
      <c r="L1117" s="7">
        <v>2.0</v>
      </c>
      <c r="M1117" s="7" t="s">
        <v>33</v>
      </c>
      <c r="N1117" s="13" t="s">
        <v>3779</v>
      </c>
      <c r="O1117" s="15" t="s">
        <v>3780</v>
      </c>
    </row>
    <row r="1118">
      <c r="A1118" s="5">
        <v>1277.0</v>
      </c>
      <c r="B1118" s="6">
        <v>45998.69603782408</v>
      </c>
      <c r="C1118" s="7" t="s">
        <v>15</v>
      </c>
      <c r="D1118" s="8" t="s">
        <v>3781</v>
      </c>
      <c r="E1118" s="8" t="s">
        <v>3024</v>
      </c>
      <c r="F1118" s="7" t="s">
        <v>3782</v>
      </c>
      <c r="G1118" s="9" t="s">
        <v>181</v>
      </c>
      <c r="H1118" s="7" t="s">
        <v>3783</v>
      </c>
      <c r="I1118" s="7" t="s">
        <v>231</v>
      </c>
      <c r="J1118" s="10">
        <v>45859.0</v>
      </c>
      <c r="K1118" s="8" t="s">
        <v>3784</v>
      </c>
      <c r="L1118" s="7">
        <v>5.0</v>
      </c>
      <c r="M1118" s="7" t="s">
        <v>87</v>
      </c>
      <c r="N1118" s="13" t="s">
        <v>3785</v>
      </c>
      <c r="O1118" s="15" t="s">
        <v>3786</v>
      </c>
    </row>
    <row r="1119">
      <c r="A1119" s="5">
        <v>1278.0</v>
      </c>
      <c r="B1119" s="6">
        <v>45998.698927997684</v>
      </c>
      <c r="C1119" s="7" t="s">
        <v>15</v>
      </c>
      <c r="D1119" s="8" t="s">
        <v>3781</v>
      </c>
      <c r="E1119" s="8" t="s">
        <v>3024</v>
      </c>
      <c r="F1119" s="7" t="s">
        <v>3782</v>
      </c>
      <c r="G1119" s="9" t="s">
        <v>181</v>
      </c>
      <c r="H1119" s="7" t="s">
        <v>3783</v>
      </c>
      <c r="I1119" s="7" t="s">
        <v>231</v>
      </c>
      <c r="J1119" s="10">
        <v>45859.0</v>
      </c>
      <c r="K1119" s="8" t="s">
        <v>682</v>
      </c>
      <c r="L1119" s="7">
        <v>5.0</v>
      </c>
      <c r="M1119" s="7" t="s">
        <v>87</v>
      </c>
      <c r="N1119" s="13" t="s">
        <v>3787</v>
      </c>
      <c r="O1119" s="15" t="s">
        <v>3788</v>
      </c>
    </row>
    <row r="1120">
      <c r="A1120" s="5">
        <v>1279.0</v>
      </c>
      <c r="B1120" s="6">
        <v>45998.70142107639</v>
      </c>
      <c r="C1120" s="7" t="s">
        <v>15</v>
      </c>
      <c r="D1120" s="8" t="s">
        <v>3781</v>
      </c>
      <c r="E1120" s="8" t="s">
        <v>3024</v>
      </c>
      <c r="F1120" s="7" t="s">
        <v>3782</v>
      </c>
      <c r="G1120" s="9" t="s">
        <v>181</v>
      </c>
      <c r="H1120" s="7" t="s">
        <v>3789</v>
      </c>
      <c r="I1120" s="7" t="s">
        <v>231</v>
      </c>
      <c r="J1120" s="10">
        <v>45938.0</v>
      </c>
      <c r="K1120" s="8" t="s">
        <v>49</v>
      </c>
      <c r="L1120" s="7">
        <v>8.0</v>
      </c>
      <c r="M1120" s="7" t="s">
        <v>33</v>
      </c>
      <c r="N1120" s="13" t="s">
        <v>3790</v>
      </c>
      <c r="O1120" s="15" t="s">
        <v>3791</v>
      </c>
    </row>
    <row r="1121">
      <c r="A1121" s="5">
        <v>1280.0</v>
      </c>
      <c r="B1121" s="6">
        <v>45998.7026740625</v>
      </c>
      <c r="C1121" s="7" t="s">
        <v>15</v>
      </c>
      <c r="D1121" s="8" t="s">
        <v>3781</v>
      </c>
      <c r="E1121" s="8" t="s">
        <v>3024</v>
      </c>
      <c r="F1121" s="7" t="s">
        <v>3782</v>
      </c>
      <c r="G1121" s="9" t="s">
        <v>181</v>
      </c>
      <c r="H1121" s="7" t="s">
        <v>3789</v>
      </c>
      <c r="I1121" s="7" t="s">
        <v>231</v>
      </c>
      <c r="J1121" s="10">
        <v>45939.0</v>
      </c>
      <c r="K1121" s="8" t="s">
        <v>49</v>
      </c>
      <c r="L1121" s="7">
        <v>8.0</v>
      </c>
      <c r="M1121" s="7" t="s">
        <v>33</v>
      </c>
      <c r="N1121" s="13" t="s">
        <v>3792</v>
      </c>
      <c r="O1121" s="15" t="s">
        <v>3793</v>
      </c>
    </row>
    <row r="1122">
      <c r="A1122" s="5">
        <v>1281.0</v>
      </c>
      <c r="B1122" s="6">
        <v>45998.70514013889</v>
      </c>
      <c r="C1122" s="7" t="s">
        <v>15</v>
      </c>
      <c r="D1122" s="8" t="s">
        <v>3781</v>
      </c>
      <c r="E1122" s="8" t="s">
        <v>3024</v>
      </c>
      <c r="F1122" s="7" t="s">
        <v>3782</v>
      </c>
      <c r="G1122" s="9" t="s">
        <v>181</v>
      </c>
      <c r="H1122" s="7" t="s">
        <v>3789</v>
      </c>
      <c r="I1122" s="7" t="s">
        <v>231</v>
      </c>
      <c r="J1122" s="10">
        <v>45940.0</v>
      </c>
      <c r="K1122" s="8" t="s">
        <v>22</v>
      </c>
      <c r="L1122" s="7">
        <v>4.0</v>
      </c>
      <c r="M1122" s="7" t="s">
        <v>33</v>
      </c>
      <c r="N1122" s="13" t="s">
        <v>3794</v>
      </c>
      <c r="O1122" s="15" t="s">
        <v>3795</v>
      </c>
    </row>
    <row r="1123">
      <c r="A1123" s="5">
        <v>1283.0</v>
      </c>
      <c r="B1123" s="6">
        <v>45998.71095586805</v>
      </c>
      <c r="C1123" s="7" t="s">
        <v>15</v>
      </c>
      <c r="D1123" s="8" t="s">
        <v>3781</v>
      </c>
      <c r="E1123" s="8" t="s">
        <v>3024</v>
      </c>
      <c r="F1123" s="7" t="s">
        <v>3782</v>
      </c>
      <c r="G1123" s="9" t="s">
        <v>415</v>
      </c>
      <c r="H1123" s="7" t="s">
        <v>486</v>
      </c>
      <c r="I1123" s="7" t="s">
        <v>21</v>
      </c>
      <c r="J1123" s="10">
        <v>45940.0</v>
      </c>
      <c r="K1123" s="8" t="s">
        <v>957</v>
      </c>
      <c r="L1123" s="7">
        <v>4.0</v>
      </c>
      <c r="M1123" s="7" t="s">
        <v>23</v>
      </c>
      <c r="N1123" s="13" t="s">
        <v>3796</v>
      </c>
      <c r="O1123" s="15" t="s">
        <v>3797</v>
      </c>
    </row>
    <row r="1124">
      <c r="A1124" s="5">
        <v>1284.0</v>
      </c>
      <c r="B1124" s="6">
        <v>45998.77182351852</v>
      </c>
      <c r="C1124" s="7" t="s">
        <v>15</v>
      </c>
      <c r="D1124" s="8" t="s">
        <v>439</v>
      </c>
      <c r="E1124" s="8" t="s">
        <v>440</v>
      </c>
      <c r="F1124" s="7" t="s">
        <v>441</v>
      </c>
      <c r="G1124" s="9" t="s">
        <v>84</v>
      </c>
      <c r="H1124" s="7" t="s">
        <v>455</v>
      </c>
      <c r="I1124" s="7" t="s">
        <v>537</v>
      </c>
      <c r="J1124" s="10">
        <v>45874.0</v>
      </c>
      <c r="K1124" s="8" t="s">
        <v>232</v>
      </c>
      <c r="L1124" s="7">
        <v>8.0</v>
      </c>
      <c r="M1124" s="7" t="s">
        <v>3798</v>
      </c>
      <c r="N1124" s="13" t="s">
        <v>3799</v>
      </c>
      <c r="O1124" s="15" t="s">
        <v>3800</v>
      </c>
    </row>
    <row r="1125">
      <c r="A1125" s="5">
        <v>1285.0</v>
      </c>
      <c r="B1125" s="6">
        <v>45998.77973927083</v>
      </c>
      <c r="C1125" s="7" t="s">
        <v>125</v>
      </c>
      <c r="D1125" s="8" t="s">
        <v>3457</v>
      </c>
      <c r="E1125" s="8" t="s">
        <v>2919</v>
      </c>
      <c r="F1125" s="7" t="s">
        <v>3458</v>
      </c>
      <c r="G1125" s="9" t="s">
        <v>415</v>
      </c>
      <c r="H1125" s="7" t="s">
        <v>3801</v>
      </c>
      <c r="I1125" s="7" t="s">
        <v>3802</v>
      </c>
      <c r="J1125" s="10">
        <v>45997.0</v>
      </c>
      <c r="K1125" s="8" t="s">
        <v>22</v>
      </c>
      <c r="L1125" s="7">
        <v>4.0</v>
      </c>
      <c r="M1125" s="7" t="s">
        <v>3803</v>
      </c>
      <c r="N1125" s="13" t="s">
        <v>3804</v>
      </c>
      <c r="O1125" s="15" t="s">
        <v>3805</v>
      </c>
    </row>
    <row r="1126">
      <c r="A1126" s="5">
        <v>1287.0</v>
      </c>
      <c r="B1126" s="6">
        <v>45998.787094259256</v>
      </c>
      <c r="C1126" s="7" t="s">
        <v>26</v>
      </c>
      <c r="D1126" s="8" t="s">
        <v>1247</v>
      </c>
      <c r="E1126" s="8" t="s">
        <v>1248</v>
      </c>
      <c r="F1126" s="7" t="s">
        <v>1249</v>
      </c>
      <c r="G1126" s="9" t="s">
        <v>19</v>
      </c>
      <c r="H1126" s="7" t="s">
        <v>3735</v>
      </c>
      <c r="I1126" s="7" t="s">
        <v>3736</v>
      </c>
      <c r="J1126" s="10">
        <v>46012.0</v>
      </c>
      <c r="K1126" s="8" t="s">
        <v>3737</v>
      </c>
      <c r="L1126" s="7">
        <v>8.0</v>
      </c>
      <c r="M1126" s="7" t="s">
        <v>1325</v>
      </c>
      <c r="N1126" s="13" t="s">
        <v>3806</v>
      </c>
      <c r="O1126" s="15" t="s">
        <v>3807</v>
      </c>
    </row>
    <row r="1127">
      <c r="A1127" s="5">
        <v>1288.0</v>
      </c>
      <c r="B1127" s="6">
        <v>45998.78770056713</v>
      </c>
      <c r="C1127" s="7" t="s">
        <v>125</v>
      </c>
      <c r="D1127" s="8" t="s">
        <v>3808</v>
      </c>
      <c r="E1127" s="8" t="s">
        <v>919</v>
      </c>
      <c r="F1127" s="7" t="s">
        <v>3809</v>
      </c>
      <c r="G1127" s="9" t="s">
        <v>159</v>
      </c>
      <c r="H1127" s="7" t="s">
        <v>3810</v>
      </c>
      <c r="I1127" s="7" t="s">
        <v>3811</v>
      </c>
      <c r="J1127" s="10">
        <v>45980.0</v>
      </c>
      <c r="K1127" s="8" t="s">
        <v>22</v>
      </c>
      <c r="L1127" s="7">
        <v>4.0</v>
      </c>
      <c r="M1127" s="7" t="s">
        <v>590</v>
      </c>
      <c r="N1127" s="13" t="s">
        <v>3812</v>
      </c>
      <c r="O1127" s="15" t="s">
        <v>3813</v>
      </c>
    </row>
    <row r="1128">
      <c r="A1128" s="5">
        <v>1289.0</v>
      </c>
      <c r="B1128" s="6">
        <v>45998.79355607639</v>
      </c>
      <c r="C1128" s="7" t="s">
        <v>125</v>
      </c>
      <c r="D1128" s="8" t="s">
        <v>3719</v>
      </c>
      <c r="E1128" s="8" t="s">
        <v>1248</v>
      </c>
      <c r="F1128" s="7" t="s">
        <v>3720</v>
      </c>
      <c r="G1128" s="9" t="s">
        <v>144</v>
      </c>
      <c r="H1128" s="7" t="s">
        <v>150</v>
      </c>
      <c r="I1128" s="7" t="s">
        <v>3814</v>
      </c>
      <c r="J1128" s="10">
        <v>45961.0</v>
      </c>
      <c r="K1128" s="8" t="s">
        <v>22</v>
      </c>
      <c r="L1128" s="7">
        <v>4.0</v>
      </c>
      <c r="M1128" s="7" t="s">
        <v>3732</v>
      </c>
      <c r="N1128" s="13" t="s">
        <v>3815</v>
      </c>
      <c r="O1128" s="15" t="s">
        <v>3816</v>
      </c>
    </row>
    <row r="1129">
      <c r="A1129" s="5">
        <v>1291.0</v>
      </c>
      <c r="B1129" s="6">
        <v>45998.79707712963</v>
      </c>
      <c r="C1129" s="7" t="s">
        <v>125</v>
      </c>
      <c r="D1129" s="8" t="s">
        <v>3719</v>
      </c>
      <c r="E1129" s="8" t="s">
        <v>1248</v>
      </c>
      <c r="F1129" s="7" t="s">
        <v>3720</v>
      </c>
      <c r="G1129" s="9" t="s">
        <v>159</v>
      </c>
      <c r="H1129" s="7" t="s">
        <v>1557</v>
      </c>
      <c r="I1129" s="7" t="s">
        <v>3814</v>
      </c>
      <c r="J1129" s="10">
        <v>45963.0</v>
      </c>
      <c r="K1129" s="8" t="s">
        <v>22</v>
      </c>
      <c r="L1129" s="7">
        <v>4.0</v>
      </c>
      <c r="M1129" s="7" t="s">
        <v>3732</v>
      </c>
      <c r="N1129" s="13" t="s">
        <v>3817</v>
      </c>
      <c r="O1129" s="15" t="s">
        <v>3818</v>
      </c>
    </row>
    <row r="1130">
      <c r="A1130" s="5">
        <v>1292.0</v>
      </c>
      <c r="B1130" s="6">
        <v>45998.79745247685</v>
      </c>
      <c r="C1130" s="7" t="s">
        <v>125</v>
      </c>
      <c r="D1130" s="8" t="s">
        <v>3808</v>
      </c>
      <c r="E1130" s="8" t="s">
        <v>919</v>
      </c>
      <c r="F1130" s="7" t="s">
        <v>3809</v>
      </c>
      <c r="G1130" s="9" t="s">
        <v>159</v>
      </c>
      <c r="H1130" s="7" t="s">
        <v>3819</v>
      </c>
      <c r="I1130" s="7" t="s">
        <v>3820</v>
      </c>
      <c r="J1130" s="10">
        <v>45991.0</v>
      </c>
      <c r="K1130" s="8" t="s">
        <v>1365</v>
      </c>
      <c r="L1130" s="7">
        <v>4.0</v>
      </c>
      <c r="M1130" s="7" t="s">
        <v>590</v>
      </c>
      <c r="N1130" s="13" t="s">
        <v>3821</v>
      </c>
      <c r="O1130" s="15" t="s">
        <v>3822</v>
      </c>
    </row>
    <row r="1131">
      <c r="A1131" s="5">
        <v>1293.0</v>
      </c>
      <c r="B1131" s="6">
        <v>45998.80117972222</v>
      </c>
      <c r="C1131" s="7" t="s">
        <v>125</v>
      </c>
      <c r="D1131" s="8" t="s">
        <v>3808</v>
      </c>
      <c r="E1131" s="8" t="s">
        <v>919</v>
      </c>
      <c r="F1131" s="7" t="s">
        <v>3809</v>
      </c>
      <c r="G1131" s="9" t="s">
        <v>159</v>
      </c>
      <c r="H1131" s="7" t="s">
        <v>3823</v>
      </c>
      <c r="I1131" s="7" t="s">
        <v>3824</v>
      </c>
      <c r="J1131" s="10">
        <v>45942.0</v>
      </c>
      <c r="K1131" s="8" t="s">
        <v>22</v>
      </c>
      <c r="L1131" s="7">
        <v>4.0</v>
      </c>
      <c r="M1131" s="7" t="s">
        <v>590</v>
      </c>
      <c r="N1131" s="13" t="s">
        <v>3825</v>
      </c>
      <c r="O1131" s="15" t="s">
        <v>3826</v>
      </c>
    </row>
    <row r="1132">
      <c r="A1132" s="5">
        <v>1294.0</v>
      </c>
      <c r="B1132" s="6">
        <v>45998.80451070602</v>
      </c>
      <c r="C1132" s="7" t="s">
        <v>125</v>
      </c>
      <c r="D1132" s="8" t="s">
        <v>3808</v>
      </c>
      <c r="E1132" s="8" t="s">
        <v>919</v>
      </c>
      <c r="F1132" s="7" t="s">
        <v>3809</v>
      </c>
      <c r="G1132" s="9" t="s">
        <v>159</v>
      </c>
      <c r="H1132" s="7" t="s">
        <v>3827</v>
      </c>
      <c r="I1132" s="7" t="s">
        <v>624</v>
      </c>
      <c r="J1132" s="10">
        <v>45965.0</v>
      </c>
      <c r="K1132" s="8" t="s">
        <v>22</v>
      </c>
      <c r="L1132" s="7">
        <v>4.0</v>
      </c>
      <c r="M1132" s="7" t="s">
        <v>590</v>
      </c>
      <c r="N1132" s="13" t="s">
        <v>3828</v>
      </c>
      <c r="O1132" s="15" t="s">
        <v>3829</v>
      </c>
    </row>
    <row r="1133">
      <c r="A1133" s="5">
        <v>1295.0</v>
      </c>
      <c r="B1133" s="6">
        <v>45998.805069236114</v>
      </c>
      <c r="C1133" s="7" t="s">
        <v>125</v>
      </c>
      <c r="D1133" s="8" t="s">
        <v>3830</v>
      </c>
      <c r="E1133" s="8" t="s">
        <v>1042</v>
      </c>
      <c r="F1133" s="7" t="s">
        <v>3831</v>
      </c>
      <c r="G1133" s="9" t="s">
        <v>19</v>
      </c>
      <c r="H1133" s="7" t="s">
        <v>173</v>
      </c>
      <c r="I1133" s="7" t="s">
        <v>174</v>
      </c>
      <c r="J1133" s="10">
        <v>45854.0</v>
      </c>
      <c r="K1133" s="8" t="s">
        <v>175</v>
      </c>
      <c r="L1133" s="7">
        <v>6.0</v>
      </c>
      <c r="M1133" s="7" t="s">
        <v>106</v>
      </c>
      <c r="N1133" s="13" t="s">
        <v>3832</v>
      </c>
      <c r="O1133" s="15" t="s">
        <v>3833</v>
      </c>
    </row>
    <row r="1134">
      <c r="A1134" s="5">
        <v>1296.0</v>
      </c>
      <c r="B1134" s="6">
        <v>45998.80728959491</v>
      </c>
      <c r="C1134" s="7" t="s">
        <v>125</v>
      </c>
      <c r="D1134" s="8" t="s">
        <v>3808</v>
      </c>
      <c r="E1134" s="8" t="s">
        <v>919</v>
      </c>
      <c r="F1134" s="7" t="s">
        <v>3809</v>
      </c>
      <c r="G1134" s="9" t="s">
        <v>159</v>
      </c>
      <c r="H1134" s="7" t="s">
        <v>3834</v>
      </c>
      <c r="I1134" s="7" t="s">
        <v>3820</v>
      </c>
      <c r="J1134" s="10">
        <v>45949.0</v>
      </c>
      <c r="K1134" s="8" t="s">
        <v>1521</v>
      </c>
      <c r="L1134" s="7">
        <v>4.0</v>
      </c>
      <c r="M1134" s="7" t="s">
        <v>590</v>
      </c>
      <c r="N1134" s="13" t="s">
        <v>3835</v>
      </c>
      <c r="O1134" s="15" t="s">
        <v>3836</v>
      </c>
    </row>
    <row r="1135">
      <c r="A1135" s="5">
        <v>1297.0</v>
      </c>
      <c r="B1135" s="6">
        <v>45998.80831983796</v>
      </c>
      <c r="C1135" s="7" t="s">
        <v>125</v>
      </c>
      <c r="D1135" s="8" t="s">
        <v>3719</v>
      </c>
      <c r="E1135" s="8" t="s">
        <v>1248</v>
      </c>
      <c r="F1135" s="7" t="s">
        <v>3720</v>
      </c>
      <c r="G1135" s="9" t="s">
        <v>84</v>
      </c>
      <c r="H1135" s="7" t="s">
        <v>85</v>
      </c>
      <c r="I1135" s="7" t="s">
        <v>86</v>
      </c>
      <c r="J1135" s="10">
        <v>45880.0</v>
      </c>
      <c r="K1135" s="8" t="s">
        <v>1421</v>
      </c>
      <c r="L1135" s="7">
        <v>8.0</v>
      </c>
      <c r="M1135" s="7" t="s">
        <v>33</v>
      </c>
      <c r="N1135" s="13" t="s">
        <v>3837</v>
      </c>
      <c r="O1135" s="15" t="s">
        <v>3838</v>
      </c>
    </row>
    <row r="1136">
      <c r="A1136" s="5">
        <v>1298.0</v>
      </c>
      <c r="B1136" s="6">
        <v>45998.815376377315</v>
      </c>
      <c r="C1136" s="7" t="s">
        <v>26</v>
      </c>
      <c r="D1136" s="8" t="s">
        <v>1258</v>
      </c>
      <c r="E1136" s="8" t="s">
        <v>1259</v>
      </c>
      <c r="F1136" s="7" t="s">
        <v>1260</v>
      </c>
      <c r="G1136" s="9" t="s">
        <v>19</v>
      </c>
      <c r="H1136" s="7" t="s">
        <v>3735</v>
      </c>
      <c r="I1136" s="7" t="s">
        <v>3736</v>
      </c>
      <c r="J1136" s="10">
        <v>46009.0</v>
      </c>
      <c r="K1136" s="8" t="s">
        <v>3737</v>
      </c>
      <c r="L1136" s="7">
        <v>8.0</v>
      </c>
      <c r="M1136" s="7" t="s">
        <v>1325</v>
      </c>
      <c r="N1136" s="13" t="s">
        <v>3839</v>
      </c>
      <c r="O1136" s="15" t="s">
        <v>3840</v>
      </c>
    </row>
    <row r="1137">
      <c r="A1137" s="5">
        <v>1299.0</v>
      </c>
      <c r="B1137" s="6">
        <v>45998.81556645833</v>
      </c>
      <c r="C1137" s="7" t="s">
        <v>26</v>
      </c>
      <c r="D1137" s="8" t="s">
        <v>1780</v>
      </c>
      <c r="E1137" s="8" t="s">
        <v>817</v>
      </c>
      <c r="F1137" s="7" t="s">
        <v>1781</v>
      </c>
      <c r="G1137" s="9" t="s">
        <v>19</v>
      </c>
      <c r="H1137" s="7" t="s">
        <v>3740</v>
      </c>
      <c r="I1137" s="7" t="s">
        <v>3736</v>
      </c>
      <c r="J1137" s="10">
        <v>46009.0</v>
      </c>
      <c r="K1137" s="8" t="s">
        <v>3737</v>
      </c>
      <c r="L1137" s="7">
        <v>8.0</v>
      </c>
      <c r="M1137" s="7" t="s">
        <v>3841</v>
      </c>
      <c r="N1137" s="13" t="s">
        <v>3842</v>
      </c>
      <c r="O1137" s="15" t="s">
        <v>3843</v>
      </c>
    </row>
    <row r="1138">
      <c r="A1138" s="5">
        <v>1300.0</v>
      </c>
      <c r="B1138" s="6">
        <v>45998.81579678241</v>
      </c>
      <c r="C1138" s="7" t="s">
        <v>125</v>
      </c>
      <c r="D1138" s="8" t="s">
        <v>3808</v>
      </c>
      <c r="E1138" s="8" t="s">
        <v>919</v>
      </c>
      <c r="F1138" s="7" t="s">
        <v>3809</v>
      </c>
      <c r="G1138" s="9" t="s">
        <v>19</v>
      </c>
      <c r="H1138" s="7" t="s">
        <v>173</v>
      </c>
      <c r="I1138" s="7" t="s">
        <v>1563</v>
      </c>
      <c r="J1138" s="10">
        <v>45854.0</v>
      </c>
      <c r="K1138" s="8" t="s">
        <v>175</v>
      </c>
      <c r="L1138" s="7">
        <v>6.0</v>
      </c>
      <c r="M1138" s="7" t="s">
        <v>106</v>
      </c>
      <c r="N1138" s="13" t="s">
        <v>3844</v>
      </c>
      <c r="O1138" s="15" t="s">
        <v>3845</v>
      </c>
    </row>
    <row r="1139">
      <c r="A1139" s="5">
        <v>1301.0</v>
      </c>
      <c r="B1139" s="6">
        <v>45998.81595267361</v>
      </c>
      <c r="C1139" s="7" t="s">
        <v>26</v>
      </c>
      <c r="D1139" s="8" t="s">
        <v>1247</v>
      </c>
      <c r="E1139" s="8" t="s">
        <v>1248</v>
      </c>
      <c r="F1139" s="7" t="s">
        <v>1249</v>
      </c>
      <c r="G1139" s="9" t="s">
        <v>19</v>
      </c>
      <c r="H1139" s="7" t="s">
        <v>3735</v>
      </c>
      <c r="I1139" s="7" t="s">
        <v>3736</v>
      </c>
      <c r="J1139" s="10">
        <v>46007.0</v>
      </c>
      <c r="K1139" s="8" t="s">
        <v>3737</v>
      </c>
      <c r="L1139" s="7">
        <v>8.0</v>
      </c>
      <c r="M1139" s="7" t="s">
        <v>1325</v>
      </c>
      <c r="N1139" s="13" t="s">
        <v>3846</v>
      </c>
      <c r="O1139" s="15" t="s">
        <v>3847</v>
      </c>
    </row>
    <row r="1140">
      <c r="A1140" s="5">
        <v>1302.0</v>
      </c>
      <c r="B1140" s="6">
        <v>45998.8229659375</v>
      </c>
      <c r="C1140" s="7" t="s">
        <v>760</v>
      </c>
      <c r="D1140" s="8" t="s">
        <v>3848</v>
      </c>
      <c r="E1140" s="8" t="s">
        <v>574</v>
      </c>
      <c r="F1140" s="7" t="s">
        <v>3849</v>
      </c>
      <c r="G1140" s="9" t="s">
        <v>84</v>
      </c>
      <c r="H1140" s="7" t="s">
        <v>2648</v>
      </c>
      <c r="I1140" s="7" t="s">
        <v>1192</v>
      </c>
      <c r="J1140" s="10">
        <v>45916.0</v>
      </c>
      <c r="K1140" s="8" t="s">
        <v>657</v>
      </c>
      <c r="L1140" s="7">
        <v>8.0</v>
      </c>
      <c r="M1140" s="7" t="s">
        <v>423</v>
      </c>
      <c r="N1140" s="13" t="s">
        <v>3850</v>
      </c>
      <c r="O1140" s="23"/>
    </row>
    <row r="1141">
      <c r="A1141" s="5">
        <v>1303.0</v>
      </c>
      <c r="B1141" s="6">
        <v>45998.82301443287</v>
      </c>
      <c r="C1141" s="7" t="s">
        <v>26</v>
      </c>
      <c r="D1141" s="8" t="s">
        <v>1007</v>
      </c>
      <c r="E1141" s="8" t="s">
        <v>479</v>
      </c>
      <c r="F1141" s="7" t="s">
        <v>480</v>
      </c>
      <c r="G1141" s="9" t="s">
        <v>19</v>
      </c>
      <c r="H1141" s="7" t="s">
        <v>3735</v>
      </c>
      <c r="I1141" s="7" t="s">
        <v>3736</v>
      </c>
      <c r="J1141" s="10">
        <v>46009.0</v>
      </c>
      <c r="K1141" s="8" t="s">
        <v>3851</v>
      </c>
      <c r="L1141" s="7">
        <v>8.0</v>
      </c>
      <c r="M1141" s="7" t="s">
        <v>1325</v>
      </c>
      <c r="N1141" s="13" t="s">
        <v>3852</v>
      </c>
      <c r="O1141" s="15" t="s">
        <v>3853</v>
      </c>
    </row>
    <row r="1142">
      <c r="A1142" s="5">
        <v>1304.0</v>
      </c>
      <c r="B1142" s="6">
        <v>45998.82817638889</v>
      </c>
      <c r="C1142" s="7" t="s">
        <v>26</v>
      </c>
      <c r="D1142" s="8" t="s">
        <v>2451</v>
      </c>
      <c r="E1142" s="8" t="s">
        <v>830</v>
      </c>
      <c r="F1142" s="7" t="s">
        <v>2452</v>
      </c>
      <c r="G1142" s="9" t="s">
        <v>19</v>
      </c>
      <c r="H1142" s="7" t="s">
        <v>3740</v>
      </c>
      <c r="I1142" s="7" t="s">
        <v>3736</v>
      </c>
      <c r="J1142" s="10">
        <v>46008.0</v>
      </c>
      <c r="K1142" s="8" t="s">
        <v>3737</v>
      </c>
      <c r="L1142" s="7">
        <v>8.0</v>
      </c>
      <c r="M1142" s="7" t="s">
        <v>1325</v>
      </c>
      <c r="N1142" s="13" t="s">
        <v>3854</v>
      </c>
      <c r="O1142" s="15" t="s">
        <v>3855</v>
      </c>
    </row>
    <row r="1143">
      <c r="A1143" s="5">
        <v>1305.0</v>
      </c>
      <c r="B1143" s="6">
        <v>45998.83174306713</v>
      </c>
      <c r="C1143" s="7" t="s">
        <v>125</v>
      </c>
      <c r="D1143" s="8" t="s">
        <v>3749</v>
      </c>
      <c r="E1143" s="8" t="s">
        <v>17</v>
      </c>
      <c r="F1143" s="7" t="s">
        <v>3750</v>
      </c>
      <c r="G1143" s="9" t="s">
        <v>181</v>
      </c>
      <c r="H1143" s="7" t="s">
        <v>308</v>
      </c>
      <c r="I1143" s="7" t="s">
        <v>3856</v>
      </c>
      <c r="J1143" s="10">
        <v>45847.0</v>
      </c>
      <c r="K1143" s="8" t="s">
        <v>310</v>
      </c>
      <c r="L1143" s="7">
        <v>1.0</v>
      </c>
      <c r="M1143" s="7" t="s">
        <v>106</v>
      </c>
      <c r="N1143" s="13" t="s">
        <v>3857</v>
      </c>
      <c r="O1143" s="15" t="s">
        <v>3858</v>
      </c>
    </row>
    <row r="1144">
      <c r="A1144" s="5">
        <v>1306.0</v>
      </c>
      <c r="B1144" s="6">
        <v>45998.85202409722</v>
      </c>
      <c r="C1144" s="7" t="s">
        <v>15</v>
      </c>
      <c r="D1144" s="8" t="s">
        <v>3859</v>
      </c>
      <c r="E1144" s="8" t="s">
        <v>1253</v>
      </c>
      <c r="F1144" s="7" t="s">
        <v>3860</v>
      </c>
      <c r="G1144" s="9" t="s">
        <v>19</v>
      </c>
      <c r="H1144" s="7" t="s">
        <v>406</v>
      </c>
      <c r="I1144" s="7" t="s">
        <v>94</v>
      </c>
      <c r="J1144" s="10">
        <v>45823.0</v>
      </c>
      <c r="K1144" s="8" t="s">
        <v>22</v>
      </c>
      <c r="L1144" s="7">
        <v>4.0</v>
      </c>
      <c r="M1144" s="7" t="s">
        <v>106</v>
      </c>
      <c r="N1144" s="13" t="s">
        <v>3861</v>
      </c>
      <c r="O1144" s="15" t="s">
        <v>3862</v>
      </c>
    </row>
    <row r="1145">
      <c r="A1145" s="5">
        <v>1307.0</v>
      </c>
      <c r="B1145" s="6">
        <v>45998.853609618054</v>
      </c>
      <c r="C1145" s="7" t="s">
        <v>15</v>
      </c>
      <c r="D1145" s="8" t="s">
        <v>3758</v>
      </c>
      <c r="E1145" s="8" t="s">
        <v>674</v>
      </c>
      <c r="F1145" s="7" t="s">
        <v>3759</v>
      </c>
      <c r="G1145" s="9" t="s">
        <v>181</v>
      </c>
      <c r="H1145" s="7" t="s">
        <v>2677</v>
      </c>
      <c r="I1145" s="7" t="s">
        <v>314</v>
      </c>
      <c r="J1145" s="10">
        <v>45949.0</v>
      </c>
      <c r="K1145" s="8" t="s">
        <v>635</v>
      </c>
      <c r="L1145" s="7">
        <v>4.0</v>
      </c>
      <c r="M1145" s="7" t="s">
        <v>636</v>
      </c>
      <c r="N1145" s="13" t="s">
        <v>3863</v>
      </c>
      <c r="O1145" s="15" t="s">
        <v>3864</v>
      </c>
    </row>
    <row r="1146">
      <c r="A1146" s="5">
        <v>1308.0</v>
      </c>
      <c r="B1146" s="6">
        <v>45998.85445079861</v>
      </c>
      <c r="C1146" s="7" t="s">
        <v>15</v>
      </c>
      <c r="D1146" s="8" t="s">
        <v>3763</v>
      </c>
      <c r="E1146" s="8" t="s">
        <v>236</v>
      </c>
      <c r="F1146" s="7" t="s">
        <v>3764</v>
      </c>
      <c r="G1146" s="9" t="s">
        <v>19</v>
      </c>
      <c r="H1146" s="7" t="s">
        <v>406</v>
      </c>
      <c r="I1146" s="7" t="s">
        <v>94</v>
      </c>
      <c r="J1146" s="10">
        <v>45823.0</v>
      </c>
      <c r="K1146" s="8" t="s">
        <v>22</v>
      </c>
      <c r="L1146" s="7">
        <v>4.0</v>
      </c>
      <c r="M1146" s="7" t="s">
        <v>3865</v>
      </c>
      <c r="N1146" s="13" t="s">
        <v>3866</v>
      </c>
      <c r="O1146" s="15" t="s">
        <v>3867</v>
      </c>
    </row>
    <row r="1147">
      <c r="A1147" s="5">
        <v>1309.0</v>
      </c>
      <c r="B1147" s="6">
        <v>45998.8547583912</v>
      </c>
      <c r="C1147" s="7" t="s">
        <v>125</v>
      </c>
      <c r="D1147" s="8" t="s">
        <v>3448</v>
      </c>
      <c r="E1147" s="8" t="s">
        <v>3868</v>
      </c>
      <c r="F1147" s="7" t="s">
        <v>3449</v>
      </c>
      <c r="G1147" s="9" t="s">
        <v>159</v>
      </c>
      <c r="H1147" s="7" t="s">
        <v>3810</v>
      </c>
      <c r="I1147" s="7" t="s">
        <v>3869</v>
      </c>
      <c r="J1147" s="10">
        <v>45980.0</v>
      </c>
      <c r="K1147" s="8" t="s">
        <v>1365</v>
      </c>
      <c r="L1147" s="7">
        <v>4.0</v>
      </c>
      <c r="M1147" s="7" t="s">
        <v>590</v>
      </c>
      <c r="N1147" s="13" t="s">
        <v>3870</v>
      </c>
      <c r="O1147" s="15" t="s">
        <v>3871</v>
      </c>
    </row>
    <row r="1148">
      <c r="A1148" s="5">
        <v>1310.0</v>
      </c>
      <c r="B1148" s="6">
        <v>45998.85533399305</v>
      </c>
      <c r="C1148" s="7" t="s">
        <v>15</v>
      </c>
      <c r="D1148" s="8" t="s">
        <v>3859</v>
      </c>
      <c r="E1148" s="8" t="s">
        <v>1253</v>
      </c>
      <c r="F1148" s="7" t="s">
        <v>3860</v>
      </c>
      <c r="G1148" s="9" t="s">
        <v>19</v>
      </c>
      <c r="H1148" s="7" t="s">
        <v>41</v>
      </c>
      <c r="I1148" s="7" t="s">
        <v>37</v>
      </c>
      <c r="J1148" s="10">
        <v>45839.0</v>
      </c>
      <c r="K1148" s="8" t="s">
        <v>67</v>
      </c>
      <c r="L1148" s="7">
        <v>8.0</v>
      </c>
      <c r="M1148" s="7" t="s">
        <v>33</v>
      </c>
      <c r="N1148" s="13" t="s">
        <v>3872</v>
      </c>
      <c r="O1148" s="15" t="s">
        <v>3873</v>
      </c>
    </row>
    <row r="1149">
      <c r="A1149" s="5">
        <v>1311.0</v>
      </c>
      <c r="B1149" s="6">
        <v>45998.855597974536</v>
      </c>
      <c r="C1149" s="7" t="s">
        <v>15</v>
      </c>
      <c r="D1149" s="8" t="s">
        <v>3758</v>
      </c>
      <c r="E1149" s="8" t="s">
        <v>674</v>
      </c>
      <c r="F1149" s="7" t="s">
        <v>3759</v>
      </c>
      <c r="G1149" s="9" t="s">
        <v>181</v>
      </c>
      <c r="H1149" s="7" t="s">
        <v>2677</v>
      </c>
      <c r="I1149" s="7" t="s">
        <v>314</v>
      </c>
      <c r="J1149" s="10">
        <v>45950.0</v>
      </c>
      <c r="K1149" s="8" t="s">
        <v>639</v>
      </c>
      <c r="L1149" s="7">
        <v>4.0</v>
      </c>
      <c r="M1149" s="7" t="s">
        <v>636</v>
      </c>
      <c r="N1149" s="13" t="s">
        <v>3874</v>
      </c>
      <c r="O1149" s="15" t="s">
        <v>3875</v>
      </c>
    </row>
    <row r="1150">
      <c r="A1150" s="5">
        <v>1312.0</v>
      </c>
      <c r="B1150" s="6">
        <v>45998.85643209491</v>
      </c>
      <c r="C1150" s="7" t="s">
        <v>15</v>
      </c>
      <c r="D1150" s="8" t="s">
        <v>3859</v>
      </c>
      <c r="E1150" s="8" t="s">
        <v>1253</v>
      </c>
      <c r="F1150" s="7" t="s">
        <v>3860</v>
      </c>
      <c r="G1150" s="9" t="s">
        <v>19</v>
      </c>
      <c r="H1150" s="7" t="s">
        <v>41</v>
      </c>
      <c r="I1150" s="7" t="s">
        <v>37</v>
      </c>
      <c r="J1150" s="10">
        <v>45998.0</v>
      </c>
      <c r="K1150" s="8" t="s">
        <v>67</v>
      </c>
      <c r="L1150" s="7">
        <v>8.0</v>
      </c>
      <c r="M1150" s="7" t="s">
        <v>33</v>
      </c>
      <c r="N1150" s="13" t="s">
        <v>3876</v>
      </c>
      <c r="O1150" s="15" t="s">
        <v>3877</v>
      </c>
    </row>
    <row r="1151">
      <c r="A1151" s="5">
        <v>1313.0</v>
      </c>
      <c r="B1151" s="6">
        <v>45998.856730740736</v>
      </c>
      <c r="C1151" s="7" t="s">
        <v>125</v>
      </c>
      <c r="D1151" s="8" t="s">
        <v>3448</v>
      </c>
      <c r="E1151" s="8" t="s">
        <v>1725</v>
      </c>
      <c r="F1151" s="7" t="s">
        <v>3449</v>
      </c>
      <c r="G1151" s="9" t="s">
        <v>159</v>
      </c>
      <c r="H1151" s="7" t="s">
        <v>3878</v>
      </c>
      <c r="I1151" s="7" t="s">
        <v>3452</v>
      </c>
      <c r="J1151" s="10">
        <v>45991.0</v>
      </c>
      <c r="K1151" s="8" t="s">
        <v>22</v>
      </c>
      <c r="L1151" s="7">
        <v>4.0</v>
      </c>
      <c r="M1151" s="7" t="s">
        <v>590</v>
      </c>
      <c r="N1151" s="13" t="s">
        <v>3879</v>
      </c>
      <c r="O1151" s="23"/>
    </row>
    <row r="1152">
      <c r="A1152" s="5">
        <v>1314.0</v>
      </c>
      <c r="B1152" s="6">
        <v>45998.856745578705</v>
      </c>
      <c r="C1152" s="7" t="s">
        <v>15</v>
      </c>
      <c r="D1152" s="8" t="s">
        <v>3763</v>
      </c>
      <c r="E1152" s="8" t="s">
        <v>236</v>
      </c>
      <c r="F1152" s="7" t="s">
        <v>3764</v>
      </c>
      <c r="G1152" s="9" t="s">
        <v>19</v>
      </c>
      <c r="H1152" s="7" t="s">
        <v>20</v>
      </c>
      <c r="I1152" s="7" t="s">
        <v>21</v>
      </c>
      <c r="J1152" s="10">
        <v>45940.0</v>
      </c>
      <c r="K1152" s="8" t="s">
        <v>22</v>
      </c>
      <c r="L1152" s="7">
        <v>4.0</v>
      </c>
      <c r="M1152" s="7" t="s">
        <v>23</v>
      </c>
      <c r="N1152" s="13" t="s">
        <v>3880</v>
      </c>
      <c r="O1152" s="15" t="s">
        <v>3881</v>
      </c>
    </row>
    <row r="1153">
      <c r="A1153" s="5">
        <v>1315.0</v>
      </c>
      <c r="B1153" s="6">
        <v>45998.85802509259</v>
      </c>
      <c r="C1153" s="7" t="s">
        <v>15</v>
      </c>
      <c r="D1153" s="8" t="s">
        <v>3758</v>
      </c>
      <c r="E1153" s="8" t="s">
        <v>674</v>
      </c>
      <c r="F1153" s="7" t="s">
        <v>3759</v>
      </c>
      <c r="G1153" s="9" t="s">
        <v>181</v>
      </c>
      <c r="H1153" s="7" t="s">
        <v>2677</v>
      </c>
      <c r="I1153" s="7" t="s">
        <v>314</v>
      </c>
      <c r="J1153" s="10">
        <v>45951.0</v>
      </c>
      <c r="K1153" s="8" t="s">
        <v>639</v>
      </c>
      <c r="L1153" s="7">
        <v>4.0</v>
      </c>
      <c r="M1153" s="7" t="s">
        <v>636</v>
      </c>
      <c r="N1153" s="13" t="s">
        <v>3882</v>
      </c>
      <c r="O1153" s="15" t="s">
        <v>3883</v>
      </c>
    </row>
    <row r="1154">
      <c r="A1154" s="5">
        <v>1316.0</v>
      </c>
      <c r="B1154" s="6">
        <v>45998.85856420139</v>
      </c>
      <c r="C1154" s="7" t="s">
        <v>15</v>
      </c>
      <c r="D1154" s="8" t="s">
        <v>3859</v>
      </c>
      <c r="E1154" s="8" t="s">
        <v>1253</v>
      </c>
      <c r="F1154" s="7" t="s">
        <v>3860</v>
      </c>
      <c r="G1154" s="9" t="s">
        <v>84</v>
      </c>
      <c r="H1154" s="7" t="s">
        <v>85</v>
      </c>
      <c r="I1154" s="7" t="s">
        <v>773</v>
      </c>
      <c r="J1154" s="10">
        <v>45843.0</v>
      </c>
      <c r="K1154" s="8" t="s">
        <v>1686</v>
      </c>
      <c r="L1154" s="7">
        <v>8.0</v>
      </c>
      <c r="M1154" s="7" t="s">
        <v>3884</v>
      </c>
      <c r="N1154" s="13" t="s">
        <v>3885</v>
      </c>
      <c r="O1154" s="15" t="s">
        <v>3886</v>
      </c>
    </row>
    <row r="1155">
      <c r="A1155" s="5">
        <v>1317.0</v>
      </c>
      <c r="B1155" s="6">
        <v>45998.8592512037</v>
      </c>
      <c r="C1155" s="7" t="s">
        <v>15</v>
      </c>
      <c r="D1155" s="8" t="s">
        <v>3758</v>
      </c>
      <c r="E1155" s="8" t="s">
        <v>674</v>
      </c>
      <c r="F1155" s="7" t="s">
        <v>3759</v>
      </c>
      <c r="G1155" s="9" t="s">
        <v>181</v>
      </c>
      <c r="H1155" s="7" t="s">
        <v>2677</v>
      </c>
      <c r="I1155" s="7" t="s">
        <v>3887</v>
      </c>
      <c r="J1155" s="10">
        <v>45952.0</v>
      </c>
      <c r="K1155" s="8" t="s">
        <v>639</v>
      </c>
      <c r="L1155" s="7">
        <v>4.0</v>
      </c>
      <c r="M1155" s="7" t="s">
        <v>636</v>
      </c>
      <c r="N1155" s="13" t="s">
        <v>3888</v>
      </c>
      <c r="O1155" s="15" t="s">
        <v>3889</v>
      </c>
    </row>
    <row r="1156">
      <c r="A1156" s="5">
        <v>1318.0</v>
      </c>
      <c r="B1156" s="6">
        <v>45998.861700532405</v>
      </c>
      <c r="C1156" s="7" t="s">
        <v>15</v>
      </c>
      <c r="D1156" s="8" t="s">
        <v>3890</v>
      </c>
      <c r="E1156" s="8" t="s">
        <v>1248</v>
      </c>
      <c r="F1156" s="7" t="s">
        <v>3891</v>
      </c>
      <c r="G1156" s="9" t="s">
        <v>19</v>
      </c>
      <c r="H1156" s="7" t="s">
        <v>44</v>
      </c>
      <c r="I1156" s="7" t="s">
        <v>37</v>
      </c>
      <c r="J1156" s="10">
        <v>45839.0</v>
      </c>
      <c r="K1156" s="8" t="s">
        <v>67</v>
      </c>
      <c r="L1156" s="7">
        <v>8.0</v>
      </c>
      <c r="M1156" s="7" t="s">
        <v>33</v>
      </c>
      <c r="N1156" s="13" t="s">
        <v>3892</v>
      </c>
      <c r="O1156" s="15" t="s">
        <v>3893</v>
      </c>
    </row>
    <row r="1157">
      <c r="A1157" s="5">
        <v>1319.0</v>
      </c>
      <c r="B1157" s="6">
        <v>45998.86503078704</v>
      </c>
      <c r="C1157" s="7" t="s">
        <v>15</v>
      </c>
      <c r="D1157" s="8" t="s">
        <v>3890</v>
      </c>
      <c r="E1157" s="8" t="s">
        <v>1248</v>
      </c>
      <c r="F1157" s="7" t="s">
        <v>3891</v>
      </c>
      <c r="G1157" s="9" t="s">
        <v>19</v>
      </c>
      <c r="H1157" s="7" t="s">
        <v>44</v>
      </c>
      <c r="I1157" s="7" t="s">
        <v>37</v>
      </c>
      <c r="J1157" s="10">
        <v>45840.0</v>
      </c>
      <c r="K1157" s="8" t="s">
        <v>67</v>
      </c>
      <c r="L1157" s="7">
        <v>8.0</v>
      </c>
      <c r="M1157" s="7" t="s">
        <v>33</v>
      </c>
      <c r="N1157" s="13" t="s">
        <v>3894</v>
      </c>
      <c r="O1157" s="15" t="s">
        <v>3895</v>
      </c>
    </row>
    <row r="1158">
      <c r="A1158" s="5">
        <v>1320.0</v>
      </c>
      <c r="B1158" s="6">
        <v>45998.86674349537</v>
      </c>
      <c r="C1158" s="7" t="s">
        <v>125</v>
      </c>
      <c r="D1158" s="8" t="s">
        <v>2612</v>
      </c>
      <c r="E1158" s="8" t="s">
        <v>1023</v>
      </c>
      <c r="F1158" s="7" t="s">
        <v>2613</v>
      </c>
      <c r="G1158" s="9" t="s">
        <v>159</v>
      </c>
      <c r="H1158" s="7" t="s">
        <v>3896</v>
      </c>
      <c r="I1158" s="7" t="s">
        <v>3897</v>
      </c>
      <c r="J1158" s="10">
        <v>45966.0</v>
      </c>
      <c r="K1158" s="8" t="s">
        <v>3117</v>
      </c>
      <c r="L1158" s="7">
        <v>4.0</v>
      </c>
      <c r="M1158" s="7" t="s">
        <v>2616</v>
      </c>
      <c r="N1158" s="13" t="s">
        <v>3898</v>
      </c>
      <c r="O1158" s="15" t="s">
        <v>3899</v>
      </c>
    </row>
    <row r="1159">
      <c r="A1159" s="5">
        <v>1321.0</v>
      </c>
      <c r="B1159" s="6">
        <v>45998.86749078704</v>
      </c>
      <c r="C1159" s="7" t="s">
        <v>15</v>
      </c>
      <c r="D1159" s="8" t="s">
        <v>3890</v>
      </c>
      <c r="E1159" s="8" t="s">
        <v>1248</v>
      </c>
      <c r="F1159" s="7" t="s">
        <v>3891</v>
      </c>
      <c r="G1159" s="9" t="s">
        <v>159</v>
      </c>
      <c r="H1159" s="7" t="s">
        <v>406</v>
      </c>
      <c r="I1159" s="7" t="s">
        <v>94</v>
      </c>
      <c r="J1159" s="10">
        <v>45823.0</v>
      </c>
      <c r="K1159" s="8" t="s">
        <v>22</v>
      </c>
      <c r="L1159" s="7">
        <v>4.0</v>
      </c>
      <c r="M1159" s="7" t="s">
        <v>106</v>
      </c>
      <c r="N1159" s="13" t="s">
        <v>3900</v>
      </c>
      <c r="O1159" s="15" t="s">
        <v>3901</v>
      </c>
    </row>
    <row r="1160">
      <c r="A1160" s="5">
        <v>1322.0</v>
      </c>
      <c r="B1160" s="6">
        <v>45998.86881515046</v>
      </c>
      <c r="C1160" s="7" t="s">
        <v>15</v>
      </c>
      <c r="D1160" s="8" t="s">
        <v>3902</v>
      </c>
      <c r="E1160" s="8" t="s">
        <v>781</v>
      </c>
      <c r="F1160" s="7" t="s">
        <v>3903</v>
      </c>
      <c r="G1160" s="9" t="s">
        <v>19</v>
      </c>
      <c r="H1160" s="7" t="s">
        <v>406</v>
      </c>
      <c r="I1160" s="7" t="s">
        <v>94</v>
      </c>
      <c r="J1160" s="10">
        <v>45823.0</v>
      </c>
      <c r="K1160" s="8" t="s">
        <v>22</v>
      </c>
      <c r="L1160" s="7">
        <v>4.0</v>
      </c>
      <c r="M1160" s="7" t="s">
        <v>106</v>
      </c>
      <c r="N1160" s="13" t="s">
        <v>3904</v>
      </c>
      <c r="O1160" s="15" t="s">
        <v>3905</v>
      </c>
    </row>
    <row r="1161">
      <c r="A1161" s="5">
        <v>1323.0</v>
      </c>
      <c r="B1161" s="6">
        <v>45998.8702627662</v>
      </c>
      <c r="C1161" s="7" t="s">
        <v>15</v>
      </c>
      <c r="D1161" s="8" t="s">
        <v>3906</v>
      </c>
      <c r="E1161" s="8" t="s">
        <v>479</v>
      </c>
      <c r="F1161" s="7" t="s">
        <v>3907</v>
      </c>
      <c r="G1161" s="9" t="s">
        <v>181</v>
      </c>
      <c r="H1161" s="7" t="s">
        <v>3908</v>
      </c>
      <c r="I1161" s="7" t="s">
        <v>231</v>
      </c>
      <c r="J1161" s="10">
        <v>45939.0</v>
      </c>
      <c r="K1161" s="8" t="s">
        <v>3909</v>
      </c>
      <c r="L1161" s="7">
        <v>8.0</v>
      </c>
      <c r="M1161" s="7" t="s">
        <v>33</v>
      </c>
      <c r="N1161" s="13" t="s">
        <v>3910</v>
      </c>
      <c r="O1161" s="15" t="s">
        <v>3911</v>
      </c>
    </row>
    <row r="1162">
      <c r="A1162" s="5">
        <v>1324.0</v>
      </c>
      <c r="B1162" s="6">
        <v>45998.87129309028</v>
      </c>
      <c r="C1162" s="7" t="s">
        <v>15</v>
      </c>
      <c r="D1162" s="8" t="s">
        <v>3906</v>
      </c>
      <c r="E1162" s="8" t="s">
        <v>479</v>
      </c>
      <c r="F1162" s="7" t="s">
        <v>3907</v>
      </c>
      <c r="G1162" s="9" t="s">
        <v>181</v>
      </c>
      <c r="H1162" s="7" t="s">
        <v>3908</v>
      </c>
      <c r="I1162" s="7" t="s">
        <v>231</v>
      </c>
      <c r="J1162" s="10">
        <v>45939.0</v>
      </c>
      <c r="K1162" s="8" t="s">
        <v>3909</v>
      </c>
      <c r="L1162" s="7">
        <v>8.0</v>
      </c>
      <c r="M1162" s="7" t="s">
        <v>33</v>
      </c>
      <c r="N1162" s="13" t="s">
        <v>3912</v>
      </c>
      <c r="O1162" s="15" t="s">
        <v>3913</v>
      </c>
    </row>
    <row r="1163">
      <c r="A1163" s="5">
        <v>1325.0</v>
      </c>
      <c r="B1163" s="6">
        <v>45998.87211851851</v>
      </c>
      <c r="C1163" s="7" t="s">
        <v>15</v>
      </c>
      <c r="D1163" s="8" t="s">
        <v>3906</v>
      </c>
      <c r="E1163" s="8" t="s">
        <v>479</v>
      </c>
      <c r="F1163" s="7" t="s">
        <v>3907</v>
      </c>
      <c r="G1163" s="9" t="s">
        <v>181</v>
      </c>
      <c r="H1163" s="7" t="s">
        <v>3908</v>
      </c>
      <c r="I1163" s="7" t="s">
        <v>231</v>
      </c>
      <c r="J1163" s="10">
        <v>45939.0</v>
      </c>
      <c r="K1163" s="8" t="s">
        <v>3909</v>
      </c>
      <c r="L1163" s="7">
        <v>4.0</v>
      </c>
      <c r="M1163" s="7" t="s">
        <v>33</v>
      </c>
      <c r="N1163" s="13" t="s">
        <v>3914</v>
      </c>
      <c r="O1163" s="15" t="s">
        <v>3915</v>
      </c>
    </row>
    <row r="1164">
      <c r="A1164" s="5">
        <v>1326.0</v>
      </c>
      <c r="B1164" s="6">
        <v>45998.87322796296</v>
      </c>
      <c r="C1164" s="7" t="s">
        <v>125</v>
      </c>
      <c r="D1164" s="8" t="s">
        <v>2612</v>
      </c>
      <c r="E1164" s="8" t="s">
        <v>1023</v>
      </c>
      <c r="F1164" s="7" t="s">
        <v>2613</v>
      </c>
      <c r="G1164" s="9" t="s">
        <v>84</v>
      </c>
      <c r="H1164" s="7" t="s">
        <v>455</v>
      </c>
      <c r="I1164" s="7" t="s">
        <v>3916</v>
      </c>
      <c r="J1164" s="10">
        <v>45997.0</v>
      </c>
      <c r="K1164" s="8" t="s">
        <v>49</v>
      </c>
      <c r="L1164" s="7">
        <v>8.0</v>
      </c>
      <c r="M1164" s="7" t="s">
        <v>3917</v>
      </c>
      <c r="N1164" s="13" t="s">
        <v>3918</v>
      </c>
      <c r="O1164" s="15" t="s">
        <v>3919</v>
      </c>
    </row>
    <row r="1165">
      <c r="A1165" s="5">
        <v>1327.0</v>
      </c>
      <c r="B1165" s="6">
        <v>45998.87627628472</v>
      </c>
      <c r="C1165" s="7" t="s">
        <v>15</v>
      </c>
      <c r="D1165" s="8" t="s">
        <v>3902</v>
      </c>
      <c r="E1165" s="8" t="s">
        <v>781</v>
      </c>
      <c r="F1165" s="7" t="s">
        <v>3903</v>
      </c>
      <c r="G1165" s="9" t="s">
        <v>19</v>
      </c>
      <c r="H1165" s="7" t="s">
        <v>448</v>
      </c>
      <c r="I1165" s="7" t="s">
        <v>37</v>
      </c>
      <c r="J1165" s="10">
        <v>45839.0</v>
      </c>
      <c r="K1165" s="8" t="s">
        <v>67</v>
      </c>
      <c r="L1165" s="7">
        <v>8.0</v>
      </c>
      <c r="M1165" s="7" t="s">
        <v>33</v>
      </c>
      <c r="N1165" s="13" t="s">
        <v>3920</v>
      </c>
      <c r="O1165" s="15" t="s">
        <v>3921</v>
      </c>
    </row>
    <row r="1166">
      <c r="A1166" s="5">
        <v>1329.0</v>
      </c>
      <c r="B1166" s="6">
        <v>45998.87995940972</v>
      </c>
      <c r="C1166" s="7" t="s">
        <v>760</v>
      </c>
      <c r="D1166" s="8" t="s">
        <v>829</v>
      </c>
      <c r="E1166" s="8" t="s">
        <v>830</v>
      </c>
      <c r="F1166" s="7" t="s">
        <v>831</v>
      </c>
      <c r="G1166" s="9" t="s">
        <v>181</v>
      </c>
      <c r="H1166" s="7" t="s">
        <v>3922</v>
      </c>
      <c r="I1166" s="7" t="s">
        <v>3923</v>
      </c>
      <c r="J1166" s="10">
        <v>45999.0</v>
      </c>
      <c r="K1166" s="8" t="s">
        <v>3924</v>
      </c>
      <c r="L1166" s="7">
        <v>4.0</v>
      </c>
      <c r="M1166" s="7" t="s">
        <v>3590</v>
      </c>
      <c r="N1166" s="31" t="s">
        <v>3925</v>
      </c>
      <c r="O1166" s="15" t="s">
        <v>3926</v>
      </c>
    </row>
    <row r="1167">
      <c r="A1167" s="5">
        <v>1331.0</v>
      </c>
      <c r="B1167" s="6">
        <v>45998.880375416666</v>
      </c>
      <c r="C1167" s="7" t="s">
        <v>760</v>
      </c>
      <c r="D1167" s="8" t="s">
        <v>816</v>
      </c>
      <c r="E1167" s="8" t="s">
        <v>817</v>
      </c>
      <c r="F1167" s="7" t="s">
        <v>818</v>
      </c>
      <c r="G1167" s="9" t="s">
        <v>181</v>
      </c>
      <c r="H1167" s="7" t="s">
        <v>3927</v>
      </c>
      <c r="I1167" s="7" t="s">
        <v>3928</v>
      </c>
      <c r="J1167" s="10">
        <v>45999.0</v>
      </c>
      <c r="K1167" s="8" t="s">
        <v>3924</v>
      </c>
      <c r="L1167" s="7">
        <v>2.0</v>
      </c>
      <c r="M1167" s="7" t="s">
        <v>3590</v>
      </c>
      <c r="N1167" s="13" t="s">
        <v>3929</v>
      </c>
      <c r="O1167" s="15" t="s">
        <v>3930</v>
      </c>
    </row>
    <row r="1168">
      <c r="A1168" s="5">
        <v>1333.0</v>
      </c>
      <c r="B1168" s="6">
        <v>45998.88143634259</v>
      </c>
      <c r="C1168" s="7" t="s">
        <v>760</v>
      </c>
      <c r="D1168" s="8" t="s">
        <v>3931</v>
      </c>
      <c r="E1168" s="8" t="s">
        <v>1049</v>
      </c>
      <c r="F1168" s="7" t="s">
        <v>2758</v>
      </c>
      <c r="G1168" s="9" t="s">
        <v>181</v>
      </c>
      <c r="H1168" s="7" t="s">
        <v>895</v>
      </c>
      <c r="I1168" s="7" t="s">
        <v>3932</v>
      </c>
      <c r="J1168" s="10">
        <v>45975.0</v>
      </c>
      <c r="K1168" s="8" t="s">
        <v>3933</v>
      </c>
      <c r="L1168" s="7">
        <v>1.0</v>
      </c>
      <c r="M1168" s="7" t="s">
        <v>33</v>
      </c>
      <c r="N1168" s="13" t="s">
        <v>3934</v>
      </c>
      <c r="O1168" s="23"/>
    </row>
    <row r="1169">
      <c r="A1169" s="5">
        <v>1335.0</v>
      </c>
      <c r="B1169" s="6">
        <v>45998.883118171296</v>
      </c>
      <c r="C1169" s="7" t="s">
        <v>760</v>
      </c>
      <c r="D1169" s="8" t="s">
        <v>816</v>
      </c>
      <c r="E1169" s="8" t="s">
        <v>817</v>
      </c>
      <c r="F1169" s="7" t="s">
        <v>818</v>
      </c>
      <c r="G1169" s="9" t="s">
        <v>181</v>
      </c>
      <c r="H1169" s="7" t="s">
        <v>3927</v>
      </c>
      <c r="I1169" s="7" t="s">
        <v>3928</v>
      </c>
      <c r="J1169" s="10">
        <v>46000.0</v>
      </c>
      <c r="K1169" s="8" t="s">
        <v>3924</v>
      </c>
      <c r="L1169" s="7">
        <v>2.0</v>
      </c>
      <c r="M1169" s="7" t="s">
        <v>3590</v>
      </c>
      <c r="N1169" s="13" t="s">
        <v>3935</v>
      </c>
      <c r="O1169" s="15" t="s">
        <v>3936</v>
      </c>
    </row>
    <row r="1170">
      <c r="A1170" s="5">
        <v>1339.0</v>
      </c>
      <c r="B1170" s="6">
        <v>45998.88562178241</v>
      </c>
      <c r="C1170" s="7" t="s">
        <v>760</v>
      </c>
      <c r="D1170" s="8" t="s">
        <v>3937</v>
      </c>
      <c r="E1170" s="8" t="s">
        <v>484</v>
      </c>
      <c r="F1170" s="7" t="s">
        <v>3938</v>
      </c>
      <c r="G1170" s="9" t="s">
        <v>84</v>
      </c>
      <c r="H1170" s="7" t="s">
        <v>3939</v>
      </c>
      <c r="I1170" s="7" t="s">
        <v>3940</v>
      </c>
      <c r="J1170" s="10">
        <v>45916.0</v>
      </c>
      <c r="K1170" s="8" t="s">
        <v>766</v>
      </c>
      <c r="L1170" s="7">
        <v>8.0</v>
      </c>
      <c r="M1170" s="7" t="s">
        <v>774</v>
      </c>
      <c r="N1170" s="13" t="s">
        <v>3941</v>
      </c>
      <c r="O1170" s="15" t="s">
        <v>3942</v>
      </c>
    </row>
    <row r="1171">
      <c r="A1171" s="5">
        <v>1340.0</v>
      </c>
      <c r="B1171" s="6">
        <v>45998.88571299768</v>
      </c>
      <c r="C1171" s="7" t="s">
        <v>760</v>
      </c>
      <c r="D1171" s="8" t="s">
        <v>1672</v>
      </c>
      <c r="E1171" s="8" t="s">
        <v>881</v>
      </c>
      <c r="F1171" s="7" t="s">
        <v>1673</v>
      </c>
      <c r="G1171" s="9" t="s">
        <v>84</v>
      </c>
      <c r="H1171" s="7" t="s">
        <v>85</v>
      </c>
      <c r="I1171" s="7" t="s">
        <v>3943</v>
      </c>
      <c r="J1171" s="10">
        <v>45779.0</v>
      </c>
      <c r="K1171" s="8" t="s">
        <v>3944</v>
      </c>
      <c r="L1171" s="7">
        <v>8.0</v>
      </c>
      <c r="M1171" s="7" t="s">
        <v>3945</v>
      </c>
      <c r="N1171" s="13" t="s">
        <v>3946</v>
      </c>
      <c r="O1171" s="15" t="s">
        <v>3947</v>
      </c>
    </row>
    <row r="1172">
      <c r="A1172" s="5">
        <v>1341.0</v>
      </c>
      <c r="B1172" s="6">
        <v>45998.8860859375</v>
      </c>
      <c r="C1172" s="7" t="s">
        <v>760</v>
      </c>
      <c r="D1172" s="8" t="s">
        <v>2060</v>
      </c>
      <c r="E1172" s="8" t="s">
        <v>2061</v>
      </c>
      <c r="F1172" s="7" t="s">
        <v>2062</v>
      </c>
      <c r="G1172" s="9" t="s">
        <v>181</v>
      </c>
      <c r="H1172" s="7" t="s">
        <v>3948</v>
      </c>
      <c r="I1172" s="7" t="s">
        <v>279</v>
      </c>
      <c r="J1172" s="10">
        <v>45875.0</v>
      </c>
      <c r="K1172" s="8" t="s">
        <v>3949</v>
      </c>
      <c r="L1172" s="7">
        <v>8.0</v>
      </c>
      <c r="M1172" s="7" t="s">
        <v>1325</v>
      </c>
      <c r="N1172" s="13" t="s">
        <v>3950</v>
      </c>
      <c r="O1172" s="15" t="s">
        <v>3951</v>
      </c>
    </row>
    <row r="1173">
      <c r="A1173" s="5">
        <v>1342.0</v>
      </c>
      <c r="B1173" s="6">
        <v>45998.88614003472</v>
      </c>
      <c r="C1173" s="7" t="s">
        <v>760</v>
      </c>
      <c r="D1173" s="8" t="s">
        <v>1350</v>
      </c>
      <c r="E1173" s="8" t="s">
        <v>199</v>
      </c>
      <c r="F1173" s="7" t="s">
        <v>1351</v>
      </c>
      <c r="G1173" s="9" t="s">
        <v>209</v>
      </c>
      <c r="H1173" s="7" t="s">
        <v>2900</v>
      </c>
      <c r="I1173" s="7" t="s">
        <v>825</v>
      </c>
      <c r="J1173" s="10">
        <v>45997.0</v>
      </c>
      <c r="K1173" s="8" t="s">
        <v>3952</v>
      </c>
      <c r="L1173" s="7">
        <v>4.0</v>
      </c>
      <c r="M1173" s="7" t="s">
        <v>3953</v>
      </c>
      <c r="N1173" s="13" t="s">
        <v>3954</v>
      </c>
      <c r="O1173" s="15" t="s">
        <v>3955</v>
      </c>
    </row>
    <row r="1174">
      <c r="A1174" s="5">
        <v>1343.0</v>
      </c>
      <c r="B1174" s="6">
        <v>45998.88837564815</v>
      </c>
      <c r="C1174" s="7" t="s">
        <v>760</v>
      </c>
      <c r="D1174" s="8" t="s">
        <v>2670</v>
      </c>
      <c r="E1174" s="8" t="s">
        <v>1725</v>
      </c>
      <c r="F1174" s="7" t="s">
        <v>3956</v>
      </c>
      <c r="G1174" s="9" t="s">
        <v>181</v>
      </c>
      <c r="H1174" s="7" t="s">
        <v>1222</v>
      </c>
      <c r="I1174" s="7" t="s">
        <v>231</v>
      </c>
      <c r="J1174" s="10">
        <v>45964.0</v>
      </c>
      <c r="K1174" s="8" t="s">
        <v>3173</v>
      </c>
      <c r="L1174" s="7">
        <v>1.0</v>
      </c>
      <c r="M1174" s="7" t="s">
        <v>33</v>
      </c>
      <c r="N1174" s="13" t="s">
        <v>3957</v>
      </c>
      <c r="O1174" s="15" t="s">
        <v>3958</v>
      </c>
    </row>
    <row r="1175">
      <c r="A1175" s="5">
        <v>1344.0</v>
      </c>
      <c r="B1175" s="6">
        <v>45998.88844784722</v>
      </c>
      <c r="C1175" s="7" t="s">
        <v>760</v>
      </c>
      <c r="D1175" s="8" t="s">
        <v>2757</v>
      </c>
      <c r="E1175" s="8" t="s">
        <v>1049</v>
      </c>
      <c r="F1175" s="7" t="s">
        <v>2758</v>
      </c>
      <c r="G1175" s="9" t="s">
        <v>181</v>
      </c>
      <c r="H1175" s="7" t="s">
        <v>895</v>
      </c>
      <c r="I1175" s="7" t="s">
        <v>279</v>
      </c>
      <c r="J1175" s="10">
        <v>45981.0</v>
      </c>
      <c r="K1175" s="8" t="s">
        <v>3959</v>
      </c>
      <c r="L1175" s="7">
        <v>1.0</v>
      </c>
      <c r="M1175" s="7" t="s">
        <v>33</v>
      </c>
      <c r="N1175" s="13" t="s">
        <v>3960</v>
      </c>
      <c r="O1175" s="15" t="s">
        <v>3961</v>
      </c>
    </row>
    <row r="1176">
      <c r="A1176" s="5">
        <v>1346.0</v>
      </c>
      <c r="B1176" s="6">
        <v>45998.88905331018</v>
      </c>
      <c r="C1176" s="7" t="s">
        <v>760</v>
      </c>
      <c r="D1176" s="8" t="s">
        <v>1214</v>
      </c>
      <c r="E1176" s="8" t="s">
        <v>179</v>
      </c>
      <c r="F1176" s="7" t="s">
        <v>1215</v>
      </c>
      <c r="G1176" s="9" t="s">
        <v>144</v>
      </c>
      <c r="H1176" s="7" t="s">
        <v>730</v>
      </c>
      <c r="I1176" s="7" t="s">
        <v>2629</v>
      </c>
      <c r="J1176" s="10">
        <v>45990.0</v>
      </c>
      <c r="K1176" s="8" t="s">
        <v>1365</v>
      </c>
      <c r="L1176" s="7">
        <v>4.0</v>
      </c>
      <c r="M1176" s="7" t="s">
        <v>2631</v>
      </c>
      <c r="N1176" s="13" t="s">
        <v>3962</v>
      </c>
      <c r="O1176" s="15" t="s">
        <v>3963</v>
      </c>
    </row>
    <row r="1177">
      <c r="A1177" s="5">
        <v>1347.0</v>
      </c>
      <c r="B1177" s="6">
        <v>45998.88993096065</v>
      </c>
      <c r="C1177" s="7" t="s">
        <v>760</v>
      </c>
      <c r="D1177" s="8" t="s">
        <v>2060</v>
      </c>
      <c r="E1177" s="8" t="s">
        <v>2061</v>
      </c>
      <c r="F1177" s="7" t="s">
        <v>2062</v>
      </c>
      <c r="G1177" s="9" t="s">
        <v>181</v>
      </c>
      <c r="H1177" s="7" t="s">
        <v>3964</v>
      </c>
      <c r="I1177" s="7" t="s">
        <v>279</v>
      </c>
      <c r="J1177" s="10">
        <v>45928.0</v>
      </c>
      <c r="K1177" s="8" t="s">
        <v>3965</v>
      </c>
      <c r="L1177" s="7">
        <v>5.0</v>
      </c>
      <c r="M1177" s="7" t="s">
        <v>33</v>
      </c>
      <c r="N1177" s="13" t="s">
        <v>3966</v>
      </c>
      <c r="O1177" s="15" t="s">
        <v>3967</v>
      </c>
    </row>
    <row r="1178">
      <c r="A1178" s="5">
        <v>1349.0</v>
      </c>
      <c r="B1178" s="6">
        <v>45998.89038858796</v>
      </c>
      <c r="C1178" s="7" t="s">
        <v>760</v>
      </c>
      <c r="D1178" s="8" t="s">
        <v>3968</v>
      </c>
      <c r="E1178" s="8" t="s">
        <v>1253</v>
      </c>
      <c r="F1178" s="7" t="s">
        <v>3969</v>
      </c>
      <c r="G1178" s="9" t="s">
        <v>19</v>
      </c>
      <c r="H1178" s="7" t="s">
        <v>3493</v>
      </c>
      <c r="I1178" s="7" t="s">
        <v>3162</v>
      </c>
      <c r="J1178" s="10">
        <v>45989.0</v>
      </c>
      <c r="K1178" s="8" t="s">
        <v>3970</v>
      </c>
      <c r="L1178" s="7">
        <v>5.0</v>
      </c>
      <c r="M1178" s="7" t="s">
        <v>1325</v>
      </c>
      <c r="N1178" s="13" t="s">
        <v>3971</v>
      </c>
      <c r="O1178" s="15" t="s">
        <v>3972</v>
      </c>
    </row>
    <row r="1179">
      <c r="A1179" s="5">
        <v>1351.0</v>
      </c>
      <c r="B1179" s="6">
        <v>45998.89069908565</v>
      </c>
      <c r="C1179" s="7" t="s">
        <v>760</v>
      </c>
      <c r="D1179" s="8" t="s">
        <v>2757</v>
      </c>
      <c r="E1179" s="8" t="s">
        <v>1049</v>
      </c>
      <c r="F1179" s="7" t="s">
        <v>2758</v>
      </c>
      <c r="G1179" s="9" t="s">
        <v>181</v>
      </c>
      <c r="H1179" s="7" t="s">
        <v>895</v>
      </c>
      <c r="I1179" s="7" t="s">
        <v>279</v>
      </c>
      <c r="J1179" s="10">
        <v>45982.0</v>
      </c>
      <c r="K1179" s="8" t="s">
        <v>3973</v>
      </c>
      <c r="L1179" s="7">
        <v>1.0</v>
      </c>
      <c r="M1179" s="7" t="s">
        <v>33</v>
      </c>
      <c r="N1179" s="13" t="s">
        <v>3974</v>
      </c>
      <c r="O1179" s="15" t="s">
        <v>3975</v>
      </c>
    </row>
    <row r="1180">
      <c r="A1180" s="5">
        <v>1352.0</v>
      </c>
      <c r="B1180" s="6">
        <v>45998.890987129635</v>
      </c>
      <c r="C1180" s="7" t="s">
        <v>760</v>
      </c>
      <c r="D1180" s="8" t="s">
        <v>1350</v>
      </c>
      <c r="E1180" s="8" t="s">
        <v>199</v>
      </c>
      <c r="F1180" s="7" t="s">
        <v>1351</v>
      </c>
      <c r="G1180" s="9" t="s">
        <v>209</v>
      </c>
      <c r="H1180" s="7" t="s">
        <v>2900</v>
      </c>
      <c r="I1180" s="7" t="s">
        <v>825</v>
      </c>
      <c r="J1180" s="10">
        <v>45997.0</v>
      </c>
      <c r="K1180" s="8" t="s">
        <v>3976</v>
      </c>
      <c r="L1180" s="7">
        <v>4.0</v>
      </c>
      <c r="M1180" s="7" t="s">
        <v>3953</v>
      </c>
      <c r="N1180" s="13" t="s">
        <v>3977</v>
      </c>
      <c r="O1180" s="15" t="s">
        <v>3978</v>
      </c>
    </row>
    <row r="1181">
      <c r="A1181" s="5">
        <v>1358.0</v>
      </c>
      <c r="B1181" s="6">
        <v>45998.893135578706</v>
      </c>
      <c r="C1181" s="7" t="s">
        <v>760</v>
      </c>
      <c r="D1181" s="8" t="s">
        <v>3979</v>
      </c>
      <c r="E1181" s="8" t="s">
        <v>236</v>
      </c>
      <c r="F1181" s="7" t="s">
        <v>3980</v>
      </c>
      <c r="G1181" s="9" t="s">
        <v>181</v>
      </c>
      <c r="H1181" s="7" t="s">
        <v>895</v>
      </c>
      <c r="I1181" s="7" t="s">
        <v>231</v>
      </c>
      <c r="J1181" s="10">
        <v>45950.0</v>
      </c>
      <c r="K1181" s="8" t="s">
        <v>3173</v>
      </c>
      <c r="L1181" s="7">
        <v>1.0</v>
      </c>
      <c r="M1181" s="7" t="s">
        <v>33</v>
      </c>
      <c r="N1181" s="13" t="s">
        <v>3981</v>
      </c>
      <c r="O1181" s="15" t="s">
        <v>3982</v>
      </c>
    </row>
    <row r="1182">
      <c r="A1182" s="5">
        <v>1362.0</v>
      </c>
      <c r="B1182" s="6">
        <v>45998.893719375</v>
      </c>
      <c r="C1182" s="7" t="s">
        <v>760</v>
      </c>
      <c r="D1182" s="8" t="s">
        <v>2060</v>
      </c>
      <c r="E1182" s="8" t="s">
        <v>2061</v>
      </c>
      <c r="F1182" s="7" t="s">
        <v>2062</v>
      </c>
      <c r="G1182" s="9" t="s">
        <v>144</v>
      </c>
      <c r="H1182" s="7" t="s">
        <v>3983</v>
      </c>
      <c r="I1182" s="7" t="s">
        <v>3984</v>
      </c>
      <c r="J1182" s="10">
        <v>45921.0</v>
      </c>
      <c r="K1182" s="8" t="s">
        <v>3985</v>
      </c>
      <c r="L1182" s="7">
        <v>3.0</v>
      </c>
      <c r="M1182" s="7" t="s">
        <v>3986</v>
      </c>
      <c r="N1182" s="13" t="s">
        <v>3987</v>
      </c>
      <c r="O1182" s="15" t="s">
        <v>3988</v>
      </c>
    </row>
    <row r="1183">
      <c r="A1183" s="5">
        <v>1363.0</v>
      </c>
      <c r="B1183" s="6">
        <v>45998.89377517361</v>
      </c>
      <c r="C1183" s="7" t="s">
        <v>760</v>
      </c>
      <c r="D1183" s="8" t="s">
        <v>1672</v>
      </c>
      <c r="E1183" s="8" t="s">
        <v>881</v>
      </c>
      <c r="F1183" s="7" t="s">
        <v>1673</v>
      </c>
      <c r="G1183" s="9" t="s">
        <v>144</v>
      </c>
      <c r="H1183" s="7" t="s">
        <v>150</v>
      </c>
      <c r="I1183" s="7" t="s">
        <v>3989</v>
      </c>
      <c r="J1183" s="10">
        <v>45920.0</v>
      </c>
      <c r="K1183" s="8" t="s">
        <v>657</v>
      </c>
      <c r="L1183" s="7">
        <v>4.0</v>
      </c>
      <c r="M1183" s="7" t="s">
        <v>3990</v>
      </c>
      <c r="N1183" s="13" t="s">
        <v>3991</v>
      </c>
      <c r="O1183" s="15" t="s">
        <v>3992</v>
      </c>
    </row>
    <row r="1184">
      <c r="A1184" s="5">
        <v>1365.0</v>
      </c>
      <c r="B1184" s="6">
        <v>45998.89464814815</v>
      </c>
      <c r="C1184" s="7" t="s">
        <v>760</v>
      </c>
      <c r="D1184" s="8" t="s">
        <v>2757</v>
      </c>
      <c r="E1184" s="8" t="s">
        <v>1049</v>
      </c>
      <c r="F1184" s="7" t="s">
        <v>2758</v>
      </c>
      <c r="G1184" s="9" t="s">
        <v>181</v>
      </c>
      <c r="H1184" s="7" t="s">
        <v>895</v>
      </c>
      <c r="I1184" s="7" t="s">
        <v>279</v>
      </c>
      <c r="J1184" s="10">
        <v>45985.0</v>
      </c>
      <c r="K1184" s="8" t="s">
        <v>3993</v>
      </c>
      <c r="L1184" s="7">
        <v>1.0</v>
      </c>
      <c r="M1184" s="7" t="s">
        <v>33</v>
      </c>
      <c r="N1184" s="13" t="s">
        <v>3994</v>
      </c>
      <c r="O1184" s="15" t="s">
        <v>3995</v>
      </c>
    </row>
    <row r="1185">
      <c r="A1185" s="5">
        <v>1366.0</v>
      </c>
      <c r="B1185" s="6">
        <v>45998.895548229164</v>
      </c>
      <c r="C1185" s="7" t="s">
        <v>760</v>
      </c>
      <c r="D1185" s="8" t="s">
        <v>1424</v>
      </c>
      <c r="E1185" s="8" t="s">
        <v>110</v>
      </c>
      <c r="F1185" s="7" t="s">
        <v>1425</v>
      </c>
      <c r="G1185" s="9" t="s">
        <v>181</v>
      </c>
      <c r="H1185" s="7" t="s">
        <v>3948</v>
      </c>
      <c r="I1185" s="7" t="s">
        <v>1211</v>
      </c>
      <c r="J1185" s="10">
        <v>45875.0</v>
      </c>
      <c r="K1185" s="8" t="s">
        <v>1352</v>
      </c>
      <c r="L1185" s="7">
        <v>8.0</v>
      </c>
      <c r="M1185" s="7" t="s">
        <v>1325</v>
      </c>
      <c r="N1185" s="13" t="s">
        <v>3996</v>
      </c>
      <c r="O1185" s="15" t="s">
        <v>3997</v>
      </c>
    </row>
    <row r="1186">
      <c r="A1186" s="5">
        <v>1370.0</v>
      </c>
      <c r="B1186" s="6">
        <v>45998.896548495366</v>
      </c>
      <c r="C1186" s="7" t="s">
        <v>760</v>
      </c>
      <c r="D1186" s="8" t="s">
        <v>3979</v>
      </c>
      <c r="E1186" s="8" t="s">
        <v>236</v>
      </c>
      <c r="F1186" s="7" t="s">
        <v>3980</v>
      </c>
      <c r="G1186" s="9" t="s">
        <v>181</v>
      </c>
      <c r="H1186" s="7" t="s">
        <v>895</v>
      </c>
      <c r="I1186" s="7" t="s">
        <v>1211</v>
      </c>
      <c r="J1186" s="10">
        <v>45946.0</v>
      </c>
      <c r="K1186" s="8" t="s">
        <v>3973</v>
      </c>
      <c r="L1186" s="7">
        <v>1.0</v>
      </c>
      <c r="M1186" s="7" t="s">
        <v>33</v>
      </c>
      <c r="N1186" s="13" t="s">
        <v>3998</v>
      </c>
      <c r="O1186" s="15" t="s">
        <v>3999</v>
      </c>
    </row>
    <row r="1187">
      <c r="A1187" s="5">
        <v>1372.0</v>
      </c>
      <c r="B1187" s="6">
        <v>45998.897009293985</v>
      </c>
      <c r="C1187" s="7" t="s">
        <v>760</v>
      </c>
      <c r="D1187" s="8" t="s">
        <v>2757</v>
      </c>
      <c r="E1187" s="8" t="s">
        <v>1049</v>
      </c>
      <c r="F1187" s="7" t="s">
        <v>2758</v>
      </c>
      <c r="G1187" s="9" t="s">
        <v>181</v>
      </c>
      <c r="H1187" s="7" t="s">
        <v>895</v>
      </c>
      <c r="I1187" s="7" t="s">
        <v>279</v>
      </c>
      <c r="J1187" s="10">
        <v>45950.0</v>
      </c>
      <c r="K1187" s="8" t="s">
        <v>4000</v>
      </c>
      <c r="L1187" s="7">
        <v>1.0</v>
      </c>
      <c r="M1187" s="7" t="s">
        <v>33</v>
      </c>
      <c r="N1187" s="13" t="s">
        <v>4001</v>
      </c>
      <c r="O1187" s="15" t="s">
        <v>4002</v>
      </c>
    </row>
    <row r="1188">
      <c r="A1188" s="5">
        <v>1374.0</v>
      </c>
      <c r="B1188" s="6">
        <v>45998.898380706014</v>
      </c>
      <c r="C1188" s="7" t="s">
        <v>15</v>
      </c>
      <c r="D1188" s="8" t="s">
        <v>4003</v>
      </c>
      <c r="E1188" s="8" t="s">
        <v>223</v>
      </c>
      <c r="F1188" s="7" t="s">
        <v>4004</v>
      </c>
      <c r="G1188" s="9" t="s">
        <v>19</v>
      </c>
      <c r="H1188" s="7" t="s">
        <v>406</v>
      </c>
      <c r="I1188" s="7" t="s">
        <v>94</v>
      </c>
      <c r="J1188" s="10">
        <v>45823.0</v>
      </c>
      <c r="K1188" s="8" t="s">
        <v>22</v>
      </c>
      <c r="L1188" s="7">
        <v>4.0</v>
      </c>
      <c r="M1188" s="7" t="s">
        <v>106</v>
      </c>
      <c r="N1188" s="13" t="s">
        <v>4005</v>
      </c>
      <c r="O1188" s="15" t="s">
        <v>4006</v>
      </c>
    </row>
    <row r="1189">
      <c r="A1189" s="5">
        <v>1375.0</v>
      </c>
      <c r="B1189" s="6">
        <v>45998.89923171296</v>
      </c>
      <c r="C1189" s="7" t="s">
        <v>760</v>
      </c>
      <c r="D1189" s="8" t="s">
        <v>2757</v>
      </c>
      <c r="E1189" s="8" t="s">
        <v>1049</v>
      </c>
      <c r="F1189" s="7" t="s">
        <v>2758</v>
      </c>
      <c r="G1189" s="9" t="s">
        <v>181</v>
      </c>
      <c r="H1189" s="7" t="s">
        <v>895</v>
      </c>
      <c r="I1189" s="7" t="s">
        <v>279</v>
      </c>
      <c r="J1189" s="10">
        <v>45951.0</v>
      </c>
      <c r="K1189" s="8" t="s">
        <v>3959</v>
      </c>
      <c r="L1189" s="7">
        <v>1.0</v>
      </c>
      <c r="M1189" s="7" t="s">
        <v>33</v>
      </c>
      <c r="N1189" s="13" t="s">
        <v>4007</v>
      </c>
      <c r="O1189" s="15" t="s">
        <v>4008</v>
      </c>
    </row>
    <row r="1190">
      <c r="A1190" s="5">
        <v>1377.0</v>
      </c>
      <c r="B1190" s="6">
        <v>45998.900922500005</v>
      </c>
      <c r="C1190" s="7" t="s">
        <v>760</v>
      </c>
      <c r="D1190" s="8" t="s">
        <v>3979</v>
      </c>
      <c r="E1190" s="8" t="s">
        <v>236</v>
      </c>
      <c r="F1190" s="7" t="s">
        <v>3980</v>
      </c>
      <c r="G1190" s="9" t="s">
        <v>181</v>
      </c>
      <c r="H1190" s="7" t="s">
        <v>3948</v>
      </c>
      <c r="I1190" s="7" t="s">
        <v>1211</v>
      </c>
      <c r="J1190" s="10">
        <v>45875.0</v>
      </c>
      <c r="K1190" s="8" t="s">
        <v>22</v>
      </c>
      <c r="L1190" s="7">
        <v>8.0</v>
      </c>
      <c r="M1190" s="7" t="s">
        <v>3841</v>
      </c>
      <c r="N1190" s="13" t="s">
        <v>4009</v>
      </c>
      <c r="O1190" s="15" t="s">
        <v>4010</v>
      </c>
    </row>
    <row r="1191">
      <c r="A1191" s="5">
        <v>1378.0</v>
      </c>
      <c r="B1191" s="6">
        <v>45998.90105030093</v>
      </c>
      <c r="C1191" s="7" t="s">
        <v>760</v>
      </c>
      <c r="D1191" s="8" t="s">
        <v>1214</v>
      </c>
      <c r="E1191" s="8" t="s">
        <v>179</v>
      </c>
      <c r="F1191" s="7" t="s">
        <v>1215</v>
      </c>
      <c r="G1191" s="9" t="s">
        <v>181</v>
      </c>
      <c r="H1191" s="7" t="s">
        <v>895</v>
      </c>
      <c r="I1191" s="7" t="s">
        <v>231</v>
      </c>
      <c r="J1191" s="10">
        <v>45975.0</v>
      </c>
      <c r="K1191" s="8" t="s">
        <v>310</v>
      </c>
      <c r="L1191" s="7">
        <v>1.0</v>
      </c>
      <c r="M1191" s="7" t="s">
        <v>4011</v>
      </c>
      <c r="N1191" s="13" t="s">
        <v>4012</v>
      </c>
      <c r="O1191" s="15" t="s">
        <v>4013</v>
      </c>
    </row>
    <row r="1192">
      <c r="A1192" s="5">
        <v>1382.0</v>
      </c>
      <c r="B1192" s="6">
        <v>45998.9021674074</v>
      </c>
      <c r="C1192" s="7" t="s">
        <v>15</v>
      </c>
      <c r="D1192" s="8" t="s">
        <v>4003</v>
      </c>
      <c r="E1192" s="8" t="s">
        <v>223</v>
      </c>
      <c r="F1192" s="7" t="s">
        <v>4004</v>
      </c>
      <c r="G1192" s="9" t="s">
        <v>181</v>
      </c>
      <c r="H1192" s="7" t="s">
        <v>4014</v>
      </c>
      <c r="I1192" s="7" t="s">
        <v>231</v>
      </c>
      <c r="J1192" s="10">
        <v>45922.0</v>
      </c>
      <c r="K1192" s="8" t="s">
        <v>1241</v>
      </c>
      <c r="L1192" s="7">
        <v>1.0</v>
      </c>
      <c r="M1192" s="7" t="s">
        <v>3798</v>
      </c>
      <c r="N1192" s="13" t="s">
        <v>4015</v>
      </c>
      <c r="O1192" s="15" t="s">
        <v>4016</v>
      </c>
    </row>
    <row r="1193">
      <c r="A1193" s="5">
        <v>1386.0</v>
      </c>
      <c r="B1193" s="6">
        <v>45998.9035491088</v>
      </c>
      <c r="C1193" s="7" t="s">
        <v>760</v>
      </c>
      <c r="D1193" s="8" t="s">
        <v>1214</v>
      </c>
      <c r="E1193" s="8" t="s">
        <v>179</v>
      </c>
      <c r="F1193" s="7" t="s">
        <v>1215</v>
      </c>
      <c r="G1193" s="9" t="s">
        <v>181</v>
      </c>
      <c r="H1193" s="7" t="s">
        <v>895</v>
      </c>
      <c r="I1193" s="7" t="s">
        <v>1211</v>
      </c>
      <c r="J1193" s="10">
        <v>45981.0</v>
      </c>
      <c r="K1193" s="8" t="s">
        <v>310</v>
      </c>
      <c r="L1193" s="7">
        <v>1.0</v>
      </c>
      <c r="M1193" s="7" t="s">
        <v>33</v>
      </c>
      <c r="N1193" s="13" t="s">
        <v>4017</v>
      </c>
      <c r="O1193" s="15" t="s">
        <v>4018</v>
      </c>
    </row>
    <row r="1194">
      <c r="A1194" s="5">
        <v>1387.0</v>
      </c>
      <c r="B1194" s="6">
        <v>45998.90377748843</v>
      </c>
      <c r="C1194" s="7" t="s">
        <v>125</v>
      </c>
      <c r="D1194" s="8" t="s">
        <v>3448</v>
      </c>
      <c r="E1194" s="8" t="s">
        <v>1725</v>
      </c>
      <c r="F1194" s="7" t="s">
        <v>3449</v>
      </c>
      <c r="G1194" s="9" t="s">
        <v>159</v>
      </c>
      <c r="H1194" s="7" t="s">
        <v>3878</v>
      </c>
      <c r="I1194" s="7" t="s">
        <v>3452</v>
      </c>
      <c r="J1194" s="10">
        <v>45991.0</v>
      </c>
      <c r="K1194" s="8" t="s">
        <v>22</v>
      </c>
      <c r="L1194" s="7">
        <v>4.0</v>
      </c>
      <c r="M1194" s="7" t="s">
        <v>590</v>
      </c>
      <c r="N1194" s="13" t="s">
        <v>4019</v>
      </c>
      <c r="O1194" s="23"/>
    </row>
    <row r="1195">
      <c r="A1195" s="5">
        <v>1389.0</v>
      </c>
      <c r="B1195" s="6">
        <v>45998.90444172454</v>
      </c>
      <c r="C1195" s="7" t="s">
        <v>760</v>
      </c>
      <c r="D1195" s="8" t="s">
        <v>2757</v>
      </c>
      <c r="E1195" s="8" t="s">
        <v>1049</v>
      </c>
      <c r="F1195" s="7" t="s">
        <v>2758</v>
      </c>
      <c r="G1195" s="9" t="s">
        <v>181</v>
      </c>
      <c r="H1195" s="7" t="s">
        <v>895</v>
      </c>
      <c r="I1195" s="7" t="s">
        <v>279</v>
      </c>
      <c r="J1195" s="10">
        <v>45957.0</v>
      </c>
      <c r="K1195" s="8" t="s">
        <v>3993</v>
      </c>
      <c r="L1195" s="7">
        <v>1.0</v>
      </c>
      <c r="M1195" s="7" t="s">
        <v>33</v>
      </c>
      <c r="N1195" s="13" t="s">
        <v>4020</v>
      </c>
      <c r="O1195" s="15" t="s">
        <v>4021</v>
      </c>
    </row>
    <row r="1196">
      <c r="A1196" s="5">
        <v>1390.0</v>
      </c>
      <c r="B1196" s="6">
        <v>45998.90481784722</v>
      </c>
      <c r="C1196" s="7" t="s">
        <v>760</v>
      </c>
      <c r="D1196" s="8" t="s">
        <v>1351</v>
      </c>
      <c r="E1196" s="8" t="s">
        <v>199</v>
      </c>
      <c r="F1196" s="7" t="s">
        <v>1351</v>
      </c>
      <c r="G1196" s="9" t="s">
        <v>144</v>
      </c>
      <c r="H1196" s="7" t="s">
        <v>730</v>
      </c>
      <c r="I1196" s="7" t="s">
        <v>4022</v>
      </c>
      <c r="J1196" s="10">
        <v>45996.0</v>
      </c>
      <c r="K1196" s="8" t="s">
        <v>3952</v>
      </c>
      <c r="L1196" s="7">
        <v>4.0</v>
      </c>
      <c r="M1196" s="7" t="s">
        <v>3953</v>
      </c>
      <c r="N1196" s="7"/>
      <c r="O1196" s="23"/>
    </row>
    <row r="1197">
      <c r="A1197" s="5">
        <v>1394.0</v>
      </c>
      <c r="B1197" s="6">
        <v>45998.90586857639</v>
      </c>
      <c r="C1197" s="7" t="s">
        <v>760</v>
      </c>
      <c r="D1197" s="8" t="s">
        <v>2757</v>
      </c>
      <c r="E1197" s="8" t="s">
        <v>1049</v>
      </c>
      <c r="F1197" s="7" t="s">
        <v>2758</v>
      </c>
      <c r="G1197" s="9" t="s">
        <v>181</v>
      </c>
      <c r="H1197" s="7" t="s">
        <v>895</v>
      </c>
      <c r="I1197" s="7" t="s">
        <v>279</v>
      </c>
      <c r="J1197" s="10">
        <v>45958.0</v>
      </c>
      <c r="K1197" s="8" t="s">
        <v>3973</v>
      </c>
      <c r="L1197" s="7">
        <v>1.0</v>
      </c>
      <c r="M1197" s="7" t="s">
        <v>33</v>
      </c>
      <c r="N1197" s="13" t="s">
        <v>4023</v>
      </c>
      <c r="O1197" s="15" t="s">
        <v>4024</v>
      </c>
    </row>
    <row r="1198">
      <c r="A1198" s="5">
        <v>1395.0</v>
      </c>
      <c r="B1198" s="6">
        <v>45998.90666871528</v>
      </c>
      <c r="C1198" s="7" t="s">
        <v>760</v>
      </c>
      <c r="D1198" s="8" t="s">
        <v>2757</v>
      </c>
      <c r="E1198" s="8" t="s">
        <v>1049</v>
      </c>
      <c r="F1198" s="7" t="s">
        <v>2758</v>
      </c>
      <c r="G1198" s="9" t="s">
        <v>181</v>
      </c>
      <c r="H1198" s="7" t="s">
        <v>895</v>
      </c>
      <c r="I1198" s="7" t="s">
        <v>279</v>
      </c>
      <c r="J1198" s="10">
        <v>45946.0</v>
      </c>
      <c r="K1198" s="8" t="s">
        <v>4025</v>
      </c>
      <c r="L1198" s="7">
        <v>1.0</v>
      </c>
      <c r="M1198" s="7" t="s">
        <v>33</v>
      </c>
      <c r="N1198" s="13" t="s">
        <v>4026</v>
      </c>
      <c r="O1198" s="15" t="s">
        <v>4027</v>
      </c>
    </row>
    <row r="1199">
      <c r="A1199" s="5">
        <v>1396.0</v>
      </c>
      <c r="B1199" s="6">
        <v>45998.906735219905</v>
      </c>
      <c r="C1199" s="7" t="s">
        <v>760</v>
      </c>
      <c r="D1199" s="8" t="s">
        <v>3603</v>
      </c>
      <c r="E1199" s="8" t="s">
        <v>2919</v>
      </c>
      <c r="F1199" s="7" t="s">
        <v>3604</v>
      </c>
      <c r="G1199" s="9" t="s">
        <v>159</v>
      </c>
      <c r="H1199" s="7" t="s">
        <v>4028</v>
      </c>
      <c r="I1199" s="7" t="s">
        <v>4029</v>
      </c>
      <c r="J1199" s="10">
        <v>45990.0</v>
      </c>
      <c r="K1199" s="8" t="s">
        <v>602</v>
      </c>
      <c r="L1199" s="7">
        <v>4.0</v>
      </c>
      <c r="M1199" s="7" t="s">
        <v>4030</v>
      </c>
      <c r="N1199" s="13" t="s">
        <v>4031</v>
      </c>
      <c r="O1199" s="15" t="s">
        <v>4032</v>
      </c>
    </row>
    <row r="1200">
      <c r="A1200" s="5">
        <v>1399.0</v>
      </c>
      <c r="B1200" s="6">
        <v>45998.90767540509</v>
      </c>
      <c r="C1200" s="7" t="s">
        <v>760</v>
      </c>
      <c r="D1200" s="8" t="s">
        <v>1214</v>
      </c>
      <c r="E1200" s="8" t="s">
        <v>179</v>
      </c>
      <c r="F1200" s="7" t="s">
        <v>1215</v>
      </c>
      <c r="G1200" s="9" t="s">
        <v>181</v>
      </c>
      <c r="H1200" s="7" t="s">
        <v>895</v>
      </c>
      <c r="I1200" s="7" t="s">
        <v>231</v>
      </c>
      <c r="J1200" s="10">
        <v>45959.0</v>
      </c>
      <c r="K1200" s="8" t="s">
        <v>310</v>
      </c>
      <c r="L1200" s="7">
        <v>1.0</v>
      </c>
      <c r="M1200" s="7" t="s">
        <v>33</v>
      </c>
      <c r="N1200" s="13" t="s">
        <v>4033</v>
      </c>
      <c r="O1200" s="15" t="s">
        <v>4034</v>
      </c>
    </row>
    <row r="1201">
      <c r="A1201" s="5">
        <v>1400.0</v>
      </c>
      <c r="B1201" s="6">
        <v>45998.90812715278</v>
      </c>
      <c r="C1201" s="7" t="s">
        <v>760</v>
      </c>
      <c r="D1201" s="8" t="s">
        <v>2757</v>
      </c>
      <c r="E1201" s="8" t="s">
        <v>1049</v>
      </c>
      <c r="F1201" s="7" t="s">
        <v>2758</v>
      </c>
      <c r="G1201" s="9" t="s">
        <v>181</v>
      </c>
      <c r="H1201" s="7" t="s">
        <v>895</v>
      </c>
      <c r="I1201" s="7" t="s">
        <v>279</v>
      </c>
      <c r="J1201" s="10">
        <v>45959.0</v>
      </c>
      <c r="K1201" s="8" t="s">
        <v>4035</v>
      </c>
      <c r="L1201" s="7">
        <v>1.0</v>
      </c>
      <c r="M1201" s="7" t="s">
        <v>33</v>
      </c>
      <c r="N1201" s="13" t="s">
        <v>4036</v>
      </c>
      <c r="O1201" s="15" t="s">
        <v>4037</v>
      </c>
    </row>
    <row r="1202">
      <c r="A1202" s="5">
        <v>1402.0</v>
      </c>
      <c r="B1202" s="6">
        <v>45998.9091546412</v>
      </c>
      <c r="C1202" s="7" t="s">
        <v>760</v>
      </c>
      <c r="D1202" s="8" t="s">
        <v>1214</v>
      </c>
      <c r="E1202" s="8" t="s">
        <v>179</v>
      </c>
      <c r="F1202" s="7" t="s">
        <v>1215</v>
      </c>
      <c r="G1202" s="9" t="s">
        <v>181</v>
      </c>
      <c r="H1202" s="7" t="s">
        <v>895</v>
      </c>
      <c r="I1202" s="7" t="s">
        <v>231</v>
      </c>
      <c r="J1202" s="10">
        <v>45981.0</v>
      </c>
      <c r="K1202" s="8" t="s">
        <v>310</v>
      </c>
      <c r="L1202" s="7">
        <v>1.0</v>
      </c>
      <c r="M1202" s="7" t="s">
        <v>33</v>
      </c>
      <c r="N1202" s="13" t="s">
        <v>4038</v>
      </c>
      <c r="O1202" s="15" t="s">
        <v>4039</v>
      </c>
    </row>
    <row r="1203">
      <c r="A1203" s="5">
        <v>1403.0</v>
      </c>
      <c r="B1203" s="6">
        <v>45998.909219444446</v>
      </c>
      <c r="C1203" s="7" t="s">
        <v>760</v>
      </c>
      <c r="D1203" s="8" t="s">
        <v>1214</v>
      </c>
      <c r="E1203" s="8" t="s">
        <v>179</v>
      </c>
      <c r="F1203" s="7" t="s">
        <v>1215</v>
      </c>
      <c r="G1203" s="9" t="s">
        <v>181</v>
      </c>
      <c r="H1203" s="7" t="s">
        <v>895</v>
      </c>
      <c r="I1203" s="7" t="s">
        <v>1211</v>
      </c>
      <c r="J1203" s="10">
        <v>45967.0</v>
      </c>
      <c r="K1203" s="8" t="s">
        <v>310</v>
      </c>
      <c r="L1203" s="7">
        <v>1.0</v>
      </c>
      <c r="M1203" s="7" t="s">
        <v>33</v>
      </c>
      <c r="N1203" s="13" t="s">
        <v>4040</v>
      </c>
      <c r="O1203" s="15" t="s">
        <v>4041</v>
      </c>
    </row>
    <row r="1204">
      <c r="A1204" s="5">
        <v>1404.0</v>
      </c>
      <c r="B1204" s="6">
        <v>45998.90972555555</v>
      </c>
      <c r="C1204" s="7" t="s">
        <v>760</v>
      </c>
      <c r="D1204" s="8" t="s">
        <v>2757</v>
      </c>
      <c r="E1204" s="8" t="s">
        <v>1049</v>
      </c>
      <c r="F1204" s="7" t="s">
        <v>2758</v>
      </c>
      <c r="G1204" s="9" t="s">
        <v>181</v>
      </c>
      <c r="H1204" s="7" t="s">
        <v>895</v>
      </c>
      <c r="I1204" s="7" t="s">
        <v>279</v>
      </c>
      <c r="J1204" s="10">
        <v>45960.0</v>
      </c>
      <c r="K1204" s="8" t="s">
        <v>4042</v>
      </c>
      <c r="L1204" s="7">
        <v>1.0</v>
      </c>
      <c r="M1204" s="7" t="s">
        <v>33</v>
      </c>
      <c r="N1204" s="13" t="s">
        <v>4043</v>
      </c>
      <c r="O1204" s="15" t="s">
        <v>4044</v>
      </c>
    </row>
    <row r="1205">
      <c r="A1205" s="5">
        <v>1407.0</v>
      </c>
      <c r="B1205" s="6">
        <v>45998.911227696764</v>
      </c>
      <c r="C1205" s="7" t="s">
        <v>125</v>
      </c>
      <c r="D1205" s="8" t="s">
        <v>4045</v>
      </c>
      <c r="E1205" s="8" t="s">
        <v>1097</v>
      </c>
      <c r="F1205" s="7" t="s">
        <v>4046</v>
      </c>
      <c r="G1205" s="9" t="s">
        <v>159</v>
      </c>
      <c r="H1205" s="7" t="s">
        <v>2614</v>
      </c>
      <c r="I1205" s="7" t="s">
        <v>4047</v>
      </c>
      <c r="J1205" s="10">
        <v>45940.0</v>
      </c>
      <c r="K1205" s="8" t="s">
        <v>1365</v>
      </c>
      <c r="L1205" s="7">
        <v>4.0</v>
      </c>
      <c r="M1205" s="7" t="s">
        <v>2616</v>
      </c>
      <c r="N1205" s="13" t="s">
        <v>4048</v>
      </c>
      <c r="O1205" s="23"/>
    </row>
    <row r="1206">
      <c r="A1206" s="5">
        <v>1410.0</v>
      </c>
      <c r="B1206" s="6">
        <v>45998.91190103009</v>
      </c>
      <c r="C1206" s="7" t="s">
        <v>760</v>
      </c>
      <c r="D1206" s="8" t="s">
        <v>2757</v>
      </c>
      <c r="E1206" s="8" t="s">
        <v>1049</v>
      </c>
      <c r="F1206" s="7" t="s">
        <v>2758</v>
      </c>
      <c r="G1206" s="9" t="s">
        <v>181</v>
      </c>
      <c r="H1206" s="7" t="s">
        <v>895</v>
      </c>
      <c r="I1206" s="7" t="s">
        <v>279</v>
      </c>
      <c r="J1206" s="10">
        <v>45964.0</v>
      </c>
      <c r="K1206" s="8" t="s">
        <v>4049</v>
      </c>
      <c r="L1206" s="7">
        <v>1.0</v>
      </c>
      <c r="M1206" s="7" t="s">
        <v>33</v>
      </c>
      <c r="N1206" s="13" t="s">
        <v>4050</v>
      </c>
      <c r="O1206" s="15" t="s">
        <v>4051</v>
      </c>
    </row>
    <row r="1207">
      <c r="A1207" s="5">
        <v>1411.0</v>
      </c>
      <c r="B1207" s="6">
        <v>45998.91269188657</v>
      </c>
      <c r="C1207" s="7" t="s">
        <v>760</v>
      </c>
      <c r="D1207" s="8" t="s">
        <v>1215</v>
      </c>
      <c r="E1207" s="8" t="s">
        <v>179</v>
      </c>
      <c r="F1207" s="7" t="s">
        <v>1215</v>
      </c>
      <c r="G1207" s="9" t="s">
        <v>181</v>
      </c>
      <c r="H1207" s="7" t="s">
        <v>895</v>
      </c>
      <c r="I1207" s="7" t="s">
        <v>1211</v>
      </c>
      <c r="J1207" s="10">
        <v>45989.0</v>
      </c>
      <c r="K1207" s="8" t="s">
        <v>310</v>
      </c>
      <c r="L1207" s="7">
        <v>1.0</v>
      </c>
      <c r="M1207" s="7" t="s">
        <v>33</v>
      </c>
      <c r="N1207" s="13" t="s">
        <v>4052</v>
      </c>
      <c r="O1207" s="15" t="s">
        <v>4053</v>
      </c>
    </row>
    <row r="1208">
      <c r="A1208" s="5">
        <v>1412.0</v>
      </c>
      <c r="B1208" s="6">
        <v>45998.91273913195</v>
      </c>
      <c r="C1208" s="7" t="s">
        <v>760</v>
      </c>
      <c r="D1208" s="8" t="s">
        <v>2757</v>
      </c>
      <c r="E1208" s="8" t="s">
        <v>1049</v>
      </c>
      <c r="F1208" s="7" t="s">
        <v>2758</v>
      </c>
      <c r="G1208" s="9" t="s">
        <v>181</v>
      </c>
      <c r="H1208" s="7" t="s">
        <v>895</v>
      </c>
      <c r="I1208" s="7" t="s">
        <v>279</v>
      </c>
      <c r="J1208" s="10">
        <v>45965.0</v>
      </c>
      <c r="K1208" s="8" t="s">
        <v>3973</v>
      </c>
      <c r="L1208" s="7">
        <v>1.0</v>
      </c>
      <c r="M1208" s="7" t="s">
        <v>33</v>
      </c>
      <c r="N1208" s="13" t="s">
        <v>4054</v>
      </c>
      <c r="O1208" s="15" t="s">
        <v>4055</v>
      </c>
    </row>
    <row r="1209">
      <c r="A1209" s="5">
        <v>1414.0</v>
      </c>
      <c r="B1209" s="6">
        <v>45998.91299675926</v>
      </c>
      <c r="C1209" s="7" t="s">
        <v>760</v>
      </c>
      <c r="D1209" s="8" t="s">
        <v>1214</v>
      </c>
      <c r="E1209" s="8" t="s">
        <v>179</v>
      </c>
      <c r="F1209" s="7" t="s">
        <v>1215</v>
      </c>
      <c r="G1209" s="9" t="s">
        <v>181</v>
      </c>
      <c r="H1209" s="7" t="s">
        <v>895</v>
      </c>
      <c r="I1209" s="7" t="s">
        <v>231</v>
      </c>
      <c r="J1209" s="10">
        <v>45989.0</v>
      </c>
      <c r="K1209" s="8" t="s">
        <v>310</v>
      </c>
      <c r="L1209" s="7">
        <v>1.0</v>
      </c>
      <c r="M1209" s="7" t="s">
        <v>33</v>
      </c>
      <c r="N1209" s="13" t="s">
        <v>4056</v>
      </c>
      <c r="O1209" s="15" t="s">
        <v>4057</v>
      </c>
    </row>
    <row r="1210">
      <c r="A1210" s="5">
        <v>1415.0</v>
      </c>
      <c r="B1210" s="6">
        <v>45998.913523738425</v>
      </c>
      <c r="C1210" s="7" t="s">
        <v>760</v>
      </c>
      <c r="D1210" s="8" t="s">
        <v>2757</v>
      </c>
      <c r="E1210" s="8" t="s">
        <v>1049</v>
      </c>
      <c r="F1210" s="7" t="s">
        <v>2758</v>
      </c>
      <c r="G1210" s="9" t="s">
        <v>181</v>
      </c>
      <c r="H1210" s="7" t="s">
        <v>895</v>
      </c>
      <c r="I1210" s="7" t="s">
        <v>279</v>
      </c>
      <c r="J1210" s="10">
        <v>45966.0</v>
      </c>
      <c r="K1210" s="8" t="s">
        <v>3993</v>
      </c>
      <c r="L1210" s="7">
        <v>1.0</v>
      </c>
      <c r="M1210" s="7" t="s">
        <v>33</v>
      </c>
      <c r="N1210" s="13" t="s">
        <v>4058</v>
      </c>
      <c r="O1210" s="15" t="s">
        <v>4059</v>
      </c>
    </row>
    <row r="1211">
      <c r="A1211" s="5">
        <v>1416.0</v>
      </c>
      <c r="B1211" s="6">
        <v>45998.91390071759</v>
      </c>
      <c r="C1211" s="7" t="s">
        <v>760</v>
      </c>
      <c r="D1211" s="8" t="s">
        <v>3979</v>
      </c>
      <c r="E1211" s="8" t="s">
        <v>236</v>
      </c>
      <c r="F1211" s="7" t="s">
        <v>3980</v>
      </c>
      <c r="G1211" s="9" t="s">
        <v>209</v>
      </c>
      <c r="H1211" s="7" t="s">
        <v>4060</v>
      </c>
      <c r="I1211" s="7" t="s">
        <v>825</v>
      </c>
      <c r="J1211" s="10">
        <v>45997.0</v>
      </c>
      <c r="K1211" s="8" t="s">
        <v>4061</v>
      </c>
      <c r="L1211" s="7">
        <v>4.0</v>
      </c>
      <c r="M1211" s="7" t="s">
        <v>4062</v>
      </c>
      <c r="N1211" s="13" t="s">
        <v>4063</v>
      </c>
      <c r="O1211" s="15" t="s">
        <v>4064</v>
      </c>
    </row>
    <row r="1212">
      <c r="A1212" s="5">
        <v>1417.0</v>
      </c>
      <c r="B1212" s="6">
        <v>45998.914462789355</v>
      </c>
      <c r="C1212" s="7" t="s">
        <v>760</v>
      </c>
      <c r="D1212" s="8" t="s">
        <v>2757</v>
      </c>
      <c r="E1212" s="8" t="s">
        <v>1049</v>
      </c>
      <c r="F1212" s="7" t="s">
        <v>2758</v>
      </c>
      <c r="G1212" s="9" t="s">
        <v>181</v>
      </c>
      <c r="H1212" s="7" t="s">
        <v>895</v>
      </c>
      <c r="I1212" s="7" t="s">
        <v>279</v>
      </c>
      <c r="J1212" s="10">
        <v>45987.0</v>
      </c>
      <c r="K1212" s="8" t="s">
        <v>4065</v>
      </c>
      <c r="L1212" s="7">
        <v>1.0</v>
      </c>
      <c r="M1212" s="7" t="s">
        <v>33</v>
      </c>
      <c r="N1212" s="13" t="s">
        <v>4066</v>
      </c>
      <c r="O1212" s="15" t="s">
        <v>4067</v>
      </c>
    </row>
    <row r="1213">
      <c r="A1213" s="5">
        <v>1418.0</v>
      </c>
      <c r="B1213" s="6">
        <v>45998.91454704861</v>
      </c>
      <c r="C1213" s="7" t="s">
        <v>125</v>
      </c>
      <c r="D1213" s="8" t="s">
        <v>2582</v>
      </c>
      <c r="E1213" s="8" t="s">
        <v>404</v>
      </c>
      <c r="F1213" s="7" t="s">
        <v>2583</v>
      </c>
      <c r="G1213" s="9" t="s">
        <v>19</v>
      </c>
      <c r="H1213" s="7" t="s">
        <v>173</v>
      </c>
      <c r="I1213" s="7" t="s">
        <v>174</v>
      </c>
      <c r="J1213" s="10">
        <v>45854.0</v>
      </c>
      <c r="K1213" s="8" t="s">
        <v>175</v>
      </c>
      <c r="L1213" s="7">
        <v>6.0</v>
      </c>
      <c r="M1213" s="7" t="s">
        <v>4068</v>
      </c>
      <c r="N1213" s="7"/>
      <c r="O1213" s="23"/>
    </row>
    <row r="1214">
      <c r="A1214" s="5">
        <v>1419.0</v>
      </c>
      <c r="B1214" s="6">
        <v>45998.91459246528</v>
      </c>
      <c r="C1214" s="7" t="s">
        <v>760</v>
      </c>
      <c r="D1214" s="8" t="s">
        <v>3937</v>
      </c>
      <c r="E1214" s="8" t="s">
        <v>484</v>
      </c>
      <c r="F1214" s="7" t="s">
        <v>3938</v>
      </c>
      <c r="G1214" s="9" t="s">
        <v>144</v>
      </c>
      <c r="H1214" s="7" t="s">
        <v>3938</v>
      </c>
      <c r="I1214" s="7" t="s">
        <v>4069</v>
      </c>
      <c r="J1214" s="10">
        <v>45983.0</v>
      </c>
      <c r="K1214" s="8" t="s">
        <v>657</v>
      </c>
      <c r="L1214" s="7">
        <v>4.0</v>
      </c>
      <c r="M1214" s="7" t="s">
        <v>4070</v>
      </c>
      <c r="N1214" s="13" t="s">
        <v>4071</v>
      </c>
      <c r="O1214" s="15" t="s">
        <v>4072</v>
      </c>
    </row>
    <row r="1215">
      <c r="A1215" s="5">
        <v>1421.0</v>
      </c>
      <c r="B1215" s="6">
        <v>45998.91700677083</v>
      </c>
      <c r="C1215" s="7" t="s">
        <v>15</v>
      </c>
      <c r="D1215" s="8" t="s">
        <v>3902</v>
      </c>
      <c r="E1215" s="8" t="s">
        <v>781</v>
      </c>
      <c r="F1215" s="7" t="s">
        <v>3903</v>
      </c>
      <c r="G1215" s="9" t="s">
        <v>19</v>
      </c>
      <c r="H1215" s="7" t="s">
        <v>448</v>
      </c>
      <c r="I1215" s="7" t="s">
        <v>37</v>
      </c>
      <c r="J1215" s="10">
        <v>45840.0</v>
      </c>
      <c r="K1215" s="8" t="s">
        <v>67</v>
      </c>
      <c r="L1215" s="7">
        <v>8.0</v>
      </c>
      <c r="M1215" s="7" t="s">
        <v>33</v>
      </c>
      <c r="N1215" s="13" t="s">
        <v>4073</v>
      </c>
      <c r="O1215" s="15" t="s">
        <v>4074</v>
      </c>
    </row>
    <row r="1216">
      <c r="A1216" s="5">
        <v>1422.0</v>
      </c>
      <c r="B1216" s="6">
        <v>45998.91758637731</v>
      </c>
      <c r="C1216" s="7" t="s">
        <v>125</v>
      </c>
      <c r="D1216" s="8" t="s">
        <v>568</v>
      </c>
      <c r="E1216" s="8" t="s">
        <v>569</v>
      </c>
      <c r="F1216" s="7" t="s">
        <v>570</v>
      </c>
      <c r="G1216" s="9" t="s">
        <v>144</v>
      </c>
      <c r="H1216" s="7" t="s">
        <v>608</v>
      </c>
      <c r="I1216" s="7" t="s">
        <v>335</v>
      </c>
      <c r="J1216" s="10">
        <v>45949.0</v>
      </c>
      <c r="K1216" s="8" t="s">
        <v>22</v>
      </c>
      <c r="L1216" s="7">
        <v>4.0</v>
      </c>
      <c r="M1216" s="7" t="s">
        <v>331</v>
      </c>
      <c r="N1216" s="13" t="s">
        <v>4075</v>
      </c>
      <c r="O1216" s="15" t="s">
        <v>4076</v>
      </c>
    </row>
    <row r="1217">
      <c r="A1217" s="5">
        <v>1424.0</v>
      </c>
      <c r="B1217" s="6">
        <v>45998.918174606486</v>
      </c>
      <c r="C1217" s="7" t="s">
        <v>125</v>
      </c>
      <c r="D1217" s="8" t="s">
        <v>4045</v>
      </c>
      <c r="E1217" s="8" t="s">
        <v>1097</v>
      </c>
      <c r="F1217" s="7" t="s">
        <v>4046</v>
      </c>
      <c r="G1217" s="9" t="s">
        <v>144</v>
      </c>
      <c r="H1217" s="7" t="s">
        <v>4077</v>
      </c>
      <c r="I1217" s="7" t="s">
        <v>4078</v>
      </c>
      <c r="J1217" s="10">
        <v>45943.0</v>
      </c>
      <c r="K1217" s="8" t="s">
        <v>1365</v>
      </c>
      <c r="L1217" s="7">
        <v>4.0</v>
      </c>
      <c r="M1217" s="7" t="s">
        <v>2616</v>
      </c>
      <c r="N1217" s="13" t="s">
        <v>4079</v>
      </c>
      <c r="O1217" s="15" t="s">
        <v>4080</v>
      </c>
    </row>
    <row r="1218">
      <c r="A1218" s="5">
        <v>1425.0</v>
      </c>
      <c r="B1218" s="6">
        <v>45998.91903280093</v>
      </c>
      <c r="C1218" s="7" t="s">
        <v>760</v>
      </c>
      <c r="D1218" s="8" t="s">
        <v>2757</v>
      </c>
      <c r="E1218" s="8" t="s">
        <v>1049</v>
      </c>
      <c r="F1218" s="7" t="s">
        <v>2758</v>
      </c>
      <c r="G1218" s="9" t="s">
        <v>181</v>
      </c>
      <c r="H1218" s="7" t="s">
        <v>895</v>
      </c>
      <c r="I1218" s="7" t="s">
        <v>279</v>
      </c>
      <c r="J1218" s="10">
        <v>45975.0</v>
      </c>
      <c r="K1218" s="8" t="s">
        <v>3973</v>
      </c>
      <c r="L1218" s="7">
        <v>1.0</v>
      </c>
      <c r="M1218" s="7" t="s">
        <v>33</v>
      </c>
      <c r="N1218" s="13" t="s">
        <v>4081</v>
      </c>
      <c r="O1218" s="15" t="s">
        <v>4082</v>
      </c>
    </row>
    <row r="1219">
      <c r="A1219" s="5">
        <v>1427.0</v>
      </c>
      <c r="B1219" s="6">
        <v>45998.92075601852</v>
      </c>
      <c r="C1219" s="7" t="s">
        <v>760</v>
      </c>
      <c r="D1219" s="8" t="s">
        <v>2757</v>
      </c>
      <c r="E1219" s="8" t="s">
        <v>1049</v>
      </c>
      <c r="F1219" s="7" t="s">
        <v>2758</v>
      </c>
      <c r="G1219" s="9" t="s">
        <v>181</v>
      </c>
      <c r="H1219" s="7" t="s">
        <v>895</v>
      </c>
      <c r="I1219" s="7" t="s">
        <v>279</v>
      </c>
      <c r="J1219" s="10">
        <v>45966.0</v>
      </c>
      <c r="K1219" s="8" t="s">
        <v>4083</v>
      </c>
      <c r="L1219" s="7">
        <v>1.0</v>
      </c>
      <c r="M1219" s="7" t="s">
        <v>33</v>
      </c>
      <c r="N1219" s="13" t="s">
        <v>4084</v>
      </c>
      <c r="O1219" s="15" t="s">
        <v>4085</v>
      </c>
    </row>
    <row r="1220">
      <c r="A1220" s="5">
        <v>1430.0</v>
      </c>
      <c r="B1220" s="6">
        <v>45998.92296082176</v>
      </c>
      <c r="C1220" s="7" t="s">
        <v>125</v>
      </c>
      <c r="D1220" s="8" t="s">
        <v>222</v>
      </c>
      <c r="E1220" s="8" t="s">
        <v>223</v>
      </c>
      <c r="F1220" s="7" t="s">
        <v>224</v>
      </c>
      <c r="G1220" s="9" t="s">
        <v>159</v>
      </c>
      <c r="H1220" s="7" t="s">
        <v>4086</v>
      </c>
      <c r="I1220" s="7" t="s">
        <v>588</v>
      </c>
      <c r="J1220" s="10">
        <v>45942.0</v>
      </c>
      <c r="K1220" s="8" t="s">
        <v>4087</v>
      </c>
      <c r="L1220" s="7">
        <v>6.0</v>
      </c>
      <c r="M1220" s="7" t="s">
        <v>590</v>
      </c>
      <c r="N1220" s="13" t="s">
        <v>4088</v>
      </c>
      <c r="O1220" s="15" t="s">
        <v>4089</v>
      </c>
    </row>
    <row r="1221">
      <c r="A1221" s="5">
        <v>1431.0</v>
      </c>
      <c r="B1221" s="6">
        <v>45998.923018657406</v>
      </c>
      <c r="C1221" s="7" t="s">
        <v>15</v>
      </c>
      <c r="D1221" s="8" t="s">
        <v>3902</v>
      </c>
      <c r="E1221" s="8" t="s">
        <v>781</v>
      </c>
      <c r="F1221" s="7" t="s">
        <v>3903</v>
      </c>
      <c r="G1221" s="9" t="s">
        <v>84</v>
      </c>
      <c r="H1221" s="7" t="s">
        <v>85</v>
      </c>
      <c r="I1221" s="7" t="s">
        <v>4090</v>
      </c>
      <c r="J1221" s="10">
        <v>45990.0</v>
      </c>
      <c r="K1221" s="8" t="s">
        <v>2053</v>
      </c>
      <c r="L1221" s="7">
        <v>8.0</v>
      </c>
      <c r="M1221" s="7" t="s">
        <v>33</v>
      </c>
      <c r="N1221" s="13" t="s">
        <v>4091</v>
      </c>
      <c r="O1221" s="15" t="s">
        <v>4092</v>
      </c>
    </row>
    <row r="1222">
      <c r="A1222" s="5">
        <v>1432.0</v>
      </c>
      <c r="B1222" s="6">
        <v>45998.92429833333</v>
      </c>
      <c r="C1222" s="7" t="s">
        <v>125</v>
      </c>
      <c r="D1222" s="8" t="s">
        <v>1330</v>
      </c>
      <c r="E1222" s="8" t="s">
        <v>91</v>
      </c>
      <c r="F1222" s="7" t="s">
        <v>1331</v>
      </c>
      <c r="G1222" s="9" t="s">
        <v>159</v>
      </c>
      <c r="H1222" s="7" t="s">
        <v>608</v>
      </c>
      <c r="I1222" s="7" t="s">
        <v>263</v>
      </c>
      <c r="J1222" s="10">
        <v>45949.0</v>
      </c>
      <c r="K1222" s="8" t="s">
        <v>2769</v>
      </c>
      <c r="L1222" s="7">
        <v>5.0</v>
      </c>
      <c r="M1222" s="7" t="s">
        <v>4093</v>
      </c>
      <c r="N1222" s="13" t="s">
        <v>4094</v>
      </c>
      <c r="O1222" s="15" t="s">
        <v>4095</v>
      </c>
    </row>
    <row r="1223">
      <c r="A1223" s="5">
        <v>1434.0</v>
      </c>
      <c r="B1223" s="6">
        <v>45998.92488789352</v>
      </c>
      <c r="C1223" s="7" t="s">
        <v>125</v>
      </c>
      <c r="D1223" s="8" t="s">
        <v>4045</v>
      </c>
      <c r="E1223" s="8" t="s">
        <v>1097</v>
      </c>
      <c r="F1223" s="7" t="s">
        <v>4046</v>
      </c>
      <c r="G1223" s="9" t="s">
        <v>159</v>
      </c>
      <c r="H1223" s="7" t="s">
        <v>608</v>
      </c>
      <c r="I1223" s="7" t="s">
        <v>263</v>
      </c>
      <c r="J1223" s="10">
        <v>45949.0</v>
      </c>
      <c r="K1223" s="8" t="s">
        <v>1365</v>
      </c>
      <c r="L1223" s="7">
        <v>4.0</v>
      </c>
      <c r="M1223" s="7" t="s">
        <v>2616</v>
      </c>
      <c r="N1223" s="13" t="s">
        <v>4096</v>
      </c>
      <c r="O1223" s="15" t="s">
        <v>4097</v>
      </c>
    </row>
    <row r="1224">
      <c r="A1224" s="5">
        <v>1435.0</v>
      </c>
      <c r="B1224" s="6">
        <v>45998.92524696759</v>
      </c>
      <c r="C1224" s="7" t="s">
        <v>125</v>
      </c>
      <c r="D1224" s="8" t="s">
        <v>568</v>
      </c>
      <c r="E1224" s="8" t="s">
        <v>569</v>
      </c>
      <c r="F1224" s="7" t="s">
        <v>570</v>
      </c>
      <c r="G1224" s="9" t="s">
        <v>159</v>
      </c>
      <c r="H1224" s="7" t="s">
        <v>4098</v>
      </c>
      <c r="I1224" s="7" t="s">
        <v>4099</v>
      </c>
      <c r="J1224" s="10">
        <v>45956.0</v>
      </c>
      <c r="K1224" s="8" t="s">
        <v>3148</v>
      </c>
      <c r="L1224" s="7">
        <v>3.0</v>
      </c>
      <c r="M1224" s="7" t="s">
        <v>331</v>
      </c>
      <c r="N1224" s="13" t="s">
        <v>4100</v>
      </c>
      <c r="O1224" s="15" t="s">
        <v>4101</v>
      </c>
    </row>
    <row r="1225">
      <c r="A1225" s="5">
        <v>1436.0</v>
      </c>
      <c r="B1225" s="6">
        <v>45998.9253981713</v>
      </c>
      <c r="C1225" s="7" t="s">
        <v>15</v>
      </c>
      <c r="D1225" s="8" t="s">
        <v>4102</v>
      </c>
      <c r="E1225" s="8" t="s">
        <v>1948</v>
      </c>
      <c r="F1225" s="7" t="s">
        <v>4103</v>
      </c>
      <c r="G1225" s="9" t="s">
        <v>19</v>
      </c>
      <c r="H1225" s="7" t="s">
        <v>4104</v>
      </c>
      <c r="I1225" s="7" t="s">
        <v>37</v>
      </c>
      <c r="J1225" s="10">
        <v>45839.0</v>
      </c>
      <c r="K1225" s="8" t="s">
        <v>67</v>
      </c>
      <c r="L1225" s="7">
        <v>8.0</v>
      </c>
      <c r="M1225" s="7" t="s">
        <v>33</v>
      </c>
      <c r="N1225" s="13" t="s">
        <v>4105</v>
      </c>
      <c r="O1225" s="23"/>
    </row>
    <row r="1226">
      <c r="A1226" s="5">
        <v>1438.0</v>
      </c>
      <c r="B1226" s="6">
        <v>45998.92688252315</v>
      </c>
      <c r="C1226" s="7" t="s">
        <v>125</v>
      </c>
      <c r="D1226" s="8" t="s">
        <v>222</v>
      </c>
      <c r="E1226" s="8" t="s">
        <v>223</v>
      </c>
      <c r="F1226" s="7" t="s">
        <v>224</v>
      </c>
      <c r="G1226" s="9" t="s">
        <v>159</v>
      </c>
      <c r="H1226" s="7" t="s">
        <v>210</v>
      </c>
      <c r="I1226" s="7" t="s">
        <v>616</v>
      </c>
      <c r="J1226" s="10">
        <v>45949.0</v>
      </c>
      <c r="K1226" s="8" t="s">
        <v>602</v>
      </c>
      <c r="L1226" s="7">
        <v>4.0</v>
      </c>
      <c r="M1226" s="7" t="s">
        <v>590</v>
      </c>
      <c r="N1226" s="13" t="s">
        <v>4106</v>
      </c>
      <c r="O1226" s="15" t="s">
        <v>4107</v>
      </c>
    </row>
    <row r="1227">
      <c r="A1227" s="5">
        <v>1439.0</v>
      </c>
      <c r="B1227" s="6">
        <v>45998.928997337964</v>
      </c>
      <c r="C1227" s="7" t="s">
        <v>15</v>
      </c>
      <c r="D1227" s="8" t="s">
        <v>4102</v>
      </c>
      <c r="E1227" s="8" t="s">
        <v>1948</v>
      </c>
      <c r="F1227" s="7" t="s">
        <v>4103</v>
      </c>
      <c r="G1227" s="9" t="s">
        <v>19</v>
      </c>
      <c r="H1227" s="7" t="s">
        <v>4108</v>
      </c>
      <c r="I1227" s="7" t="s">
        <v>37</v>
      </c>
      <c r="J1227" s="10">
        <v>45840.0</v>
      </c>
      <c r="K1227" s="8" t="s">
        <v>67</v>
      </c>
      <c r="L1227" s="7">
        <v>8.0</v>
      </c>
      <c r="M1227" s="7" t="s">
        <v>33</v>
      </c>
      <c r="N1227" s="13" t="s">
        <v>4109</v>
      </c>
      <c r="O1227" s="15" t="s">
        <v>4110</v>
      </c>
    </row>
    <row r="1228">
      <c r="A1228" s="5">
        <v>1440.0</v>
      </c>
      <c r="B1228" s="6">
        <v>45998.92918115741</v>
      </c>
      <c r="C1228" s="7" t="s">
        <v>760</v>
      </c>
      <c r="D1228" s="8" t="s">
        <v>761</v>
      </c>
      <c r="E1228" s="8" t="s">
        <v>762</v>
      </c>
      <c r="F1228" s="7" t="s">
        <v>763</v>
      </c>
      <c r="G1228" s="9" t="s">
        <v>19</v>
      </c>
      <c r="H1228" s="7" t="s">
        <v>4111</v>
      </c>
      <c r="I1228" s="7" t="s">
        <v>4112</v>
      </c>
      <c r="J1228" s="10">
        <v>45955.0</v>
      </c>
      <c r="K1228" s="8" t="s">
        <v>58</v>
      </c>
      <c r="L1228" s="7">
        <v>5.0</v>
      </c>
      <c r="M1228" s="7" t="s">
        <v>59</v>
      </c>
      <c r="N1228" s="13" t="s">
        <v>4113</v>
      </c>
      <c r="O1228" s="15" t="s">
        <v>4114</v>
      </c>
    </row>
    <row r="1229">
      <c r="A1229" s="5">
        <v>1442.0</v>
      </c>
      <c r="B1229" s="6">
        <v>45998.9295485301</v>
      </c>
      <c r="C1229" s="7" t="s">
        <v>125</v>
      </c>
      <c r="D1229" s="8" t="s">
        <v>222</v>
      </c>
      <c r="E1229" s="8" t="s">
        <v>223</v>
      </c>
      <c r="F1229" s="7" t="s">
        <v>224</v>
      </c>
      <c r="G1229" s="9" t="s">
        <v>159</v>
      </c>
      <c r="H1229" s="7" t="s">
        <v>4115</v>
      </c>
      <c r="I1229" s="7" t="s">
        <v>624</v>
      </c>
      <c r="J1229" s="10">
        <v>45965.0</v>
      </c>
      <c r="K1229" s="8" t="s">
        <v>602</v>
      </c>
      <c r="L1229" s="7">
        <v>4.0</v>
      </c>
      <c r="M1229" s="7" t="s">
        <v>590</v>
      </c>
      <c r="N1229" s="13" t="s">
        <v>4116</v>
      </c>
      <c r="O1229" s="15" t="s">
        <v>4117</v>
      </c>
    </row>
    <row r="1230">
      <c r="A1230" s="5">
        <v>1443.0</v>
      </c>
      <c r="B1230" s="6">
        <v>45998.929606238424</v>
      </c>
      <c r="C1230" s="7" t="s">
        <v>125</v>
      </c>
      <c r="D1230" s="8" t="s">
        <v>1330</v>
      </c>
      <c r="E1230" s="8" t="s">
        <v>91</v>
      </c>
      <c r="F1230" s="7" t="s">
        <v>1331</v>
      </c>
      <c r="G1230" s="9" t="s">
        <v>159</v>
      </c>
      <c r="H1230" s="7" t="s">
        <v>4118</v>
      </c>
      <c r="I1230" s="7" t="s">
        <v>190</v>
      </c>
      <c r="J1230" s="10">
        <v>45956.0</v>
      </c>
      <c r="K1230" s="8" t="s">
        <v>1365</v>
      </c>
      <c r="L1230" s="7">
        <v>4.0</v>
      </c>
      <c r="M1230" s="7" t="s">
        <v>4093</v>
      </c>
      <c r="N1230" s="13" t="s">
        <v>4119</v>
      </c>
      <c r="O1230" s="15" t="s">
        <v>4120</v>
      </c>
    </row>
    <row r="1231">
      <c r="A1231" s="5">
        <v>1444.0</v>
      </c>
      <c r="B1231" s="6">
        <v>45998.93013435185</v>
      </c>
      <c r="C1231" s="7" t="s">
        <v>760</v>
      </c>
      <c r="D1231" s="8" t="s">
        <v>2071</v>
      </c>
      <c r="E1231" s="8" t="s">
        <v>319</v>
      </c>
      <c r="F1231" s="7" t="s">
        <v>2072</v>
      </c>
      <c r="G1231" s="9" t="s">
        <v>19</v>
      </c>
      <c r="H1231" s="7" t="s">
        <v>2694</v>
      </c>
      <c r="I1231" s="7" t="s">
        <v>1337</v>
      </c>
      <c r="J1231" s="10">
        <v>45907.0</v>
      </c>
      <c r="K1231" s="8" t="s">
        <v>1338</v>
      </c>
      <c r="L1231" s="7">
        <v>8.0</v>
      </c>
      <c r="M1231" s="7" t="s">
        <v>33</v>
      </c>
      <c r="N1231" s="13" t="s">
        <v>4121</v>
      </c>
      <c r="O1231" s="15" t="s">
        <v>4122</v>
      </c>
    </row>
    <row r="1232">
      <c r="A1232" s="5">
        <v>1445.0</v>
      </c>
      <c r="B1232" s="6">
        <v>45998.931138518514</v>
      </c>
      <c r="C1232" s="7" t="s">
        <v>760</v>
      </c>
      <c r="D1232" s="8" t="s">
        <v>3937</v>
      </c>
      <c r="E1232" s="8" t="s">
        <v>484</v>
      </c>
      <c r="F1232" s="7" t="s">
        <v>3938</v>
      </c>
      <c r="G1232" s="9" t="s">
        <v>144</v>
      </c>
      <c r="H1232" s="7" t="s">
        <v>4123</v>
      </c>
      <c r="I1232" s="7" t="s">
        <v>4124</v>
      </c>
      <c r="J1232" s="10">
        <v>45941.0</v>
      </c>
      <c r="K1232" s="8" t="s">
        <v>1633</v>
      </c>
      <c r="L1232" s="7">
        <v>4.0</v>
      </c>
      <c r="M1232" s="7" t="s">
        <v>4125</v>
      </c>
      <c r="N1232" s="13" t="s">
        <v>4126</v>
      </c>
      <c r="O1232" s="15" t="s">
        <v>4127</v>
      </c>
    </row>
    <row r="1233">
      <c r="A1233" s="5">
        <v>1446.0</v>
      </c>
      <c r="B1233" s="6">
        <v>45998.93152265046</v>
      </c>
      <c r="C1233" s="7" t="s">
        <v>15</v>
      </c>
      <c r="D1233" s="8" t="s">
        <v>4102</v>
      </c>
      <c r="E1233" s="8" t="s">
        <v>1948</v>
      </c>
      <c r="F1233" s="7" t="s">
        <v>4103</v>
      </c>
      <c r="G1233" s="9" t="s">
        <v>19</v>
      </c>
      <c r="H1233" s="7" t="s">
        <v>4128</v>
      </c>
      <c r="I1233" s="7" t="s">
        <v>37</v>
      </c>
      <c r="J1233" s="10">
        <v>45839.0</v>
      </c>
      <c r="K1233" s="8" t="s">
        <v>67</v>
      </c>
      <c r="L1233" s="7">
        <v>8.0</v>
      </c>
      <c r="M1233" s="7" t="s">
        <v>33</v>
      </c>
      <c r="N1233" s="13" t="s">
        <v>4129</v>
      </c>
      <c r="O1233" s="15" t="s">
        <v>4130</v>
      </c>
    </row>
    <row r="1234">
      <c r="A1234" s="5">
        <v>1447.0</v>
      </c>
      <c r="B1234" s="6">
        <v>45998.93181582176</v>
      </c>
      <c r="C1234" s="7" t="s">
        <v>125</v>
      </c>
      <c r="D1234" s="8" t="s">
        <v>4045</v>
      </c>
      <c r="E1234" s="8" t="s">
        <v>1097</v>
      </c>
      <c r="F1234" s="7" t="s">
        <v>4046</v>
      </c>
      <c r="G1234" s="9" t="s">
        <v>159</v>
      </c>
      <c r="H1234" s="7" t="s">
        <v>345</v>
      </c>
      <c r="I1234" s="7" t="s">
        <v>190</v>
      </c>
      <c r="J1234" s="10">
        <v>45956.0</v>
      </c>
      <c r="K1234" s="8" t="s">
        <v>362</v>
      </c>
      <c r="L1234" s="7">
        <v>4.0</v>
      </c>
      <c r="M1234" s="7" t="s">
        <v>2616</v>
      </c>
      <c r="N1234" s="13" t="s">
        <v>4131</v>
      </c>
      <c r="O1234" s="15" t="s">
        <v>4132</v>
      </c>
    </row>
    <row r="1235">
      <c r="A1235" s="5">
        <v>1448.0</v>
      </c>
      <c r="B1235" s="6">
        <v>45998.93340717592</v>
      </c>
      <c r="C1235" s="7" t="s">
        <v>760</v>
      </c>
      <c r="D1235" s="8" t="s">
        <v>1763</v>
      </c>
      <c r="E1235" s="8" t="s">
        <v>1764</v>
      </c>
      <c r="F1235" s="7" t="s">
        <v>4133</v>
      </c>
      <c r="G1235" s="9" t="s">
        <v>144</v>
      </c>
      <c r="H1235" s="7" t="s">
        <v>730</v>
      </c>
      <c r="I1235" s="7" t="s">
        <v>4134</v>
      </c>
      <c r="J1235" s="10">
        <v>45983.0</v>
      </c>
      <c r="K1235" s="8" t="s">
        <v>3117</v>
      </c>
      <c r="L1235" s="7">
        <v>4.0</v>
      </c>
      <c r="M1235" s="7" t="s">
        <v>4135</v>
      </c>
      <c r="N1235" s="13" t="s">
        <v>4136</v>
      </c>
      <c r="O1235" s="15" t="s">
        <v>4137</v>
      </c>
    </row>
    <row r="1236">
      <c r="A1236" s="5">
        <v>1449.0</v>
      </c>
      <c r="B1236" s="6">
        <v>45998.93452997685</v>
      </c>
      <c r="C1236" s="7" t="s">
        <v>760</v>
      </c>
      <c r="D1236" s="8" t="s">
        <v>761</v>
      </c>
      <c r="E1236" s="8" t="s">
        <v>762</v>
      </c>
      <c r="F1236" s="7" t="s">
        <v>763</v>
      </c>
      <c r="G1236" s="9" t="s">
        <v>19</v>
      </c>
      <c r="H1236" s="7" t="s">
        <v>4138</v>
      </c>
      <c r="I1236" s="7" t="s">
        <v>3162</v>
      </c>
      <c r="J1236" s="10">
        <v>45989.0</v>
      </c>
      <c r="K1236" s="8" t="s">
        <v>3372</v>
      </c>
      <c r="L1236" s="7">
        <v>5.0</v>
      </c>
      <c r="M1236" s="7" t="s">
        <v>4139</v>
      </c>
      <c r="N1236" s="13" t="s">
        <v>4140</v>
      </c>
      <c r="O1236" s="15" t="s">
        <v>4141</v>
      </c>
    </row>
    <row r="1237">
      <c r="A1237" s="5">
        <v>1450.0</v>
      </c>
      <c r="B1237" s="6">
        <v>45998.934917754625</v>
      </c>
      <c r="C1237" s="7" t="s">
        <v>125</v>
      </c>
      <c r="D1237" s="8" t="s">
        <v>568</v>
      </c>
      <c r="E1237" s="8" t="s">
        <v>569</v>
      </c>
      <c r="F1237" s="7" t="s">
        <v>570</v>
      </c>
      <c r="G1237" s="9" t="s">
        <v>159</v>
      </c>
      <c r="H1237" s="7" t="s">
        <v>4142</v>
      </c>
      <c r="I1237" s="7" t="s">
        <v>339</v>
      </c>
      <c r="J1237" s="10">
        <v>45955.0</v>
      </c>
      <c r="K1237" s="8" t="s">
        <v>1665</v>
      </c>
      <c r="L1237" s="7">
        <v>2.0</v>
      </c>
      <c r="M1237" s="7" t="s">
        <v>331</v>
      </c>
      <c r="N1237" s="13" t="s">
        <v>4143</v>
      </c>
      <c r="O1237" s="15" t="s">
        <v>4144</v>
      </c>
    </row>
    <row r="1238">
      <c r="A1238" s="5">
        <v>1452.0</v>
      </c>
      <c r="B1238" s="6">
        <v>45998.935280289355</v>
      </c>
      <c r="C1238" s="7" t="s">
        <v>15</v>
      </c>
      <c r="D1238" s="8" t="s">
        <v>4102</v>
      </c>
      <c r="E1238" s="8" t="s">
        <v>1948</v>
      </c>
      <c r="F1238" s="7" t="s">
        <v>4103</v>
      </c>
      <c r="G1238" s="9" t="s">
        <v>19</v>
      </c>
      <c r="H1238" s="7" t="s">
        <v>4145</v>
      </c>
      <c r="I1238" s="7" t="s">
        <v>3569</v>
      </c>
      <c r="J1238" s="10">
        <v>45955.0</v>
      </c>
      <c r="K1238" s="8" t="s">
        <v>499</v>
      </c>
      <c r="L1238" s="7">
        <v>5.0</v>
      </c>
      <c r="M1238" s="7" t="s">
        <v>4146</v>
      </c>
      <c r="N1238" s="13" t="s">
        <v>4147</v>
      </c>
      <c r="O1238" s="15" t="s">
        <v>4148</v>
      </c>
    </row>
    <row r="1239">
      <c r="A1239" s="5">
        <v>1453.0</v>
      </c>
      <c r="B1239" s="6">
        <v>45998.93600824074</v>
      </c>
      <c r="C1239" s="7" t="s">
        <v>760</v>
      </c>
      <c r="D1239" s="8" t="s">
        <v>761</v>
      </c>
      <c r="E1239" s="8" t="s">
        <v>762</v>
      </c>
      <c r="F1239" s="7" t="s">
        <v>763</v>
      </c>
      <c r="G1239" s="9" t="s">
        <v>19</v>
      </c>
      <c r="H1239" s="7" t="s">
        <v>4138</v>
      </c>
      <c r="I1239" s="7" t="s">
        <v>3162</v>
      </c>
      <c r="J1239" s="10">
        <v>45989.0</v>
      </c>
      <c r="K1239" s="8" t="s">
        <v>3372</v>
      </c>
      <c r="L1239" s="7">
        <v>5.0</v>
      </c>
      <c r="M1239" s="7" t="s">
        <v>4139</v>
      </c>
      <c r="N1239" s="13" t="s">
        <v>4149</v>
      </c>
      <c r="O1239" s="15" t="s">
        <v>4150</v>
      </c>
    </row>
    <row r="1240">
      <c r="A1240" s="5">
        <v>1455.0</v>
      </c>
      <c r="B1240" s="6">
        <v>45998.938215648144</v>
      </c>
      <c r="C1240" s="7" t="s">
        <v>760</v>
      </c>
      <c r="D1240" s="8" t="s">
        <v>2757</v>
      </c>
      <c r="E1240" s="8" t="s">
        <v>1049</v>
      </c>
      <c r="F1240" s="7" t="s">
        <v>2758</v>
      </c>
      <c r="G1240" s="9" t="s">
        <v>181</v>
      </c>
      <c r="H1240" s="7" t="s">
        <v>3948</v>
      </c>
      <c r="I1240" s="7" t="s">
        <v>279</v>
      </c>
      <c r="J1240" s="10">
        <v>45875.0</v>
      </c>
      <c r="K1240" s="8" t="s">
        <v>657</v>
      </c>
      <c r="L1240" s="7">
        <v>8.0</v>
      </c>
      <c r="M1240" s="7" t="s">
        <v>3841</v>
      </c>
      <c r="N1240" s="13" t="s">
        <v>4151</v>
      </c>
      <c r="O1240" s="15" t="s">
        <v>4152</v>
      </c>
    </row>
    <row r="1241">
      <c r="A1241" s="5">
        <v>1456.0</v>
      </c>
      <c r="B1241" s="6">
        <v>45998.94031046296</v>
      </c>
      <c r="C1241" s="7" t="s">
        <v>26</v>
      </c>
      <c r="D1241" s="8" t="s">
        <v>117</v>
      </c>
      <c r="E1241" s="8" t="s">
        <v>118</v>
      </c>
      <c r="F1241" s="7" t="s">
        <v>119</v>
      </c>
      <c r="G1241" s="9" t="s">
        <v>19</v>
      </c>
      <c r="H1241" s="7" t="s">
        <v>3735</v>
      </c>
      <c r="I1241" s="7" t="s">
        <v>3736</v>
      </c>
      <c r="J1241" s="10">
        <v>46008.0</v>
      </c>
      <c r="K1241" s="8" t="s">
        <v>3737</v>
      </c>
      <c r="L1241" s="7">
        <v>8.0</v>
      </c>
      <c r="M1241" s="7" t="s">
        <v>3841</v>
      </c>
      <c r="N1241" s="13" t="s">
        <v>4153</v>
      </c>
      <c r="O1241" s="15" t="s">
        <v>4154</v>
      </c>
    </row>
    <row r="1242">
      <c r="A1242" s="5">
        <v>1457.0</v>
      </c>
      <c r="B1242" s="6">
        <v>45998.94118893519</v>
      </c>
      <c r="C1242" s="7" t="s">
        <v>15</v>
      </c>
      <c r="D1242" s="8" t="s">
        <v>4102</v>
      </c>
      <c r="E1242" s="8" t="s">
        <v>1948</v>
      </c>
      <c r="F1242" s="7" t="s">
        <v>4103</v>
      </c>
      <c r="G1242" s="9" t="s">
        <v>181</v>
      </c>
      <c r="H1242" s="7" t="s">
        <v>4155</v>
      </c>
      <c r="I1242" s="7" t="s">
        <v>231</v>
      </c>
      <c r="J1242" s="10">
        <v>45823.0</v>
      </c>
      <c r="K1242" s="8" t="s">
        <v>1421</v>
      </c>
      <c r="L1242" s="7">
        <v>2.0</v>
      </c>
      <c r="M1242" s="7" t="s">
        <v>33</v>
      </c>
      <c r="N1242" s="13" t="s">
        <v>4156</v>
      </c>
      <c r="O1242" s="15" t="s">
        <v>4157</v>
      </c>
    </row>
    <row r="1243">
      <c r="A1243" s="5">
        <v>1458.0</v>
      </c>
      <c r="B1243" s="6">
        <v>45998.94183269676</v>
      </c>
      <c r="C1243" s="7" t="s">
        <v>760</v>
      </c>
      <c r="D1243" s="8" t="s">
        <v>3937</v>
      </c>
      <c r="E1243" s="8" t="s">
        <v>484</v>
      </c>
      <c r="F1243" s="7" t="s">
        <v>3938</v>
      </c>
      <c r="G1243" s="9" t="s">
        <v>209</v>
      </c>
      <c r="H1243" s="7" t="s">
        <v>4158</v>
      </c>
      <c r="I1243" s="7" t="s">
        <v>4159</v>
      </c>
      <c r="J1243" s="10">
        <v>45997.0</v>
      </c>
      <c r="K1243" s="8" t="s">
        <v>1139</v>
      </c>
      <c r="L1243" s="7">
        <v>4.0</v>
      </c>
      <c r="M1243" s="7" t="s">
        <v>4160</v>
      </c>
      <c r="N1243" s="13" t="s">
        <v>4161</v>
      </c>
      <c r="O1243" s="15" t="s">
        <v>4162</v>
      </c>
    </row>
    <row r="1244">
      <c r="A1244" s="5">
        <v>1459.0</v>
      </c>
      <c r="B1244" s="6">
        <v>45998.944543125</v>
      </c>
      <c r="C1244" s="7" t="s">
        <v>760</v>
      </c>
      <c r="D1244" s="8" t="s">
        <v>2757</v>
      </c>
      <c r="E1244" s="8" t="s">
        <v>1049</v>
      </c>
      <c r="F1244" s="7" t="s">
        <v>2758</v>
      </c>
      <c r="G1244" s="9" t="s">
        <v>209</v>
      </c>
      <c r="H1244" s="7" t="s">
        <v>4163</v>
      </c>
      <c r="I1244" s="7" t="s">
        <v>825</v>
      </c>
      <c r="J1244" s="10">
        <v>45997.0</v>
      </c>
      <c r="K1244" s="8" t="s">
        <v>1633</v>
      </c>
      <c r="L1244" s="7">
        <v>4.0</v>
      </c>
      <c r="M1244" s="7" t="s">
        <v>4164</v>
      </c>
      <c r="N1244" s="13" t="s">
        <v>4165</v>
      </c>
      <c r="O1244" s="15" t="s">
        <v>4166</v>
      </c>
    </row>
    <row r="1245">
      <c r="A1245" s="5">
        <v>1460.0</v>
      </c>
      <c r="B1245" s="6">
        <v>45998.94516138889</v>
      </c>
      <c r="C1245" s="7" t="s">
        <v>760</v>
      </c>
      <c r="D1245" s="8" t="s">
        <v>1209</v>
      </c>
      <c r="E1245" s="8" t="s">
        <v>223</v>
      </c>
      <c r="F1245" s="7" t="s">
        <v>1210</v>
      </c>
      <c r="G1245" s="9" t="s">
        <v>181</v>
      </c>
      <c r="H1245" s="7" t="s">
        <v>3500</v>
      </c>
      <c r="I1245" s="7" t="s">
        <v>279</v>
      </c>
      <c r="J1245" s="10">
        <v>45875.0</v>
      </c>
      <c r="K1245" s="8" t="s">
        <v>49</v>
      </c>
      <c r="L1245" s="7">
        <v>8.0</v>
      </c>
      <c r="M1245" s="7" t="s">
        <v>1325</v>
      </c>
      <c r="N1245" s="13" t="s">
        <v>4167</v>
      </c>
      <c r="O1245" s="15" t="s">
        <v>4168</v>
      </c>
    </row>
    <row r="1246">
      <c r="A1246" s="5">
        <v>1461.0</v>
      </c>
      <c r="B1246" s="6">
        <v>45998.94611326389</v>
      </c>
      <c r="C1246" s="7" t="s">
        <v>760</v>
      </c>
      <c r="D1246" s="8" t="s">
        <v>2799</v>
      </c>
      <c r="E1246" s="8" t="s">
        <v>171</v>
      </c>
      <c r="F1246" s="7" t="s">
        <v>2800</v>
      </c>
      <c r="G1246" s="9" t="s">
        <v>181</v>
      </c>
      <c r="H1246" s="7" t="s">
        <v>4169</v>
      </c>
      <c r="I1246" s="7" t="s">
        <v>279</v>
      </c>
      <c r="J1246" s="10">
        <v>45928.0</v>
      </c>
      <c r="K1246" s="8" t="s">
        <v>4170</v>
      </c>
      <c r="L1246" s="7">
        <v>3.0</v>
      </c>
      <c r="M1246" s="7" t="s">
        <v>33</v>
      </c>
      <c r="N1246" s="13" t="s">
        <v>4171</v>
      </c>
      <c r="O1246" s="15" t="s">
        <v>4172</v>
      </c>
    </row>
    <row r="1247">
      <c r="A1247" s="5">
        <v>1462.0</v>
      </c>
      <c r="B1247" s="6">
        <v>45998.94673953704</v>
      </c>
      <c r="C1247" s="7" t="s">
        <v>125</v>
      </c>
      <c r="D1247" s="8" t="s">
        <v>4045</v>
      </c>
      <c r="E1247" s="8" t="s">
        <v>1097</v>
      </c>
      <c r="F1247" s="7" t="s">
        <v>4046</v>
      </c>
      <c r="G1247" s="9" t="s">
        <v>159</v>
      </c>
      <c r="H1247" s="7" t="s">
        <v>4173</v>
      </c>
      <c r="I1247" s="7" t="s">
        <v>190</v>
      </c>
      <c r="J1247" s="10">
        <v>45963.0</v>
      </c>
      <c r="K1247" s="8" t="s">
        <v>957</v>
      </c>
      <c r="L1247" s="7">
        <v>4.0</v>
      </c>
      <c r="M1247" s="7" t="s">
        <v>2616</v>
      </c>
      <c r="N1247" s="13" t="s">
        <v>4174</v>
      </c>
      <c r="O1247" s="15" t="s">
        <v>4175</v>
      </c>
    </row>
    <row r="1248">
      <c r="A1248" s="5">
        <v>1463.0</v>
      </c>
      <c r="B1248" s="6">
        <v>45998.94745957176</v>
      </c>
      <c r="C1248" s="7" t="s">
        <v>760</v>
      </c>
      <c r="D1248" s="8" t="s">
        <v>3406</v>
      </c>
      <c r="E1248" s="8" t="s">
        <v>134</v>
      </c>
      <c r="F1248" s="7" t="s">
        <v>3407</v>
      </c>
      <c r="G1248" s="9" t="s">
        <v>181</v>
      </c>
      <c r="H1248" s="7" t="s">
        <v>4176</v>
      </c>
      <c r="I1248" s="7" t="s">
        <v>4177</v>
      </c>
      <c r="J1248" s="10">
        <v>45920.0</v>
      </c>
      <c r="K1248" s="8" t="s">
        <v>694</v>
      </c>
      <c r="L1248" s="7">
        <v>3.0</v>
      </c>
      <c r="M1248" s="7" t="s">
        <v>3607</v>
      </c>
      <c r="N1248" s="13" t="s">
        <v>4178</v>
      </c>
      <c r="O1248" s="15" t="s">
        <v>4179</v>
      </c>
    </row>
    <row r="1249">
      <c r="A1249" s="5">
        <v>1464.0</v>
      </c>
      <c r="B1249" s="6">
        <v>45998.948186134265</v>
      </c>
      <c r="C1249" s="7" t="s">
        <v>760</v>
      </c>
      <c r="D1249" s="8" t="s">
        <v>4180</v>
      </c>
      <c r="E1249" s="8" t="s">
        <v>1827</v>
      </c>
      <c r="F1249" s="7" t="s">
        <v>4181</v>
      </c>
      <c r="G1249" s="9" t="s">
        <v>84</v>
      </c>
      <c r="H1249" s="7" t="s">
        <v>455</v>
      </c>
      <c r="I1249" s="7" t="s">
        <v>1192</v>
      </c>
      <c r="J1249" s="10">
        <v>45916.0</v>
      </c>
      <c r="K1249" s="8" t="s">
        <v>4182</v>
      </c>
      <c r="L1249" s="7">
        <v>8.0</v>
      </c>
      <c r="M1249" s="7" t="s">
        <v>2735</v>
      </c>
      <c r="N1249" s="13" t="s">
        <v>4183</v>
      </c>
      <c r="O1249" s="15" t="s">
        <v>4184</v>
      </c>
    </row>
    <row r="1250">
      <c r="A1250" s="5">
        <v>1465.0</v>
      </c>
      <c r="B1250" s="6">
        <v>45998.94844049768</v>
      </c>
      <c r="C1250" s="7" t="s">
        <v>15</v>
      </c>
      <c r="D1250" s="8" t="s">
        <v>4102</v>
      </c>
      <c r="E1250" s="8" t="s">
        <v>1948</v>
      </c>
      <c r="F1250" s="7" t="s">
        <v>4103</v>
      </c>
      <c r="G1250" s="9" t="s">
        <v>181</v>
      </c>
      <c r="H1250" s="7" t="s">
        <v>4185</v>
      </c>
      <c r="I1250" s="7" t="s">
        <v>231</v>
      </c>
      <c r="J1250" s="10">
        <v>45992.0</v>
      </c>
      <c r="K1250" s="8" t="s">
        <v>22</v>
      </c>
      <c r="L1250" s="7">
        <v>5.0</v>
      </c>
      <c r="M1250" s="7" t="s">
        <v>4186</v>
      </c>
      <c r="N1250" s="13" t="s">
        <v>4187</v>
      </c>
      <c r="O1250" s="15" t="s">
        <v>4188</v>
      </c>
    </row>
    <row r="1251">
      <c r="A1251" s="5">
        <v>1466.0</v>
      </c>
      <c r="B1251" s="6">
        <v>45998.94876671296</v>
      </c>
      <c r="C1251" s="7" t="s">
        <v>760</v>
      </c>
      <c r="D1251" s="8" t="s">
        <v>1209</v>
      </c>
      <c r="E1251" s="8" t="s">
        <v>223</v>
      </c>
      <c r="F1251" s="7" t="s">
        <v>1210</v>
      </c>
      <c r="G1251" s="9" t="s">
        <v>181</v>
      </c>
      <c r="H1251" s="7" t="s">
        <v>895</v>
      </c>
      <c r="I1251" s="7" t="s">
        <v>279</v>
      </c>
      <c r="J1251" s="10">
        <v>45981.0</v>
      </c>
      <c r="K1251" s="8" t="s">
        <v>4189</v>
      </c>
      <c r="L1251" s="7">
        <v>1.0</v>
      </c>
      <c r="M1251" s="7" t="s">
        <v>33</v>
      </c>
      <c r="N1251" s="13" t="s">
        <v>4190</v>
      </c>
      <c r="O1251" s="15" t="s">
        <v>4191</v>
      </c>
    </row>
    <row r="1252">
      <c r="A1252" s="5">
        <v>1467.0</v>
      </c>
      <c r="B1252" s="6">
        <v>45998.94990090278</v>
      </c>
      <c r="C1252" s="7" t="s">
        <v>760</v>
      </c>
      <c r="D1252" s="8" t="s">
        <v>3406</v>
      </c>
      <c r="E1252" s="8" t="s">
        <v>134</v>
      </c>
      <c r="F1252" s="7" t="s">
        <v>3407</v>
      </c>
      <c r="G1252" s="9" t="s">
        <v>181</v>
      </c>
      <c r="H1252" s="7" t="s">
        <v>4192</v>
      </c>
      <c r="I1252" s="7" t="s">
        <v>4193</v>
      </c>
      <c r="J1252" s="10">
        <v>45927.0</v>
      </c>
      <c r="K1252" s="8" t="s">
        <v>694</v>
      </c>
      <c r="L1252" s="7">
        <v>3.0</v>
      </c>
      <c r="M1252" s="7" t="s">
        <v>3607</v>
      </c>
      <c r="N1252" s="13" t="s">
        <v>4194</v>
      </c>
      <c r="O1252" s="15" t="s">
        <v>4195</v>
      </c>
    </row>
    <row r="1253">
      <c r="A1253" s="5">
        <v>1468.0</v>
      </c>
      <c r="B1253" s="6">
        <v>45998.95000928241</v>
      </c>
      <c r="C1253" s="7" t="s">
        <v>125</v>
      </c>
      <c r="D1253" s="8" t="s">
        <v>2303</v>
      </c>
      <c r="E1253" s="8" t="s">
        <v>28</v>
      </c>
      <c r="F1253" s="7" t="s">
        <v>2304</v>
      </c>
      <c r="G1253" s="9" t="s">
        <v>84</v>
      </c>
      <c r="H1253" s="7" t="s">
        <v>4196</v>
      </c>
      <c r="I1253" s="7" t="s">
        <v>4197</v>
      </c>
      <c r="J1253" s="10">
        <v>45997.0</v>
      </c>
      <c r="K1253" s="8" t="s">
        <v>2053</v>
      </c>
      <c r="L1253" s="7">
        <v>8.0</v>
      </c>
      <c r="M1253" s="7" t="s">
        <v>4198</v>
      </c>
      <c r="N1253" s="13" t="s">
        <v>4199</v>
      </c>
      <c r="O1253" s="15" t="s">
        <v>4200</v>
      </c>
    </row>
    <row r="1254">
      <c r="A1254" s="5">
        <v>1469.0</v>
      </c>
      <c r="B1254" s="6">
        <v>45998.950065983794</v>
      </c>
      <c r="C1254" s="7" t="s">
        <v>125</v>
      </c>
      <c r="D1254" s="8" t="s">
        <v>568</v>
      </c>
      <c r="E1254" s="8" t="s">
        <v>569</v>
      </c>
      <c r="F1254" s="7" t="s">
        <v>570</v>
      </c>
      <c r="G1254" s="9" t="s">
        <v>19</v>
      </c>
      <c r="H1254" s="7" t="s">
        <v>4201</v>
      </c>
      <c r="I1254" s="7" t="s">
        <v>4202</v>
      </c>
      <c r="J1254" s="10">
        <v>45873.0</v>
      </c>
      <c r="K1254" s="8" t="s">
        <v>22</v>
      </c>
      <c r="L1254" s="7">
        <v>4.0</v>
      </c>
      <c r="M1254" s="7" t="s">
        <v>4203</v>
      </c>
      <c r="N1254" s="13" t="s">
        <v>4204</v>
      </c>
      <c r="O1254" s="15" t="s">
        <v>4205</v>
      </c>
    </row>
    <row r="1255">
      <c r="A1255" s="5">
        <v>1471.0</v>
      </c>
      <c r="B1255" s="6">
        <v>45998.95126893518</v>
      </c>
      <c r="C1255" s="7" t="s">
        <v>760</v>
      </c>
      <c r="D1255" s="8" t="s">
        <v>3937</v>
      </c>
      <c r="E1255" s="8" t="s">
        <v>484</v>
      </c>
      <c r="F1255" s="7" t="s">
        <v>3938</v>
      </c>
      <c r="G1255" s="9" t="s">
        <v>209</v>
      </c>
      <c r="H1255" s="7" t="s">
        <v>851</v>
      </c>
      <c r="I1255" s="7" t="s">
        <v>4159</v>
      </c>
      <c r="J1255" s="10">
        <v>45990.0</v>
      </c>
      <c r="K1255" s="8" t="s">
        <v>657</v>
      </c>
      <c r="L1255" s="7">
        <v>4.0</v>
      </c>
      <c r="M1255" s="7" t="s">
        <v>4206</v>
      </c>
      <c r="N1255" s="13" t="s">
        <v>4207</v>
      </c>
      <c r="O1255" s="15" t="s">
        <v>4208</v>
      </c>
    </row>
    <row r="1256">
      <c r="A1256" s="5">
        <v>1472.0</v>
      </c>
      <c r="B1256" s="6">
        <v>45998.95189998843</v>
      </c>
      <c r="C1256" s="7" t="s">
        <v>26</v>
      </c>
      <c r="D1256" s="8" t="s">
        <v>2172</v>
      </c>
      <c r="E1256" s="8" t="s">
        <v>411</v>
      </c>
      <c r="F1256" s="7" t="s">
        <v>2173</v>
      </c>
      <c r="G1256" s="9" t="s">
        <v>181</v>
      </c>
      <c r="H1256" s="7" t="s">
        <v>4209</v>
      </c>
      <c r="I1256" s="7" t="s">
        <v>4210</v>
      </c>
      <c r="J1256" s="10">
        <v>45979.0</v>
      </c>
      <c r="K1256" s="8" t="s">
        <v>129</v>
      </c>
      <c r="L1256" s="7">
        <v>2.0</v>
      </c>
      <c r="M1256" s="7" t="s">
        <v>219</v>
      </c>
      <c r="N1256" s="13" t="s">
        <v>4211</v>
      </c>
      <c r="O1256" s="15" t="s">
        <v>4212</v>
      </c>
    </row>
    <row r="1257">
      <c r="A1257" s="5">
        <v>1473.0</v>
      </c>
      <c r="B1257" s="6">
        <v>45998.95263424769</v>
      </c>
      <c r="C1257" s="7" t="s">
        <v>760</v>
      </c>
      <c r="D1257" s="8" t="s">
        <v>1209</v>
      </c>
      <c r="E1257" s="8" t="s">
        <v>223</v>
      </c>
      <c r="F1257" s="7" t="s">
        <v>1210</v>
      </c>
      <c r="G1257" s="9" t="s">
        <v>181</v>
      </c>
      <c r="H1257" s="7" t="s">
        <v>895</v>
      </c>
      <c r="I1257" s="7" t="s">
        <v>279</v>
      </c>
      <c r="J1257" s="10">
        <v>45975.0</v>
      </c>
      <c r="K1257" s="8" t="s">
        <v>896</v>
      </c>
      <c r="L1257" s="7">
        <v>1.0</v>
      </c>
      <c r="M1257" s="7" t="s">
        <v>33</v>
      </c>
      <c r="N1257" s="13" t="s">
        <v>4213</v>
      </c>
      <c r="O1257" s="15" t="s">
        <v>4214</v>
      </c>
    </row>
    <row r="1258">
      <c r="A1258" s="5">
        <v>1474.0</v>
      </c>
      <c r="B1258" s="6">
        <v>45998.95392703704</v>
      </c>
      <c r="C1258" s="7" t="s">
        <v>760</v>
      </c>
      <c r="D1258" s="8" t="s">
        <v>3406</v>
      </c>
      <c r="E1258" s="8" t="s">
        <v>134</v>
      </c>
      <c r="F1258" s="7" t="s">
        <v>3407</v>
      </c>
      <c r="G1258" s="9" t="s">
        <v>181</v>
      </c>
      <c r="H1258" s="7" t="s">
        <v>4215</v>
      </c>
      <c r="I1258" s="7" t="s">
        <v>279</v>
      </c>
      <c r="J1258" s="10">
        <v>45901.0</v>
      </c>
      <c r="K1258" s="8" t="s">
        <v>4065</v>
      </c>
      <c r="L1258" s="7">
        <v>4.0</v>
      </c>
      <c r="M1258" s="7" t="s">
        <v>1325</v>
      </c>
      <c r="N1258" s="13" t="s">
        <v>4216</v>
      </c>
      <c r="O1258" s="15" t="s">
        <v>4217</v>
      </c>
    </row>
    <row r="1259">
      <c r="A1259" s="5">
        <v>1476.0</v>
      </c>
      <c r="B1259" s="6">
        <v>45998.9571549074</v>
      </c>
      <c r="C1259" s="7" t="s">
        <v>125</v>
      </c>
      <c r="D1259" s="8" t="s">
        <v>2303</v>
      </c>
      <c r="E1259" s="8" t="s">
        <v>28</v>
      </c>
      <c r="F1259" s="7" t="s">
        <v>2304</v>
      </c>
      <c r="G1259" s="9" t="s">
        <v>19</v>
      </c>
      <c r="H1259" s="7" t="s">
        <v>173</v>
      </c>
      <c r="I1259" s="7" t="s">
        <v>174</v>
      </c>
      <c r="J1259" s="10">
        <v>45854.0</v>
      </c>
      <c r="K1259" s="8" t="s">
        <v>175</v>
      </c>
      <c r="L1259" s="7">
        <v>6.0</v>
      </c>
      <c r="M1259" s="7" t="s">
        <v>95</v>
      </c>
      <c r="N1259" s="13" t="s">
        <v>4218</v>
      </c>
      <c r="O1259" s="23"/>
    </row>
    <row r="1260">
      <c r="A1260" s="5">
        <v>1477.0</v>
      </c>
      <c r="B1260" s="6">
        <v>45998.957185798616</v>
      </c>
      <c r="C1260" s="7" t="s">
        <v>760</v>
      </c>
      <c r="D1260" s="8" t="s">
        <v>2799</v>
      </c>
      <c r="E1260" s="8" t="s">
        <v>171</v>
      </c>
      <c r="F1260" s="7" t="s">
        <v>2800</v>
      </c>
      <c r="G1260" s="9" t="s">
        <v>84</v>
      </c>
      <c r="H1260" s="7" t="s">
        <v>85</v>
      </c>
      <c r="I1260" s="7" t="s">
        <v>1192</v>
      </c>
      <c r="J1260" s="10">
        <v>45997.0</v>
      </c>
      <c r="K1260" s="8" t="s">
        <v>4219</v>
      </c>
      <c r="L1260" s="7">
        <v>8.0</v>
      </c>
      <c r="M1260" s="7" t="s">
        <v>4220</v>
      </c>
      <c r="N1260" s="13" t="s">
        <v>4221</v>
      </c>
      <c r="O1260" s="15" t="s">
        <v>4222</v>
      </c>
    </row>
    <row r="1261">
      <c r="A1261" s="5">
        <v>1478.0</v>
      </c>
      <c r="B1261" s="6">
        <v>45998.958213425925</v>
      </c>
      <c r="C1261" s="7" t="s">
        <v>125</v>
      </c>
      <c r="D1261" s="8" t="s">
        <v>4223</v>
      </c>
      <c r="E1261" s="8" t="s">
        <v>893</v>
      </c>
      <c r="F1261" s="7" t="s">
        <v>4224</v>
      </c>
      <c r="G1261" s="9" t="s">
        <v>19</v>
      </c>
      <c r="H1261" s="7" t="s">
        <v>173</v>
      </c>
      <c r="I1261" s="7" t="s">
        <v>174</v>
      </c>
      <c r="J1261" s="10">
        <v>45854.0</v>
      </c>
      <c r="K1261" s="8" t="s">
        <v>4225</v>
      </c>
      <c r="L1261" s="7">
        <v>6.0</v>
      </c>
      <c r="M1261" s="7" t="s">
        <v>106</v>
      </c>
      <c r="N1261" s="13" t="s">
        <v>4226</v>
      </c>
      <c r="O1261" s="15" t="s">
        <v>4227</v>
      </c>
    </row>
    <row r="1262">
      <c r="A1262" s="5">
        <v>1479.0</v>
      </c>
      <c r="B1262" s="6">
        <v>45998.95881872685</v>
      </c>
      <c r="C1262" s="7" t="s">
        <v>26</v>
      </c>
      <c r="D1262" s="8" t="s">
        <v>2172</v>
      </c>
      <c r="E1262" s="8" t="s">
        <v>411</v>
      </c>
      <c r="F1262" s="7" t="s">
        <v>2173</v>
      </c>
      <c r="G1262" s="9" t="s">
        <v>181</v>
      </c>
      <c r="H1262" s="7" t="s">
        <v>4228</v>
      </c>
      <c r="I1262" s="7" t="s">
        <v>1063</v>
      </c>
      <c r="J1262" s="10">
        <v>45887.0</v>
      </c>
      <c r="K1262" s="8" t="s">
        <v>4229</v>
      </c>
      <c r="L1262" s="7">
        <v>2.0</v>
      </c>
      <c r="M1262" s="7" t="s">
        <v>1064</v>
      </c>
      <c r="N1262" s="13" t="s">
        <v>4230</v>
      </c>
      <c r="O1262" s="15" t="s">
        <v>4231</v>
      </c>
    </row>
    <row r="1263">
      <c r="A1263" s="5">
        <v>1480.0</v>
      </c>
      <c r="B1263" s="6">
        <v>45998.96037997685</v>
      </c>
      <c r="C1263" s="7" t="s">
        <v>125</v>
      </c>
      <c r="D1263" s="8" t="s">
        <v>4223</v>
      </c>
      <c r="E1263" s="8" t="s">
        <v>893</v>
      </c>
      <c r="F1263" s="7" t="s">
        <v>4224</v>
      </c>
      <c r="G1263" s="9" t="s">
        <v>159</v>
      </c>
      <c r="H1263" s="7" t="s">
        <v>3234</v>
      </c>
      <c r="I1263" s="7" t="s">
        <v>1131</v>
      </c>
      <c r="J1263" s="10">
        <v>45965.0</v>
      </c>
      <c r="K1263" s="8" t="s">
        <v>1665</v>
      </c>
      <c r="L1263" s="7">
        <v>2.0</v>
      </c>
      <c r="M1263" s="7" t="s">
        <v>4232</v>
      </c>
      <c r="N1263" s="13" t="s">
        <v>4233</v>
      </c>
      <c r="O1263" s="15" t="s">
        <v>4234</v>
      </c>
    </row>
    <row r="1264">
      <c r="A1264" s="5">
        <v>1481.0</v>
      </c>
      <c r="B1264" s="6">
        <v>45998.96250847222</v>
      </c>
      <c r="C1264" s="7" t="s">
        <v>125</v>
      </c>
      <c r="D1264" s="8" t="s">
        <v>4223</v>
      </c>
      <c r="E1264" s="8" t="s">
        <v>893</v>
      </c>
      <c r="F1264" s="7" t="s">
        <v>4224</v>
      </c>
      <c r="G1264" s="9" t="s">
        <v>144</v>
      </c>
      <c r="H1264" s="7" t="s">
        <v>3250</v>
      </c>
      <c r="I1264" s="7" t="s">
        <v>1119</v>
      </c>
      <c r="J1264" s="10">
        <v>45949.0</v>
      </c>
      <c r="K1264" s="8" t="s">
        <v>1538</v>
      </c>
      <c r="L1264" s="7">
        <v>4.0</v>
      </c>
      <c r="M1264" s="7" t="s">
        <v>1121</v>
      </c>
      <c r="N1264" s="13" t="s">
        <v>4235</v>
      </c>
      <c r="O1264" s="15" t="s">
        <v>4236</v>
      </c>
    </row>
    <row r="1265">
      <c r="A1265" s="5">
        <v>1482.0</v>
      </c>
      <c r="B1265" s="6">
        <v>45998.96372662037</v>
      </c>
      <c r="C1265" s="7" t="s">
        <v>26</v>
      </c>
      <c r="D1265" s="8" t="s">
        <v>2172</v>
      </c>
      <c r="E1265" s="8" t="s">
        <v>411</v>
      </c>
      <c r="F1265" s="7" t="s">
        <v>2173</v>
      </c>
      <c r="G1265" s="9" t="s">
        <v>181</v>
      </c>
      <c r="H1265" s="7" t="s">
        <v>1301</v>
      </c>
      <c r="I1265" s="7" t="s">
        <v>1063</v>
      </c>
      <c r="J1265" s="10">
        <v>45888.0</v>
      </c>
      <c r="K1265" s="8" t="s">
        <v>4229</v>
      </c>
      <c r="L1265" s="7">
        <v>2.0</v>
      </c>
      <c r="M1265" s="7" t="s">
        <v>1064</v>
      </c>
      <c r="N1265" s="13" t="s">
        <v>4237</v>
      </c>
      <c r="O1265" s="15" t="s">
        <v>4238</v>
      </c>
    </row>
    <row r="1266">
      <c r="A1266" s="5">
        <v>1483.0</v>
      </c>
      <c r="B1266" s="6">
        <v>45998.963961180554</v>
      </c>
      <c r="C1266" s="7" t="s">
        <v>125</v>
      </c>
      <c r="D1266" s="8" t="s">
        <v>4223</v>
      </c>
      <c r="E1266" s="8" t="s">
        <v>893</v>
      </c>
      <c r="F1266" s="7" t="s">
        <v>4224</v>
      </c>
      <c r="G1266" s="9" t="s">
        <v>209</v>
      </c>
      <c r="H1266" s="7" t="s">
        <v>3258</v>
      </c>
      <c r="I1266" s="7" t="s">
        <v>4239</v>
      </c>
      <c r="J1266" s="10">
        <v>45948.0</v>
      </c>
      <c r="K1266" s="8" t="s">
        <v>1521</v>
      </c>
      <c r="L1266" s="7">
        <v>4.0</v>
      </c>
      <c r="M1266" s="7" t="s">
        <v>1135</v>
      </c>
      <c r="N1266" s="13" t="s">
        <v>4240</v>
      </c>
      <c r="O1266" s="15" t="s">
        <v>4241</v>
      </c>
    </row>
    <row r="1267">
      <c r="A1267" s="5">
        <v>1484.0</v>
      </c>
      <c r="B1267" s="6">
        <v>45998.965461678235</v>
      </c>
      <c r="C1267" s="7" t="s">
        <v>125</v>
      </c>
      <c r="D1267" s="8" t="s">
        <v>4045</v>
      </c>
      <c r="E1267" s="8" t="s">
        <v>1097</v>
      </c>
      <c r="F1267" s="7" t="s">
        <v>4046</v>
      </c>
      <c r="G1267" s="9" t="s">
        <v>159</v>
      </c>
      <c r="H1267" s="7" t="s">
        <v>3896</v>
      </c>
      <c r="I1267" s="7" t="s">
        <v>3897</v>
      </c>
      <c r="J1267" s="10">
        <v>45966.0</v>
      </c>
      <c r="K1267" s="8" t="s">
        <v>689</v>
      </c>
      <c r="L1267" s="7">
        <v>4.0</v>
      </c>
      <c r="M1267" s="7" t="s">
        <v>2616</v>
      </c>
      <c r="N1267" s="13" t="s">
        <v>4242</v>
      </c>
      <c r="O1267" s="15" t="s">
        <v>4243</v>
      </c>
    </row>
    <row r="1268">
      <c r="A1268" s="5">
        <v>1485.0</v>
      </c>
      <c r="B1268" s="6">
        <v>45998.96655210648</v>
      </c>
      <c r="C1268" s="7" t="s">
        <v>125</v>
      </c>
      <c r="D1268" s="8" t="s">
        <v>4223</v>
      </c>
      <c r="E1268" s="8" t="s">
        <v>893</v>
      </c>
      <c r="F1268" s="7" t="s">
        <v>4244</v>
      </c>
      <c r="G1268" s="9" t="s">
        <v>209</v>
      </c>
      <c r="H1268" s="7" t="s">
        <v>3267</v>
      </c>
      <c r="I1268" s="7" t="s">
        <v>1131</v>
      </c>
      <c r="J1268" s="10">
        <v>45970.0</v>
      </c>
      <c r="K1268" s="8" t="s">
        <v>1468</v>
      </c>
      <c r="L1268" s="7">
        <v>4.0</v>
      </c>
      <c r="M1268" s="7" t="s">
        <v>3268</v>
      </c>
      <c r="N1268" s="13" t="s">
        <v>4245</v>
      </c>
      <c r="O1268" s="15" t="s">
        <v>4246</v>
      </c>
    </row>
    <row r="1269">
      <c r="A1269" s="5">
        <v>1486.0</v>
      </c>
      <c r="B1269" s="6">
        <v>45998.968187997685</v>
      </c>
      <c r="C1269" s="7" t="s">
        <v>125</v>
      </c>
      <c r="D1269" s="8" t="s">
        <v>2303</v>
      </c>
      <c r="E1269" s="8" t="s">
        <v>28</v>
      </c>
      <c r="F1269" s="7" t="s">
        <v>2304</v>
      </c>
      <c r="G1269" s="9" t="s">
        <v>415</v>
      </c>
      <c r="H1269" s="7" t="s">
        <v>895</v>
      </c>
      <c r="I1269" s="7" t="s">
        <v>231</v>
      </c>
      <c r="J1269" s="10">
        <v>45881.0</v>
      </c>
      <c r="K1269" s="8" t="s">
        <v>310</v>
      </c>
      <c r="L1269" s="7">
        <v>1.0</v>
      </c>
      <c r="M1269" s="7" t="s">
        <v>33</v>
      </c>
      <c r="N1269" s="13" t="s">
        <v>4247</v>
      </c>
      <c r="O1269" s="15" t="s">
        <v>4248</v>
      </c>
    </row>
    <row r="1270">
      <c r="A1270" s="5">
        <v>1487.0</v>
      </c>
      <c r="B1270" s="6">
        <v>45998.9683062963</v>
      </c>
      <c r="C1270" s="7" t="s">
        <v>26</v>
      </c>
      <c r="D1270" s="8" t="s">
        <v>2172</v>
      </c>
      <c r="E1270" s="8" t="s">
        <v>411</v>
      </c>
      <c r="F1270" s="7" t="s">
        <v>2173</v>
      </c>
      <c r="G1270" s="9" t="s">
        <v>181</v>
      </c>
      <c r="H1270" s="7" t="s">
        <v>1301</v>
      </c>
      <c r="I1270" s="7" t="s">
        <v>1063</v>
      </c>
      <c r="J1270" s="10">
        <v>45889.0</v>
      </c>
      <c r="K1270" s="8" t="s">
        <v>4229</v>
      </c>
      <c r="L1270" s="7">
        <v>2.0</v>
      </c>
      <c r="M1270" s="7" t="s">
        <v>1064</v>
      </c>
      <c r="N1270" s="13" t="s">
        <v>4249</v>
      </c>
      <c r="O1270" s="15" t="s">
        <v>4250</v>
      </c>
    </row>
    <row r="1271">
      <c r="A1271" s="5">
        <v>1488.0</v>
      </c>
      <c r="B1271" s="6">
        <v>45998.97058195602</v>
      </c>
      <c r="C1271" s="7" t="s">
        <v>125</v>
      </c>
      <c r="D1271" s="8" t="s">
        <v>4045</v>
      </c>
      <c r="E1271" s="8" t="s">
        <v>1097</v>
      </c>
      <c r="F1271" s="7" t="s">
        <v>4046</v>
      </c>
      <c r="G1271" s="9" t="s">
        <v>144</v>
      </c>
      <c r="H1271" s="7" t="s">
        <v>4251</v>
      </c>
      <c r="I1271" s="7" t="s">
        <v>4252</v>
      </c>
      <c r="J1271" s="10">
        <v>45969.0</v>
      </c>
      <c r="K1271" s="8" t="s">
        <v>1365</v>
      </c>
      <c r="L1271" s="7">
        <v>4.0</v>
      </c>
      <c r="M1271" s="7" t="s">
        <v>2616</v>
      </c>
      <c r="N1271" s="13" t="s">
        <v>4253</v>
      </c>
      <c r="O1271" s="15" t="s">
        <v>4254</v>
      </c>
    </row>
    <row r="1272">
      <c r="A1272" s="5">
        <v>1489.0</v>
      </c>
      <c r="B1272" s="6">
        <v>45998.97205214121</v>
      </c>
      <c r="C1272" s="7" t="s">
        <v>125</v>
      </c>
      <c r="D1272" s="8" t="s">
        <v>4223</v>
      </c>
      <c r="E1272" s="8" t="s">
        <v>893</v>
      </c>
      <c r="F1272" s="7" t="s">
        <v>4224</v>
      </c>
      <c r="G1272" s="9" t="s">
        <v>159</v>
      </c>
      <c r="H1272" s="7" t="s">
        <v>4255</v>
      </c>
      <c r="I1272" s="7" t="s">
        <v>4256</v>
      </c>
      <c r="J1272" s="10">
        <v>45956.0</v>
      </c>
      <c r="K1272" s="8" t="s">
        <v>1365</v>
      </c>
      <c r="L1272" s="7">
        <v>4.0</v>
      </c>
      <c r="M1272" s="7" t="s">
        <v>3268</v>
      </c>
      <c r="N1272" s="13" t="s">
        <v>4257</v>
      </c>
      <c r="O1272" s="15" t="s">
        <v>4258</v>
      </c>
    </row>
    <row r="1273">
      <c r="A1273" s="5">
        <v>1490.0</v>
      </c>
      <c r="B1273" s="6">
        <v>45998.97424473379</v>
      </c>
      <c r="C1273" s="7" t="s">
        <v>125</v>
      </c>
      <c r="D1273" s="8" t="s">
        <v>2303</v>
      </c>
      <c r="E1273" s="8" t="s">
        <v>28</v>
      </c>
      <c r="F1273" s="7" t="s">
        <v>2304</v>
      </c>
      <c r="G1273" s="9" t="s">
        <v>181</v>
      </c>
      <c r="H1273" s="7" t="s">
        <v>4259</v>
      </c>
      <c r="I1273" s="7" t="s">
        <v>231</v>
      </c>
      <c r="J1273" s="10">
        <v>45855.0</v>
      </c>
      <c r="K1273" s="8" t="s">
        <v>1647</v>
      </c>
      <c r="L1273" s="7">
        <v>6.0</v>
      </c>
      <c r="M1273" s="7" t="s">
        <v>4260</v>
      </c>
      <c r="N1273" s="13" t="s">
        <v>4261</v>
      </c>
      <c r="O1273" s="15" t="s">
        <v>4262</v>
      </c>
    </row>
    <row r="1274">
      <c r="A1274" s="5">
        <v>1491.0</v>
      </c>
      <c r="B1274" s="6">
        <v>45998.97809304398</v>
      </c>
      <c r="C1274" s="7" t="s">
        <v>125</v>
      </c>
      <c r="D1274" s="8" t="s">
        <v>4223</v>
      </c>
      <c r="E1274" s="8" t="s">
        <v>893</v>
      </c>
      <c r="F1274" s="7" t="s">
        <v>4224</v>
      </c>
      <c r="G1274" s="9" t="s">
        <v>209</v>
      </c>
      <c r="H1274" s="7" t="s">
        <v>895</v>
      </c>
      <c r="I1274" s="7" t="s">
        <v>231</v>
      </c>
      <c r="J1274" s="10">
        <v>45834.0</v>
      </c>
      <c r="K1274" s="8" t="s">
        <v>310</v>
      </c>
      <c r="L1274" s="7">
        <v>1.0</v>
      </c>
      <c r="M1274" s="7" t="s">
        <v>33</v>
      </c>
      <c r="N1274" s="13" t="s">
        <v>4263</v>
      </c>
      <c r="O1274" s="15" t="s">
        <v>4264</v>
      </c>
    </row>
    <row r="1275">
      <c r="A1275" s="5">
        <v>1492.0</v>
      </c>
      <c r="B1275" s="6">
        <v>45998.97899732639</v>
      </c>
      <c r="C1275" s="7" t="s">
        <v>125</v>
      </c>
      <c r="D1275" s="8" t="s">
        <v>4223</v>
      </c>
      <c r="E1275" s="8" t="s">
        <v>893</v>
      </c>
      <c r="F1275" s="7" t="s">
        <v>4224</v>
      </c>
      <c r="G1275" s="9" t="s">
        <v>209</v>
      </c>
      <c r="H1275" s="7" t="s">
        <v>895</v>
      </c>
      <c r="I1275" s="7" t="s">
        <v>231</v>
      </c>
      <c r="J1275" s="10">
        <v>45841.0</v>
      </c>
      <c r="K1275" s="8" t="s">
        <v>310</v>
      </c>
      <c r="L1275" s="7">
        <v>1.0</v>
      </c>
      <c r="M1275" s="7" t="s">
        <v>33</v>
      </c>
      <c r="N1275" s="13" t="s">
        <v>4265</v>
      </c>
      <c r="O1275" s="15" t="s">
        <v>4266</v>
      </c>
    </row>
    <row r="1276">
      <c r="A1276" s="5">
        <v>1494.0</v>
      </c>
      <c r="B1276" s="6">
        <v>45999.01044372685</v>
      </c>
      <c r="C1276" s="7" t="s">
        <v>15</v>
      </c>
      <c r="D1276" s="8" t="s">
        <v>3002</v>
      </c>
      <c r="E1276" s="8" t="s">
        <v>1097</v>
      </c>
      <c r="F1276" s="7" t="s">
        <v>3003</v>
      </c>
      <c r="G1276" s="9" t="s">
        <v>19</v>
      </c>
      <c r="H1276" s="7" t="s">
        <v>44</v>
      </c>
      <c r="I1276" s="7" t="s">
        <v>37</v>
      </c>
      <c r="J1276" s="10">
        <v>45839.0</v>
      </c>
      <c r="K1276" s="8" t="s">
        <v>4267</v>
      </c>
      <c r="L1276" s="7">
        <v>8.0</v>
      </c>
      <c r="M1276" s="7" t="s">
        <v>33</v>
      </c>
      <c r="N1276" s="13" t="s">
        <v>4268</v>
      </c>
      <c r="O1276" s="15" t="s">
        <v>4269</v>
      </c>
    </row>
    <row r="1277">
      <c r="A1277" s="5">
        <v>1495.0</v>
      </c>
      <c r="B1277" s="6">
        <v>45999.012103402776</v>
      </c>
      <c r="C1277" s="7" t="s">
        <v>15</v>
      </c>
      <c r="D1277" s="8" t="s">
        <v>3002</v>
      </c>
      <c r="E1277" s="8" t="s">
        <v>1097</v>
      </c>
      <c r="F1277" s="7" t="s">
        <v>3003</v>
      </c>
      <c r="G1277" s="9" t="s">
        <v>19</v>
      </c>
      <c r="H1277" s="7" t="s">
        <v>44</v>
      </c>
      <c r="I1277" s="7" t="s">
        <v>37</v>
      </c>
      <c r="J1277" s="10">
        <v>45840.0</v>
      </c>
      <c r="K1277" s="8" t="s">
        <v>4267</v>
      </c>
      <c r="L1277" s="7">
        <v>8.0</v>
      </c>
      <c r="M1277" s="7" t="s">
        <v>33</v>
      </c>
      <c r="N1277" s="13" t="s">
        <v>4270</v>
      </c>
      <c r="O1277" s="15" t="s">
        <v>4271</v>
      </c>
    </row>
    <row r="1278">
      <c r="A1278" s="5">
        <v>1496.0</v>
      </c>
      <c r="B1278" s="6">
        <v>45999.02538203704</v>
      </c>
      <c r="C1278" s="7" t="s">
        <v>15</v>
      </c>
      <c r="D1278" s="8" t="s">
        <v>4003</v>
      </c>
      <c r="E1278" s="8" t="s">
        <v>223</v>
      </c>
      <c r="F1278" s="7" t="s">
        <v>4004</v>
      </c>
      <c r="G1278" s="9" t="s">
        <v>19</v>
      </c>
      <c r="H1278" s="7" t="s">
        <v>4272</v>
      </c>
      <c r="I1278" s="7" t="s">
        <v>2708</v>
      </c>
      <c r="J1278" s="10">
        <v>45954.0</v>
      </c>
      <c r="K1278" s="8" t="s">
        <v>49</v>
      </c>
      <c r="L1278" s="7">
        <v>8.0</v>
      </c>
      <c r="M1278" s="7" t="s">
        <v>445</v>
      </c>
      <c r="N1278" s="13" t="s">
        <v>4273</v>
      </c>
      <c r="O1278" s="15" t="s">
        <v>4274</v>
      </c>
    </row>
    <row r="1279">
      <c r="A1279" s="5">
        <v>1497.0</v>
      </c>
      <c r="B1279" s="6">
        <v>45999.31814192129</v>
      </c>
      <c r="C1279" s="7" t="s">
        <v>26</v>
      </c>
      <c r="D1279" s="8" t="s">
        <v>274</v>
      </c>
      <c r="E1279" s="8" t="s">
        <v>228</v>
      </c>
      <c r="F1279" s="7" t="s">
        <v>275</v>
      </c>
      <c r="G1279" s="9" t="s">
        <v>19</v>
      </c>
      <c r="H1279" s="7" t="s">
        <v>4275</v>
      </c>
      <c r="I1279" s="7" t="s">
        <v>3736</v>
      </c>
      <c r="J1279" s="10">
        <v>46007.0</v>
      </c>
      <c r="K1279" s="8" t="s">
        <v>3737</v>
      </c>
      <c r="L1279" s="7">
        <v>8.0</v>
      </c>
      <c r="M1279" s="7" t="s">
        <v>1325</v>
      </c>
      <c r="N1279" s="13" t="s">
        <v>4276</v>
      </c>
      <c r="O1279" s="15" t="s">
        <v>4277</v>
      </c>
    </row>
    <row r="1280">
      <c r="A1280" s="5">
        <v>1498.0</v>
      </c>
      <c r="B1280" s="6">
        <v>45999.318339143516</v>
      </c>
      <c r="C1280" s="7" t="s">
        <v>26</v>
      </c>
      <c r="D1280" s="8" t="s">
        <v>950</v>
      </c>
      <c r="E1280" s="8" t="s">
        <v>951</v>
      </c>
      <c r="F1280" s="7" t="s">
        <v>952</v>
      </c>
      <c r="G1280" s="9" t="s">
        <v>19</v>
      </c>
      <c r="H1280" s="7" t="s">
        <v>3735</v>
      </c>
      <c r="I1280" s="7" t="s">
        <v>3736</v>
      </c>
      <c r="J1280" s="10">
        <v>46009.0</v>
      </c>
      <c r="K1280" s="8" t="s">
        <v>3737</v>
      </c>
      <c r="L1280" s="7">
        <v>8.0</v>
      </c>
      <c r="M1280" s="7" t="s">
        <v>1325</v>
      </c>
      <c r="N1280" s="13" t="s">
        <v>4278</v>
      </c>
      <c r="O1280" s="15" t="s">
        <v>4279</v>
      </c>
    </row>
    <row r="1281">
      <c r="A1281" s="5">
        <v>1499.0</v>
      </c>
      <c r="B1281" s="6">
        <v>45999.32292324074</v>
      </c>
      <c r="C1281" s="7" t="s">
        <v>760</v>
      </c>
      <c r="D1281" s="8" t="s">
        <v>1220</v>
      </c>
      <c r="E1281" s="8" t="s">
        <v>951</v>
      </c>
      <c r="F1281" s="7" t="s">
        <v>1221</v>
      </c>
      <c r="G1281" s="9" t="s">
        <v>209</v>
      </c>
      <c r="H1281" s="7" t="s">
        <v>2900</v>
      </c>
      <c r="I1281" s="7" t="s">
        <v>825</v>
      </c>
      <c r="J1281" s="10">
        <v>45997.0</v>
      </c>
      <c r="K1281" s="8" t="s">
        <v>4280</v>
      </c>
      <c r="L1281" s="7">
        <v>4.0</v>
      </c>
      <c r="M1281" s="7" t="s">
        <v>4281</v>
      </c>
      <c r="N1281" s="13" t="s">
        <v>4282</v>
      </c>
      <c r="O1281" s="15" t="s">
        <v>4283</v>
      </c>
    </row>
    <row r="1282">
      <c r="A1282" s="5">
        <v>1500.0</v>
      </c>
      <c r="B1282" s="6">
        <v>45999.32367050926</v>
      </c>
      <c r="C1282" s="7" t="s">
        <v>26</v>
      </c>
      <c r="D1282" s="8" t="s">
        <v>1341</v>
      </c>
      <c r="E1282" s="8" t="s">
        <v>1152</v>
      </c>
      <c r="F1282" s="7" t="s">
        <v>1342</v>
      </c>
      <c r="G1282" s="9" t="s">
        <v>19</v>
      </c>
      <c r="H1282" s="7" t="s">
        <v>3735</v>
      </c>
      <c r="I1282" s="7" t="s">
        <v>3736</v>
      </c>
      <c r="J1282" s="10">
        <v>46009.0</v>
      </c>
      <c r="K1282" s="8" t="s">
        <v>3737</v>
      </c>
      <c r="L1282" s="7">
        <v>8.0</v>
      </c>
      <c r="M1282" s="7" t="s">
        <v>1325</v>
      </c>
      <c r="N1282" s="13" t="s">
        <v>4284</v>
      </c>
      <c r="O1282" s="15" t="s">
        <v>4285</v>
      </c>
    </row>
    <row r="1283">
      <c r="A1283" s="5">
        <v>1502.0</v>
      </c>
      <c r="B1283" s="6">
        <v>45999.32759622685</v>
      </c>
      <c r="C1283" s="7" t="s">
        <v>26</v>
      </c>
      <c r="D1283" s="8" t="s">
        <v>1247</v>
      </c>
      <c r="E1283" s="8" t="s">
        <v>1248</v>
      </c>
      <c r="F1283" s="7" t="s">
        <v>1249</v>
      </c>
      <c r="G1283" s="9" t="s">
        <v>415</v>
      </c>
      <c r="H1283" s="7" t="s">
        <v>2983</v>
      </c>
      <c r="I1283" s="7" t="s">
        <v>314</v>
      </c>
      <c r="J1283" s="10">
        <v>45944.0</v>
      </c>
      <c r="K1283" s="8" t="s">
        <v>2102</v>
      </c>
      <c r="L1283" s="7">
        <v>1.0</v>
      </c>
      <c r="M1283" s="7" t="s">
        <v>33</v>
      </c>
      <c r="N1283" s="13" t="s">
        <v>4286</v>
      </c>
      <c r="O1283" s="15" t="s">
        <v>4287</v>
      </c>
    </row>
    <row r="1284">
      <c r="A1284" s="5">
        <v>1503.0</v>
      </c>
      <c r="B1284" s="6">
        <v>45999.33255136574</v>
      </c>
      <c r="C1284" s="7" t="s">
        <v>26</v>
      </c>
      <c r="D1284" s="8" t="s">
        <v>2172</v>
      </c>
      <c r="E1284" s="8" t="s">
        <v>411</v>
      </c>
      <c r="F1284" s="7" t="s">
        <v>2173</v>
      </c>
      <c r="G1284" s="9" t="s">
        <v>19</v>
      </c>
      <c r="H1284" s="7" t="s">
        <v>3735</v>
      </c>
      <c r="I1284" s="7" t="s">
        <v>3736</v>
      </c>
      <c r="J1284" s="10">
        <v>46007.0</v>
      </c>
      <c r="K1284" s="8" t="s">
        <v>2266</v>
      </c>
      <c r="L1284" s="7">
        <v>8.0</v>
      </c>
      <c r="M1284" s="7" t="s">
        <v>1325</v>
      </c>
      <c r="N1284" s="13" t="s">
        <v>4288</v>
      </c>
      <c r="O1284" s="15" t="s">
        <v>4289</v>
      </c>
    </row>
    <row r="1285">
      <c r="A1285" s="5">
        <v>1504.0</v>
      </c>
      <c r="B1285" s="6">
        <v>45999.388806180556</v>
      </c>
      <c r="C1285" s="7" t="s">
        <v>15</v>
      </c>
      <c r="D1285" s="8" t="s">
        <v>3002</v>
      </c>
      <c r="E1285" s="8" t="s">
        <v>1097</v>
      </c>
      <c r="F1285" s="7" t="s">
        <v>3003</v>
      </c>
      <c r="G1285" s="9" t="s">
        <v>415</v>
      </c>
      <c r="H1285" s="7" t="s">
        <v>2344</v>
      </c>
      <c r="I1285" s="7" t="s">
        <v>4290</v>
      </c>
      <c r="J1285" s="10">
        <v>45995.0</v>
      </c>
      <c r="K1285" s="8" t="s">
        <v>2659</v>
      </c>
      <c r="L1285" s="7">
        <v>1.0</v>
      </c>
      <c r="M1285" s="7" t="s">
        <v>4291</v>
      </c>
      <c r="N1285" s="13" t="s">
        <v>4292</v>
      </c>
      <c r="O1285" s="15" t="s">
        <v>4293</v>
      </c>
    </row>
    <row r="1286">
      <c r="A1286" s="5">
        <v>1505.0</v>
      </c>
      <c r="B1286" s="6">
        <v>45999.52235125</v>
      </c>
      <c r="C1286" s="7" t="s">
        <v>125</v>
      </c>
      <c r="D1286" s="8" t="s">
        <v>4294</v>
      </c>
      <c r="E1286" s="8" t="s">
        <v>1948</v>
      </c>
      <c r="F1286" s="7" t="s">
        <v>4295</v>
      </c>
      <c r="G1286" s="9" t="s">
        <v>159</v>
      </c>
      <c r="H1286" s="7" t="s">
        <v>4296</v>
      </c>
      <c r="I1286" s="7" t="s">
        <v>205</v>
      </c>
      <c r="J1286" s="10">
        <v>45951.0</v>
      </c>
      <c r="K1286" s="8" t="s">
        <v>22</v>
      </c>
      <c r="L1286" s="7">
        <v>4.0</v>
      </c>
      <c r="M1286" s="7" t="s">
        <v>4297</v>
      </c>
      <c r="N1286" s="13" t="s">
        <v>4298</v>
      </c>
      <c r="O1286" s="15" t="s">
        <v>4299</v>
      </c>
    </row>
    <row r="1287">
      <c r="A1287" s="5">
        <v>1506.0</v>
      </c>
      <c r="B1287" s="6">
        <v>45999.53095969907</v>
      </c>
      <c r="C1287" s="7" t="s">
        <v>125</v>
      </c>
      <c r="D1287" s="8" t="s">
        <v>4294</v>
      </c>
      <c r="E1287" s="8" t="s">
        <v>1948</v>
      </c>
      <c r="F1287" s="7" t="s">
        <v>4300</v>
      </c>
      <c r="G1287" s="9" t="s">
        <v>144</v>
      </c>
      <c r="H1287" s="7" t="s">
        <v>155</v>
      </c>
      <c r="I1287" s="7" t="s">
        <v>156</v>
      </c>
      <c r="J1287" s="10">
        <v>45961.0</v>
      </c>
      <c r="K1287" s="8" t="s">
        <v>22</v>
      </c>
      <c r="L1287" s="7">
        <v>4.0</v>
      </c>
      <c r="M1287" s="7" t="s">
        <v>147</v>
      </c>
      <c r="N1287" s="13" t="s">
        <v>4301</v>
      </c>
      <c r="O1287" s="15" t="s">
        <v>4302</v>
      </c>
    </row>
    <row r="1288">
      <c r="A1288" s="5">
        <v>1507.0</v>
      </c>
      <c r="B1288" s="6">
        <v>45999.59326873843</v>
      </c>
      <c r="C1288" s="7" t="s">
        <v>15</v>
      </c>
      <c r="D1288" s="8" t="s">
        <v>4303</v>
      </c>
      <c r="E1288" s="8" t="s">
        <v>1596</v>
      </c>
      <c r="F1288" s="7" t="s">
        <v>4304</v>
      </c>
      <c r="G1288" s="9" t="s">
        <v>19</v>
      </c>
      <c r="H1288" s="7" t="s">
        <v>4305</v>
      </c>
      <c r="I1288" s="7" t="s">
        <v>37</v>
      </c>
      <c r="J1288" s="10">
        <v>45839.0</v>
      </c>
      <c r="K1288" s="8" t="s">
        <v>4306</v>
      </c>
      <c r="L1288" s="7">
        <v>8.0</v>
      </c>
      <c r="M1288" s="7" t="s">
        <v>553</v>
      </c>
      <c r="N1288" s="13" t="s">
        <v>4307</v>
      </c>
      <c r="O1288" s="15" t="s">
        <v>4308</v>
      </c>
    </row>
    <row r="1289">
      <c r="A1289" s="5">
        <v>1508.0</v>
      </c>
      <c r="B1289" s="6">
        <v>45999.59536018518</v>
      </c>
      <c r="C1289" s="7" t="s">
        <v>15</v>
      </c>
      <c r="D1289" s="8" t="s">
        <v>3083</v>
      </c>
      <c r="E1289" s="8" t="s">
        <v>1049</v>
      </c>
      <c r="F1289" s="7" t="s">
        <v>3084</v>
      </c>
      <c r="G1289" s="9" t="s">
        <v>415</v>
      </c>
      <c r="H1289" s="7" t="s">
        <v>2983</v>
      </c>
      <c r="I1289" s="7" t="s">
        <v>456</v>
      </c>
      <c r="J1289" s="10">
        <v>45989.0</v>
      </c>
      <c r="K1289" s="8" t="s">
        <v>232</v>
      </c>
      <c r="L1289" s="7">
        <v>1.0</v>
      </c>
      <c r="M1289" s="7" t="s">
        <v>4309</v>
      </c>
      <c r="N1289" s="13" t="s">
        <v>4310</v>
      </c>
      <c r="O1289" s="15" t="s">
        <v>4311</v>
      </c>
    </row>
    <row r="1290">
      <c r="A1290" s="5">
        <v>1509.0</v>
      </c>
      <c r="B1290" s="6">
        <v>45999.59560747685</v>
      </c>
      <c r="C1290" s="7" t="s">
        <v>15</v>
      </c>
      <c r="D1290" s="8" t="s">
        <v>4303</v>
      </c>
      <c r="E1290" s="8" t="s">
        <v>1596</v>
      </c>
      <c r="F1290" s="7" t="s">
        <v>4304</v>
      </c>
      <c r="G1290" s="9" t="s">
        <v>19</v>
      </c>
      <c r="H1290" s="7" t="s">
        <v>4312</v>
      </c>
      <c r="I1290" s="7" t="s">
        <v>37</v>
      </c>
      <c r="J1290" s="10">
        <v>45840.0</v>
      </c>
      <c r="K1290" s="8" t="s">
        <v>2922</v>
      </c>
      <c r="L1290" s="7">
        <v>8.0</v>
      </c>
      <c r="M1290" s="7" t="s">
        <v>33</v>
      </c>
      <c r="N1290" s="13" t="s">
        <v>4313</v>
      </c>
      <c r="O1290" s="15" t="s">
        <v>4314</v>
      </c>
    </row>
    <row r="1291">
      <c r="A1291" s="5">
        <v>1510.0</v>
      </c>
      <c r="B1291" s="6">
        <v>45999.596005810185</v>
      </c>
      <c r="C1291" s="7" t="s">
        <v>15</v>
      </c>
      <c r="D1291" s="8" t="s">
        <v>4315</v>
      </c>
      <c r="E1291" s="8" t="s">
        <v>164</v>
      </c>
      <c r="F1291" s="7" t="s">
        <v>4316</v>
      </c>
      <c r="G1291" s="9" t="s">
        <v>19</v>
      </c>
      <c r="H1291" s="7" t="s">
        <v>36</v>
      </c>
      <c r="I1291" s="7" t="s">
        <v>31</v>
      </c>
      <c r="J1291" s="10">
        <v>45825.0</v>
      </c>
      <c r="K1291" s="8" t="s">
        <v>49</v>
      </c>
      <c r="L1291" s="7">
        <v>8.0</v>
      </c>
      <c r="M1291" s="7" t="s">
        <v>1275</v>
      </c>
      <c r="N1291" s="13" t="s">
        <v>4317</v>
      </c>
      <c r="O1291" s="15" t="s">
        <v>4318</v>
      </c>
    </row>
    <row r="1292">
      <c r="A1292" s="5">
        <v>1511.0</v>
      </c>
      <c r="B1292" s="6">
        <v>45999.59890513889</v>
      </c>
      <c r="C1292" s="7" t="s">
        <v>15</v>
      </c>
      <c r="D1292" s="8" t="s">
        <v>4303</v>
      </c>
      <c r="E1292" s="8" t="s">
        <v>1596</v>
      </c>
      <c r="F1292" s="7" t="s">
        <v>4319</v>
      </c>
      <c r="G1292" s="9" t="s">
        <v>181</v>
      </c>
      <c r="H1292" s="7" t="s">
        <v>4320</v>
      </c>
      <c r="I1292" s="7" t="s">
        <v>21</v>
      </c>
      <c r="J1292" s="10">
        <v>45940.0</v>
      </c>
      <c r="K1292" s="8" t="s">
        <v>22</v>
      </c>
      <c r="L1292" s="7">
        <v>4.0</v>
      </c>
      <c r="M1292" s="7" t="s">
        <v>23</v>
      </c>
      <c r="N1292" s="13" t="s">
        <v>4321</v>
      </c>
      <c r="O1292" s="15" t="s">
        <v>4322</v>
      </c>
    </row>
    <row r="1293">
      <c r="A1293" s="5">
        <v>1512.0</v>
      </c>
      <c r="B1293" s="6">
        <v>45999.59911795139</v>
      </c>
      <c r="C1293" s="7" t="s">
        <v>15</v>
      </c>
      <c r="D1293" s="8" t="s">
        <v>4315</v>
      </c>
      <c r="E1293" s="8" t="s">
        <v>164</v>
      </c>
      <c r="F1293" s="7" t="s">
        <v>4323</v>
      </c>
      <c r="G1293" s="9" t="s">
        <v>19</v>
      </c>
      <c r="H1293" s="7" t="s">
        <v>36</v>
      </c>
      <c r="I1293" s="7" t="s">
        <v>1055</v>
      </c>
      <c r="J1293" s="10">
        <v>45833.0</v>
      </c>
      <c r="K1293" s="8" t="s">
        <v>49</v>
      </c>
      <c r="L1293" s="7">
        <v>8.0</v>
      </c>
      <c r="M1293" s="7" t="s">
        <v>33</v>
      </c>
      <c r="N1293" s="13" t="s">
        <v>4324</v>
      </c>
      <c r="O1293" s="15" t="s">
        <v>4325</v>
      </c>
    </row>
    <row r="1294">
      <c r="A1294" s="5">
        <v>1513.0</v>
      </c>
      <c r="B1294" s="6">
        <v>45999.60018354167</v>
      </c>
      <c r="C1294" s="7" t="s">
        <v>15</v>
      </c>
      <c r="D1294" s="8" t="s">
        <v>2321</v>
      </c>
      <c r="E1294" s="8" t="s">
        <v>1385</v>
      </c>
      <c r="F1294" s="7" t="s">
        <v>2322</v>
      </c>
      <c r="G1294" s="9" t="s">
        <v>19</v>
      </c>
      <c r="H1294" s="7" t="s">
        <v>4326</v>
      </c>
      <c r="I1294" s="7" t="s">
        <v>21</v>
      </c>
      <c r="J1294" s="10">
        <v>45940.0</v>
      </c>
      <c r="K1294" s="8" t="s">
        <v>22</v>
      </c>
      <c r="L1294" s="7">
        <v>4.0</v>
      </c>
      <c r="M1294" s="7" t="s">
        <v>23</v>
      </c>
      <c r="N1294" s="13" t="s">
        <v>4327</v>
      </c>
      <c r="O1294" s="15" t="s">
        <v>4328</v>
      </c>
    </row>
    <row r="1295">
      <c r="A1295" s="5">
        <v>1514.0</v>
      </c>
      <c r="B1295" s="6">
        <v>45999.60097254629</v>
      </c>
      <c r="C1295" s="7" t="s">
        <v>15</v>
      </c>
      <c r="D1295" s="8" t="s">
        <v>4303</v>
      </c>
      <c r="E1295" s="8" t="s">
        <v>1596</v>
      </c>
      <c r="F1295" s="7" t="s">
        <v>4319</v>
      </c>
      <c r="G1295" s="9" t="s">
        <v>19</v>
      </c>
      <c r="H1295" s="7" t="s">
        <v>4329</v>
      </c>
      <c r="I1295" s="7" t="s">
        <v>94</v>
      </c>
      <c r="J1295" s="10">
        <v>45823.0</v>
      </c>
      <c r="K1295" s="8" t="s">
        <v>22</v>
      </c>
      <c r="L1295" s="7">
        <v>4.0</v>
      </c>
      <c r="M1295" s="7" t="s">
        <v>1154</v>
      </c>
      <c r="N1295" s="13" t="s">
        <v>4330</v>
      </c>
      <c r="O1295" s="15" t="s">
        <v>4331</v>
      </c>
    </row>
    <row r="1296">
      <c r="A1296" s="5">
        <v>1515.0</v>
      </c>
      <c r="B1296" s="6">
        <v>45999.60270225695</v>
      </c>
      <c r="C1296" s="7" t="s">
        <v>15</v>
      </c>
      <c r="D1296" s="8" t="s">
        <v>4315</v>
      </c>
      <c r="E1296" s="8" t="s">
        <v>164</v>
      </c>
      <c r="F1296" s="7" t="s">
        <v>4323</v>
      </c>
      <c r="G1296" s="9" t="s">
        <v>19</v>
      </c>
      <c r="H1296" s="7" t="s">
        <v>36</v>
      </c>
      <c r="I1296" s="7" t="s">
        <v>4332</v>
      </c>
      <c r="J1296" s="10">
        <v>45839.0</v>
      </c>
      <c r="K1296" s="8" t="s">
        <v>67</v>
      </c>
      <c r="L1296" s="7">
        <v>8.0</v>
      </c>
      <c r="M1296" s="7" t="s">
        <v>1275</v>
      </c>
      <c r="N1296" s="13" t="s">
        <v>4333</v>
      </c>
      <c r="O1296" s="15" t="s">
        <v>4334</v>
      </c>
    </row>
    <row r="1297">
      <c r="A1297" s="5">
        <v>1516.0</v>
      </c>
      <c r="B1297" s="6">
        <v>45999.60370046296</v>
      </c>
      <c r="C1297" s="7" t="s">
        <v>15</v>
      </c>
      <c r="D1297" s="8" t="s">
        <v>4303</v>
      </c>
      <c r="E1297" s="8" t="s">
        <v>1596</v>
      </c>
      <c r="F1297" s="7" t="s">
        <v>4319</v>
      </c>
      <c r="G1297" s="9" t="s">
        <v>19</v>
      </c>
      <c r="H1297" s="7" t="s">
        <v>4335</v>
      </c>
      <c r="I1297" s="7" t="s">
        <v>4336</v>
      </c>
      <c r="J1297" s="10">
        <v>45825.0</v>
      </c>
      <c r="K1297" s="8" t="s">
        <v>22</v>
      </c>
      <c r="L1297" s="7">
        <v>4.0</v>
      </c>
      <c r="M1297" s="7" t="s">
        <v>23</v>
      </c>
      <c r="N1297" s="13" t="s">
        <v>4337</v>
      </c>
      <c r="O1297" s="15" t="s">
        <v>4338</v>
      </c>
    </row>
    <row r="1298">
      <c r="A1298" s="5">
        <v>1517.0</v>
      </c>
      <c r="B1298" s="6">
        <v>45999.60791846065</v>
      </c>
      <c r="C1298" s="7" t="s">
        <v>15</v>
      </c>
      <c r="D1298" s="8" t="s">
        <v>4315</v>
      </c>
      <c r="E1298" s="8" t="s">
        <v>164</v>
      </c>
      <c r="F1298" s="7" t="s">
        <v>4316</v>
      </c>
      <c r="G1298" s="9" t="s">
        <v>19</v>
      </c>
      <c r="H1298" s="7" t="s">
        <v>1810</v>
      </c>
      <c r="I1298" s="7" t="s">
        <v>4332</v>
      </c>
      <c r="J1298" s="10">
        <v>45839.0</v>
      </c>
      <c r="K1298" s="8" t="s">
        <v>67</v>
      </c>
      <c r="L1298" s="7">
        <v>8.0</v>
      </c>
      <c r="M1298" s="7" t="s">
        <v>33</v>
      </c>
      <c r="N1298" s="13" t="s">
        <v>4339</v>
      </c>
      <c r="O1298" s="15" t="s">
        <v>4340</v>
      </c>
    </row>
    <row r="1299">
      <c r="A1299" s="5">
        <v>1518.0</v>
      </c>
      <c r="B1299" s="6">
        <v>45999.61073627315</v>
      </c>
      <c r="C1299" s="7" t="s">
        <v>15</v>
      </c>
      <c r="D1299" s="8" t="s">
        <v>4315</v>
      </c>
      <c r="E1299" s="8" t="s">
        <v>164</v>
      </c>
      <c r="F1299" s="7" t="s">
        <v>4316</v>
      </c>
      <c r="G1299" s="9" t="s">
        <v>19</v>
      </c>
      <c r="H1299" s="7" t="s">
        <v>41</v>
      </c>
      <c r="I1299" s="7" t="s">
        <v>4332</v>
      </c>
      <c r="J1299" s="10">
        <v>45840.0</v>
      </c>
      <c r="K1299" s="8" t="s">
        <v>67</v>
      </c>
      <c r="L1299" s="7">
        <v>8.0</v>
      </c>
      <c r="M1299" s="7" t="s">
        <v>33</v>
      </c>
      <c r="N1299" s="13" t="s">
        <v>4341</v>
      </c>
      <c r="O1299" s="15" t="s">
        <v>4342</v>
      </c>
    </row>
    <row r="1300">
      <c r="A1300" s="5">
        <v>1519.0</v>
      </c>
      <c r="B1300" s="6">
        <v>45999.613907997686</v>
      </c>
      <c r="C1300" s="7" t="s">
        <v>15</v>
      </c>
      <c r="D1300" s="8" t="s">
        <v>4315</v>
      </c>
      <c r="E1300" s="8" t="s">
        <v>164</v>
      </c>
      <c r="F1300" s="7" t="s">
        <v>4316</v>
      </c>
      <c r="G1300" s="9" t="s">
        <v>181</v>
      </c>
      <c r="H1300" s="7" t="s">
        <v>4343</v>
      </c>
      <c r="I1300" s="7" t="s">
        <v>231</v>
      </c>
      <c r="J1300" s="10">
        <v>45858.0</v>
      </c>
      <c r="K1300" s="8" t="s">
        <v>753</v>
      </c>
      <c r="L1300" s="7">
        <v>8.0</v>
      </c>
      <c r="M1300" s="7" t="s">
        <v>87</v>
      </c>
      <c r="N1300" s="13" t="s">
        <v>4344</v>
      </c>
      <c r="O1300" s="15" t="s">
        <v>4345</v>
      </c>
    </row>
    <row r="1301">
      <c r="A1301" s="5">
        <v>1520.0</v>
      </c>
      <c r="B1301" s="6">
        <v>45999.61602530093</v>
      </c>
      <c r="C1301" s="7" t="s">
        <v>15</v>
      </c>
      <c r="D1301" s="8" t="s">
        <v>4315</v>
      </c>
      <c r="E1301" s="8" t="s">
        <v>164</v>
      </c>
      <c r="F1301" s="7" t="s">
        <v>4316</v>
      </c>
      <c r="G1301" s="9" t="s">
        <v>181</v>
      </c>
      <c r="H1301" s="7" t="s">
        <v>4346</v>
      </c>
      <c r="I1301" s="7" t="s">
        <v>231</v>
      </c>
      <c r="J1301" s="10">
        <v>45859.0</v>
      </c>
      <c r="K1301" s="8" t="s">
        <v>753</v>
      </c>
      <c r="L1301" s="7">
        <v>2.0</v>
      </c>
      <c r="M1301" s="7" t="s">
        <v>87</v>
      </c>
      <c r="N1301" s="13" t="s">
        <v>4347</v>
      </c>
      <c r="O1301" s="15" t="s">
        <v>4348</v>
      </c>
    </row>
    <row r="1302">
      <c r="A1302" s="5">
        <v>1521.0</v>
      </c>
      <c r="B1302" s="6">
        <v>45999.61709990741</v>
      </c>
      <c r="C1302" s="7" t="s">
        <v>125</v>
      </c>
      <c r="D1302" s="8" t="s">
        <v>4294</v>
      </c>
      <c r="E1302" s="8" t="s">
        <v>1948</v>
      </c>
      <c r="F1302" s="7" t="s">
        <v>4300</v>
      </c>
      <c r="G1302" s="9" t="s">
        <v>144</v>
      </c>
      <c r="H1302" s="7" t="s">
        <v>4349</v>
      </c>
      <c r="I1302" s="7" t="s">
        <v>156</v>
      </c>
      <c r="J1302" s="10">
        <v>45963.0</v>
      </c>
      <c r="K1302" s="8" t="s">
        <v>22</v>
      </c>
      <c r="L1302" s="7">
        <v>4.0</v>
      </c>
      <c r="M1302" s="7" t="s">
        <v>147</v>
      </c>
      <c r="N1302" s="13" t="s">
        <v>4350</v>
      </c>
      <c r="O1302" s="15" t="s">
        <v>4351</v>
      </c>
    </row>
    <row r="1303">
      <c r="A1303" s="5">
        <v>1522.0</v>
      </c>
      <c r="B1303" s="6">
        <v>45999.62077494213</v>
      </c>
      <c r="C1303" s="7" t="s">
        <v>15</v>
      </c>
      <c r="D1303" s="8" t="s">
        <v>4315</v>
      </c>
      <c r="E1303" s="8" t="s">
        <v>164</v>
      </c>
      <c r="F1303" s="7" t="s">
        <v>4316</v>
      </c>
      <c r="G1303" s="9" t="s">
        <v>181</v>
      </c>
      <c r="H1303" s="7" t="s">
        <v>406</v>
      </c>
      <c r="I1303" s="7" t="s">
        <v>94</v>
      </c>
      <c r="J1303" s="10">
        <v>45823.0</v>
      </c>
      <c r="K1303" s="8" t="s">
        <v>22</v>
      </c>
      <c r="L1303" s="7">
        <v>4.0</v>
      </c>
      <c r="M1303" s="7" t="s">
        <v>106</v>
      </c>
      <c r="N1303" s="13" t="s">
        <v>4352</v>
      </c>
      <c r="O1303" s="15" t="s">
        <v>4353</v>
      </c>
    </row>
    <row r="1304">
      <c r="A1304" s="5">
        <v>1523.0</v>
      </c>
      <c r="B1304" s="6">
        <v>45999.621938275464</v>
      </c>
      <c r="C1304" s="7" t="s">
        <v>125</v>
      </c>
      <c r="D1304" s="8" t="s">
        <v>4294</v>
      </c>
      <c r="E1304" s="8" t="s">
        <v>1948</v>
      </c>
      <c r="F1304" s="7" t="s">
        <v>4300</v>
      </c>
      <c r="G1304" s="9" t="s">
        <v>144</v>
      </c>
      <c r="H1304" s="7" t="s">
        <v>145</v>
      </c>
      <c r="I1304" s="7" t="s">
        <v>146</v>
      </c>
      <c r="J1304" s="10">
        <v>45955.0</v>
      </c>
      <c r="K1304" s="8" t="s">
        <v>22</v>
      </c>
      <c r="L1304" s="7">
        <v>4.0</v>
      </c>
      <c r="M1304" s="7" t="s">
        <v>4354</v>
      </c>
      <c r="N1304" s="13" t="s">
        <v>4355</v>
      </c>
      <c r="O1304" s="15" t="s">
        <v>4356</v>
      </c>
    </row>
    <row r="1305">
      <c r="A1305" s="5">
        <v>1524.0</v>
      </c>
      <c r="B1305" s="6">
        <v>45999.63825275463</v>
      </c>
      <c r="C1305" s="7" t="s">
        <v>760</v>
      </c>
      <c r="D1305" s="8" t="s">
        <v>2670</v>
      </c>
      <c r="E1305" s="8" t="s">
        <v>1725</v>
      </c>
      <c r="F1305" s="7" t="s">
        <v>3956</v>
      </c>
      <c r="G1305" s="9" t="s">
        <v>181</v>
      </c>
      <c r="H1305" s="7" t="s">
        <v>1222</v>
      </c>
      <c r="I1305" s="7" t="s">
        <v>1211</v>
      </c>
      <c r="J1305" s="10">
        <v>45959.0</v>
      </c>
      <c r="K1305" s="8" t="s">
        <v>3173</v>
      </c>
      <c r="L1305" s="7">
        <v>1.0</v>
      </c>
      <c r="M1305" s="7" t="s">
        <v>33</v>
      </c>
      <c r="N1305" s="13" t="s">
        <v>4357</v>
      </c>
      <c r="O1305" s="15" t="s">
        <v>4358</v>
      </c>
    </row>
    <row r="1306">
      <c r="A1306" s="5">
        <v>1525.0</v>
      </c>
      <c r="B1306" s="6">
        <v>45999.6393020949</v>
      </c>
      <c r="C1306" s="7" t="s">
        <v>760</v>
      </c>
      <c r="D1306" s="8" t="s">
        <v>1220</v>
      </c>
      <c r="E1306" s="8" t="s">
        <v>951</v>
      </c>
      <c r="F1306" s="7" t="s">
        <v>1221</v>
      </c>
      <c r="G1306" s="9" t="s">
        <v>181</v>
      </c>
      <c r="H1306" s="7" t="s">
        <v>1222</v>
      </c>
      <c r="I1306" s="7" t="s">
        <v>1223</v>
      </c>
      <c r="J1306" s="10">
        <v>45951.0</v>
      </c>
      <c r="K1306" s="8" t="s">
        <v>1368</v>
      </c>
      <c r="L1306" s="7">
        <v>1.0</v>
      </c>
      <c r="M1306" s="7" t="s">
        <v>33</v>
      </c>
      <c r="N1306" s="13" t="s">
        <v>4359</v>
      </c>
      <c r="O1306" s="15" t="s">
        <v>4360</v>
      </c>
    </row>
    <row r="1307">
      <c r="A1307" s="5">
        <v>1526.0</v>
      </c>
      <c r="B1307" s="6">
        <v>45999.639792118054</v>
      </c>
      <c r="C1307" s="7" t="s">
        <v>760</v>
      </c>
      <c r="D1307" s="8" t="s">
        <v>4361</v>
      </c>
      <c r="E1307" s="8" t="s">
        <v>674</v>
      </c>
      <c r="F1307" s="7" t="s">
        <v>4362</v>
      </c>
      <c r="G1307" s="9" t="s">
        <v>181</v>
      </c>
      <c r="H1307" s="7" t="s">
        <v>895</v>
      </c>
      <c r="I1307" s="7" t="s">
        <v>231</v>
      </c>
      <c r="J1307" s="10">
        <v>45964.0</v>
      </c>
      <c r="K1307" s="8" t="s">
        <v>4065</v>
      </c>
      <c r="L1307" s="7">
        <v>1.0</v>
      </c>
      <c r="M1307" s="7" t="s">
        <v>33</v>
      </c>
      <c r="N1307" s="13" t="s">
        <v>4363</v>
      </c>
      <c r="O1307" s="15" t="s">
        <v>4364</v>
      </c>
    </row>
    <row r="1308">
      <c r="A1308" s="5">
        <v>1527.0</v>
      </c>
      <c r="B1308" s="6">
        <v>45999.64125534722</v>
      </c>
      <c r="C1308" s="7" t="s">
        <v>125</v>
      </c>
      <c r="D1308" s="8" t="s">
        <v>4294</v>
      </c>
      <c r="E1308" s="8" t="s">
        <v>1948</v>
      </c>
      <c r="F1308" s="7" t="s">
        <v>4300</v>
      </c>
      <c r="G1308" s="9" t="s">
        <v>19</v>
      </c>
      <c r="H1308" s="7" t="s">
        <v>4365</v>
      </c>
      <c r="I1308" s="7" t="s">
        <v>174</v>
      </c>
      <c r="J1308" s="10">
        <v>45854.0</v>
      </c>
      <c r="K1308" s="8" t="s">
        <v>620</v>
      </c>
      <c r="L1308" s="7">
        <v>6.0</v>
      </c>
      <c r="M1308" s="7" t="s">
        <v>106</v>
      </c>
      <c r="N1308" s="13" t="s">
        <v>4366</v>
      </c>
      <c r="O1308" s="15" t="s">
        <v>4367</v>
      </c>
    </row>
    <row r="1309">
      <c r="A1309" s="5">
        <v>1528.0</v>
      </c>
      <c r="B1309" s="6">
        <v>45999.642178090275</v>
      </c>
      <c r="C1309" s="7" t="s">
        <v>760</v>
      </c>
      <c r="D1309" s="8" t="s">
        <v>1209</v>
      </c>
      <c r="E1309" s="8" t="s">
        <v>223</v>
      </c>
      <c r="F1309" s="7" t="s">
        <v>1210</v>
      </c>
      <c r="G1309" s="9" t="s">
        <v>181</v>
      </c>
      <c r="H1309" s="7" t="s">
        <v>895</v>
      </c>
      <c r="I1309" s="7" t="s">
        <v>279</v>
      </c>
      <c r="J1309" s="10">
        <v>45965.0</v>
      </c>
      <c r="K1309" s="8" t="s">
        <v>4368</v>
      </c>
      <c r="L1309" s="7">
        <v>1.0</v>
      </c>
      <c r="M1309" s="7" t="s">
        <v>33</v>
      </c>
      <c r="N1309" s="13" t="s">
        <v>4369</v>
      </c>
      <c r="O1309" s="15" t="s">
        <v>4370</v>
      </c>
    </row>
    <row r="1310">
      <c r="A1310" s="5">
        <v>1529.0</v>
      </c>
      <c r="B1310" s="6">
        <v>45999.64248609953</v>
      </c>
      <c r="C1310" s="7" t="s">
        <v>760</v>
      </c>
      <c r="D1310" s="8" t="s">
        <v>1220</v>
      </c>
      <c r="E1310" s="8" t="s">
        <v>951</v>
      </c>
      <c r="F1310" s="7" t="s">
        <v>1221</v>
      </c>
      <c r="G1310" s="9" t="s">
        <v>181</v>
      </c>
      <c r="H1310" s="7" t="s">
        <v>1222</v>
      </c>
      <c r="I1310" s="7" t="s">
        <v>1223</v>
      </c>
      <c r="J1310" s="10">
        <v>45981.0</v>
      </c>
      <c r="K1310" s="8" t="s">
        <v>1368</v>
      </c>
      <c r="L1310" s="7">
        <v>1.0</v>
      </c>
      <c r="M1310" s="7" t="s">
        <v>33</v>
      </c>
      <c r="N1310" s="13" t="s">
        <v>4371</v>
      </c>
      <c r="O1310" s="15" t="s">
        <v>4372</v>
      </c>
    </row>
    <row r="1311">
      <c r="A1311" s="5">
        <v>1530.0</v>
      </c>
      <c r="B1311" s="6">
        <v>45999.643059317124</v>
      </c>
      <c r="C1311" s="7" t="s">
        <v>760</v>
      </c>
      <c r="D1311" s="8" t="s">
        <v>2670</v>
      </c>
      <c r="E1311" s="8" t="s">
        <v>1725</v>
      </c>
      <c r="F1311" s="7" t="s">
        <v>3956</v>
      </c>
      <c r="G1311" s="9" t="s">
        <v>181</v>
      </c>
      <c r="H1311" s="7" t="s">
        <v>1222</v>
      </c>
      <c r="I1311" s="7">
        <v>720.0</v>
      </c>
      <c r="J1311" s="10">
        <v>45981.0</v>
      </c>
      <c r="K1311" s="8" t="s">
        <v>3173</v>
      </c>
      <c r="L1311" s="7">
        <v>1.0</v>
      </c>
      <c r="M1311" s="7" t="s">
        <v>33</v>
      </c>
      <c r="N1311" s="13" t="s">
        <v>4373</v>
      </c>
      <c r="O1311" s="15" t="s">
        <v>4374</v>
      </c>
    </row>
    <row r="1312">
      <c r="A1312" s="5">
        <v>1532.0</v>
      </c>
      <c r="B1312" s="6">
        <v>45999.64560509259</v>
      </c>
      <c r="C1312" s="7" t="s">
        <v>760</v>
      </c>
      <c r="D1312" s="8" t="s">
        <v>1209</v>
      </c>
      <c r="E1312" s="8" t="s">
        <v>223</v>
      </c>
      <c r="F1312" s="7" t="s">
        <v>1210</v>
      </c>
      <c r="G1312" s="9" t="s">
        <v>181</v>
      </c>
      <c r="H1312" s="7" t="s">
        <v>895</v>
      </c>
      <c r="I1312" s="7" t="s">
        <v>279</v>
      </c>
      <c r="J1312" s="10">
        <v>45979.0</v>
      </c>
      <c r="K1312" s="8" t="s">
        <v>896</v>
      </c>
      <c r="L1312" s="7">
        <v>1.0</v>
      </c>
      <c r="M1312" s="7" t="s">
        <v>33</v>
      </c>
      <c r="N1312" s="13" t="s">
        <v>4375</v>
      </c>
      <c r="O1312" s="15" t="s">
        <v>4376</v>
      </c>
    </row>
    <row r="1313">
      <c r="A1313" s="5">
        <v>1534.0</v>
      </c>
      <c r="B1313" s="6">
        <v>45999.64635418981</v>
      </c>
      <c r="C1313" s="7" t="s">
        <v>760</v>
      </c>
      <c r="D1313" s="8" t="s">
        <v>4361</v>
      </c>
      <c r="E1313" s="8" t="s">
        <v>674</v>
      </c>
      <c r="F1313" s="7" t="s">
        <v>4362</v>
      </c>
      <c r="G1313" s="9" t="s">
        <v>181</v>
      </c>
      <c r="H1313" s="7" t="s">
        <v>895</v>
      </c>
      <c r="I1313" s="7" t="s">
        <v>231</v>
      </c>
      <c r="J1313" s="10">
        <v>45959.0</v>
      </c>
      <c r="K1313" s="8" t="s">
        <v>4065</v>
      </c>
      <c r="L1313" s="7">
        <v>1.0</v>
      </c>
      <c r="M1313" s="7" t="s">
        <v>33</v>
      </c>
      <c r="N1313" s="13" t="s">
        <v>4377</v>
      </c>
      <c r="O1313" s="15" t="s">
        <v>4378</v>
      </c>
    </row>
    <row r="1314">
      <c r="A1314" s="5">
        <v>1535.0</v>
      </c>
      <c r="B1314" s="6">
        <v>45999.64642238426</v>
      </c>
      <c r="C1314" s="7" t="s">
        <v>760</v>
      </c>
      <c r="D1314" s="8" t="s">
        <v>4379</v>
      </c>
      <c r="E1314" s="8" t="s">
        <v>118</v>
      </c>
      <c r="F1314" s="7" t="s">
        <v>4380</v>
      </c>
      <c r="G1314" s="9" t="s">
        <v>19</v>
      </c>
      <c r="H1314" s="7" t="s">
        <v>4381</v>
      </c>
      <c r="I1314" s="7" t="s">
        <v>2602</v>
      </c>
      <c r="J1314" s="10">
        <v>45907.0</v>
      </c>
      <c r="K1314" s="8" t="s">
        <v>49</v>
      </c>
      <c r="L1314" s="7">
        <v>8.0</v>
      </c>
      <c r="M1314" s="7" t="s">
        <v>33</v>
      </c>
      <c r="N1314" s="13" t="s">
        <v>4382</v>
      </c>
      <c r="O1314" s="15" t="s">
        <v>4383</v>
      </c>
    </row>
    <row r="1315">
      <c r="A1315" s="5">
        <v>1536.0</v>
      </c>
      <c r="B1315" s="6">
        <v>45999.64741846065</v>
      </c>
      <c r="C1315" s="7" t="s">
        <v>760</v>
      </c>
      <c r="D1315" s="8" t="s">
        <v>2670</v>
      </c>
      <c r="E1315" s="8" t="s">
        <v>1725</v>
      </c>
      <c r="F1315" s="7" t="s">
        <v>3956</v>
      </c>
      <c r="G1315" s="9" t="s">
        <v>181</v>
      </c>
      <c r="H1315" s="7" t="s">
        <v>1222</v>
      </c>
      <c r="I1315" s="7" t="s">
        <v>231</v>
      </c>
      <c r="J1315" s="10">
        <v>45975.0</v>
      </c>
      <c r="K1315" s="8" t="s">
        <v>3173</v>
      </c>
      <c r="L1315" s="7">
        <v>1.0</v>
      </c>
      <c r="M1315" s="7" t="s">
        <v>33</v>
      </c>
      <c r="N1315" s="13" t="s">
        <v>4384</v>
      </c>
      <c r="O1315" s="15" t="s">
        <v>4385</v>
      </c>
    </row>
    <row r="1316">
      <c r="A1316" s="5">
        <v>1537.0</v>
      </c>
      <c r="B1316" s="6">
        <v>45999.64872025463</v>
      </c>
      <c r="C1316" s="7" t="s">
        <v>760</v>
      </c>
      <c r="D1316" s="8" t="s">
        <v>4361</v>
      </c>
      <c r="E1316" s="8" t="s">
        <v>674</v>
      </c>
      <c r="F1316" s="7" t="s">
        <v>4362</v>
      </c>
      <c r="G1316" s="9" t="s">
        <v>181</v>
      </c>
      <c r="H1316" s="7" t="s">
        <v>895</v>
      </c>
      <c r="I1316" s="7" t="s">
        <v>231</v>
      </c>
      <c r="J1316" s="10">
        <v>45952.0</v>
      </c>
      <c r="K1316" s="8" t="s">
        <v>4065</v>
      </c>
      <c r="L1316" s="7">
        <v>1.0</v>
      </c>
      <c r="M1316" s="7" t="s">
        <v>33</v>
      </c>
      <c r="N1316" s="13" t="s">
        <v>4386</v>
      </c>
      <c r="O1316" s="15" t="s">
        <v>4387</v>
      </c>
    </row>
    <row r="1317">
      <c r="A1317" s="5">
        <v>1539.0</v>
      </c>
      <c r="B1317" s="6">
        <v>45999.65078362268</v>
      </c>
      <c r="C1317" s="7" t="s">
        <v>760</v>
      </c>
      <c r="D1317" s="8" t="s">
        <v>2670</v>
      </c>
      <c r="E1317" s="8" t="s">
        <v>1725</v>
      </c>
      <c r="F1317" s="7" t="s">
        <v>3956</v>
      </c>
      <c r="G1317" s="9" t="s">
        <v>181</v>
      </c>
      <c r="H1317" s="7" t="s">
        <v>1222</v>
      </c>
      <c r="I1317" s="7" t="s">
        <v>1211</v>
      </c>
      <c r="J1317" s="10">
        <v>45989.0</v>
      </c>
      <c r="K1317" s="8" t="s">
        <v>3173</v>
      </c>
      <c r="L1317" s="7">
        <v>1.0</v>
      </c>
      <c r="M1317" s="7" t="s">
        <v>33</v>
      </c>
      <c r="N1317" s="13" t="s">
        <v>4388</v>
      </c>
      <c r="O1317" s="15" t="s">
        <v>4389</v>
      </c>
    </row>
    <row r="1318">
      <c r="A1318" s="5">
        <v>1540.0</v>
      </c>
      <c r="B1318" s="6">
        <v>45999.65105956019</v>
      </c>
      <c r="C1318" s="7" t="s">
        <v>760</v>
      </c>
      <c r="D1318" s="8" t="s">
        <v>1221</v>
      </c>
      <c r="E1318" s="8" t="s">
        <v>951</v>
      </c>
      <c r="F1318" s="7" t="s">
        <v>1221</v>
      </c>
      <c r="G1318" s="9" t="s">
        <v>1426</v>
      </c>
      <c r="H1318" s="7" t="s">
        <v>4390</v>
      </c>
      <c r="I1318" s="7" t="s">
        <v>1337</v>
      </c>
      <c r="J1318" s="10">
        <v>45907.0</v>
      </c>
      <c r="K1318" s="8" t="s">
        <v>4391</v>
      </c>
      <c r="L1318" s="7">
        <v>8.0</v>
      </c>
      <c r="M1318" s="7" t="s">
        <v>33</v>
      </c>
      <c r="N1318" s="13" t="s">
        <v>4392</v>
      </c>
      <c r="O1318" s="15" t="s">
        <v>4393</v>
      </c>
    </row>
    <row r="1319">
      <c r="A1319" s="5">
        <v>1544.0</v>
      </c>
      <c r="B1319" s="6">
        <v>45999.65319982639</v>
      </c>
      <c r="C1319" s="7" t="s">
        <v>760</v>
      </c>
      <c r="D1319" s="8" t="s">
        <v>1424</v>
      </c>
      <c r="E1319" s="8" t="s">
        <v>110</v>
      </c>
      <c r="F1319" s="7" t="s">
        <v>1425</v>
      </c>
      <c r="G1319" s="9" t="s">
        <v>159</v>
      </c>
      <c r="H1319" s="7" t="s">
        <v>4394</v>
      </c>
      <c r="I1319" s="7" t="s">
        <v>4395</v>
      </c>
      <c r="J1319" s="10">
        <v>45885.0</v>
      </c>
      <c r="K1319" s="8" t="s">
        <v>4396</v>
      </c>
      <c r="L1319" s="7">
        <v>4.0</v>
      </c>
      <c r="M1319" s="7" t="s">
        <v>4397</v>
      </c>
      <c r="N1319" s="13" t="s">
        <v>4398</v>
      </c>
      <c r="O1319" s="15" t="s">
        <v>4399</v>
      </c>
    </row>
    <row r="1320">
      <c r="A1320" s="5">
        <v>1545.0</v>
      </c>
      <c r="B1320" s="6">
        <v>45999.65439946759</v>
      </c>
      <c r="C1320" s="7" t="s">
        <v>760</v>
      </c>
      <c r="D1320" s="8" t="s">
        <v>1220</v>
      </c>
      <c r="E1320" s="8" t="s">
        <v>951</v>
      </c>
      <c r="F1320" s="7" t="s">
        <v>1221</v>
      </c>
      <c r="G1320" s="9" t="s">
        <v>181</v>
      </c>
      <c r="H1320" s="7" t="s">
        <v>1222</v>
      </c>
      <c r="I1320" s="7" t="s">
        <v>1223</v>
      </c>
      <c r="J1320" s="10">
        <v>45964.0</v>
      </c>
      <c r="K1320" s="8" t="s">
        <v>1368</v>
      </c>
      <c r="L1320" s="7">
        <v>1.0</v>
      </c>
      <c r="M1320" s="7" t="s">
        <v>33</v>
      </c>
      <c r="N1320" s="13" t="s">
        <v>4400</v>
      </c>
      <c r="O1320" s="15" t="s">
        <v>4401</v>
      </c>
    </row>
    <row r="1321">
      <c r="A1321" s="5">
        <v>1546.0</v>
      </c>
      <c r="B1321" s="6">
        <v>45999.65489640046</v>
      </c>
      <c r="C1321" s="7" t="s">
        <v>760</v>
      </c>
      <c r="D1321" s="8" t="s">
        <v>2060</v>
      </c>
      <c r="E1321" s="8" t="s">
        <v>2061</v>
      </c>
      <c r="F1321" s="7" t="s">
        <v>2062</v>
      </c>
      <c r="G1321" s="9" t="s">
        <v>415</v>
      </c>
      <c r="H1321" s="7" t="s">
        <v>4402</v>
      </c>
      <c r="I1321" s="7" t="s">
        <v>314</v>
      </c>
      <c r="J1321" s="10">
        <v>45991.0</v>
      </c>
      <c r="K1321" s="8" t="s">
        <v>3949</v>
      </c>
      <c r="L1321" s="7">
        <v>1.0</v>
      </c>
      <c r="M1321" s="7" t="s">
        <v>314</v>
      </c>
      <c r="N1321" s="13" t="s">
        <v>4403</v>
      </c>
      <c r="O1321" s="15" t="s">
        <v>4404</v>
      </c>
    </row>
    <row r="1322">
      <c r="A1322" s="5">
        <v>1548.0</v>
      </c>
      <c r="B1322" s="6">
        <v>45999.65645490741</v>
      </c>
      <c r="C1322" s="7" t="s">
        <v>760</v>
      </c>
      <c r="D1322" s="8" t="s">
        <v>1220</v>
      </c>
      <c r="E1322" s="8" t="s">
        <v>951</v>
      </c>
      <c r="F1322" s="7" t="s">
        <v>1221</v>
      </c>
      <c r="G1322" s="9" t="s">
        <v>181</v>
      </c>
      <c r="H1322" s="7" t="s">
        <v>1222</v>
      </c>
      <c r="I1322" s="7" t="s">
        <v>1223</v>
      </c>
      <c r="J1322" s="10">
        <v>45989.0</v>
      </c>
      <c r="K1322" s="8" t="s">
        <v>1368</v>
      </c>
      <c r="L1322" s="7">
        <v>1.0</v>
      </c>
      <c r="M1322" s="7" t="s">
        <v>33</v>
      </c>
      <c r="N1322" s="13" t="s">
        <v>4405</v>
      </c>
      <c r="O1322" s="15" t="s">
        <v>4406</v>
      </c>
    </row>
    <row r="1323">
      <c r="A1323" s="5">
        <v>1549.0</v>
      </c>
      <c r="B1323" s="6">
        <v>45999.658308067126</v>
      </c>
      <c r="C1323" s="7" t="s">
        <v>760</v>
      </c>
      <c r="D1323" s="8" t="s">
        <v>1220</v>
      </c>
      <c r="E1323" s="8" t="s">
        <v>951</v>
      </c>
      <c r="F1323" s="7" t="s">
        <v>1221</v>
      </c>
      <c r="G1323" s="9" t="s">
        <v>181</v>
      </c>
      <c r="H1323" s="7" t="s">
        <v>1222</v>
      </c>
      <c r="I1323" s="7" t="s">
        <v>1223</v>
      </c>
      <c r="J1323" s="10">
        <v>45960.0</v>
      </c>
      <c r="K1323" s="8" t="s">
        <v>1368</v>
      </c>
      <c r="L1323" s="7">
        <v>1.0</v>
      </c>
      <c r="M1323" s="7" t="s">
        <v>33</v>
      </c>
      <c r="N1323" s="13" t="s">
        <v>4407</v>
      </c>
      <c r="O1323" s="15" t="s">
        <v>4408</v>
      </c>
    </row>
    <row r="1324">
      <c r="A1324" s="5">
        <v>1551.0</v>
      </c>
      <c r="B1324" s="6">
        <v>45999.65973157407</v>
      </c>
      <c r="C1324" s="7" t="s">
        <v>760</v>
      </c>
      <c r="D1324" s="8" t="s">
        <v>2817</v>
      </c>
      <c r="E1324" s="8" t="s">
        <v>287</v>
      </c>
      <c r="F1324" s="7" t="s">
        <v>2818</v>
      </c>
      <c r="G1324" s="9" t="s">
        <v>209</v>
      </c>
      <c r="H1324" s="7" t="s">
        <v>4409</v>
      </c>
      <c r="I1324" s="7" t="s">
        <v>825</v>
      </c>
      <c r="J1324" s="10">
        <v>45997.0</v>
      </c>
      <c r="K1324" s="8" t="s">
        <v>1665</v>
      </c>
      <c r="L1324" s="7">
        <v>2.0</v>
      </c>
      <c r="M1324" s="7" t="s">
        <v>4410</v>
      </c>
      <c r="N1324" s="13" t="s">
        <v>4411</v>
      </c>
      <c r="O1324" s="15" t="s">
        <v>4412</v>
      </c>
    </row>
    <row r="1325">
      <c r="A1325" s="5">
        <v>1552.0</v>
      </c>
      <c r="B1325" s="6">
        <v>45999.65997559028</v>
      </c>
      <c r="C1325" s="7" t="s">
        <v>760</v>
      </c>
      <c r="D1325" s="8" t="s">
        <v>2670</v>
      </c>
      <c r="E1325" s="8" t="s">
        <v>1725</v>
      </c>
      <c r="F1325" s="7" t="s">
        <v>3956</v>
      </c>
      <c r="G1325" s="9" t="s">
        <v>181</v>
      </c>
      <c r="H1325" s="7" t="s">
        <v>1222</v>
      </c>
      <c r="I1325" s="7" t="s">
        <v>1211</v>
      </c>
      <c r="J1325" s="10">
        <v>45994.0</v>
      </c>
      <c r="K1325" s="8" t="s">
        <v>3173</v>
      </c>
      <c r="L1325" s="7">
        <v>1.0</v>
      </c>
      <c r="M1325" s="7" t="s">
        <v>33</v>
      </c>
      <c r="N1325" s="13" t="s">
        <v>4413</v>
      </c>
      <c r="O1325" s="15" t="s">
        <v>4414</v>
      </c>
    </row>
    <row r="1326">
      <c r="A1326" s="5">
        <v>1553.0</v>
      </c>
      <c r="B1326" s="6">
        <v>45999.66067715277</v>
      </c>
      <c r="C1326" s="7" t="s">
        <v>760</v>
      </c>
      <c r="D1326" s="8" t="s">
        <v>1220</v>
      </c>
      <c r="E1326" s="8" t="s">
        <v>951</v>
      </c>
      <c r="F1326" s="7" t="s">
        <v>1221</v>
      </c>
      <c r="G1326" s="9" t="s">
        <v>181</v>
      </c>
      <c r="H1326" s="7" t="s">
        <v>1222</v>
      </c>
      <c r="I1326" s="7" t="s">
        <v>1223</v>
      </c>
      <c r="J1326" s="10">
        <v>45958.0</v>
      </c>
      <c r="K1326" s="8" t="s">
        <v>1368</v>
      </c>
      <c r="L1326" s="7">
        <v>1.0</v>
      </c>
      <c r="M1326" s="7" t="s">
        <v>33</v>
      </c>
      <c r="N1326" s="13" t="s">
        <v>4415</v>
      </c>
      <c r="O1326" s="15" t="s">
        <v>4416</v>
      </c>
    </row>
    <row r="1327">
      <c r="A1327" s="5">
        <v>1555.0</v>
      </c>
      <c r="B1327" s="6">
        <v>45999.66275354166</v>
      </c>
      <c r="C1327" s="7" t="s">
        <v>760</v>
      </c>
      <c r="D1327" s="8" t="s">
        <v>2817</v>
      </c>
      <c r="E1327" s="8" t="s">
        <v>287</v>
      </c>
      <c r="F1327" s="7" t="s">
        <v>2818</v>
      </c>
      <c r="G1327" s="9" t="s">
        <v>209</v>
      </c>
      <c r="H1327" s="7" t="s">
        <v>4417</v>
      </c>
      <c r="I1327" s="7" t="s">
        <v>825</v>
      </c>
      <c r="J1327" s="10">
        <v>45998.0</v>
      </c>
      <c r="K1327" s="8" t="s">
        <v>2659</v>
      </c>
      <c r="L1327" s="7">
        <v>2.0</v>
      </c>
      <c r="M1327" s="7" t="s">
        <v>4410</v>
      </c>
      <c r="N1327" s="13" t="s">
        <v>4418</v>
      </c>
      <c r="O1327" s="15" t="s">
        <v>4419</v>
      </c>
    </row>
    <row r="1328">
      <c r="A1328" s="5">
        <v>1556.0</v>
      </c>
      <c r="B1328" s="6">
        <v>45999.66323219908</v>
      </c>
      <c r="C1328" s="7" t="s">
        <v>760</v>
      </c>
      <c r="D1328" s="8" t="s">
        <v>3635</v>
      </c>
      <c r="E1328" s="8" t="s">
        <v>17</v>
      </c>
      <c r="F1328" s="7" t="s">
        <v>3636</v>
      </c>
      <c r="G1328" s="9" t="s">
        <v>181</v>
      </c>
      <c r="H1328" s="7" t="s">
        <v>2481</v>
      </c>
      <c r="I1328" s="7" t="s">
        <v>231</v>
      </c>
      <c r="J1328" s="10">
        <v>45859.0</v>
      </c>
      <c r="K1328" s="8" t="s">
        <v>1132</v>
      </c>
      <c r="L1328" s="7">
        <v>8.0</v>
      </c>
      <c r="M1328" s="7" t="s">
        <v>2482</v>
      </c>
      <c r="N1328" s="13" t="s">
        <v>4420</v>
      </c>
      <c r="O1328" s="15" t="s">
        <v>4421</v>
      </c>
    </row>
    <row r="1329">
      <c r="A1329" s="5">
        <v>1557.0</v>
      </c>
      <c r="B1329" s="6">
        <v>45999.66332453703</v>
      </c>
      <c r="C1329" s="7" t="s">
        <v>760</v>
      </c>
      <c r="D1329" s="8" t="s">
        <v>2670</v>
      </c>
      <c r="E1329" s="8" t="s">
        <v>1725</v>
      </c>
      <c r="F1329" s="7" t="s">
        <v>3956</v>
      </c>
      <c r="G1329" s="9" t="s">
        <v>181</v>
      </c>
      <c r="H1329" s="7" t="s">
        <v>1222</v>
      </c>
      <c r="I1329" s="7" t="s">
        <v>231</v>
      </c>
      <c r="J1329" s="10">
        <v>45962.0</v>
      </c>
      <c r="K1329" s="8" t="s">
        <v>3173</v>
      </c>
      <c r="L1329" s="7">
        <v>1.0</v>
      </c>
      <c r="M1329" s="7" t="s">
        <v>33</v>
      </c>
      <c r="N1329" s="13" t="s">
        <v>4422</v>
      </c>
      <c r="O1329" s="15" t="s">
        <v>4423</v>
      </c>
    </row>
    <row r="1330">
      <c r="A1330" s="5">
        <v>1561.0</v>
      </c>
      <c r="B1330" s="6">
        <v>45999.665963865744</v>
      </c>
      <c r="C1330" s="7" t="s">
        <v>760</v>
      </c>
      <c r="D1330" s="8" t="s">
        <v>1209</v>
      </c>
      <c r="E1330" s="8" t="s">
        <v>223</v>
      </c>
      <c r="F1330" s="7" t="s">
        <v>1210</v>
      </c>
      <c r="G1330" s="9" t="s">
        <v>181</v>
      </c>
      <c r="H1330" s="7" t="s">
        <v>895</v>
      </c>
      <c r="I1330" s="7" t="s">
        <v>279</v>
      </c>
      <c r="J1330" s="10">
        <v>45982.0</v>
      </c>
      <c r="K1330" s="8" t="s">
        <v>896</v>
      </c>
      <c r="L1330" s="7">
        <v>1.0</v>
      </c>
      <c r="M1330" s="7" t="s">
        <v>33</v>
      </c>
      <c r="N1330" s="13" t="s">
        <v>4424</v>
      </c>
      <c r="O1330" s="15" t="s">
        <v>4425</v>
      </c>
    </row>
    <row r="1331">
      <c r="A1331" s="5">
        <v>1563.0</v>
      </c>
      <c r="B1331" s="6">
        <v>45999.666471122684</v>
      </c>
      <c r="C1331" s="7" t="s">
        <v>760</v>
      </c>
      <c r="D1331" s="8" t="s">
        <v>1196</v>
      </c>
      <c r="E1331" s="8" t="s">
        <v>1197</v>
      </c>
      <c r="F1331" s="7" t="s">
        <v>1198</v>
      </c>
      <c r="G1331" s="9" t="s">
        <v>19</v>
      </c>
      <c r="H1331" s="7" t="s">
        <v>291</v>
      </c>
      <c r="I1331" s="7" t="s">
        <v>1181</v>
      </c>
      <c r="J1331" s="10">
        <v>45955.0</v>
      </c>
      <c r="K1331" s="8" t="s">
        <v>4426</v>
      </c>
      <c r="L1331" s="7">
        <v>5.0</v>
      </c>
      <c r="M1331" s="7" t="s">
        <v>59</v>
      </c>
      <c r="N1331" s="13" t="s">
        <v>4427</v>
      </c>
      <c r="O1331" s="15" t="s">
        <v>4428</v>
      </c>
    </row>
    <row r="1332">
      <c r="A1332" s="5">
        <v>1565.0</v>
      </c>
      <c r="B1332" s="6">
        <v>45999.66749744213</v>
      </c>
      <c r="C1332" s="7" t="s">
        <v>760</v>
      </c>
      <c r="D1332" s="8" t="s">
        <v>1209</v>
      </c>
      <c r="E1332" s="8" t="s">
        <v>223</v>
      </c>
      <c r="F1332" s="7" t="s">
        <v>1210</v>
      </c>
      <c r="G1332" s="9" t="s">
        <v>181</v>
      </c>
      <c r="H1332" s="7" t="s">
        <v>895</v>
      </c>
      <c r="I1332" s="7" t="s">
        <v>279</v>
      </c>
      <c r="J1332" s="10">
        <v>45985.0</v>
      </c>
      <c r="K1332" s="8" t="s">
        <v>896</v>
      </c>
      <c r="L1332" s="7">
        <v>1.0</v>
      </c>
      <c r="M1332" s="7" t="s">
        <v>33</v>
      </c>
      <c r="N1332" s="13" t="s">
        <v>4429</v>
      </c>
      <c r="O1332" s="15" t="s">
        <v>4430</v>
      </c>
    </row>
    <row r="1333">
      <c r="A1333" s="5">
        <v>1566.0</v>
      </c>
      <c r="B1333" s="6">
        <v>45999.66754800926</v>
      </c>
      <c r="C1333" s="7" t="s">
        <v>760</v>
      </c>
      <c r="D1333" s="8" t="s">
        <v>4361</v>
      </c>
      <c r="E1333" s="8" t="s">
        <v>674</v>
      </c>
      <c r="F1333" s="7" t="s">
        <v>4362</v>
      </c>
      <c r="G1333" s="9" t="s">
        <v>181</v>
      </c>
      <c r="H1333" s="7" t="s">
        <v>895</v>
      </c>
      <c r="I1333" s="7" t="s">
        <v>231</v>
      </c>
      <c r="J1333" s="10">
        <v>45975.0</v>
      </c>
      <c r="K1333" s="8" t="s">
        <v>4065</v>
      </c>
      <c r="L1333" s="7">
        <v>1.0</v>
      </c>
      <c r="M1333" s="7" t="s">
        <v>33</v>
      </c>
      <c r="N1333" s="13" t="s">
        <v>4431</v>
      </c>
      <c r="O1333" s="15" t="s">
        <v>4432</v>
      </c>
    </row>
    <row r="1334">
      <c r="A1334" s="5">
        <v>1567.0</v>
      </c>
      <c r="B1334" s="6">
        <v>45999.66764828704</v>
      </c>
      <c r="C1334" s="7" t="s">
        <v>760</v>
      </c>
      <c r="D1334" s="8" t="s">
        <v>2670</v>
      </c>
      <c r="E1334" s="8" t="s">
        <v>1725</v>
      </c>
      <c r="F1334" s="7" t="s">
        <v>3956</v>
      </c>
      <c r="G1334" s="9" t="s">
        <v>181</v>
      </c>
      <c r="H1334" s="7" t="s">
        <v>1222</v>
      </c>
      <c r="I1334" s="7" t="s">
        <v>231</v>
      </c>
      <c r="J1334" s="10">
        <v>45966.0</v>
      </c>
      <c r="K1334" s="8" t="s">
        <v>3173</v>
      </c>
      <c r="L1334" s="7">
        <v>1.0</v>
      </c>
      <c r="M1334" s="7" t="s">
        <v>33</v>
      </c>
      <c r="N1334" s="13" t="s">
        <v>4433</v>
      </c>
      <c r="O1334" s="15" t="s">
        <v>4434</v>
      </c>
    </row>
    <row r="1335">
      <c r="A1335" s="5">
        <v>1568.0</v>
      </c>
      <c r="B1335" s="6">
        <v>45999.667974537035</v>
      </c>
      <c r="C1335" s="7" t="s">
        <v>760</v>
      </c>
      <c r="D1335" s="8" t="s">
        <v>4379</v>
      </c>
      <c r="E1335" s="8" t="s">
        <v>118</v>
      </c>
      <c r="F1335" s="7" t="s">
        <v>4380</v>
      </c>
      <c r="G1335" s="9" t="s">
        <v>181</v>
      </c>
      <c r="H1335" s="7" t="s">
        <v>4435</v>
      </c>
      <c r="I1335" s="7" t="s">
        <v>1704</v>
      </c>
      <c r="J1335" s="10">
        <v>45895.0</v>
      </c>
      <c r="K1335" s="8" t="s">
        <v>1665</v>
      </c>
      <c r="L1335" s="7">
        <v>2.0</v>
      </c>
      <c r="M1335" s="7" t="s">
        <v>2989</v>
      </c>
      <c r="N1335" s="13" t="s">
        <v>4436</v>
      </c>
      <c r="O1335" s="15" t="s">
        <v>4437</v>
      </c>
    </row>
    <row r="1336">
      <c r="A1336" s="5">
        <v>1569.0</v>
      </c>
      <c r="B1336" s="6">
        <v>45999.66851121528</v>
      </c>
      <c r="C1336" s="7" t="s">
        <v>760</v>
      </c>
      <c r="D1336" s="8" t="s">
        <v>4361</v>
      </c>
      <c r="E1336" s="8" t="s">
        <v>674</v>
      </c>
      <c r="F1336" s="7" t="s">
        <v>4362</v>
      </c>
      <c r="G1336" s="9" t="s">
        <v>181</v>
      </c>
      <c r="H1336" s="7" t="s">
        <v>895</v>
      </c>
      <c r="I1336" s="7" t="s">
        <v>231</v>
      </c>
      <c r="J1336" s="10">
        <v>45973.0</v>
      </c>
      <c r="K1336" s="8" t="s">
        <v>4065</v>
      </c>
      <c r="L1336" s="7">
        <v>1.0</v>
      </c>
      <c r="M1336" s="7" t="s">
        <v>33</v>
      </c>
      <c r="N1336" s="13" t="s">
        <v>4438</v>
      </c>
      <c r="O1336" s="15" t="s">
        <v>4439</v>
      </c>
    </row>
    <row r="1337">
      <c r="A1337" s="5">
        <v>1570.0</v>
      </c>
      <c r="B1337" s="6">
        <v>45999.66877396991</v>
      </c>
      <c r="C1337" s="7" t="s">
        <v>760</v>
      </c>
      <c r="D1337" s="8" t="s">
        <v>791</v>
      </c>
      <c r="E1337" s="8" t="s">
        <v>164</v>
      </c>
      <c r="F1337" s="7" t="s">
        <v>792</v>
      </c>
      <c r="G1337" s="9" t="s">
        <v>159</v>
      </c>
      <c r="H1337" s="7" t="s">
        <v>4440</v>
      </c>
      <c r="I1337" s="7" t="s">
        <v>4441</v>
      </c>
      <c r="J1337" s="10">
        <v>45984.0</v>
      </c>
      <c r="K1337" s="8" t="s">
        <v>4442</v>
      </c>
      <c r="L1337" s="7">
        <v>4.0</v>
      </c>
      <c r="M1337" s="7" t="s">
        <v>4443</v>
      </c>
      <c r="N1337" s="13" t="s">
        <v>4444</v>
      </c>
      <c r="O1337" s="15" t="s">
        <v>4445</v>
      </c>
    </row>
    <row r="1338">
      <c r="A1338" s="5">
        <v>1571.0</v>
      </c>
      <c r="B1338" s="6">
        <v>45999.66936893518</v>
      </c>
      <c r="C1338" s="7" t="s">
        <v>760</v>
      </c>
      <c r="D1338" s="8" t="s">
        <v>1209</v>
      </c>
      <c r="E1338" s="8" t="s">
        <v>223</v>
      </c>
      <c r="F1338" s="7" t="s">
        <v>1210</v>
      </c>
      <c r="G1338" s="9" t="s">
        <v>181</v>
      </c>
      <c r="H1338" s="7" t="s">
        <v>895</v>
      </c>
      <c r="I1338" s="7" t="s">
        <v>279</v>
      </c>
      <c r="J1338" s="10">
        <v>45987.0</v>
      </c>
      <c r="K1338" s="8" t="s">
        <v>896</v>
      </c>
      <c r="L1338" s="7">
        <v>1.0</v>
      </c>
      <c r="M1338" s="7" t="s">
        <v>33</v>
      </c>
      <c r="N1338" s="13" t="s">
        <v>4446</v>
      </c>
      <c r="O1338" s="15" t="s">
        <v>4447</v>
      </c>
    </row>
    <row r="1339">
      <c r="A1339" s="5">
        <v>1573.0</v>
      </c>
      <c r="B1339" s="6">
        <v>45999.67087361111</v>
      </c>
      <c r="C1339" s="7" t="s">
        <v>760</v>
      </c>
      <c r="D1339" s="8" t="s">
        <v>4361</v>
      </c>
      <c r="E1339" s="8" t="s">
        <v>674</v>
      </c>
      <c r="F1339" s="7" t="s">
        <v>4362</v>
      </c>
      <c r="G1339" s="9" t="s">
        <v>181</v>
      </c>
      <c r="H1339" s="7" t="s">
        <v>895</v>
      </c>
      <c r="I1339" s="7" t="s">
        <v>231</v>
      </c>
      <c r="J1339" s="10">
        <v>45951.0</v>
      </c>
      <c r="K1339" s="8" t="s">
        <v>4065</v>
      </c>
      <c r="L1339" s="7">
        <v>1.0</v>
      </c>
      <c r="M1339" s="7" t="s">
        <v>33</v>
      </c>
      <c r="N1339" s="13" t="s">
        <v>4448</v>
      </c>
      <c r="O1339" s="15" t="s">
        <v>4449</v>
      </c>
    </row>
    <row r="1340">
      <c r="A1340" s="5">
        <v>1574.0</v>
      </c>
      <c r="B1340" s="6">
        <v>45999.671055659725</v>
      </c>
      <c r="C1340" s="7" t="s">
        <v>760</v>
      </c>
      <c r="D1340" s="8" t="s">
        <v>4379</v>
      </c>
      <c r="E1340" s="8" t="s">
        <v>118</v>
      </c>
      <c r="F1340" s="7" t="s">
        <v>4380</v>
      </c>
      <c r="G1340" s="9" t="s">
        <v>181</v>
      </c>
      <c r="H1340" s="7" t="s">
        <v>895</v>
      </c>
      <c r="I1340" s="7" t="s">
        <v>279</v>
      </c>
      <c r="J1340" s="10">
        <v>45973.0</v>
      </c>
      <c r="K1340" s="8" t="s">
        <v>3173</v>
      </c>
      <c r="L1340" s="7">
        <v>1.0</v>
      </c>
      <c r="M1340" s="7" t="s">
        <v>33</v>
      </c>
      <c r="N1340" s="13" t="s">
        <v>4450</v>
      </c>
      <c r="O1340" s="15" t="s">
        <v>4451</v>
      </c>
    </row>
    <row r="1341">
      <c r="A1341" s="5">
        <v>1575.0</v>
      </c>
      <c r="B1341" s="6">
        <v>45999.67215641204</v>
      </c>
      <c r="C1341" s="7" t="s">
        <v>760</v>
      </c>
      <c r="D1341" s="8" t="s">
        <v>2670</v>
      </c>
      <c r="E1341" s="8" t="s">
        <v>1725</v>
      </c>
      <c r="F1341" s="7" t="s">
        <v>3956</v>
      </c>
      <c r="G1341" s="9" t="s">
        <v>181</v>
      </c>
      <c r="H1341" s="7" t="s">
        <v>1222</v>
      </c>
      <c r="I1341" s="7" t="s">
        <v>231</v>
      </c>
      <c r="J1341" s="10">
        <v>45960.0</v>
      </c>
      <c r="K1341" s="8" t="s">
        <v>3173</v>
      </c>
      <c r="L1341" s="7">
        <v>1.0</v>
      </c>
      <c r="M1341" s="7" t="s">
        <v>33</v>
      </c>
      <c r="N1341" s="13" t="s">
        <v>4452</v>
      </c>
      <c r="O1341" s="15" t="s">
        <v>4453</v>
      </c>
    </row>
    <row r="1342">
      <c r="A1342" s="5">
        <v>1576.0</v>
      </c>
      <c r="B1342" s="6">
        <v>45999.67229635417</v>
      </c>
      <c r="C1342" s="7" t="s">
        <v>760</v>
      </c>
      <c r="D1342" s="8" t="s">
        <v>4379</v>
      </c>
      <c r="E1342" s="8" t="s">
        <v>118</v>
      </c>
      <c r="F1342" s="7" t="s">
        <v>4380</v>
      </c>
      <c r="G1342" s="9" t="s">
        <v>181</v>
      </c>
      <c r="H1342" s="7" t="s">
        <v>895</v>
      </c>
      <c r="I1342" s="7" t="s">
        <v>279</v>
      </c>
      <c r="J1342" s="10">
        <v>45981.0</v>
      </c>
      <c r="K1342" s="8" t="s">
        <v>3959</v>
      </c>
      <c r="L1342" s="7">
        <v>1.0</v>
      </c>
      <c r="M1342" s="7" t="s">
        <v>33</v>
      </c>
      <c r="N1342" s="13" t="s">
        <v>4454</v>
      </c>
      <c r="O1342" s="15" t="s">
        <v>4455</v>
      </c>
    </row>
    <row r="1343">
      <c r="A1343" s="5">
        <v>1577.0</v>
      </c>
      <c r="B1343" s="6">
        <v>45999.673506273146</v>
      </c>
      <c r="C1343" s="7" t="s">
        <v>760</v>
      </c>
      <c r="D1343" s="8" t="s">
        <v>4379</v>
      </c>
      <c r="E1343" s="8" t="s">
        <v>118</v>
      </c>
      <c r="F1343" s="7" t="s">
        <v>4380</v>
      </c>
      <c r="G1343" s="9" t="s">
        <v>181</v>
      </c>
      <c r="H1343" s="7" t="s">
        <v>895</v>
      </c>
      <c r="I1343" s="7" t="s">
        <v>279</v>
      </c>
      <c r="J1343" s="10">
        <v>45982.0</v>
      </c>
      <c r="K1343" s="8" t="s">
        <v>4065</v>
      </c>
      <c r="L1343" s="7">
        <v>1.0</v>
      </c>
      <c r="M1343" s="7" t="s">
        <v>33</v>
      </c>
      <c r="N1343" s="13" t="s">
        <v>4456</v>
      </c>
      <c r="O1343" s="15" t="s">
        <v>4457</v>
      </c>
    </row>
    <row r="1344">
      <c r="A1344" s="5">
        <v>1578.0</v>
      </c>
      <c r="B1344" s="6">
        <v>45999.67370965278</v>
      </c>
      <c r="C1344" s="7" t="s">
        <v>760</v>
      </c>
      <c r="D1344" s="8" t="s">
        <v>1424</v>
      </c>
      <c r="E1344" s="8" t="s">
        <v>110</v>
      </c>
      <c r="F1344" s="7" t="s">
        <v>1425</v>
      </c>
      <c r="G1344" s="9" t="s">
        <v>19</v>
      </c>
      <c r="H1344" s="7" t="s">
        <v>3735</v>
      </c>
      <c r="I1344" s="7" t="s">
        <v>3736</v>
      </c>
      <c r="J1344" s="10">
        <v>46002.0</v>
      </c>
      <c r="K1344" s="8" t="s">
        <v>4458</v>
      </c>
      <c r="L1344" s="7">
        <v>8.0</v>
      </c>
      <c r="M1344" s="7" t="s">
        <v>1325</v>
      </c>
      <c r="N1344" s="13" t="s">
        <v>4459</v>
      </c>
      <c r="O1344" s="15" t="s">
        <v>4460</v>
      </c>
    </row>
    <row r="1345">
      <c r="A1345" s="5">
        <v>1580.0</v>
      </c>
      <c r="B1345" s="6">
        <v>45999.674863368055</v>
      </c>
      <c r="C1345" s="7" t="s">
        <v>760</v>
      </c>
      <c r="D1345" s="8" t="s">
        <v>4379</v>
      </c>
      <c r="E1345" s="8" t="s">
        <v>118</v>
      </c>
      <c r="F1345" s="7" t="s">
        <v>4380</v>
      </c>
      <c r="G1345" s="9" t="s">
        <v>181</v>
      </c>
      <c r="H1345" s="7" t="s">
        <v>895</v>
      </c>
      <c r="I1345" s="7" t="s">
        <v>279</v>
      </c>
      <c r="J1345" s="10">
        <v>45985.0</v>
      </c>
      <c r="K1345" s="8" t="s">
        <v>4065</v>
      </c>
      <c r="L1345" s="7">
        <v>1.0</v>
      </c>
      <c r="M1345" s="7" t="s">
        <v>33</v>
      </c>
      <c r="N1345" s="13" t="s">
        <v>4461</v>
      </c>
      <c r="O1345" s="15" t="s">
        <v>4462</v>
      </c>
    </row>
    <row r="1346">
      <c r="A1346" s="5">
        <v>1581.0</v>
      </c>
      <c r="B1346" s="6">
        <v>45999.675598333335</v>
      </c>
      <c r="C1346" s="7" t="s">
        <v>760</v>
      </c>
      <c r="D1346" s="8" t="s">
        <v>1209</v>
      </c>
      <c r="E1346" s="8" t="s">
        <v>223</v>
      </c>
      <c r="F1346" s="7" t="s">
        <v>1210</v>
      </c>
      <c r="G1346" s="9" t="s">
        <v>181</v>
      </c>
      <c r="H1346" s="7" t="s">
        <v>895</v>
      </c>
      <c r="I1346" s="7" t="s">
        <v>279</v>
      </c>
      <c r="J1346" s="10">
        <v>45988.0</v>
      </c>
      <c r="K1346" s="8" t="s">
        <v>896</v>
      </c>
      <c r="L1346" s="7">
        <v>1.0</v>
      </c>
      <c r="M1346" s="7" t="s">
        <v>33</v>
      </c>
      <c r="N1346" s="13" t="s">
        <v>4463</v>
      </c>
      <c r="O1346" s="15" t="s">
        <v>4464</v>
      </c>
    </row>
    <row r="1347">
      <c r="A1347" s="5">
        <v>1582.0</v>
      </c>
      <c r="B1347" s="6">
        <v>45999.677158645834</v>
      </c>
      <c r="C1347" s="7" t="s">
        <v>760</v>
      </c>
      <c r="D1347" s="8" t="s">
        <v>4379</v>
      </c>
      <c r="E1347" s="8" t="s">
        <v>118</v>
      </c>
      <c r="F1347" s="7" t="s">
        <v>4380</v>
      </c>
      <c r="G1347" s="9" t="s">
        <v>181</v>
      </c>
      <c r="H1347" s="7" t="s">
        <v>895</v>
      </c>
      <c r="I1347" s="7" t="s">
        <v>279</v>
      </c>
      <c r="J1347" s="10">
        <v>45950.0</v>
      </c>
      <c r="K1347" s="8" t="s">
        <v>4000</v>
      </c>
      <c r="L1347" s="7">
        <v>1.0</v>
      </c>
      <c r="M1347" s="7" t="s">
        <v>33</v>
      </c>
      <c r="N1347" s="13" t="s">
        <v>4465</v>
      </c>
      <c r="O1347" s="15" t="s">
        <v>4466</v>
      </c>
    </row>
    <row r="1348">
      <c r="A1348" s="5">
        <v>1583.0</v>
      </c>
      <c r="B1348" s="6">
        <v>45999.677366979166</v>
      </c>
      <c r="C1348" s="7" t="s">
        <v>760</v>
      </c>
      <c r="D1348" s="8" t="s">
        <v>1196</v>
      </c>
      <c r="E1348" s="8" t="s">
        <v>1197</v>
      </c>
      <c r="F1348" s="7" t="s">
        <v>1198</v>
      </c>
      <c r="G1348" s="9" t="s">
        <v>144</v>
      </c>
      <c r="H1348" s="7" t="s">
        <v>4467</v>
      </c>
      <c r="I1348" s="7" t="s">
        <v>4468</v>
      </c>
      <c r="J1348" s="10">
        <v>45913.0</v>
      </c>
      <c r="K1348" s="8" t="s">
        <v>4469</v>
      </c>
      <c r="L1348" s="7">
        <v>4.0</v>
      </c>
      <c r="M1348" s="7" t="s">
        <v>4470</v>
      </c>
      <c r="N1348" s="13" t="s">
        <v>4471</v>
      </c>
      <c r="O1348" s="15" t="s">
        <v>4472</v>
      </c>
    </row>
    <row r="1349">
      <c r="A1349" s="5">
        <v>1584.0</v>
      </c>
      <c r="B1349" s="6">
        <v>45999.67853125</v>
      </c>
      <c r="C1349" s="7" t="s">
        <v>125</v>
      </c>
      <c r="D1349" s="8" t="s">
        <v>1151</v>
      </c>
      <c r="E1349" s="8" t="s">
        <v>1152</v>
      </c>
      <c r="F1349" s="7" t="s">
        <v>4473</v>
      </c>
      <c r="G1349" s="9" t="s">
        <v>181</v>
      </c>
      <c r="H1349" s="7" t="s">
        <v>4474</v>
      </c>
      <c r="I1349" s="7" t="s">
        <v>4475</v>
      </c>
      <c r="J1349" s="10">
        <v>45872.0</v>
      </c>
      <c r="K1349" s="8" t="s">
        <v>4476</v>
      </c>
      <c r="L1349" s="7">
        <v>3.0</v>
      </c>
      <c r="M1349" s="7" t="s">
        <v>1160</v>
      </c>
      <c r="N1349" s="13" t="s">
        <v>4477</v>
      </c>
      <c r="O1349" s="15" t="s">
        <v>4478</v>
      </c>
    </row>
    <row r="1350">
      <c r="A1350" s="5">
        <v>1585.0</v>
      </c>
      <c r="B1350" s="6">
        <v>45999.67891320602</v>
      </c>
      <c r="C1350" s="7" t="s">
        <v>760</v>
      </c>
      <c r="D1350" s="8" t="s">
        <v>2060</v>
      </c>
      <c r="E1350" s="8" t="s">
        <v>2061</v>
      </c>
      <c r="F1350" s="7" t="s">
        <v>4479</v>
      </c>
      <c r="G1350" s="9" t="s">
        <v>19</v>
      </c>
      <c r="H1350" s="7" t="s">
        <v>4480</v>
      </c>
      <c r="I1350" s="7" t="s">
        <v>3736</v>
      </c>
      <c r="J1350" s="10">
        <v>46002.0</v>
      </c>
      <c r="K1350" s="8" t="s">
        <v>4481</v>
      </c>
      <c r="L1350" s="7">
        <v>8.0</v>
      </c>
      <c r="M1350" s="7" t="s">
        <v>1325</v>
      </c>
      <c r="N1350" s="13" t="s">
        <v>4482</v>
      </c>
      <c r="O1350" s="15" t="s">
        <v>4483</v>
      </c>
    </row>
    <row r="1351">
      <c r="A1351" s="5">
        <v>1588.0</v>
      </c>
      <c r="B1351" s="6">
        <v>45999.68543217593</v>
      </c>
      <c r="C1351" s="7" t="s">
        <v>760</v>
      </c>
      <c r="D1351" s="8" t="s">
        <v>1221</v>
      </c>
      <c r="E1351" s="8" t="s">
        <v>951</v>
      </c>
      <c r="F1351" s="7" t="s">
        <v>1221</v>
      </c>
      <c r="G1351" s="9" t="s">
        <v>84</v>
      </c>
      <c r="H1351" s="7" t="s">
        <v>85</v>
      </c>
      <c r="I1351" s="7" t="s">
        <v>4484</v>
      </c>
      <c r="J1351" s="10">
        <v>45879.0</v>
      </c>
      <c r="K1351" s="8" t="s">
        <v>4485</v>
      </c>
      <c r="L1351" s="7">
        <v>8.0</v>
      </c>
      <c r="M1351" s="7" t="s">
        <v>4281</v>
      </c>
      <c r="N1351" s="13" t="s">
        <v>4486</v>
      </c>
      <c r="O1351" s="23"/>
    </row>
    <row r="1352">
      <c r="A1352" s="5">
        <v>1589.0</v>
      </c>
      <c r="B1352" s="6">
        <v>45999.68599377315</v>
      </c>
      <c r="C1352" s="7" t="s">
        <v>760</v>
      </c>
      <c r="D1352" s="8" t="s">
        <v>1221</v>
      </c>
      <c r="E1352" s="8" t="s">
        <v>951</v>
      </c>
      <c r="F1352" s="7" t="s">
        <v>1221</v>
      </c>
      <c r="G1352" s="9" t="s">
        <v>84</v>
      </c>
      <c r="H1352" s="7" t="s">
        <v>85</v>
      </c>
      <c r="I1352" s="7" t="s">
        <v>4484</v>
      </c>
      <c r="J1352" s="10">
        <v>45879.0</v>
      </c>
      <c r="K1352" s="8" t="s">
        <v>4485</v>
      </c>
      <c r="L1352" s="7">
        <v>8.0</v>
      </c>
      <c r="M1352" s="7" t="s">
        <v>4281</v>
      </c>
      <c r="N1352" s="13" t="s">
        <v>4487</v>
      </c>
      <c r="O1352" s="15" t="s">
        <v>4488</v>
      </c>
    </row>
    <row r="1353">
      <c r="A1353" s="5">
        <v>1590.0</v>
      </c>
      <c r="B1353" s="6">
        <v>45999.6865902662</v>
      </c>
      <c r="C1353" s="7" t="s">
        <v>760</v>
      </c>
      <c r="D1353" s="8" t="s">
        <v>2646</v>
      </c>
      <c r="E1353" s="8" t="s">
        <v>919</v>
      </c>
      <c r="F1353" s="7" t="s">
        <v>2647</v>
      </c>
      <c r="G1353" s="9" t="s">
        <v>159</v>
      </c>
      <c r="H1353" s="7" t="s">
        <v>4489</v>
      </c>
      <c r="I1353" s="7" t="s">
        <v>4490</v>
      </c>
      <c r="J1353" s="10">
        <v>45910.0</v>
      </c>
      <c r="K1353" s="8" t="s">
        <v>2266</v>
      </c>
      <c r="L1353" s="7">
        <v>4.0</v>
      </c>
      <c r="M1353" s="7" t="s">
        <v>4491</v>
      </c>
      <c r="N1353" s="13" t="s">
        <v>4492</v>
      </c>
      <c r="O1353" s="15" t="s">
        <v>4493</v>
      </c>
    </row>
    <row r="1354">
      <c r="A1354" s="5">
        <v>1591.0</v>
      </c>
      <c r="B1354" s="6">
        <v>45999.68803023148</v>
      </c>
      <c r="C1354" s="7" t="s">
        <v>760</v>
      </c>
      <c r="D1354" s="8" t="s">
        <v>1220</v>
      </c>
      <c r="E1354" s="8" t="s">
        <v>951</v>
      </c>
      <c r="F1354" s="7" t="s">
        <v>1221</v>
      </c>
      <c r="G1354" s="9" t="s">
        <v>84</v>
      </c>
      <c r="H1354" s="7" t="s">
        <v>85</v>
      </c>
      <c r="I1354" s="7" t="s">
        <v>4484</v>
      </c>
      <c r="J1354" s="10">
        <v>45879.0</v>
      </c>
      <c r="K1354" s="8" t="s">
        <v>4485</v>
      </c>
      <c r="L1354" s="7">
        <v>8.0</v>
      </c>
      <c r="M1354" s="7" t="s">
        <v>4281</v>
      </c>
      <c r="N1354" s="13" t="s">
        <v>4494</v>
      </c>
      <c r="O1354" s="15" t="s">
        <v>4495</v>
      </c>
    </row>
    <row r="1355">
      <c r="A1355" s="5">
        <v>1592.0</v>
      </c>
      <c r="B1355" s="6">
        <v>45999.68844778935</v>
      </c>
      <c r="C1355" s="7" t="s">
        <v>125</v>
      </c>
      <c r="D1355" s="8" t="s">
        <v>4294</v>
      </c>
      <c r="E1355" s="8" t="s">
        <v>1948</v>
      </c>
      <c r="F1355" s="7" t="s">
        <v>4300</v>
      </c>
      <c r="G1355" s="9" t="s">
        <v>159</v>
      </c>
      <c r="H1355" s="7" t="s">
        <v>4496</v>
      </c>
      <c r="I1355" s="7" t="s">
        <v>156</v>
      </c>
      <c r="J1355" s="10">
        <v>45962.0</v>
      </c>
      <c r="K1355" s="8" t="s">
        <v>22</v>
      </c>
      <c r="L1355" s="7">
        <v>4.0</v>
      </c>
      <c r="M1355" s="7" t="s">
        <v>4297</v>
      </c>
      <c r="N1355" s="13" t="s">
        <v>4497</v>
      </c>
      <c r="O1355" s="15" t="s">
        <v>4498</v>
      </c>
    </row>
    <row r="1356">
      <c r="A1356" s="5">
        <v>1593.0</v>
      </c>
      <c r="B1356" s="6">
        <v>45999.68894784722</v>
      </c>
      <c r="C1356" s="7" t="s">
        <v>760</v>
      </c>
      <c r="D1356" s="8" t="s">
        <v>3498</v>
      </c>
      <c r="E1356" s="8" t="s">
        <v>679</v>
      </c>
      <c r="F1356" s="7" t="s">
        <v>3499</v>
      </c>
      <c r="G1356" s="9" t="s">
        <v>415</v>
      </c>
      <c r="H1356" s="7" t="s">
        <v>4499</v>
      </c>
      <c r="I1356" s="7" t="s">
        <v>4500</v>
      </c>
      <c r="J1356" s="10">
        <v>45964.0</v>
      </c>
      <c r="K1356" s="8" t="s">
        <v>766</v>
      </c>
      <c r="L1356" s="7">
        <v>5.0</v>
      </c>
      <c r="M1356" s="7" t="s">
        <v>1325</v>
      </c>
      <c r="N1356" s="13" t="s">
        <v>4501</v>
      </c>
      <c r="O1356" s="15" t="s">
        <v>4502</v>
      </c>
    </row>
    <row r="1357">
      <c r="A1357" s="5">
        <v>1595.0</v>
      </c>
      <c r="B1357" s="6">
        <v>45999.69314866899</v>
      </c>
      <c r="C1357" s="7" t="s">
        <v>760</v>
      </c>
      <c r="D1357" s="8" t="s">
        <v>3968</v>
      </c>
      <c r="E1357" s="8" t="s">
        <v>1253</v>
      </c>
      <c r="F1357" s="7" t="s">
        <v>3969</v>
      </c>
      <c r="G1357" s="9" t="s">
        <v>181</v>
      </c>
      <c r="H1357" s="7" t="s">
        <v>4185</v>
      </c>
      <c r="I1357" s="7" t="s">
        <v>314</v>
      </c>
      <c r="J1357" s="10">
        <v>45875.0</v>
      </c>
      <c r="K1357" s="8" t="s">
        <v>766</v>
      </c>
      <c r="L1357" s="7">
        <v>8.0</v>
      </c>
      <c r="M1357" s="7" t="s">
        <v>23</v>
      </c>
      <c r="N1357" s="13" t="s">
        <v>4503</v>
      </c>
      <c r="O1357" s="15" t="s">
        <v>4504</v>
      </c>
    </row>
    <row r="1358">
      <c r="A1358" s="5">
        <v>1596.0</v>
      </c>
      <c r="B1358" s="6">
        <v>45999.693264988426</v>
      </c>
      <c r="C1358" s="7" t="s">
        <v>760</v>
      </c>
      <c r="D1358" s="8" t="s">
        <v>4379</v>
      </c>
      <c r="E1358" s="8" t="s">
        <v>118</v>
      </c>
      <c r="F1358" s="7" t="s">
        <v>4380</v>
      </c>
      <c r="G1358" s="9" t="s">
        <v>144</v>
      </c>
      <c r="H1358" s="7" t="s">
        <v>730</v>
      </c>
      <c r="I1358" s="7" t="s">
        <v>4505</v>
      </c>
      <c r="J1358" s="10">
        <v>45927.0</v>
      </c>
      <c r="K1358" s="8" t="s">
        <v>1633</v>
      </c>
      <c r="L1358" s="7">
        <v>4.0</v>
      </c>
      <c r="M1358" s="7" t="s">
        <v>4506</v>
      </c>
      <c r="N1358" s="13" t="s">
        <v>4507</v>
      </c>
      <c r="O1358" s="15" t="s">
        <v>4508</v>
      </c>
    </row>
    <row r="1359">
      <c r="A1359" s="5">
        <v>1598.0</v>
      </c>
      <c r="B1359" s="6">
        <v>45999.69740761574</v>
      </c>
      <c r="C1359" s="7" t="s">
        <v>760</v>
      </c>
      <c r="D1359" s="8" t="s">
        <v>4509</v>
      </c>
      <c r="E1359" s="8" t="s">
        <v>1253</v>
      </c>
      <c r="F1359" s="7" t="s">
        <v>3969</v>
      </c>
      <c r="G1359" s="9" t="s">
        <v>181</v>
      </c>
      <c r="H1359" s="7" t="s">
        <v>4510</v>
      </c>
      <c r="I1359" s="7" t="s">
        <v>314</v>
      </c>
      <c r="J1359" s="10">
        <v>45928.0</v>
      </c>
      <c r="K1359" s="8" t="s">
        <v>4170</v>
      </c>
      <c r="L1359" s="7">
        <v>3.0</v>
      </c>
      <c r="M1359" s="7" t="s">
        <v>33</v>
      </c>
      <c r="N1359" s="13" t="s">
        <v>4511</v>
      </c>
      <c r="O1359" s="15" t="s">
        <v>4512</v>
      </c>
    </row>
    <row r="1360">
      <c r="A1360" s="5">
        <v>1599.0</v>
      </c>
      <c r="B1360" s="6">
        <v>45999.699628993054</v>
      </c>
      <c r="C1360" s="7" t="s">
        <v>125</v>
      </c>
      <c r="D1360" s="8" t="s">
        <v>2303</v>
      </c>
      <c r="E1360" s="8" t="s">
        <v>28</v>
      </c>
      <c r="F1360" s="7" t="s">
        <v>2304</v>
      </c>
      <c r="G1360" s="9" t="s">
        <v>19</v>
      </c>
      <c r="H1360" s="7" t="s">
        <v>173</v>
      </c>
      <c r="I1360" s="7" t="s">
        <v>174</v>
      </c>
      <c r="J1360" s="10">
        <v>45854.0</v>
      </c>
      <c r="K1360" s="8" t="s">
        <v>175</v>
      </c>
      <c r="L1360" s="7">
        <v>6.0</v>
      </c>
      <c r="M1360" s="7" t="s">
        <v>106</v>
      </c>
      <c r="N1360" s="13" t="s">
        <v>4513</v>
      </c>
      <c r="O1360" s="15" t="s">
        <v>4514</v>
      </c>
    </row>
    <row r="1361">
      <c r="A1361" s="5">
        <v>1600.0</v>
      </c>
      <c r="B1361" s="6">
        <v>45999.701853715276</v>
      </c>
      <c r="C1361" s="7" t="s">
        <v>15</v>
      </c>
      <c r="D1361" s="8" t="s">
        <v>483</v>
      </c>
      <c r="E1361" s="8" t="s">
        <v>484</v>
      </c>
      <c r="F1361" s="7" t="s">
        <v>485</v>
      </c>
      <c r="G1361" s="9" t="s">
        <v>19</v>
      </c>
      <c r="H1361" s="7" t="s">
        <v>4515</v>
      </c>
      <c r="I1361" s="7" t="s">
        <v>2257</v>
      </c>
      <c r="J1361" s="10">
        <v>45954.0</v>
      </c>
      <c r="K1361" s="8" t="s">
        <v>206</v>
      </c>
      <c r="L1361" s="7">
        <v>4.0</v>
      </c>
      <c r="M1361" s="7" t="s">
        <v>4516</v>
      </c>
      <c r="N1361" s="13" t="s">
        <v>4517</v>
      </c>
      <c r="O1361" s="15" t="s">
        <v>4518</v>
      </c>
    </row>
    <row r="1362">
      <c r="A1362" s="5">
        <v>1601.0</v>
      </c>
      <c r="B1362" s="6">
        <v>45999.704978090274</v>
      </c>
      <c r="C1362" s="7" t="s">
        <v>125</v>
      </c>
      <c r="D1362" s="8" t="s">
        <v>4519</v>
      </c>
      <c r="E1362" s="8" t="s">
        <v>118</v>
      </c>
      <c r="F1362" s="7" t="s">
        <v>4520</v>
      </c>
      <c r="G1362" s="9" t="s">
        <v>144</v>
      </c>
      <c r="H1362" s="7" t="s">
        <v>1690</v>
      </c>
      <c r="I1362" s="7" t="s">
        <v>4521</v>
      </c>
      <c r="J1362" s="10">
        <v>45962.0</v>
      </c>
      <c r="K1362" s="8" t="s">
        <v>4522</v>
      </c>
      <c r="L1362" s="7">
        <v>7.0</v>
      </c>
      <c r="M1362" s="7" t="s">
        <v>4523</v>
      </c>
      <c r="N1362" s="13" t="s">
        <v>4524</v>
      </c>
      <c r="O1362" s="15" t="s">
        <v>4525</v>
      </c>
    </row>
    <row r="1363">
      <c r="A1363" s="5">
        <v>1602.0</v>
      </c>
      <c r="B1363" s="6">
        <v>45999.71031650463</v>
      </c>
      <c r="C1363" s="7" t="s">
        <v>125</v>
      </c>
      <c r="D1363" s="8" t="s">
        <v>4519</v>
      </c>
      <c r="E1363" s="8" t="s">
        <v>118</v>
      </c>
      <c r="F1363" s="7" t="s">
        <v>4520</v>
      </c>
      <c r="G1363" s="9" t="s">
        <v>19</v>
      </c>
      <c r="H1363" s="7" t="s">
        <v>4526</v>
      </c>
      <c r="I1363" s="7" t="s">
        <v>4527</v>
      </c>
      <c r="J1363" s="10">
        <v>45824.0</v>
      </c>
      <c r="K1363" s="8" t="s">
        <v>2405</v>
      </c>
      <c r="L1363" s="7">
        <v>6.0</v>
      </c>
      <c r="M1363" s="7" t="s">
        <v>4068</v>
      </c>
      <c r="N1363" s="13" t="s">
        <v>4528</v>
      </c>
      <c r="O1363" s="15" t="s">
        <v>4529</v>
      </c>
    </row>
    <row r="1364">
      <c r="A1364" s="5">
        <v>1603.0</v>
      </c>
      <c r="B1364" s="6">
        <v>45999.71413096065</v>
      </c>
      <c r="C1364" s="7" t="s">
        <v>125</v>
      </c>
      <c r="D1364" s="8" t="s">
        <v>4519</v>
      </c>
      <c r="E1364" s="8" t="s">
        <v>118</v>
      </c>
      <c r="F1364" s="7" t="s">
        <v>4520</v>
      </c>
      <c r="G1364" s="9" t="s">
        <v>144</v>
      </c>
      <c r="H1364" s="7" t="s">
        <v>730</v>
      </c>
      <c r="I1364" s="7" t="s">
        <v>335</v>
      </c>
      <c r="J1364" s="10">
        <v>45955.0</v>
      </c>
      <c r="K1364" s="8" t="s">
        <v>2405</v>
      </c>
      <c r="L1364" s="7">
        <v>6.0</v>
      </c>
      <c r="M1364" s="7" t="s">
        <v>4523</v>
      </c>
      <c r="N1364" s="13" t="s">
        <v>4530</v>
      </c>
      <c r="O1364" s="15" t="s">
        <v>4531</v>
      </c>
    </row>
    <row r="1365">
      <c r="A1365" s="5">
        <v>1604.0</v>
      </c>
      <c r="B1365" s="6">
        <v>45999.71507116898</v>
      </c>
      <c r="C1365" s="7" t="s">
        <v>125</v>
      </c>
      <c r="D1365" s="8" t="s">
        <v>4519</v>
      </c>
      <c r="E1365" s="8" t="s">
        <v>118</v>
      </c>
      <c r="F1365" s="7" t="s">
        <v>4520</v>
      </c>
      <c r="G1365" s="9" t="s">
        <v>144</v>
      </c>
      <c r="H1365" s="7" t="s">
        <v>730</v>
      </c>
      <c r="I1365" s="7" t="s">
        <v>335</v>
      </c>
      <c r="J1365" s="10">
        <v>45962.0</v>
      </c>
      <c r="K1365" s="8" t="s">
        <v>2405</v>
      </c>
      <c r="L1365" s="7">
        <v>6.0</v>
      </c>
      <c r="M1365" s="7" t="s">
        <v>4523</v>
      </c>
      <c r="N1365" s="13" t="s">
        <v>4532</v>
      </c>
      <c r="O1365" s="15" t="s">
        <v>4533</v>
      </c>
    </row>
    <row r="1366">
      <c r="A1366" s="5">
        <v>1605.0</v>
      </c>
      <c r="B1366" s="6">
        <v>45999.717324108795</v>
      </c>
      <c r="C1366" s="7" t="s">
        <v>125</v>
      </c>
      <c r="D1366" s="8" t="s">
        <v>2842</v>
      </c>
      <c r="E1366" s="8" t="s">
        <v>1253</v>
      </c>
      <c r="F1366" s="7" t="s">
        <v>4534</v>
      </c>
      <c r="G1366" s="9" t="s">
        <v>181</v>
      </c>
      <c r="H1366" s="7" t="s">
        <v>1222</v>
      </c>
      <c r="I1366" s="7" t="s">
        <v>231</v>
      </c>
      <c r="J1366" s="10">
        <v>45833.0</v>
      </c>
      <c r="K1366" s="8" t="s">
        <v>4065</v>
      </c>
      <c r="L1366" s="7">
        <v>1.0</v>
      </c>
      <c r="M1366" s="7" t="s">
        <v>33</v>
      </c>
      <c r="N1366" s="13" t="s">
        <v>4535</v>
      </c>
      <c r="O1366" s="15" t="s">
        <v>4536</v>
      </c>
    </row>
    <row r="1367">
      <c r="A1367" s="5">
        <v>1606.0</v>
      </c>
      <c r="B1367" s="6">
        <v>45999.71865570602</v>
      </c>
      <c r="C1367" s="7" t="s">
        <v>125</v>
      </c>
      <c r="D1367" s="8" t="s">
        <v>2842</v>
      </c>
      <c r="E1367" s="8" t="s">
        <v>1253</v>
      </c>
      <c r="F1367" s="7" t="s">
        <v>4534</v>
      </c>
      <c r="G1367" s="9" t="s">
        <v>181</v>
      </c>
      <c r="H1367" s="7" t="s">
        <v>1222</v>
      </c>
      <c r="I1367" s="7" t="s">
        <v>231</v>
      </c>
      <c r="J1367" s="10">
        <v>45834.0</v>
      </c>
      <c r="K1367" s="8" t="s">
        <v>4065</v>
      </c>
      <c r="L1367" s="7">
        <v>1.0</v>
      </c>
      <c r="M1367" s="7" t="s">
        <v>33</v>
      </c>
      <c r="N1367" s="13" t="s">
        <v>4537</v>
      </c>
      <c r="O1367" s="15" t="s">
        <v>4538</v>
      </c>
    </row>
    <row r="1368">
      <c r="A1368" s="5">
        <v>1607.0</v>
      </c>
      <c r="B1368" s="6">
        <v>45999.71995883102</v>
      </c>
      <c r="C1368" s="7" t="s">
        <v>125</v>
      </c>
      <c r="D1368" s="8" t="s">
        <v>2842</v>
      </c>
      <c r="E1368" s="8" t="s">
        <v>1253</v>
      </c>
      <c r="F1368" s="7" t="s">
        <v>4534</v>
      </c>
      <c r="G1368" s="9" t="s">
        <v>181</v>
      </c>
      <c r="H1368" s="7" t="s">
        <v>4539</v>
      </c>
      <c r="I1368" s="7" t="s">
        <v>231</v>
      </c>
      <c r="J1368" s="10">
        <v>45841.0</v>
      </c>
      <c r="K1368" s="8" t="s">
        <v>4065</v>
      </c>
      <c r="L1368" s="7">
        <v>1.0</v>
      </c>
      <c r="M1368" s="7" t="s">
        <v>33</v>
      </c>
      <c r="N1368" s="13" t="s">
        <v>4540</v>
      </c>
      <c r="O1368" s="15" t="s">
        <v>4541</v>
      </c>
    </row>
    <row r="1369">
      <c r="A1369" s="5">
        <v>1608.0</v>
      </c>
      <c r="B1369" s="6">
        <v>45999.72038605324</v>
      </c>
      <c r="C1369" s="7" t="s">
        <v>125</v>
      </c>
      <c r="D1369" s="8" t="s">
        <v>4519</v>
      </c>
      <c r="E1369" s="8" t="s">
        <v>118</v>
      </c>
      <c r="F1369" s="7" t="s">
        <v>4520</v>
      </c>
      <c r="G1369" s="9" t="s">
        <v>144</v>
      </c>
      <c r="H1369" s="7" t="s">
        <v>1581</v>
      </c>
      <c r="I1369" s="7" t="s">
        <v>335</v>
      </c>
      <c r="J1369" s="10">
        <v>45989.0</v>
      </c>
      <c r="K1369" s="8" t="s">
        <v>4522</v>
      </c>
      <c r="L1369" s="7">
        <v>6.0</v>
      </c>
      <c r="M1369" s="7" t="s">
        <v>4523</v>
      </c>
      <c r="N1369" s="13" t="s">
        <v>4542</v>
      </c>
      <c r="O1369" s="15" t="s">
        <v>4543</v>
      </c>
    </row>
    <row r="1370">
      <c r="A1370" s="5">
        <v>1609.0</v>
      </c>
      <c r="B1370" s="6">
        <v>45999.73217563657</v>
      </c>
      <c r="C1370" s="7" t="s">
        <v>760</v>
      </c>
      <c r="D1370" s="8" t="s">
        <v>2466</v>
      </c>
      <c r="E1370" s="8" t="s">
        <v>411</v>
      </c>
      <c r="F1370" s="7" t="s">
        <v>2467</v>
      </c>
      <c r="G1370" s="9" t="s">
        <v>181</v>
      </c>
      <c r="H1370" s="7" t="s">
        <v>3948</v>
      </c>
      <c r="I1370" s="7" t="s">
        <v>314</v>
      </c>
      <c r="J1370" s="10">
        <v>45875.0</v>
      </c>
      <c r="K1370" s="8" t="s">
        <v>766</v>
      </c>
      <c r="L1370" s="7">
        <v>8.0</v>
      </c>
      <c r="M1370" s="7" t="s">
        <v>1325</v>
      </c>
      <c r="N1370" s="13" t="s">
        <v>4544</v>
      </c>
      <c r="O1370" s="15" t="s">
        <v>4545</v>
      </c>
    </row>
    <row r="1371">
      <c r="A1371" s="5">
        <v>1610.0</v>
      </c>
      <c r="B1371" s="6">
        <v>45999.733911284726</v>
      </c>
      <c r="C1371" s="7" t="s">
        <v>15</v>
      </c>
      <c r="D1371" s="8" t="s">
        <v>4546</v>
      </c>
      <c r="E1371" s="8" t="s">
        <v>951</v>
      </c>
      <c r="F1371" s="7" t="s">
        <v>4547</v>
      </c>
      <c r="G1371" s="9" t="s">
        <v>19</v>
      </c>
      <c r="H1371" s="7" t="s">
        <v>387</v>
      </c>
      <c r="I1371" s="7" t="s">
        <v>31</v>
      </c>
      <c r="J1371" s="10">
        <v>45825.0</v>
      </c>
      <c r="K1371" s="8" t="s">
        <v>49</v>
      </c>
      <c r="L1371" s="7">
        <v>8.0</v>
      </c>
      <c r="M1371" s="7" t="s">
        <v>33</v>
      </c>
      <c r="N1371" s="13" t="s">
        <v>4548</v>
      </c>
      <c r="O1371" s="15" t="s">
        <v>4549</v>
      </c>
    </row>
    <row r="1372">
      <c r="A1372" s="5">
        <v>1611.0</v>
      </c>
      <c r="B1372" s="6">
        <v>45999.735448252315</v>
      </c>
      <c r="C1372" s="7" t="s">
        <v>15</v>
      </c>
      <c r="D1372" s="8" t="s">
        <v>4546</v>
      </c>
      <c r="E1372" s="8" t="s">
        <v>951</v>
      </c>
      <c r="F1372" s="7" t="s">
        <v>4547</v>
      </c>
      <c r="G1372" s="9" t="s">
        <v>19</v>
      </c>
      <c r="H1372" s="7" t="s">
        <v>321</v>
      </c>
      <c r="I1372" s="7" t="s">
        <v>469</v>
      </c>
      <c r="J1372" s="10">
        <v>45833.0</v>
      </c>
      <c r="K1372" s="8" t="s">
        <v>49</v>
      </c>
      <c r="L1372" s="7">
        <v>8.0</v>
      </c>
      <c r="M1372" s="7" t="s">
        <v>33</v>
      </c>
      <c r="N1372" s="13" t="s">
        <v>4550</v>
      </c>
      <c r="O1372" s="15" t="s">
        <v>4551</v>
      </c>
    </row>
    <row r="1373">
      <c r="A1373" s="5">
        <v>1612.0</v>
      </c>
      <c r="B1373" s="6">
        <v>45999.737503819444</v>
      </c>
      <c r="C1373" s="7" t="s">
        <v>15</v>
      </c>
      <c r="D1373" s="8" t="s">
        <v>4546</v>
      </c>
      <c r="E1373" s="8" t="s">
        <v>951</v>
      </c>
      <c r="F1373" s="7" t="s">
        <v>4547</v>
      </c>
      <c r="G1373" s="9" t="s">
        <v>19</v>
      </c>
      <c r="H1373" s="7" t="s">
        <v>4552</v>
      </c>
      <c r="I1373" s="7" t="s">
        <v>37</v>
      </c>
      <c r="J1373" s="10">
        <v>45838.0</v>
      </c>
      <c r="K1373" s="8" t="s">
        <v>67</v>
      </c>
      <c r="L1373" s="7">
        <v>8.0</v>
      </c>
      <c r="M1373" s="7" t="s">
        <v>33</v>
      </c>
      <c r="N1373" s="13" t="s">
        <v>4553</v>
      </c>
      <c r="O1373" s="15" t="s">
        <v>4554</v>
      </c>
    </row>
    <row r="1374">
      <c r="A1374" s="5">
        <v>1613.0</v>
      </c>
      <c r="B1374" s="6">
        <v>45999.739074108795</v>
      </c>
      <c r="C1374" s="7" t="s">
        <v>15</v>
      </c>
      <c r="D1374" s="8" t="s">
        <v>4546</v>
      </c>
      <c r="E1374" s="8" t="s">
        <v>951</v>
      </c>
      <c r="F1374" s="7" t="s">
        <v>4547</v>
      </c>
      <c r="G1374" s="9" t="s">
        <v>19</v>
      </c>
      <c r="H1374" s="7" t="s">
        <v>1012</v>
      </c>
      <c r="I1374" s="7" t="s">
        <v>37</v>
      </c>
      <c r="J1374" s="10">
        <v>45839.0</v>
      </c>
      <c r="K1374" s="8" t="s">
        <v>67</v>
      </c>
      <c r="L1374" s="7">
        <v>8.0</v>
      </c>
      <c r="M1374" s="7" t="s">
        <v>33</v>
      </c>
      <c r="N1374" s="13" t="s">
        <v>4555</v>
      </c>
      <c r="O1374" s="15" t="s">
        <v>4556</v>
      </c>
    </row>
    <row r="1375">
      <c r="A1375" s="5">
        <v>1614.0</v>
      </c>
      <c r="B1375" s="6">
        <v>45999.74048782408</v>
      </c>
      <c r="C1375" s="7" t="s">
        <v>15</v>
      </c>
      <c r="D1375" s="8" t="s">
        <v>2264</v>
      </c>
      <c r="E1375" s="8" t="s">
        <v>380</v>
      </c>
      <c r="F1375" s="7" t="s">
        <v>2265</v>
      </c>
      <c r="G1375" s="9" t="s">
        <v>144</v>
      </c>
      <c r="H1375" s="7" t="s">
        <v>730</v>
      </c>
      <c r="I1375" s="7" t="s">
        <v>2297</v>
      </c>
      <c r="J1375" s="10">
        <v>45834.0</v>
      </c>
      <c r="K1375" s="8" t="s">
        <v>753</v>
      </c>
      <c r="L1375" s="7">
        <v>2.0</v>
      </c>
      <c r="M1375" s="7" t="s">
        <v>2398</v>
      </c>
      <c r="N1375" s="13" t="s">
        <v>4557</v>
      </c>
      <c r="O1375" s="15" t="s">
        <v>4558</v>
      </c>
    </row>
    <row r="1376">
      <c r="A1376" s="5">
        <v>1615.0</v>
      </c>
      <c r="B1376" s="6">
        <v>45999.74105561343</v>
      </c>
      <c r="C1376" s="7" t="s">
        <v>760</v>
      </c>
      <c r="D1376" s="8" t="s">
        <v>3406</v>
      </c>
      <c r="E1376" s="8" t="s">
        <v>134</v>
      </c>
      <c r="F1376" s="7" t="s">
        <v>3407</v>
      </c>
      <c r="G1376" s="9" t="s">
        <v>181</v>
      </c>
      <c r="H1376" s="7" t="s">
        <v>4559</v>
      </c>
      <c r="I1376" s="7" t="s">
        <v>279</v>
      </c>
      <c r="J1376" s="10">
        <v>45928.0</v>
      </c>
      <c r="K1376" s="8" t="s">
        <v>4170</v>
      </c>
      <c r="L1376" s="7">
        <v>3.0</v>
      </c>
      <c r="M1376" s="7" t="s">
        <v>33</v>
      </c>
      <c r="N1376" s="13" t="s">
        <v>4560</v>
      </c>
      <c r="O1376" s="15" t="s">
        <v>4561</v>
      </c>
    </row>
    <row r="1377">
      <c r="A1377" s="5">
        <v>1616.0</v>
      </c>
      <c r="B1377" s="6">
        <v>45999.7431484838</v>
      </c>
      <c r="C1377" s="7" t="s">
        <v>15</v>
      </c>
      <c r="D1377" s="8" t="s">
        <v>4546</v>
      </c>
      <c r="E1377" s="8" t="s">
        <v>951</v>
      </c>
      <c r="F1377" s="7" t="s">
        <v>4547</v>
      </c>
      <c r="G1377" s="9" t="s">
        <v>19</v>
      </c>
      <c r="H1377" s="7" t="s">
        <v>1012</v>
      </c>
      <c r="I1377" s="7" t="s">
        <v>37</v>
      </c>
      <c r="J1377" s="10">
        <v>45840.0</v>
      </c>
      <c r="K1377" s="8" t="s">
        <v>67</v>
      </c>
      <c r="L1377" s="7">
        <v>8.0</v>
      </c>
      <c r="M1377" s="7" t="s">
        <v>33</v>
      </c>
      <c r="N1377" s="13" t="s">
        <v>4562</v>
      </c>
      <c r="O1377" s="15" t="s">
        <v>4563</v>
      </c>
    </row>
    <row r="1378">
      <c r="A1378" s="5">
        <v>1617.0</v>
      </c>
      <c r="B1378" s="6">
        <v>45999.75126953704</v>
      </c>
      <c r="C1378" s="7" t="s">
        <v>125</v>
      </c>
      <c r="D1378" s="8" t="s">
        <v>4045</v>
      </c>
      <c r="E1378" s="8" t="s">
        <v>1097</v>
      </c>
      <c r="F1378" s="7" t="s">
        <v>4046</v>
      </c>
      <c r="G1378" s="9" t="s">
        <v>19</v>
      </c>
      <c r="H1378" s="7" t="s">
        <v>173</v>
      </c>
      <c r="I1378" s="7" t="s">
        <v>174</v>
      </c>
      <c r="J1378" s="10">
        <v>45854.0</v>
      </c>
      <c r="K1378" s="8" t="s">
        <v>175</v>
      </c>
      <c r="L1378" s="7">
        <v>6.0</v>
      </c>
      <c r="M1378" s="7" t="s">
        <v>106</v>
      </c>
      <c r="N1378" s="13" t="s">
        <v>4564</v>
      </c>
      <c r="O1378" s="15" t="s">
        <v>4565</v>
      </c>
    </row>
    <row r="1379">
      <c r="A1379" s="5">
        <v>1618.0</v>
      </c>
      <c r="B1379" s="6">
        <v>45999.75520994213</v>
      </c>
      <c r="C1379" s="7" t="s">
        <v>125</v>
      </c>
      <c r="D1379" s="8" t="s">
        <v>4566</v>
      </c>
      <c r="E1379" s="8" t="s">
        <v>817</v>
      </c>
      <c r="F1379" s="7" t="s">
        <v>4567</v>
      </c>
      <c r="G1379" s="9" t="s">
        <v>159</v>
      </c>
      <c r="H1379" s="7" t="s">
        <v>3810</v>
      </c>
      <c r="I1379" s="7" t="s">
        <v>3869</v>
      </c>
      <c r="J1379" s="10">
        <v>45980.0</v>
      </c>
      <c r="K1379" s="8" t="s">
        <v>22</v>
      </c>
      <c r="L1379" s="7">
        <v>4.0</v>
      </c>
      <c r="M1379" s="7" t="s">
        <v>590</v>
      </c>
      <c r="N1379" s="13" t="s">
        <v>4568</v>
      </c>
      <c r="O1379" s="15" t="s">
        <v>4569</v>
      </c>
    </row>
    <row r="1380">
      <c r="A1380" s="5">
        <v>1619.0</v>
      </c>
      <c r="B1380" s="6">
        <v>45999.757080625</v>
      </c>
      <c r="C1380" s="7" t="s">
        <v>125</v>
      </c>
      <c r="D1380" s="8" t="s">
        <v>4566</v>
      </c>
      <c r="E1380" s="8" t="s">
        <v>817</v>
      </c>
      <c r="F1380" s="7" t="s">
        <v>4567</v>
      </c>
      <c r="G1380" s="9" t="s">
        <v>159</v>
      </c>
      <c r="H1380" s="7" t="s">
        <v>3878</v>
      </c>
      <c r="I1380" s="7" t="s">
        <v>3820</v>
      </c>
      <c r="J1380" s="10">
        <v>45991.0</v>
      </c>
      <c r="K1380" s="8" t="s">
        <v>22</v>
      </c>
      <c r="L1380" s="7">
        <v>4.0</v>
      </c>
      <c r="M1380" s="7" t="s">
        <v>590</v>
      </c>
      <c r="N1380" s="13" t="s">
        <v>4570</v>
      </c>
      <c r="O1380" s="15" t="s">
        <v>4571</v>
      </c>
    </row>
    <row r="1381">
      <c r="A1381" s="5">
        <v>1621.0</v>
      </c>
      <c r="B1381" s="6">
        <v>45999.75890690972</v>
      </c>
      <c r="C1381" s="7" t="s">
        <v>125</v>
      </c>
      <c r="D1381" s="8" t="s">
        <v>4566</v>
      </c>
      <c r="E1381" s="8" t="s">
        <v>817</v>
      </c>
      <c r="F1381" s="7" t="s">
        <v>4567</v>
      </c>
      <c r="G1381" s="9" t="s">
        <v>159</v>
      </c>
      <c r="H1381" s="7" t="s">
        <v>587</v>
      </c>
      <c r="I1381" s="7" t="s">
        <v>588</v>
      </c>
      <c r="J1381" s="10">
        <v>45942.0</v>
      </c>
      <c r="K1381" s="8" t="s">
        <v>1647</v>
      </c>
      <c r="L1381" s="7">
        <v>6.0</v>
      </c>
      <c r="M1381" s="7" t="s">
        <v>590</v>
      </c>
      <c r="N1381" s="7"/>
      <c r="O1381" s="23"/>
    </row>
    <row r="1382">
      <c r="A1382" s="5">
        <v>1622.0</v>
      </c>
      <c r="B1382" s="6">
        <v>45999.759175706015</v>
      </c>
      <c r="C1382" s="7" t="s">
        <v>125</v>
      </c>
      <c r="D1382" s="8" t="s">
        <v>568</v>
      </c>
      <c r="E1382" s="8" t="s">
        <v>569</v>
      </c>
      <c r="F1382" s="7" t="s">
        <v>570</v>
      </c>
      <c r="G1382" s="9" t="s">
        <v>159</v>
      </c>
      <c r="H1382" s="7" t="s">
        <v>4572</v>
      </c>
      <c r="I1382" s="7" t="s">
        <v>339</v>
      </c>
      <c r="J1382" s="10">
        <v>45957.0</v>
      </c>
      <c r="K1382" s="8" t="s">
        <v>1665</v>
      </c>
      <c r="L1382" s="7">
        <v>2.0</v>
      </c>
      <c r="M1382" s="7" t="s">
        <v>331</v>
      </c>
      <c r="N1382" s="13" t="s">
        <v>4573</v>
      </c>
      <c r="O1382" s="15" t="s">
        <v>4574</v>
      </c>
    </row>
    <row r="1383">
      <c r="A1383" s="5">
        <v>1623.0</v>
      </c>
      <c r="B1383" s="6">
        <v>45999.76218961806</v>
      </c>
      <c r="C1383" s="7" t="s">
        <v>125</v>
      </c>
      <c r="D1383" s="8" t="s">
        <v>4566</v>
      </c>
      <c r="E1383" s="8" t="s">
        <v>817</v>
      </c>
      <c r="F1383" s="7" t="s">
        <v>4567</v>
      </c>
      <c r="G1383" s="9" t="s">
        <v>159</v>
      </c>
      <c r="H1383" s="7" t="s">
        <v>587</v>
      </c>
      <c r="I1383" s="7" t="s">
        <v>588</v>
      </c>
      <c r="J1383" s="10">
        <v>45942.0</v>
      </c>
      <c r="K1383" s="8" t="s">
        <v>1647</v>
      </c>
      <c r="L1383" s="7">
        <v>6.0</v>
      </c>
      <c r="M1383" s="7" t="s">
        <v>590</v>
      </c>
      <c r="N1383" s="13" t="s">
        <v>4575</v>
      </c>
      <c r="O1383" s="15" t="s">
        <v>4576</v>
      </c>
    </row>
    <row r="1384">
      <c r="A1384" s="5">
        <v>1624.0</v>
      </c>
      <c r="B1384" s="6">
        <v>45999.764146180554</v>
      </c>
      <c r="C1384" s="7" t="s">
        <v>125</v>
      </c>
      <c r="D1384" s="8" t="s">
        <v>4566</v>
      </c>
      <c r="E1384" s="8" t="s">
        <v>817</v>
      </c>
      <c r="F1384" s="7" t="s">
        <v>4567</v>
      </c>
      <c r="G1384" s="9" t="s">
        <v>159</v>
      </c>
      <c r="H1384" s="7" t="s">
        <v>4577</v>
      </c>
      <c r="I1384" s="7" t="s">
        <v>624</v>
      </c>
      <c r="J1384" s="10">
        <v>45965.0</v>
      </c>
      <c r="K1384" s="8" t="s">
        <v>499</v>
      </c>
      <c r="L1384" s="7">
        <v>4.0</v>
      </c>
      <c r="M1384" s="7" t="s">
        <v>590</v>
      </c>
      <c r="N1384" s="13" t="s">
        <v>4578</v>
      </c>
      <c r="O1384" s="15" t="s">
        <v>4579</v>
      </c>
    </row>
    <row r="1385">
      <c r="A1385" s="5">
        <v>1625.0</v>
      </c>
      <c r="B1385" s="6">
        <v>45999.76578804398</v>
      </c>
      <c r="C1385" s="7" t="s">
        <v>125</v>
      </c>
      <c r="D1385" s="8" t="s">
        <v>4566</v>
      </c>
      <c r="E1385" s="8" t="s">
        <v>817</v>
      </c>
      <c r="F1385" s="7" t="s">
        <v>4567</v>
      </c>
      <c r="G1385" s="9" t="s">
        <v>159</v>
      </c>
      <c r="H1385" s="7" t="s">
        <v>210</v>
      </c>
      <c r="I1385" s="7" t="s">
        <v>616</v>
      </c>
      <c r="J1385" s="10">
        <v>45949.0</v>
      </c>
      <c r="K1385" s="8" t="s">
        <v>22</v>
      </c>
      <c r="L1385" s="7">
        <v>4.0</v>
      </c>
      <c r="M1385" s="7" t="s">
        <v>590</v>
      </c>
      <c r="N1385" s="13" t="s">
        <v>4580</v>
      </c>
      <c r="O1385" s="15" t="s">
        <v>4581</v>
      </c>
    </row>
    <row r="1386">
      <c r="A1386" s="5">
        <v>1626.0</v>
      </c>
      <c r="B1386" s="6">
        <v>45999.78007170139</v>
      </c>
      <c r="C1386" s="7" t="s">
        <v>125</v>
      </c>
      <c r="D1386" s="8" t="s">
        <v>4566</v>
      </c>
      <c r="E1386" s="8" t="s">
        <v>817</v>
      </c>
      <c r="F1386" s="7" t="s">
        <v>4567</v>
      </c>
      <c r="G1386" s="9" t="s">
        <v>159</v>
      </c>
      <c r="H1386" s="7" t="s">
        <v>210</v>
      </c>
      <c r="I1386" s="7" t="s">
        <v>4582</v>
      </c>
      <c r="J1386" s="10">
        <v>45949.0</v>
      </c>
      <c r="K1386" s="8" t="s">
        <v>22</v>
      </c>
      <c r="L1386" s="7">
        <v>4.0</v>
      </c>
      <c r="M1386" s="7" t="s">
        <v>590</v>
      </c>
      <c r="N1386" s="13" t="s">
        <v>4583</v>
      </c>
      <c r="O1386" s="15" t="s">
        <v>4584</v>
      </c>
    </row>
    <row r="1387">
      <c r="A1387" s="5">
        <v>1627.0</v>
      </c>
      <c r="B1387" s="6">
        <v>45999.78346119213</v>
      </c>
      <c r="C1387" s="7" t="s">
        <v>125</v>
      </c>
      <c r="D1387" s="8" t="s">
        <v>568</v>
      </c>
      <c r="E1387" s="8" t="s">
        <v>569</v>
      </c>
      <c r="F1387" s="7" t="s">
        <v>570</v>
      </c>
      <c r="G1387" s="9" t="s">
        <v>159</v>
      </c>
      <c r="H1387" s="7" t="s">
        <v>4585</v>
      </c>
      <c r="I1387" s="7" t="s">
        <v>339</v>
      </c>
      <c r="J1387" s="10">
        <v>45957.0</v>
      </c>
      <c r="K1387" s="8" t="s">
        <v>1665</v>
      </c>
      <c r="L1387" s="7">
        <v>2.0</v>
      </c>
      <c r="M1387" s="7" t="s">
        <v>331</v>
      </c>
      <c r="N1387" s="13" t="s">
        <v>4586</v>
      </c>
      <c r="O1387" s="15" t="s">
        <v>4587</v>
      </c>
    </row>
    <row r="1388">
      <c r="A1388" s="5">
        <v>1628.0</v>
      </c>
      <c r="B1388" s="6">
        <v>45999.78462146991</v>
      </c>
      <c r="C1388" s="7" t="s">
        <v>125</v>
      </c>
      <c r="D1388" s="8" t="s">
        <v>4566</v>
      </c>
      <c r="E1388" s="8" t="s">
        <v>817</v>
      </c>
      <c r="F1388" s="7" t="s">
        <v>4567</v>
      </c>
      <c r="G1388" s="9" t="s">
        <v>19</v>
      </c>
      <c r="H1388" s="7" t="s">
        <v>173</v>
      </c>
      <c r="I1388" s="7" t="s">
        <v>174</v>
      </c>
      <c r="J1388" s="10">
        <v>45854.0</v>
      </c>
      <c r="K1388" s="8" t="s">
        <v>175</v>
      </c>
      <c r="L1388" s="7">
        <v>6.0</v>
      </c>
      <c r="M1388" s="7" t="s">
        <v>106</v>
      </c>
      <c r="N1388" s="13" t="s">
        <v>4588</v>
      </c>
      <c r="O1388" s="15" t="s">
        <v>4589</v>
      </c>
    </row>
    <row r="1389">
      <c r="A1389" s="5">
        <v>1629.0</v>
      </c>
      <c r="B1389" s="6">
        <v>45999.787011354165</v>
      </c>
      <c r="C1389" s="7" t="s">
        <v>15</v>
      </c>
      <c r="D1389" s="8" t="s">
        <v>1454</v>
      </c>
      <c r="E1389" s="8" t="s">
        <v>574</v>
      </c>
      <c r="F1389" s="7" t="s">
        <v>1455</v>
      </c>
      <c r="G1389" s="9" t="s">
        <v>19</v>
      </c>
      <c r="H1389" s="7" t="s">
        <v>30</v>
      </c>
      <c r="I1389" s="7" t="s">
        <v>37</v>
      </c>
      <c r="J1389" s="10">
        <v>45838.0</v>
      </c>
      <c r="K1389" s="8" t="s">
        <v>67</v>
      </c>
      <c r="L1389" s="7">
        <v>8.0</v>
      </c>
      <c r="M1389" s="7" t="s">
        <v>33</v>
      </c>
      <c r="N1389" s="13" t="s">
        <v>4590</v>
      </c>
      <c r="O1389" s="15" t="s">
        <v>4591</v>
      </c>
    </row>
    <row r="1390">
      <c r="A1390" s="5">
        <v>1630.0</v>
      </c>
      <c r="B1390" s="6">
        <v>45999.791740671295</v>
      </c>
      <c r="C1390" s="7" t="s">
        <v>760</v>
      </c>
      <c r="D1390" s="8" t="s">
        <v>2364</v>
      </c>
      <c r="E1390" s="8" t="s">
        <v>1596</v>
      </c>
      <c r="F1390" s="7" t="s">
        <v>2365</v>
      </c>
      <c r="G1390" s="9" t="s">
        <v>19</v>
      </c>
      <c r="H1390" s="7" t="s">
        <v>3735</v>
      </c>
      <c r="I1390" s="7" t="s">
        <v>3736</v>
      </c>
      <c r="J1390" s="10">
        <v>46002.0</v>
      </c>
      <c r="K1390" s="8" t="s">
        <v>2961</v>
      </c>
      <c r="L1390" s="7">
        <v>8.0</v>
      </c>
      <c r="M1390" s="7" t="s">
        <v>1325</v>
      </c>
      <c r="N1390" s="13" t="s">
        <v>4592</v>
      </c>
      <c r="O1390" s="15" t="s">
        <v>4593</v>
      </c>
    </row>
    <row r="1391">
      <c r="A1391" s="5">
        <v>1631.0</v>
      </c>
      <c r="B1391" s="6">
        <v>45999.79502831018</v>
      </c>
      <c r="C1391" s="7" t="s">
        <v>15</v>
      </c>
      <c r="D1391" s="8" t="s">
        <v>3758</v>
      </c>
      <c r="E1391" s="8" t="s">
        <v>674</v>
      </c>
      <c r="F1391" s="7" t="s">
        <v>3759</v>
      </c>
      <c r="G1391" s="9" t="s">
        <v>19</v>
      </c>
      <c r="H1391" s="7" t="s">
        <v>448</v>
      </c>
      <c r="I1391" s="7" t="s">
        <v>37</v>
      </c>
      <c r="J1391" s="10">
        <v>45839.0</v>
      </c>
      <c r="K1391" s="8" t="s">
        <v>67</v>
      </c>
      <c r="L1391" s="7">
        <v>8.0</v>
      </c>
      <c r="M1391" s="7" t="s">
        <v>33</v>
      </c>
      <c r="N1391" s="13" t="s">
        <v>4594</v>
      </c>
      <c r="O1391" s="15" t="s">
        <v>4595</v>
      </c>
    </row>
    <row r="1392">
      <c r="A1392" s="5">
        <v>1632.0</v>
      </c>
      <c r="B1392" s="6">
        <v>45999.79641236112</v>
      </c>
      <c r="C1392" s="7" t="s">
        <v>15</v>
      </c>
      <c r="D1392" s="8" t="s">
        <v>3758</v>
      </c>
      <c r="E1392" s="8" t="s">
        <v>674</v>
      </c>
      <c r="F1392" s="7" t="s">
        <v>3759</v>
      </c>
      <c r="G1392" s="9" t="s">
        <v>19</v>
      </c>
      <c r="H1392" s="7" t="s">
        <v>1810</v>
      </c>
      <c r="I1392" s="7" t="s">
        <v>37</v>
      </c>
      <c r="J1392" s="10">
        <v>45840.0</v>
      </c>
      <c r="K1392" s="8" t="s">
        <v>67</v>
      </c>
      <c r="L1392" s="7">
        <v>8.0</v>
      </c>
      <c r="M1392" s="7" t="s">
        <v>33</v>
      </c>
      <c r="N1392" s="13" t="s">
        <v>4596</v>
      </c>
      <c r="O1392" s="23"/>
    </row>
    <row r="1393">
      <c r="A1393" s="5">
        <v>1633.0</v>
      </c>
      <c r="B1393" s="6">
        <v>45999.79643127315</v>
      </c>
      <c r="C1393" s="7" t="s">
        <v>15</v>
      </c>
      <c r="D1393" s="8" t="s">
        <v>1876</v>
      </c>
      <c r="E1393" s="8" t="s">
        <v>1042</v>
      </c>
      <c r="F1393" s="7" t="s">
        <v>1877</v>
      </c>
      <c r="G1393" s="9" t="s">
        <v>181</v>
      </c>
      <c r="H1393" s="7" t="s">
        <v>4597</v>
      </c>
      <c r="I1393" s="7" t="s">
        <v>231</v>
      </c>
      <c r="J1393" s="10">
        <v>45859.0</v>
      </c>
      <c r="K1393" s="8" t="s">
        <v>4598</v>
      </c>
      <c r="L1393" s="7">
        <v>8.0</v>
      </c>
      <c r="M1393" s="7" t="s">
        <v>2391</v>
      </c>
      <c r="N1393" s="13" t="s">
        <v>4599</v>
      </c>
      <c r="O1393" s="23"/>
    </row>
    <row r="1394">
      <c r="A1394" s="5">
        <v>1634.0</v>
      </c>
      <c r="B1394" s="6">
        <v>45999.79648415509</v>
      </c>
      <c r="C1394" s="7" t="s">
        <v>125</v>
      </c>
      <c r="D1394" s="8" t="s">
        <v>4600</v>
      </c>
      <c r="E1394" s="8" t="s">
        <v>1385</v>
      </c>
      <c r="F1394" s="7" t="s">
        <v>4601</v>
      </c>
      <c r="G1394" s="9" t="s">
        <v>144</v>
      </c>
      <c r="H1394" s="7" t="s">
        <v>365</v>
      </c>
      <c r="I1394" s="7" t="s">
        <v>366</v>
      </c>
      <c r="J1394" s="10">
        <v>45942.0</v>
      </c>
      <c r="K1394" s="8" t="s">
        <v>22</v>
      </c>
      <c r="L1394" s="7">
        <v>4.0</v>
      </c>
      <c r="M1394" s="7" t="s">
        <v>4602</v>
      </c>
      <c r="N1394" s="13" t="s">
        <v>4603</v>
      </c>
      <c r="O1394" s="15" t="s">
        <v>4604</v>
      </c>
    </row>
    <row r="1395">
      <c r="A1395" s="5">
        <v>1636.0</v>
      </c>
      <c r="B1395" s="6">
        <v>45999.797402951386</v>
      </c>
      <c r="C1395" s="7" t="s">
        <v>15</v>
      </c>
      <c r="D1395" s="8" t="s">
        <v>1876</v>
      </c>
      <c r="E1395" s="8" t="s">
        <v>1042</v>
      </c>
      <c r="F1395" s="7" t="s">
        <v>1877</v>
      </c>
      <c r="G1395" s="9" t="s">
        <v>181</v>
      </c>
      <c r="H1395" s="7" t="s">
        <v>4597</v>
      </c>
      <c r="I1395" s="7" t="s">
        <v>231</v>
      </c>
      <c r="J1395" s="10">
        <v>45859.0</v>
      </c>
      <c r="K1395" s="8" t="s">
        <v>1665</v>
      </c>
      <c r="L1395" s="7">
        <v>2.0</v>
      </c>
      <c r="M1395" s="7" t="s">
        <v>2391</v>
      </c>
      <c r="N1395" s="13" t="s">
        <v>4605</v>
      </c>
      <c r="O1395" s="15" t="s">
        <v>4606</v>
      </c>
    </row>
    <row r="1396">
      <c r="A1396" s="5">
        <v>1637.0</v>
      </c>
      <c r="B1396" s="6">
        <v>45999.79814061343</v>
      </c>
      <c r="C1396" s="7" t="s">
        <v>760</v>
      </c>
      <c r="D1396" s="8" t="s">
        <v>2817</v>
      </c>
      <c r="E1396" s="8" t="s">
        <v>287</v>
      </c>
      <c r="F1396" s="7" t="s">
        <v>2818</v>
      </c>
      <c r="G1396" s="9" t="s">
        <v>84</v>
      </c>
      <c r="H1396" s="7" t="s">
        <v>85</v>
      </c>
      <c r="I1396" s="7" t="s">
        <v>4607</v>
      </c>
      <c r="J1396" s="10">
        <v>45663.0</v>
      </c>
      <c r="K1396" s="8" t="s">
        <v>2266</v>
      </c>
      <c r="L1396" s="7">
        <v>8.0</v>
      </c>
      <c r="M1396" s="7" t="s">
        <v>4608</v>
      </c>
      <c r="N1396" s="13" t="s">
        <v>4609</v>
      </c>
      <c r="O1396" s="15" t="s">
        <v>4610</v>
      </c>
    </row>
    <row r="1397">
      <c r="A1397" s="5">
        <v>1638.0</v>
      </c>
      <c r="B1397" s="6">
        <v>45999.798342905095</v>
      </c>
      <c r="C1397" s="7" t="s">
        <v>15</v>
      </c>
      <c r="D1397" s="8" t="s">
        <v>4611</v>
      </c>
      <c r="E1397" s="8" t="s">
        <v>1185</v>
      </c>
      <c r="F1397" s="7" t="s">
        <v>4612</v>
      </c>
      <c r="G1397" s="9" t="s">
        <v>19</v>
      </c>
      <c r="H1397" s="7" t="s">
        <v>4613</v>
      </c>
      <c r="I1397" s="7" t="s">
        <v>4614</v>
      </c>
      <c r="J1397" s="10">
        <v>45843.0</v>
      </c>
      <c r="K1397" s="8" t="s">
        <v>49</v>
      </c>
      <c r="L1397" s="7">
        <v>8.0</v>
      </c>
      <c r="M1397" s="7" t="s">
        <v>2802</v>
      </c>
      <c r="N1397" s="13" t="s">
        <v>4615</v>
      </c>
      <c r="O1397" s="15" t="s">
        <v>4616</v>
      </c>
    </row>
    <row r="1398">
      <c r="A1398" s="5">
        <v>1639.0</v>
      </c>
      <c r="B1398" s="6">
        <v>45999.798921875</v>
      </c>
      <c r="C1398" s="7" t="s">
        <v>125</v>
      </c>
      <c r="D1398" s="8" t="s">
        <v>4600</v>
      </c>
      <c r="E1398" s="8" t="s">
        <v>1385</v>
      </c>
      <c r="F1398" s="7" t="s">
        <v>4601</v>
      </c>
      <c r="G1398" s="9" t="s">
        <v>19</v>
      </c>
      <c r="H1398" s="7" t="s">
        <v>173</v>
      </c>
      <c r="I1398" s="7" t="s">
        <v>174</v>
      </c>
      <c r="J1398" s="10">
        <v>45854.0</v>
      </c>
      <c r="K1398" s="8" t="s">
        <v>175</v>
      </c>
      <c r="L1398" s="7">
        <v>6.0</v>
      </c>
      <c r="M1398" s="7" t="s">
        <v>106</v>
      </c>
      <c r="N1398" s="13" t="s">
        <v>4617</v>
      </c>
      <c r="O1398" s="15" t="s">
        <v>4618</v>
      </c>
    </row>
    <row r="1399">
      <c r="A1399" s="5">
        <v>1641.0</v>
      </c>
      <c r="B1399" s="6">
        <v>45999.80082913194</v>
      </c>
      <c r="C1399" s="7" t="s">
        <v>760</v>
      </c>
      <c r="D1399" s="8" t="s">
        <v>1672</v>
      </c>
      <c r="E1399" s="8" t="s">
        <v>881</v>
      </c>
      <c r="F1399" s="7" t="s">
        <v>1673</v>
      </c>
      <c r="G1399" s="9" t="s">
        <v>19</v>
      </c>
      <c r="H1399" s="7" t="s">
        <v>1436</v>
      </c>
      <c r="I1399" s="7" t="s">
        <v>4619</v>
      </c>
      <c r="J1399" s="10">
        <v>45977.0</v>
      </c>
      <c r="K1399" s="8" t="s">
        <v>821</v>
      </c>
      <c r="L1399" s="7">
        <v>4.0</v>
      </c>
      <c r="M1399" s="7" t="s">
        <v>87</v>
      </c>
      <c r="N1399" s="13" t="s">
        <v>4620</v>
      </c>
      <c r="O1399" s="15" t="s">
        <v>4621</v>
      </c>
    </row>
    <row r="1400">
      <c r="A1400" s="5">
        <v>1642.0</v>
      </c>
      <c r="B1400" s="6">
        <v>45999.801380624995</v>
      </c>
      <c r="C1400" s="7" t="s">
        <v>15</v>
      </c>
      <c r="D1400" s="8" t="s">
        <v>4611</v>
      </c>
      <c r="E1400" s="8" t="s">
        <v>1185</v>
      </c>
      <c r="F1400" s="7" t="s">
        <v>4612</v>
      </c>
      <c r="G1400" s="9" t="s">
        <v>19</v>
      </c>
      <c r="H1400" s="7" t="s">
        <v>406</v>
      </c>
      <c r="I1400" s="7" t="s">
        <v>94</v>
      </c>
      <c r="J1400" s="10">
        <v>45823.0</v>
      </c>
      <c r="K1400" s="8" t="s">
        <v>22</v>
      </c>
      <c r="L1400" s="7">
        <v>4.0</v>
      </c>
      <c r="M1400" s="7" t="s">
        <v>106</v>
      </c>
      <c r="N1400" s="13" t="s">
        <v>4622</v>
      </c>
      <c r="O1400" s="15" t="s">
        <v>4623</v>
      </c>
    </row>
    <row r="1401">
      <c r="A1401" s="5">
        <v>1643.0</v>
      </c>
      <c r="B1401" s="6">
        <v>45999.80217415509</v>
      </c>
      <c r="C1401" s="7" t="s">
        <v>760</v>
      </c>
      <c r="D1401" s="8" t="s">
        <v>2071</v>
      </c>
      <c r="E1401" s="8" t="s">
        <v>319</v>
      </c>
      <c r="F1401" s="7" t="s">
        <v>2072</v>
      </c>
      <c r="G1401" s="9" t="s">
        <v>144</v>
      </c>
      <c r="H1401" s="7" t="s">
        <v>730</v>
      </c>
      <c r="I1401" s="7" t="s">
        <v>2074</v>
      </c>
      <c r="J1401" s="10">
        <v>45983.0</v>
      </c>
      <c r="K1401" s="8" t="s">
        <v>962</v>
      </c>
      <c r="L1401" s="7">
        <v>4.0</v>
      </c>
      <c r="M1401" s="7" t="s">
        <v>2075</v>
      </c>
      <c r="N1401" s="13" t="s">
        <v>4624</v>
      </c>
      <c r="O1401" s="15" t="s">
        <v>4625</v>
      </c>
    </row>
    <row r="1402">
      <c r="A1402" s="5">
        <v>1644.0</v>
      </c>
      <c r="B1402" s="6">
        <v>45999.80242359954</v>
      </c>
      <c r="C1402" s="7" t="s">
        <v>760</v>
      </c>
      <c r="D1402" s="8" t="s">
        <v>816</v>
      </c>
      <c r="E1402" s="8" t="s">
        <v>817</v>
      </c>
      <c r="F1402" s="7" t="s">
        <v>818</v>
      </c>
      <c r="G1402" s="9" t="s">
        <v>181</v>
      </c>
      <c r="H1402" s="7" t="s">
        <v>942</v>
      </c>
      <c r="I1402" s="7" t="s">
        <v>3928</v>
      </c>
      <c r="J1402" s="10">
        <v>45995.0</v>
      </c>
      <c r="K1402" s="8" t="s">
        <v>2961</v>
      </c>
      <c r="L1402" s="7">
        <v>5.0</v>
      </c>
      <c r="M1402" s="7" t="s">
        <v>3590</v>
      </c>
      <c r="N1402" s="13" t="s">
        <v>4626</v>
      </c>
      <c r="O1402" s="15" t="s">
        <v>4627</v>
      </c>
    </row>
    <row r="1403">
      <c r="A1403" s="5">
        <v>1645.0</v>
      </c>
      <c r="B1403" s="6">
        <v>45999.803763460644</v>
      </c>
      <c r="C1403" s="7" t="s">
        <v>125</v>
      </c>
      <c r="D1403" s="8" t="s">
        <v>4600</v>
      </c>
      <c r="E1403" s="8" t="s">
        <v>1385</v>
      </c>
      <c r="F1403" s="7" t="s">
        <v>4601</v>
      </c>
      <c r="G1403" s="9" t="s">
        <v>84</v>
      </c>
      <c r="H1403" s="7" t="s">
        <v>85</v>
      </c>
      <c r="I1403" s="7" t="s">
        <v>4628</v>
      </c>
      <c r="J1403" s="10">
        <v>45801.0</v>
      </c>
      <c r="K1403" s="8" t="s">
        <v>418</v>
      </c>
      <c r="L1403" s="7">
        <v>8.0</v>
      </c>
      <c r="M1403" s="7" t="s">
        <v>33</v>
      </c>
      <c r="N1403" s="13" t="s">
        <v>4629</v>
      </c>
      <c r="O1403" s="15" t="s">
        <v>4630</v>
      </c>
    </row>
    <row r="1404">
      <c r="A1404" s="5">
        <v>1646.0</v>
      </c>
      <c r="B1404" s="6">
        <v>45999.80477378472</v>
      </c>
      <c r="C1404" s="7" t="s">
        <v>15</v>
      </c>
      <c r="D1404" s="8" t="s">
        <v>4611</v>
      </c>
      <c r="E1404" s="8" t="s">
        <v>1185</v>
      </c>
      <c r="F1404" s="7" t="s">
        <v>4612</v>
      </c>
      <c r="G1404" s="9" t="s">
        <v>19</v>
      </c>
      <c r="H1404" s="7" t="s">
        <v>30</v>
      </c>
      <c r="I1404" s="7" t="s">
        <v>37</v>
      </c>
      <c r="J1404" s="10">
        <v>45838.0</v>
      </c>
      <c r="K1404" s="8" t="s">
        <v>2143</v>
      </c>
      <c r="L1404" s="7">
        <v>8.0</v>
      </c>
      <c r="M1404" s="7" t="s">
        <v>553</v>
      </c>
      <c r="N1404" s="13" t="s">
        <v>4631</v>
      </c>
      <c r="O1404" s="15" t="s">
        <v>4632</v>
      </c>
    </row>
    <row r="1405">
      <c r="A1405" s="5">
        <v>1647.0</v>
      </c>
      <c r="B1405" s="6">
        <v>45999.80695557871</v>
      </c>
      <c r="C1405" s="7" t="s">
        <v>15</v>
      </c>
      <c r="D1405" s="8" t="s">
        <v>4611</v>
      </c>
      <c r="E1405" s="8" t="s">
        <v>1185</v>
      </c>
      <c r="F1405" s="7" t="s">
        <v>4612</v>
      </c>
      <c r="G1405" s="9" t="s">
        <v>19</v>
      </c>
      <c r="H1405" s="7" t="s">
        <v>44</v>
      </c>
      <c r="I1405" s="7" t="s">
        <v>37</v>
      </c>
      <c r="J1405" s="10">
        <v>45839.0</v>
      </c>
      <c r="K1405" s="8" t="s">
        <v>67</v>
      </c>
      <c r="L1405" s="7">
        <v>8.0</v>
      </c>
      <c r="M1405" s="7" t="s">
        <v>33</v>
      </c>
      <c r="N1405" s="13" t="s">
        <v>4633</v>
      </c>
      <c r="O1405" s="15" t="s">
        <v>4634</v>
      </c>
    </row>
    <row r="1406">
      <c r="A1406" s="5">
        <v>1648.0</v>
      </c>
      <c r="B1406" s="6">
        <v>45999.80726543981</v>
      </c>
      <c r="C1406" s="7" t="s">
        <v>125</v>
      </c>
      <c r="D1406" s="8" t="s">
        <v>3448</v>
      </c>
      <c r="E1406" s="8" t="s">
        <v>1725</v>
      </c>
      <c r="F1406" s="7" t="s">
        <v>3449</v>
      </c>
      <c r="G1406" s="9" t="s">
        <v>159</v>
      </c>
      <c r="H1406" s="7" t="s">
        <v>3878</v>
      </c>
      <c r="I1406" s="7" t="s">
        <v>3452</v>
      </c>
      <c r="J1406" s="10">
        <v>45991.0</v>
      </c>
      <c r="K1406" s="8" t="s">
        <v>22</v>
      </c>
      <c r="L1406" s="7">
        <v>4.0</v>
      </c>
      <c r="M1406" s="7" t="s">
        <v>590</v>
      </c>
      <c r="N1406" s="13" t="s">
        <v>4635</v>
      </c>
      <c r="O1406" s="15" t="s">
        <v>4636</v>
      </c>
    </row>
    <row r="1407">
      <c r="A1407" s="5">
        <v>1649.0</v>
      </c>
      <c r="B1407" s="6">
        <v>45999.809581724534</v>
      </c>
      <c r="C1407" s="7" t="s">
        <v>15</v>
      </c>
      <c r="D1407" s="8" t="s">
        <v>4611</v>
      </c>
      <c r="E1407" s="8" t="s">
        <v>1185</v>
      </c>
      <c r="F1407" s="7" t="s">
        <v>4612</v>
      </c>
      <c r="G1407" s="9" t="s">
        <v>19</v>
      </c>
      <c r="H1407" s="7" t="s">
        <v>44</v>
      </c>
      <c r="I1407" s="7" t="s">
        <v>37</v>
      </c>
      <c r="J1407" s="10">
        <v>45840.0</v>
      </c>
      <c r="K1407" s="8" t="s">
        <v>67</v>
      </c>
      <c r="L1407" s="7">
        <v>8.0</v>
      </c>
      <c r="M1407" s="7" t="s">
        <v>33</v>
      </c>
      <c r="N1407" s="13" t="s">
        <v>4637</v>
      </c>
      <c r="O1407" s="15" t="s">
        <v>4638</v>
      </c>
    </row>
    <row r="1408">
      <c r="A1408" s="5">
        <v>1650.0</v>
      </c>
      <c r="B1408" s="6">
        <v>45999.81057394676</v>
      </c>
      <c r="C1408" s="7" t="s">
        <v>26</v>
      </c>
      <c r="D1408" s="8" t="s">
        <v>2140</v>
      </c>
      <c r="E1408" s="8" t="s">
        <v>1185</v>
      </c>
      <c r="F1408" s="7" t="s">
        <v>2141</v>
      </c>
      <c r="G1408" s="9" t="s">
        <v>19</v>
      </c>
      <c r="H1408" s="7" t="s">
        <v>4639</v>
      </c>
      <c r="I1408" s="7" t="s">
        <v>3736</v>
      </c>
      <c r="J1408" s="10">
        <v>46012.0</v>
      </c>
      <c r="K1408" s="8" t="s">
        <v>3737</v>
      </c>
      <c r="L1408" s="7">
        <v>8.0</v>
      </c>
      <c r="M1408" s="7" t="s">
        <v>1325</v>
      </c>
      <c r="N1408" s="13" t="s">
        <v>4640</v>
      </c>
      <c r="O1408" s="15" t="s">
        <v>4641</v>
      </c>
    </row>
    <row r="1409">
      <c r="A1409" s="5">
        <v>1651.0</v>
      </c>
      <c r="B1409" s="6">
        <v>45999.81074046296</v>
      </c>
      <c r="C1409" s="7" t="s">
        <v>125</v>
      </c>
      <c r="D1409" s="8" t="s">
        <v>4600</v>
      </c>
      <c r="E1409" s="8" t="s">
        <v>1385</v>
      </c>
      <c r="F1409" s="7" t="s">
        <v>4601</v>
      </c>
      <c r="G1409" s="9" t="s">
        <v>84</v>
      </c>
      <c r="H1409" s="7" t="s">
        <v>85</v>
      </c>
      <c r="I1409" s="7" t="s">
        <v>4628</v>
      </c>
      <c r="J1409" s="10">
        <v>45920.0</v>
      </c>
      <c r="K1409" s="8" t="s">
        <v>4642</v>
      </c>
      <c r="L1409" s="7">
        <v>8.0</v>
      </c>
      <c r="M1409" s="7" t="s">
        <v>33</v>
      </c>
      <c r="N1409" s="13" t="s">
        <v>4643</v>
      </c>
      <c r="O1409" s="15" t="s">
        <v>4644</v>
      </c>
    </row>
    <row r="1410">
      <c r="A1410" s="5">
        <v>1652.0</v>
      </c>
      <c r="B1410" s="6">
        <v>45999.81123146991</v>
      </c>
      <c r="C1410" s="7" t="s">
        <v>760</v>
      </c>
      <c r="D1410" s="8" t="s">
        <v>4645</v>
      </c>
      <c r="E1410" s="8" t="s">
        <v>1259</v>
      </c>
      <c r="F1410" s="7" t="s">
        <v>4646</v>
      </c>
      <c r="G1410" s="9" t="s">
        <v>415</v>
      </c>
      <c r="H1410" s="7" t="s">
        <v>4647</v>
      </c>
      <c r="I1410" s="7" t="s">
        <v>3130</v>
      </c>
      <c r="J1410" s="10">
        <v>45964.0</v>
      </c>
      <c r="K1410" s="8" t="s">
        <v>310</v>
      </c>
      <c r="L1410" s="7">
        <v>1.0</v>
      </c>
      <c r="M1410" s="7" t="s">
        <v>87</v>
      </c>
      <c r="N1410" s="13" t="s">
        <v>4648</v>
      </c>
      <c r="O1410" s="15" t="s">
        <v>4649</v>
      </c>
    </row>
    <row r="1411">
      <c r="A1411" s="5">
        <v>1653.0</v>
      </c>
      <c r="B1411" s="6">
        <v>45999.813013680556</v>
      </c>
      <c r="C1411" s="7" t="s">
        <v>760</v>
      </c>
      <c r="D1411" s="8" t="s">
        <v>816</v>
      </c>
      <c r="E1411" s="8" t="s">
        <v>817</v>
      </c>
      <c r="F1411" s="7" t="s">
        <v>818</v>
      </c>
      <c r="G1411" s="9" t="s">
        <v>19</v>
      </c>
      <c r="H1411" s="7" t="s">
        <v>4650</v>
      </c>
      <c r="I1411" s="7" t="s">
        <v>4651</v>
      </c>
      <c r="J1411" s="10">
        <v>45955.0</v>
      </c>
      <c r="K1411" s="8" t="s">
        <v>58</v>
      </c>
      <c r="L1411" s="7">
        <v>5.0</v>
      </c>
      <c r="M1411" s="7" t="s">
        <v>59</v>
      </c>
      <c r="N1411" s="13" t="s">
        <v>4652</v>
      </c>
      <c r="O1411" s="15" t="s">
        <v>4653</v>
      </c>
    </row>
    <row r="1412">
      <c r="A1412" s="5">
        <v>1654.0</v>
      </c>
      <c r="B1412" s="6">
        <v>45999.814467013886</v>
      </c>
      <c r="C1412" s="7" t="s">
        <v>26</v>
      </c>
      <c r="D1412" s="8" t="s">
        <v>4654</v>
      </c>
      <c r="E1412" s="8" t="s">
        <v>664</v>
      </c>
      <c r="F1412" s="7" t="s">
        <v>4655</v>
      </c>
      <c r="G1412" s="9" t="s">
        <v>181</v>
      </c>
      <c r="H1412" s="7" t="s">
        <v>857</v>
      </c>
      <c r="I1412" s="7" t="s">
        <v>4656</v>
      </c>
      <c r="J1412" s="10">
        <v>45985.0</v>
      </c>
      <c r="K1412" s="8" t="s">
        <v>859</v>
      </c>
      <c r="L1412" s="7">
        <v>8.0</v>
      </c>
      <c r="M1412" s="7" t="s">
        <v>860</v>
      </c>
      <c r="N1412" s="13" t="s">
        <v>4657</v>
      </c>
      <c r="O1412" s="15" t="s">
        <v>4658</v>
      </c>
    </row>
    <row r="1413">
      <c r="A1413" s="5">
        <v>1655.0</v>
      </c>
      <c r="B1413" s="6">
        <v>45999.814999282404</v>
      </c>
      <c r="C1413" s="7" t="s">
        <v>15</v>
      </c>
      <c r="D1413" s="8" t="s">
        <v>4611</v>
      </c>
      <c r="E1413" s="8" t="s">
        <v>1185</v>
      </c>
      <c r="F1413" s="7" t="s">
        <v>4612</v>
      </c>
      <c r="G1413" s="9" t="s">
        <v>19</v>
      </c>
      <c r="H1413" s="7" t="s">
        <v>20</v>
      </c>
      <c r="I1413" s="7" t="s">
        <v>21</v>
      </c>
      <c r="J1413" s="10">
        <v>45940.0</v>
      </c>
      <c r="K1413" s="8" t="s">
        <v>22</v>
      </c>
      <c r="L1413" s="7">
        <v>4.0</v>
      </c>
      <c r="M1413" s="7" t="s">
        <v>23</v>
      </c>
      <c r="N1413" s="13" t="s">
        <v>4659</v>
      </c>
      <c r="O1413" s="15" t="s">
        <v>4660</v>
      </c>
    </row>
    <row r="1414">
      <c r="A1414" s="5">
        <v>1658.0</v>
      </c>
      <c r="B1414" s="6">
        <v>45999.81704488426</v>
      </c>
      <c r="C1414" s="7" t="s">
        <v>125</v>
      </c>
      <c r="D1414" s="8" t="s">
        <v>4661</v>
      </c>
      <c r="E1414" s="8" t="s">
        <v>3024</v>
      </c>
      <c r="F1414" s="7" t="s">
        <v>4662</v>
      </c>
      <c r="G1414" s="9" t="s">
        <v>159</v>
      </c>
      <c r="H1414" s="7" t="s">
        <v>3810</v>
      </c>
      <c r="I1414" s="7" t="s">
        <v>3811</v>
      </c>
      <c r="J1414" s="10">
        <v>45949.0</v>
      </c>
      <c r="K1414" s="8" t="s">
        <v>22</v>
      </c>
      <c r="L1414" s="7">
        <v>4.0</v>
      </c>
      <c r="M1414" s="7" t="s">
        <v>590</v>
      </c>
      <c r="N1414" s="13" t="s">
        <v>4663</v>
      </c>
      <c r="O1414" s="23"/>
    </row>
    <row r="1415">
      <c r="A1415" s="5">
        <v>1660.0</v>
      </c>
      <c r="B1415" s="6">
        <v>45999.81768440972</v>
      </c>
      <c r="C1415" s="7" t="s">
        <v>125</v>
      </c>
      <c r="D1415" s="8" t="s">
        <v>126</v>
      </c>
      <c r="E1415" s="8" t="s">
        <v>63</v>
      </c>
      <c r="F1415" s="7" t="s">
        <v>127</v>
      </c>
      <c r="G1415" s="9" t="s">
        <v>159</v>
      </c>
      <c r="H1415" s="7" t="s">
        <v>3810</v>
      </c>
      <c r="I1415" s="7" t="s">
        <v>3811</v>
      </c>
      <c r="J1415" s="10">
        <v>45980.0</v>
      </c>
      <c r="K1415" s="8" t="s">
        <v>602</v>
      </c>
      <c r="L1415" s="7">
        <v>4.0</v>
      </c>
      <c r="M1415" s="7" t="s">
        <v>590</v>
      </c>
      <c r="N1415" s="13" t="s">
        <v>4664</v>
      </c>
      <c r="O1415" s="23"/>
    </row>
    <row r="1416">
      <c r="A1416" s="5">
        <v>1661.0</v>
      </c>
      <c r="B1416" s="6">
        <v>45999.817996412035</v>
      </c>
      <c r="C1416" s="7" t="s">
        <v>125</v>
      </c>
      <c r="D1416" s="8" t="s">
        <v>3448</v>
      </c>
      <c r="E1416" s="8" t="s">
        <v>1725</v>
      </c>
      <c r="F1416" s="7" t="s">
        <v>3449</v>
      </c>
      <c r="G1416" s="9" t="s">
        <v>19</v>
      </c>
      <c r="H1416" s="7" t="s">
        <v>4665</v>
      </c>
      <c r="I1416" s="7" t="s">
        <v>174</v>
      </c>
      <c r="J1416" s="10">
        <v>45854.0</v>
      </c>
      <c r="K1416" s="8" t="s">
        <v>499</v>
      </c>
      <c r="L1416" s="7">
        <v>6.0</v>
      </c>
      <c r="M1416" s="7" t="s">
        <v>106</v>
      </c>
      <c r="N1416" s="13" t="s">
        <v>4666</v>
      </c>
      <c r="O1416" s="23"/>
    </row>
    <row r="1417">
      <c r="A1417" s="5">
        <v>1662.0</v>
      </c>
      <c r="B1417" s="6">
        <v>45999.81913684028</v>
      </c>
      <c r="C1417" s="7" t="s">
        <v>125</v>
      </c>
      <c r="D1417" s="8" t="s">
        <v>286</v>
      </c>
      <c r="E1417" s="8" t="s">
        <v>287</v>
      </c>
      <c r="F1417" s="7" t="s">
        <v>288</v>
      </c>
      <c r="G1417" s="9" t="s">
        <v>159</v>
      </c>
      <c r="H1417" s="7" t="s">
        <v>3810</v>
      </c>
      <c r="I1417" s="7" t="s">
        <v>4667</v>
      </c>
      <c r="J1417" s="10">
        <v>45980.0</v>
      </c>
      <c r="K1417" s="8" t="s">
        <v>22</v>
      </c>
      <c r="L1417" s="7">
        <v>4.0</v>
      </c>
      <c r="M1417" s="7" t="s">
        <v>590</v>
      </c>
      <c r="N1417" s="13" t="s">
        <v>4668</v>
      </c>
      <c r="O1417" s="15" t="s">
        <v>4669</v>
      </c>
    </row>
    <row r="1418">
      <c r="A1418" s="5">
        <v>1663.0</v>
      </c>
      <c r="B1418" s="6">
        <v>45999.81935464121</v>
      </c>
      <c r="C1418" s="7" t="s">
        <v>760</v>
      </c>
      <c r="D1418" s="8" t="s">
        <v>3937</v>
      </c>
      <c r="E1418" s="8" t="s">
        <v>484</v>
      </c>
      <c r="F1418" s="7" t="s">
        <v>3938</v>
      </c>
      <c r="G1418" s="9" t="s">
        <v>209</v>
      </c>
      <c r="H1418" s="7" t="s">
        <v>4670</v>
      </c>
      <c r="I1418" s="7" t="s">
        <v>4671</v>
      </c>
      <c r="J1418" s="10">
        <v>45906.0</v>
      </c>
      <c r="K1418" s="8" t="s">
        <v>300</v>
      </c>
      <c r="L1418" s="7">
        <v>4.0</v>
      </c>
      <c r="M1418" s="7" t="s">
        <v>4672</v>
      </c>
      <c r="N1418" s="13" t="s">
        <v>4673</v>
      </c>
      <c r="O1418" s="23"/>
    </row>
    <row r="1419">
      <c r="A1419" s="5">
        <v>1665.0</v>
      </c>
      <c r="B1419" s="6">
        <v>45999.82024645833</v>
      </c>
      <c r="C1419" s="7" t="s">
        <v>760</v>
      </c>
      <c r="D1419" s="8" t="s">
        <v>4645</v>
      </c>
      <c r="E1419" s="8" t="s">
        <v>1259</v>
      </c>
      <c r="F1419" s="7" t="s">
        <v>4646</v>
      </c>
      <c r="G1419" s="9" t="s">
        <v>159</v>
      </c>
      <c r="H1419" s="7" t="s">
        <v>4674</v>
      </c>
      <c r="I1419" s="7" t="s">
        <v>1240</v>
      </c>
      <c r="J1419" s="10">
        <v>45990.0</v>
      </c>
      <c r="K1419" s="8" t="s">
        <v>22</v>
      </c>
      <c r="L1419" s="7">
        <v>4.0</v>
      </c>
      <c r="M1419" s="7" t="s">
        <v>87</v>
      </c>
      <c r="N1419" s="13" t="s">
        <v>4675</v>
      </c>
      <c r="O1419" s="23"/>
    </row>
    <row r="1420">
      <c r="A1420" s="5">
        <v>1666.0</v>
      </c>
      <c r="B1420" s="6">
        <v>45999.82026920139</v>
      </c>
      <c r="C1420" s="7" t="s">
        <v>760</v>
      </c>
      <c r="D1420" s="8" t="s">
        <v>2646</v>
      </c>
      <c r="E1420" s="8" t="s">
        <v>919</v>
      </c>
      <c r="F1420" s="7" t="s">
        <v>2647</v>
      </c>
      <c r="G1420" s="9" t="s">
        <v>209</v>
      </c>
      <c r="H1420" s="7" t="s">
        <v>4676</v>
      </c>
      <c r="I1420" s="7" t="s">
        <v>825</v>
      </c>
      <c r="J1420" s="10">
        <v>45997.0</v>
      </c>
      <c r="K1420" s="8" t="s">
        <v>3924</v>
      </c>
      <c r="L1420" s="7">
        <v>4.0</v>
      </c>
      <c r="M1420" s="7" t="s">
        <v>4677</v>
      </c>
      <c r="N1420" s="13" t="s">
        <v>4678</v>
      </c>
      <c r="O1420" s="15" t="s">
        <v>4679</v>
      </c>
    </row>
    <row r="1421">
      <c r="A1421" s="5">
        <v>1667.0</v>
      </c>
      <c r="B1421" s="6">
        <v>45999.820411168985</v>
      </c>
      <c r="C1421" s="7" t="s">
        <v>125</v>
      </c>
      <c r="D1421" s="8" t="s">
        <v>4661</v>
      </c>
      <c r="E1421" s="8" t="s">
        <v>3024</v>
      </c>
      <c r="F1421" s="7" t="s">
        <v>4680</v>
      </c>
      <c r="G1421" s="9" t="s">
        <v>159</v>
      </c>
      <c r="H1421" s="7" t="s">
        <v>4681</v>
      </c>
      <c r="I1421" s="7" t="s">
        <v>4682</v>
      </c>
      <c r="J1421" s="10">
        <v>45942.0</v>
      </c>
      <c r="K1421" s="8" t="s">
        <v>2405</v>
      </c>
      <c r="L1421" s="7">
        <v>6.0</v>
      </c>
      <c r="M1421" s="7" t="s">
        <v>590</v>
      </c>
      <c r="N1421" s="13" t="s">
        <v>4683</v>
      </c>
      <c r="O1421" s="15" t="s">
        <v>4684</v>
      </c>
    </row>
    <row r="1422">
      <c r="A1422" s="5">
        <v>1668.0</v>
      </c>
      <c r="B1422" s="6">
        <v>45999.82067340278</v>
      </c>
      <c r="C1422" s="7" t="s">
        <v>760</v>
      </c>
      <c r="D1422" s="8" t="s">
        <v>1190</v>
      </c>
      <c r="E1422" s="8" t="s">
        <v>1042</v>
      </c>
      <c r="F1422" s="7" t="s">
        <v>1191</v>
      </c>
      <c r="G1422" s="9" t="s">
        <v>144</v>
      </c>
      <c r="H1422" s="7" t="s">
        <v>730</v>
      </c>
      <c r="I1422" s="7" t="s">
        <v>4685</v>
      </c>
      <c r="J1422" s="10">
        <v>45998.0</v>
      </c>
      <c r="K1422" s="8" t="s">
        <v>4686</v>
      </c>
      <c r="L1422" s="7">
        <v>4.0</v>
      </c>
      <c r="M1422" s="7" t="s">
        <v>4687</v>
      </c>
      <c r="N1422" s="13" t="s">
        <v>4688</v>
      </c>
      <c r="O1422" s="15" t="s">
        <v>4689</v>
      </c>
    </row>
    <row r="1423">
      <c r="A1423" s="5">
        <v>1670.0</v>
      </c>
      <c r="B1423" s="6">
        <v>45999.821339270835</v>
      </c>
      <c r="C1423" s="7" t="s">
        <v>125</v>
      </c>
      <c r="D1423" s="8" t="s">
        <v>4690</v>
      </c>
      <c r="E1423" s="8" t="s">
        <v>547</v>
      </c>
      <c r="F1423" s="7" t="s">
        <v>4691</v>
      </c>
      <c r="G1423" s="9" t="s">
        <v>19</v>
      </c>
      <c r="H1423" s="7" t="s">
        <v>194</v>
      </c>
      <c r="I1423" s="7" t="s">
        <v>174</v>
      </c>
      <c r="J1423" s="10">
        <v>45854.0</v>
      </c>
      <c r="K1423" s="8" t="s">
        <v>175</v>
      </c>
      <c r="L1423" s="7">
        <v>6.0</v>
      </c>
      <c r="M1423" s="7" t="s">
        <v>106</v>
      </c>
      <c r="N1423" s="13" t="s">
        <v>4692</v>
      </c>
      <c r="O1423" s="23"/>
    </row>
    <row r="1424">
      <c r="A1424" s="5">
        <v>1671.0</v>
      </c>
      <c r="B1424" s="6">
        <v>45999.82137582176</v>
      </c>
      <c r="C1424" s="7" t="s">
        <v>760</v>
      </c>
      <c r="D1424" s="8" t="s">
        <v>1214</v>
      </c>
      <c r="E1424" s="8" t="s">
        <v>179</v>
      </c>
      <c r="F1424" s="7" t="s">
        <v>1215</v>
      </c>
      <c r="G1424" s="9" t="s">
        <v>181</v>
      </c>
      <c r="H1424" s="7" t="s">
        <v>1669</v>
      </c>
      <c r="I1424" s="7" t="s">
        <v>1664</v>
      </c>
      <c r="J1424" s="10">
        <v>45895.0</v>
      </c>
      <c r="K1424" s="8" t="s">
        <v>1665</v>
      </c>
      <c r="L1424" s="7">
        <v>2.0</v>
      </c>
      <c r="M1424" s="7" t="s">
        <v>1648</v>
      </c>
      <c r="N1424" s="13" t="s">
        <v>4693</v>
      </c>
      <c r="O1424" s="15" t="s">
        <v>4694</v>
      </c>
    </row>
    <row r="1425">
      <c r="A1425" s="5">
        <v>1672.0</v>
      </c>
      <c r="B1425" s="6">
        <v>45999.8216362963</v>
      </c>
      <c r="C1425" s="7" t="s">
        <v>26</v>
      </c>
      <c r="D1425" s="8" t="s">
        <v>2140</v>
      </c>
      <c r="E1425" s="8" t="s">
        <v>1185</v>
      </c>
      <c r="F1425" s="7" t="s">
        <v>2141</v>
      </c>
      <c r="G1425" s="9" t="s">
        <v>19</v>
      </c>
      <c r="H1425" s="7" t="s">
        <v>4639</v>
      </c>
      <c r="I1425" s="7" t="s">
        <v>3736</v>
      </c>
      <c r="J1425" s="10">
        <v>46012.0</v>
      </c>
      <c r="K1425" s="8" t="s">
        <v>3737</v>
      </c>
      <c r="L1425" s="7">
        <v>8.0</v>
      </c>
      <c r="M1425" s="7" t="s">
        <v>1325</v>
      </c>
      <c r="N1425" s="13" t="s">
        <v>4695</v>
      </c>
      <c r="O1425" s="15" t="s">
        <v>4696</v>
      </c>
    </row>
    <row r="1426">
      <c r="A1426" s="5">
        <v>1673.0</v>
      </c>
      <c r="B1426" s="6">
        <v>45999.82272172454</v>
      </c>
      <c r="C1426" s="7" t="s">
        <v>760</v>
      </c>
      <c r="D1426" s="8" t="s">
        <v>4697</v>
      </c>
      <c r="E1426" s="8" t="s">
        <v>547</v>
      </c>
      <c r="F1426" s="7" t="s">
        <v>4698</v>
      </c>
      <c r="G1426" s="9" t="s">
        <v>181</v>
      </c>
      <c r="H1426" s="7" t="s">
        <v>4699</v>
      </c>
      <c r="I1426" s="7" t="s">
        <v>231</v>
      </c>
      <c r="J1426" s="10">
        <v>45936.0</v>
      </c>
      <c r="K1426" s="8" t="s">
        <v>4700</v>
      </c>
      <c r="L1426" s="7">
        <v>2.0</v>
      </c>
      <c r="M1426" s="7" t="s">
        <v>4701</v>
      </c>
      <c r="N1426" s="13" t="s">
        <v>4702</v>
      </c>
      <c r="O1426" s="15" t="s">
        <v>4703</v>
      </c>
    </row>
    <row r="1427">
      <c r="A1427" s="5">
        <v>1674.0</v>
      </c>
      <c r="B1427" s="6">
        <v>45999.82302847222</v>
      </c>
      <c r="C1427" s="7" t="s">
        <v>760</v>
      </c>
      <c r="D1427" s="8" t="s">
        <v>1190</v>
      </c>
      <c r="E1427" s="8" t="s">
        <v>1042</v>
      </c>
      <c r="F1427" s="7" t="s">
        <v>1191</v>
      </c>
      <c r="G1427" s="9" t="s">
        <v>209</v>
      </c>
      <c r="H1427" s="7" t="s">
        <v>1907</v>
      </c>
      <c r="I1427" s="7" t="s">
        <v>825</v>
      </c>
      <c r="J1427" s="10">
        <v>45991.0</v>
      </c>
      <c r="K1427" s="8" t="s">
        <v>2630</v>
      </c>
      <c r="L1427" s="7">
        <v>4.0</v>
      </c>
      <c r="M1427" s="7" t="s">
        <v>4704</v>
      </c>
      <c r="N1427" s="13" t="s">
        <v>4705</v>
      </c>
      <c r="O1427" s="15" t="s">
        <v>4706</v>
      </c>
    </row>
    <row r="1428">
      <c r="A1428" s="5">
        <v>1675.0</v>
      </c>
      <c r="B1428" s="6">
        <v>45999.82334149306</v>
      </c>
      <c r="C1428" s="7" t="s">
        <v>125</v>
      </c>
      <c r="D1428" s="8" t="s">
        <v>3448</v>
      </c>
      <c r="E1428" s="8" t="s">
        <v>1725</v>
      </c>
      <c r="F1428" s="7" t="s">
        <v>3449</v>
      </c>
      <c r="G1428" s="9" t="s">
        <v>19</v>
      </c>
      <c r="H1428" s="7" t="s">
        <v>4665</v>
      </c>
      <c r="I1428" s="7" t="s">
        <v>174</v>
      </c>
      <c r="J1428" s="10">
        <v>45854.0</v>
      </c>
      <c r="K1428" s="8" t="s">
        <v>499</v>
      </c>
      <c r="L1428" s="7">
        <v>6.0</v>
      </c>
      <c r="M1428" s="7" t="s">
        <v>106</v>
      </c>
      <c r="N1428" s="13" t="s">
        <v>4707</v>
      </c>
      <c r="O1428" s="23"/>
    </row>
    <row r="1429">
      <c r="A1429" s="5">
        <v>1676.0</v>
      </c>
      <c r="B1429" s="6">
        <v>45999.82336011574</v>
      </c>
      <c r="C1429" s="7" t="s">
        <v>760</v>
      </c>
      <c r="D1429" s="8" t="s">
        <v>1214</v>
      </c>
      <c r="E1429" s="8" t="s">
        <v>179</v>
      </c>
      <c r="F1429" s="7" t="s">
        <v>1215</v>
      </c>
      <c r="G1429" s="9" t="s">
        <v>181</v>
      </c>
      <c r="H1429" s="7" t="s">
        <v>1669</v>
      </c>
      <c r="I1429" s="7" t="s">
        <v>1664</v>
      </c>
      <c r="J1429" s="10">
        <v>45896.0</v>
      </c>
      <c r="K1429" s="8" t="s">
        <v>1665</v>
      </c>
      <c r="L1429" s="7">
        <v>2.0</v>
      </c>
      <c r="M1429" s="7" t="s">
        <v>1648</v>
      </c>
      <c r="N1429" s="13" t="s">
        <v>4708</v>
      </c>
      <c r="O1429" s="15" t="s">
        <v>4709</v>
      </c>
    </row>
    <row r="1430">
      <c r="A1430" s="5">
        <v>1677.0</v>
      </c>
      <c r="B1430" s="6">
        <v>45999.82350052083</v>
      </c>
      <c r="C1430" s="7" t="s">
        <v>760</v>
      </c>
      <c r="D1430" s="8" t="s">
        <v>2560</v>
      </c>
      <c r="E1430" s="8" t="s">
        <v>1023</v>
      </c>
      <c r="F1430" s="7" t="s">
        <v>2561</v>
      </c>
      <c r="G1430" s="9" t="s">
        <v>3171</v>
      </c>
      <c r="H1430" s="7" t="s">
        <v>3191</v>
      </c>
      <c r="I1430" s="7" t="s">
        <v>3162</v>
      </c>
      <c r="J1430" s="10">
        <v>45989.0</v>
      </c>
      <c r="K1430" s="8" t="s">
        <v>1538</v>
      </c>
      <c r="L1430" s="7">
        <v>4.0</v>
      </c>
      <c r="M1430" s="7" t="s">
        <v>1325</v>
      </c>
      <c r="N1430" s="13" t="s">
        <v>4710</v>
      </c>
      <c r="O1430" s="15" t="s">
        <v>4711</v>
      </c>
    </row>
    <row r="1431">
      <c r="A1431" s="5">
        <v>1678.0</v>
      </c>
      <c r="B1431" s="6">
        <v>45999.82417836806</v>
      </c>
      <c r="C1431" s="7" t="s">
        <v>760</v>
      </c>
      <c r="D1431" s="8" t="s">
        <v>1209</v>
      </c>
      <c r="E1431" s="8" t="s">
        <v>223</v>
      </c>
      <c r="F1431" s="7" t="s">
        <v>1210</v>
      </c>
      <c r="G1431" s="9" t="s">
        <v>181</v>
      </c>
      <c r="H1431" s="7" t="s">
        <v>895</v>
      </c>
      <c r="I1431" s="7" t="s">
        <v>279</v>
      </c>
      <c r="J1431" s="10">
        <v>45967.0</v>
      </c>
      <c r="K1431" s="8" t="s">
        <v>896</v>
      </c>
      <c r="L1431" s="7">
        <v>1.0</v>
      </c>
      <c r="M1431" s="7" t="s">
        <v>33</v>
      </c>
      <c r="N1431" s="13" t="s">
        <v>4712</v>
      </c>
      <c r="O1431" s="15" t="s">
        <v>4713</v>
      </c>
    </row>
    <row r="1432">
      <c r="A1432" s="5">
        <v>1680.0</v>
      </c>
      <c r="B1432" s="6">
        <v>45999.8257255787</v>
      </c>
      <c r="C1432" s="7" t="s">
        <v>760</v>
      </c>
      <c r="D1432" s="8" t="s">
        <v>4697</v>
      </c>
      <c r="E1432" s="8" t="s">
        <v>547</v>
      </c>
      <c r="F1432" s="7" t="s">
        <v>4698</v>
      </c>
      <c r="G1432" s="9" t="s">
        <v>181</v>
      </c>
      <c r="H1432" s="7" t="s">
        <v>4714</v>
      </c>
      <c r="I1432" s="7" t="s">
        <v>231</v>
      </c>
      <c r="J1432" s="10">
        <v>45960.0</v>
      </c>
      <c r="K1432" s="8" t="s">
        <v>4700</v>
      </c>
      <c r="L1432" s="7">
        <v>8.0</v>
      </c>
      <c r="M1432" s="7" t="s">
        <v>4701</v>
      </c>
      <c r="N1432" s="13" t="s">
        <v>4715</v>
      </c>
      <c r="O1432" s="15" t="s">
        <v>4716</v>
      </c>
    </row>
    <row r="1433">
      <c r="A1433" s="5">
        <v>1685.0</v>
      </c>
      <c r="B1433" s="6">
        <v>45999.83123063657</v>
      </c>
      <c r="C1433" s="7" t="s">
        <v>760</v>
      </c>
      <c r="D1433" s="8" t="s">
        <v>1209</v>
      </c>
      <c r="E1433" s="8" t="s">
        <v>223</v>
      </c>
      <c r="F1433" s="7" t="s">
        <v>1210</v>
      </c>
      <c r="G1433" s="9" t="s">
        <v>181</v>
      </c>
      <c r="H1433" s="7" t="s">
        <v>895</v>
      </c>
      <c r="I1433" s="7" t="s">
        <v>279</v>
      </c>
      <c r="J1433" s="10">
        <v>45980.0</v>
      </c>
      <c r="K1433" s="8" t="s">
        <v>896</v>
      </c>
      <c r="L1433" s="7">
        <v>1.0</v>
      </c>
      <c r="M1433" s="7" t="s">
        <v>33</v>
      </c>
      <c r="N1433" s="13" t="s">
        <v>4717</v>
      </c>
      <c r="O1433" s="15" t="s">
        <v>4718</v>
      </c>
    </row>
    <row r="1434">
      <c r="A1434" s="5">
        <v>1686.0</v>
      </c>
      <c r="B1434" s="6">
        <v>45999.831307025466</v>
      </c>
      <c r="C1434" s="7" t="s">
        <v>15</v>
      </c>
      <c r="D1434" s="8" t="s">
        <v>4719</v>
      </c>
      <c r="E1434" s="8" t="s">
        <v>171</v>
      </c>
      <c r="F1434" s="7" t="s">
        <v>4720</v>
      </c>
      <c r="G1434" s="9" t="s">
        <v>19</v>
      </c>
      <c r="H1434" s="7" t="s">
        <v>30</v>
      </c>
      <c r="I1434" s="7" t="s">
        <v>31</v>
      </c>
      <c r="J1434" s="10">
        <v>45825.0</v>
      </c>
      <c r="K1434" s="8" t="s">
        <v>49</v>
      </c>
      <c r="L1434" s="7">
        <v>8.0</v>
      </c>
      <c r="M1434" s="7" t="s">
        <v>33</v>
      </c>
      <c r="N1434" s="13" t="s">
        <v>4721</v>
      </c>
      <c r="O1434" s="15" t="s">
        <v>4722</v>
      </c>
    </row>
    <row r="1435">
      <c r="A1435" s="5">
        <v>1688.0</v>
      </c>
      <c r="B1435" s="6">
        <v>45999.83379309028</v>
      </c>
      <c r="C1435" s="7" t="s">
        <v>15</v>
      </c>
      <c r="D1435" s="8" t="s">
        <v>4719</v>
      </c>
      <c r="E1435" s="8" t="s">
        <v>171</v>
      </c>
      <c r="F1435" s="7" t="s">
        <v>4720</v>
      </c>
      <c r="G1435" s="9" t="s">
        <v>19</v>
      </c>
      <c r="H1435" s="7" t="s">
        <v>30</v>
      </c>
      <c r="I1435" s="7" t="s">
        <v>37</v>
      </c>
      <c r="J1435" s="10">
        <v>45838.0</v>
      </c>
      <c r="K1435" s="8" t="s">
        <v>67</v>
      </c>
      <c r="L1435" s="7">
        <v>8.0</v>
      </c>
      <c r="M1435" s="7" t="s">
        <v>33</v>
      </c>
      <c r="N1435" s="13" t="s">
        <v>4723</v>
      </c>
      <c r="O1435" s="15" t="s">
        <v>4724</v>
      </c>
    </row>
    <row r="1436">
      <c r="A1436" s="5">
        <v>1689.0</v>
      </c>
      <c r="B1436" s="6">
        <v>45999.83417221065</v>
      </c>
      <c r="C1436" s="7" t="s">
        <v>760</v>
      </c>
      <c r="D1436" s="8" t="s">
        <v>1214</v>
      </c>
      <c r="E1436" s="8" t="s">
        <v>179</v>
      </c>
      <c r="F1436" s="7" t="s">
        <v>1215</v>
      </c>
      <c r="G1436" s="9" t="s">
        <v>181</v>
      </c>
      <c r="H1436" s="7" t="s">
        <v>895</v>
      </c>
      <c r="I1436" s="7" t="s">
        <v>1211</v>
      </c>
      <c r="J1436" s="10">
        <v>45933.0</v>
      </c>
      <c r="K1436" s="8" t="s">
        <v>310</v>
      </c>
      <c r="L1436" s="7">
        <v>1.0</v>
      </c>
      <c r="M1436" s="7" t="s">
        <v>33</v>
      </c>
      <c r="N1436" s="13" t="s">
        <v>4725</v>
      </c>
      <c r="O1436" s="15" t="s">
        <v>4726</v>
      </c>
    </row>
    <row r="1437">
      <c r="A1437" s="5">
        <v>1690.0</v>
      </c>
      <c r="B1437" s="6">
        <v>45999.83581657408</v>
      </c>
      <c r="C1437" s="7" t="s">
        <v>15</v>
      </c>
      <c r="D1437" s="8" t="s">
        <v>4719</v>
      </c>
      <c r="E1437" s="8" t="s">
        <v>171</v>
      </c>
      <c r="F1437" s="7" t="s">
        <v>4720</v>
      </c>
      <c r="G1437" s="9" t="s">
        <v>19</v>
      </c>
      <c r="H1437" s="7" t="s">
        <v>4727</v>
      </c>
      <c r="I1437" s="7" t="s">
        <v>37</v>
      </c>
      <c r="J1437" s="10">
        <v>45839.0</v>
      </c>
      <c r="K1437" s="8" t="s">
        <v>67</v>
      </c>
      <c r="L1437" s="7">
        <v>8.0</v>
      </c>
      <c r="M1437" s="7" t="s">
        <v>33</v>
      </c>
      <c r="N1437" s="13" t="s">
        <v>4728</v>
      </c>
      <c r="O1437" s="15" t="s">
        <v>4729</v>
      </c>
    </row>
    <row r="1438">
      <c r="A1438" s="5">
        <v>1691.0</v>
      </c>
      <c r="B1438" s="6">
        <v>45999.835936284726</v>
      </c>
      <c r="C1438" s="7" t="s">
        <v>760</v>
      </c>
      <c r="D1438" s="8" t="s">
        <v>1672</v>
      </c>
      <c r="E1438" s="8" t="s">
        <v>881</v>
      </c>
      <c r="F1438" s="7" t="s">
        <v>1673</v>
      </c>
      <c r="G1438" s="9" t="s">
        <v>181</v>
      </c>
      <c r="H1438" s="7" t="s">
        <v>4730</v>
      </c>
      <c r="I1438" s="7" t="s">
        <v>314</v>
      </c>
      <c r="J1438" s="10">
        <v>45875.0</v>
      </c>
      <c r="K1438" s="8" t="s">
        <v>766</v>
      </c>
      <c r="L1438" s="7">
        <v>8.0</v>
      </c>
      <c r="M1438" s="7" t="s">
        <v>1325</v>
      </c>
      <c r="N1438" s="13" t="s">
        <v>4731</v>
      </c>
      <c r="O1438" s="15" t="s">
        <v>4732</v>
      </c>
    </row>
    <row r="1439">
      <c r="A1439" s="5">
        <v>1692.0</v>
      </c>
      <c r="B1439" s="6">
        <v>45999.83630621528</v>
      </c>
      <c r="C1439" s="7" t="s">
        <v>125</v>
      </c>
      <c r="D1439" s="8" t="s">
        <v>3448</v>
      </c>
      <c r="E1439" s="8" t="s">
        <v>1725</v>
      </c>
      <c r="F1439" s="7" t="s">
        <v>3449</v>
      </c>
      <c r="G1439" s="9" t="s">
        <v>19</v>
      </c>
      <c r="H1439" s="7" t="s">
        <v>4665</v>
      </c>
      <c r="I1439" s="7" t="s">
        <v>174</v>
      </c>
      <c r="J1439" s="10">
        <v>45854.0</v>
      </c>
      <c r="K1439" s="8" t="s">
        <v>499</v>
      </c>
      <c r="L1439" s="7">
        <v>6.0</v>
      </c>
      <c r="M1439" s="7" t="s">
        <v>106</v>
      </c>
      <c r="N1439" s="13" t="s">
        <v>4733</v>
      </c>
      <c r="O1439" s="15" t="s">
        <v>4734</v>
      </c>
    </row>
    <row r="1440">
      <c r="A1440" s="5">
        <v>1693.0</v>
      </c>
      <c r="B1440" s="6">
        <v>45999.83717171296</v>
      </c>
      <c r="C1440" s="7" t="s">
        <v>15</v>
      </c>
      <c r="D1440" s="8" t="s">
        <v>4719</v>
      </c>
      <c r="E1440" s="8" t="s">
        <v>171</v>
      </c>
      <c r="F1440" s="7" t="s">
        <v>4720</v>
      </c>
      <c r="G1440" s="9" t="s">
        <v>19</v>
      </c>
      <c r="H1440" s="7" t="s">
        <v>4727</v>
      </c>
      <c r="I1440" s="7" t="s">
        <v>37</v>
      </c>
      <c r="J1440" s="10">
        <v>45840.0</v>
      </c>
      <c r="K1440" s="8" t="s">
        <v>67</v>
      </c>
      <c r="L1440" s="7">
        <v>8.0</v>
      </c>
      <c r="M1440" s="7" t="s">
        <v>33</v>
      </c>
      <c r="N1440" s="13" t="s">
        <v>4735</v>
      </c>
      <c r="O1440" s="15" t="s">
        <v>4736</v>
      </c>
    </row>
    <row r="1441">
      <c r="A1441" s="5">
        <v>1694.0</v>
      </c>
      <c r="B1441" s="6">
        <v>45999.837642071754</v>
      </c>
      <c r="C1441" s="7" t="s">
        <v>125</v>
      </c>
      <c r="D1441" s="8" t="s">
        <v>4661</v>
      </c>
      <c r="E1441" s="8" t="s">
        <v>3024</v>
      </c>
      <c r="F1441" s="7" t="s">
        <v>4680</v>
      </c>
      <c r="G1441" s="9" t="s">
        <v>159</v>
      </c>
      <c r="H1441" s="7" t="s">
        <v>4737</v>
      </c>
      <c r="I1441" s="7" t="s">
        <v>624</v>
      </c>
      <c r="J1441" s="10">
        <v>45965.0</v>
      </c>
      <c r="K1441" s="8" t="s">
        <v>22</v>
      </c>
      <c r="L1441" s="7">
        <v>4.0</v>
      </c>
      <c r="M1441" s="7" t="s">
        <v>590</v>
      </c>
      <c r="N1441" s="13" t="s">
        <v>4738</v>
      </c>
      <c r="O1441" s="15" t="s">
        <v>4739</v>
      </c>
    </row>
    <row r="1442">
      <c r="A1442" s="5">
        <v>1695.0</v>
      </c>
      <c r="B1442" s="6">
        <v>45999.83973025463</v>
      </c>
      <c r="C1442" s="7" t="s">
        <v>760</v>
      </c>
      <c r="D1442" s="8" t="s">
        <v>4180</v>
      </c>
      <c r="E1442" s="8" t="s">
        <v>1827</v>
      </c>
      <c r="F1442" s="7" t="s">
        <v>4181</v>
      </c>
      <c r="G1442" s="9" t="s">
        <v>1426</v>
      </c>
      <c r="H1442" s="7" t="s">
        <v>4740</v>
      </c>
      <c r="I1442" s="7" t="s">
        <v>4741</v>
      </c>
      <c r="J1442" s="10">
        <v>45907.0</v>
      </c>
      <c r="K1442" s="8" t="s">
        <v>1352</v>
      </c>
      <c r="L1442" s="7">
        <v>8.0</v>
      </c>
      <c r="M1442" s="7" t="s">
        <v>33</v>
      </c>
      <c r="N1442" s="13" t="s">
        <v>4742</v>
      </c>
      <c r="O1442" s="15" t="s">
        <v>4743</v>
      </c>
    </row>
    <row r="1443">
      <c r="A1443" s="5">
        <v>1697.0</v>
      </c>
      <c r="B1443" s="6">
        <v>45999.84076278935</v>
      </c>
      <c r="C1443" s="7" t="s">
        <v>125</v>
      </c>
      <c r="D1443" s="8" t="s">
        <v>4661</v>
      </c>
      <c r="E1443" s="8" t="s">
        <v>3024</v>
      </c>
      <c r="F1443" s="7" t="s">
        <v>4680</v>
      </c>
      <c r="G1443" s="9" t="s">
        <v>159</v>
      </c>
      <c r="H1443" s="7" t="s">
        <v>4744</v>
      </c>
      <c r="I1443" s="7" t="s">
        <v>3452</v>
      </c>
      <c r="J1443" s="10">
        <v>45949.0</v>
      </c>
      <c r="K1443" s="8" t="s">
        <v>22</v>
      </c>
      <c r="L1443" s="7">
        <v>4.0</v>
      </c>
      <c r="M1443" s="7" t="s">
        <v>590</v>
      </c>
      <c r="N1443" s="13" t="s">
        <v>4745</v>
      </c>
      <c r="O1443" s="23"/>
    </row>
    <row r="1444">
      <c r="A1444" s="5">
        <v>1698.0</v>
      </c>
      <c r="B1444" s="6">
        <v>45999.84167181713</v>
      </c>
      <c r="C1444" s="7" t="s">
        <v>760</v>
      </c>
      <c r="D1444" s="8" t="s">
        <v>4746</v>
      </c>
      <c r="E1444" s="8" t="s">
        <v>569</v>
      </c>
      <c r="F1444" s="7" t="s">
        <v>4747</v>
      </c>
      <c r="G1444" s="9" t="s">
        <v>144</v>
      </c>
      <c r="H1444" s="7" t="s">
        <v>730</v>
      </c>
      <c r="I1444" s="7" t="s">
        <v>4748</v>
      </c>
      <c r="J1444" s="10">
        <v>45997.0</v>
      </c>
      <c r="K1444" s="8" t="s">
        <v>1145</v>
      </c>
      <c r="L1444" s="7">
        <v>4.0</v>
      </c>
      <c r="M1444" s="7" t="s">
        <v>4749</v>
      </c>
      <c r="N1444" s="13" t="s">
        <v>4750</v>
      </c>
      <c r="O1444" s="15" t="s">
        <v>4751</v>
      </c>
    </row>
    <row r="1445">
      <c r="A1445" s="5">
        <v>1700.0</v>
      </c>
      <c r="B1445" s="6">
        <v>45999.84363552083</v>
      </c>
      <c r="C1445" s="7" t="s">
        <v>760</v>
      </c>
      <c r="D1445" s="8" t="s">
        <v>4746</v>
      </c>
      <c r="E1445" s="8" t="s">
        <v>569</v>
      </c>
      <c r="F1445" s="7" t="s">
        <v>4747</v>
      </c>
      <c r="G1445" s="9" t="s">
        <v>209</v>
      </c>
      <c r="H1445" s="7" t="s">
        <v>4752</v>
      </c>
      <c r="I1445" s="7" t="s">
        <v>825</v>
      </c>
      <c r="J1445" s="10">
        <v>45996.0</v>
      </c>
      <c r="K1445" s="8" t="s">
        <v>4753</v>
      </c>
      <c r="L1445" s="7">
        <v>1.0</v>
      </c>
      <c r="M1445" s="7" t="s">
        <v>4754</v>
      </c>
      <c r="N1445" s="13" t="s">
        <v>4755</v>
      </c>
      <c r="O1445" s="15" t="s">
        <v>4756</v>
      </c>
    </row>
    <row r="1446">
      <c r="A1446" s="5">
        <v>1701.0</v>
      </c>
      <c r="B1446" s="6">
        <v>45999.84484712963</v>
      </c>
      <c r="C1446" s="7" t="s">
        <v>760</v>
      </c>
      <c r="D1446" s="8" t="s">
        <v>816</v>
      </c>
      <c r="E1446" s="8" t="s">
        <v>817</v>
      </c>
      <c r="F1446" s="7" t="s">
        <v>818</v>
      </c>
      <c r="G1446" s="9" t="s">
        <v>84</v>
      </c>
      <c r="H1446" s="7" t="s">
        <v>4757</v>
      </c>
      <c r="I1446" s="7" t="s">
        <v>1192</v>
      </c>
      <c r="J1446" s="10">
        <v>45916.0</v>
      </c>
      <c r="K1446" s="8" t="s">
        <v>2680</v>
      </c>
      <c r="L1446" s="7">
        <v>8.0</v>
      </c>
      <c r="M1446" s="7" t="s">
        <v>774</v>
      </c>
      <c r="N1446" s="13" t="s">
        <v>4758</v>
      </c>
      <c r="O1446" s="15" t="s">
        <v>4759</v>
      </c>
    </row>
    <row r="1447">
      <c r="A1447" s="5">
        <v>1702.0</v>
      </c>
      <c r="B1447" s="6">
        <v>45999.84525899305</v>
      </c>
      <c r="C1447" s="7" t="s">
        <v>760</v>
      </c>
      <c r="D1447" s="8" t="s">
        <v>1214</v>
      </c>
      <c r="E1447" s="8" t="s">
        <v>179</v>
      </c>
      <c r="F1447" s="7" t="s">
        <v>1215</v>
      </c>
      <c r="G1447" s="9" t="s">
        <v>181</v>
      </c>
      <c r="H1447" s="7" t="s">
        <v>895</v>
      </c>
      <c r="I1447" s="7" t="s">
        <v>1211</v>
      </c>
      <c r="J1447" s="10">
        <v>45936.0</v>
      </c>
      <c r="K1447" s="8" t="s">
        <v>310</v>
      </c>
      <c r="L1447" s="7">
        <v>1.0</v>
      </c>
      <c r="M1447" s="7" t="s">
        <v>33</v>
      </c>
      <c r="N1447" s="13" t="s">
        <v>4760</v>
      </c>
      <c r="O1447" s="15" t="s">
        <v>4761</v>
      </c>
    </row>
    <row r="1448">
      <c r="A1448" s="5">
        <v>1703.0</v>
      </c>
      <c r="B1448" s="6">
        <v>45999.84559936343</v>
      </c>
      <c r="C1448" s="7" t="s">
        <v>760</v>
      </c>
      <c r="D1448" s="8" t="s">
        <v>2757</v>
      </c>
      <c r="E1448" s="8" t="s">
        <v>1049</v>
      </c>
      <c r="F1448" s="7" t="s">
        <v>2758</v>
      </c>
      <c r="G1448" s="9" t="s">
        <v>181</v>
      </c>
      <c r="H1448" s="7" t="s">
        <v>895</v>
      </c>
      <c r="I1448" s="7" t="s">
        <v>279</v>
      </c>
      <c r="J1448" s="10">
        <v>45967.0</v>
      </c>
      <c r="K1448" s="8" t="s">
        <v>4065</v>
      </c>
      <c r="L1448" s="7">
        <v>1.0</v>
      </c>
      <c r="M1448" s="7" t="s">
        <v>33</v>
      </c>
      <c r="N1448" s="13" t="s">
        <v>4762</v>
      </c>
      <c r="O1448" s="15" t="s">
        <v>4763</v>
      </c>
    </row>
    <row r="1449">
      <c r="A1449" s="5">
        <v>1705.0</v>
      </c>
      <c r="B1449" s="6">
        <v>45999.84725831018</v>
      </c>
      <c r="C1449" s="7" t="s">
        <v>760</v>
      </c>
      <c r="D1449" s="8" t="s">
        <v>1214</v>
      </c>
      <c r="E1449" s="8" t="s">
        <v>179</v>
      </c>
      <c r="F1449" s="7" t="s">
        <v>1215</v>
      </c>
      <c r="G1449" s="9" t="s">
        <v>181</v>
      </c>
      <c r="H1449" s="7" t="s">
        <v>895</v>
      </c>
      <c r="I1449" s="7" t="s">
        <v>1211</v>
      </c>
      <c r="J1449" s="10">
        <v>45971.0</v>
      </c>
      <c r="K1449" s="8" t="s">
        <v>310</v>
      </c>
      <c r="L1449" s="7">
        <v>1.0</v>
      </c>
      <c r="M1449" s="7" t="s">
        <v>33</v>
      </c>
      <c r="N1449" s="13" t="s">
        <v>4764</v>
      </c>
      <c r="O1449" s="15" t="s">
        <v>4765</v>
      </c>
    </row>
    <row r="1450">
      <c r="A1450" s="5">
        <v>1706.0</v>
      </c>
      <c r="B1450" s="6">
        <v>45999.84778888889</v>
      </c>
      <c r="C1450" s="7" t="s">
        <v>760</v>
      </c>
      <c r="D1450" s="8" t="s">
        <v>829</v>
      </c>
      <c r="E1450" s="8" t="s">
        <v>830</v>
      </c>
      <c r="F1450" s="7" t="s">
        <v>831</v>
      </c>
      <c r="G1450" s="9" t="s">
        <v>84</v>
      </c>
      <c r="H1450" s="7" t="s">
        <v>85</v>
      </c>
      <c r="I1450" s="7" t="s">
        <v>465</v>
      </c>
      <c r="J1450" s="10">
        <v>45983.0</v>
      </c>
      <c r="K1450" s="8" t="s">
        <v>657</v>
      </c>
      <c r="L1450" s="7">
        <v>8.0</v>
      </c>
      <c r="M1450" s="7" t="s">
        <v>831</v>
      </c>
      <c r="N1450" s="13" t="s">
        <v>4766</v>
      </c>
      <c r="O1450" s="15" t="s">
        <v>4767</v>
      </c>
    </row>
    <row r="1451">
      <c r="A1451" s="5">
        <v>1707.0</v>
      </c>
      <c r="B1451" s="6">
        <v>45999.848059641205</v>
      </c>
      <c r="C1451" s="7" t="s">
        <v>125</v>
      </c>
      <c r="D1451" s="8" t="s">
        <v>286</v>
      </c>
      <c r="E1451" s="8" t="s">
        <v>287</v>
      </c>
      <c r="F1451" s="7" t="s">
        <v>288</v>
      </c>
      <c r="G1451" s="9" t="s">
        <v>159</v>
      </c>
      <c r="H1451" s="7" t="s">
        <v>3810</v>
      </c>
      <c r="I1451" s="7" t="s">
        <v>4667</v>
      </c>
      <c r="J1451" s="10">
        <v>45949.0</v>
      </c>
      <c r="K1451" s="8" t="s">
        <v>22</v>
      </c>
      <c r="L1451" s="7">
        <v>4.0</v>
      </c>
      <c r="M1451" s="7" t="s">
        <v>590</v>
      </c>
      <c r="N1451" s="13" t="s">
        <v>4768</v>
      </c>
      <c r="O1451" s="15" t="s">
        <v>4769</v>
      </c>
    </row>
    <row r="1452">
      <c r="A1452" s="5">
        <v>1708.0</v>
      </c>
      <c r="B1452" s="6">
        <v>45999.84900545139</v>
      </c>
      <c r="C1452" s="7" t="s">
        <v>125</v>
      </c>
      <c r="D1452" s="8" t="s">
        <v>170</v>
      </c>
      <c r="E1452" s="8" t="s">
        <v>171</v>
      </c>
      <c r="F1452" s="7" t="s">
        <v>172</v>
      </c>
      <c r="G1452" s="9" t="s">
        <v>159</v>
      </c>
      <c r="H1452" s="7" t="s">
        <v>4770</v>
      </c>
      <c r="I1452" s="7" t="s">
        <v>588</v>
      </c>
      <c r="J1452" s="10">
        <v>45942.0</v>
      </c>
      <c r="K1452" s="8" t="s">
        <v>22</v>
      </c>
      <c r="L1452" s="7">
        <v>4.0</v>
      </c>
      <c r="M1452" s="7" t="s">
        <v>590</v>
      </c>
      <c r="N1452" s="13" t="s">
        <v>4771</v>
      </c>
      <c r="O1452" s="15" t="s">
        <v>4772</v>
      </c>
    </row>
    <row r="1453">
      <c r="A1453" s="5">
        <v>1709.0</v>
      </c>
      <c r="B1453" s="6">
        <v>45999.84995304398</v>
      </c>
      <c r="C1453" s="7" t="s">
        <v>125</v>
      </c>
      <c r="D1453" s="8" t="s">
        <v>4690</v>
      </c>
      <c r="E1453" s="8" t="s">
        <v>547</v>
      </c>
      <c r="F1453" s="7" t="s">
        <v>4691</v>
      </c>
      <c r="G1453" s="9" t="s">
        <v>144</v>
      </c>
      <c r="H1453" s="7" t="s">
        <v>4773</v>
      </c>
      <c r="I1453" s="7" t="s">
        <v>4774</v>
      </c>
      <c r="J1453" s="10">
        <v>45963.0</v>
      </c>
      <c r="K1453" s="8" t="s">
        <v>22</v>
      </c>
      <c r="L1453" s="7">
        <v>4.0</v>
      </c>
      <c r="M1453" s="7" t="s">
        <v>152</v>
      </c>
      <c r="N1453" s="13" t="s">
        <v>4775</v>
      </c>
      <c r="O1453" s="15" t="s">
        <v>4776</v>
      </c>
    </row>
    <row r="1454">
      <c r="A1454" s="5">
        <v>1710.0</v>
      </c>
      <c r="B1454" s="6">
        <v>45999.85008261574</v>
      </c>
      <c r="C1454" s="7" t="s">
        <v>760</v>
      </c>
      <c r="D1454" s="8" t="s">
        <v>1214</v>
      </c>
      <c r="E1454" s="8" t="s">
        <v>179</v>
      </c>
      <c r="F1454" s="7" t="s">
        <v>1215</v>
      </c>
      <c r="G1454" s="9" t="s">
        <v>181</v>
      </c>
      <c r="H1454" s="7" t="s">
        <v>895</v>
      </c>
      <c r="I1454" s="7" t="s">
        <v>1211</v>
      </c>
      <c r="J1454" s="10">
        <v>45958.0</v>
      </c>
      <c r="K1454" s="8" t="s">
        <v>4777</v>
      </c>
      <c r="L1454" s="7">
        <v>1.0</v>
      </c>
      <c r="M1454" s="7" t="s">
        <v>33</v>
      </c>
      <c r="N1454" s="13" t="s">
        <v>4778</v>
      </c>
      <c r="O1454" s="15" t="s">
        <v>4779</v>
      </c>
    </row>
    <row r="1455">
      <c r="A1455" s="5">
        <v>1711.0</v>
      </c>
      <c r="B1455" s="6">
        <v>45999.8524562963</v>
      </c>
      <c r="C1455" s="7" t="s">
        <v>125</v>
      </c>
      <c r="D1455" s="8" t="s">
        <v>170</v>
      </c>
      <c r="E1455" s="8" t="s">
        <v>171</v>
      </c>
      <c r="F1455" s="7" t="s">
        <v>172</v>
      </c>
      <c r="G1455" s="9" t="s">
        <v>159</v>
      </c>
      <c r="H1455" s="7" t="s">
        <v>4780</v>
      </c>
      <c r="I1455" s="7" t="s">
        <v>624</v>
      </c>
      <c r="J1455" s="10">
        <v>45965.0</v>
      </c>
      <c r="K1455" s="8" t="s">
        <v>22</v>
      </c>
      <c r="L1455" s="7">
        <v>4.0</v>
      </c>
      <c r="M1455" s="7" t="s">
        <v>590</v>
      </c>
      <c r="N1455" s="13" t="s">
        <v>4781</v>
      </c>
      <c r="O1455" s="15" t="s">
        <v>4782</v>
      </c>
    </row>
    <row r="1456">
      <c r="A1456" s="5">
        <v>1712.0</v>
      </c>
      <c r="B1456" s="6">
        <v>45999.854950277775</v>
      </c>
      <c r="C1456" s="7" t="s">
        <v>125</v>
      </c>
      <c r="D1456" s="8" t="s">
        <v>4690</v>
      </c>
      <c r="E1456" s="8" t="s">
        <v>547</v>
      </c>
      <c r="F1456" s="7" t="s">
        <v>4691</v>
      </c>
      <c r="G1456" s="9" t="s">
        <v>144</v>
      </c>
      <c r="H1456" s="7" t="s">
        <v>730</v>
      </c>
      <c r="I1456" s="7" t="s">
        <v>4774</v>
      </c>
      <c r="J1456" s="10">
        <v>45961.0</v>
      </c>
      <c r="K1456" s="8" t="s">
        <v>22</v>
      </c>
      <c r="L1456" s="7">
        <v>4.0</v>
      </c>
      <c r="M1456" s="7" t="s">
        <v>152</v>
      </c>
      <c r="N1456" s="13" t="s">
        <v>4783</v>
      </c>
      <c r="O1456" s="15" t="s">
        <v>4784</v>
      </c>
    </row>
    <row r="1457">
      <c r="A1457" s="5">
        <v>1713.0</v>
      </c>
      <c r="B1457" s="6">
        <v>45999.85600834491</v>
      </c>
      <c r="C1457" s="7" t="s">
        <v>125</v>
      </c>
      <c r="D1457" s="8" t="s">
        <v>4294</v>
      </c>
      <c r="E1457" s="8" t="s">
        <v>1948</v>
      </c>
      <c r="F1457" s="7" t="s">
        <v>4300</v>
      </c>
      <c r="G1457" s="9" t="s">
        <v>159</v>
      </c>
      <c r="H1457" s="7" t="s">
        <v>4785</v>
      </c>
      <c r="I1457" s="7" t="s">
        <v>205</v>
      </c>
      <c r="J1457" s="10">
        <v>45950.0</v>
      </c>
      <c r="K1457" s="8" t="s">
        <v>22</v>
      </c>
      <c r="L1457" s="7">
        <v>4.0</v>
      </c>
      <c r="M1457" s="7" t="s">
        <v>147</v>
      </c>
      <c r="N1457" s="13" t="s">
        <v>4786</v>
      </c>
      <c r="O1457" s="15" t="s">
        <v>4787</v>
      </c>
    </row>
    <row r="1458">
      <c r="A1458" s="5">
        <v>1714.0</v>
      </c>
      <c r="B1458" s="6">
        <v>45999.85615400463</v>
      </c>
      <c r="C1458" s="7" t="s">
        <v>125</v>
      </c>
      <c r="D1458" s="8" t="s">
        <v>170</v>
      </c>
      <c r="E1458" s="8" t="s">
        <v>171</v>
      </c>
      <c r="F1458" s="7" t="s">
        <v>172</v>
      </c>
      <c r="G1458" s="9" t="s">
        <v>159</v>
      </c>
      <c r="H1458" s="7" t="s">
        <v>3810</v>
      </c>
      <c r="I1458" s="7" t="s">
        <v>3869</v>
      </c>
      <c r="J1458" s="10">
        <v>45980.0</v>
      </c>
      <c r="K1458" s="8" t="s">
        <v>22</v>
      </c>
      <c r="L1458" s="7">
        <v>4.0</v>
      </c>
      <c r="M1458" s="7" t="s">
        <v>590</v>
      </c>
      <c r="N1458" s="13" t="s">
        <v>4788</v>
      </c>
      <c r="O1458" s="15" t="s">
        <v>4789</v>
      </c>
    </row>
    <row r="1459">
      <c r="A1459" s="5">
        <v>1715.0</v>
      </c>
      <c r="B1459" s="6">
        <v>45999.85646689815</v>
      </c>
      <c r="C1459" s="7" t="s">
        <v>760</v>
      </c>
      <c r="D1459" s="8" t="s">
        <v>1350</v>
      </c>
      <c r="E1459" s="8" t="s">
        <v>199</v>
      </c>
      <c r="F1459" s="7" t="s">
        <v>1351</v>
      </c>
      <c r="G1459" s="9" t="s">
        <v>84</v>
      </c>
      <c r="H1459" s="7" t="s">
        <v>85</v>
      </c>
      <c r="I1459" s="7" t="s">
        <v>4790</v>
      </c>
      <c r="J1459" s="10">
        <v>45899.0</v>
      </c>
      <c r="K1459" s="8" t="s">
        <v>4791</v>
      </c>
      <c r="L1459" s="7">
        <v>8.0</v>
      </c>
      <c r="M1459" s="7" t="s">
        <v>4792</v>
      </c>
      <c r="N1459" s="13" t="s">
        <v>4793</v>
      </c>
      <c r="O1459" s="15" t="s">
        <v>4794</v>
      </c>
    </row>
    <row r="1460">
      <c r="A1460" s="5">
        <v>1716.0</v>
      </c>
      <c r="B1460" s="6">
        <v>45999.857599930554</v>
      </c>
      <c r="C1460" s="7" t="s">
        <v>760</v>
      </c>
      <c r="D1460" s="8" t="s">
        <v>3968</v>
      </c>
      <c r="E1460" s="8" t="s">
        <v>1253</v>
      </c>
      <c r="F1460" s="7" t="s">
        <v>3969</v>
      </c>
      <c r="G1460" s="9" t="s">
        <v>181</v>
      </c>
      <c r="H1460" s="7" t="s">
        <v>4510</v>
      </c>
      <c r="I1460" s="7" t="s">
        <v>314</v>
      </c>
      <c r="J1460" s="10">
        <v>45928.0</v>
      </c>
      <c r="K1460" s="8" t="s">
        <v>4170</v>
      </c>
      <c r="L1460" s="7">
        <v>3.0</v>
      </c>
      <c r="M1460" s="7" t="s">
        <v>33</v>
      </c>
      <c r="N1460" s="13" t="s">
        <v>4795</v>
      </c>
      <c r="O1460" s="15" t="s">
        <v>4796</v>
      </c>
    </row>
    <row r="1461">
      <c r="A1461" s="5">
        <v>1717.0</v>
      </c>
      <c r="B1461" s="6">
        <v>45999.85804402777</v>
      </c>
      <c r="C1461" s="7" t="s">
        <v>760</v>
      </c>
      <c r="D1461" s="8" t="s">
        <v>4180</v>
      </c>
      <c r="E1461" s="8" t="s">
        <v>1827</v>
      </c>
      <c r="F1461" s="7" t="s">
        <v>4181</v>
      </c>
      <c r="G1461" s="9" t="s">
        <v>181</v>
      </c>
      <c r="H1461" s="7" t="s">
        <v>3401</v>
      </c>
      <c r="I1461" s="7" t="s">
        <v>231</v>
      </c>
      <c r="J1461" s="10">
        <v>45951.0</v>
      </c>
      <c r="K1461" s="8" t="s">
        <v>4065</v>
      </c>
      <c r="L1461" s="7">
        <v>1.0</v>
      </c>
      <c r="M1461" s="7" t="s">
        <v>33</v>
      </c>
      <c r="N1461" s="13" t="s">
        <v>4797</v>
      </c>
      <c r="O1461" s="15" t="s">
        <v>4798</v>
      </c>
    </row>
    <row r="1462">
      <c r="A1462" s="5">
        <v>1718.0</v>
      </c>
      <c r="B1462" s="6">
        <v>45999.86027628472</v>
      </c>
      <c r="C1462" s="7" t="s">
        <v>760</v>
      </c>
      <c r="D1462" s="8" t="s">
        <v>4180</v>
      </c>
      <c r="E1462" s="8" t="s">
        <v>1827</v>
      </c>
      <c r="F1462" s="7" t="s">
        <v>4181</v>
      </c>
      <c r="G1462" s="9" t="s">
        <v>181</v>
      </c>
      <c r="H1462" s="7" t="s">
        <v>3401</v>
      </c>
      <c r="I1462" s="7" t="s">
        <v>231</v>
      </c>
      <c r="J1462" s="10">
        <v>45950.0</v>
      </c>
      <c r="K1462" s="8" t="s">
        <v>4065</v>
      </c>
      <c r="L1462" s="7">
        <v>1.0</v>
      </c>
      <c r="M1462" s="7" t="s">
        <v>33</v>
      </c>
      <c r="N1462" s="13" t="s">
        <v>4799</v>
      </c>
      <c r="O1462" s="15" t="s">
        <v>4800</v>
      </c>
    </row>
    <row r="1463">
      <c r="A1463" s="5">
        <v>1719.0</v>
      </c>
      <c r="B1463" s="6">
        <v>45999.860812071754</v>
      </c>
      <c r="C1463" s="7" t="s">
        <v>760</v>
      </c>
      <c r="D1463" s="8" t="s">
        <v>1350</v>
      </c>
      <c r="E1463" s="8" t="s">
        <v>199</v>
      </c>
      <c r="F1463" s="7" t="s">
        <v>1351</v>
      </c>
      <c r="G1463" s="9" t="s">
        <v>209</v>
      </c>
      <c r="H1463" s="7" t="s">
        <v>4801</v>
      </c>
      <c r="I1463" s="7" t="s">
        <v>4671</v>
      </c>
      <c r="J1463" s="10">
        <v>45906.0</v>
      </c>
      <c r="K1463" s="8" t="s">
        <v>4802</v>
      </c>
      <c r="L1463" s="7">
        <v>4.0</v>
      </c>
      <c r="M1463" s="7" t="s">
        <v>4672</v>
      </c>
      <c r="N1463" s="13" t="s">
        <v>4803</v>
      </c>
      <c r="O1463" s="15" t="s">
        <v>4804</v>
      </c>
    </row>
    <row r="1464">
      <c r="A1464" s="5">
        <v>1720.0</v>
      </c>
      <c r="B1464" s="6">
        <v>45999.8633153125</v>
      </c>
      <c r="C1464" s="7" t="s">
        <v>760</v>
      </c>
      <c r="D1464" s="8" t="s">
        <v>3968</v>
      </c>
      <c r="E1464" s="8" t="s">
        <v>1253</v>
      </c>
      <c r="F1464" s="7" t="s">
        <v>3969</v>
      </c>
      <c r="G1464" s="9" t="s">
        <v>181</v>
      </c>
      <c r="H1464" s="7" t="s">
        <v>4805</v>
      </c>
      <c r="I1464" s="7" t="s">
        <v>4806</v>
      </c>
      <c r="J1464" s="10">
        <v>45920.0</v>
      </c>
      <c r="K1464" s="8" t="s">
        <v>694</v>
      </c>
      <c r="L1464" s="7">
        <v>3.0</v>
      </c>
      <c r="M1464" s="7" t="s">
        <v>3607</v>
      </c>
      <c r="N1464" s="13" t="s">
        <v>4807</v>
      </c>
      <c r="O1464" s="15" t="s">
        <v>4808</v>
      </c>
    </row>
    <row r="1465">
      <c r="A1465" s="5">
        <v>1721.0</v>
      </c>
      <c r="B1465" s="6">
        <v>45999.864544537035</v>
      </c>
      <c r="C1465" s="7" t="s">
        <v>760</v>
      </c>
      <c r="D1465" s="8" t="s">
        <v>4509</v>
      </c>
      <c r="E1465" s="8" t="s">
        <v>1253</v>
      </c>
      <c r="F1465" s="7" t="s">
        <v>3969</v>
      </c>
      <c r="G1465" s="9" t="s">
        <v>181</v>
      </c>
      <c r="H1465" s="7" t="s">
        <v>4809</v>
      </c>
      <c r="I1465" s="7" t="s">
        <v>4806</v>
      </c>
      <c r="J1465" s="10">
        <v>45976.0</v>
      </c>
      <c r="K1465" s="8" t="s">
        <v>694</v>
      </c>
      <c r="L1465" s="7">
        <v>3.0</v>
      </c>
      <c r="M1465" s="7" t="s">
        <v>3607</v>
      </c>
      <c r="N1465" s="13" t="s">
        <v>4810</v>
      </c>
      <c r="O1465" s="15" t="s">
        <v>4811</v>
      </c>
    </row>
    <row r="1466">
      <c r="A1466" s="5">
        <v>1722.0</v>
      </c>
      <c r="B1466" s="6">
        <v>45999.86536414352</v>
      </c>
      <c r="C1466" s="7" t="s">
        <v>125</v>
      </c>
      <c r="D1466" s="8" t="s">
        <v>4812</v>
      </c>
      <c r="E1466" s="8" t="s">
        <v>411</v>
      </c>
      <c r="F1466" s="7" t="s">
        <v>4813</v>
      </c>
      <c r="G1466" s="9" t="s">
        <v>181</v>
      </c>
      <c r="H1466" s="7" t="s">
        <v>182</v>
      </c>
      <c r="I1466" s="7" t="s">
        <v>4814</v>
      </c>
      <c r="J1466" s="10">
        <v>45916.0</v>
      </c>
      <c r="K1466" s="8" t="s">
        <v>22</v>
      </c>
      <c r="L1466" s="7">
        <v>4.0</v>
      </c>
      <c r="M1466" s="7" t="s">
        <v>4815</v>
      </c>
      <c r="N1466" s="13" t="s">
        <v>4816</v>
      </c>
      <c r="O1466" s="23"/>
    </row>
    <row r="1467">
      <c r="A1467" s="5">
        <v>1724.0</v>
      </c>
      <c r="B1467" s="6">
        <v>45999.86765759259</v>
      </c>
      <c r="C1467" s="7" t="s">
        <v>760</v>
      </c>
      <c r="D1467" s="8" t="s">
        <v>892</v>
      </c>
      <c r="E1467" s="8" t="s">
        <v>893</v>
      </c>
      <c r="F1467" s="7" t="s">
        <v>899</v>
      </c>
      <c r="G1467" s="9" t="s">
        <v>84</v>
      </c>
      <c r="H1467" s="7" t="s">
        <v>4817</v>
      </c>
      <c r="I1467" s="7" t="s">
        <v>1192</v>
      </c>
      <c r="J1467" s="10">
        <v>45916.0</v>
      </c>
      <c r="K1467" s="8" t="s">
        <v>694</v>
      </c>
      <c r="L1467" s="7">
        <v>8.0</v>
      </c>
      <c r="M1467" s="7" t="s">
        <v>774</v>
      </c>
      <c r="N1467" s="13" t="s">
        <v>4818</v>
      </c>
      <c r="O1467" s="15" t="s">
        <v>4819</v>
      </c>
    </row>
    <row r="1468">
      <c r="A1468" s="5">
        <v>1725.0</v>
      </c>
      <c r="B1468" s="6">
        <v>45999.86998146991</v>
      </c>
      <c r="C1468" s="7" t="s">
        <v>760</v>
      </c>
      <c r="D1468" s="8" t="s">
        <v>3968</v>
      </c>
      <c r="E1468" s="8" t="s">
        <v>1253</v>
      </c>
      <c r="F1468" s="7" t="s">
        <v>3969</v>
      </c>
      <c r="G1468" s="9" t="s">
        <v>159</v>
      </c>
      <c r="H1468" s="7" t="s">
        <v>4820</v>
      </c>
      <c r="I1468" s="7" t="s">
        <v>1240</v>
      </c>
      <c r="J1468" s="10">
        <v>45990.0</v>
      </c>
      <c r="K1468" s="8" t="s">
        <v>22</v>
      </c>
      <c r="L1468" s="7">
        <v>4.0</v>
      </c>
      <c r="M1468" s="7" t="s">
        <v>87</v>
      </c>
      <c r="N1468" s="13" t="s">
        <v>4821</v>
      </c>
      <c r="O1468" s="15" t="s">
        <v>4822</v>
      </c>
    </row>
    <row r="1469">
      <c r="A1469" s="5">
        <v>1726.0</v>
      </c>
      <c r="B1469" s="6">
        <v>45999.871244050926</v>
      </c>
      <c r="C1469" s="7" t="s">
        <v>125</v>
      </c>
      <c r="D1469" s="8" t="s">
        <v>4812</v>
      </c>
      <c r="E1469" s="8" t="s">
        <v>411</v>
      </c>
      <c r="F1469" s="7" t="s">
        <v>4813</v>
      </c>
      <c r="G1469" s="9" t="s">
        <v>19</v>
      </c>
      <c r="H1469" s="7" t="s">
        <v>4823</v>
      </c>
      <c r="I1469" s="7" t="s">
        <v>174</v>
      </c>
      <c r="J1469" s="10">
        <v>45854.0</v>
      </c>
      <c r="K1469" s="8" t="s">
        <v>175</v>
      </c>
      <c r="L1469" s="7">
        <v>6.0</v>
      </c>
      <c r="M1469" s="7" t="s">
        <v>106</v>
      </c>
      <c r="N1469" s="13" t="s">
        <v>4824</v>
      </c>
      <c r="O1469" s="15" t="s">
        <v>4825</v>
      </c>
    </row>
    <row r="1470">
      <c r="A1470" s="5">
        <v>1728.0</v>
      </c>
      <c r="B1470" s="6">
        <v>45999.87341372685</v>
      </c>
      <c r="C1470" s="7" t="s">
        <v>125</v>
      </c>
      <c r="D1470" s="8" t="s">
        <v>673</v>
      </c>
      <c r="E1470" s="8" t="s">
        <v>674</v>
      </c>
      <c r="F1470" s="7" t="s">
        <v>675</v>
      </c>
      <c r="G1470" s="9" t="s">
        <v>181</v>
      </c>
      <c r="H1470" s="7" t="s">
        <v>3311</v>
      </c>
      <c r="I1470" s="7" t="s">
        <v>2092</v>
      </c>
      <c r="J1470" s="10">
        <v>45876.0</v>
      </c>
      <c r="K1470" s="8" t="s">
        <v>518</v>
      </c>
      <c r="L1470" s="7">
        <v>2.0</v>
      </c>
      <c r="M1470" s="7" t="s">
        <v>33</v>
      </c>
      <c r="N1470" s="13" t="s">
        <v>4826</v>
      </c>
      <c r="O1470" s="15" t="s">
        <v>4827</v>
      </c>
    </row>
    <row r="1471">
      <c r="A1471" s="5">
        <v>1729.0</v>
      </c>
      <c r="B1471" s="6">
        <v>45999.87351118056</v>
      </c>
      <c r="C1471" s="7" t="s">
        <v>760</v>
      </c>
      <c r="D1471" s="8" t="s">
        <v>3968</v>
      </c>
      <c r="E1471" s="8" t="s">
        <v>1253</v>
      </c>
      <c r="F1471" s="7" t="s">
        <v>3969</v>
      </c>
      <c r="G1471" s="9" t="s">
        <v>181</v>
      </c>
      <c r="H1471" s="7" t="s">
        <v>4809</v>
      </c>
      <c r="I1471" s="7" t="s">
        <v>4806</v>
      </c>
      <c r="J1471" s="10">
        <v>45976.0</v>
      </c>
      <c r="K1471" s="8" t="s">
        <v>694</v>
      </c>
      <c r="L1471" s="7">
        <v>3.0</v>
      </c>
      <c r="M1471" s="7" t="s">
        <v>4828</v>
      </c>
      <c r="N1471" s="13" t="s">
        <v>4829</v>
      </c>
      <c r="O1471" s="15" t="s">
        <v>4830</v>
      </c>
    </row>
    <row r="1472">
      <c r="A1472" s="5">
        <v>1731.0</v>
      </c>
      <c r="B1472" s="6">
        <v>45999.876363206015</v>
      </c>
      <c r="C1472" s="7" t="s">
        <v>760</v>
      </c>
      <c r="D1472" s="8" t="s">
        <v>4831</v>
      </c>
      <c r="E1472" s="8" t="s">
        <v>248</v>
      </c>
      <c r="F1472" s="7" t="s">
        <v>4832</v>
      </c>
      <c r="G1472" s="9" t="s">
        <v>181</v>
      </c>
      <c r="H1472" s="7" t="s">
        <v>4833</v>
      </c>
      <c r="I1472" s="7" t="s">
        <v>231</v>
      </c>
      <c r="J1472" s="10">
        <v>45940.0</v>
      </c>
      <c r="K1472" s="8" t="s">
        <v>4834</v>
      </c>
      <c r="L1472" s="7">
        <v>8.0</v>
      </c>
      <c r="M1472" s="7" t="s">
        <v>4701</v>
      </c>
      <c r="N1472" s="13" t="s">
        <v>4835</v>
      </c>
      <c r="O1472" s="15" t="s">
        <v>4836</v>
      </c>
    </row>
    <row r="1473">
      <c r="A1473" s="5">
        <v>1732.0</v>
      </c>
      <c r="B1473" s="6">
        <v>45999.876750763884</v>
      </c>
      <c r="C1473" s="7" t="s">
        <v>125</v>
      </c>
      <c r="D1473" s="8" t="s">
        <v>198</v>
      </c>
      <c r="E1473" s="8" t="s">
        <v>199</v>
      </c>
      <c r="F1473" s="7" t="s">
        <v>200</v>
      </c>
      <c r="G1473" s="9" t="s">
        <v>144</v>
      </c>
      <c r="H1473" s="7" t="s">
        <v>365</v>
      </c>
      <c r="I1473" s="7" t="s">
        <v>366</v>
      </c>
      <c r="J1473" s="10">
        <v>45942.0</v>
      </c>
      <c r="K1473" s="8" t="s">
        <v>1468</v>
      </c>
      <c r="L1473" s="7">
        <v>4.0</v>
      </c>
      <c r="M1473" s="7" t="s">
        <v>367</v>
      </c>
      <c r="N1473" s="7"/>
      <c r="O1473" s="23"/>
    </row>
    <row r="1474">
      <c r="A1474" s="5">
        <v>1733.0</v>
      </c>
      <c r="B1474" s="6">
        <v>45999.87710681713</v>
      </c>
      <c r="C1474" s="7" t="s">
        <v>760</v>
      </c>
      <c r="D1474" s="8" t="s">
        <v>3968</v>
      </c>
      <c r="E1474" s="8" t="s">
        <v>1253</v>
      </c>
      <c r="F1474" s="7" t="s">
        <v>3969</v>
      </c>
      <c r="G1474" s="9" t="s">
        <v>19</v>
      </c>
      <c r="H1474" s="7" t="s">
        <v>4837</v>
      </c>
      <c r="I1474" s="7" t="s">
        <v>3162</v>
      </c>
      <c r="J1474" s="10">
        <v>45989.0</v>
      </c>
      <c r="K1474" s="8" t="s">
        <v>4838</v>
      </c>
      <c r="L1474" s="7">
        <v>5.0</v>
      </c>
      <c r="M1474" s="7" t="s">
        <v>931</v>
      </c>
      <c r="N1474" s="13" t="s">
        <v>4839</v>
      </c>
      <c r="O1474" s="15" t="s">
        <v>4840</v>
      </c>
    </row>
    <row r="1475">
      <c r="A1475" s="5">
        <v>1735.0</v>
      </c>
      <c r="B1475" s="6">
        <v>45999.87738868056</v>
      </c>
      <c r="C1475" s="7" t="s">
        <v>760</v>
      </c>
      <c r="D1475" s="8" t="s">
        <v>4379</v>
      </c>
      <c r="E1475" s="8" t="s">
        <v>118</v>
      </c>
      <c r="F1475" s="7" t="s">
        <v>4380</v>
      </c>
      <c r="G1475" s="9" t="s">
        <v>84</v>
      </c>
      <c r="H1475" s="7" t="s">
        <v>85</v>
      </c>
      <c r="I1475" s="7" t="s">
        <v>4841</v>
      </c>
      <c r="J1475" s="10">
        <v>45881.0</v>
      </c>
      <c r="K1475" s="8" t="s">
        <v>1633</v>
      </c>
      <c r="L1475" s="7">
        <v>8.0</v>
      </c>
      <c r="M1475" s="7" t="s">
        <v>4842</v>
      </c>
      <c r="N1475" s="13" t="s">
        <v>4843</v>
      </c>
      <c r="O1475" s="15" t="s">
        <v>4844</v>
      </c>
    </row>
    <row r="1476">
      <c r="A1476" s="5">
        <v>1736.0</v>
      </c>
      <c r="B1476" s="6">
        <v>45999.87847491898</v>
      </c>
      <c r="C1476" s="7" t="s">
        <v>760</v>
      </c>
      <c r="D1476" s="8" t="s">
        <v>4831</v>
      </c>
      <c r="E1476" s="8" t="s">
        <v>248</v>
      </c>
      <c r="F1476" s="7" t="s">
        <v>4832</v>
      </c>
      <c r="G1476" s="9" t="s">
        <v>181</v>
      </c>
      <c r="H1476" s="7" t="s">
        <v>4833</v>
      </c>
      <c r="I1476" s="7" t="s">
        <v>231</v>
      </c>
      <c r="J1476" s="10">
        <v>45945.0</v>
      </c>
      <c r="K1476" s="8" t="s">
        <v>4845</v>
      </c>
      <c r="L1476" s="7">
        <v>8.0</v>
      </c>
      <c r="M1476" s="7" t="s">
        <v>4701</v>
      </c>
      <c r="N1476" s="13" t="s">
        <v>4846</v>
      </c>
      <c r="O1476" s="15" t="s">
        <v>4847</v>
      </c>
    </row>
    <row r="1477">
      <c r="A1477" s="5">
        <v>1742.0</v>
      </c>
      <c r="B1477" s="6">
        <v>45999.8830725463</v>
      </c>
      <c r="C1477" s="7" t="s">
        <v>760</v>
      </c>
      <c r="D1477" s="8" t="s">
        <v>4848</v>
      </c>
      <c r="E1477" s="8" t="s">
        <v>228</v>
      </c>
      <c r="F1477" s="7" t="s">
        <v>4849</v>
      </c>
      <c r="G1477" s="9" t="s">
        <v>181</v>
      </c>
      <c r="H1477" s="7" t="s">
        <v>4850</v>
      </c>
      <c r="I1477" s="7" t="s">
        <v>3589</v>
      </c>
      <c r="J1477" s="10">
        <v>46000.0</v>
      </c>
      <c r="K1477" s="8" t="s">
        <v>3924</v>
      </c>
      <c r="L1477" s="7">
        <v>2.0</v>
      </c>
      <c r="M1477" s="7" t="s">
        <v>4851</v>
      </c>
      <c r="N1477" s="13" t="s">
        <v>4852</v>
      </c>
      <c r="O1477" s="15" t="s">
        <v>4853</v>
      </c>
    </row>
    <row r="1478">
      <c r="A1478" s="5">
        <v>1743.0</v>
      </c>
      <c r="B1478" s="6">
        <v>45999.88328740741</v>
      </c>
      <c r="C1478" s="7" t="s">
        <v>760</v>
      </c>
      <c r="D1478" s="8" t="s">
        <v>4831</v>
      </c>
      <c r="E1478" s="8" t="s">
        <v>248</v>
      </c>
      <c r="F1478" s="7" t="s">
        <v>4832</v>
      </c>
      <c r="G1478" s="9" t="s">
        <v>181</v>
      </c>
      <c r="H1478" s="7" t="s">
        <v>895</v>
      </c>
      <c r="I1478" s="7" t="s">
        <v>231</v>
      </c>
      <c r="J1478" s="10">
        <v>45994.0</v>
      </c>
      <c r="K1478" s="8" t="s">
        <v>4854</v>
      </c>
      <c r="L1478" s="7">
        <v>1.0</v>
      </c>
      <c r="M1478" s="7" t="s">
        <v>33</v>
      </c>
      <c r="N1478" s="13" t="s">
        <v>4855</v>
      </c>
      <c r="O1478" s="15" t="s">
        <v>4856</v>
      </c>
    </row>
    <row r="1479">
      <c r="A1479" s="5">
        <v>1744.0</v>
      </c>
      <c r="B1479" s="6">
        <v>45999.88446784722</v>
      </c>
      <c r="C1479" s="7" t="s">
        <v>760</v>
      </c>
      <c r="D1479" s="8" t="s">
        <v>4848</v>
      </c>
      <c r="E1479" s="8" t="s">
        <v>228</v>
      </c>
      <c r="F1479" s="7" t="s">
        <v>4849</v>
      </c>
      <c r="G1479" s="9" t="s">
        <v>181</v>
      </c>
      <c r="H1479" s="7" t="s">
        <v>4857</v>
      </c>
      <c r="I1479" s="7" t="s">
        <v>4858</v>
      </c>
      <c r="J1479" s="10">
        <v>45999.0</v>
      </c>
      <c r="K1479" s="8" t="s">
        <v>3924</v>
      </c>
      <c r="L1479" s="7">
        <v>2.0</v>
      </c>
      <c r="M1479" s="7" t="s">
        <v>4851</v>
      </c>
      <c r="N1479" s="13" t="s">
        <v>4859</v>
      </c>
      <c r="O1479" s="15" t="s">
        <v>4860</v>
      </c>
    </row>
    <row r="1480">
      <c r="A1480" s="5">
        <v>1745.0</v>
      </c>
      <c r="B1480" s="6">
        <v>45999.88514611111</v>
      </c>
      <c r="C1480" s="7" t="s">
        <v>760</v>
      </c>
      <c r="D1480" s="8" t="s">
        <v>4831</v>
      </c>
      <c r="E1480" s="8" t="s">
        <v>248</v>
      </c>
      <c r="F1480" s="7" t="s">
        <v>4832</v>
      </c>
      <c r="G1480" s="9" t="s">
        <v>181</v>
      </c>
      <c r="H1480" s="7" t="s">
        <v>895</v>
      </c>
      <c r="I1480" s="7" t="s">
        <v>231</v>
      </c>
      <c r="J1480" s="10">
        <v>45975.0</v>
      </c>
      <c r="K1480" s="8" t="s">
        <v>4854</v>
      </c>
      <c r="L1480" s="7">
        <v>1.0</v>
      </c>
      <c r="M1480" s="7" t="s">
        <v>33</v>
      </c>
      <c r="N1480" s="13" t="s">
        <v>4861</v>
      </c>
      <c r="O1480" s="15" t="s">
        <v>4862</v>
      </c>
    </row>
    <row r="1481">
      <c r="A1481" s="5">
        <v>1750.0</v>
      </c>
      <c r="B1481" s="6">
        <v>45999.88916196759</v>
      </c>
      <c r="C1481" s="7" t="s">
        <v>760</v>
      </c>
      <c r="D1481" s="8" t="s">
        <v>791</v>
      </c>
      <c r="E1481" s="8" t="s">
        <v>164</v>
      </c>
      <c r="F1481" s="7" t="s">
        <v>792</v>
      </c>
      <c r="G1481" s="9" t="s">
        <v>181</v>
      </c>
      <c r="H1481" s="7" t="s">
        <v>895</v>
      </c>
      <c r="I1481" s="7" t="s">
        <v>231</v>
      </c>
      <c r="J1481" s="10">
        <v>45981.0</v>
      </c>
      <c r="K1481" s="8" t="s">
        <v>4863</v>
      </c>
      <c r="L1481" s="7">
        <v>1.0</v>
      </c>
      <c r="M1481" s="7" t="s">
        <v>33</v>
      </c>
      <c r="N1481" s="13" t="s">
        <v>4864</v>
      </c>
      <c r="O1481" s="15" t="s">
        <v>4865</v>
      </c>
    </row>
    <row r="1482">
      <c r="A1482" s="5">
        <v>1751.0</v>
      </c>
      <c r="B1482" s="6">
        <v>45999.88941780092</v>
      </c>
      <c r="C1482" s="7" t="s">
        <v>760</v>
      </c>
      <c r="D1482" s="8" t="s">
        <v>4848</v>
      </c>
      <c r="E1482" s="8" t="s">
        <v>228</v>
      </c>
      <c r="F1482" s="7" t="s">
        <v>4849</v>
      </c>
      <c r="G1482" s="9" t="s">
        <v>415</v>
      </c>
      <c r="H1482" s="7" t="s">
        <v>4647</v>
      </c>
      <c r="I1482" s="7" t="s">
        <v>3130</v>
      </c>
      <c r="J1482" s="10">
        <v>45964.0</v>
      </c>
      <c r="K1482" s="8" t="s">
        <v>766</v>
      </c>
      <c r="L1482" s="7">
        <v>1.0</v>
      </c>
      <c r="M1482" s="7" t="s">
        <v>87</v>
      </c>
      <c r="N1482" s="13" t="s">
        <v>4866</v>
      </c>
      <c r="O1482" s="15" t="s">
        <v>4867</v>
      </c>
    </row>
    <row r="1483">
      <c r="A1483" s="5">
        <v>1752.0</v>
      </c>
      <c r="B1483" s="6">
        <v>45999.89104321759</v>
      </c>
      <c r="C1483" s="7" t="s">
        <v>760</v>
      </c>
      <c r="D1483" s="8" t="s">
        <v>4848</v>
      </c>
      <c r="E1483" s="8" t="s">
        <v>228</v>
      </c>
      <c r="F1483" s="7" t="s">
        <v>4849</v>
      </c>
      <c r="G1483" s="9" t="s">
        <v>181</v>
      </c>
      <c r="H1483" s="7" t="s">
        <v>3588</v>
      </c>
      <c r="I1483" s="7" t="s">
        <v>3589</v>
      </c>
      <c r="J1483" s="10">
        <v>45995.0</v>
      </c>
      <c r="K1483" s="8" t="s">
        <v>2266</v>
      </c>
      <c r="L1483" s="7">
        <v>5.0</v>
      </c>
      <c r="M1483" s="7" t="s">
        <v>4851</v>
      </c>
      <c r="N1483" s="13" t="s">
        <v>4868</v>
      </c>
      <c r="O1483" s="15" t="s">
        <v>4869</v>
      </c>
    </row>
    <row r="1484">
      <c r="A1484" s="5">
        <v>1754.0</v>
      </c>
      <c r="B1484" s="6">
        <v>45999.89144736111</v>
      </c>
      <c r="C1484" s="7" t="s">
        <v>125</v>
      </c>
      <c r="D1484" s="8" t="s">
        <v>4870</v>
      </c>
      <c r="E1484" s="8" t="s">
        <v>134</v>
      </c>
      <c r="F1484" s="7" t="s">
        <v>135</v>
      </c>
      <c r="G1484" s="9" t="s">
        <v>144</v>
      </c>
      <c r="H1484" s="7" t="s">
        <v>4871</v>
      </c>
      <c r="I1484" s="7" t="s">
        <v>3282</v>
      </c>
      <c r="J1484" s="10">
        <v>45961.0</v>
      </c>
      <c r="K1484" s="8" t="s">
        <v>49</v>
      </c>
      <c r="L1484" s="7">
        <v>8.0</v>
      </c>
      <c r="M1484" s="7" t="s">
        <v>152</v>
      </c>
      <c r="N1484" s="13" t="s">
        <v>4872</v>
      </c>
      <c r="O1484" s="15" t="s">
        <v>4873</v>
      </c>
    </row>
    <row r="1485">
      <c r="A1485" s="5">
        <v>1755.0</v>
      </c>
      <c r="B1485" s="6">
        <v>45999.89434549768</v>
      </c>
      <c r="C1485" s="7" t="s">
        <v>125</v>
      </c>
      <c r="D1485" s="8" t="s">
        <v>4690</v>
      </c>
      <c r="E1485" s="8" t="s">
        <v>547</v>
      </c>
      <c r="F1485" s="7" t="s">
        <v>4691</v>
      </c>
      <c r="G1485" s="9" t="s">
        <v>144</v>
      </c>
      <c r="H1485" s="7" t="s">
        <v>730</v>
      </c>
      <c r="I1485" s="7" t="s">
        <v>146</v>
      </c>
      <c r="J1485" s="10">
        <v>45955.0</v>
      </c>
      <c r="K1485" s="8" t="s">
        <v>22</v>
      </c>
      <c r="L1485" s="7">
        <v>4.0</v>
      </c>
      <c r="M1485" s="7" t="s">
        <v>152</v>
      </c>
      <c r="N1485" s="13" t="s">
        <v>4874</v>
      </c>
      <c r="O1485" s="15" t="s">
        <v>4875</v>
      </c>
    </row>
    <row r="1486">
      <c r="A1486" s="5">
        <v>1757.0</v>
      </c>
      <c r="B1486" s="6">
        <v>45999.897118333334</v>
      </c>
      <c r="C1486" s="7" t="s">
        <v>125</v>
      </c>
      <c r="D1486" s="8" t="s">
        <v>4690</v>
      </c>
      <c r="E1486" s="8" t="s">
        <v>547</v>
      </c>
      <c r="F1486" s="7" t="s">
        <v>4691</v>
      </c>
      <c r="G1486" s="9" t="s">
        <v>209</v>
      </c>
      <c r="H1486" s="7" t="s">
        <v>4876</v>
      </c>
      <c r="I1486" s="7" t="s">
        <v>3248</v>
      </c>
      <c r="J1486" s="10">
        <v>45950.0</v>
      </c>
      <c r="K1486" s="8" t="s">
        <v>2659</v>
      </c>
      <c r="L1486" s="7">
        <v>1.0</v>
      </c>
      <c r="M1486" s="7" t="s">
        <v>152</v>
      </c>
      <c r="N1486" s="13" t="s">
        <v>4877</v>
      </c>
      <c r="O1486" s="15" t="s">
        <v>4878</v>
      </c>
    </row>
    <row r="1487">
      <c r="A1487" s="5">
        <v>1760.0</v>
      </c>
      <c r="B1487" s="6">
        <v>45999.89969363426</v>
      </c>
      <c r="C1487" s="7" t="s">
        <v>760</v>
      </c>
      <c r="D1487" s="8" t="s">
        <v>4879</v>
      </c>
      <c r="E1487" s="8" t="s">
        <v>3024</v>
      </c>
      <c r="F1487" s="7" t="s">
        <v>4880</v>
      </c>
      <c r="G1487" s="9" t="s">
        <v>181</v>
      </c>
      <c r="H1487" s="7" t="s">
        <v>895</v>
      </c>
      <c r="I1487" s="7" t="s">
        <v>231</v>
      </c>
      <c r="J1487" s="10">
        <v>45950.0</v>
      </c>
      <c r="K1487" s="8" t="s">
        <v>4065</v>
      </c>
      <c r="L1487" s="7">
        <v>1.0</v>
      </c>
      <c r="M1487" s="7" t="s">
        <v>33</v>
      </c>
      <c r="N1487" s="13" t="s">
        <v>4881</v>
      </c>
      <c r="O1487" s="15" t="s">
        <v>4882</v>
      </c>
    </row>
    <row r="1488">
      <c r="A1488" s="5">
        <v>1761.0</v>
      </c>
      <c r="B1488" s="6">
        <v>45999.899826423614</v>
      </c>
      <c r="C1488" s="7" t="s">
        <v>125</v>
      </c>
      <c r="D1488" s="8" t="s">
        <v>4883</v>
      </c>
      <c r="E1488" s="8" t="s">
        <v>679</v>
      </c>
      <c r="F1488" s="7" t="s">
        <v>4884</v>
      </c>
      <c r="G1488" s="9" t="s">
        <v>84</v>
      </c>
      <c r="H1488" s="7" t="s">
        <v>455</v>
      </c>
      <c r="I1488" s="7" t="s">
        <v>1192</v>
      </c>
      <c r="J1488" s="10">
        <v>45990.0</v>
      </c>
      <c r="K1488" s="8" t="s">
        <v>2961</v>
      </c>
      <c r="L1488" s="7">
        <v>8.0</v>
      </c>
      <c r="M1488" s="7" t="s">
        <v>4885</v>
      </c>
      <c r="N1488" s="13" t="s">
        <v>4886</v>
      </c>
      <c r="O1488" s="15" t="s">
        <v>4887</v>
      </c>
    </row>
    <row r="1489">
      <c r="A1489" s="5">
        <v>1762.0</v>
      </c>
      <c r="B1489" s="6">
        <v>45999.90075850695</v>
      </c>
      <c r="C1489" s="7" t="s">
        <v>125</v>
      </c>
      <c r="D1489" s="8" t="s">
        <v>4888</v>
      </c>
      <c r="E1489" s="8" t="s">
        <v>214</v>
      </c>
      <c r="F1489" s="7" t="s">
        <v>4889</v>
      </c>
      <c r="G1489" s="9" t="s">
        <v>19</v>
      </c>
      <c r="H1489" s="7" t="s">
        <v>173</v>
      </c>
      <c r="I1489" s="7" t="s">
        <v>174</v>
      </c>
      <c r="J1489" s="10">
        <v>45854.0</v>
      </c>
      <c r="K1489" s="8" t="s">
        <v>175</v>
      </c>
      <c r="L1489" s="7">
        <v>6.0</v>
      </c>
      <c r="M1489" s="7" t="s">
        <v>106</v>
      </c>
      <c r="N1489" s="13" t="s">
        <v>4890</v>
      </c>
      <c r="O1489" s="15" t="s">
        <v>4891</v>
      </c>
    </row>
    <row r="1490">
      <c r="A1490" s="5">
        <v>1764.0</v>
      </c>
      <c r="B1490" s="6">
        <v>45999.901616620366</v>
      </c>
      <c r="C1490" s="7" t="s">
        <v>760</v>
      </c>
      <c r="D1490" s="8" t="s">
        <v>791</v>
      </c>
      <c r="E1490" s="8" t="s">
        <v>164</v>
      </c>
      <c r="F1490" s="7" t="s">
        <v>792</v>
      </c>
      <c r="G1490" s="9" t="s">
        <v>181</v>
      </c>
      <c r="H1490" s="7" t="s">
        <v>895</v>
      </c>
      <c r="I1490" s="7" t="s">
        <v>231</v>
      </c>
      <c r="J1490" s="10">
        <v>45950.0</v>
      </c>
      <c r="K1490" s="8" t="s">
        <v>4863</v>
      </c>
      <c r="L1490" s="7">
        <v>1.0</v>
      </c>
      <c r="M1490" s="7" t="s">
        <v>33</v>
      </c>
      <c r="N1490" s="13" t="s">
        <v>4892</v>
      </c>
      <c r="O1490" s="15" t="s">
        <v>4893</v>
      </c>
    </row>
    <row r="1491">
      <c r="A1491" s="5">
        <v>1765.0</v>
      </c>
      <c r="B1491" s="6">
        <v>45999.90221186343</v>
      </c>
      <c r="C1491" s="7" t="s">
        <v>125</v>
      </c>
      <c r="D1491" s="8" t="s">
        <v>4883</v>
      </c>
      <c r="E1491" s="8" t="s">
        <v>679</v>
      </c>
      <c r="F1491" s="7" t="s">
        <v>4884</v>
      </c>
      <c r="G1491" s="9" t="s">
        <v>19</v>
      </c>
      <c r="H1491" s="7" t="s">
        <v>4894</v>
      </c>
      <c r="I1491" s="7" t="s">
        <v>4527</v>
      </c>
      <c r="J1491" s="10">
        <v>45854.0</v>
      </c>
      <c r="K1491" s="8" t="s">
        <v>2769</v>
      </c>
      <c r="L1491" s="7">
        <v>6.0</v>
      </c>
      <c r="M1491" s="7" t="s">
        <v>106</v>
      </c>
      <c r="N1491" s="13" t="s">
        <v>4895</v>
      </c>
      <c r="O1491" s="15" t="s">
        <v>4896</v>
      </c>
    </row>
    <row r="1492">
      <c r="A1492" s="5">
        <v>1766.0</v>
      </c>
      <c r="B1492" s="6">
        <v>45999.903056145835</v>
      </c>
      <c r="C1492" s="7" t="s">
        <v>125</v>
      </c>
      <c r="D1492" s="8" t="s">
        <v>1676</v>
      </c>
      <c r="E1492" s="8" t="s">
        <v>440</v>
      </c>
      <c r="F1492" s="7" t="s">
        <v>1677</v>
      </c>
      <c r="G1492" s="9" t="s">
        <v>19</v>
      </c>
      <c r="H1492" s="7" t="s">
        <v>4897</v>
      </c>
      <c r="I1492" s="7" t="s">
        <v>4527</v>
      </c>
      <c r="J1492" s="10">
        <v>45854.0</v>
      </c>
      <c r="K1492" s="8" t="s">
        <v>2769</v>
      </c>
      <c r="L1492" s="7">
        <v>6.0</v>
      </c>
      <c r="M1492" s="7" t="s">
        <v>106</v>
      </c>
      <c r="N1492" s="13" t="s">
        <v>4898</v>
      </c>
      <c r="O1492" s="15" t="s">
        <v>4899</v>
      </c>
    </row>
    <row r="1493">
      <c r="A1493" s="5">
        <v>1768.0</v>
      </c>
      <c r="B1493" s="6">
        <v>45999.90401662037</v>
      </c>
      <c r="C1493" s="7" t="s">
        <v>125</v>
      </c>
      <c r="D1493" s="8" t="s">
        <v>198</v>
      </c>
      <c r="E1493" s="8" t="s">
        <v>199</v>
      </c>
      <c r="F1493" s="7" t="s">
        <v>4900</v>
      </c>
      <c r="G1493" s="9" t="s">
        <v>144</v>
      </c>
      <c r="H1493" s="7" t="s">
        <v>365</v>
      </c>
      <c r="I1493" s="7" t="s">
        <v>366</v>
      </c>
      <c r="J1493" s="10">
        <v>45942.0</v>
      </c>
      <c r="K1493" s="8" t="s">
        <v>1468</v>
      </c>
      <c r="L1493" s="7">
        <v>4.0</v>
      </c>
      <c r="M1493" s="7" t="s">
        <v>367</v>
      </c>
      <c r="N1493" s="13" t="s">
        <v>4901</v>
      </c>
      <c r="O1493" s="23"/>
    </row>
    <row r="1494">
      <c r="A1494" s="5">
        <v>1770.0</v>
      </c>
      <c r="B1494" s="6">
        <v>45999.90511255787</v>
      </c>
      <c r="C1494" s="7" t="s">
        <v>760</v>
      </c>
      <c r="D1494" s="8" t="s">
        <v>4831</v>
      </c>
      <c r="E1494" s="8" t="s">
        <v>248</v>
      </c>
      <c r="F1494" s="7" t="s">
        <v>4832</v>
      </c>
      <c r="G1494" s="9" t="s">
        <v>181</v>
      </c>
      <c r="H1494" s="7" t="s">
        <v>895</v>
      </c>
      <c r="I1494" s="7" t="s">
        <v>231</v>
      </c>
      <c r="J1494" s="10">
        <v>45953.0</v>
      </c>
      <c r="K1494" s="8" t="s">
        <v>4854</v>
      </c>
      <c r="L1494" s="7">
        <v>1.0</v>
      </c>
      <c r="M1494" s="7" t="s">
        <v>33</v>
      </c>
      <c r="N1494" s="13" t="s">
        <v>4902</v>
      </c>
      <c r="O1494" s="15" t="s">
        <v>4903</v>
      </c>
    </row>
    <row r="1495">
      <c r="A1495" s="5">
        <v>1771.0</v>
      </c>
      <c r="B1495" s="6">
        <v>45999.90602541667</v>
      </c>
      <c r="C1495" s="7" t="s">
        <v>125</v>
      </c>
      <c r="D1495" s="8" t="s">
        <v>4883</v>
      </c>
      <c r="E1495" s="8" t="s">
        <v>679</v>
      </c>
      <c r="F1495" s="7" t="s">
        <v>4884</v>
      </c>
      <c r="G1495" s="9" t="s">
        <v>159</v>
      </c>
      <c r="H1495" s="7" t="s">
        <v>4904</v>
      </c>
      <c r="I1495" s="7" t="s">
        <v>4905</v>
      </c>
      <c r="J1495" s="10">
        <v>45955.0</v>
      </c>
      <c r="K1495" s="8" t="s">
        <v>1538</v>
      </c>
      <c r="L1495" s="7">
        <v>4.0</v>
      </c>
      <c r="M1495" s="7" t="s">
        <v>1823</v>
      </c>
      <c r="N1495" s="13" t="s">
        <v>4906</v>
      </c>
      <c r="O1495" s="15" t="s">
        <v>4907</v>
      </c>
    </row>
    <row r="1496">
      <c r="A1496" s="5">
        <v>1773.0</v>
      </c>
      <c r="B1496" s="6">
        <v>45999.90646915509</v>
      </c>
      <c r="C1496" s="7" t="s">
        <v>125</v>
      </c>
      <c r="D1496" s="8" t="s">
        <v>4691</v>
      </c>
      <c r="E1496" s="8" t="s">
        <v>547</v>
      </c>
      <c r="F1496" s="7" t="s">
        <v>4691</v>
      </c>
      <c r="G1496" s="9" t="s">
        <v>159</v>
      </c>
      <c r="H1496" s="7" t="s">
        <v>4908</v>
      </c>
      <c r="I1496" s="7" t="s">
        <v>4909</v>
      </c>
      <c r="J1496" s="10">
        <v>45951.0</v>
      </c>
      <c r="K1496" s="8" t="s">
        <v>499</v>
      </c>
      <c r="L1496" s="7">
        <v>5.0</v>
      </c>
      <c r="M1496" s="7" t="s">
        <v>152</v>
      </c>
      <c r="N1496" s="13" t="s">
        <v>4910</v>
      </c>
      <c r="O1496" s="15" t="s">
        <v>4911</v>
      </c>
    </row>
    <row r="1497">
      <c r="A1497" s="5">
        <v>1774.0</v>
      </c>
      <c r="B1497" s="6">
        <v>45999.90661070602</v>
      </c>
      <c r="C1497" s="7" t="s">
        <v>760</v>
      </c>
      <c r="D1497" s="8" t="s">
        <v>4879</v>
      </c>
      <c r="E1497" s="8" t="s">
        <v>3024</v>
      </c>
      <c r="F1497" s="7" t="s">
        <v>4880</v>
      </c>
      <c r="G1497" s="9" t="s">
        <v>209</v>
      </c>
      <c r="H1497" s="7" t="s">
        <v>2900</v>
      </c>
      <c r="I1497" s="7" t="s">
        <v>4912</v>
      </c>
      <c r="J1497" s="10">
        <v>45997.0</v>
      </c>
      <c r="K1497" s="8" t="s">
        <v>602</v>
      </c>
      <c r="L1497" s="7">
        <v>4.0</v>
      </c>
      <c r="M1497" s="7" t="s">
        <v>4913</v>
      </c>
      <c r="N1497" s="13" t="s">
        <v>4914</v>
      </c>
      <c r="O1497" s="15" t="s">
        <v>4915</v>
      </c>
    </row>
    <row r="1498">
      <c r="A1498" s="5">
        <v>1776.0</v>
      </c>
      <c r="B1498" s="6">
        <v>45999.90774418981</v>
      </c>
      <c r="C1498" s="7" t="s">
        <v>125</v>
      </c>
      <c r="D1498" s="8" t="s">
        <v>4916</v>
      </c>
      <c r="E1498" s="8" t="s">
        <v>781</v>
      </c>
      <c r="F1498" s="7" t="s">
        <v>4917</v>
      </c>
      <c r="G1498" s="9" t="s">
        <v>144</v>
      </c>
      <c r="H1498" s="7" t="s">
        <v>150</v>
      </c>
      <c r="I1498" s="7" t="s">
        <v>4918</v>
      </c>
      <c r="J1498" s="10">
        <v>45948.0</v>
      </c>
      <c r="K1498" s="8" t="s">
        <v>22</v>
      </c>
      <c r="L1498" s="7">
        <v>4.0</v>
      </c>
      <c r="M1498" s="7" t="s">
        <v>3276</v>
      </c>
      <c r="N1498" s="13" t="s">
        <v>4919</v>
      </c>
      <c r="O1498" s="15" t="s">
        <v>4920</v>
      </c>
    </row>
    <row r="1499">
      <c r="A1499" s="5">
        <v>1777.0</v>
      </c>
      <c r="B1499" s="6">
        <v>45999.90794065972</v>
      </c>
      <c r="C1499" s="7" t="s">
        <v>760</v>
      </c>
      <c r="D1499" s="8" t="s">
        <v>1763</v>
      </c>
      <c r="E1499" s="8" t="s">
        <v>1764</v>
      </c>
      <c r="F1499" s="7" t="s">
        <v>1765</v>
      </c>
      <c r="G1499" s="9" t="s">
        <v>181</v>
      </c>
      <c r="H1499" s="7" t="s">
        <v>4921</v>
      </c>
      <c r="I1499" s="7" t="s">
        <v>314</v>
      </c>
      <c r="J1499" s="10">
        <v>45999.0</v>
      </c>
      <c r="K1499" s="8" t="s">
        <v>4922</v>
      </c>
      <c r="L1499" s="7">
        <v>2.0</v>
      </c>
      <c r="M1499" s="7" t="s">
        <v>4923</v>
      </c>
      <c r="N1499" s="13" t="s">
        <v>4924</v>
      </c>
      <c r="O1499" s="15" t="s">
        <v>4925</v>
      </c>
    </row>
    <row r="1500">
      <c r="A1500" s="5">
        <v>1778.0</v>
      </c>
      <c r="B1500" s="6">
        <v>45999.90888747685</v>
      </c>
      <c r="C1500" s="7" t="s">
        <v>760</v>
      </c>
      <c r="D1500" s="8" t="s">
        <v>3369</v>
      </c>
      <c r="E1500" s="8" t="s">
        <v>1948</v>
      </c>
      <c r="F1500" s="7" t="s">
        <v>3370</v>
      </c>
      <c r="G1500" s="9" t="s">
        <v>209</v>
      </c>
      <c r="H1500" s="7" t="s">
        <v>851</v>
      </c>
      <c r="I1500" s="7" t="s">
        <v>825</v>
      </c>
      <c r="J1500" s="10">
        <v>45969.0</v>
      </c>
      <c r="K1500" s="8" t="s">
        <v>657</v>
      </c>
      <c r="L1500" s="7">
        <v>4.0</v>
      </c>
      <c r="M1500" s="7" t="s">
        <v>4926</v>
      </c>
      <c r="N1500" s="13" t="s">
        <v>4927</v>
      </c>
      <c r="O1500" s="15" t="s">
        <v>4928</v>
      </c>
    </row>
    <row r="1501">
      <c r="A1501" s="5">
        <v>1779.0</v>
      </c>
      <c r="B1501" s="6">
        <v>45999.90907692129</v>
      </c>
      <c r="C1501" s="7" t="s">
        <v>125</v>
      </c>
      <c r="D1501" s="8" t="s">
        <v>4690</v>
      </c>
      <c r="E1501" s="8" t="s">
        <v>547</v>
      </c>
      <c r="F1501" s="7" t="s">
        <v>4691</v>
      </c>
      <c r="G1501" s="9" t="s">
        <v>144</v>
      </c>
      <c r="H1501" s="7" t="s">
        <v>4929</v>
      </c>
      <c r="I1501" s="7" t="s">
        <v>146</v>
      </c>
      <c r="J1501" s="10">
        <v>45956.0</v>
      </c>
      <c r="K1501" s="8" t="s">
        <v>22</v>
      </c>
      <c r="L1501" s="7">
        <v>4.0</v>
      </c>
      <c r="M1501" s="7" t="s">
        <v>152</v>
      </c>
      <c r="N1501" s="13" t="s">
        <v>4930</v>
      </c>
      <c r="O1501" s="15" t="s">
        <v>4931</v>
      </c>
    </row>
    <row r="1502">
      <c r="A1502" s="5">
        <v>1780.0</v>
      </c>
      <c r="B1502" s="6">
        <v>45999.90950380787</v>
      </c>
      <c r="C1502" s="7" t="s">
        <v>760</v>
      </c>
      <c r="D1502" s="8" t="s">
        <v>4879</v>
      </c>
      <c r="E1502" s="8" t="s">
        <v>3024</v>
      </c>
      <c r="F1502" s="7" t="s">
        <v>4880</v>
      </c>
      <c r="G1502" s="9" t="s">
        <v>209</v>
      </c>
      <c r="H1502" s="7" t="s">
        <v>2900</v>
      </c>
      <c r="I1502" s="7" t="s">
        <v>4932</v>
      </c>
      <c r="J1502" s="10">
        <v>45998.0</v>
      </c>
      <c r="K1502" s="8" t="s">
        <v>4933</v>
      </c>
      <c r="L1502" s="7">
        <v>4.0</v>
      </c>
      <c r="M1502" s="7" t="s">
        <v>4913</v>
      </c>
      <c r="N1502" s="13" t="s">
        <v>4934</v>
      </c>
      <c r="O1502" s="15" t="s">
        <v>4935</v>
      </c>
    </row>
    <row r="1503">
      <c r="A1503" s="5">
        <v>1781.0</v>
      </c>
      <c r="B1503" s="6">
        <v>45999.910081608796</v>
      </c>
      <c r="C1503" s="7" t="s">
        <v>125</v>
      </c>
      <c r="D1503" s="8" t="s">
        <v>4883</v>
      </c>
      <c r="E1503" s="8" t="s">
        <v>679</v>
      </c>
      <c r="F1503" s="7" t="s">
        <v>4884</v>
      </c>
      <c r="G1503" s="9" t="s">
        <v>209</v>
      </c>
      <c r="H1503" s="7" t="s">
        <v>1491</v>
      </c>
      <c r="I1503" s="7" t="s">
        <v>1856</v>
      </c>
      <c r="J1503" s="10">
        <v>45956.0</v>
      </c>
      <c r="K1503" s="8" t="s">
        <v>1458</v>
      </c>
      <c r="L1503" s="7">
        <v>1.0</v>
      </c>
      <c r="M1503" s="7" t="s">
        <v>1823</v>
      </c>
      <c r="N1503" s="13" t="s">
        <v>4936</v>
      </c>
      <c r="O1503" s="15" t="s">
        <v>4937</v>
      </c>
    </row>
    <row r="1504">
      <c r="A1504" s="5"/>
      <c r="B1504" s="6"/>
      <c r="C1504" s="7"/>
      <c r="D1504" s="7"/>
      <c r="E1504" s="7"/>
      <c r="F1504" s="7"/>
      <c r="G1504" s="9"/>
      <c r="H1504" s="7"/>
      <c r="I1504" s="7"/>
      <c r="J1504" s="10"/>
      <c r="K1504" s="7"/>
      <c r="L1504" s="7"/>
      <c r="M1504" s="7"/>
      <c r="N1504" s="7"/>
      <c r="O1504" s="15" t="s">
        <v>4938</v>
      </c>
    </row>
    <row r="1505">
      <c r="A1505" s="5">
        <v>1783.0</v>
      </c>
      <c r="B1505" s="6">
        <v>45999.91057474537</v>
      </c>
      <c r="C1505" s="7" t="s">
        <v>125</v>
      </c>
      <c r="D1505" s="8" t="s">
        <v>4916</v>
      </c>
      <c r="E1505" s="8" t="s">
        <v>781</v>
      </c>
      <c r="F1505" s="7" t="s">
        <v>4917</v>
      </c>
      <c r="G1505" s="9" t="s">
        <v>159</v>
      </c>
      <c r="H1505" s="7" t="s">
        <v>4939</v>
      </c>
      <c r="I1505" s="7" t="s">
        <v>205</v>
      </c>
      <c r="J1505" s="10">
        <v>45950.0</v>
      </c>
      <c r="K1505" s="8" t="s">
        <v>732</v>
      </c>
      <c r="L1505" s="7">
        <v>2.0</v>
      </c>
      <c r="M1505" s="7" t="s">
        <v>147</v>
      </c>
      <c r="N1505" s="13" t="s">
        <v>4940</v>
      </c>
      <c r="O1505" s="23"/>
    </row>
    <row r="1506">
      <c r="A1506" s="5">
        <v>1785.0</v>
      </c>
      <c r="B1506" s="6">
        <v>45999.91189530093</v>
      </c>
      <c r="C1506" s="7" t="s">
        <v>760</v>
      </c>
      <c r="D1506" s="8" t="s">
        <v>2692</v>
      </c>
      <c r="E1506" s="8" t="s">
        <v>1248</v>
      </c>
      <c r="F1506" s="7" t="s">
        <v>2693</v>
      </c>
      <c r="G1506" s="9" t="s">
        <v>181</v>
      </c>
      <c r="H1506" s="7" t="s">
        <v>4941</v>
      </c>
      <c r="I1506" s="7" t="s">
        <v>314</v>
      </c>
      <c r="J1506" s="10">
        <v>45967.0</v>
      </c>
      <c r="K1506" s="8" t="s">
        <v>49</v>
      </c>
      <c r="L1506" s="7">
        <v>4.0</v>
      </c>
      <c r="M1506" s="7" t="s">
        <v>1564</v>
      </c>
      <c r="N1506" s="13" t="s">
        <v>4942</v>
      </c>
      <c r="O1506" s="15" t="s">
        <v>4943</v>
      </c>
    </row>
    <row r="1507">
      <c r="A1507" s="5">
        <v>1786.0</v>
      </c>
      <c r="B1507" s="6">
        <v>45999.9119765625</v>
      </c>
      <c r="C1507" s="7" t="s">
        <v>125</v>
      </c>
      <c r="D1507" s="8" t="s">
        <v>4883</v>
      </c>
      <c r="E1507" s="8" t="s">
        <v>679</v>
      </c>
      <c r="F1507" s="7" t="s">
        <v>4884</v>
      </c>
      <c r="G1507" s="9" t="s">
        <v>144</v>
      </c>
      <c r="H1507" s="7" t="s">
        <v>730</v>
      </c>
      <c r="I1507" s="7" t="s">
        <v>2997</v>
      </c>
      <c r="J1507" s="10">
        <v>45954.0</v>
      </c>
      <c r="K1507" s="8" t="s">
        <v>4944</v>
      </c>
      <c r="L1507" s="7">
        <v>7.0</v>
      </c>
      <c r="M1507" s="7" t="s">
        <v>1823</v>
      </c>
      <c r="N1507" s="13" t="s">
        <v>4945</v>
      </c>
      <c r="O1507" s="15" t="s">
        <v>4946</v>
      </c>
    </row>
    <row r="1508">
      <c r="A1508" s="5">
        <v>1788.0</v>
      </c>
      <c r="B1508" s="6">
        <v>45999.91275877315</v>
      </c>
      <c r="C1508" s="7" t="s">
        <v>125</v>
      </c>
      <c r="D1508" s="8" t="s">
        <v>4916</v>
      </c>
      <c r="E1508" s="8" t="s">
        <v>781</v>
      </c>
      <c r="F1508" s="7" t="s">
        <v>4917</v>
      </c>
      <c r="G1508" s="9" t="s">
        <v>159</v>
      </c>
      <c r="H1508" s="7" t="s">
        <v>4947</v>
      </c>
      <c r="I1508" s="7" t="s">
        <v>205</v>
      </c>
      <c r="J1508" s="10">
        <v>46012.0</v>
      </c>
      <c r="K1508" s="8" t="s">
        <v>499</v>
      </c>
      <c r="L1508" s="7">
        <v>5.0</v>
      </c>
      <c r="M1508" s="7" t="s">
        <v>147</v>
      </c>
      <c r="N1508" s="13" t="s">
        <v>4948</v>
      </c>
      <c r="O1508" s="23"/>
    </row>
    <row r="1509">
      <c r="A1509" s="5">
        <v>1790.0</v>
      </c>
      <c r="B1509" s="6">
        <v>45999.913238877314</v>
      </c>
      <c r="C1509" s="7" t="s">
        <v>125</v>
      </c>
      <c r="D1509" s="8" t="s">
        <v>4888</v>
      </c>
      <c r="E1509" s="8" t="s">
        <v>214</v>
      </c>
      <c r="F1509" s="7" t="s">
        <v>4889</v>
      </c>
      <c r="G1509" s="9" t="s">
        <v>144</v>
      </c>
      <c r="H1509" s="7" t="s">
        <v>4949</v>
      </c>
      <c r="I1509" s="7" t="s">
        <v>167</v>
      </c>
      <c r="J1509" s="10">
        <v>45966.0</v>
      </c>
      <c r="K1509" s="8" t="s">
        <v>22</v>
      </c>
      <c r="L1509" s="7">
        <v>4.0</v>
      </c>
      <c r="M1509" s="7" t="s">
        <v>1991</v>
      </c>
      <c r="N1509" s="13" t="s">
        <v>4950</v>
      </c>
      <c r="O1509" s="15" t="s">
        <v>4951</v>
      </c>
    </row>
    <row r="1510">
      <c r="A1510" s="5">
        <v>1792.0</v>
      </c>
      <c r="B1510" s="6">
        <v>45999.91560065972</v>
      </c>
      <c r="C1510" s="7" t="s">
        <v>760</v>
      </c>
      <c r="D1510" s="8" t="s">
        <v>1763</v>
      </c>
      <c r="E1510" s="8" t="s">
        <v>1764</v>
      </c>
      <c r="F1510" s="7" t="s">
        <v>1765</v>
      </c>
      <c r="G1510" s="9" t="s">
        <v>415</v>
      </c>
      <c r="H1510" s="7" t="s">
        <v>2983</v>
      </c>
      <c r="I1510" s="7" t="s">
        <v>314</v>
      </c>
      <c r="J1510" s="10">
        <v>45981.0</v>
      </c>
      <c r="K1510" s="8" t="s">
        <v>232</v>
      </c>
      <c r="L1510" s="7">
        <v>1.0</v>
      </c>
      <c r="M1510" s="7" t="s">
        <v>314</v>
      </c>
      <c r="N1510" s="13" t="s">
        <v>4952</v>
      </c>
      <c r="O1510" s="15" t="s">
        <v>4953</v>
      </c>
    </row>
    <row r="1511">
      <c r="A1511" s="5">
        <v>1793.0</v>
      </c>
      <c r="B1511" s="6">
        <v>45999.915725162035</v>
      </c>
      <c r="C1511" s="7" t="s">
        <v>125</v>
      </c>
      <c r="D1511" s="8" t="s">
        <v>4888</v>
      </c>
      <c r="E1511" s="8" t="s">
        <v>214</v>
      </c>
      <c r="F1511" s="7" t="s">
        <v>4889</v>
      </c>
      <c r="G1511" s="9" t="s">
        <v>159</v>
      </c>
      <c r="H1511" s="7" t="s">
        <v>345</v>
      </c>
      <c r="I1511" s="7" t="s">
        <v>190</v>
      </c>
      <c r="J1511" s="10">
        <v>45956.0</v>
      </c>
      <c r="K1511" s="8" t="s">
        <v>1574</v>
      </c>
      <c r="L1511" s="7">
        <v>5.0</v>
      </c>
      <c r="M1511" s="7" t="s">
        <v>1991</v>
      </c>
      <c r="N1511" s="13" t="s">
        <v>4954</v>
      </c>
      <c r="O1511" s="15" t="s">
        <v>4955</v>
      </c>
    </row>
    <row r="1512">
      <c r="A1512" s="5">
        <v>1795.0</v>
      </c>
      <c r="B1512" s="6">
        <v>45999.917541840274</v>
      </c>
      <c r="C1512" s="7" t="s">
        <v>125</v>
      </c>
      <c r="D1512" s="8" t="s">
        <v>4916</v>
      </c>
      <c r="E1512" s="8" t="s">
        <v>781</v>
      </c>
      <c r="F1512" s="7" t="s">
        <v>4917</v>
      </c>
      <c r="G1512" s="9" t="s">
        <v>159</v>
      </c>
      <c r="H1512" s="7" t="s">
        <v>4947</v>
      </c>
      <c r="I1512" s="7" t="s">
        <v>205</v>
      </c>
      <c r="J1512" s="10">
        <v>45951.0</v>
      </c>
      <c r="K1512" s="8" t="s">
        <v>499</v>
      </c>
      <c r="L1512" s="7">
        <v>5.0</v>
      </c>
      <c r="M1512" s="7" t="s">
        <v>147</v>
      </c>
      <c r="N1512" s="13" t="s">
        <v>4956</v>
      </c>
      <c r="O1512" s="15" t="s">
        <v>4957</v>
      </c>
    </row>
    <row r="1513">
      <c r="A1513" s="5">
        <v>1796.0</v>
      </c>
      <c r="B1513" s="6">
        <v>45999.9182343287</v>
      </c>
      <c r="C1513" s="7" t="s">
        <v>760</v>
      </c>
      <c r="D1513" s="8" t="s">
        <v>4879</v>
      </c>
      <c r="E1513" s="8" t="s">
        <v>3024</v>
      </c>
      <c r="F1513" s="7" t="s">
        <v>4880</v>
      </c>
      <c r="G1513" s="9" t="s">
        <v>19</v>
      </c>
      <c r="H1513" s="7" t="s">
        <v>4480</v>
      </c>
      <c r="I1513" s="7" t="s">
        <v>4958</v>
      </c>
      <c r="J1513" s="10">
        <v>46002.0</v>
      </c>
      <c r="K1513" s="8" t="s">
        <v>2961</v>
      </c>
      <c r="L1513" s="7">
        <v>8.0</v>
      </c>
      <c r="M1513" s="7" t="s">
        <v>1325</v>
      </c>
      <c r="N1513" s="13" t="s">
        <v>4959</v>
      </c>
      <c r="O1513" s="15" t="s">
        <v>4960</v>
      </c>
    </row>
    <row r="1514">
      <c r="A1514" s="5">
        <v>1797.0</v>
      </c>
      <c r="B1514" s="6">
        <v>45999.91995502315</v>
      </c>
      <c r="C1514" s="7" t="s">
        <v>125</v>
      </c>
      <c r="D1514" s="8" t="s">
        <v>4916</v>
      </c>
      <c r="E1514" s="8" t="s">
        <v>781</v>
      </c>
      <c r="F1514" s="7" t="s">
        <v>4917</v>
      </c>
      <c r="G1514" s="9" t="s">
        <v>159</v>
      </c>
      <c r="H1514" s="7" t="s">
        <v>4939</v>
      </c>
      <c r="I1514" s="7" t="s">
        <v>205</v>
      </c>
      <c r="J1514" s="10">
        <v>45950.0</v>
      </c>
      <c r="K1514" s="8" t="s">
        <v>732</v>
      </c>
      <c r="L1514" s="7">
        <v>2.0</v>
      </c>
      <c r="M1514" s="7" t="s">
        <v>147</v>
      </c>
      <c r="N1514" s="13" t="s">
        <v>4961</v>
      </c>
      <c r="O1514" s="15" t="s">
        <v>4962</v>
      </c>
    </row>
    <row r="1515">
      <c r="A1515" s="5">
        <v>1798.0</v>
      </c>
      <c r="B1515" s="6">
        <v>45999.92020178241</v>
      </c>
      <c r="C1515" s="7" t="s">
        <v>125</v>
      </c>
      <c r="D1515" s="8" t="s">
        <v>4888</v>
      </c>
      <c r="E1515" s="8" t="s">
        <v>214</v>
      </c>
      <c r="F1515" s="7" t="s">
        <v>4889</v>
      </c>
      <c r="G1515" s="9" t="s">
        <v>159</v>
      </c>
      <c r="H1515" s="7" t="s">
        <v>4963</v>
      </c>
      <c r="I1515" s="7" t="s">
        <v>167</v>
      </c>
      <c r="J1515" s="10">
        <v>45940.0</v>
      </c>
      <c r="K1515" s="8" t="s">
        <v>582</v>
      </c>
      <c r="L1515" s="7">
        <v>2.0</v>
      </c>
      <c r="M1515" s="7" t="s">
        <v>1991</v>
      </c>
      <c r="N1515" s="13" t="s">
        <v>4964</v>
      </c>
      <c r="O1515" s="15" t="s">
        <v>4965</v>
      </c>
    </row>
    <row r="1516">
      <c r="A1516" s="5">
        <v>1800.0</v>
      </c>
      <c r="B1516" s="6">
        <v>45999.922460208334</v>
      </c>
      <c r="C1516" s="7" t="s">
        <v>125</v>
      </c>
      <c r="D1516" s="8" t="s">
        <v>4888</v>
      </c>
      <c r="E1516" s="8" t="s">
        <v>214</v>
      </c>
      <c r="F1516" s="7" t="s">
        <v>4889</v>
      </c>
      <c r="G1516" s="9" t="s">
        <v>159</v>
      </c>
      <c r="H1516" s="7" t="s">
        <v>4963</v>
      </c>
      <c r="I1516" s="7" t="s">
        <v>167</v>
      </c>
      <c r="J1516" s="10">
        <v>45947.0</v>
      </c>
      <c r="K1516" s="8" t="s">
        <v>582</v>
      </c>
      <c r="L1516" s="7">
        <v>2.0</v>
      </c>
      <c r="M1516" s="7" t="s">
        <v>1991</v>
      </c>
      <c r="N1516" s="13" t="s">
        <v>4966</v>
      </c>
      <c r="O1516" s="15" t="s">
        <v>4967</v>
      </c>
    </row>
    <row r="1517">
      <c r="A1517" s="5">
        <v>1801.0</v>
      </c>
      <c r="B1517" s="6">
        <v>45999.922558680555</v>
      </c>
      <c r="C1517" s="7" t="s">
        <v>125</v>
      </c>
      <c r="D1517" s="8" t="s">
        <v>1897</v>
      </c>
      <c r="E1517" s="8" t="s">
        <v>1596</v>
      </c>
      <c r="F1517" s="7" t="s">
        <v>1898</v>
      </c>
      <c r="G1517" s="9" t="s">
        <v>181</v>
      </c>
      <c r="H1517" s="7" t="s">
        <v>4968</v>
      </c>
      <c r="I1517" s="7" t="s">
        <v>4969</v>
      </c>
      <c r="J1517" s="10">
        <v>45876.0</v>
      </c>
      <c r="K1517" s="8" t="s">
        <v>518</v>
      </c>
      <c r="L1517" s="7">
        <v>2.0</v>
      </c>
      <c r="M1517" s="7" t="s">
        <v>87</v>
      </c>
      <c r="N1517" s="13" t="s">
        <v>4970</v>
      </c>
      <c r="O1517" s="23"/>
    </row>
    <row r="1518">
      <c r="A1518" s="5">
        <v>1802.0</v>
      </c>
      <c r="B1518" s="6">
        <v>45999.9225909375</v>
      </c>
      <c r="C1518" s="7" t="s">
        <v>760</v>
      </c>
      <c r="D1518" s="8" t="s">
        <v>1763</v>
      </c>
      <c r="E1518" s="8" t="s">
        <v>1764</v>
      </c>
      <c r="F1518" s="7" t="s">
        <v>1765</v>
      </c>
      <c r="G1518" s="9" t="s">
        <v>415</v>
      </c>
      <c r="H1518" s="7" t="s">
        <v>730</v>
      </c>
      <c r="I1518" s="7" t="s">
        <v>4971</v>
      </c>
      <c r="J1518" s="10">
        <v>45990.0</v>
      </c>
      <c r="K1518" s="8" t="s">
        <v>3117</v>
      </c>
      <c r="L1518" s="7">
        <v>4.0</v>
      </c>
      <c r="M1518" s="7" t="s">
        <v>4972</v>
      </c>
      <c r="N1518" s="13" t="s">
        <v>4973</v>
      </c>
      <c r="O1518" s="15" t="s">
        <v>4974</v>
      </c>
    </row>
    <row r="1519">
      <c r="A1519" s="5">
        <v>1803.0</v>
      </c>
      <c r="B1519" s="6">
        <v>45999.92329972222</v>
      </c>
      <c r="C1519" s="7" t="s">
        <v>125</v>
      </c>
      <c r="D1519" s="8" t="s">
        <v>4690</v>
      </c>
      <c r="E1519" s="8" t="s">
        <v>547</v>
      </c>
      <c r="F1519" s="7" t="s">
        <v>4691</v>
      </c>
      <c r="G1519" s="9" t="s">
        <v>19</v>
      </c>
      <c r="H1519" s="7" t="s">
        <v>4975</v>
      </c>
      <c r="I1519" s="7" t="s">
        <v>174</v>
      </c>
      <c r="J1519" s="10">
        <v>45854.0</v>
      </c>
      <c r="K1519" s="8" t="s">
        <v>175</v>
      </c>
      <c r="L1519" s="7">
        <v>6.0</v>
      </c>
      <c r="M1519" s="7" t="s">
        <v>106</v>
      </c>
      <c r="N1519" s="7"/>
      <c r="O1519" s="23"/>
    </row>
    <row r="1520">
      <c r="A1520" s="5">
        <v>1803.0</v>
      </c>
      <c r="B1520" s="6">
        <v>45999.92330635416</v>
      </c>
      <c r="C1520" s="7" t="s">
        <v>760</v>
      </c>
      <c r="D1520" s="8" t="s">
        <v>4976</v>
      </c>
      <c r="E1520" s="8" t="s">
        <v>2338</v>
      </c>
      <c r="F1520" s="7" t="s">
        <v>4977</v>
      </c>
      <c r="G1520" s="9" t="s">
        <v>19</v>
      </c>
      <c r="H1520" s="7" t="s">
        <v>4978</v>
      </c>
      <c r="I1520" s="7" t="s">
        <v>4979</v>
      </c>
      <c r="J1520" s="10">
        <v>45889.0</v>
      </c>
      <c r="K1520" s="8" t="s">
        <v>417</v>
      </c>
      <c r="L1520" s="7">
        <v>4.0</v>
      </c>
      <c r="M1520" s="7" t="s">
        <v>33</v>
      </c>
      <c r="N1520" s="13" t="s">
        <v>4980</v>
      </c>
      <c r="O1520" s="15" t="s">
        <v>4981</v>
      </c>
    </row>
    <row r="1521">
      <c r="A1521" s="5">
        <v>1804.0</v>
      </c>
      <c r="B1521" s="6">
        <v>45999.92352287037</v>
      </c>
      <c r="C1521" s="7" t="s">
        <v>125</v>
      </c>
      <c r="D1521" s="8" t="s">
        <v>4888</v>
      </c>
      <c r="E1521" s="8" t="s">
        <v>214</v>
      </c>
      <c r="F1521" s="7" t="s">
        <v>4889</v>
      </c>
      <c r="G1521" s="9" t="s">
        <v>159</v>
      </c>
      <c r="H1521" s="7" t="s">
        <v>4963</v>
      </c>
      <c r="I1521" s="7" t="s">
        <v>167</v>
      </c>
      <c r="J1521" s="10">
        <v>45975.0</v>
      </c>
      <c r="K1521" s="8" t="s">
        <v>582</v>
      </c>
      <c r="L1521" s="7">
        <v>2.0</v>
      </c>
      <c r="M1521" s="7" t="s">
        <v>1991</v>
      </c>
      <c r="N1521" s="13" t="s">
        <v>4982</v>
      </c>
      <c r="O1521" s="15" t="s">
        <v>4983</v>
      </c>
    </row>
    <row r="1522">
      <c r="A1522" s="5">
        <v>1805.0</v>
      </c>
      <c r="B1522" s="6">
        <v>45999.92524416666</v>
      </c>
      <c r="C1522" s="7" t="s">
        <v>125</v>
      </c>
      <c r="D1522" s="8" t="s">
        <v>163</v>
      </c>
      <c r="E1522" s="8" t="s">
        <v>164</v>
      </c>
      <c r="F1522" s="7" t="s">
        <v>4984</v>
      </c>
      <c r="G1522" s="9" t="s">
        <v>19</v>
      </c>
      <c r="H1522" s="7" t="s">
        <v>4975</v>
      </c>
      <c r="I1522" s="7" t="s">
        <v>174</v>
      </c>
      <c r="J1522" s="10">
        <v>45854.0</v>
      </c>
      <c r="K1522" s="8" t="s">
        <v>175</v>
      </c>
      <c r="L1522" s="7">
        <v>6.0</v>
      </c>
      <c r="M1522" s="7" t="s">
        <v>175</v>
      </c>
      <c r="N1522" s="13" t="s">
        <v>4985</v>
      </c>
      <c r="O1522" s="15" t="s">
        <v>4986</v>
      </c>
    </row>
    <row r="1523">
      <c r="A1523" s="5">
        <v>1806.0</v>
      </c>
      <c r="B1523" s="6">
        <v>45999.92540092593</v>
      </c>
      <c r="C1523" s="7" t="s">
        <v>760</v>
      </c>
      <c r="D1523" s="8" t="s">
        <v>4879</v>
      </c>
      <c r="E1523" s="8" t="s">
        <v>3024</v>
      </c>
      <c r="F1523" s="7" t="s">
        <v>4880</v>
      </c>
      <c r="G1523" s="9" t="s">
        <v>181</v>
      </c>
      <c r="H1523" s="7" t="s">
        <v>4987</v>
      </c>
      <c r="I1523" s="7" t="s">
        <v>231</v>
      </c>
      <c r="J1523" s="10">
        <v>45928.0</v>
      </c>
      <c r="K1523" s="8" t="s">
        <v>1633</v>
      </c>
      <c r="L1523" s="7">
        <v>5.0</v>
      </c>
      <c r="M1523" s="7" t="s">
        <v>33</v>
      </c>
      <c r="N1523" s="13" t="s">
        <v>4988</v>
      </c>
      <c r="O1523" s="15" t="s">
        <v>4989</v>
      </c>
    </row>
    <row r="1524">
      <c r="A1524" s="5">
        <v>1807.0</v>
      </c>
      <c r="B1524" s="6">
        <v>45999.925564097226</v>
      </c>
      <c r="C1524" s="7" t="s">
        <v>125</v>
      </c>
      <c r="D1524" s="8" t="s">
        <v>4888</v>
      </c>
      <c r="E1524" s="8" t="s">
        <v>214</v>
      </c>
      <c r="F1524" s="7" t="s">
        <v>4889</v>
      </c>
      <c r="G1524" s="9" t="s">
        <v>144</v>
      </c>
      <c r="H1524" s="7" t="s">
        <v>605</v>
      </c>
      <c r="I1524" s="7" t="s">
        <v>167</v>
      </c>
      <c r="J1524" s="10">
        <v>45942.0</v>
      </c>
      <c r="K1524" s="8" t="s">
        <v>22</v>
      </c>
      <c r="L1524" s="7">
        <v>4.0</v>
      </c>
      <c r="M1524" s="7" t="s">
        <v>1991</v>
      </c>
      <c r="N1524" s="13" t="s">
        <v>4990</v>
      </c>
      <c r="O1524" s="15" t="s">
        <v>4991</v>
      </c>
    </row>
    <row r="1525">
      <c r="A1525" s="5">
        <v>1808.0</v>
      </c>
      <c r="B1525" s="6">
        <v>45999.929354733795</v>
      </c>
      <c r="C1525" s="7" t="s">
        <v>125</v>
      </c>
      <c r="D1525" s="8" t="s">
        <v>2569</v>
      </c>
      <c r="E1525" s="8" t="s">
        <v>1197</v>
      </c>
      <c r="F1525" s="7" t="s">
        <v>2570</v>
      </c>
      <c r="G1525" s="9" t="s">
        <v>209</v>
      </c>
      <c r="H1525" s="7" t="s">
        <v>4992</v>
      </c>
      <c r="I1525" s="7" t="s">
        <v>2997</v>
      </c>
      <c r="J1525" s="10">
        <v>45939.0</v>
      </c>
      <c r="K1525" s="8" t="s">
        <v>1421</v>
      </c>
      <c r="L1525" s="7">
        <v>2.0</v>
      </c>
      <c r="M1525" s="7" t="s">
        <v>1823</v>
      </c>
      <c r="N1525" s="13" t="s">
        <v>4993</v>
      </c>
      <c r="O1525" s="15" t="s">
        <v>4994</v>
      </c>
    </row>
    <row r="1526">
      <c r="A1526" s="5">
        <v>1809.0</v>
      </c>
      <c r="B1526" s="6">
        <v>45999.92962166667</v>
      </c>
      <c r="C1526" s="7" t="s">
        <v>125</v>
      </c>
      <c r="D1526" s="8" t="s">
        <v>2582</v>
      </c>
      <c r="E1526" s="8" t="s">
        <v>404</v>
      </c>
      <c r="F1526" s="7" t="s">
        <v>2583</v>
      </c>
      <c r="G1526" s="9" t="s">
        <v>209</v>
      </c>
      <c r="H1526" s="7" t="s">
        <v>4992</v>
      </c>
      <c r="I1526" s="7" t="s">
        <v>2997</v>
      </c>
      <c r="J1526" s="10">
        <v>45939.0</v>
      </c>
      <c r="K1526" s="8" t="s">
        <v>1421</v>
      </c>
      <c r="L1526" s="7">
        <v>2.0</v>
      </c>
      <c r="M1526" s="7" t="s">
        <v>1823</v>
      </c>
      <c r="N1526" s="13" t="s">
        <v>4995</v>
      </c>
      <c r="O1526" s="23"/>
    </row>
    <row r="1527">
      <c r="A1527" s="5">
        <v>1810.0</v>
      </c>
      <c r="B1527" s="6">
        <v>45999.92967099537</v>
      </c>
      <c r="C1527" s="7" t="s">
        <v>125</v>
      </c>
      <c r="D1527" s="8" t="s">
        <v>4690</v>
      </c>
      <c r="E1527" s="8" t="s">
        <v>547</v>
      </c>
      <c r="F1527" s="7" t="s">
        <v>4691</v>
      </c>
      <c r="G1527" s="9" t="s">
        <v>181</v>
      </c>
      <c r="H1527" s="7" t="s">
        <v>1850</v>
      </c>
      <c r="I1527" s="7" t="s">
        <v>2092</v>
      </c>
      <c r="J1527" s="10">
        <v>45876.0</v>
      </c>
      <c r="K1527" s="8" t="s">
        <v>582</v>
      </c>
      <c r="L1527" s="7">
        <v>2.0</v>
      </c>
      <c r="M1527" s="7" t="s">
        <v>33</v>
      </c>
      <c r="N1527" s="13" t="s">
        <v>4996</v>
      </c>
      <c r="O1527" s="15" t="s">
        <v>4997</v>
      </c>
    </row>
    <row r="1528">
      <c r="A1528" s="5">
        <v>1811.0</v>
      </c>
      <c r="B1528" s="6">
        <v>45999.932775787034</v>
      </c>
      <c r="C1528" s="7" t="s">
        <v>125</v>
      </c>
      <c r="D1528" s="8" t="s">
        <v>4690</v>
      </c>
      <c r="E1528" s="8" t="s">
        <v>547</v>
      </c>
      <c r="F1528" s="7" t="s">
        <v>4691</v>
      </c>
      <c r="G1528" s="9" t="s">
        <v>19</v>
      </c>
      <c r="H1528" s="7" t="s">
        <v>173</v>
      </c>
      <c r="I1528" s="7" t="s">
        <v>174</v>
      </c>
      <c r="J1528" s="10">
        <v>45854.0</v>
      </c>
      <c r="K1528" s="8" t="s">
        <v>175</v>
      </c>
      <c r="L1528" s="7">
        <v>6.0</v>
      </c>
      <c r="M1528" s="7" t="s">
        <v>106</v>
      </c>
      <c r="N1528" s="13" t="s">
        <v>4998</v>
      </c>
      <c r="O1528" s="15" t="s">
        <v>4999</v>
      </c>
    </row>
    <row r="1529">
      <c r="A1529" s="5">
        <v>1812.0</v>
      </c>
      <c r="B1529" s="6">
        <v>45999.933211446754</v>
      </c>
      <c r="C1529" s="7" t="s">
        <v>125</v>
      </c>
      <c r="D1529" s="8" t="s">
        <v>1897</v>
      </c>
      <c r="E1529" s="8" t="s">
        <v>1596</v>
      </c>
      <c r="F1529" s="7" t="s">
        <v>1898</v>
      </c>
      <c r="G1529" s="9" t="s">
        <v>181</v>
      </c>
      <c r="H1529" s="7" t="s">
        <v>1850</v>
      </c>
      <c r="I1529" s="7" t="s">
        <v>4969</v>
      </c>
      <c r="J1529" s="10">
        <v>45876.0</v>
      </c>
      <c r="K1529" s="8" t="s">
        <v>518</v>
      </c>
      <c r="L1529" s="7">
        <v>2.0</v>
      </c>
      <c r="M1529" s="7" t="s">
        <v>87</v>
      </c>
      <c r="N1529" s="13" t="s">
        <v>5000</v>
      </c>
      <c r="O1529" s="15" t="s">
        <v>5001</v>
      </c>
    </row>
    <row r="1530">
      <c r="A1530" s="5">
        <v>1813.0</v>
      </c>
      <c r="B1530" s="6">
        <v>45999.93395663194</v>
      </c>
      <c r="C1530" s="7" t="s">
        <v>760</v>
      </c>
      <c r="D1530" s="8" t="s">
        <v>1190</v>
      </c>
      <c r="E1530" s="8" t="s">
        <v>1042</v>
      </c>
      <c r="F1530" s="7" t="s">
        <v>1191</v>
      </c>
      <c r="G1530" s="9" t="s">
        <v>209</v>
      </c>
      <c r="H1530" s="7" t="s">
        <v>2900</v>
      </c>
      <c r="I1530" s="7" t="s">
        <v>825</v>
      </c>
      <c r="J1530" s="10">
        <v>45997.0</v>
      </c>
      <c r="K1530" s="8" t="s">
        <v>4791</v>
      </c>
      <c r="L1530" s="7">
        <v>4.0</v>
      </c>
      <c r="M1530" s="7" t="s">
        <v>4704</v>
      </c>
      <c r="N1530" s="13" t="s">
        <v>5002</v>
      </c>
      <c r="O1530" s="15" t="s">
        <v>5003</v>
      </c>
    </row>
    <row r="1531">
      <c r="A1531" s="5">
        <v>1814.0</v>
      </c>
      <c r="B1531" s="6">
        <v>45999.934334618054</v>
      </c>
      <c r="C1531" s="7" t="s">
        <v>760</v>
      </c>
      <c r="D1531" s="8" t="s">
        <v>4976</v>
      </c>
      <c r="E1531" s="8" t="s">
        <v>2338</v>
      </c>
      <c r="F1531" s="7" t="s">
        <v>4977</v>
      </c>
      <c r="G1531" s="9" t="s">
        <v>19</v>
      </c>
      <c r="H1531" s="7" t="s">
        <v>1336</v>
      </c>
      <c r="I1531" s="7" t="s">
        <v>2602</v>
      </c>
      <c r="J1531" s="10">
        <v>45907.0</v>
      </c>
      <c r="K1531" s="8" t="s">
        <v>49</v>
      </c>
      <c r="L1531" s="7">
        <v>8.0</v>
      </c>
      <c r="M1531" s="7" t="s">
        <v>33</v>
      </c>
      <c r="N1531" s="13" t="s">
        <v>5004</v>
      </c>
      <c r="O1531" s="15" t="s">
        <v>5005</v>
      </c>
    </row>
    <row r="1532">
      <c r="A1532" s="5">
        <v>1815.0</v>
      </c>
      <c r="B1532" s="6">
        <v>45999.93673912037</v>
      </c>
      <c r="C1532" s="7" t="s">
        <v>760</v>
      </c>
      <c r="D1532" s="8" t="s">
        <v>863</v>
      </c>
      <c r="E1532" s="8" t="s">
        <v>1948</v>
      </c>
      <c r="F1532" s="7" t="s">
        <v>3370</v>
      </c>
      <c r="G1532" s="9" t="s">
        <v>1426</v>
      </c>
      <c r="H1532" s="7" t="s">
        <v>5006</v>
      </c>
      <c r="I1532" s="7" t="s">
        <v>905</v>
      </c>
      <c r="J1532" s="10">
        <v>45907.0</v>
      </c>
      <c r="K1532" s="8" t="s">
        <v>766</v>
      </c>
      <c r="L1532" s="7">
        <v>8.0</v>
      </c>
      <c r="M1532" s="7" t="s">
        <v>33</v>
      </c>
      <c r="N1532" s="13" t="s">
        <v>5007</v>
      </c>
      <c r="O1532" s="15" t="s">
        <v>5008</v>
      </c>
    </row>
    <row r="1533">
      <c r="A1533" s="5">
        <v>1816.0</v>
      </c>
      <c r="B1533" s="6">
        <v>45999.9394480787</v>
      </c>
      <c r="C1533" s="7" t="s">
        <v>760</v>
      </c>
      <c r="D1533" s="8" t="s">
        <v>1220</v>
      </c>
      <c r="E1533" s="8" t="s">
        <v>951</v>
      </c>
      <c r="F1533" s="7" t="s">
        <v>1221</v>
      </c>
      <c r="G1533" s="9" t="s">
        <v>181</v>
      </c>
      <c r="H1533" s="7" t="s">
        <v>1222</v>
      </c>
      <c r="I1533" s="7" t="s">
        <v>1223</v>
      </c>
      <c r="J1533" s="10">
        <v>45950.0</v>
      </c>
      <c r="K1533" s="8" t="s">
        <v>1368</v>
      </c>
      <c r="L1533" s="7">
        <v>1.0</v>
      </c>
      <c r="M1533" s="7" t="s">
        <v>33</v>
      </c>
      <c r="N1533" s="13" t="s">
        <v>5009</v>
      </c>
      <c r="O1533" s="15" t="s">
        <v>5010</v>
      </c>
    </row>
    <row r="1534">
      <c r="A1534" s="5">
        <v>1817.0</v>
      </c>
      <c r="B1534" s="6">
        <v>45999.94078532407</v>
      </c>
      <c r="C1534" s="7" t="s">
        <v>760</v>
      </c>
      <c r="D1534" s="8" t="s">
        <v>4976</v>
      </c>
      <c r="E1534" s="8" t="s">
        <v>2338</v>
      </c>
      <c r="F1534" s="7" t="s">
        <v>4977</v>
      </c>
      <c r="G1534" s="9" t="s">
        <v>181</v>
      </c>
      <c r="H1534" s="7" t="s">
        <v>5011</v>
      </c>
      <c r="I1534" s="7" t="s">
        <v>5012</v>
      </c>
      <c r="J1534" s="10">
        <v>45995.0</v>
      </c>
      <c r="K1534" s="8" t="s">
        <v>2266</v>
      </c>
      <c r="L1534" s="7">
        <v>5.0</v>
      </c>
      <c r="M1534" s="7" t="s">
        <v>3590</v>
      </c>
      <c r="N1534" s="13" t="s">
        <v>5013</v>
      </c>
      <c r="O1534" s="15" t="s">
        <v>5014</v>
      </c>
    </row>
    <row r="1535">
      <c r="A1535" s="5">
        <v>1818.0</v>
      </c>
      <c r="B1535" s="6">
        <v>45999.943777962966</v>
      </c>
      <c r="C1535" s="7" t="s">
        <v>125</v>
      </c>
      <c r="D1535" s="8" t="s">
        <v>1897</v>
      </c>
      <c r="E1535" s="8" t="s">
        <v>1596</v>
      </c>
      <c r="F1535" s="7" t="s">
        <v>1898</v>
      </c>
      <c r="G1535" s="9" t="s">
        <v>84</v>
      </c>
      <c r="H1535" s="7" t="s">
        <v>455</v>
      </c>
      <c r="I1535" s="7" t="s">
        <v>1192</v>
      </c>
      <c r="J1535" s="10">
        <v>45997.0</v>
      </c>
      <c r="K1535" s="8" t="s">
        <v>694</v>
      </c>
      <c r="L1535" s="7">
        <v>8.0</v>
      </c>
      <c r="M1535" s="7" t="s">
        <v>33</v>
      </c>
      <c r="N1535" s="13" t="s">
        <v>5015</v>
      </c>
      <c r="O1535" s="15" t="s">
        <v>5016</v>
      </c>
    </row>
    <row r="1536">
      <c r="A1536" s="5">
        <v>1819.0</v>
      </c>
      <c r="B1536" s="6">
        <v>45999.94707569444</v>
      </c>
      <c r="C1536" s="7" t="s">
        <v>15</v>
      </c>
      <c r="D1536" s="8" t="s">
        <v>678</v>
      </c>
      <c r="E1536" s="8" t="s">
        <v>679</v>
      </c>
      <c r="F1536" s="7" t="s">
        <v>680</v>
      </c>
      <c r="G1536" s="9" t="s">
        <v>181</v>
      </c>
      <c r="H1536" s="7" t="s">
        <v>2812</v>
      </c>
      <c r="I1536" s="7" t="s">
        <v>231</v>
      </c>
      <c r="J1536" s="10">
        <v>45937.0</v>
      </c>
      <c r="K1536" s="8" t="s">
        <v>3326</v>
      </c>
      <c r="L1536" s="7">
        <v>8.0</v>
      </c>
      <c r="M1536" s="7" t="s">
        <v>33</v>
      </c>
      <c r="N1536" s="13" t="s">
        <v>5017</v>
      </c>
      <c r="O1536" s="15" t="s">
        <v>5018</v>
      </c>
    </row>
    <row r="1537">
      <c r="A1537" s="5">
        <v>1820.0</v>
      </c>
      <c r="B1537" s="6">
        <v>45999.94792670139</v>
      </c>
      <c r="C1537" s="7" t="s">
        <v>760</v>
      </c>
      <c r="D1537" s="8" t="s">
        <v>4879</v>
      </c>
      <c r="E1537" s="8" t="s">
        <v>3024</v>
      </c>
      <c r="F1537" s="7" t="s">
        <v>4880</v>
      </c>
      <c r="G1537" s="9" t="s">
        <v>181</v>
      </c>
      <c r="H1537" s="7" t="s">
        <v>895</v>
      </c>
      <c r="I1537" s="7" t="s">
        <v>1211</v>
      </c>
      <c r="J1537" s="10">
        <v>45951.0</v>
      </c>
      <c r="K1537" s="8" t="s">
        <v>1145</v>
      </c>
      <c r="L1537" s="7">
        <v>1.0</v>
      </c>
      <c r="M1537" s="7" t="s">
        <v>33</v>
      </c>
      <c r="N1537" s="13" t="s">
        <v>5019</v>
      </c>
      <c r="O1537" s="15" t="s">
        <v>5020</v>
      </c>
    </row>
    <row r="1538">
      <c r="A1538" s="5">
        <v>1822.0</v>
      </c>
      <c r="B1538" s="6">
        <v>45999.94922925926</v>
      </c>
      <c r="C1538" s="7" t="s">
        <v>760</v>
      </c>
      <c r="D1538" s="8" t="s">
        <v>4879</v>
      </c>
      <c r="E1538" s="8" t="s">
        <v>3024</v>
      </c>
      <c r="F1538" s="7" t="s">
        <v>4880</v>
      </c>
      <c r="G1538" s="9" t="s">
        <v>181</v>
      </c>
      <c r="H1538" s="7" t="s">
        <v>895</v>
      </c>
      <c r="I1538" s="7" t="s">
        <v>231</v>
      </c>
      <c r="J1538" s="10">
        <v>45993.0</v>
      </c>
      <c r="K1538" s="8" t="s">
        <v>1145</v>
      </c>
      <c r="L1538" s="7">
        <v>1.0</v>
      </c>
      <c r="M1538" s="7" t="s">
        <v>33</v>
      </c>
      <c r="N1538" s="13" t="s">
        <v>5021</v>
      </c>
      <c r="O1538" s="15" t="s">
        <v>5022</v>
      </c>
    </row>
    <row r="1539">
      <c r="A1539" s="5">
        <v>1823.0</v>
      </c>
      <c r="B1539" s="6">
        <v>45999.94960537037</v>
      </c>
      <c r="C1539" s="7" t="s">
        <v>15</v>
      </c>
      <c r="D1539" s="8" t="s">
        <v>678</v>
      </c>
      <c r="E1539" s="8" t="s">
        <v>679</v>
      </c>
      <c r="F1539" s="7" t="s">
        <v>680</v>
      </c>
      <c r="G1539" s="9" t="s">
        <v>181</v>
      </c>
      <c r="H1539" s="7" t="s">
        <v>2812</v>
      </c>
      <c r="I1539" s="7" t="s">
        <v>231</v>
      </c>
      <c r="J1539" s="10">
        <v>45938.0</v>
      </c>
      <c r="K1539" s="8" t="s">
        <v>3326</v>
      </c>
      <c r="L1539" s="7">
        <v>8.0</v>
      </c>
      <c r="M1539" s="7" t="s">
        <v>33</v>
      </c>
      <c r="N1539" s="13" t="s">
        <v>5023</v>
      </c>
      <c r="O1539" s="15" t="s">
        <v>5024</v>
      </c>
    </row>
    <row r="1540">
      <c r="A1540" s="5">
        <v>1824.0</v>
      </c>
      <c r="B1540" s="6">
        <v>45999.950417569446</v>
      </c>
      <c r="C1540" s="7" t="s">
        <v>760</v>
      </c>
      <c r="D1540" s="8" t="s">
        <v>4879</v>
      </c>
      <c r="E1540" s="8" t="s">
        <v>3024</v>
      </c>
      <c r="F1540" s="7" t="s">
        <v>4880</v>
      </c>
      <c r="G1540" s="9" t="s">
        <v>181</v>
      </c>
      <c r="H1540" s="7" t="s">
        <v>895</v>
      </c>
      <c r="I1540" s="7" t="s">
        <v>231</v>
      </c>
      <c r="J1540" s="10">
        <v>45994.0</v>
      </c>
      <c r="K1540" s="8" t="s">
        <v>1145</v>
      </c>
      <c r="L1540" s="7">
        <v>1.0</v>
      </c>
      <c r="M1540" s="7" t="s">
        <v>33</v>
      </c>
      <c r="N1540" s="13" t="s">
        <v>5025</v>
      </c>
      <c r="O1540" s="15" t="s">
        <v>5026</v>
      </c>
    </row>
    <row r="1541">
      <c r="A1541" s="5">
        <v>1825.0</v>
      </c>
      <c r="B1541" s="6">
        <v>45999.95249599537</v>
      </c>
      <c r="C1541" s="7" t="s">
        <v>15</v>
      </c>
      <c r="D1541" s="8" t="s">
        <v>2321</v>
      </c>
      <c r="E1541" s="8" t="s">
        <v>1385</v>
      </c>
      <c r="F1541" s="7" t="s">
        <v>2322</v>
      </c>
      <c r="G1541" s="9" t="s">
        <v>181</v>
      </c>
      <c r="H1541" s="7" t="s">
        <v>681</v>
      </c>
      <c r="I1541" s="7" t="s">
        <v>231</v>
      </c>
      <c r="J1541" s="10">
        <v>45859.0</v>
      </c>
      <c r="K1541" s="8" t="s">
        <v>2769</v>
      </c>
      <c r="L1541" s="7">
        <v>5.0</v>
      </c>
      <c r="M1541" s="7" t="s">
        <v>87</v>
      </c>
      <c r="N1541" s="13" t="s">
        <v>5027</v>
      </c>
      <c r="O1541" s="15" t="s">
        <v>5028</v>
      </c>
    </row>
    <row r="1542">
      <c r="A1542" s="5">
        <v>1826.0</v>
      </c>
      <c r="B1542" s="6">
        <v>45999.95367591435</v>
      </c>
      <c r="C1542" s="7" t="s">
        <v>125</v>
      </c>
      <c r="D1542" s="8" t="s">
        <v>1897</v>
      </c>
      <c r="E1542" s="8" t="s">
        <v>1596</v>
      </c>
      <c r="F1542" s="7" t="s">
        <v>1898</v>
      </c>
      <c r="G1542" s="9" t="s">
        <v>84</v>
      </c>
      <c r="H1542" s="7" t="s">
        <v>455</v>
      </c>
      <c r="I1542" s="7" t="s">
        <v>1192</v>
      </c>
      <c r="J1542" s="10">
        <v>45794.0</v>
      </c>
      <c r="K1542" s="8" t="s">
        <v>694</v>
      </c>
      <c r="L1542" s="7">
        <v>8.0</v>
      </c>
      <c r="M1542" s="7" t="s">
        <v>33</v>
      </c>
      <c r="N1542" s="13" t="s">
        <v>5029</v>
      </c>
      <c r="O1542" s="15" t="s">
        <v>5030</v>
      </c>
    </row>
    <row r="1543">
      <c r="A1543" s="5">
        <v>1827.0</v>
      </c>
      <c r="B1543" s="6">
        <v>45999.954333483794</v>
      </c>
      <c r="C1543" s="7" t="s">
        <v>15</v>
      </c>
      <c r="D1543" s="8" t="s">
        <v>678</v>
      </c>
      <c r="E1543" s="8" t="s">
        <v>679</v>
      </c>
      <c r="F1543" s="7" t="s">
        <v>680</v>
      </c>
      <c r="G1543" s="9" t="s">
        <v>181</v>
      </c>
      <c r="H1543" s="7" t="s">
        <v>2812</v>
      </c>
      <c r="I1543" s="7" t="s">
        <v>231</v>
      </c>
      <c r="J1543" s="10">
        <v>45939.0</v>
      </c>
      <c r="K1543" s="8" t="s">
        <v>22</v>
      </c>
      <c r="L1543" s="7">
        <v>4.0</v>
      </c>
      <c r="M1543" s="7" t="s">
        <v>33</v>
      </c>
      <c r="N1543" s="13" t="s">
        <v>5031</v>
      </c>
      <c r="O1543" s="15" t="s">
        <v>5032</v>
      </c>
    </row>
    <row r="1544">
      <c r="A1544" s="5">
        <v>1828.0</v>
      </c>
      <c r="B1544" s="6">
        <v>45999.95443923611</v>
      </c>
      <c r="C1544" s="7" t="s">
        <v>15</v>
      </c>
      <c r="D1544" s="8" t="s">
        <v>2321</v>
      </c>
      <c r="E1544" s="8" t="s">
        <v>1385</v>
      </c>
      <c r="F1544" s="7" t="s">
        <v>2322</v>
      </c>
      <c r="G1544" s="9" t="s">
        <v>181</v>
      </c>
      <c r="H1544" s="7" t="s">
        <v>5033</v>
      </c>
      <c r="I1544" s="7" t="s">
        <v>231</v>
      </c>
      <c r="J1544" s="10">
        <v>45859.0</v>
      </c>
      <c r="K1544" s="8" t="s">
        <v>3318</v>
      </c>
      <c r="L1544" s="7">
        <v>5.0</v>
      </c>
      <c r="M1544" s="7" t="s">
        <v>87</v>
      </c>
      <c r="N1544" s="13" t="s">
        <v>5034</v>
      </c>
      <c r="O1544" s="15" t="s">
        <v>5035</v>
      </c>
    </row>
    <row r="1545">
      <c r="A1545" s="5">
        <v>1829.0</v>
      </c>
      <c r="B1545" s="6">
        <v>45999.955391469906</v>
      </c>
      <c r="C1545" s="7" t="s">
        <v>760</v>
      </c>
      <c r="D1545" s="8" t="s">
        <v>892</v>
      </c>
      <c r="E1545" s="8" t="s">
        <v>893</v>
      </c>
      <c r="F1545" s="7" t="s">
        <v>899</v>
      </c>
      <c r="G1545" s="9" t="s">
        <v>415</v>
      </c>
      <c r="H1545" s="7" t="s">
        <v>5036</v>
      </c>
      <c r="I1545" s="7" t="s">
        <v>3130</v>
      </c>
      <c r="J1545" s="10">
        <v>45964.0</v>
      </c>
      <c r="K1545" s="8" t="s">
        <v>766</v>
      </c>
      <c r="L1545" s="7">
        <v>5.0</v>
      </c>
      <c r="M1545" s="7" t="s">
        <v>1325</v>
      </c>
      <c r="N1545" s="13" t="s">
        <v>5037</v>
      </c>
      <c r="O1545" s="15" t="s">
        <v>5038</v>
      </c>
    </row>
    <row r="1546">
      <c r="A1546" s="5">
        <v>1830.0</v>
      </c>
      <c r="B1546" s="6">
        <v>45999.95614844907</v>
      </c>
      <c r="C1546" s="7" t="s">
        <v>760</v>
      </c>
      <c r="D1546" s="8" t="s">
        <v>1672</v>
      </c>
      <c r="E1546" s="8" t="s">
        <v>881</v>
      </c>
      <c r="F1546" s="7" t="s">
        <v>1673</v>
      </c>
      <c r="G1546" s="9" t="s">
        <v>181</v>
      </c>
      <c r="H1546" s="7" t="s">
        <v>5039</v>
      </c>
      <c r="I1546" s="7" t="s">
        <v>314</v>
      </c>
      <c r="J1546" s="10">
        <v>45928.0</v>
      </c>
      <c r="K1546" s="8" t="s">
        <v>1633</v>
      </c>
      <c r="L1546" s="7">
        <v>5.0</v>
      </c>
      <c r="M1546" s="7" t="s">
        <v>33</v>
      </c>
      <c r="N1546" s="13" t="s">
        <v>5040</v>
      </c>
      <c r="O1546" s="15" t="s">
        <v>5041</v>
      </c>
    </row>
    <row r="1547">
      <c r="A1547" s="5">
        <v>1831.0</v>
      </c>
      <c r="B1547" s="6">
        <v>45999.961783101855</v>
      </c>
      <c r="C1547" s="7" t="s">
        <v>15</v>
      </c>
      <c r="D1547" s="8" t="s">
        <v>5042</v>
      </c>
      <c r="E1547" s="8" t="s">
        <v>2061</v>
      </c>
      <c r="F1547" s="7" t="s">
        <v>5043</v>
      </c>
      <c r="G1547" s="9" t="s">
        <v>159</v>
      </c>
      <c r="H1547" s="7" t="s">
        <v>5044</v>
      </c>
      <c r="I1547" s="7" t="s">
        <v>3116</v>
      </c>
      <c r="J1547" s="10">
        <v>45963.0</v>
      </c>
      <c r="K1547" s="8" t="s">
        <v>753</v>
      </c>
      <c r="L1547" s="7">
        <v>2.0</v>
      </c>
      <c r="M1547" s="7" t="s">
        <v>87</v>
      </c>
      <c r="N1547" s="13" t="s">
        <v>5045</v>
      </c>
      <c r="O1547" s="15" t="s">
        <v>5046</v>
      </c>
    </row>
    <row r="1548">
      <c r="A1548" s="5">
        <v>1832.0</v>
      </c>
      <c r="B1548" s="6">
        <v>45999.962825740746</v>
      </c>
      <c r="C1548" s="7" t="s">
        <v>15</v>
      </c>
      <c r="D1548" s="8" t="s">
        <v>5042</v>
      </c>
      <c r="E1548" s="8" t="s">
        <v>2061</v>
      </c>
      <c r="F1548" s="7" t="s">
        <v>5043</v>
      </c>
      <c r="G1548" s="9" t="s">
        <v>84</v>
      </c>
      <c r="H1548" s="7" t="s">
        <v>85</v>
      </c>
      <c r="I1548" s="7" t="s">
        <v>5047</v>
      </c>
      <c r="J1548" s="10">
        <v>45955.0</v>
      </c>
      <c r="K1548" s="8" t="s">
        <v>2053</v>
      </c>
      <c r="L1548" s="7">
        <v>8.0</v>
      </c>
      <c r="M1548" s="7" t="s">
        <v>87</v>
      </c>
      <c r="N1548" s="13" t="s">
        <v>5048</v>
      </c>
      <c r="O1548" s="23"/>
    </row>
    <row r="1549">
      <c r="A1549" s="5">
        <v>1834.0</v>
      </c>
      <c r="B1549" s="6">
        <v>45999.96389454861</v>
      </c>
      <c r="C1549" s="7" t="s">
        <v>15</v>
      </c>
      <c r="D1549" s="8" t="s">
        <v>5042</v>
      </c>
      <c r="E1549" s="8" t="s">
        <v>2061</v>
      </c>
      <c r="F1549" s="7" t="s">
        <v>5043</v>
      </c>
      <c r="G1549" s="9" t="s">
        <v>159</v>
      </c>
      <c r="H1549" s="7" t="s">
        <v>5049</v>
      </c>
      <c r="I1549" s="7" t="s">
        <v>5050</v>
      </c>
      <c r="J1549" s="10">
        <v>45852.0</v>
      </c>
      <c r="K1549" s="8" t="s">
        <v>1032</v>
      </c>
      <c r="L1549" s="7">
        <v>2.0</v>
      </c>
      <c r="M1549" s="7" t="s">
        <v>87</v>
      </c>
      <c r="N1549" s="13" t="s">
        <v>5051</v>
      </c>
      <c r="O1549" s="15" t="s">
        <v>5052</v>
      </c>
    </row>
    <row r="1550">
      <c r="A1550" s="5">
        <v>1835.0</v>
      </c>
      <c r="B1550" s="6">
        <v>45999.96443695602</v>
      </c>
      <c r="C1550" s="7" t="s">
        <v>760</v>
      </c>
      <c r="D1550" s="8" t="s">
        <v>4976</v>
      </c>
      <c r="E1550" s="8" t="s">
        <v>2338</v>
      </c>
      <c r="F1550" s="7" t="s">
        <v>4977</v>
      </c>
      <c r="G1550" s="9" t="s">
        <v>19</v>
      </c>
      <c r="H1550" s="7" t="s">
        <v>5053</v>
      </c>
      <c r="I1550" s="7" t="s">
        <v>3375</v>
      </c>
      <c r="J1550" s="10">
        <v>45964.0</v>
      </c>
      <c r="K1550" s="8" t="s">
        <v>766</v>
      </c>
      <c r="L1550" s="7">
        <v>1.0</v>
      </c>
      <c r="M1550" s="7" t="s">
        <v>87</v>
      </c>
      <c r="N1550" s="13" t="s">
        <v>5054</v>
      </c>
      <c r="O1550" s="15" t="s">
        <v>5055</v>
      </c>
    </row>
    <row r="1551">
      <c r="A1551" s="5">
        <v>1836.0</v>
      </c>
      <c r="B1551" s="6">
        <v>45999.96566012732</v>
      </c>
      <c r="C1551" s="7" t="s">
        <v>15</v>
      </c>
      <c r="D1551" s="8" t="s">
        <v>5042</v>
      </c>
      <c r="E1551" s="8" t="s">
        <v>2061</v>
      </c>
      <c r="F1551" s="7" t="s">
        <v>5043</v>
      </c>
      <c r="G1551" s="9" t="s">
        <v>19</v>
      </c>
      <c r="H1551" s="7" t="s">
        <v>5056</v>
      </c>
      <c r="I1551" s="7" t="s">
        <v>21</v>
      </c>
      <c r="J1551" s="10">
        <v>45940.0</v>
      </c>
      <c r="K1551" s="8" t="s">
        <v>22</v>
      </c>
      <c r="L1551" s="7">
        <v>4.0</v>
      </c>
      <c r="M1551" s="7" t="s">
        <v>23</v>
      </c>
      <c r="N1551" s="13" t="s">
        <v>5057</v>
      </c>
      <c r="O1551" s="15" t="s">
        <v>5058</v>
      </c>
    </row>
    <row r="1552">
      <c r="A1552" s="5">
        <v>1837.0</v>
      </c>
      <c r="B1552" s="6">
        <v>45999.96605282408</v>
      </c>
      <c r="C1552" s="7" t="s">
        <v>125</v>
      </c>
      <c r="D1552" s="8" t="s">
        <v>1897</v>
      </c>
      <c r="E1552" s="8" t="s">
        <v>1596</v>
      </c>
      <c r="F1552" s="7" t="s">
        <v>1898</v>
      </c>
      <c r="G1552" s="9" t="s">
        <v>84</v>
      </c>
      <c r="H1552" s="7" t="s">
        <v>455</v>
      </c>
      <c r="I1552" s="7" t="s">
        <v>1192</v>
      </c>
      <c r="J1552" s="10">
        <v>45794.0</v>
      </c>
      <c r="K1552" s="8" t="s">
        <v>694</v>
      </c>
      <c r="L1552" s="7">
        <v>8.0</v>
      </c>
      <c r="M1552" s="7" t="s">
        <v>33</v>
      </c>
      <c r="N1552" s="13" t="s">
        <v>5059</v>
      </c>
      <c r="O1552" s="15" t="s">
        <v>5060</v>
      </c>
    </row>
    <row r="1553">
      <c r="A1553" s="5">
        <v>1838.0</v>
      </c>
      <c r="B1553" s="6">
        <v>45999.96709225695</v>
      </c>
      <c r="C1553" s="7" t="s">
        <v>15</v>
      </c>
      <c r="D1553" s="8" t="s">
        <v>5042</v>
      </c>
      <c r="E1553" s="8" t="s">
        <v>2061</v>
      </c>
      <c r="F1553" s="7" t="s">
        <v>5043</v>
      </c>
      <c r="G1553" s="9" t="s">
        <v>19</v>
      </c>
      <c r="H1553" s="7" t="s">
        <v>406</v>
      </c>
      <c r="I1553" s="7" t="s">
        <v>94</v>
      </c>
      <c r="J1553" s="10">
        <v>45823.0</v>
      </c>
      <c r="K1553" s="8" t="s">
        <v>22</v>
      </c>
      <c r="L1553" s="7">
        <v>4.0</v>
      </c>
      <c r="M1553" s="7" t="s">
        <v>106</v>
      </c>
      <c r="N1553" s="13" t="s">
        <v>5061</v>
      </c>
      <c r="O1553" s="23"/>
    </row>
    <row r="1554">
      <c r="A1554" s="5">
        <v>1839.0</v>
      </c>
      <c r="B1554" s="6">
        <v>45999.96886130787</v>
      </c>
      <c r="C1554" s="7" t="s">
        <v>15</v>
      </c>
      <c r="D1554" s="8" t="s">
        <v>5042</v>
      </c>
      <c r="E1554" s="8" t="s">
        <v>2061</v>
      </c>
      <c r="F1554" s="7" t="s">
        <v>5043</v>
      </c>
      <c r="G1554" s="9" t="s">
        <v>19</v>
      </c>
      <c r="H1554" s="7" t="s">
        <v>5062</v>
      </c>
      <c r="I1554" s="7" t="s">
        <v>2708</v>
      </c>
      <c r="J1554" s="10">
        <v>45954.0</v>
      </c>
      <c r="K1554" s="8" t="s">
        <v>49</v>
      </c>
      <c r="L1554" s="7">
        <v>8.0</v>
      </c>
      <c r="M1554" s="7" t="s">
        <v>445</v>
      </c>
      <c r="N1554" s="13" t="s">
        <v>5063</v>
      </c>
      <c r="O1554" s="15" t="s">
        <v>5064</v>
      </c>
    </row>
    <row r="1555">
      <c r="A1555" s="5">
        <v>1840.0</v>
      </c>
      <c r="B1555" s="6">
        <v>45999.969763506946</v>
      </c>
      <c r="C1555" s="7" t="s">
        <v>15</v>
      </c>
      <c r="D1555" s="8" t="s">
        <v>3114</v>
      </c>
      <c r="E1555" s="8" t="s">
        <v>142</v>
      </c>
      <c r="F1555" s="7" t="s">
        <v>3115</v>
      </c>
      <c r="G1555" s="9" t="s">
        <v>19</v>
      </c>
      <c r="H1555" s="7" t="s">
        <v>4613</v>
      </c>
      <c r="I1555" s="7" t="s">
        <v>4614</v>
      </c>
      <c r="J1555" s="10">
        <v>45843.0</v>
      </c>
      <c r="K1555" s="8" t="s">
        <v>3326</v>
      </c>
      <c r="L1555" s="7">
        <v>8.0</v>
      </c>
      <c r="M1555" s="7" t="s">
        <v>774</v>
      </c>
      <c r="N1555" s="13" t="s">
        <v>5065</v>
      </c>
      <c r="O1555" s="15" t="s">
        <v>5066</v>
      </c>
    </row>
    <row r="1556">
      <c r="A1556" s="5">
        <v>1841.0</v>
      </c>
      <c r="B1556" s="6">
        <v>45999.970046875</v>
      </c>
      <c r="C1556" s="7" t="s">
        <v>760</v>
      </c>
      <c r="D1556" s="8" t="s">
        <v>2745</v>
      </c>
      <c r="E1556" s="8" t="s">
        <v>214</v>
      </c>
      <c r="F1556" s="7" t="s">
        <v>2746</v>
      </c>
      <c r="G1556" s="9" t="s">
        <v>181</v>
      </c>
      <c r="H1556" s="7" t="s">
        <v>1669</v>
      </c>
      <c r="I1556" s="7" t="s">
        <v>5067</v>
      </c>
      <c r="J1556" s="10">
        <v>45895.0</v>
      </c>
      <c r="K1556" s="8" t="s">
        <v>1665</v>
      </c>
      <c r="L1556" s="7">
        <v>2.0</v>
      </c>
      <c r="M1556" s="7" t="s">
        <v>1648</v>
      </c>
      <c r="N1556" s="13" t="s">
        <v>5068</v>
      </c>
      <c r="O1556" s="15" t="s">
        <v>5069</v>
      </c>
    </row>
    <row r="1557">
      <c r="A1557" s="5">
        <v>1843.0</v>
      </c>
      <c r="B1557" s="6">
        <v>45999.97364157408</v>
      </c>
      <c r="C1557" s="7" t="s">
        <v>760</v>
      </c>
      <c r="D1557" s="8" t="s">
        <v>2745</v>
      </c>
      <c r="E1557" s="8" t="s">
        <v>214</v>
      </c>
      <c r="F1557" s="7" t="s">
        <v>2746</v>
      </c>
      <c r="G1557" s="9" t="s">
        <v>181</v>
      </c>
      <c r="H1557" s="7" t="s">
        <v>4941</v>
      </c>
      <c r="I1557" s="7" t="s">
        <v>231</v>
      </c>
      <c r="J1557" s="10">
        <v>45965.0</v>
      </c>
      <c r="K1557" s="8" t="s">
        <v>49</v>
      </c>
      <c r="L1557" s="7">
        <v>8.0</v>
      </c>
      <c r="M1557" s="7" t="s">
        <v>1564</v>
      </c>
      <c r="N1557" s="13" t="s">
        <v>5070</v>
      </c>
      <c r="O1557" s="15" t="s">
        <v>5071</v>
      </c>
    </row>
    <row r="1558">
      <c r="A1558" s="5">
        <v>1844.0</v>
      </c>
      <c r="B1558" s="6">
        <v>45999.974656875</v>
      </c>
      <c r="C1558" s="7" t="s">
        <v>760</v>
      </c>
      <c r="D1558" s="8" t="s">
        <v>2745</v>
      </c>
      <c r="E1558" s="8" t="s">
        <v>214</v>
      </c>
      <c r="F1558" s="7" t="s">
        <v>2746</v>
      </c>
      <c r="G1558" s="9" t="s">
        <v>181</v>
      </c>
      <c r="H1558" s="7" t="s">
        <v>4941</v>
      </c>
      <c r="I1558" s="7" t="s">
        <v>231</v>
      </c>
      <c r="J1558" s="10">
        <v>45966.0</v>
      </c>
      <c r="K1558" s="8" t="s">
        <v>49</v>
      </c>
      <c r="L1558" s="7">
        <v>8.0</v>
      </c>
      <c r="M1558" s="7" t="s">
        <v>1564</v>
      </c>
      <c r="N1558" s="13" t="s">
        <v>5072</v>
      </c>
      <c r="O1558" s="15" t="s">
        <v>5073</v>
      </c>
    </row>
    <row r="1559">
      <c r="A1559" s="5">
        <v>1845.0</v>
      </c>
      <c r="B1559" s="6">
        <v>45999.975541875</v>
      </c>
      <c r="C1559" s="7" t="s">
        <v>760</v>
      </c>
      <c r="D1559" s="8" t="s">
        <v>2745</v>
      </c>
      <c r="E1559" s="8" t="s">
        <v>214</v>
      </c>
      <c r="F1559" s="7" t="s">
        <v>2746</v>
      </c>
      <c r="G1559" s="9" t="s">
        <v>181</v>
      </c>
      <c r="H1559" s="7" t="s">
        <v>4941</v>
      </c>
      <c r="I1559" s="7" t="s">
        <v>231</v>
      </c>
      <c r="J1559" s="10">
        <v>45967.0</v>
      </c>
      <c r="K1559" s="8" t="s">
        <v>2405</v>
      </c>
      <c r="L1559" s="7">
        <v>4.0</v>
      </c>
      <c r="M1559" s="7" t="s">
        <v>1564</v>
      </c>
      <c r="N1559" s="13" t="s">
        <v>5074</v>
      </c>
      <c r="O1559" s="15" t="s">
        <v>5075</v>
      </c>
    </row>
    <row r="1560">
      <c r="A1560" s="5">
        <v>1846.0</v>
      </c>
      <c r="B1560" s="6">
        <v>45999.983181041665</v>
      </c>
      <c r="C1560" s="7" t="s">
        <v>125</v>
      </c>
      <c r="D1560" s="8" t="s">
        <v>1897</v>
      </c>
      <c r="E1560" s="8" t="s">
        <v>1596</v>
      </c>
      <c r="F1560" s="7" t="s">
        <v>1898</v>
      </c>
      <c r="G1560" s="9" t="s">
        <v>84</v>
      </c>
      <c r="H1560" s="7" t="s">
        <v>455</v>
      </c>
      <c r="I1560" s="7" t="s">
        <v>1192</v>
      </c>
      <c r="J1560" s="10">
        <v>45997.0</v>
      </c>
      <c r="K1560" s="8" t="s">
        <v>694</v>
      </c>
      <c r="L1560" s="7">
        <v>8.0</v>
      </c>
      <c r="M1560" s="7" t="s">
        <v>33</v>
      </c>
      <c r="N1560" s="13" t="s">
        <v>5076</v>
      </c>
      <c r="O1560" s="15" t="s">
        <v>5077</v>
      </c>
    </row>
    <row r="1561">
      <c r="A1561" s="5">
        <v>1847.0</v>
      </c>
      <c r="B1561" s="6">
        <v>45999.98439758102</v>
      </c>
      <c r="C1561" s="7" t="s">
        <v>125</v>
      </c>
      <c r="D1561" s="8" t="s">
        <v>1897</v>
      </c>
      <c r="E1561" s="8" t="s">
        <v>1596</v>
      </c>
      <c r="F1561" s="7" t="s">
        <v>1898</v>
      </c>
      <c r="G1561" s="9" t="s">
        <v>84</v>
      </c>
      <c r="H1561" s="7" t="s">
        <v>455</v>
      </c>
      <c r="I1561" s="7" t="s">
        <v>1192</v>
      </c>
      <c r="J1561" s="10">
        <v>45997.0</v>
      </c>
      <c r="K1561" s="8" t="s">
        <v>694</v>
      </c>
      <c r="L1561" s="7">
        <v>8.0</v>
      </c>
      <c r="M1561" s="7" t="s">
        <v>33</v>
      </c>
      <c r="N1561" s="13" t="s">
        <v>5078</v>
      </c>
      <c r="O1561" s="15" t="s">
        <v>5079</v>
      </c>
    </row>
    <row r="1562">
      <c r="A1562" s="5">
        <v>1848.0</v>
      </c>
      <c r="B1562" s="6">
        <v>45999.98624168981</v>
      </c>
      <c r="C1562" s="7" t="s">
        <v>15</v>
      </c>
      <c r="D1562" s="8" t="s">
        <v>5080</v>
      </c>
      <c r="E1562" s="8" t="s">
        <v>214</v>
      </c>
      <c r="F1562" s="7" t="s">
        <v>5081</v>
      </c>
      <c r="G1562" s="9" t="s">
        <v>19</v>
      </c>
      <c r="H1562" s="7" t="s">
        <v>406</v>
      </c>
      <c r="I1562" s="7" t="s">
        <v>94</v>
      </c>
      <c r="J1562" s="10">
        <v>45823.0</v>
      </c>
      <c r="K1562" s="8" t="s">
        <v>499</v>
      </c>
      <c r="L1562" s="7">
        <v>4.0</v>
      </c>
      <c r="M1562" s="7" t="s">
        <v>95</v>
      </c>
      <c r="N1562" s="13" t="s">
        <v>5082</v>
      </c>
      <c r="O1562" s="15" t="s">
        <v>5083</v>
      </c>
    </row>
    <row r="1563">
      <c r="A1563" s="5">
        <v>1849.0</v>
      </c>
      <c r="B1563" s="6">
        <v>45999.98791293982</v>
      </c>
      <c r="C1563" s="7" t="s">
        <v>125</v>
      </c>
      <c r="D1563" s="8" t="s">
        <v>1897</v>
      </c>
      <c r="E1563" s="8" t="s">
        <v>1596</v>
      </c>
      <c r="F1563" s="7" t="s">
        <v>1898</v>
      </c>
      <c r="G1563" s="9" t="s">
        <v>181</v>
      </c>
      <c r="H1563" s="7" t="s">
        <v>1850</v>
      </c>
      <c r="I1563" s="7" t="s">
        <v>4969</v>
      </c>
      <c r="J1563" s="10">
        <v>45876.0</v>
      </c>
      <c r="K1563" s="8" t="s">
        <v>518</v>
      </c>
      <c r="L1563" s="7">
        <v>2.0</v>
      </c>
      <c r="M1563" s="7" t="s">
        <v>87</v>
      </c>
      <c r="N1563" s="13" t="s">
        <v>5084</v>
      </c>
      <c r="O1563" s="15" t="s">
        <v>5085</v>
      </c>
    </row>
    <row r="1564">
      <c r="A1564" s="5">
        <v>1850.0</v>
      </c>
      <c r="B1564" s="6">
        <v>45999.98835918981</v>
      </c>
      <c r="C1564" s="7" t="s">
        <v>760</v>
      </c>
      <c r="D1564" s="8" t="s">
        <v>3369</v>
      </c>
      <c r="E1564" s="8" t="s">
        <v>1948</v>
      </c>
      <c r="F1564" s="7" t="s">
        <v>3370</v>
      </c>
      <c r="G1564" s="9" t="s">
        <v>209</v>
      </c>
      <c r="H1564" s="7" t="s">
        <v>851</v>
      </c>
      <c r="I1564" s="7" t="s">
        <v>825</v>
      </c>
      <c r="J1564" s="10">
        <v>45941.0</v>
      </c>
      <c r="K1564" s="8" t="s">
        <v>1462</v>
      </c>
      <c r="L1564" s="7">
        <v>4.0</v>
      </c>
      <c r="M1564" s="7" t="s">
        <v>4926</v>
      </c>
      <c r="N1564" s="13" t="s">
        <v>5086</v>
      </c>
      <c r="O1564" s="15" t="s">
        <v>5087</v>
      </c>
    </row>
    <row r="1565">
      <c r="A1565" s="5">
        <v>1851.0</v>
      </c>
      <c r="B1565" s="6">
        <v>45999.989537905094</v>
      </c>
      <c r="C1565" s="7" t="s">
        <v>125</v>
      </c>
      <c r="D1565" s="8" t="s">
        <v>1897</v>
      </c>
      <c r="E1565" s="8" t="s">
        <v>1596</v>
      </c>
      <c r="F1565" s="7" t="s">
        <v>1898</v>
      </c>
      <c r="G1565" s="9" t="s">
        <v>181</v>
      </c>
      <c r="H1565" s="7" t="s">
        <v>1850</v>
      </c>
      <c r="I1565" s="7" t="s">
        <v>4969</v>
      </c>
      <c r="J1565" s="10">
        <v>45876.0</v>
      </c>
      <c r="K1565" s="8" t="s">
        <v>518</v>
      </c>
      <c r="L1565" s="7">
        <v>2.0</v>
      </c>
      <c r="M1565" s="7" t="s">
        <v>87</v>
      </c>
      <c r="N1565" s="13" t="s">
        <v>5088</v>
      </c>
      <c r="O1565" s="15" t="s">
        <v>5089</v>
      </c>
    </row>
    <row r="1566">
      <c r="A1566" s="5">
        <v>1852.0</v>
      </c>
      <c r="B1566" s="6">
        <v>45999.996779837966</v>
      </c>
      <c r="C1566" s="7" t="s">
        <v>15</v>
      </c>
      <c r="D1566" s="8" t="s">
        <v>5080</v>
      </c>
      <c r="E1566" s="8" t="s">
        <v>214</v>
      </c>
      <c r="F1566" s="7" t="s">
        <v>5081</v>
      </c>
      <c r="G1566" s="9" t="s">
        <v>19</v>
      </c>
      <c r="H1566" s="7" t="s">
        <v>99</v>
      </c>
      <c r="I1566" s="7" t="s">
        <v>37</v>
      </c>
      <c r="J1566" s="10">
        <v>45839.0</v>
      </c>
      <c r="K1566" s="8" t="s">
        <v>5090</v>
      </c>
      <c r="L1566" s="7">
        <v>8.0</v>
      </c>
      <c r="M1566" s="7" t="s">
        <v>33</v>
      </c>
      <c r="N1566" s="13" t="s">
        <v>5091</v>
      </c>
      <c r="O1566" s="15" t="s">
        <v>5092</v>
      </c>
    </row>
    <row r="1567">
      <c r="A1567" s="5">
        <v>1853.0</v>
      </c>
      <c r="B1567" s="6">
        <v>45999.99955395833</v>
      </c>
      <c r="C1567" s="7" t="s">
        <v>15</v>
      </c>
      <c r="D1567" s="8" t="s">
        <v>5080</v>
      </c>
      <c r="E1567" s="8" t="s">
        <v>214</v>
      </c>
      <c r="F1567" s="7" t="s">
        <v>5081</v>
      </c>
      <c r="G1567" s="9" t="s">
        <v>19</v>
      </c>
      <c r="H1567" s="7" t="s">
        <v>99</v>
      </c>
      <c r="I1567" s="7" t="s">
        <v>37</v>
      </c>
      <c r="J1567" s="10">
        <v>45840.0</v>
      </c>
      <c r="K1567" s="8" t="s">
        <v>5090</v>
      </c>
      <c r="L1567" s="7">
        <v>8.0</v>
      </c>
      <c r="M1567" s="7" t="s">
        <v>33</v>
      </c>
      <c r="N1567" s="13" t="s">
        <v>5093</v>
      </c>
      <c r="O1567" s="15" t="s">
        <v>5094</v>
      </c>
    </row>
    <row r="1568">
      <c r="A1568" s="5">
        <v>1854.0</v>
      </c>
      <c r="B1568" s="6">
        <v>46000.00278549769</v>
      </c>
      <c r="C1568" s="7" t="s">
        <v>15</v>
      </c>
      <c r="D1568" s="8" t="s">
        <v>5081</v>
      </c>
      <c r="E1568" s="8" t="s">
        <v>214</v>
      </c>
      <c r="F1568" s="7" t="s">
        <v>5081</v>
      </c>
      <c r="G1568" s="9" t="s">
        <v>19</v>
      </c>
      <c r="H1568" s="7" t="s">
        <v>3519</v>
      </c>
      <c r="I1568" s="7" t="s">
        <v>3520</v>
      </c>
      <c r="J1568" s="10">
        <v>45884.0</v>
      </c>
      <c r="K1568" s="8" t="s">
        <v>3180</v>
      </c>
      <c r="L1568" s="7">
        <v>4.0</v>
      </c>
      <c r="M1568" s="7" t="s">
        <v>2391</v>
      </c>
      <c r="N1568" s="13" t="s">
        <v>5095</v>
      </c>
      <c r="O1568" s="15" t="s">
        <v>5096</v>
      </c>
    </row>
    <row r="1569">
      <c r="A1569" s="5">
        <v>1855.0</v>
      </c>
      <c r="B1569" s="6">
        <v>46000.005085509256</v>
      </c>
      <c r="C1569" s="7" t="s">
        <v>15</v>
      </c>
      <c r="D1569" s="8" t="s">
        <v>5080</v>
      </c>
      <c r="E1569" s="8" t="s">
        <v>214</v>
      </c>
      <c r="F1569" s="7" t="s">
        <v>5081</v>
      </c>
      <c r="G1569" s="9" t="s">
        <v>19</v>
      </c>
      <c r="H1569" s="7" t="s">
        <v>3519</v>
      </c>
      <c r="I1569" s="7" t="s">
        <v>3520</v>
      </c>
      <c r="J1569" s="10">
        <v>45884.0</v>
      </c>
      <c r="K1569" s="8" t="s">
        <v>3180</v>
      </c>
      <c r="L1569" s="7">
        <v>4.0</v>
      </c>
      <c r="M1569" s="7" t="s">
        <v>2391</v>
      </c>
      <c r="N1569" s="13" t="s">
        <v>5097</v>
      </c>
      <c r="O1569" s="15" t="s">
        <v>5098</v>
      </c>
    </row>
    <row r="1570">
      <c r="A1570" s="5">
        <v>1856.0</v>
      </c>
      <c r="B1570" s="6">
        <v>46000.00830997685</v>
      </c>
      <c r="C1570" s="7" t="s">
        <v>15</v>
      </c>
      <c r="D1570" s="8" t="s">
        <v>5080</v>
      </c>
      <c r="E1570" s="8" t="s">
        <v>214</v>
      </c>
      <c r="F1570" s="7" t="s">
        <v>5081</v>
      </c>
      <c r="G1570" s="9" t="s">
        <v>19</v>
      </c>
      <c r="H1570" s="7" t="s">
        <v>3519</v>
      </c>
      <c r="I1570" s="7" t="s">
        <v>3520</v>
      </c>
      <c r="J1570" s="10">
        <v>45884.0</v>
      </c>
      <c r="K1570" s="8" t="s">
        <v>5090</v>
      </c>
      <c r="L1570" s="7">
        <v>8.0</v>
      </c>
      <c r="M1570" s="7" t="s">
        <v>2391</v>
      </c>
      <c r="N1570" s="13" t="s">
        <v>5099</v>
      </c>
      <c r="O1570" s="15" t="s">
        <v>5100</v>
      </c>
    </row>
    <row r="1571">
      <c r="A1571" s="5">
        <v>1857.0</v>
      </c>
      <c r="B1571" s="6">
        <v>46000.01242555556</v>
      </c>
      <c r="C1571" s="7" t="s">
        <v>15</v>
      </c>
      <c r="D1571" s="8" t="s">
        <v>5080</v>
      </c>
      <c r="E1571" s="8" t="s">
        <v>214</v>
      </c>
      <c r="F1571" s="7" t="s">
        <v>5081</v>
      </c>
      <c r="G1571" s="9" t="s">
        <v>19</v>
      </c>
      <c r="H1571" s="7" t="s">
        <v>3519</v>
      </c>
      <c r="I1571" s="7" t="s">
        <v>3520</v>
      </c>
      <c r="J1571" s="10">
        <v>45884.0</v>
      </c>
      <c r="K1571" s="8" t="s">
        <v>5090</v>
      </c>
      <c r="L1571" s="7">
        <v>8.0</v>
      </c>
      <c r="M1571" s="7" t="s">
        <v>2391</v>
      </c>
      <c r="N1571" s="13" t="s">
        <v>5101</v>
      </c>
      <c r="O1571" s="15" t="s">
        <v>5102</v>
      </c>
    </row>
    <row r="1572">
      <c r="A1572" s="5">
        <v>1858.0</v>
      </c>
      <c r="B1572" s="6">
        <v>46000.01656753472</v>
      </c>
      <c r="C1572" s="7" t="s">
        <v>15</v>
      </c>
      <c r="D1572" s="8" t="s">
        <v>5080</v>
      </c>
      <c r="E1572" s="8" t="s">
        <v>214</v>
      </c>
      <c r="F1572" s="7" t="s">
        <v>5081</v>
      </c>
      <c r="G1572" s="9" t="s">
        <v>19</v>
      </c>
      <c r="H1572" s="7" t="s">
        <v>5103</v>
      </c>
      <c r="I1572" s="7" t="s">
        <v>5104</v>
      </c>
      <c r="J1572" s="10">
        <v>45940.0</v>
      </c>
      <c r="K1572" s="8" t="s">
        <v>499</v>
      </c>
      <c r="L1572" s="7">
        <v>4.0</v>
      </c>
      <c r="M1572" s="7" t="s">
        <v>4186</v>
      </c>
      <c r="N1572" s="13" t="s">
        <v>5105</v>
      </c>
      <c r="O1572" s="15" t="s">
        <v>5106</v>
      </c>
    </row>
    <row r="1573">
      <c r="A1573" s="5">
        <v>1859.0</v>
      </c>
      <c r="B1573" s="6">
        <v>46000.02154346065</v>
      </c>
      <c r="C1573" s="7" t="s">
        <v>15</v>
      </c>
      <c r="D1573" s="8" t="s">
        <v>5080</v>
      </c>
      <c r="E1573" s="8" t="s">
        <v>214</v>
      </c>
      <c r="F1573" s="7" t="s">
        <v>5081</v>
      </c>
      <c r="G1573" s="9" t="s">
        <v>415</v>
      </c>
      <c r="H1573" s="7" t="s">
        <v>2960</v>
      </c>
      <c r="I1573" s="7" t="s">
        <v>2381</v>
      </c>
      <c r="J1573" s="10">
        <v>45866.0</v>
      </c>
      <c r="K1573" s="8" t="s">
        <v>2291</v>
      </c>
      <c r="L1573" s="7">
        <v>1.0</v>
      </c>
      <c r="M1573" s="7" t="s">
        <v>2962</v>
      </c>
      <c r="N1573" s="13" t="s">
        <v>5107</v>
      </c>
      <c r="O1573" s="15" t="s">
        <v>5108</v>
      </c>
    </row>
    <row r="1574">
      <c r="A1574" s="5">
        <v>1860.0</v>
      </c>
      <c r="B1574" s="6">
        <v>46000.02433015047</v>
      </c>
      <c r="C1574" s="7" t="s">
        <v>15</v>
      </c>
      <c r="D1574" s="8" t="s">
        <v>5080</v>
      </c>
      <c r="E1574" s="8" t="s">
        <v>214</v>
      </c>
      <c r="F1574" s="7" t="s">
        <v>5081</v>
      </c>
      <c r="G1574" s="9" t="s">
        <v>415</v>
      </c>
      <c r="H1574" s="7" t="s">
        <v>5109</v>
      </c>
      <c r="I1574" s="7" t="s">
        <v>1211</v>
      </c>
      <c r="J1574" s="10">
        <v>45881.0</v>
      </c>
      <c r="K1574" s="8" t="s">
        <v>5110</v>
      </c>
      <c r="L1574" s="7">
        <v>1.0</v>
      </c>
      <c r="M1574" s="7" t="s">
        <v>314</v>
      </c>
      <c r="N1574" s="13" t="s">
        <v>5111</v>
      </c>
      <c r="O1574" s="15" t="s">
        <v>5112</v>
      </c>
    </row>
    <row r="1575">
      <c r="A1575" s="5">
        <v>1861.0</v>
      </c>
      <c r="B1575" s="6">
        <v>46000.2355071875</v>
      </c>
      <c r="C1575" s="7" t="s">
        <v>760</v>
      </c>
      <c r="D1575" s="8" t="s">
        <v>4976</v>
      </c>
      <c r="E1575" s="8" t="s">
        <v>2338</v>
      </c>
      <c r="F1575" s="7" t="s">
        <v>4977</v>
      </c>
      <c r="G1575" s="9" t="s">
        <v>181</v>
      </c>
      <c r="H1575" s="7" t="s">
        <v>5113</v>
      </c>
      <c r="I1575" s="7" t="s">
        <v>3928</v>
      </c>
      <c r="J1575" s="10">
        <v>45999.0</v>
      </c>
      <c r="K1575" s="8" t="s">
        <v>417</v>
      </c>
      <c r="L1575" s="7">
        <v>4.0</v>
      </c>
      <c r="M1575" s="7" t="s">
        <v>3590</v>
      </c>
      <c r="N1575" s="7"/>
      <c r="O1575" s="23"/>
    </row>
    <row r="1576">
      <c r="A1576" s="5">
        <v>1862.0</v>
      </c>
      <c r="B1576" s="6">
        <v>46000.23573511574</v>
      </c>
      <c r="C1576" s="7" t="s">
        <v>760</v>
      </c>
      <c r="D1576" s="8" t="s">
        <v>4976</v>
      </c>
      <c r="E1576" s="8" t="s">
        <v>2338</v>
      </c>
      <c r="F1576" s="7" t="s">
        <v>4977</v>
      </c>
      <c r="G1576" s="9" t="s">
        <v>181</v>
      </c>
      <c r="H1576" s="7" t="s">
        <v>5113</v>
      </c>
      <c r="I1576" s="7" t="s">
        <v>3928</v>
      </c>
      <c r="J1576" s="10">
        <v>45999.0</v>
      </c>
      <c r="K1576" s="8" t="s">
        <v>417</v>
      </c>
      <c r="L1576" s="7">
        <v>4.0</v>
      </c>
      <c r="M1576" s="7" t="s">
        <v>3590</v>
      </c>
      <c r="N1576" s="7"/>
      <c r="O1576" s="23"/>
    </row>
    <row r="1577">
      <c r="A1577" s="5">
        <v>1863.0</v>
      </c>
      <c r="B1577" s="6">
        <v>46000.23718740741</v>
      </c>
      <c r="C1577" s="7" t="s">
        <v>15</v>
      </c>
      <c r="D1577" s="8" t="s">
        <v>3753</v>
      </c>
      <c r="E1577" s="8" t="s">
        <v>817</v>
      </c>
      <c r="F1577" s="7" t="s">
        <v>3754</v>
      </c>
      <c r="G1577" s="9" t="s">
        <v>181</v>
      </c>
      <c r="H1577" s="7" t="s">
        <v>3755</v>
      </c>
      <c r="I1577" s="7" t="s">
        <v>231</v>
      </c>
      <c r="J1577" s="10">
        <v>45968.0</v>
      </c>
      <c r="K1577" s="8" t="s">
        <v>49</v>
      </c>
      <c r="L1577" s="7">
        <v>8.0</v>
      </c>
      <c r="M1577" s="7" t="s">
        <v>33</v>
      </c>
      <c r="N1577" s="13" t="s">
        <v>5114</v>
      </c>
      <c r="O1577" s="15" t="s">
        <v>5115</v>
      </c>
    </row>
    <row r="1578">
      <c r="A1578" s="5">
        <v>1864.0</v>
      </c>
      <c r="B1578" s="6">
        <v>46000.23913994213</v>
      </c>
      <c r="C1578" s="7" t="s">
        <v>15</v>
      </c>
      <c r="D1578" s="8" t="s">
        <v>3753</v>
      </c>
      <c r="E1578" s="8" t="s">
        <v>817</v>
      </c>
      <c r="F1578" s="7" t="s">
        <v>3754</v>
      </c>
      <c r="G1578" s="9" t="s">
        <v>181</v>
      </c>
      <c r="H1578" s="7" t="s">
        <v>5116</v>
      </c>
      <c r="I1578" s="7" t="s">
        <v>231</v>
      </c>
      <c r="J1578" s="10">
        <v>45973.0</v>
      </c>
      <c r="K1578" s="8" t="s">
        <v>582</v>
      </c>
      <c r="L1578" s="7">
        <v>2.0</v>
      </c>
      <c r="M1578" s="7" t="s">
        <v>33</v>
      </c>
      <c r="N1578" s="13" t="s">
        <v>5117</v>
      </c>
      <c r="O1578" s="15" t="s">
        <v>5118</v>
      </c>
    </row>
    <row r="1579">
      <c r="A1579" s="5">
        <v>1865.0</v>
      </c>
      <c r="B1579" s="6">
        <v>46000.26714923611</v>
      </c>
      <c r="C1579" s="7" t="s">
        <v>15</v>
      </c>
      <c r="D1579" s="8" t="s">
        <v>5119</v>
      </c>
      <c r="E1579" s="8" t="s">
        <v>1197</v>
      </c>
      <c r="F1579" s="7" t="s">
        <v>5120</v>
      </c>
      <c r="G1579" s="9" t="s">
        <v>19</v>
      </c>
      <c r="H1579" s="7" t="s">
        <v>486</v>
      </c>
      <c r="I1579" s="7" t="s">
        <v>21</v>
      </c>
      <c r="J1579" s="10">
        <v>45940.0</v>
      </c>
      <c r="K1579" s="8" t="s">
        <v>957</v>
      </c>
      <c r="L1579" s="7">
        <v>4.0</v>
      </c>
      <c r="M1579" s="7" t="s">
        <v>23</v>
      </c>
      <c r="N1579" s="13" t="s">
        <v>5121</v>
      </c>
      <c r="O1579" s="15" t="s">
        <v>5122</v>
      </c>
    </row>
    <row r="1580">
      <c r="A1580" s="5">
        <v>1867.0</v>
      </c>
      <c r="B1580" s="6">
        <v>46000.28378421297</v>
      </c>
      <c r="C1580" s="7" t="s">
        <v>15</v>
      </c>
      <c r="D1580" s="8" t="s">
        <v>5119</v>
      </c>
      <c r="E1580" s="8" t="s">
        <v>1197</v>
      </c>
      <c r="F1580" s="7" t="s">
        <v>5120</v>
      </c>
      <c r="G1580" s="9" t="s">
        <v>19</v>
      </c>
      <c r="H1580" s="7" t="s">
        <v>406</v>
      </c>
      <c r="I1580" s="7" t="s">
        <v>94</v>
      </c>
      <c r="J1580" s="10">
        <v>45823.0</v>
      </c>
      <c r="K1580" s="8" t="s">
        <v>1365</v>
      </c>
      <c r="L1580" s="7">
        <v>4.0</v>
      </c>
      <c r="M1580" s="7" t="s">
        <v>106</v>
      </c>
      <c r="N1580" s="13" t="s">
        <v>5123</v>
      </c>
      <c r="O1580" s="15" t="s">
        <v>5124</v>
      </c>
    </row>
    <row r="1581">
      <c r="A1581" s="5">
        <v>1868.0</v>
      </c>
      <c r="B1581" s="6">
        <v>46000.309278506946</v>
      </c>
      <c r="C1581" s="7" t="s">
        <v>15</v>
      </c>
      <c r="D1581" s="8" t="s">
        <v>5125</v>
      </c>
      <c r="E1581" s="8" t="s">
        <v>762</v>
      </c>
      <c r="F1581" s="7" t="s">
        <v>5126</v>
      </c>
      <c r="G1581" s="9" t="s">
        <v>181</v>
      </c>
      <c r="H1581" s="7" t="s">
        <v>2677</v>
      </c>
      <c r="I1581" s="7" t="s">
        <v>231</v>
      </c>
      <c r="J1581" s="10">
        <v>45953.0</v>
      </c>
      <c r="K1581" s="8" t="s">
        <v>22</v>
      </c>
      <c r="L1581" s="7">
        <v>4.0</v>
      </c>
      <c r="M1581" s="7" t="s">
        <v>636</v>
      </c>
      <c r="N1581" s="13" t="s">
        <v>5127</v>
      </c>
      <c r="O1581" s="15" t="s">
        <v>5128</v>
      </c>
    </row>
    <row r="1582">
      <c r="A1582" s="5">
        <v>1869.0</v>
      </c>
      <c r="B1582" s="6">
        <v>46000.310844155094</v>
      </c>
      <c r="C1582" s="7" t="s">
        <v>15</v>
      </c>
      <c r="D1582" s="8" t="s">
        <v>5125</v>
      </c>
      <c r="E1582" s="8" t="s">
        <v>762</v>
      </c>
      <c r="F1582" s="7" t="s">
        <v>5126</v>
      </c>
      <c r="G1582" s="9" t="s">
        <v>181</v>
      </c>
      <c r="H1582" s="7" t="s">
        <v>2677</v>
      </c>
      <c r="I1582" s="7" t="s">
        <v>231</v>
      </c>
      <c r="J1582" s="10">
        <v>45952.0</v>
      </c>
      <c r="K1582" s="8" t="s">
        <v>22</v>
      </c>
      <c r="L1582" s="7">
        <v>4.0</v>
      </c>
      <c r="M1582" s="7" t="s">
        <v>636</v>
      </c>
      <c r="N1582" s="13" t="s">
        <v>5129</v>
      </c>
      <c r="O1582" s="15" t="s">
        <v>5130</v>
      </c>
    </row>
    <row r="1583">
      <c r="A1583" s="5">
        <v>1870.0</v>
      </c>
      <c r="B1583" s="6">
        <v>46000.31189409722</v>
      </c>
      <c r="C1583" s="7" t="s">
        <v>15</v>
      </c>
      <c r="D1583" s="8" t="s">
        <v>5125</v>
      </c>
      <c r="E1583" s="8" t="s">
        <v>762</v>
      </c>
      <c r="F1583" s="7" t="s">
        <v>5126</v>
      </c>
      <c r="G1583" s="9" t="s">
        <v>181</v>
      </c>
      <c r="H1583" s="7" t="s">
        <v>2677</v>
      </c>
      <c r="I1583" s="7" t="s">
        <v>231</v>
      </c>
      <c r="J1583" s="10">
        <v>45951.0</v>
      </c>
      <c r="K1583" s="8" t="s">
        <v>689</v>
      </c>
      <c r="L1583" s="7">
        <v>4.0</v>
      </c>
      <c r="M1583" s="7" t="s">
        <v>636</v>
      </c>
      <c r="N1583" s="13" t="s">
        <v>5131</v>
      </c>
      <c r="O1583" s="15" t="s">
        <v>5132</v>
      </c>
    </row>
    <row r="1584">
      <c r="A1584" s="5">
        <v>1871.0</v>
      </c>
      <c r="B1584" s="6">
        <v>46000.313900127316</v>
      </c>
      <c r="C1584" s="7" t="s">
        <v>15</v>
      </c>
      <c r="D1584" s="8" t="s">
        <v>5125</v>
      </c>
      <c r="E1584" s="8" t="s">
        <v>762</v>
      </c>
      <c r="F1584" s="7" t="s">
        <v>5126</v>
      </c>
      <c r="G1584" s="9" t="s">
        <v>181</v>
      </c>
      <c r="H1584" s="7" t="s">
        <v>2677</v>
      </c>
      <c r="I1584" s="7" t="s">
        <v>231</v>
      </c>
      <c r="J1584" s="10">
        <v>45949.0</v>
      </c>
      <c r="K1584" s="8" t="s">
        <v>689</v>
      </c>
      <c r="L1584" s="7">
        <v>4.0</v>
      </c>
      <c r="M1584" s="7" t="s">
        <v>636</v>
      </c>
      <c r="N1584" s="13" t="s">
        <v>5133</v>
      </c>
      <c r="O1584" s="15" t="s">
        <v>5134</v>
      </c>
    </row>
    <row r="1585">
      <c r="A1585" s="5">
        <v>1875.0</v>
      </c>
      <c r="B1585" s="6">
        <v>46000.32027049769</v>
      </c>
      <c r="C1585" s="7" t="s">
        <v>15</v>
      </c>
      <c r="D1585" s="8" t="s">
        <v>5125</v>
      </c>
      <c r="E1585" s="8" t="s">
        <v>762</v>
      </c>
      <c r="F1585" s="7" t="s">
        <v>5126</v>
      </c>
      <c r="G1585" s="9" t="s">
        <v>19</v>
      </c>
      <c r="H1585" s="7" t="s">
        <v>448</v>
      </c>
      <c r="I1585" s="7" t="s">
        <v>502</v>
      </c>
      <c r="J1585" s="10">
        <v>45839.0</v>
      </c>
      <c r="K1585" s="8" t="s">
        <v>67</v>
      </c>
      <c r="L1585" s="7">
        <v>8.0</v>
      </c>
      <c r="M1585" s="7" t="s">
        <v>33</v>
      </c>
      <c r="N1585" s="13" t="s">
        <v>5135</v>
      </c>
      <c r="O1585" s="15" t="s">
        <v>5136</v>
      </c>
    </row>
    <row r="1586">
      <c r="A1586" s="5">
        <v>1876.0</v>
      </c>
      <c r="B1586" s="6">
        <v>46000.32092766203</v>
      </c>
      <c r="C1586" s="7" t="s">
        <v>760</v>
      </c>
      <c r="D1586" s="8" t="s">
        <v>4848</v>
      </c>
      <c r="E1586" s="8" t="s">
        <v>228</v>
      </c>
      <c r="F1586" s="7" t="s">
        <v>4849</v>
      </c>
      <c r="G1586" s="9" t="s">
        <v>84</v>
      </c>
      <c r="H1586" s="7" t="s">
        <v>4757</v>
      </c>
      <c r="I1586" s="7" t="s">
        <v>765</v>
      </c>
      <c r="J1586" s="10">
        <v>45916.0</v>
      </c>
      <c r="K1586" s="8" t="s">
        <v>766</v>
      </c>
      <c r="L1586" s="7">
        <v>8.0</v>
      </c>
      <c r="M1586" s="7" t="s">
        <v>774</v>
      </c>
      <c r="N1586" s="13" t="s">
        <v>5137</v>
      </c>
      <c r="O1586" s="15" t="s">
        <v>5138</v>
      </c>
    </row>
    <row r="1587">
      <c r="A1587" s="5">
        <v>1877.0</v>
      </c>
      <c r="B1587" s="6">
        <v>46000.32388438657</v>
      </c>
      <c r="C1587" s="7" t="s">
        <v>760</v>
      </c>
      <c r="D1587" s="8" t="s">
        <v>2364</v>
      </c>
      <c r="E1587" s="8" t="s">
        <v>1596</v>
      </c>
      <c r="F1587" s="7" t="s">
        <v>2365</v>
      </c>
      <c r="G1587" s="9" t="s">
        <v>1426</v>
      </c>
      <c r="H1587" s="7" t="s">
        <v>1427</v>
      </c>
      <c r="I1587" s="7" t="s">
        <v>1337</v>
      </c>
      <c r="J1587" s="10">
        <v>45907.0</v>
      </c>
      <c r="K1587" s="8" t="s">
        <v>1338</v>
      </c>
      <c r="L1587" s="7">
        <v>8.0</v>
      </c>
      <c r="M1587" s="7" t="s">
        <v>33</v>
      </c>
      <c r="N1587" s="13" t="s">
        <v>5139</v>
      </c>
      <c r="O1587" s="15" t="s">
        <v>5140</v>
      </c>
    </row>
    <row r="1588">
      <c r="A1588" s="5">
        <v>1879.0</v>
      </c>
      <c r="B1588" s="6">
        <v>46000.328074467594</v>
      </c>
      <c r="C1588" s="7" t="s">
        <v>760</v>
      </c>
      <c r="D1588" s="8" t="s">
        <v>2364</v>
      </c>
      <c r="E1588" s="8" t="s">
        <v>1596</v>
      </c>
      <c r="F1588" s="7" t="s">
        <v>2365</v>
      </c>
      <c r="G1588" s="9" t="s">
        <v>19</v>
      </c>
      <c r="H1588" s="7" t="s">
        <v>1073</v>
      </c>
      <c r="I1588" s="7" t="s">
        <v>1318</v>
      </c>
      <c r="J1588" s="10">
        <v>45970.0</v>
      </c>
      <c r="K1588" s="8" t="s">
        <v>49</v>
      </c>
      <c r="L1588" s="7">
        <v>8.0</v>
      </c>
      <c r="M1588" s="7" t="s">
        <v>87</v>
      </c>
      <c r="N1588" s="13" t="s">
        <v>5141</v>
      </c>
      <c r="O1588" s="15" t="s">
        <v>5142</v>
      </c>
    </row>
    <row r="1589">
      <c r="A1589" s="5">
        <v>1880.0</v>
      </c>
      <c r="B1589" s="6">
        <v>46000.41032534723</v>
      </c>
      <c r="C1589" s="7" t="s">
        <v>15</v>
      </c>
      <c r="D1589" s="8" t="s">
        <v>5125</v>
      </c>
      <c r="E1589" s="8" t="s">
        <v>762</v>
      </c>
      <c r="F1589" s="7" t="s">
        <v>5126</v>
      </c>
      <c r="G1589" s="9" t="s">
        <v>19</v>
      </c>
      <c r="H1589" s="7" t="s">
        <v>5143</v>
      </c>
      <c r="I1589" s="7" t="s">
        <v>4614</v>
      </c>
      <c r="J1589" s="10">
        <v>45843.0</v>
      </c>
      <c r="K1589" s="8" t="s">
        <v>49</v>
      </c>
      <c r="L1589" s="7">
        <v>8.0</v>
      </c>
      <c r="M1589" s="7" t="s">
        <v>2802</v>
      </c>
      <c r="N1589" s="13" t="s">
        <v>5144</v>
      </c>
      <c r="O1589" s="15" t="s">
        <v>5145</v>
      </c>
    </row>
    <row r="1590">
      <c r="A1590" s="5">
        <v>1881.0</v>
      </c>
      <c r="B1590" s="6">
        <v>46000.41189729166</v>
      </c>
      <c r="C1590" s="7" t="s">
        <v>15</v>
      </c>
      <c r="D1590" s="8" t="s">
        <v>5125</v>
      </c>
      <c r="E1590" s="8" t="s">
        <v>762</v>
      </c>
      <c r="F1590" s="7" t="s">
        <v>5126</v>
      </c>
      <c r="G1590" s="9" t="s">
        <v>19</v>
      </c>
      <c r="H1590" s="7" t="s">
        <v>104</v>
      </c>
      <c r="I1590" s="7" t="s">
        <v>2932</v>
      </c>
      <c r="J1590" s="10">
        <v>45823.0</v>
      </c>
      <c r="K1590" s="8" t="s">
        <v>22</v>
      </c>
      <c r="L1590" s="7">
        <v>4.0</v>
      </c>
      <c r="M1590" s="7" t="s">
        <v>106</v>
      </c>
      <c r="N1590" s="13" t="s">
        <v>5146</v>
      </c>
      <c r="O1590" s="15" t="s">
        <v>5147</v>
      </c>
    </row>
    <row r="1591">
      <c r="A1591" s="5">
        <v>1884.0</v>
      </c>
      <c r="B1591" s="6">
        <v>46000.42224054398</v>
      </c>
      <c r="C1591" s="7" t="s">
        <v>760</v>
      </c>
      <c r="D1591" s="8" t="s">
        <v>1214</v>
      </c>
      <c r="E1591" s="8" t="s">
        <v>179</v>
      </c>
      <c r="F1591" s="7" t="s">
        <v>1215</v>
      </c>
      <c r="G1591" s="9" t="s">
        <v>181</v>
      </c>
      <c r="H1591" s="7" t="s">
        <v>5148</v>
      </c>
      <c r="I1591" s="7" t="s">
        <v>1211</v>
      </c>
      <c r="J1591" s="10">
        <v>45975.0</v>
      </c>
      <c r="K1591" s="8" t="s">
        <v>310</v>
      </c>
      <c r="L1591" s="7">
        <v>1.0</v>
      </c>
      <c r="M1591" s="7" t="s">
        <v>33</v>
      </c>
      <c r="N1591" s="13" t="s">
        <v>5149</v>
      </c>
      <c r="O1591" s="15" t="s">
        <v>5150</v>
      </c>
    </row>
    <row r="1592">
      <c r="A1592" s="5">
        <v>1885.0</v>
      </c>
      <c r="B1592" s="6">
        <v>46000.42521123843</v>
      </c>
      <c r="C1592" s="7" t="s">
        <v>15</v>
      </c>
      <c r="D1592" s="8" t="s">
        <v>5151</v>
      </c>
      <c r="E1592" s="8" t="s">
        <v>1116</v>
      </c>
      <c r="F1592" s="7" t="s">
        <v>5152</v>
      </c>
      <c r="G1592" s="9" t="s">
        <v>19</v>
      </c>
      <c r="H1592" s="7" t="s">
        <v>5153</v>
      </c>
      <c r="I1592" s="7" t="s">
        <v>3384</v>
      </c>
      <c r="J1592" s="10">
        <v>45841.0</v>
      </c>
      <c r="K1592" s="8" t="s">
        <v>5154</v>
      </c>
      <c r="L1592" s="7">
        <v>8.0</v>
      </c>
      <c r="M1592" s="7" t="s">
        <v>33</v>
      </c>
      <c r="N1592" s="13" t="s">
        <v>5155</v>
      </c>
      <c r="O1592" s="15" t="s">
        <v>5156</v>
      </c>
    </row>
    <row r="1593">
      <c r="A1593" s="5">
        <v>1886.0</v>
      </c>
      <c r="B1593" s="6">
        <v>46000.426015115736</v>
      </c>
      <c r="C1593" s="7" t="s">
        <v>760</v>
      </c>
      <c r="D1593" s="8" t="s">
        <v>5157</v>
      </c>
      <c r="E1593" s="8" t="s">
        <v>5158</v>
      </c>
      <c r="F1593" s="7" t="s">
        <v>5159</v>
      </c>
      <c r="G1593" s="9" t="s">
        <v>84</v>
      </c>
      <c r="H1593" s="7" t="s">
        <v>5160</v>
      </c>
      <c r="I1593" s="7" t="s">
        <v>773</v>
      </c>
      <c r="J1593" s="10">
        <v>45916.0</v>
      </c>
      <c r="K1593" s="8" t="s">
        <v>766</v>
      </c>
      <c r="L1593" s="7">
        <v>8.0</v>
      </c>
      <c r="M1593" s="7" t="s">
        <v>774</v>
      </c>
      <c r="N1593" s="13" t="s">
        <v>5161</v>
      </c>
      <c r="O1593" s="15" t="s">
        <v>5162</v>
      </c>
    </row>
    <row r="1594">
      <c r="A1594" s="5">
        <v>1888.0</v>
      </c>
      <c r="B1594" s="6">
        <v>46000.42695760417</v>
      </c>
      <c r="C1594" s="7" t="s">
        <v>760</v>
      </c>
      <c r="D1594" s="8" t="s">
        <v>4645</v>
      </c>
      <c r="E1594" s="8" t="s">
        <v>1259</v>
      </c>
      <c r="F1594" s="7" t="s">
        <v>4646</v>
      </c>
      <c r="G1594" s="9" t="s">
        <v>19</v>
      </c>
      <c r="H1594" s="7" t="s">
        <v>5163</v>
      </c>
      <c r="I1594" s="7" t="s">
        <v>53</v>
      </c>
      <c r="J1594" s="10">
        <v>45907.0</v>
      </c>
      <c r="K1594" s="8" t="s">
        <v>49</v>
      </c>
      <c r="L1594" s="7">
        <v>8.0</v>
      </c>
      <c r="M1594" s="7" t="s">
        <v>33</v>
      </c>
      <c r="N1594" s="13" t="s">
        <v>5164</v>
      </c>
      <c r="O1594" s="15" t="s">
        <v>5165</v>
      </c>
    </row>
    <row r="1595">
      <c r="A1595" s="5">
        <v>1891.0</v>
      </c>
      <c r="B1595" s="6">
        <v>46000.42910375</v>
      </c>
      <c r="C1595" s="7" t="s">
        <v>760</v>
      </c>
      <c r="D1595" s="8" t="s">
        <v>2718</v>
      </c>
      <c r="E1595" s="8" t="s">
        <v>91</v>
      </c>
      <c r="F1595" s="7" t="s">
        <v>2719</v>
      </c>
      <c r="G1595" s="9" t="s">
        <v>19</v>
      </c>
      <c r="H1595" s="7" t="s">
        <v>851</v>
      </c>
      <c r="I1595" s="7" t="s">
        <v>825</v>
      </c>
      <c r="J1595" s="10">
        <v>45998.0</v>
      </c>
      <c r="K1595" s="8" t="s">
        <v>5166</v>
      </c>
      <c r="L1595" s="7">
        <v>2.0</v>
      </c>
      <c r="M1595" s="7" t="s">
        <v>5167</v>
      </c>
      <c r="N1595" s="13" t="s">
        <v>5168</v>
      </c>
      <c r="O1595" s="15" t="s">
        <v>5169</v>
      </c>
    </row>
    <row r="1596">
      <c r="A1596" s="5">
        <v>1892.0</v>
      </c>
      <c r="B1596" s="6">
        <v>46000.429561689816</v>
      </c>
      <c r="C1596" s="7" t="s">
        <v>760</v>
      </c>
      <c r="D1596" s="8" t="s">
        <v>1424</v>
      </c>
      <c r="E1596" s="8" t="s">
        <v>110</v>
      </c>
      <c r="F1596" s="7" t="s">
        <v>1425</v>
      </c>
      <c r="G1596" s="9" t="s">
        <v>19</v>
      </c>
      <c r="H1596" s="7" t="s">
        <v>5170</v>
      </c>
      <c r="I1596" s="7" t="s">
        <v>1211</v>
      </c>
      <c r="J1596" s="10">
        <v>45928.0</v>
      </c>
      <c r="K1596" s="8" t="s">
        <v>4791</v>
      </c>
      <c r="L1596" s="7">
        <v>5.0</v>
      </c>
      <c r="M1596" s="7" t="s">
        <v>5171</v>
      </c>
      <c r="N1596" s="13" t="s">
        <v>5172</v>
      </c>
      <c r="O1596" s="15" t="s">
        <v>5173</v>
      </c>
    </row>
    <row r="1597">
      <c r="A1597" s="5">
        <v>1893.0</v>
      </c>
      <c r="B1597" s="6">
        <v>46000.42965855324</v>
      </c>
      <c r="C1597" s="7" t="s">
        <v>760</v>
      </c>
      <c r="D1597" s="8" t="s">
        <v>3687</v>
      </c>
      <c r="E1597" s="8" t="s">
        <v>737</v>
      </c>
      <c r="F1597" s="7" t="s">
        <v>3688</v>
      </c>
      <c r="G1597" s="9" t="s">
        <v>19</v>
      </c>
      <c r="H1597" s="7" t="s">
        <v>1427</v>
      </c>
      <c r="I1597" s="7" t="s">
        <v>1428</v>
      </c>
      <c r="J1597" s="10">
        <v>45907.0</v>
      </c>
      <c r="K1597" s="8" t="s">
        <v>49</v>
      </c>
      <c r="L1597" s="7">
        <v>8.0</v>
      </c>
      <c r="M1597" s="7" t="s">
        <v>33</v>
      </c>
      <c r="N1597" s="13" t="s">
        <v>5174</v>
      </c>
      <c r="O1597" s="15" t="s">
        <v>5175</v>
      </c>
    </row>
    <row r="1598">
      <c r="A1598" s="5">
        <v>1894.0</v>
      </c>
      <c r="B1598" s="6">
        <v>46000.42984986111</v>
      </c>
      <c r="C1598" s="7" t="s">
        <v>760</v>
      </c>
      <c r="D1598" s="8" t="s">
        <v>2560</v>
      </c>
      <c r="E1598" s="8" t="s">
        <v>1023</v>
      </c>
      <c r="F1598" s="7" t="s">
        <v>2561</v>
      </c>
      <c r="G1598" s="9" t="s">
        <v>181</v>
      </c>
      <c r="H1598" s="7" t="s">
        <v>4941</v>
      </c>
      <c r="I1598" s="7" t="s">
        <v>231</v>
      </c>
      <c r="J1598" s="10">
        <v>45965.0</v>
      </c>
      <c r="K1598" s="8" t="s">
        <v>49</v>
      </c>
      <c r="L1598" s="7">
        <v>8.0</v>
      </c>
      <c r="M1598" s="7" t="s">
        <v>1564</v>
      </c>
      <c r="N1598" s="13" t="s">
        <v>5176</v>
      </c>
      <c r="O1598" s="15" t="s">
        <v>5177</v>
      </c>
    </row>
    <row r="1599">
      <c r="A1599" s="5">
        <v>1899.0</v>
      </c>
      <c r="B1599" s="6">
        <v>46000.431282314814</v>
      </c>
      <c r="C1599" s="7" t="s">
        <v>760</v>
      </c>
      <c r="D1599" s="8" t="s">
        <v>2560</v>
      </c>
      <c r="E1599" s="8" t="s">
        <v>1023</v>
      </c>
      <c r="F1599" s="7" t="s">
        <v>2561</v>
      </c>
      <c r="G1599" s="9" t="s">
        <v>181</v>
      </c>
      <c r="H1599" s="7" t="s">
        <v>4941</v>
      </c>
      <c r="I1599" s="7" t="s">
        <v>231</v>
      </c>
      <c r="J1599" s="10">
        <v>45967.0</v>
      </c>
      <c r="K1599" s="8" t="s">
        <v>22</v>
      </c>
      <c r="L1599" s="7">
        <v>4.0</v>
      </c>
      <c r="M1599" s="7" t="s">
        <v>1564</v>
      </c>
      <c r="N1599" s="13" t="s">
        <v>5178</v>
      </c>
      <c r="O1599" s="15" t="s">
        <v>5179</v>
      </c>
    </row>
    <row r="1600">
      <c r="A1600" s="5">
        <v>1900.0</v>
      </c>
      <c r="B1600" s="6">
        <v>46000.43141806713</v>
      </c>
      <c r="C1600" s="7" t="s">
        <v>760</v>
      </c>
      <c r="D1600" s="8" t="s">
        <v>1196</v>
      </c>
      <c r="E1600" s="8" t="s">
        <v>1197</v>
      </c>
      <c r="F1600" s="7" t="s">
        <v>1198</v>
      </c>
      <c r="G1600" s="9" t="s">
        <v>209</v>
      </c>
      <c r="H1600" s="7" t="s">
        <v>5180</v>
      </c>
      <c r="I1600" s="7" t="s">
        <v>825</v>
      </c>
      <c r="J1600" s="10">
        <v>45996.0</v>
      </c>
      <c r="K1600" s="8" t="s">
        <v>22</v>
      </c>
      <c r="L1600" s="7">
        <v>4.0</v>
      </c>
      <c r="M1600" s="7" t="s">
        <v>5181</v>
      </c>
      <c r="N1600" s="13" t="s">
        <v>5182</v>
      </c>
      <c r="O1600" s="15" t="s">
        <v>5183</v>
      </c>
    </row>
    <row r="1601">
      <c r="A1601" s="5">
        <v>1901.0</v>
      </c>
      <c r="B1601" s="6">
        <v>46000.43188333334</v>
      </c>
      <c r="C1601" s="7" t="s">
        <v>760</v>
      </c>
      <c r="D1601" s="8" t="s">
        <v>3406</v>
      </c>
      <c r="E1601" s="8" t="s">
        <v>134</v>
      </c>
      <c r="F1601" s="7" t="s">
        <v>3407</v>
      </c>
      <c r="G1601" s="9" t="s">
        <v>19</v>
      </c>
      <c r="H1601" s="7" t="s">
        <v>5184</v>
      </c>
      <c r="I1601" s="7" t="s">
        <v>1337</v>
      </c>
      <c r="J1601" s="10">
        <v>45907.0</v>
      </c>
      <c r="K1601" s="8" t="s">
        <v>49</v>
      </c>
      <c r="L1601" s="7">
        <v>8.0</v>
      </c>
      <c r="M1601" s="7" t="s">
        <v>33</v>
      </c>
      <c r="N1601" s="13" t="s">
        <v>5185</v>
      </c>
      <c r="O1601" s="15" t="s">
        <v>5186</v>
      </c>
    </row>
    <row r="1602">
      <c r="A1602" s="5">
        <v>1902.0</v>
      </c>
      <c r="B1602" s="6">
        <v>46000.43233003472</v>
      </c>
      <c r="C1602" s="7" t="s">
        <v>760</v>
      </c>
      <c r="D1602" s="8" t="s">
        <v>3979</v>
      </c>
      <c r="E1602" s="8" t="s">
        <v>236</v>
      </c>
      <c r="F1602" s="7" t="s">
        <v>3980</v>
      </c>
      <c r="G1602" s="9" t="s">
        <v>144</v>
      </c>
      <c r="H1602" s="7" t="s">
        <v>5187</v>
      </c>
      <c r="I1602" s="7" t="s">
        <v>5188</v>
      </c>
      <c r="J1602" s="10">
        <v>45997.0</v>
      </c>
      <c r="K1602" s="8" t="s">
        <v>22</v>
      </c>
      <c r="L1602" s="7">
        <v>4.0</v>
      </c>
      <c r="M1602" s="7" t="s">
        <v>5189</v>
      </c>
      <c r="N1602" s="13" t="s">
        <v>5190</v>
      </c>
      <c r="O1602" s="15" t="s">
        <v>5191</v>
      </c>
    </row>
    <row r="1603">
      <c r="A1603" s="5">
        <v>1903.0</v>
      </c>
      <c r="B1603" s="6">
        <v>46000.433731377314</v>
      </c>
      <c r="C1603" s="7" t="s">
        <v>760</v>
      </c>
      <c r="D1603" s="8" t="s">
        <v>2560</v>
      </c>
      <c r="E1603" s="8" t="s">
        <v>1023</v>
      </c>
      <c r="F1603" s="7" t="s">
        <v>2561</v>
      </c>
      <c r="G1603" s="9" t="s">
        <v>181</v>
      </c>
      <c r="H1603" s="7" t="s">
        <v>4941</v>
      </c>
      <c r="I1603" s="7" t="s">
        <v>231</v>
      </c>
      <c r="J1603" s="10">
        <v>45966.0</v>
      </c>
      <c r="K1603" s="8" t="s">
        <v>49</v>
      </c>
      <c r="L1603" s="7">
        <v>8.0</v>
      </c>
      <c r="M1603" s="7" t="s">
        <v>1564</v>
      </c>
      <c r="N1603" s="13" t="s">
        <v>5192</v>
      </c>
      <c r="O1603" s="15" t="s">
        <v>5193</v>
      </c>
    </row>
    <row r="1604">
      <c r="A1604" s="5">
        <v>1904.0</v>
      </c>
      <c r="B1604" s="6">
        <v>46000.43428395833</v>
      </c>
      <c r="C1604" s="7" t="s">
        <v>760</v>
      </c>
      <c r="D1604" s="8" t="s">
        <v>1196</v>
      </c>
      <c r="E1604" s="8" t="s">
        <v>1197</v>
      </c>
      <c r="F1604" s="7" t="s">
        <v>1198</v>
      </c>
      <c r="G1604" s="9" t="s">
        <v>209</v>
      </c>
      <c r="H1604" s="7" t="s">
        <v>5194</v>
      </c>
      <c r="I1604" s="7" t="s">
        <v>825</v>
      </c>
      <c r="J1604" s="10">
        <v>45879.0</v>
      </c>
      <c r="K1604" s="8" t="s">
        <v>1365</v>
      </c>
      <c r="L1604" s="7">
        <v>4.0</v>
      </c>
      <c r="M1604" s="7" t="s">
        <v>5195</v>
      </c>
      <c r="N1604" s="13" t="s">
        <v>5196</v>
      </c>
      <c r="O1604" s="15" t="s">
        <v>5197</v>
      </c>
    </row>
    <row r="1605">
      <c r="A1605" s="5">
        <v>1905.0</v>
      </c>
      <c r="B1605" s="6">
        <v>46000.434695289354</v>
      </c>
      <c r="C1605" s="7" t="s">
        <v>760</v>
      </c>
      <c r="D1605" s="8" t="s">
        <v>902</v>
      </c>
      <c r="E1605" s="8" t="s">
        <v>28</v>
      </c>
      <c r="F1605" s="7" t="s">
        <v>1393</v>
      </c>
      <c r="G1605" s="9" t="s">
        <v>209</v>
      </c>
      <c r="H1605" s="7" t="s">
        <v>5198</v>
      </c>
      <c r="I1605" s="7" t="s">
        <v>825</v>
      </c>
      <c r="J1605" s="10">
        <v>45990.0</v>
      </c>
      <c r="K1605" s="8" t="s">
        <v>5199</v>
      </c>
      <c r="L1605" s="7">
        <v>4.0</v>
      </c>
      <c r="M1605" s="7" t="s">
        <v>5200</v>
      </c>
      <c r="N1605" s="13" t="s">
        <v>5201</v>
      </c>
      <c r="O1605" s="15" t="s">
        <v>5202</v>
      </c>
    </row>
    <row r="1606">
      <c r="A1606" s="5">
        <v>1908.0</v>
      </c>
      <c r="B1606" s="6">
        <v>46000.43778296297</v>
      </c>
      <c r="C1606" s="7" t="s">
        <v>760</v>
      </c>
      <c r="D1606" s="8" t="s">
        <v>902</v>
      </c>
      <c r="E1606" s="8" t="s">
        <v>28</v>
      </c>
      <c r="F1606" s="7" t="s">
        <v>1393</v>
      </c>
      <c r="G1606" s="9" t="s">
        <v>209</v>
      </c>
      <c r="H1606" s="7" t="s">
        <v>5203</v>
      </c>
      <c r="I1606" s="7" t="s">
        <v>825</v>
      </c>
      <c r="J1606" s="10">
        <v>45991.0</v>
      </c>
      <c r="K1606" s="8" t="s">
        <v>1395</v>
      </c>
      <c r="L1606" s="7">
        <v>4.0</v>
      </c>
      <c r="M1606" s="7" t="s">
        <v>5200</v>
      </c>
      <c r="N1606" s="13" t="s">
        <v>5204</v>
      </c>
      <c r="O1606" s="15" t="s">
        <v>5205</v>
      </c>
    </row>
    <row r="1607">
      <c r="A1607" s="5">
        <v>1910.0</v>
      </c>
      <c r="B1607" s="6">
        <v>46000.438590370366</v>
      </c>
      <c r="C1607" s="7" t="s">
        <v>15</v>
      </c>
      <c r="D1607" s="8" t="s">
        <v>5151</v>
      </c>
      <c r="E1607" s="8" t="s">
        <v>1116</v>
      </c>
      <c r="F1607" s="7" t="s">
        <v>5152</v>
      </c>
      <c r="G1607" s="9" t="s">
        <v>19</v>
      </c>
      <c r="H1607" s="7" t="s">
        <v>5153</v>
      </c>
      <c r="I1607" s="7" t="s">
        <v>3384</v>
      </c>
      <c r="J1607" s="10">
        <v>45841.0</v>
      </c>
      <c r="K1607" s="8" t="s">
        <v>5206</v>
      </c>
      <c r="L1607" s="7">
        <v>8.0</v>
      </c>
      <c r="M1607" s="7" t="s">
        <v>33</v>
      </c>
      <c r="N1607" s="13" t="s">
        <v>5207</v>
      </c>
      <c r="O1607" s="15" t="s">
        <v>5208</v>
      </c>
    </row>
    <row r="1608">
      <c r="A1608" s="5">
        <v>1911.0</v>
      </c>
      <c r="B1608" s="6">
        <v>46000.43880747685</v>
      </c>
      <c r="C1608" s="7" t="s">
        <v>760</v>
      </c>
      <c r="D1608" s="8" t="s">
        <v>4848</v>
      </c>
      <c r="E1608" s="8" t="s">
        <v>228</v>
      </c>
      <c r="F1608" s="7" t="s">
        <v>4849</v>
      </c>
      <c r="G1608" s="9" t="s">
        <v>209</v>
      </c>
      <c r="H1608" s="7" t="s">
        <v>851</v>
      </c>
      <c r="I1608" s="7" t="s">
        <v>825</v>
      </c>
      <c r="J1608" s="10">
        <v>45998.0</v>
      </c>
      <c r="K1608" s="8" t="s">
        <v>657</v>
      </c>
      <c r="L1608" s="7">
        <v>4.0</v>
      </c>
      <c r="M1608" s="7" t="s">
        <v>5209</v>
      </c>
      <c r="N1608" s="13" t="s">
        <v>5210</v>
      </c>
      <c r="O1608" s="15" t="s">
        <v>5211</v>
      </c>
    </row>
    <row r="1609">
      <c r="A1609" s="5">
        <v>1912.0</v>
      </c>
      <c r="B1609" s="6">
        <v>46000.43976091435</v>
      </c>
      <c r="C1609" s="7" t="s">
        <v>760</v>
      </c>
      <c r="D1609" s="8" t="s">
        <v>4848</v>
      </c>
      <c r="E1609" s="8" t="s">
        <v>228</v>
      </c>
      <c r="F1609" s="7" t="s">
        <v>4849</v>
      </c>
      <c r="G1609" s="9" t="s">
        <v>209</v>
      </c>
      <c r="H1609" s="7" t="s">
        <v>824</v>
      </c>
      <c r="I1609" s="7" t="s">
        <v>825</v>
      </c>
      <c r="J1609" s="10">
        <v>45998.0</v>
      </c>
      <c r="K1609" s="8" t="s">
        <v>4229</v>
      </c>
      <c r="L1609" s="7">
        <v>4.0</v>
      </c>
      <c r="M1609" s="7" t="s">
        <v>5209</v>
      </c>
      <c r="N1609" s="13" t="s">
        <v>5212</v>
      </c>
      <c r="O1609" s="15" t="s">
        <v>5213</v>
      </c>
    </row>
    <row r="1610">
      <c r="A1610" s="5">
        <v>1914.0</v>
      </c>
      <c r="B1610" s="6">
        <v>46000.44245105324</v>
      </c>
      <c r="C1610" s="7" t="s">
        <v>760</v>
      </c>
      <c r="D1610" s="8" t="s">
        <v>2692</v>
      </c>
      <c r="E1610" s="8" t="s">
        <v>1248</v>
      </c>
      <c r="F1610" s="7" t="s">
        <v>2693</v>
      </c>
      <c r="G1610" s="9" t="s">
        <v>181</v>
      </c>
      <c r="H1610" s="7" t="s">
        <v>4941</v>
      </c>
      <c r="I1610" s="7" t="s">
        <v>231</v>
      </c>
      <c r="J1610" s="10">
        <v>45965.0</v>
      </c>
      <c r="K1610" s="8" t="s">
        <v>49</v>
      </c>
      <c r="L1610" s="7">
        <v>8.0</v>
      </c>
      <c r="M1610" s="7" t="s">
        <v>1564</v>
      </c>
      <c r="N1610" s="13" t="s">
        <v>5214</v>
      </c>
      <c r="O1610" s="15" t="s">
        <v>5215</v>
      </c>
    </row>
    <row r="1611">
      <c r="A1611" s="5">
        <v>1915.0</v>
      </c>
      <c r="B1611" s="6">
        <v>46000.44443232639</v>
      </c>
      <c r="C1611" s="7" t="s">
        <v>760</v>
      </c>
      <c r="D1611" s="8" t="s">
        <v>1220</v>
      </c>
      <c r="E1611" s="8" t="s">
        <v>951</v>
      </c>
      <c r="F1611" s="7" t="s">
        <v>1221</v>
      </c>
      <c r="G1611" s="9" t="s">
        <v>209</v>
      </c>
      <c r="H1611" s="7" t="s">
        <v>5216</v>
      </c>
      <c r="I1611" s="7" t="s">
        <v>825</v>
      </c>
      <c r="J1611" s="10">
        <v>45997.0</v>
      </c>
      <c r="K1611" s="8" t="s">
        <v>5217</v>
      </c>
      <c r="L1611" s="7">
        <v>4.0</v>
      </c>
      <c r="M1611" s="7" t="s">
        <v>5218</v>
      </c>
      <c r="N1611" s="13" t="s">
        <v>5219</v>
      </c>
      <c r="O1611" s="15" t="s">
        <v>5220</v>
      </c>
    </row>
    <row r="1612">
      <c r="A1612" s="5">
        <v>1916.0</v>
      </c>
      <c r="B1612" s="6">
        <v>46000.44464030092</v>
      </c>
      <c r="C1612" s="7" t="s">
        <v>760</v>
      </c>
      <c r="D1612" s="8" t="s">
        <v>2692</v>
      </c>
      <c r="E1612" s="8" t="s">
        <v>1248</v>
      </c>
      <c r="F1612" s="7" t="s">
        <v>2693</v>
      </c>
      <c r="G1612" s="9" t="s">
        <v>181</v>
      </c>
      <c r="H1612" s="7" t="s">
        <v>4941</v>
      </c>
      <c r="I1612" s="7" t="s">
        <v>231</v>
      </c>
      <c r="J1612" s="10">
        <v>45966.0</v>
      </c>
      <c r="K1612" s="8" t="s">
        <v>49</v>
      </c>
      <c r="L1612" s="7">
        <v>8.0</v>
      </c>
      <c r="M1612" s="7" t="s">
        <v>1564</v>
      </c>
      <c r="N1612" s="13" t="s">
        <v>5221</v>
      </c>
      <c r="O1612" s="15" t="s">
        <v>5222</v>
      </c>
    </row>
    <row r="1613">
      <c r="A1613" s="5">
        <v>1917.0</v>
      </c>
      <c r="B1613" s="6">
        <v>46000.445275578706</v>
      </c>
      <c r="C1613" s="7" t="s">
        <v>760</v>
      </c>
      <c r="D1613" s="8" t="s">
        <v>3369</v>
      </c>
      <c r="E1613" s="8" t="s">
        <v>1948</v>
      </c>
      <c r="F1613" s="7" t="s">
        <v>3370</v>
      </c>
      <c r="G1613" s="9" t="s">
        <v>19</v>
      </c>
      <c r="H1613" s="7" t="s">
        <v>5223</v>
      </c>
      <c r="I1613" s="7" t="s">
        <v>905</v>
      </c>
      <c r="J1613" s="10">
        <v>45907.0</v>
      </c>
      <c r="K1613" s="8" t="s">
        <v>766</v>
      </c>
      <c r="L1613" s="7">
        <v>8.0</v>
      </c>
      <c r="M1613" s="7" t="s">
        <v>33</v>
      </c>
      <c r="N1613" s="13" t="s">
        <v>5224</v>
      </c>
      <c r="O1613" s="15" t="s">
        <v>5225</v>
      </c>
    </row>
    <row r="1614">
      <c r="A1614" s="5">
        <v>1919.0</v>
      </c>
      <c r="B1614" s="6">
        <v>46000.44654621527</v>
      </c>
      <c r="C1614" s="7" t="s">
        <v>760</v>
      </c>
      <c r="D1614" s="8" t="s">
        <v>2646</v>
      </c>
      <c r="E1614" s="8" t="s">
        <v>919</v>
      </c>
      <c r="F1614" s="7" t="s">
        <v>2647</v>
      </c>
      <c r="G1614" s="9" t="s">
        <v>19</v>
      </c>
      <c r="H1614" s="7" t="s">
        <v>1427</v>
      </c>
      <c r="I1614" s="7" t="s">
        <v>5226</v>
      </c>
      <c r="J1614" s="10">
        <v>45907.0</v>
      </c>
      <c r="K1614" s="8" t="s">
        <v>5227</v>
      </c>
      <c r="L1614" s="7">
        <v>8.0</v>
      </c>
      <c r="M1614" s="7" t="s">
        <v>33</v>
      </c>
      <c r="N1614" s="13" t="s">
        <v>5228</v>
      </c>
      <c r="O1614" s="15" t="s">
        <v>5229</v>
      </c>
    </row>
    <row r="1615">
      <c r="A1615" s="5">
        <v>1920.0</v>
      </c>
      <c r="B1615" s="6">
        <v>46000.44771645834</v>
      </c>
      <c r="C1615" s="7" t="s">
        <v>760</v>
      </c>
      <c r="D1615" s="8" t="s">
        <v>3979</v>
      </c>
      <c r="E1615" s="8" t="s">
        <v>236</v>
      </c>
      <c r="F1615" s="7" t="s">
        <v>3980</v>
      </c>
      <c r="G1615" s="9" t="s">
        <v>181</v>
      </c>
      <c r="H1615" s="7" t="s">
        <v>1222</v>
      </c>
      <c r="I1615" s="7" t="s">
        <v>231</v>
      </c>
      <c r="J1615" s="10">
        <v>45964.0</v>
      </c>
      <c r="K1615" s="8" t="s">
        <v>5230</v>
      </c>
      <c r="L1615" s="7">
        <v>1.0</v>
      </c>
      <c r="M1615" s="7" t="s">
        <v>33</v>
      </c>
      <c r="N1615" s="13" t="s">
        <v>5231</v>
      </c>
      <c r="O1615" s="15" t="s">
        <v>5232</v>
      </c>
    </row>
    <row r="1616">
      <c r="A1616" s="5">
        <v>1921.0</v>
      </c>
      <c r="B1616" s="6">
        <v>46000.448241446764</v>
      </c>
      <c r="C1616" s="7" t="s">
        <v>760</v>
      </c>
      <c r="D1616" s="8" t="s">
        <v>5233</v>
      </c>
      <c r="E1616" s="8" t="s">
        <v>479</v>
      </c>
      <c r="F1616" s="7" t="s">
        <v>5234</v>
      </c>
      <c r="G1616" s="9" t="s">
        <v>84</v>
      </c>
      <c r="H1616" s="7" t="s">
        <v>455</v>
      </c>
      <c r="I1616" s="7" t="s">
        <v>1192</v>
      </c>
      <c r="J1616" s="10">
        <v>45916.0</v>
      </c>
      <c r="K1616" s="8" t="s">
        <v>49</v>
      </c>
      <c r="L1616" s="7">
        <v>8.0</v>
      </c>
      <c r="M1616" s="7" t="s">
        <v>774</v>
      </c>
      <c r="N1616" s="13" t="s">
        <v>5235</v>
      </c>
      <c r="O1616" s="15" t="s">
        <v>5236</v>
      </c>
    </row>
    <row r="1617">
      <c r="A1617" s="5">
        <v>1922.0</v>
      </c>
      <c r="B1617" s="6">
        <v>46000.449687430555</v>
      </c>
      <c r="C1617" s="7" t="s">
        <v>760</v>
      </c>
      <c r="D1617" s="8" t="s">
        <v>1220</v>
      </c>
      <c r="E1617" s="8" t="s">
        <v>951</v>
      </c>
      <c r="F1617" s="7" t="s">
        <v>1221</v>
      </c>
      <c r="G1617" s="9" t="s">
        <v>19</v>
      </c>
      <c r="H1617" s="7" t="s">
        <v>1336</v>
      </c>
      <c r="I1617" s="7" t="s">
        <v>1337</v>
      </c>
      <c r="J1617" s="10">
        <v>45907.0</v>
      </c>
      <c r="K1617" s="8" t="s">
        <v>4391</v>
      </c>
      <c r="L1617" s="7">
        <v>8.0</v>
      </c>
      <c r="M1617" s="7" t="s">
        <v>33</v>
      </c>
      <c r="N1617" s="13" t="s">
        <v>5237</v>
      </c>
      <c r="O1617" s="15" t="s">
        <v>5238</v>
      </c>
    </row>
    <row r="1618">
      <c r="A1618" s="5">
        <v>1924.0</v>
      </c>
      <c r="B1618" s="6">
        <v>46000.450830856484</v>
      </c>
      <c r="C1618" s="7" t="s">
        <v>760</v>
      </c>
      <c r="D1618" s="8" t="s">
        <v>4976</v>
      </c>
      <c r="E1618" s="8" t="s">
        <v>2338</v>
      </c>
      <c r="F1618" s="7" t="s">
        <v>4977</v>
      </c>
      <c r="G1618" s="9" t="s">
        <v>209</v>
      </c>
      <c r="H1618" s="7" t="s">
        <v>2900</v>
      </c>
      <c r="I1618" s="7" t="s">
        <v>5239</v>
      </c>
      <c r="J1618" s="10">
        <v>45998.0</v>
      </c>
      <c r="K1618" s="8" t="s">
        <v>657</v>
      </c>
      <c r="L1618" s="7">
        <v>3.0</v>
      </c>
      <c r="M1618" s="7" t="s">
        <v>5240</v>
      </c>
      <c r="N1618" s="13" t="s">
        <v>5241</v>
      </c>
      <c r="O1618" s="15" t="s">
        <v>5242</v>
      </c>
    </row>
    <row r="1619">
      <c r="A1619" s="5">
        <v>1925.0</v>
      </c>
      <c r="B1619" s="6">
        <v>46000.45237855324</v>
      </c>
      <c r="C1619" s="7" t="s">
        <v>760</v>
      </c>
      <c r="D1619" s="8" t="s">
        <v>2646</v>
      </c>
      <c r="E1619" s="8" t="s">
        <v>919</v>
      </c>
      <c r="F1619" s="7" t="s">
        <v>2647</v>
      </c>
      <c r="G1619" s="9" t="s">
        <v>159</v>
      </c>
      <c r="H1619" s="7" t="s">
        <v>5243</v>
      </c>
      <c r="I1619" s="7" t="s">
        <v>5244</v>
      </c>
      <c r="J1619" s="10">
        <v>45941.0</v>
      </c>
      <c r="K1619" s="8" t="s">
        <v>5245</v>
      </c>
      <c r="L1619" s="7">
        <v>4.0</v>
      </c>
      <c r="M1619" s="7" t="s">
        <v>5246</v>
      </c>
      <c r="N1619" s="13" t="s">
        <v>5247</v>
      </c>
      <c r="O1619" s="15" t="s">
        <v>5248</v>
      </c>
    </row>
    <row r="1620">
      <c r="A1620" s="5">
        <v>1926.0</v>
      </c>
      <c r="B1620" s="6">
        <v>46000.45339782407</v>
      </c>
      <c r="C1620" s="7" t="s">
        <v>760</v>
      </c>
      <c r="D1620" s="8" t="s">
        <v>4361</v>
      </c>
      <c r="E1620" s="8" t="s">
        <v>674</v>
      </c>
      <c r="F1620" s="7" t="s">
        <v>4362</v>
      </c>
      <c r="G1620" s="9" t="s">
        <v>181</v>
      </c>
      <c r="H1620" s="7" t="s">
        <v>895</v>
      </c>
      <c r="I1620" s="7" t="s">
        <v>231</v>
      </c>
      <c r="J1620" s="10">
        <v>45957.0</v>
      </c>
      <c r="K1620" s="8" t="s">
        <v>4065</v>
      </c>
      <c r="L1620" s="7">
        <v>1.0</v>
      </c>
      <c r="M1620" s="7" t="s">
        <v>33</v>
      </c>
      <c r="N1620" s="13" t="s">
        <v>5249</v>
      </c>
      <c r="O1620" s="15" t="s">
        <v>5250</v>
      </c>
    </row>
    <row r="1621">
      <c r="A1621" s="5">
        <v>1927.0</v>
      </c>
      <c r="B1621" s="6">
        <v>46000.4536172338</v>
      </c>
      <c r="C1621" s="7" t="s">
        <v>760</v>
      </c>
      <c r="D1621" s="8" t="s">
        <v>5233</v>
      </c>
      <c r="E1621" s="8" t="s">
        <v>479</v>
      </c>
      <c r="F1621" s="7" t="s">
        <v>5234</v>
      </c>
      <c r="G1621" s="9" t="s">
        <v>181</v>
      </c>
      <c r="H1621" s="7" t="s">
        <v>5251</v>
      </c>
      <c r="I1621" s="7" t="s">
        <v>231</v>
      </c>
      <c r="J1621" s="10">
        <v>45976.0</v>
      </c>
      <c r="K1621" s="8" t="s">
        <v>694</v>
      </c>
      <c r="L1621" s="7">
        <v>3.0</v>
      </c>
      <c r="M1621" s="7" t="s">
        <v>3607</v>
      </c>
      <c r="N1621" s="13" t="s">
        <v>5252</v>
      </c>
      <c r="O1621" s="15" t="s">
        <v>5253</v>
      </c>
    </row>
    <row r="1622">
      <c r="A1622" s="5">
        <v>1928.0</v>
      </c>
      <c r="B1622" s="6">
        <v>46000.45485758102</v>
      </c>
      <c r="C1622" s="7" t="s">
        <v>760</v>
      </c>
      <c r="D1622" s="8" t="s">
        <v>4361</v>
      </c>
      <c r="E1622" s="8" t="s">
        <v>674</v>
      </c>
      <c r="F1622" s="7" t="s">
        <v>4362</v>
      </c>
      <c r="G1622" s="9" t="s">
        <v>181</v>
      </c>
      <c r="H1622" s="7" t="s">
        <v>895</v>
      </c>
      <c r="I1622" s="7" t="s">
        <v>231</v>
      </c>
      <c r="J1622" s="10">
        <v>45958.0</v>
      </c>
      <c r="K1622" s="8" t="s">
        <v>4065</v>
      </c>
      <c r="L1622" s="7">
        <v>1.0</v>
      </c>
      <c r="M1622" s="7" t="s">
        <v>33</v>
      </c>
      <c r="N1622" s="13" t="s">
        <v>5254</v>
      </c>
      <c r="O1622" s="15" t="s">
        <v>5255</v>
      </c>
    </row>
    <row r="1623">
      <c r="A1623" s="5">
        <v>1929.0</v>
      </c>
      <c r="B1623" s="6">
        <v>46000.45707471065</v>
      </c>
      <c r="C1623" s="7" t="s">
        <v>760</v>
      </c>
      <c r="D1623" s="8" t="s">
        <v>4361</v>
      </c>
      <c r="E1623" s="8" t="s">
        <v>674</v>
      </c>
      <c r="F1623" s="7" t="s">
        <v>4362</v>
      </c>
      <c r="G1623" s="9" t="s">
        <v>181</v>
      </c>
      <c r="H1623" s="7" t="s">
        <v>895</v>
      </c>
      <c r="I1623" s="7" t="s">
        <v>231</v>
      </c>
      <c r="J1623" s="10">
        <v>45960.0</v>
      </c>
      <c r="K1623" s="8" t="s">
        <v>4065</v>
      </c>
      <c r="L1623" s="7">
        <v>1.0</v>
      </c>
      <c r="M1623" s="7" t="s">
        <v>33</v>
      </c>
      <c r="N1623" s="13" t="s">
        <v>5256</v>
      </c>
      <c r="O1623" s="15" t="s">
        <v>5257</v>
      </c>
    </row>
    <row r="1624">
      <c r="A1624" s="5">
        <v>1930.0</v>
      </c>
      <c r="B1624" s="6">
        <v>46000.45865714121</v>
      </c>
      <c r="C1624" s="7" t="s">
        <v>760</v>
      </c>
      <c r="D1624" s="8" t="s">
        <v>4976</v>
      </c>
      <c r="E1624" s="8" t="s">
        <v>2338</v>
      </c>
      <c r="F1624" s="7" t="s">
        <v>4977</v>
      </c>
      <c r="G1624" s="9" t="s">
        <v>181</v>
      </c>
      <c r="H1624" s="7" t="s">
        <v>3922</v>
      </c>
      <c r="I1624" s="7" t="s">
        <v>5012</v>
      </c>
      <c r="J1624" s="10">
        <v>45999.0</v>
      </c>
      <c r="K1624" s="8" t="s">
        <v>3924</v>
      </c>
      <c r="L1624" s="7">
        <v>4.0</v>
      </c>
      <c r="M1624" s="7" t="s">
        <v>3590</v>
      </c>
      <c r="N1624" s="13" t="s">
        <v>5258</v>
      </c>
      <c r="O1624" s="15" t="s">
        <v>5259</v>
      </c>
    </row>
    <row r="1625">
      <c r="A1625" s="5">
        <v>1931.0</v>
      </c>
      <c r="B1625" s="6">
        <v>46000.4763980787</v>
      </c>
      <c r="C1625" s="7" t="s">
        <v>760</v>
      </c>
      <c r="D1625" s="8" t="s">
        <v>3979</v>
      </c>
      <c r="E1625" s="8" t="s">
        <v>236</v>
      </c>
      <c r="F1625" s="7" t="s">
        <v>3980</v>
      </c>
      <c r="G1625" s="9" t="s">
        <v>209</v>
      </c>
      <c r="H1625" s="7" t="s">
        <v>851</v>
      </c>
      <c r="I1625" s="7" t="s">
        <v>825</v>
      </c>
      <c r="J1625" s="10">
        <v>45997.0</v>
      </c>
      <c r="K1625" s="8" t="s">
        <v>1132</v>
      </c>
      <c r="L1625" s="7">
        <v>4.0</v>
      </c>
      <c r="M1625" s="7" t="s">
        <v>5260</v>
      </c>
      <c r="N1625" s="13" t="s">
        <v>5261</v>
      </c>
      <c r="O1625" s="15" t="s">
        <v>5262</v>
      </c>
    </row>
    <row r="1626">
      <c r="A1626" s="5">
        <v>1932.0</v>
      </c>
      <c r="B1626" s="6">
        <v>46000.47804244213</v>
      </c>
      <c r="C1626" s="7" t="s">
        <v>760</v>
      </c>
      <c r="D1626" s="8" t="s">
        <v>3395</v>
      </c>
      <c r="E1626" s="8" t="s">
        <v>1097</v>
      </c>
      <c r="F1626" s="7" t="s">
        <v>5263</v>
      </c>
      <c r="G1626" s="9" t="s">
        <v>159</v>
      </c>
      <c r="H1626" s="7" t="s">
        <v>5264</v>
      </c>
      <c r="I1626" s="7" t="s">
        <v>5265</v>
      </c>
      <c r="J1626" s="10">
        <v>45996.0</v>
      </c>
      <c r="K1626" s="8" t="s">
        <v>1145</v>
      </c>
      <c r="L1626" s="7">
        <v>8.0</v>
      </c>
      <c r="M1626" s="7" t="s">
        <v>5266</v>
      </c>
      <c r="N1626" s="13" t="s">
        <v>5267</v>
      </c>
      <c r="O1626" s="15" t="s">
        <v>5268</v>
      </c>
    </row>
    <row r="1627">
      <c r="A1627" s="5">
        <v>1933.0</v>
      </c>
      <c r="B1627" s="6">
        <v>46000.48122819445</v>
      </c>
      <c r="C1627" s="7" t="s">
        <v>760</v>
      </c>
      <c r="D1627" s="8" t="s">
        <v>4361</v>
      </c>
      <c r="E1627" s="8" t="s">
        <v>674</v>
      </c>
      <c r="F1627" s="7" t="s">
        <v>4362</v>
      </c>
      <c r="G1627" s="9" t="s">
        <v>415</v>
      </c>
      <c r="H1627" s="7" t="s">
        <v>5269</v>
      </c>
      <c r="I1627" s="7" t="s">
        <v>231</v>
      </c>
      <c r="J1627" s="10">
        <v>45875.0</v>
      </c>
      <c r="K1627" s="8" t="s">
        <v>22</v>
      </c>
      <c r="L1627" s="7">
        <v>8.0</v>
      </c>
      <c r="M1627" s="7" t="s">
        <v>1325</v>
      </c>
      <c r="N1627" s="13" t="s">
        <v>5270</v>
      </c>
      <c r="O1627" s="15" t="s">
        <v>5271</v>
      </c>
    </row>
    <row r="1628">
      <c r="A1628" s="5">
        <v>1934.0</v>
      </c>
      <c r="B1628" s="6">
        <v>46000.482919699076</v>
      </c>
      <c r="C1628" s="7" t="s">
        <v>760</v>
      </c>
      <c r="D1628" s="8" t="s">
        <v>892</v>
      </c>
      <c r="E1628" s="8" t="s">
        <v>893</v>
      </c>
      <c r="F1628" s="7" t="s">
        <v>899</v>
      </c>
      <c r="G1628" s="9" t="s">
        <v>209</v>
      </c>
      <c r="H1628" s="7" t="s">
        <v>5272</v>
      </c>
      <c r="I1628" s="7" t="s">
        <v>5273</v>
      </c>
      <c r="J1628" s="10">
        <v>45983.0</v>
      </c>
      <c r="K1628" s="8" t="s">
        <v>5274</v>
      </c>
      <c r="L1628" s="7">
        <v>2.0</v>
      </c>
      <c r="M1628" s="7" t="s">
        <v>5275</v>
      </c>
      <c r="N1628" s="13" t="s">
        <v>5276</v>
      </c>
      <c r="O1628" s="15" t="s">
        <v>5277</v>
      </c>
    </row>
    <row r="1629">
      <c r="A1629" s="5">
        <v>1935.0</v>
      </c>
      <c r="B1629" s="6">
        <v>46000.487062430555</v>
      </c>
      <c r="C1629" s="7" t="s">
        <v>760</v>
      </c>
      <c r="D1629" s="8" t="s">
        <v>3395</v>
      </c>
      <c r="E1629" s="8" t="s">
        <v>1097</v>
      </c>
      <c r="F1629" s="7" t="s">
        <v>5263</v>
      </c>
      <c r="G1629" s="9" t="s">
        <v>209</v>
      </c>
      <c r="H1629" s="7" t="s">
        <v>5278</v>
      </c>
      <c r="I1629" s="7" t="s">
        <v>5279</v>
      </c>
      <c r="J1629" s="10">
        <v>45962.0</v>
      </c>
      <c r="K1629" s="8" t="s">
        <v>1145</v>
      </c>
      <c r="L1629" s="7">
        <v>8.0</v>
      </c>
      <c r="M1629" s="7" t="s">
        <v>5280</v>
      </c>
      <c r="N1629" s="13" t="s">
        <v>5281</v>
      </c>
      <c r="O1629" s="15" t="s">
        <v>5282</v>
      </c>
    </row>
    <row r="1630">
      <c r="A1630" s="5">
        <v>1936.0</v>
      </c>
      <c r="B1630" s="6">
        <v>46000.48837835648</v>
      </c>
      <c r="C1630" s="7" t="s">
        <v>760</v>
      </c>
      <c r="D1630" s="8" t="s">
        <v>3979</v>
      </c>
      <c r="E1630" s="8" t="s">
        <v>236</v>
      </c>
      <c r="F1630" s="7" t="s">
        <v>3980</v>
      </c>
      <c r="G1630" s="9" t="s">
        <v>415</v>
      </c>
      <c r="H1630" s="7" t="s">
        <v>5283</v>
      </c>
      <c r="I1630" s="7" t="s">
        <v>3375</v>
      </c>
      <c r="J1630" s="10">
        <v>45964.0</v>
      </c>
      <c r="K1630" s="8" t="s">
        <v>766</v>
      </c>
      <c r="L1630" s="7">
        <v>1.0</v>
      </c>
      <c r="M1630" s="7" t="s">
        <v>2391</v>
      </c>
      <c r="N1630" s="13" t="s">
        <v>5284</v>
      </c>
      <c r="O1630" s="15" t="s">
        <v>5285</v>
      </c>
    </row>
    <row r="1631">
      <c r="A1631" s="5">
        <v>1937.0</v>
      </c>
      <c r="B1631" s="6">
        <v>46000.49299101852</v>
      </c>
      <c r="C1631" s="7" t="s">
        <v>760</v>
      </c>
      <c r="D1631" s="8" t="s">
        <v>3979</v>
      </c>
      <c r="E1631" s="8" t="s">
        <v>236</v>
      </c>
      <c r="F1631" s="7" t="s">
        <v>3980</v>
      </c>
      <c r="G1631" s="9" t="s">
        <v>181</v>
      </c>
      <c r="H1631" s="7" t="s">
        <v>1222</v>
      </c>
      <c r="I1631" s="7" t="s">
        <v>231</v>
      </c>
      <c r="J1631" s="10">
        <v>45981.0</v>
      </c>
      <c r="K1631" s="8" t="s">
        <v>4065</v>
      </c>
      <c r="L1631" s="7">
        <v>1.0</v>
      </c>
      <c r="M1631" s="7" t="s">
        <v>33</v>
      </c>
      <c r="N1631" s="13" t="s">
        <v>5286</v>
      </c>
      <c r="O1631" s="15" t="s">
        <v>5287</v>
      </c>
    </row>
    <row r="1632">
      <c r="A1632" s="5">
        <v>1939.0</v>
      </c>
      <c r="B1632" s="6">
        <v>46000.49825550926</v>
      </c>
      <c r="C1632" s="7" t="s">
        <v>760</v>
      </c>
      <c r="D1632" s="8" t="s">
        <v>4361</v>
      </c>
      <c r="E1632" s="8" t="s">
        <v>674</v>
      </c>
      <c r="F1632" s="7" t="s">
        <v>4362</v>
      </c>
      <c r="G1632" s="9" t="s">
        <v>415</v>
      </c>
      <c r="H1632" s="7" t="s">
        <v>5283</v>
      </c>
      <c r="I1632" s="7" t="s">
        <v>3375</v>
      </c>
      <c r="J1632" s="10">
        <v>45964.0</v>
      </c>
      <c r="K1632" s="8" t="s">
        <v>1922</v>
      </c>
      <c r="L1632" s="7">
        <v>5.0</v>
      </c>
      <c r="M1632" s="7" t="s">
        <v>1325</v>
      </c>
      <c r="N1632" s="13" t="s">
        <v>5288</v>
      </c>
      <c r="O1632" s="15" t="s">
        <v>5289</v>
      </c>
    </row>
    <row r="1633">
      <c r="A1633" s="5">
        <v>1940.0</v>
      </c>
      <c r="B1633" s="6">
        <v>46000.50689413195</v>
      </c>
      <c r="C1633" s="7" t="s">
        <v>760</v>
      </c>
      <c r="D1633" s="8" t="s">
        <v>4361</v>
      </c>
      <c r="E1633" s="8" t="s">
        <v>674</v>
      </c>
      <c r="F1633" s="7" t="s">
        <v>4362</v>
      </c>
      <c r="G1633" s="9" t="s">
        <v>181</v>
      </c>
      <c r="H1633" s="7" t="s">
        <v>895</v>
      </c>
      <c r="I1633" s="7" t="s">
        <v>231</v>
      </c>
      <c r="J1633" s="10">
        <v>45989.0</v>
      </c>
      <c r="K1633" s="8" t="s">
        <v>4065</v>
      </c>
      <c r="L1633" s="7">
        <v>1.0</v>
      </c>
      <c r="M1633" s="7" t="s">
        <v>33</v>
      </c>
      <c r="N1633" s="13" t="s">
        <v>5290</v>
      </c>
      <c r="O1633" s="15" t="s">
        <v>5291</v>
      </c>
    </row>
    <row r="1634">
      <c r="A1634" s="5">
        <v>1941.0</v>
      </c>
      <c r="B1634" s="6">
        <v>46000.508071979166</v>
      </c>
      <c r="C1634" s="7" t="s">
        <v>760</v>
      </c>
      <c r="D1634" s="8" t="s">
        <v>4361</v>
      </c>
      <c r="E1634" s="8" t="s">
        <v>674</v>
      </c>
      <c r="F1634" s="7" t="s">
        <v>4362</v>
      </c>
      <c r="G1634" s="9" t="s">
        <v>181</v>
      </c>
      <c r="H1634" s="7" t="s">
        <v>895</v>
      </c>
      <c r="I1634" s="7" t="s">
        <v>231</v>
      </c>
      <c r="J1634" s="10">
        <v>45978.0</v>
      </c>
      <c r="K1634" s="8" t="s">
        <v>4065</v>
      </c>
      <c r="L1634" s="7">
        <v>1.0</v>
      </c>
      <c r="M1634" s="7" t="s">
        <v>33</v>
      </c>
      <c r="N1634" s="13" t="s">
        <v>5292</v>
      </c>
      <c r="O1634" s="15" t="s">
        <v>5293</v>
      </c>
    </row>
    <row r="1635">
      <c r="A1635" s="5">
        <v>1942.0</v>
      </c>
      <c r="B1635" s="6">
        <v>46000.50925008101</v>
      </c>
      <c r="C1635" s="7" t="s">
        <v>760</v>
      </c>
      <c r="D1635" s="8" t="s">
        <v>4361</v>
      </c>
      <c r="E1635" s="8" t="s">
        <v>674</v>
      </c>
      <c r="F1635" s="7" t="s">
        <v>4362</v>
      </c>
      <c r="G1635" s="9" t="s">
        <v>181</v>
      </c>
      <c r="H1635" s="7" t="s">
        <v>895</v>
      </c>
      <c r="I1635" s="7" t="s">
        <v>231</v>
      </c>
      <c r="J1635" s="10">
        <v>45980.0</v>
      </c>
      <c r="K1635" s="8" t="s">
        <v>4065</v>
      </c>
      <c r="L1635" s="7">
        <v>1.0</v>
      </c>
      <c r="M1635" s="7" t="s">
        <v>33</v>
      </c>
      <c r="N1635" s="13" t="s">
        <v>5294</v>
      </c>
      <c r="O1635" s="15" t="s">
        <v>5295</v>
      </c>
    </row>
    <row r="1636">
      <c r="A1636" s="5">
        <v>1943.0</v>
      </c>
      <c r="B1636" s="6">
        <v>46001.41311612268</v>
      </c>
      <c r="C1636" s="7" t="s">
        <v>760</v>
      </c>
      <c r="D1636" s="8" t="s">
        <v>892</v>
      </c>
      <c r="E1636" s="8" t="s">
        <v>893</v>
      </c>
      <c r="F1636" s="7" t="s">
        <v>899</v>
      </c>
      <c r="G1636" s="9" t="s">
        <v>3171</v>
      </c>
      <c r="H1636" s="7" t="s">
        <v>5272</v>
      </c>
      <c r="I1636" s="7" t="s">
        <v>5273</v>
      </c>
      <c r="J1636" s="10">
        <v>45983.0</v>
      </c>
      <c r="K1636" s="8" t="s">
        <v>5274</v>
      </c>
      <c r="L1636" s="7">
        <v>2.0</v>
      </c>
      <c r="M1636" s="7" t="s">
        <v>5275</v>
      </c>
      <c r="N1636" s="7"/>
      <c r="O1636" s="23"/>
    </row>
    <row r="1637">
      <c r="A1637" s="5">
        <v>1944.0</v>
      </c>
      <c r="B1637" s="6">
        <v>46010.81168211806</v>
      </c>
      <c r="C1637" s="7" t="s">
        <v>760</v>
      </c>
      <c r="D1637" s="8" t="s">
        <v>892</v>
      </c>
      <c r="E1637" s="8" t="s">
        <v>893</v>
      </c>
      <c r="F1637" s="7" t="s">
        <v>899</v>
      </c>
      <c r="G1637" s="9" t="s">
        <v>3171</v>
      </c>
      <c r="H1637" s="7" t="s">
        <v>5272</v>
      </c>
      <c r="I1637" s="7" t="s">
        <v>5273</v>
      </c>
      <c r="J1637" s="10">
        <v>45983.0</v>
      </c>
      <c r="K1637" s="8" t="s">
        <v>5274</v>
      </c>
      <c r="L1637" s="7">
        <v>2.0</v>
      </c>
      <c r="M1637" s="7" t="s">
        <v>5275</v>
      </c>
      <c r="N1637" s="7"/>
      <c r="O1637" s="23"/>
    </row>
    <row r="1638">
      <c r="A1638" s="5">
        <v>1945.0</v>
      </c>
      <c r="B1638" s="6">
        <v>46012.92161587963</v>
      </c>
      <c r="C1638" s="7" t="s">
        <v>760</v>
      </c>
      <c r="D1638" s="8" t="s">
        <v>892</v>
      </c>
      <c r="E1638" s="8" t="s">
        <v>893</v>
      </c>
      <c r="F1638" s="7" t="s">
        <v>899</v>
      </c>
      <c r="G1638" s="9" t="s">
        <v>3171</v>
      </c>
      <c r="H1638" s="7" t="s">
        <v>5272</v>
      </c>
      <c r="I1638" s="7" t="s">
        <v>5273</v>
      </c>
      <c r="J1638" s="10">
        <v>45983.0</v>
      </c>
      <c r="K1638" s="8" t="s">
        <v>5274</v>
      </c>
      <c r="L1638" s="7">
        <v>2.0</v>
      </c>
      <c r="M1638" s="7" t="s">
        <v>5275</v>
      </c>
      <c r="N1638" s="7"/>
      <c r="O1638" s="23"/>
    </row>
    <row r="1639">
      <c r="A1639" s="5">
        <v>1946.0</v>
      </c>
      <c r="B1639" s="6">
        <v>46028.33795797454</v>
      </c>
      <c r="C1639" s="7" t="s">
        <v>760</v>
      </c>
      <c r="D1639" s="8" t="s">
        <v>902</v>
      </c>
      <c r="E1639" s="8" t="s">
        <v>28</v>
      </c>
      <c r="F1639" s="7" t="s">
        <v>5296</v>
      </c>
      <c r="G1639" s="9" t="s">
        <v>181</v>
      </c>
      <c r="H1639" s="7" t="s">
        <v>1394</v>
      </c>
      <c r="I1639" s="7" t="s">
        <v>1211</v>
      </c>
      <c r="J1639" s="10">
        <v>46028.0</v>
      </c>
      <c r="K1639" s="8" t="s">
        <v>5297</v>
      </c>
      <c r="L1639" s="7">
        <v>1.0</v>
      </c>
      <c r="M1639" s="7" t="s">
        <v>553</v>
      </c>
      <c r="N1639" s="13" t="s">
        <v>5298</v>
      </c>
      <c r="O1639" s="15" t="s">
        <v>5299</v>
      </c>
    </row>
    <row r="1640">
      <c r="A1640" s="5">
        <v>1948.0</v>
      </c>
      <c r="B1640" s="6">
        <v>46069.42069855324</v>
      </c>
      <c r="C1640" s="7" t="s">
        <v>15</v>
      </c>
      <c r="D1640" s="8" t="s">
        <v>3763</v>
      </c>
      <c r="E1640" s="8" t="s">
        <v>236</v>
      </c>
      <c r="F1640" s="7" t="s">
        <v>3764</v>
      </c>
      <c r="G1640" s="9" t="s">
        <v>84</v>
      </c>
      <c r="H1640" s="7" t="s">
        <v>85</v>
      </c>
      <c r="I1640" s="7" t="s">
        <v>1192</v>
      </c>
      <c r="J1640" s="10">
        <v>46067.0</v>
      </c>
      <c r="K1640" s="8" t="s">
        <v>1501</v>
      </c>
      <c r="L1640" s="7">
        <v>8.0</v>
      </c>
      <c r="M1640" s="7" t="s">
        <v>33</v>
      </c>
      <c r="N1640" s="13" t="s">
        <v>5300</v>
      </c>
      <c r="O1640" s="15" t="s">
        <v>5301</v>
      </c>
    </row>
    <row r="1641">
      <c r="A1641" s="5">
        <v>1949.0</v>
      </c>
      <c r="B1641" s="6">
        <v>46079.58747233797</v>
      </c>
      <c r="C1641" s="7" t="s">
        <v>15</v>
      </c>
      <c r="D1641" s="8" t="s">
        <v>16</v>
      </c>
      <c r="E1641" s="8" t="s">
        <v>17</v>
      </c>
      <c r="F1641" s="7" t="s">
        <v>18</v>
      </c>
      <c r="G1641" s="9" t="s">
        <v>84</v>
      </c>
      <c r="H1641" s="7" t="s">
        <v>85</v>
      </c>
      <c r="I1641" s="7" t="s">
        <v>5302</v>
      </c>
      <c r="J1641" s="10">
        <v>46067.0</v>
      </c>
      <c r="K1641" s="8" t="s">
        <v>49</v>
      </c>
      <c r="L1641" s="7">
        <v>8.0</v>
      </c>
      <c r="M1641" s="7" t="s">
        <v>87</v>
      </c>
      <c r="N1641" s="13" t="s">
        <v>5303</v>
      </c>
      <c r="O1641" s="15" t="s">
        <v>5304</v>
      </c>
    </row>
    <row r="1642">
      <c r="A1642" s="5">
        <v>1950.0</v>
      </c>
      <c r="B1642" s="6">
        <v>46080.50329622685</v>
      </c>
      <c r="C1642" s="7" t="s">
        <v>760</v>
      </c>
      <c r="D1642" s="8" t="s">
        <v>5305</v>
      </c>
      <c r="E1642" s="8" t="s">
        <v>164</v>
      </c>
      <c r="F1642" s="7">
        <v>3.45435624E8</v>
      </c>
      <c r="G1642" s="9" t="s">
        <v>84</v>
      </c>
      <c r="H1642" s="7">
        <v>4324.0</v>
      </c>
      <c r="I1642" s="7">
        <v>4234.0</v>
      </c>
      <c r="J1642" s="10">
        <v>46080.0</v>
      </c>
      <c r="K1642" s="8" t="s">
        <v>5306</v>
      </c>
      <c r="L1642" s="7">
        <v>7.0</v>
      </c>
      <c r="M1642" s="7">
        <v>4324.0</v>
      </c>
      <c r="N1642" s="13" t="s">
        <v>5307</v>
      </c>
      <c r="O1642" s="15" t="s">
        <v>5308</v>
      </c>
    </row>
    <row r="1643">
      <c r="A1643" s="5">
        <v>1951.0</v>
      </c>
      <c r="B1643" s="6">
        <v>46080.504488148144</v>
      </c>
      <c r="C1643" s="7" t="s">
        <v>26</v>
      </c>
      <c r="D1643" s="8" t="s">
        <v>5305</v>
      </c>
      <c r="E1643" s="8" t="s">
        <v>2338</v>
      </c>
      <c r="F1643" s="7" t="s">
        <v>5309</v>
      </c>
      <c r="G1643" s="9" t="s">
        <v>181</v>
      </c>
      <c r="H1643" s="7">
        <v>345252.0</v>
      </c>
      <c r="I1643" s="7">
        <v>4234.0</v>
      </c>
      <c r="J1643" s="10">
        <v>46080.0</v>
      </c>
      <c r="K1643" s="8" t="s">
        <v>67</v>
      </c>
      <c r="L1643" s="7">
        <v>8.0</v>
      </c>
      <c r="M1643" s="7" t="s">
        <v>5310</v>
      </c>
      <c r="N1643" s="13" t="s">
        <v>5311</v>
      </c>
      <c r="O1643" s="15" t="s">
        <v>5312</v>
      </c>
    </row>
    <row r="1644">
      <c r="A1644" s="5">
        <v>1953.0</v>
      </c>
      <c r="B1644" s="6">
        <v>46080.51377265046</v>
      </c>
      <c r="C1644" s="7" t="s">
        <v>125</v>
      </c>
      <c r="D1644" s="8" t="s">
        <v>5305</v>
      </c>
      <c r="E1644" s="8" t="s">
        <v>3024</v>
      </c>
      <c r="F1644" s="7" t="s">
        <v>5313</v>
      </c>
      <c r="G1644" s="9" t="s">
        <v>1426</v>
      </c>
      <c r="H1644" s="7" t="s">
        <v>3735</v>
      </c>
      <c r="I1644" s="7" t="s">
        <v>3736</v>
      </c>
      <c r="J1644" s="10">
        <v>46080.0</v>
      </c>
      <c r="K1644" s="8" t="s">
        <v>67</v>
      </c>
      <c r="L1644" s="7">
        <v>8.0</v>
      </c>
      <c r="M1644" s="7" t="s">
        <v>5314</v>
      </c>
      <c r="N1644" s="13" t="s">
        <v>5315</v>
      </c>
      <c r="O1644" s="15" t="s">
        <v>5316</v>
      </c>
    </row>
    <row r="1645">
      <c r="A1645" s="5">
        <v>1954.0</v>
      </c>
      <c r="B1645" s="6">
        <v>46080.51698489583</v>
      </c>
      <c r="C1645" s="7" t="s">
        <v>15</v>
      </c>
      <c r="D1645" s="8" t="s">
        <v>5305</v>
      </c>
      <c r="E1645" s="8" t="s">
        <v>164</v>
      </c>
      <c r="F1645" s="7" t="s">
        <v>5313</v>
      </c>
      <c r="G1645" s="9" t="s">
        <v>19</v>
      </c>
      <c r="H1645" s="7" t="s">
        <v>3735</v>
      </c>
      <c r="I1645" s="7" t="s">
        <v>3736</v>
      </c>
      <c r="J1645" s="10">
        <v>46080.0</v>
      </c>
      <c r="K1645" s="8" t="s">
        <v>67</v>
      </c>
      <c r="L1645" s="7">
        <v>3.0</v>
      </c>
      <c r="M1645" s="7" t="s">
        <v>5317</v>
      </c>
      <c r="N1645" s="13" t="s">
        <v>5318</v>
      </c>
      <c r="O1645" s="15" t="s">
        <v>5319</v>
      </c>
    </row>
    <row r="1646">
      <c r="A1646" s="5">
        <v>1955.0</v>
      </c>
      <c r="B1646" s="6">
        <v>46080.51942909722</v>
      </c>
      <c r="C1646" s="7" t="s">
        <v>15</v>
      </c>
      <c r="D1646" s="8" t="s">
        <v>5305</v>
      </c>
      <c r="E1646" s="8" t="s">
        <v>3024</v>
      </c>
      <c r="F1646" s="7" t="s">
        <v>5313</v>
      </c>
      <c r="G1646" s="9" t="s">
        <v>181</v>
      </c>
      <c r="H1646" s="7" t="s">
        <v>3735</v>
      </c>
      <c r="I1646" s="7" t="s">
        <v>3736</v>
      </c>
      <c r="J1646" s="10">
        <v>46080.0</v>
      </c>
      <c r="K1646" s="8" t="s">
        <v>67</v>
      </c>
      <c r="L1646" s="7">
        <v>8.0</v>
      </c>
      <c r="M1646" s="7" t="s">
        <v>5314</v>
      </c>
      <c r="N1646" s="13" t="s">
        <v>5320</v>
      </c>
      <c r="O1646" s="15" t="s">
        <v>5321</v>
      </c>
    </row>
    <row r="1647">
      <c r="A1647" s="5">
        <v>1956.0</v>
      </c>
      <c r="B1647" s="6">
        <v>46080.52540824074</v>
      </c>
      <c r="C1647" s="7" t="s">
        <v>15</v>
      </c>
      <c r="D1647" s="8" t="s">
        <v>5305</v>
      </c>
      <c r="E1647" s="8" t="s">
        <v>3024</v>
      </c>
      <c r="F1647" s="7" t="s">
        <v>5309</v>
      </c>
      <c r="G1647" s="9" t="s">
        <v>19</v>
      </c>
      <c r="H1647" s="7" t="s">
        <v>3735</v>
      </c>
      <c r="I1647" s="7" t="s">
        <v>3736</v>
      </c>
      <c r="J1647" s="10">
        <v>46080.0</v>
      </c>
      <c r="K1647" s="8" t="s">
        <v>67</v>
      </c>
      <c r="L1647" s="7">
        <v>3.0</v>
      </c>
      <c r="M1647" s="7" t="s">
        <v>5314</v>
      </c>
      <c r="N1647" s="13" t="s">
        <v>5322</v>
      </c>
      <c r="O1647" s="15" t="s">
        <v>5323</v>
      </c>
    </row>
    <row r="1648">
      <c r="A1648" s="5">
        <v>1957.0</v>
      </c>
      <c r="B1648" s="6">
        <v>46080.52795099537</v>
      </c>
      <c r="C1648" s="7" t="s">
        <v>15</v>
      </c>
      <c r="D1648" s="8" t="s">
        <v>5305</v>
      </c>
      <c r="E1648" s="8" t="s">
        <v>164</v>
      </c>
      <c r="F1648" s="7" t="s">
        <v>5309</v>
      </c>
      <c r="G1648" s="9" t="s">
        <v>3171</v>
      </c>
      <c r="H1648" s="7">
        <v>4324.0</v>
      </c>
      <c r="I1648" s="7" t="s">
        <v>3736</v>
      </c>
      <c r="J1648" s="10">
        <v>46080.0</v>
      </c>
      <c r="K1648" s="8" t="s">
        <v>67</v>
      </c>
      <c r="L1648" s="7">
        <v>2.0</v>
      </c>
      <c r="M1648" s="7" t="s">
        <v>5314</v>
      </c>
      <c r="N1648" s="13" t="s">
        <v>5324</v>
      </c>
      <c r="O1648" s="15" t="s">
        <v>5325</v>
      </c>
    </row>
    <row r="1649">
      <c r="A1649" s="5">
        <v>1958.0</v>
      </c>
      <c r="B1649" s="6">
        <v>46113.54034885416</v>
      </c>
      <c r="C1649" s="7" t="s">
        <v>760</v>
      </c>
      <c r="D1649" s="8" t="s">
        <v>1190</v>
      </c>
      <c r="E1649" s="8" t="s">
        <v>1042</v>
      </c>
      <c r="F1649" s="7" t="s">
        <v>1191</v>
      </c>
      <c r="G1649" s="9" t="s">
        <v>209</v>
      </c>
      <c r="H1649" s="7" t="s">
        <v>5326</v>
      </c>
      <c r="I1649" s="7" t="s">
        <v>825</v>
      </c>
      <c r="J1649" s="10">
        <v>46039.0</v>
      </c>
      <c r="K1649" s="8" t="s">
        <v>5327</v>
      </c>
      <c r="L1649" s="7">
        <v>8.0</v>
      </c>
      <c r="M1649" s="7" t="s">
        <v>33</v>
      </c>
      <c r="N1649" s="13" t="s">
        <v>5328</v>
      </c>
      <c r="O1649" s="15" t="s">
        <v>5329</v>
      </c>
    </row>
    <row r="1650">
      <c r="A1650" s="5">
        <v>1959.0</v>
      </c>
      <c r="B1650" s="6">
        <v>46128.54155421296</v>
      </c>
      <c r="C1650" s="7" t="s">
        <v>15</v>
      </c>
      <c r="D1650" s="8" t="s">
        <v>546</v>
      </c>
      <c r="E1650" s="8" t="s">
        <v>547</v>
      </c>
      <c r="F1650" s="7" t="s">
        <v>552</v>
      </c>
      <c r="G1650" s="9" t="s">
        <v>19</v>
      </c>
      <c r="H1650" s="7" t="s">
        <v>5330</v>
      </c>
      <c r="I1650" s="7" t="s">
        <v>3736</v>
      </c>
      <c r="J1650" s="10">
        <v>46011.0</v>
      </c>
      <c r="K1650" s="8" t="s">
        <v>67</v>
      </c>
      <c r="L1650" s="7">
        <v>8.0</v>
      </c>
      <c r="M1650" s="7" t="s">
        <v>5331</v>
      </c>
      <c r="N1650" s="13" t="s">
        <v>5332</v>
      </c>
      <c r="O1650" s="15" t="s">
        <v>5333</v>
      </c>
    </row>
    <row r="1651">
      <c r="A1651" s="5">
        <v>1960.0</v>
      </c>
      <c r="B1651" s="6">
        <v>46128.666071388885</v>
      </c>
      <c r="C1651" s="7" t="s">
        <v>15</v>
      </c>
      <c r="D1651" s="8" t="s">
        <v>16</v>
      </c>
      <c r="E1651" s="8" t="s">
        <v>17</v>
      </c>
      <c r="F1651" s="7" t="s">
        <v>18</v>
      </c>
      <c r="G1651" s="9" t="s">
        <v>19</v>
      </c>
      <c r="H1651" s="7" t="s">
        <v>5334</v>
      </c>
      <c r="I1651" s="7" t="s">
        <v>5335</v>
      </c>
      <c r="J1651" s="10">
        <v>46032.0</v>
      </c>
      <c r="K1651" s="8" t="s">
        <v>2328</v>
      </c>
      <c r="L1651" s="7">
        <v>8.0</v>
      </c>
      <c r="M1651" s="7" t="s">
        <v>2839</v>
      </c>
      <c r="N1651" s="13" t="s">
        <v>5336</v>
      </c>
      <c r="O1651" s="15" t="s">
        <v>5337</v>
      </c>
    </row>
    <row r="1652">
      <c r="A1652" s="5">
        <v>1961.0</v>
      </c>
      <c r="B1652" s="6">
        <v>46128.68344869213</v>
      </c>
      <c r="C1652" s="7" t="s">
        <v>15</v>
      </c>
      <c r="D1652" s="8" t="s">
        <v>16</v>
      </c>
      <c r="E1652" s="8" t="s">
        <v>17</v>
      </c>
      <c r="F1652" s="7" t="s">
        <v>18</v>
      </c>
      <c r="G1652" s="9" t="s">
        <v>19</v>
      </c>
      <c r="H1652" s="7" t="s">
        <v>5338</v>
      </c>
      <c r="I1652" s="7" t="s">
        <v>3736</v>
      </c>
      <c r="J1652" s="10">
        <v>46010.0</v>
      </c>
      <c r="K1652" s="8" t="s">
        <v>67</v>
      </c>
      <c r="L1652" s="7">
        <v>8.0</v>
      </c>
      <c r="M1652" s="7" t="s">
        <v>3841</v>
      </c>
      <c r="N1652" s="13" t="s">
        <v>5339</v>
      </c>
      <c r="O1652" s="15" t="s">
        <v>5340</v>
      </c>
    </row>
    <row r="1653">
      <c r="A1653" s="5">
        <v>1963.0</v>
      </c>
      <c r="B1653" s="6">
        <v>46128.72823922454</v>
      </c>
      <c r="C1653" s="7" t="s">
        <v>15</v>
      </c>
      <c r="D1653" s="8" t="s">
        <v>16</v>
      </c>
      <c r="E1653" s="8" t="s">
        <v>17</v>
      </c>
      <c r="F1653" s="7" t="s">
        <v>18</v>
      </c>
      <c r="G1653" s="9" t="s">
        <v>181</v>
      </c>
      <c r="H1653" s="7" t="s">
        <v>5341</v>
      </c>
      <c r="I1653" s="7" t="s">
        <v>5342</v>
      </c>
      <c r="J1653" s="10">
        <v>46094.0</v>
      </c>
      <c r="K1653" s="8" t="s">
        <v>457</v>
      </c>
      <c r="L1653" s="7">
        <v>1.0</v>
      </c>
      <c r="M1653" s="7" t="s">
        <v>5343</v>
      </c>
      <c r="N1653" s="13" t="s">
        <v>5344</v>
      </c>
      <c r="O1653" s="15" t="s">
        <v>5345</v>
      </c>
    </row>
    <row r="1654">
      <c r="A1654" s="5">
        <v>1964.0</v>
      </c>
      <c r="B1654" s="6">
        <v>46128.73812915509</v>
      </c>
      <c r="C1654" s="7" t="s">
        <v>760</v>
      </c>
      <c r="D1654" s="8" t="s">
        <v>2071</v>
      </c>
      <c r="E1654" s="8" t="s">
        <v>319</v>
      </c>
      <c r="F1654" s="7" t="s">
        <v>2072</v>
      </c>
      <c r="G1654" s="9" t="s">
        <v>19</v>
      </c>
      <c r="H1654" s="7" t="s">
        <v>5346</v>
      </c>
      <c r="I1654" s="7" t="s">
        <v>2984</v>
      </c>
      <c r="J1654" s="10">
        <v>46039.0</v>
      </c>
      <c r="K1654" s="8" t="s">
        <v>5347</v>
      </c>
      <c r="L1654" s="7">
        <v>8.0</v>
      </c>
      <c r="M1654" s="7" t="s">
        <v>33</v>
      </c>
      <c r="N1654" s="13" t="s">
        <v>5348</v>
      </c>
      <c r="O1654" s="15" t="s">
        <v>5349</v>
      </c>
    </row>
    <row r="1655">
      <c r="A1655" s="5">
        <v>1965.0</v>
      </c>
      <c r="B1655" s="6">
        <v>46129.533063020834</v>
      </c>
      <c r="C1655" s="7" t="s">
        <v>15</v>
      </c>
      <c r="D1655" s="8" t="s">
        <v>546</v>
      </c>
      <c r="E1655" s="8" t="s">
        <v>547</v>
      </c>
      <c r="F1655" s="7" t="s">
        <v>552</v>
      </c>
      <c r="G1655" s="9" t="s">
        <v>19</v>
      </c>
      <c r="H1655" s="7" t="s">
        <v>5350</v>
      </c>
      <c r="I1655" s="7" t="s">
        <v>231</v>
      </c>
      <c r="J1655" s="10">
        <v>46064.0</v>
      </c>
      <c r="K1655" s="8" t="s">
        <v>5351</v>
      </c>
      <c r="L1655" s="7">
        <v>2.0</v>
      </c>
      <c r="M1655" s="7" t="s">
        <v>5352</v>
      </c>
      <c r="N1655" s="13" t="s">
        <v>5353</v>
      </c>
      <c r="O1655" s="15" t="s">
        <v>5354</v>
      </c>
    </row>
    <row r="1656">
      <c r="A1656" s="5">
        <v>1966.0</v>
      </c>
      <c r="B1656" s="6">
        <v>46129.53684605324</v>
      </c>
      <c r="C1656" s="7" t="s">
        <v>15</v>
      </c>
      <c r="D1656" s="8" t="s">
        <v>546</v>
      </c>
      <c r="E1656" s="8" t="s">
        <v>547</v>
      </c>
      <c r="F1656" s="7" t="s">
        <v>552</v>
      </c>
      <c r="G1656" s="9" t="s">
        <v>19</v>
      </c>
      <c r="H1656" s="7" t="s">
        <v>5350</v>
      </c>
      <c r="I1656" s="7" t="s">
        <v>231</v>
      </c>
      <c r="J1656" s="10">
        <v>46065.0</v>
      </c>
      <c r="K1656" s="8" t="s">
        <v>5351</v>
      </c>
      <c r="L1656" s="7">
        <v>2.0</v>
      </c>
      <c r="M1656" s="7" t="s">
        <v>5352</v>
      </c>
      <c r="N1656" s="13" t="s">
        <v>5355</v>
      </c>
      <c r="O1656" s="15" t="s">
        <v>5356</v>
      </c>
    </row>
    <row r="1657">
      <c r="A1657" s="5">
        <v>1967.0</v>
      </c>
      <c r="B1657" s="6">
        <v>46129.54184939815</v>
      </c>
      <c r="C1657" s="7" t="s">
        <v>15</v>
      </c>
      <c r="D1657" s="8" t="s">
        <v>546</v>
      </c>
      <c r="E1657" s="8" t="s">
        <v>547</v>
      </c>
      <c r="F1657" s="7" t="s">
        <v>552</v>
      </c>
      <c r="G1657" s="9" t="s">
        <v>19</v>
      </c>
      <c r="H1657" s="7" t="s">
        <v>5357</v>
      </c>
      <c r="I1657" s="7" t="s">
        <v>5358</v>
      </c>
      <c r="J1657" s="10">
        <v>46066.0</v>
      </c>
      <c r="K1657" s="8" t="s">
        <v>689</v>
      </c>
      <c r="L1657" s="7">
        <v>4.0</v>
      </c>
      <c r="M1657" s="7" t="s">
        <v>5352</v>
      </c>
      <c r="N1657" s="13" t="s">
        <v>5359</v>
      </c>
      <c r="O1657" s="15" t="s">
        <v>5360</v>
      </c>
    </row>
    <row r="1658">
      <c r="A1658" s="5">
        <v>1968.0</v>
      </c>
      <c r="B1658" s="6">
        <v>46129.554719039355</v>
      </c>
      <c r="C1658" s="7" t="s">
        <v>15</v>
      </c>
      <c r="D1658" s="8" t="s">
        <v>3763</v>
      </c>
      <c r="E1658" s="8" t="s">
        <v>236</v>
      </c>
      <c r="F1658" s="7" t="s">
        <v>3764</v>
      </c>
      <c r="G1658" s="9" t="s">
        <v>19</v>
      </c>
      <c r="H1658" s="7" t="s">
        <v>5361</v>
      </c>
      <c r="I1658" s="7" t="s">
        <v>5362</v>
      </c>
      <c r="J1658" s="10">
        <v>46121.0</v>
      </c>
      <c r="K1658" s="8" t="s">
        <v>49</v>
      </c>
      <c r="L1658" s="7">
        <v>8.0</v>
      </c>
      <c r="M1658" s="7" t="s">
        <v>5363</v>
      </c>
      <c r="N1658" s="13" t="s">
        <v>5364</v>
      </c>
      <c r="O1658" s="15" t="s">
        <v>5365</v>
      </c>
    </row>
    <row r="1659">
      <c r="A1659" s="5">
        <v>1969.0</v>
      </c>
      <c r="B1659" s="6">
        <v>46129.55649012732</v>
      </c>
      <c r="C1659" s="7" t="s">
        <v>15</v>
      </c>
      <c r="D1659" s="8" t="s">
        <v>3763</v>
      </c>
      <c r="E1659" s="8" t="s">
        <v>236</v>
      </c>
      <c r="F1659" s="7" t="s">
        <v>3764</v>
      </c>
      <c r="G1659" s="9" t="s">
        <v>181</v>
      </c>
      <c r="H1659" s="7" t="s">
        <v>5366</v>
      </c>
      <c r="I1659" s="7" t="s">
        <v>279</v>
      </c>
      <c r="J1659" s="10">
        <v>46129.0</v>
      </c>
      <c r="K1659" s="8" t="s">
        <v>22</v>
      </c>
      <c r="L1659" s="7">
        <v>4.0</v>
      </c>
      <c r="M1659" s="7" t="s">
        <v>23</v>
      </c>
      <c r="N1659" s="13" t="s">
        <v>5367</v>
      </c>
      <c r="O1659" s="15" t="s">
        <v>5368</v>
      </c>
    </row>
    <row r="1660">
      <c r="A1660" s="5">
        <v>1970.0</v>
      </c>
      <c r="B1660" s="6">
        <v>46133.835627939814</v>
      </c>
      <c r="C1660" s="7" t="s">
        <v>760</v>
      </c>
      <c r="D1660" s="8" t="s">
        <v>1443</v>
      </c>
      <c r="E1660" s="8" t="s">
        <v>1116</v>
      </c>
      <c r="F1660" s="7" t="s">
        <v>1444</v>
      </c>
      <c r="G1660" s="9" t="s">
        <v>19</v>
      </c>
      <c r="H1660" s="7" t="s">
        <v>5369</v>
      </c>
      <c r="I1660" s="7" t="s">
        <v>5370</v>
      </c>
      <c r="J1660" s="10">
        <v>46032.0</v>
      </c>
      <c r="K1660" s="8" t="s">
        <v>2328</v>
      </c>
      <c r="L1660" s="7">
        <v>8.0</v>
      </c>
      <c r="M1660" s="7" t="s">
        <v>87</v>
      </c>
      <c r="N1660" s="13" t="s">
        <v>5371</v>
      </c>
      <c r="O1660" s="15" t="s">
        <v>5372</v>
      </c>
    </row>
    <row r="1661">
      <c r="A1661" s="5">
        <v>1971.0</v>
      </c>
      <c r="B1661" s="6">
        <v>46137.35876724537</v>
      </c>
      <c r="C1661" s="7" t="s">
        <v>15</v>
      </c>
      <c r="D1661" s="8" t="s">
        <v>3859</v>
      </c>
      <c r="E1661" s="8" t="s">
        <v>1253</v>
      </c>
      <c r="F1661" s="7" t="s">
        <v>3860</v>
      </c>
      <c r="G1661" s="9" t="s">
        <v>84</v>
      </c>
      <c r="H1661" s="7" t="s">
        <v>85</v>
      </c>
      <c r="I1661" s="7" t="s">
        <v>5373</v>
      </c>
      <c r="J1661" s="10">
        <v>46124.0</v>
      </c>
      <c r="K1661" s="8" t="s">
        <v>5374</v>
      </c>
      <c r="L1661" s="7">
        <v>8.0</v>
      </c>
      <c r="M1661" s="7" t="s">
        <v>5375</v>
      </c>
      <c r="N1661" s="13" t="s">
        <v>5376</v>
      </c>
      <c r="O1661" s="15" t="s">
        <v>5377</v>
      </c>
    </row>
    <row r="1662">
      <c r="A1662" s="5">
        <v>1972.0</v>
      </c>
      <c r="B1662" s="6">
        <v>46139.414467696755</v>
      </c>
      <c r="C1662" s="7" t="s">
        <v>15</v>
      </c>
      <c r="D1662" s="8" t="s">
        <v>403</v>
      </c>
      <c r="E1662" s="8" t="s">
        <v>404</v>
      </c>
      <c r="F1662" s="7" t="s">
        <v>405</v>
      </c>
      <c r="G1662" s="9" t="s">
        <v>181</v>
      </c>
      <c r="H1662" s="7" t="s">
        <v>5378</v>
      </c>
      <c r="I1662" s="7" t="s">
        <v>5379</v>
      </c>
      <c r="J1662" s="10">
        <v>46064.0</v>
      </c>
      <c r="K1662" s="8" t="s">
        <v>694</v>
      </c>
      <c r="L1662" s="7">
        <v>4.0</v>
      </c>
      <c r="M1662" s="7" t="s">
        <v>5380</v>
      </c>
      <c r="N1662" s="13" t="s">
        <v>5381</v>
      </c>
      <c r="O1662" s="15" t="s">
        <v>5382</v>
      </c>
    </row>
    <row r="1663">
      <c r="A1663" s="5">
        <v>1973.0</v>
      </c>
      <c r="B1663" s="6">
        <v>46139.424577881946</v>
      </c>
      <c r="C1663" s="7" t="s">
        <v>15</v>
      </c>
      <c r="D1663" s="8" t="s">
        <v>736</v>
      </c>
      <c r="E1663" s="8" t="s">
        <v>737</v>
      </c>
      <c r="F1663" s="7" t="s">
        <v>738</v>
      </c>
      <c r="G1663" s="9" t="s">
        <v>181</v>
      </c>
      <c r="H1663" s="7" t="s">
        <v>5383</v>
      </c>
      <c r="I1663" s="7" t="s">
        <v>314</v>
      </c>
      <c r="J1663" s="10">
        <v>46066.0</v>
      </c>
      <c r="K1663" s="8" t="s">
        <v>22</v>
      </c>
      <c r="L1663" s="7">
        <v>4.0</v>
      </c>
      <c r="M1663" s="7" t="s">
        <v>244</v>
      </c>
      <c r="N1663" s="13" t="s">
        <v>5384</v>
      </c>
      <c r="O1663" s="15" t="s">
        <v>5385</v>
      </c>
    </row>
    <row r="1664">
      <c r="A1664" s="5">
        <v>1974.0</v>
      </c>
      <c r="B1664" s="6">
        <v>46139.56137002315</v>
      </c>
      <c r="C1664" s="7" t="s">
        <v>15</v>
      </c>
      <c r="D1664" s="8" t="s">
        <v>4546</v>
      </c>
      <c r="E1664" s="8" t="s">
        <v>951</v>
      </c>
      <c r="F1664" s="7" t="s">
        <v>4547</v>
      </c>
      <c r="G1664" s="9" t="s">
        <v>19</v>
      </c>
      <c r="H1664" s="7" t="s">
        <v>5386</v>
      </c>
      <c r="I1664" s="7" t="s">
        <v>3156</v>
      </c>
      <c r="J1664" s="10">
        <v>46066.0</v>
      </c>
      <c r="K1664" s="8" t="s">
        <v>22</v>
      </c>
      <c r="L1664" s="7">
        <v>4.0</v>
      </c>
      <c r="M1664" s="7" t="s">
        <v>5387</v>
      </c>
      <c r="N1664" s="13" t="s">
        <v>5388</v>
      </c>
      <c r="O1664" s="15" t="s">
        <v>5389</v>
      </c>
    </row>
    <row r="1665">
      <c r="A1665" s="5">
        <v>1975.0</v>
      </c>
      <c r="B1665" s="6">
        <v>46141.44610043982</v>
      </c>
      <c r="C1665" s="7" t="s">
        <v>760</v>
      </c>
      <c r="D1665" s="8" t="s">
        <v>4848</v>
      </c>
      <c r="E1665" s="8" t="s">
        <v>228</v>
      </c>
      <c r="F1665" s="7" t="s">
        <v>4849</v>
      </c>
      <c r="G1665" s="9" t="s">
        <v>84</v>
      </c>
      <c r="H1665" s="7" t="s">
        <v>85</v>
      </c>
      <c r="I1665" s="7" t="s">
        <v>5390</v>
      </c>
      <c r="J1665" s="10">
        <v>46032.0</v>
      </c>
      <c r="K1665" s="8" t="s">
        <v>2266</v>
      </c>
      <c r="L1665" s="7">
        <v>8.0</v>
      </c>
      <c r="M1665" s="7" t="s">
        <v>5391</v>
      </c>
      <c r="N1665" s="13" t="s">
        <v>5392</v>
      </c>
      <c r="O1665" s="15" t="s">
        <v>5393</v>
      </c>
    </row>
    <row r="1666">
      <c r="A1666" s="5">
        <v>1976.0</v>
      </c>
      <c r="B1666" s="6">
        <v>46141.4474940162</v>
      </c>
      <c r="C1666" s="7" t="s">
        <v>760</v>
      </c>
      <c r="D1666" s="8" t="s">
        <v>4848</v>
      </c>
      <c r="E1666" s="8" t="s">
        <v>228</v>
      </c>
      <c r="F1666" s="7" t="s">
        <v>4849</v>
      </c>
      <c r="G1666" s="9" t="s">
        <v>84</v>
      </c>
      <c r="H1666" s="7" t="s">
        <v>85</v>
      </c>
      <c r="I1666" s="7" t="s">
        <v>5390</v>
      </c>
      <c r="J1666" s="10">
        <v>46123.0</v>
      </c>
      <c r="K1666" s="8" t="s">
        <v>1633</v>
      </c>
      <c r="L1666" s="7">
        <v>8.0</v>
      </c>
      <c r="M1666" s="7" t="s">
        <v>5209</v>
      </c>
      <c r="N1666" s="13" t="s">
        <v>5394</v>
      </c>
      <c r="O1666" s="15" t="s">
        <v>5395</v>
      </c>
    </row>
    <row r="1667">
      <c r="A1667" s="5">
        <v>1978.0</v>
      </c>
      <c r="B1667" s="6">
        <v>46146.633909930555</v>
      </c>
      <c r="C1667" s="7" t="s">
        <v>15</v>
      </c>
      <c r="D1667" s="8" t="s">
        <v>1867</v>
      </c>
      <c r="E1667" s="8" t="s">
        <v>1023</v>
      </c>
      <c r="F1667" s="7" t="s">
        <v>1868</v>
      </c>
      <c r="G1667" s="9" t="s">
        <v>181</v>
      </c>
      <c r="H1667" s="7" t="s">
        <v>2812</v>
      </c>
      <c r="I1667" s="7" t="s">
        <v>279</v>
      </c>
      <c r="J1667" s="10">
        <v>46097.0</v>
      </c>
      <c r="K1667" s="8" t="s">
        <v>2066</v>
      </c>
      <c r="L1667" s="7">
        <v>8.0</v>
      </c>
      <c r="M1667" s="7" t="s">
        <v>33</v>
      </c>
      <c r="N1667" s="13" t="s">
        <v>5396</v>
      </c>
      <c r="O1667" s="15" t="s">
        <v>5397</v>
      </c>
    </row>
    <row r="1668">
      <c r="A1668" s="5">
        <v>1979.0</v>
      </c>
      <c r="B1668" s="6">
        <v>46146.63543327546</v>
      </c>
      <c r="C1668" s="7" t="s">
        <v>15</v>
      </c>
      <c r="D1668" s="8" t="s">
        <v>1867</v>
      </c>
      <c r="E1668" s="8" t="s">
        <v>1023</v>
      </c>
      <c r="F1668" s="7" t="s">
        <v>1868</v>
      </c>
      <c r="G1668" s="9" t="s">
        <v>181</v>
      </c>
      <c r="H1668" s="7" t="s">
        <v>2812</v>
      </c>
      <c r="I1668" s="7" t="s">
        <v>279</v>
      </c>
      <c r="J1668" s="10">
        <v>46122.0</v>
      </c>
      <c r="K1668" s="8" t="s">
        <v>2066</v>
      </c>
      <c r="L1668" s="7">
        <v>8.0</v>
      </c>
      <c r="M1668" s="7" t="s">
        <v>33</v>
      </c>
      <c r="N1668" s="13" t="s">
        <v>5398</v>
      </c>
      <c r="O1668" s="15" t="s">
        <v>5399</v>
      </c>
    </row>
    <row r="1669">
      <c r="A1669" s="5">
        <v>1980.0</v>
      </c>
      <c r="B1669" s="6">
        <v>46146.6381027662</v>
      </c>
      <c r="C1669" s="7" t="s">
        <v>15</v>
      </c>
      <c r="D1669" s="8" t="s">
        <v>1867</v>
      </c>
      <c r="E1669" s="8" t="s">
        <v>1023</v>
      </c>
      <c r="F1669" s="7" t="s">
        <v>1868</v>
      </c>
      <c r="G1669" s="9" t="s">
        <v>181</v>
      </c>
      <c r="H1669" s="7" t="s">
        <v>2812</v>
      </c>
      <c r="I1669" s="7" t="s">
        <v>279</v>
      </c>
      <c r="J1669" s="10">
        <v>46133.0</v>
      </c>
      <c r="K1669" s="8" t="s">
        <v>1521</v>
      </c>
      <c r="L1669" s="7">
        <v>4.0</v>
      </c>
      <c r="M1669" s="7" t="s">
        <v>33</v>
      </c>
      <c r="N1669" s="13" t="s">
        <v>5400</v>
      </c>
      <c r="O1669" s="15" t="s">
        <v>5401</v>
      </c>
    </row>
    <row r="1670">
      <c r="A1670" s="5">
        <v>1981.0</v>
      </c>
      <c r="B1670" s="6">
        <v>46146.641197453704</v>
      </c>
      <c r="C1670" s="7" t="s">
        <v>15</v>
      </c>
      <c r="D1670" s="8" t="s">
        <v>1867</v>
      </c>
      <c r="E1670" s="8" t="s">
        <v>1023</v>
      </c>
      <c r="F1670" s="7" t="s">
        <v>1868</v>
      </c>
      <c r="G1670" s="9" t="s">
        <v>84</v>
      </c>
      <c r="H1670" s="7" t="s">
        <v>85</v>
      </c>
      <c r="I1670" s="7" t="s">
        <v>456</v>
      </c>
      <c r="J1670" s="10">
        <v>46008.0</v>
      </c>
      <c r="K1670" s="8" t="s">
        <v>457</v>
      </c>
      <c r="L1670" s="7">
        <v>8.0</v>
      </c>
      <c r="M1670" s="7" t="s">
        <v>33</v>
      </c>
      <c r="N1670" s="13" t="s">
        <v>5402</v>
      </c>
      <c r="O1670" s="15" t="s">
        <v>5403</v>
      </c>
    </row>
    <row r="1671">
      <c r="A1671" s="5">
        <v>1982.0</v>
      </c>
      <c r="B1671" s="6">
        <v>46146.64383320602</v>
      </c>
      <c r="C1671" s="7" t="s">
        <v>15</v>
      </c>
      <c r="D1671" s="8" t="s">
        <v>1867</v>
      </c>
      <c r="E1671" s="8" t="s">
        <v>1023</v>
      </c>
      <c r="F1671" s="7" t="s">
        <v>1868</v>
      </c>
      <c r="G1671" s="9" t="s">
        <v>84</v>
      </c>
      <c r="H1671" s="7" t="s">
        <v>85</v>
      </c>
      <c r="I1671" s="7" t="s">
        <v>456</v>
      </c>
      <c r="J1671" s="10">
        <v>46094.0</v>
      </c>
      <c r="K1671" s="8" t="s">
        <v>457</v>
      </c>
      <c r="L1671" s="7">
        <v>8.0</v>
      </c>
      <c r="M1671" s="7" t="s">
        <v>33</v>
      </c>
      <c r="N1671" s="13" t="s">
        <v>5404</v>
      </c>
      <c r="O1671" s="15" t="s">
        <v>5405</v>
      </c>
    </row>
    <row r="1672">
      <c r="A1672" s="5">
        <v>1983.0</v>
      </c>
      <c r="B1672" s="6">
        <v>46146.64722679398</v>
      </c>
      <c r="C1672" s="7" t="s">
        <v>15</v>
      </c>
      <c r="D1672" s="8" t="s">
        <v>1867</v>
      </c>
      <c r="E1672" s="8" t="s">
        <v>1023</v>
      </c>
      <c r="F1672" s="7" t="s">
        <v>1868</v>
      </c>
      <c r="G1672" s="9" t="s">
        <v>19</v>
      </c>
      <c r="H1672" s="7" t="s">
        <v>3735</v>
      </c>
      <c r="I1672" s="7" t="s">
        <v>3736</v>
      </c>
      <c r="J1672" s="10">
        <v>46004.0</v>
      </c>
      <c r="K1672" s="8" t="s">
        <v>5406</v>
      </c>
      <c r="L1672" s="7">
        <v>8.0</v>
      </c>
      <c r="M1672" s="7" t="s">
        <v>5407</v>
      </c>
      <c r="N1672" s="13" t="s">
        <v>5408</v>
      </c>
      <c r="O1672" s="15" t="s">
        <v>5409</v>
      </c>
    </row>
    <row r="1673">
      <c r="A1673" s="5">
        <v>1984.0</v>
      </c>
      <c r="B1673" s="6">
        <v>46150.316632974536</v>
      </c>
      <c r="C1673" s="7" t="s">
        <v>760</v>
      </c>
      <c r="D1673" s="8" t="s">
        <v>1179</v>
      </c>
      <c r="E1673" s="8" t="s">
        <v>396</v>
      </c>
      <c r="F1673" s="7" t="s">
        <v>1180</v>
      </c>
      <c r="G1673" s="9" t="s">
        <v>19</v>
      </c>
      <c r="H1673" s="7" t="s">
        <v>5410</v>
      </c>
      <c r="I1673" s="7" t="s">
        <v>5411</v>
      </c>
      <c r="J1673" s="10">
        <v>46136.0</v>
      </c>
      <c r="K1673" s="8" t="s">
        <v>5412</v>
      </c>
      <c r="L1673" s="7">
        <v>8.0</v>
      </c>
      <c r="M1673" s="7" t="s">
        <v>87</v>
      </c>
      <c r="N1673" s="13" t="s">
        <v>5413</v>
      </c>
      <c r="O1673" s="15" t="s">
        <v>5414</v>
      </c>
    </row>
    <row r="1674">
      <c r="A1674" s="5">
        <v>1985.0</v>
      </c>
      <c r="B1674" s="6">
        <v>46150.318378067124</v>
      </c>
      <c r="C1674" s="7" t="s">
        <v>760</v>
      </c>
      <c r="D1674" s="8" t="s">
        <v>1179</v>
      </c>
      <c r="E1674" s="8" t="s">
        <v>396</v>
      </c>
      <c r="F1674" s="7" t="s">
        <v>1180</v>
      </c>
      <c r="G1674" s="9" t="s">
        <v>19</v>
      </c>
      <c r="H1674" s="7" t="s">
        <v>5410</v>
      </c>
      <c r="I1674" s="7" t="s">
        <v>5411</v>
      </c>
      <c r="J1674" s="10">
        <v>46137.0</v>
      </c>
      <c r="K1674" s="8" t="s">
        <v>49</v>
      </c>
      <c r="L1674" s="7">
        <v>8.0</v>
      </c>
      <c r="M1674" s="7" t="s">
        <v>87</v>
      </c>
      <c r="N1674" s="13" t="s">
        <v>5415</v>
      </c>
      <c r="O1674" s="15" t="s">
        <v>5416</v>
      </c>
    </row>
    <row r="1675">
      <c r="A1675" s="5">
        <v>1986.0</v>
      </c>
      <c r="B1675" s="6">
        <v>46150.32033773148</v>
      </c>
      <c r="C1675" s="7" t="s">
        <v>760</v>
      </c>
      <c r="D1675" s="8" t="s">
        <v>1179</v>
      </c>
      <c r="E1675" s="8" t="s">
        <v>396</v>
      </c>
      <c r="F1675" s="7" t="s">
        <v>1180</v>
      </c>
      <c r="G1675" s="9" t="s">
        <v>19</v>
      </c>
      <c r="H1675" s="7" t="s">
        <v>5410</v>
      </c>
      <c r="I1675" s="7" t="s">
        <v>5411</v>
      </c>
      <c r="J1675" s="10">
        <v>46138.0</v>
      </c>
      <c r="K1675" s="8" t="s">
        <v>49</v>
      </c>
      <c r="L1675" s="7">
        <v>8.0</v>
      </c>
      <c r="M1675" s="7" t="s">
        <v>87</v>
      </c>
      <c r="N1675" s="13" t="s">
        <v>5417</v>
      </c>
      <c r="O1675" s="15" t="s">
        <v>5418</v>
      </c>
    </row>
    <row r="1676">
      <c r="A1676" s="5">
        <v>1987.0</v>
      </c>
      <c r="B1676" s="6">
        <v>46150.90970614583</v>
      </c>
      <c r="C1676" s="7" t="s">
        <v>26</v>
      </c>
      <c r="D1676" s="8" t="s">
        <v>27</v>
      </c>
      <c r="E1676" s="8" t="s">
        <v>28</v>
      </c>
      <c r="F1676" s="7" t="s">
        <v>29</v>
      </c>
      <c r="G1676" s="9" t="s">
        <v>84</v>
      </c>
      <c r="H1676" s="7" t="s">
        <v>455</v>
      </c>
      <c r="I1676" s="7" t="s">
        <v>5419</v>
      </c>
      <c r="J1676" s="10">
        <v>46000.0</v>
      </c>
      <c r="K1676" s="8" t="s">
        <v>129</v>
      </c>
      <c r="L1676" s="7">
        <v>8.0</v>
      </c>
      <c r="M1676" s="7" t="s">
        <v>87</v>
      </c>
      <c r="N1676" s="13" t="s">
        <v>5420</v>
      </c>
      <c r="O1676" s="15" t="s">
        <v>5421</v>
      </c>
    </row>
    <row r="1677">
      <c r="A1677" s="5">
        <v>1989.0</v>
      </c>
      <c r="B1677" s="6">
        <v>46150.91990443287</v>
      </c>
      <c r="C1677" s="7" t="s">
        <v>26</v>
      </c>
      <c r="D1677" s="8" t="s">
        <v>27</v>
      </c>
      <c r="E1677" s="8" t="s">
        <v>28</v>
      </c>
      <c r="F1677" s="7" t="s">
        <v>29</v>
      </c>
      <c r="G1677" s="9" t="s">
        <v>19</v>
      </c>
      <c r="H1677" s="7" t="s">
        <v>5422</v>
      </c>
      <c r="I1677" s="7" t="s">
        <v>5423</v>
      </c>
      <c r="J1677" s="10">
        <v>46032.0</v>
      </c>
      <c r="K1677" s="8" t="s">
        <v>49</v>
      </c>
      <c r="L1677" s="7">
        <v>8.0</v>
      </c>
      <c r="M1677" s="7" t="s">
        <v>5424</v>
      </c>
      <c r="N1677" s="13" t="s">
        <v>5425</v>
      </c>
      <c r="O1677" s="15" t="s">
        <v>5426</v>
      </c>
    </row>
    <row r="1678">
      <c r="A1678" s="5">
        <v>1990.0</v>
      </c>
      <c r="B1678" s="6">
        <v>46151.93210449074</v>
      </c>
      <c r="C1678" s="7" t="s">
        <v>26</v>
      </c>
      <c r="D1678" s="8" t="s">
        <v>1542</v>
      </c>
      <c r="E1678" s="8" t="s">
        <v>737</v>
      </c>
      <c r="F1678" s="7" t="s">
        <v>1543</v>
      </c>
      <c r="G1678" s="9" t="s">
        <v>19</v>
      </c>
      <c r="H1678" s="7" t="s">
        <v>5427</v>
      </c>
      <c r="I1678" s="7" t="s">
        <v>5370</v>
      </c>
      <c r="J1678" s="10">
        <v>46032.0</v>
      </c>
      <c r="K1678" s="8" t="s">
        <v>2328</v>
      </c>
      <c r="L1678" s="7">
        <v>8.0</v>
      </c>
      <c r="M1678" s="7" t="s">
        <v>87</v>
      </c>
      <c r="N1678" s="13" t="s">
        <v>5428</v>
      </c>
      <c r="O1678" s="15" t="s">
        <v>5429</v>
      </c>
    </row>
    <row r="1679">
      <c r="A1679" s="5">
        <v>1991.0</v>
      </c>
      <c r="B1679" s="6">
        <v>46152.64599708334</v>
      </c>
      <c r="C1679" s="7" t="s">
        <v>15</v>
      </c>
      <c r="D1679" s="8" t="s">
        <v>90</v>
      </c>
      <c r="E1679" s="8" t="s">
        <v>91</v>
      </c>
      <c r="F1679" s="7" t="s">
        <v>92</v>
      </c>
      <c r="G1679" s="9" t="s">
        <v>19</v>
      </c>
      <c r="H1679" s="7" t="s">
        <v>5361</v>
      </c>
      <c r="I1679" s="7" t="s">
        <v>5362</v>
      </c>
      <c r="J1679" s="10">
        <v>46151.0</v>
      </c>
      <c r="K1679" s="8" t="s">
        <v>49</v>
      </c>
      <c r="L1679" s="7">
        <v>8.0</v>
      </c>
      <c r="M1679" s="7" t="s">
        <v>5363</v>
      </c>
      <c r="N1679" s="13" t="s">
        <v>5430</v>
      </c>
      <c r="O1679" s="15" t="s">
        <v>5431</v>
      </c>
    </row>
    <row r="1680">
      <c r="A1680" s="5">
        <v>1992.0</v>
      </c>
      <c r="B1680" s="6">
        <v>46152.65139702546</v>
      </c>
      <c r="C1680" s="7" t="s">
        <v>15</v>
      </c>
      <c r="D1680" s="8" t="s">
        <v>90</v>
      </c>
      <c r="E1680" s="8" t="s">
        <v>91</v>
      </c>
      <c r="F1680" s="7" t="s">
        <v>92</v>
      </c>
      <c r="G1680" s="9" t="s">
        <v>181</v>
      </c>
      <c r="H1680" s="7" t="s">
        <v>5432</v>
      </c>
      <c r="I1680" s="7" t="s">
        <v>5433</v>
      </c>
      <c r="J1680" s="10">
        <v>46138.0</v>
      </c>
      <c r="K1680" s="8" t="s">
        <v>3192</v>
      </c>
      <c r="L1680" s="7">
        <v>6.0</v>
      </c>
      <c r="M1680" s="7" t="s">
        <v>33</v>
      </c>
      <c r="N1680" s="13" t="s">
        <v>5434</v>
      </c>
      <c r="O1680" s="15" t="s">
        <v>5435</v>
      </c>
    </row>
    <row r="1681">
      <c r="A1681" s="5">
        <v>1993.0</v>
      </c>
      <c r="B1681" s="6">
        <v>46152.65763178241</v>
      </c>
      <c r="C1681" s="7" t="s">
        <v>15</v>
      </c>
      <c r="D1681" s="8" t="s">
        <v>90</v>
      </c>
      <c r="E1681" s="8" t="s">
        <v>91</v>
      </c>
      <c r="F1681" s="7" t="s">
        <v>92</v>
      </c>
      <c r="G1681" s="9" t="s">
        <v>181</v>
      </c>
      <c r="H1681" s="7" t="s">
        <v>5436</v>
      </c>
      <c r="I1681" s="7" t="s">
        <v>5437</v>
      </c>
      <c r="J1681" s="10">
        <v>46139.0</v>
      </c>
      <c r="K1681" s="8" t="s">
        <v>962</v>
      </c>
      <c r="L1681" s="7">
        <v>4.0</v>
      </c>
      <c r="M1681" s="7" t="s">
        <v>33</v>
      </c>
      <c r="N1681" s="13" t="s">
        <v>5438</v>
      </c>
      <c r="O1681" s="15" t="s">
        <v>5439</v>
      </c>
    </row>
    <row r="1682">
      <c r="A1682" s="5">
        <v>1994.0</v>
      </c>
      <c r="B1682" s="6">
        <v>46152.661802476854</v>
      </c>
      <c r="C1682" s="7" t="s">
        <v>15</v>
      </c>
      <c r="D1682" s="8" t="s">
        <v>90</v>
      </c>
      <c r="E1682" s="8" t="s">
        <v>91</v>
      </c>
      <c r="F1682" s="7" t="s">
        <v>92</v>
      </c>
      <c r="G1682" s="9" t="s">
        <v>181</v>
      </c>
      <c r="H1682" s="7" t="s">
        <v>5440</v>
      </c>
      <c r="I1682" s="7" t="s">
        <v>1211</v>
      </c>
      <c r="J1682" s="10">
        <v>46147.0</v>
      </c>
      <c r="K1682" s="8" t="s">
        <v>49</v>
      </c>
      <c r="L1682" s="7">
        <v>8.0</v>
      </c>
      <c r="M1682" s="7" t="s">
        <v>244</v>
      </c>
      <c r="N1682" s="13" t="s">
        <v>5441</v>
      </c>
      <c r="O1682" s="15" t="s">
        <v>5442</v>
      </c>
    </row>
    <row r="1683">
      <c r="A1683" s="5">
        <v>1995.0</v>
      </c>
      <c r="B1683" s="6">
        <v>46153.34228672454</v>
      </c>
      <c r="C1683" s="7" t="s">
        <v>15</v>
      </c>
      <c r="D1683" s="8" t="s">
        <v>483</v>
      </c>
      <c r="E1683" s="8" t="s">
        <v>484</v>
      </c>
      <c r="F1683" s="7" t="s">
        <v>485</v>
      </c>
      <c r="G1683" s="9" t="s">
        <v>181</v>
      </c>
      <c r="H1683" s="7" t="s">
        <v>5443</v>
      </c>
      <c r="I1683" s="7" t="s">
        <v>5444</v>
      </c>
      <c r="J1683" s="10">
        <v>46143.0</v>
      </c>
      <c r="K1683" s="8" t="s">
        <v>22</v>
      </c>
      <c r="L1683" s="7">
        <v>4.0</v>
      </c>
      <c r="M1683" s="7" t="s">
        <v>5445</v>
      </c>
      <c r="N1683" s="13" t="s">
        <v>5446</v>
      </c>
      <c r="O1683" s="15" t="s">
        <v>5447</v>
      </c>
    </row>
    <row r="1684">
      <c r="A1684" s="5">
        <v>1996.0</v>
      </c>
      <c r="B1684" s="6">
        <v>46153.34492015046</v>
      </c>
      <c r="C1684" s="7" t="s">
        <v>15</v>
      </c>
      <c r="D1684" s="8" t="s">
        <v>483</v>
      </c>
      <c r="E1684" s="8" t="s">
        <v>484</v>
      </c>
      <c r="F1684" s="7" t="s">
        <v>485</v>
      </c>
      <c r="G1684" s="9" t="s">
        <v>181</v>
      </c>
      <c r="H1684" s="7" t="s">
        <v>5432</v>
      </c>
      <c r="I1684" s="7" t="s">
        <v>231</v>
      </c>
      <c r="J1684" s="10">
        <v>46133.0</v>
      </c>
      <c r="K1684" s="8" t="s">
        <v>962</v>
      </c>
      <c r="L1684" s="7">
        <v>4.0</v>
      </c>
      <c r="M1684" s="7" t="s">
        <v>33</v>
      </c>
      <c r="N1684" s="13" t="s">
        <v>5448</v>
      </c>
      <c r="O1684" s="15" t="s">
        <v>5449</v>
      </c>
    </row>
    <row r="1685">
      <c r="A1685" s="5">
        <v>1997.0</v>
      </c>
      <c r="B1685" s="6">
        <v>46153.34514172454</v>
      </c>
      <c r="C1685" s="7" t="s">
        <v>15</v>
      </c>
      <c r="D1685" s="8" t="s">
        <v>16</v>
      </c>
      <c r="E1685" s="8" t="s">
        <v>17</v>
      </c>
      <c r="F1685" s="7" t="s">
        <v>18</v>
      </c>
      <c r="G1685" s="9" t="s">
        <v>181</v>
      </c>
      <c r="H1685" s="7" t="s">
        <v>5432</v>
      </c>
      <c r="I1685" s="7" t="s">
        <v>231</v>
      </c>
      <c r="J1685" s="10">
        <v>46133.0</v>
      </c>
      <c r="K1685" s="8" t="s">
        <v>962</v>
      </c>
      <c r="L1685" s="7">
        <v>4.0</v>
      </c>
      <c r="M1685" s="7" t="s">
        <v>33</v>
      </c>
      <c r="N1685" s="13" t="s">
        <v>5450</v>
      </c>
      <c r="O1685" s="15" t="s">
        <v>5451</v>
      </c>
    </row>
    <row r="1686">
      <c r="A1686" s="5">
        <v>1998.0</v>
      </c>
      <c r="B1686" s="6">
        <v>46153.34574936343</v>
      </c>
      <c r="C1686" s="7" t="s">
        <v>15</v>
      </c>
      <c r="D1686" s="8" t="s">
        <v>2127</v>
      </c>
      <c r="E1686" s="8" t="s">
        <v>118</v>
      </c>
      <c r="F1686" s="7" t="s">
        <v>2128</v>
      </c>
      <c r="G1686" s="9" t="s">
        <v>19</v>
      </c>
      <c r="H1686" s="7" t="s">
        <v>5452</v>
      </c>
      <c r="I1686" s="7" t="s">
        <v>5335</v>
      </c>
      <c r="J1686" s="10">
        <v>46032.0</v>
      </c>
      <c r="K1686" s="8" t="s">
        <v>5453</v>
      </c>
      <c r="L1686" s="7">
        <v>8.0</v>
      </c>
      <c r="M1686" s="7" t="s">
        <v>445</v>
      </c>
      <c r="N1686" s="13" t="s">
        <v>5454</v>
      </c>
      <c r="O1686" s="15" t="s">
        <v>5455</v>
      </c>
    </row>
    <row r="1687">
      <c r="A1687" s="5">
        <v>1999.0</v>
      </c>
      <c r="B1687" s="6">
        <v>46153.34627248843</v>
      </c>
      <c r="C1687" s="7" t="s">
        <v>15</v>
      </c>
      <c r="D1687" s="8" t="s">
        <v>483</v>
      </c>
      <c r="E1687" s="8" t="s">
        <v>484</v>
      </c>
      <c r="F1687" s="7" t="s">
        <v>485</v>
      </c>
      <c r="G1687" s="9" t="s">
        <v>181</v>
      </c>
      <c r="H1687" s="7" t="s">
        <v>5456</v>
      </c>
      <c r="I1687" s="7" t="s">
        <v>231</v>
      </c>
      <c r="J1687" s="10">
        <v>46134.0</v>
      </c>
      <c r="K1687" s="8" t="s">
        <v>962</v>
      </c>
      <c r="L1687" s="7">
        <v>4.0</v>
      </c>
      <c r="M1687" s="7" t="s">
        <v>33</v>
      </c>
      <c r="N1687" s="13" t="s">
        <v>5457</v>
      </c>
      <c r="O1687" s="15" t="s">
        <v>5458</v>
      </c>
    </row>
    <row r="1688">
      <c r="A1688" s="5">
        <v>2000.0</v>
      </c>
      <c r="B1688" s="6">
        <v>46153.348073298606</v>
      </c>
      <c r="C1688" s="7" t="s">
        <v>15</v>
      </c>
      <c r="D1688" s="8" t="s">
        <v>483</v>
      </c>
      <c r="E1688" s="8" t="s">
        <v>484</v>
      </c>
      <c r="F1688" s="7" t="s">
        <v>485</v>
      </c>
      <c r="G1688" s="9" t="s">
        <v>181</v>
      </c>
      <c r="H1688" s="7" t="s">
        <v>5456</v>
      </c>
      <c r="I1688" s="7" t="s">
        <v>231</v>
      </c>
      <c r="J1688" s="10">
        <v>46135.0</v>
      </c>
      <c r="K1688" s="8" t="s">
        <v>962</v>
      </c>
      <c r="L1688" s="7">
        <v>4.0</v>
      </c>
      <c r="M1688" s="7" t="s">
        <v>33</v>
      </c>
      <c r="N1688" s="13" t="s">
        <v>5459</v>
      </c>
      <c r="O1688" s="15" t="s">
        <v>5460</v>
      </c>
    </row>
    <row r="1689">
      <c r="A1689" s="5">
        <v>2001.0</v>
      </c>
      <c r="B1689" s="6">
        <v>46153.34875467593</v>
      </c>
      <c r="C1689" s="7" t="s">
        <v>15</v>
      </c>
      <c r="D1689" s="8" t="s">
        <v>16</v>
      </c>
      <c r="E1689" s="8" t="s">
        <v>17</v>
      </c>
      <c r="F1689" s="7" t="s">
        <v>18</v>
      </c>
      <c r="G1689" s="9" t="s">
        <v>181</v>
      </c>
      <c r="H1689" s="7" t="s">
        <v>5432</v>
      </c>
      <c r="I1689" s="7" t="s">
        <v>231</v>
      </c>
      <c r="J1689" s="10">
        <v>46134.0</v>
      </c>
      <c r="K1689" s="8" t="s">
        <v>962</v>
      </c>
      <c r="L1689" s="7">
        <v>4.0</v>
      </c>
      <c r="M1689" s="7" t="s">
        <v>33</v>
      </c>
      <c r="N1689" s="13" t="s">
        <v>5461</v>
      </c>
      <c r="O1689" s="15" t="s">
        <v>5462</v>
      </c>
    </row>
    <row r="1690">
      <c r="A1690" s="5">
        <v>2002.0</v>
      </c>
      <c r="B1690" s="6">
        <v>46153.34972814815</v>
      </c>
      <c r="C1690" s="7" t="s">
        <v>15</v>
      </c>
      <c r="D1690" s="8" t="s">
        <v>483</v>
      </c>
      <c r="E1690" s="8" t="s">
        <v>484</v>
      </c>
      <c r="F1690" s="7" t="s">
        <v>485</v>
      </c>
      <c r="G1690" s="9" t="s">
        <v>181</v>
      </c>
      <c r="H1690" s="7" t="s">
        <v>5456</v>
      </c>
      <c r="I1690" s="7" t="s">
        <v>231</v>
      </c>
      <c r="J1690" s="10">
        <v>46138.0</v>
      </c>
      <c r="K1690" s="8" t="s">
        <v>3192</v>
      </c>
      <c r="L1690" s="7">
        <v>6.0</v>
      </c>
      <c r="M1690" s="7" t="s">
        <v>33</v>
      </c>
      <c r="N1690" s="13" t="s">
        <v>5463</v>
      </c>
      <c r="O1690" s="15" t="s">
        <v>5464</v>
      </c>
    </row>
    <row r="1691">
      <c r="A1691" s="5">
        <v>2003.0</v>
      </c>
      <c r="B1691" s="6">
        <v>46153.352507731484</v>
      </c>
      <c r="C1691" s="7" t="s">
        <v>15</v>
      </c>
      <c r="D1691" s="8" t="s">
        <v>483</v>
      </c>
      <c r="E1691" s="8" t="s">
        <v>484</v>
      </c>
      <c r="F1691" s="7" t="s">
        <v>485</v>
      </c>
      <c r="G1691" s="9" t="s">
        <v>181</v>
      </c>
      <c r="H1691" s="7" t="s">
        <v>5432</v>
      </c>
      <c r="I1691" s="7" t="s">
        <v>5465</v>
      </c>
      <c r="J1691" s="10">
        <v>46139.0</v>
      </c>
      <c r="K1691" s="8" t="s">
        <v>962</v>
      </c>
      <c r="L1691" s="7">
        <v>4.0</v>
      </c>
      <c r="M1691" s="7" t="s">
        <v>33</v>
      </c>
      <c r="N1691" s="13" t="s">
        <v>5466</v>
      </c>
      <c r="O1691" s="15" t="s">
        <v>5467</v>
      </c>
    </row>
    <row r="1692">
      <c r="A1692" s="5">
        <v>2004.0</v>
      </c>
      <c r="B1692" s="6">
        <v>46153.35258623843</v>
      </c>
      <c r="C1692" s="7" t="s">
        <v>15</v>
      </c>
      <c r="D1692" s="8" t="s">
        <v>2127</v>
      </c>
      <c r="E1692" s="8" t="s">
        <v>118</v>
      </c>
      <c r="F1692" s="7" t="s">
        <v>2128</v>
      </c>
      <c r="G1692" s="9" t="s">
        <v>84</v>
      </c>
      <c r="H1692" s="7" t="s">
        <v>85</v>
      </c>
      <c r="I1692" s="7" t="s">
        <v>3130</v>
      </c>
      <c r="J1692" s="10">
        <v>46094.0</v>
      </c>
      <c r="K1692" s="8" t="s">
        <v>49</v>
      </c>
      <c r="L1692" s="7">
        <v>8.0</v>
      </c>
      <c r="M1692" s="7" t="s">
        <v>87</v>
      </c>
      <c r="N1692" s="13" t="s">
        <v>5468</v>
      </c>
      <c r="O1692" s="15" t="s">
        <v>5469</v>
      </c>
    </row>
    <row r="1693">
      <c r="A1693" s="5">
        <v>2004.0</v>
      </c>
      <c r="B1693" s="6">
        <v>46153.352592766205</v>
      </c>
      <c r="C1693" s="7" t="s">
        <v>15</v>
      </c>
      <c r="D1693" s="8" t="s">
        <v>16</v>
      </c>
      <c r="E1693" s="8" t="s">
        <v>17</v>
      </c>
      <c r="F1693" s="7" t="s">
        <v>18</v>
      </c>
      <c r="G1693" s="9" t="s">
        <v>181</v>
      </c>
      <c r="H1693" s="7" t="s">
        <v>5432</v>
      </c>
      <c r="I1693" s="7" t="s">
        <v>231</v>
      </c>
      <c r="J1693" s="10">
        <v>46135.0</v>
      </c>
      <c r="K1693" s="8" t="s">
        <v>962</v>
      </c>
      <c r="L1693" s="7">
        <v>4.0</v>
      </c>
      <c r="M1693" s="7" t="s">
        <v>33</v>
      </c>
      <c r="N1693" s="13" t="s">
        <v>5470</v>
      </c>
      <c r="O1693" s="15" t="s">
        <v>5471</v>
      </c>
    </row>
    <row r="1694">
      <c r="A1694" s="5">
        <v>2005.0</v>
      </c>
      <c r="B1694" s="6">
        <v>46153.35510180556</v>
      </c>
      <c r="C1694" s="7" t="s">
        <v>15</v>
      </c>
      <c r="D1694" s="8" t="s">
        <v>16</v>
      </c>
      <c r="E1694" s="8" t="s">
        <v>17</v>
      </c>
      <c r="F1694" s="7" t="s">
        <v>18</v>
      </c>
      <c r="G1694" s="9" t="s">
        <v>181</v>
      </c>
      <c r="H1694" s="7" t="s">
        <v>5432</v>
      </c>
      <c r="I1694" s="7" t="s">
        <v>231</v>
      </c>
      <c r="J1694" s="10">
        <v>46138.0</v>
      </c>
      <c r="K1694" s="8" t="s">
        <v>3192</v>
      </c>
      <c r="L1694" s="7">
        <v>6.0</v>
      </c>
      <c r="M1694" s="7" t="s">
        <v>33</v>
      </c>
      <c r="N1694" s="13" t="s">
        <v>5472</v>
      </c>
      <c r="O1694" s="15" t="s">
        <v>5473</v>
      </c>
    </row>
    <row r="1695">
      <c r="A1695" s="5">
        <v>2006.0</v>
      </c>
      <c r="B1695" s="6">
        <v>46153.35621780093</v>
      </c>
      <c r="C1695" s="7" t="s">
        <v>15</v>
      </c>
      <c r="D1695" s="8" t="s">
        <v>2127</v>
      </c>
      <c r="E1695" s="8" t="s">
        <v>118</v>
      </c>
      <c r="F1695" s="7" t="s">
        <v>2128</v>
      </c>
      <c r="G1695" s="9" t="s">
        <v>181</v>
      </c>
      <c r="H1695" s="7" t="s">
        <v>5474</v>
      </c>
      <c r="I1695" s="7" t="s">
        <v>5475</v>
      </c>
      <c r="J1695" s="10">
        <v>46093.0</v>
      </c>
      <c r="K1695" s="8" t="s">
        <v>2659</v>
      </c>
      <c r="L1695" s="7">
        <v>1.0</v>
      </c>
      <c r="M1695" s="7" t="s">
        <v>219</v>
      </c>
      <c r="N1695" s="13" t="s">
        <v>5476</v>
      </c>
      <c r="O1695" s="15" t="s">
        <v>5477</v>
      </c>
    </row>
    <row r="1696">
      <c r="A1696" s="5">
        <v>2007.0</v>
      </c>
      <c r="B1696" s="6">
        <v>46153.35768674768</v>
      </c>
      <c r="C1696" s="7" t="s">
        <v>15</v>
      </c>
      <c r="D1696" s="8" t="s">
        <v>16</v>
      </c>
      <c r="E1696" s="8" t="s">
        <v>17</v>
      </c>
      <c r="F1696" s="7" t="s">
        <v>18</v>
      </c>
      <c r="G1696" s="9" t="s">
        <v>181</v>
      </c>
      <c r="H1696" s="7" t="s">
        <v>5432</v>
      </c>
      <c r="I1696" s="7" t="s">
        <v>5465</v>
      </c>
      <c r="J1696" s="10">
        <v>46139.0</v>
      </c>
      <c r="K1696" s="8" t="s">
        <v>962</v>
      </c>
      <c r="L1696" s="7">
        <v>4.0</v>
      </c>
      <c r="M1696" s="7" t="s">
        <v>33</v>
      </c>
      <c r="N1696" s="13" t="s">
        <v>5478</v>
      </c>
      <c r="O1696" s="15" t="s">
        <v>5479</v>
      </c>
    </row>
    <row r="1697">
      <c r="A1697" s="5">
        <v>2009.0</v>
      </c>
      <c r="B1697" s="6">
        <v>46153.36096453704</v>
      </c>
      <c r="C1697" s="7" t="s">
        <v>15</v>
      </c>
      <c r="D1697" s="8" t="s">
        <v>2127</v>
      </c>
      <c r="E1697" s="8" t="s">
        <v>118</v>
      </c>
      <c r="F1697" s="7" t="s">
        <v>2128</v>
      </c>
      <c r="G1697" s="9" t="s">
        <v>181</v>
      </c>
      <c r="H1697" s="7" t="s">
        <v>5456</v>
      </c>
      <c r="I1697" s="7" t="s">
        <v>231</v>
      </c>
      <c r="J1697" s="10">
        <v>46134.0</v>
      </c>
      <c r="K1697" s="8" t="s">
        <v>962</v>
      </c>
      <c r="L1697" s="7">
        <v>4.0</v>
      </c>
      <c r="M1697" s="7" t="s">
        <v>33</v>
      </c>
      <c r="N1697" s="13" t="s">
        <v>5480</v>
      </c>
      <c r="O1697" s="15" t="s">
        <v>5481</v>
      </c>
    </row>
    <row r="1698">
      <c r="A1698" s="5">
        <v>2010.0</v>
      </c>
      <c r="B1698" s="6">
        <v>46153.361998657405</v>
      </c>
      <c r="C1698" s="7" t="s">
        <v>15</v>
      </c>
      <c r="D1698" s="8" t="s">
        <v>2127</v>
      </c>
      <c r="E1698" s="8" t="s">
        <v>118</v>
      </c>
      <c r="F1698" s="7" t="s">
        <v>2128</v>
      </c>
      <c r="G1698" s="9" t="s">
        <v>181</v>
      </c>
      <c r="H1698" s="7" t="s">
        <v>5456</v>
      </c>
      <c r="I1698" s="7" t="s">
        <v>231</v>
      </c>
      <c r="J1698" s="10">
        <v>46135.0</v>
      </c>
      <c r="K1698" s="8" t="s">
        <v>962</v>
      </c>
      <c r="L1698" s="7">
        <v>4.0</v>
      </c>
      <c r="M1698" s="7" t="s">
        <v>33</v>
      </c>
      <c r="N1698" s="13" t="s">
        <v>5482</v>
      </c>
      <c r="O1698" s="15" t="s">
        <v>5483</v>
      </c>
    </row>
    <row r="1699">
      <c r="A1699" s="5">
        <v>2011.0</v>
      </c>
      <c r="B1699" s="6">
        <v>46153.363119629634</v>
      </c>
      <c r="C1699" s="7" t="s">
        <v>15</v>
      </c>
      <c r="D1699" s="8" t="s">
        <v>2127</v>
      </c>
      <c r="E1699" s="8" t="s">
        <v>118</v>
      </c>
      <c r="F1699" s="7" t="s">
        <v>2128</v>
      </c>
      <c r="G1699" s="9" t="s">
        <v>181</v>
      </c>
      <c r="H1699" s="7" t="s">
        <v>5456</v>
      </c>
      <c r="I1699" s="7" t="s">
        <v>231</v>
      </c>
      <c r="J1699" s="10">
        <v>46138.0</v>
      </c>
      <c r="K1699" s="8" t="s">
        <v>3192</v>
      </c>
      <c r="L1699" s="7">
        <v>6.0</v>
      </c>
      <c r="M1699" s="7" t="s">
        <v>33</v>
      </c>
      <c r="N1699" s="13" t="s">
        <v>5484</v>
      </c>
      <c r="O1699" s="15" t="s">
        <v>5485</v>
      </c>
    </row>
    <row r="1700">
      <c r="A1700" s="5">
        <v>2012.0</v>
      </c>
      <c r="B1700" s="6">
        <v>46153.36429550926</v>
      </c>
      <c r="C1700" s="7" t="s">
        <v>15</v>
      </c>
      <c r="D1700" s="8" t="s">
        <v>2127</v>
      </c>
      <c r="E1700" s="8" t="s">
        <v>118</v>
      </c>
      <c r="F1700" s="7" t="s">
        <v>2128</v>
      </c>
      <c r="G1700" s="9" t="s">
        <v>181</v>
      </c>
      <c r="H1700" s="7" t="s">
        <v>5456</v>
      </c>
      <c r="I1700" s="7" t="s">
        <v>5465</v>
      </c>
      <c r="J1700" s="10">
        <v>46139.0</v>
      </c>
      <c r="K1700" s="8" t="s">
        <v>962</v>
      </c>
      <c r="L1700" s="7">
        <v>4.0</v>
      </c>
      <c r="M1700" s="7" t="s">
        <v>33</v>
      </c>
      <c r="N1700" s="13" t="s">
        <v>5486</v>
      </c>
      <c r="O1700" s="15" t="s">
        <v>5487</v>
      </c>
    </row>
    <row r="1701">
      <c r="A1701" s="5">
        <v>2013.0</v>
      </c>
      <c r="B1701" s="6">
        <v>46153.36497354167</v>
      </c>
      <c r="C1701" s="7" t="s">
        <v>15</v>
      </c>
      <c r="D1701" s="8" t="s">
        <v>483</v>
      </c>
      <c r="E1701" s="8" t="s">
        <v>484</v>
      </c>
      <c r="F1701" s="7" t="s">
        <v>485</v>
      </c>
      <c r="G1701" s="9" t="s">
        <v>19</v>
      </c>
      <c r="H1701" s="7" t="s">
        <v>5488</v>
      </c>
      <c r="I1701" s="7" t="s">
        <v>3736</v>
      </c>
      <c r="J1701" s="10">
        <v>46010.0</v>
      </c>
      <c r="K1701" s="8" t="s">
        <v>5406</v>
      </c>
      <c r="L1701" s="7">
        <v>8.0</v>
      </c>
      <c r="M1701" s="7" t="s">
        <v>3841</v>
      </c>
      <c r="N1701" s="13" t="s">
        <v>5489</v>
      </c>
      <c r="O1701" s="15" t="s">
        <v>5490</v>
      </c>
    </row>
    <row r="1702">
      <c r="A1702" s="5">
        <v>2014.0</v>
      </c>
      <c r="B1702" s="6">
        <v>46153.37001733796</v>
      </c>
      <c r="C1702" s="7" t="s">
        <v>15</v>
      </c>
      <c r="D1702" s="8" t="s">
        <v>3006</v>
      </c>
      <c r="E1702" s="8" t="s">
        <v>228</v>
      </c>
      <c r="F1702" s="7" t="s">
        <v>3007</v>
      </c>
      <c r="G1702" s="9" t="s">
        <v>181</v>
      </c>
      <c r="H1702" s="7" t="s">
        <v>5491</v>
      </c>
      <c r="I1702" s="7" t="s">
        <v>231</v>
      </c>
      <c r="J1702" s="10">
        <v>46147.0</v>
      </c>
      <c r="K1702" s="8" t="s">
        <v>4598</v>
      </c>
      <c r="L1702" s="7">
        <v>8.0</v>
      </c>
      <c r="M1702" s="7" t="s">
        <v>5492</v>
      </c>
      <c r="N1702" s="13" t="s">
        <v>5493</v>
      </c>
      <c r="O1702" s="15" t="s">
        <v>5494</v>
      </c>
    </row>
    <row r="1703">
      <c r="A1703" s="5">
        <v>2015.0</v>
      </c>
      <c r="B1703" s="6">
        <v>46153.37451658565</v>
      </c>
      <c r="C1703" s="7" t="s">
        <v>15</v>
      </c>
      <c r="D1703" s="8" t="s">
        <v>3006</v>
      </c>
      <c r="E1703" s="8" t="s">
        <v>228</v>
      </c>
      <c r="F1703" s="7" t="s">
        <v>3007</v>
      </c>
      <c r="G1703" s="9" t="s">
        <v>181</v>
      </c>
      <c r="H1703" s="7" t="s">
        <v>5432</v>
      </c>
      <c r="I1703" s="7" t="s">
        <v>231</v>
      </c>
      <c r="J1703" s="10">
        <v>46133.0</v>
      </c>
      <c r="K1703" s="8" t="s">
        <v>5495</v>
      </c>
      <c r="L1703" s="7">
        <v>4.0</v>
      </c>
      <c r="M1703" s="7" t="s">
        <v>33</v>
      </c>
      <c r="N1703" s="13" t="s">
        <v>5496</v>
      </c>
      <c r="O1703" s="15" t="s">
        <v>5497</v>
      </c>
    </row>
    <row r="1704">
      <c r="A1704" s="5">
        <v>2016.0</v>
      </c>
      <c r="B1704" s="6">
        <v>46153.376303680554</v>
      </c>
      <c r="C1704" s="7" t="s">
        <v>15</v>
      </c>
      <c r="D1704" s="8" t="s">
        <v>3006</v>
      </c>
      <c r="E1704" s="8" t="s">
        <v>228</v>
      </c>
      <c r="F1704" s="7" t="s">
        <v>3007</v>
      </c>
      <c r="G1704" s="9" t="s">
        <v>181</v>
      </c>
      <c r="H1704" s="7" t="s">
        <v>5432</v>
      </c>
      <c r="I1704" s="7" t="s">
        <v>231</v>
      </c>
      <c r="J1704" s="10">
        <v>46134.0</v>
      </c>
      <c r="K1704" s="8" t="s">
        <v>5495</v>
      </c>
      <c r="L1704" s="7">
        <v>4.0</v>
      </c>
      <c r="M1704" s="7" t="s">
        <v>33</v>
      </c>
      <c r="N1704" s="13" t="s">
        <v>5498</v>
      </c>
      <c r="O1704" s="15" t="s">
        <v>5499</v>
      </c>
    </row>
    <row r="1705">
      <c r="A1705" s="5">
        <v>2018.0</v>
      </c>
      <c r="B1705" s="6">
        <v>46153.37787652778</v>
      </c>
      <c r="C1705" s="7" t="s">
        <v>15</v>
      </c>
      <c r="D1705" s="8" t="s">
        <v>3763</v>
      </c>
      <c r="E1705" s="8" t="s">
        <v>236</v>
      </c>
      <c r="F1705" s="7" t="s">
        <v>3764</v>
      </c>
      <c r="G1705" s="9" t="s">
        <v>181</v>
      </c>
      <c r="H1705" s="7" t="s">
        <v>5500</v>
      </c>
      <c r="I1705" s="7" t="s">
        <v>1211</v>
      </c>
      <c r="J1705" s="10">
        <v>46147.0</v>
      </c>
      <c r="K1705" s="8" t="s">
        <v>49</v>
      </c>
      <c r="L1705" s="7">
        <v>8.0</v>
      </c>
      <c r="M1705" s="7" t="s">
        <v>244</v>
      </c>
      <c r="N1705" s="13" t="s">
        <v>5501</v>
      </c>
      <c r="O1705" s="15" t="s">
        <v>5502</v>
      </c>
    </row>
    <row r="1706">
      <c r="A1706" s="5">
        <v>2019.0</v>
      </c>
      <c r="B1706" s="6">
        <v>46153.37918033564</v>
      </c>
      <c r="C1706" s="7" t="s">
        <v>15</v>
      </c>
      <c r="D1706" s="8" t="s">
        <v>2191</v>
      </c>
      <c r="E1706" s="8" t="s">
        <v>1764</v>
      </c>
      <c r="F1706" s="7" t="s">
        <v>2192</v>
      </c>
      <c r="G1706" s="9" t="s">
        <v>84</v>
      </c>
      <c r="H1706" s="7" t="s">
        <v>85</v>
      </c>
      <c r="I1706" s="7" t="s">
        <v>5503</v>
      </c>
      <c r="J1706" s="10">
        <v>46067.0</v>
      </c>
      <c r="K1706" s="8" t="s">
        <v>2659</v>
      </c>
      <c r="L1706" s="7">
        <v>8.0</v>
      </c>
      <c r="M1706" s="7" t="s">
        <v>33</v>
      </c>
      <c r="N1706" s="13" t="s">
        <v>5504</v>
      </c>
      <c r="O1706" s="15" t="s">
        <v>5505</v>
      </c>
    </row>
    <row r="1707">
      <c r="A1707" s="5">
        <v>2020.0</v>
      </c>
      <c r="B1707" s="6">
        <v>46153.37934627315</v>
      </c>
      <c r="C1707" s="7" t="s">
        <v>15</v>
      </c>
      <c r="D1707" s="8" t="s">
        <v>3006</v>
      </c>
      <c r="E1707" s="8" t="s">
        <v>228</v>
      </c>
      <c r="F1707" s="7" t="s">
        <v>3007</v>
      </c>
      <c r="G1707" s="9" t="s">
        <v>181</v>
      </c>
      <c r="H1707" s="7" t="s">
        <v>5432</v>
      </c>
      <c r="I1707" s="7" t="s">
        <v>231</v>
      </c>
      <c r="J1707" s="10">
        <v>46138.0</v>
      </c>
      <c r="K1707" s="8" t="s">
        <v>5506</v>
      </c>
      <c r="L1707" s="7">
        <v>6.0</v>
      </c>
      <c r="M1707" s="7" t="s">
        <v>33</v>
      </c>
      <c r="N1707" s="13" t="s">
        <v>5507</v>
      </c>
      <c r="O1707" s="15" t="s">
        <v>5508</v>
      </c>
    </row>
    <row r="1708">
      <c r="A1708" s="5">
        <v>2021.0</v>
      </c>
      <c r="B1708" s="6">
        <v>46153.381234479166</v>
      </c>
      <c r="C1708" s="7" t="s">
        <v>15</v>
      </c>
      <c r="D1708" s="8" t="s">
        <v>3006</v>
      </c>
      <c r="E1708" s="8" t="s">
        <v>228</v>
      </c>
      <c r="F1708" s="7" t="s">
        <v>3007</v>
      </c>
      <c r="G1708" s="9" t="s">
        <v>181</v>
      </c>
      <c r="H1708" s="7" t="s">
        <v>5432</v>
      </c>
      <c r="I1708" s="7" t="s">
        <v>5509</v>
      </c>
      <c r="J1708" s="10">
        <v>46139.0</v>
      </c>
      <c r="K1708" s="8" t="s">
        <v>5510</v>
      </c>
      <c r="L1708" s="7">
        <v>4.0</v>
      </c>
      <c r="M1708" s="7" t="s">
        <v>33</v>
      </c>
      <c r="N1708" s="13" t="s">
        <v>5511</v>
      </c>
      <c r="O1708" s="15" t="s">
        <v>5512</v>
      </c>
    </row>
    <row r="1709">
      <c r="A1709" s="5">
        <v>2026.0</v>
      </c>
      <c r="B1709" s="6">
        <v>46153.38713870371</v>
      </c>
      <c r="C1709" s="7" t="s">
        <v>15</v>
      </c>
      <c r="D1709" s="8" t="s">
        <v>2191</v>
      </c>
      <c r="E1709" s="8" t="s">
        <v>1764</v>
      </c>
      <c r="F1709" s="7" t="s">
        <v>2192</v>
      </c>
      <c r="G1709" s="9" t="s">
        <v>181</v>
      </c>
      <c r="H1709" s="7" t="s">
        <v>5432</v>
      </c>
      <c r="I1709" s="7" t="s">
        <v>231</v>
      </c>
      <c r="J1709" s="10">
        <v>46134.0</v>
      </c>
      <c r="K1709" s="8" t="s">
        <v>962</v>
      </c>
      <c r="L1709" s="7">
        <v>4.0</v>
      </c>
      <c r="M1709" s="7" t="s">
        <v>5513</v>
      </c>
      <c r="N1709" s="13" t="s">
        <v>5514</v>
      </c>
      <c r="O1709" s="15" t="s">
        <v>5515</v>
      </c>
    </row>
    <row r="1710">
      <c r="A1710" s="5">
        <v>2027.0</v>
      </c>
      <c r="B1710" s="6">
        <v>46153.393134756945</v>
      </c>
      <c r="C1710" s="7" t="s">
        <v>15</v>
      </c>
      <c r="D1710" s="8" t="s">
        <v>2191</v>
      </c>
      <c r="E1710" s="8" t="s">
        <v>1764</v>
      </c>
      <c r="F1710" s="7" t="s">
        <v>2192</v>
      </c>
      <c r="G1710" s="9" t="s">
        <v>181</v>
      </c>
      <c r="H1710" s="7" t="s">
        <v>5432</v>
      </c>
      <c r="I1710" s="7" t="s">
        <v>231</v>
      </c>
      <c r="J1710" s="10">
        <v>46135.0</v>
      </c>
      <c r="K1710" s="8" t="s">
        <v>962</v>
      </c>
      <c r="L1710" s="7">
        <v>4.0</v>
      </c>
      <c r="M1710" s="7" t="s">
        <v>553</v>
      </c>
      <c r="N1710" s="13" t="s">
        <v>5516</v>
      </c>
      <c r="O1710" s="15" t="s">
        <v>5517</v>
      </c>
    </row>
    <row r="1711">
      <c r="A1711" s="5">
        <v>2028.0</v>
      </c>
      <c r="B1711" s="6">
        <v>46153.39547471065</v>
      </c>
      <c r="C1711" s="7" t="s">
        <v>15</v>
      </c>
      <c r="D1711" s="8" t="s">
        <v>2191</v>
      </c>
      <c r="E1711" s="8" t="s">
        <v>1764</v>
      </c>
      <c r="F1711" s="7" t="s">
        <v>2192</v>
      </c>
      <c r="G1711" s="9" t="s">
        <v>181</v>
      </c>
      <c r="H1711" s="7" t="s">
        <v>5456</v>
      </c>
      <c r="I1711" s="7" t="s">
        <v>231</v>
      </c>
      <c r="J1711" s="10">
        <v>46138.0</v>
      </c>
      <c r="K1711" s="8" t="s">
        <v>3192</v>
      </c>
      <c r="L1711" s="7">
        <v>6.0</v>
      </c>
      <c r="M1711" s="7" t="s">
        <v>553</v>
      </c>
      <c r="N1711" s="13" t="s">
        <v>5518</v>
      </c>
      <c r="O1711" s="15" t="s">
        <v>5519</v>
      </c>
    </row>
    <row r="1712">
      <c r="A1712" s="5">
        <v>2029.0</v>
      </c>
      <c r="B1712" s="6">
        <v>46153.396905138885</v>
      </c>
      <c r="C1712" s="7" t="s">
        <v>15</v>
      </c>
      <c r="D1712" s="8" t="s">
        <v>2191</v>
      </c>
      <c r="E1712" s="8" t="s">
        <v>1764</v>
      </c>
      <c r="F1712" s="7" t="s">
        <v>2192</v>
      </c>
      <c r="G1712" s="9" t="s">
        <v>181</v>
      </c>
      <c r="H1712" s="7" t="s">
        <v>5456</v>
      </c>
      <c r="I1712" s="7" t="s">
        <v>1211</v>
      </c>
      <c r="J1712" s="10">
        <v>46139.0</v>
      </c>
      <c r="K1712" s="8" t="s">
        <v>962</v>
      </c>
      <c r="L1712" s="7">
        <v>4.0</v>
      </c>
      <c r="M1712" s="7" t="s">
        <v>553</v>
      </c>
      <c r="N1712" s="13" t="s">
        <v>5520</v>
      </c>
      <c r="O1712" s="15" t="s">
        <v>5521</v>
      </c>
    </row>
    <row r="1713">
      <c r="A1713" s="5">
        <v>2030.0</v>
      </c>
      <c r="B1713" s="6">
        <v>46153.401069328705</v>
      </c>
      <c r="C1713" s="7" t="s">
        <v>26</v>
      </c>
      <c r="D1713" s="8" t="s">
        <v>1476</v>
      </c>
      <c r="E1713" s="8" t="s">
        <v>547</v>
      </c>
      <c r="F1713" s="7" t="s">
        <v>1477</v>
      </c>
      <c r="G1713" s="9" t="s">
        <v>19</v>
      </c>
      <c r="H1713" s="7" t="s">
        <v>5522</v>
      </c>
      <c r="I1713" s="7" t="s">
        <v>1337</v>
      </c>
      <c r="J1713" s="10">
        <v>46032.0</v>
      </c>
      <c r="K1713" s="8" t="s">
        <v>2328</v>
      </c>
      <c r="L1713" s="7">
        <v>8.0</v>
      </c>
      <c r="M1713" s="7" t="s">
        <v>2391</v>
      </c>
      <c r="N1713" s="13" t="s">
        <v>5523</v>
      </c>
      <c r="O1713" s="15" t="s">
        <v>5524</v>
      </c>
    </row>
    <row r="1714">
      <c r="A1714" s="5">
        <v>2031.0</v>
      </c>
      <c r="B1714" s="6">
        <v>46153.402722824074</v>
      </c>
      <c r="C1714" s="7" t="s">
        <v>26</v>
      </c>
      <c r="D1714" s="8" t="s">
        <v>847</v>
      </c>
      <c r="E1714" s="8" t="s">
        <v>1185</v>
      </c>
      <c r="F1714" s="7" t="s">
        <v>848</v>
      </c>
      <c r="G1714" s="9" t="s">
        <v>181</v>
      </c>
      <c r="H1714" s="7" t="s">
        <v>5432</v>
      </c>
      <c r="I1714" s="7" t="s">
        <v>231</v>
      </c>
      <c r="J1714" s="10">
        <v>46133.0</v>
      </c>
      <c r="K1714" s="8" t="s">
        <v>962</v>
      </c>
      <c r="L1714" s="7">
        <v>4.0</v>
      </c>
      <c r="M1714" s="7" t="s">
        <v>33</v>
      </c>
      <c r="N1714" s="13" t="s">
        <v>5525</v>
      </c>
      <c r="O1714" s="15" t="s">
        <v>5526</v>
      </c>
    </row>
    <row r="1715">
      <c r="A1715" s="5">
        <v>2032.0</v>
      </c>
      <c r="B1715" s="6">
        <v>46153.40521923611</v>
      </c>
      <c r="C1715" s="7" t="s">
        <v>26</v>
      </c>
      <c r="D1715" s="8" t="s">
        <v>379</v>
      </c>
      <c r="E1715" s="8" t="s">
        <v>1827</v>
      </c>
      <c r="F1715" s="7" t="s">
        <v>381</v>
      </c>
      <c r="G1715" s="9" t="s">
        <v>19</v>
      </c>
      <c r="H1715" s="7" t="s">
        <v>5422</v>
      </c>
      <c r="I1715" s="7" t="s">
        <v>1337</v>
      </c>
      <c r="J1715" s="10">
        <v>46032.0</v>
      </c>
      <c r="K1715" s="8" t="s">
        <v>2328</v>
      </c>
      <c r="L1715" s="7">
        <v>8.0</v>
      </c>
      <c r="M1715" s="7" t="s">
        <v>87</v>
      </c>
      <c r="N1715" s="13" t="s">
        <v>5527</v>
      </c>
      <c r="O1715" s="15" t="s">
        <v>5528</v>
      </c>
    </row>
    <row r="1716">
      <c r="A1716" s="5">
        <v>2033.0</v>
      </c>
      <c r="B1716" s="6">
        <v>46153.405669479165</v>
      </c>
      <c r="C1716" s="7" t="s">
        <v>26</v>
      </c>
      <c r="D1716" s="8" t="s">
        <v>3077</v>
      </c>
      <c r="E1716" s="8" t="s">
        <v>396</v>
      </c>
      <c r="F1716" s="7" t="s">
        <v>3078</v>
      </c>
      <c r="G1716" s="9" t="s">
        <v>181</v>
      </c>
      <c r="H1716" s="7" t="s">
        <v>5432</v>
      </c>
      <c r="I1716" s="7" t="s">
        <v>1211</v>
      </c>
      <c r="J1716" s="10">
        <v>46133.0</v>
      </c>
      <c r="K1716" s="8" t="s">
        <v>962</v>
      </c>
      <c r="L1716" s="7">
        <v>4.0</v>
      </c>
      <c r="M1716" s="7" t="s">
        <v>33</v>
      </c>
      <c r="N1716" s="13" t="s">
        <v>5529</v>
      </c>
      <c r="O1716" s="15" t="s">
        <v>5530</v>
      </c>
    </row>
    <row r="1717">
      <c r="A1717" s="5">
        <v>2034.0</v>
      </c>
      <c r="B1717" s="6">
        <v>46153.40691659722</v>
      </c>
      <c r="C1717" s="7" t="s">
        <v>26</v>
      </c>
      <c r="D1717" s="8" t="s">
        <v>432</v>
      </c>
      <c r="E1717" s="8" t="s">
        <v>287</v>
      </c>
      <c r="F1717" s="7" t="s">
        <v>433</v>
      </c>
      <c r="G1717" s="9" t="s">
        <v>181</v>
      </c>
      <c r="H1717" s="7" t="s">
        <v>5432</v>
      </c>
      <c r="I1717" s="7" t="s">
        <v>1211</v>
      </c>
      <c r="J1717" s="10">
        <v>46133.0</v>
      </c>
      <c r="K1717" s="8" t="s">
        <v>962</v>
      </c>
      <c r="L1717" s="7">
        <v>4.0</v>
      </c>
      <c r="M1717" s="7" t="s">
        <v>33</v>
      </c>
      <c r="N1717" s="13" t="s">
        <v>5531</v>
      </c>
      <c r="O1717" s="15" t="s">
        <v>5532</v>
      </c>
    </row>
    <row r="1718">
      <c r="A1718" s="5">
        <v>2035.0</v>
      </c>
      <c r="B1718" s="6">
        <v>46153.40695476852</v>
      </c>
      <c r="C1718" s="7" t="s">
        <v>26</v>
      </c>
      <c r="D1718" s="8" t="s">
        <v>847</v>
      </c>
      <c r="E1718" s="8" t="s">
        <v>1185</v>
      </c>
      <c r="F1718" s="7" t="s">
        <v>848</v>
      </c>
      <c r="G1718" s="9" t="s">
        <v>181</v>
      </c>
      <c r="H1718" s="7" t="s">
        <v>5432</v>
      </c>
      <c r="I1718" s="7" t="s">
        <v>231</v>
      </c>
      <c r="J1718" s="10">
        <v>46134.0</v>
      </c>
      <c r="K1718" s="8" t="s">
        <v>962</v>
      </c>
      <c r="L1718" s="7">
        <v>4.0</v>
      </c>
      <c r="M1718" s="7" t="s">
        <v>33</v>
      </c>
      <c r="N1718" s="13" t="s">
        <v>5533</v>
      </c>
      <c r="O1718" s="15" t="s">
        <v>5534</v>
      </c>
    </row>
    <row r="1719">
      <c r="A1719" s="5">
        <v>2036.0</v>
      </c>
      <c r="B1719" s="6">
        <v>46153.406971689816</v>
      </c>
      <c r="C1719" s="7" t="s">
        <v>26</v>
      </c>
      <c r="D1719" s="8" t="s">
        <v>1022</v>
      </c>
      <c r="E1719" s="8" t="s">
        <v>1023</v>
      </c>
      <c r="F1719" s="7" t="s">
        <v>1024</v>
      </c>
      <c r="G1719" s="9" t="s">
        <v>19</v>
      </c>
      <c r="H1719" s="7" t="s">
        <v>5369</v>
      </c>
      <c r="I1719" s="7" t="s">
        <v>5335</v>
      </c>
      <c r="J1719" s="10">
        <v>46032.0</v>
      </c>
      <c r="K1719" s="8" t="s">
        <v>2328</v>
      </c>
      <c r="L1719" s="7">
        <v>8.0</v>
      </c>
      <c r="M1719" s="7" t="s">
        <v>87</v>
      </c>
      <c r="N1719" s="13" t="s">
        <v>5535</v>
      </c>
      <c r="O1719" s="15" t="s">
        <v>5536</v>
      </c>
    </row>
    <row r="1720">
      <c r="A1720" s="5">
        <v>2037.0</v>
      </c>
      <c r="B1720" s="6">
        <v>46153.40715009259</v>
      </c>
      <c r="C1720" s="7" t="s">
        <v>26</v>
      </c>
      <c r="D1720" s="8" t="s">
        <v>3656</v>
      </c>
      <c r="E1720" s="8" t="s">
        <v>1596</v>
      </c>
      <c r="F1720" s="7" t="s">
        <v>3657</v>
      </c>
      <c r="G1720" s="9" t="s">
        <v>181</v>
      </c>
      <c r="H1720" s="7" t="s">
        <v>5432</v>
      </c>
      <c r="I1720" s="7" t="s">
        <v>231</v>
      </c>
      <c r="J1720" s="10">
        <v>46133.0</v>
      </c>
      <c r="K1720" s="8" t="s">
        <v>962</v>
      </c>
      <c r="L1720" s="7">
        <v>4.0</v>
      </c>
      <c r="M1720" s="7" t="s">
        <v>33</v>
      </c>
      <c r="N1720" s="13" t="s">
        <v>5537</v>
      </c>
      <c r="O1720" s="15" t="s">
        <v>5538</v>
      </c>
    </row>
    <row r="1721">
      <c r="A1721" s="5">
        <v>2038.0</v>
      </c>
      <c r="B1721" s="6">
        <v>46153.40732341435</v>
      </c>
      <c r="C1721" s="7" t="s">
        <v>26</v>
      </c>
      <c r="D1721" s="8" t="s">
        <v>1041</v>
      </c>
      <c r="E1721" s="8" t="s">
        <v>1042</v>
      </c>
      <c r="F1721" s="7" t="s">
        <v>1043</v>
      </c>
      <c r="G1721" s="9" t="s">
        <v>181</v>
      </c>
      <c r="H1721" s="7" t="s">
        <v>5432</v>
      </c>
      <c r="I1721" s="7" t="s">
        <v>231</v>
      </c>
      <c r="J1721" s="10">
        <v>46133.0</v>
      </c>
      <c r="K1721" s="8" t="s">
        <v>962</v>
      </c>
      <c r="L1721" s="7">
        <v>4.0</v>
      </c>
      <c r="M1721" s="7" t="s">
        <v>33</v>
      </c>
      <c r="N1721" s="13" t="s">
        <v>5539</v>
      </c>
      <c r="O1721" s="15" t="s">
        <v>5540</v>
      </c>
    </row>
    <row r="1722">
      <c r="A1722" s="5">
        <v>2039.0</v>
      </c>
      <c r="B1722" s="6">
        <v>46153.40782262731</v>
      </c>
      <c r="C1722" s="7" t="s">
        <v>26</v>
      </c>
      <c r="D1722" s="8" t="s">
        <v>432</v>
      </c>
      <c r="E1722" s="8" t="s">
        <v>287</v>
      </c>
      <c r="F1722" s="7" t="s">
        <v>433</v>
      </c>
      <c r="G1722" s="9" t="s">
        <v>181</v>
      </c>
      <c r="H1722" s="7" t="s">
        <v>5432</v>
      </c>
      <c r="I1722" s="7" t="s">
        <v>1211</v>
      </c>
      <c r="J1722" s="10">
        <v>46134.0</v>
      </c>
      <c r="K1722" s="8" t="s">
        <v>962</v>
      </c>
      <c r="L1722" s="7">
        <v>4.0</v>
      </c>
      <c r="M1722" s="7" t="s">
        <v>33</v>
      </c>
      <c r="N1722" s="13" t="s">
        <v>5541</v>
      </c>
      <c r="O1722" s="15" t="s">
        <v>5542</v>
      </c>
    </row>
    <row r="1723">
      <c r="A1723" s="5">
        <v>2040.0</v>
      </c>
      <c r="B1723" s="6">
        <v>46153.40796077547</v>
      </c>
      <c r="C1723" s="7" t="s">
        <v>26</v>
      </c>
      <c r="D1723" s="8" t="s">
        <v>1022</v>
      </c>
      <c r="E1723" s="8" t="s">
        <v>1023</v>
      </c>
      <c r="F1723" s="7" t="s">
        <v>1024</v>
      </c>
      <c r="G1723" s="9" t="s">
        <v>181</v>
      </c>
      <c r="H1723" s="7" t="s">
        <v>5432</v>
      </c>
      <c r="I1723" s="7" t="s">
        <v>231</v>
      </c>
      <c r="J1723" s="10">
        <v>46135.0</v>
      </c>
      <c r="K1723" s="8" t="s">
        <v>962</v>
      </c>
      <c r="L1723" s="7">
        <v>4.0</v>
      </c>
      <c r="M1723" s="7" t="s">
        <v>33</v>
      </c>
      <c r="N1723" s="13" t="s">
        <v>5543</v>
      </c>
      <c r="O1723" s="15" t="s">
        <v>5544</v>
      </c>
    </row>
    <row r="1724">
      <c r="A1724" s="5">
        <v>2041.0</v>
      </c>
      <c r="B1724" s="6">
        <v>46153.408519386576</v>
      </c>
      <c r="C1724" s="7" t="s">
        <v>26</v>
      </c>
      <c r="D1724" s="8" t="s">
        <v>432</v>
      </c>
      <c r="E1724" s="8" t="s">
        <v>287</v>
      </c>
      <c r="F1724" s="7" t="s">
        <v>433</v>
      </c>
      <c r="G1724" s="9" t="s">
        <v>181</v>
      </c>
      <c r="H1724" s="7" t="s">
        <v>5432</v>
      </c>
      <c r="I1724" s="7" t="s">
        <v>1211</v>
      </c>
      <c r="J1724" s="10">
        <v>46135.0</v>
      </c>
      <c r="K1724" s="8" t="s">
        <v>962</v>
      </c>
      <c r="L1724" s="7">
        <v>4.0</v>
      </c>
      <c r="M1724" s="7" t="s">
        <v>33</v>
      </c>
      <c r="N1724" s="13" t="s">
        <v>5545</v>
      </c>
      <c r="O1724" s="15" t="s">
        <v>5546</v>
      </c>
    </row>
    <row r="1725">
      <c r="A1725" s="5">
        <v>2042.0</v>
      </c>
      <c r="B1725" s="6">
        <v>46153.40870518518</v>
      </c>
      <c r="C1725" s="7" t="s">
        <v>26</v>
      </c>
      <c r="D1725" s="8" t="s">
        <v>847</v>
      </c>
      <c r="E1725" s="8" t="s">
        <v>1185</v>
      </c>
      <c r="F1725" s="7" t="s">
        <v>848</v>
      </c>
      <c r="G1725" s="9" t="s">
        <v>181</v>
      </c>
      <c r="H1725" s="7" t="s">
        <v>5432</v>
      </c>
      <c r="I1725" s="7" t="s">
        <v>231</v>
      </c>
      <c r="J1725" s="10">
        <v>46135.0</v>
      </c>
      <c r="K1725" s="8" t="s">
        <v>962</v>
      </c>
      <c r="L1725" s="7">
        <v>4.0</v>
      </c>
      <c r="M1725" s="7" t="s">
        <v>33</v>
      </c>
      <c r="N1725" s="13" t="s">
        <v>5547</v>
      </c>
      <c r="O1725" s="15" t="s">
        <v>5548</v>
      </c>
    </row>
    <row r="1726">
      <c r="A1726" s="5">
        <v>2043.0</v>
      </c>
      <c r="B1726" s="6">
        <v>46153.40872298611</v>
      </c>
      <c r="C1726" s="7" t="s">
        <v>26</v>
      </c>
      <c r="D1726" s="8" t="s">
        <v>1958</v>
      </c>
      <c r="E1726" s="8" t="s">
        <v>380</v>
      </c>
      <c r="F1726" s="7" t="s">
        <v>1959</v>
      </c>
      <c r="G1726" s="9" t="s">
        <v>19</v>
      </c>
      <c r="H1726" s="7" t="s">
        <v>5549</v>
      </c>
      <c r="I1726" s="7" t="s">
        <v>1337</v>
      </c>
      <c r="J1726" s="10">
        <v>46032.0</v>
      </c>
      <c r="K1726" s="8" t="s">
        <v>2328</v>
      </c>
      <c r="L1726" s="7">
        <v>8.0</v>
      </c>
      <c r="M1726" s="7" t="s">
        <v>5550</v>
      </c>
      <c r="N1726" s="13" t="s">
        <v>5551</v>
      </c>
      <c r="O1726" s="15" t="s">
        <v>5552</v>
      </c>
    </row>
    <row r="1727">
      <c r="A1727" s="5">
        <v>2044.0</v>
      </c>
      <c r="B1727" s="6">
        <v>46153.40995197916</v>
      </c>
      <c r="C1727" s="7" t="s">
        <v>26</v>
      </c>
      <c r="D1727" s="8" t="s">
        <v>1022</v>
      </c>
      <c r="E1727" s="8" t="s">
        <v>1023</v>
      </c>
      <c r="F1727" s="7" t="s">
        <v>1024</v>
      </c>
      <c r="G1727" s="9" t="s">
        <v>181</v>
      </c>
      <c r="H1727" s="7" t="s">
        <v>5432</v>
      </c>
      <c r="I1727" s="7" t="s">
        <v>231</v>
      </c>
      <c r="J1727" s="10">
        <v>46138.0</v>
      </c>
      <c r="K1727" s="8" t="s">
        <v>3192</v>
      </c>
      <c r="L1727" s="7">
        <v>6.0</v>
      </c>
      <c r="M1727" s="7" t="s">
        <v>33</v>
      </c>
      <c r="N1727" s="13" t="s">
        <v>5553</v>
      </c>
      <c r="O1727" s="15" t="s">
        <v>5554</v>
      </c>
    </row>
    <row r="1728">
      <c r="A1728" s="5">
        <v>2045.0</v>
      </c>
      <c r="B1728" s="6">
        <v>46153.410805023144</v>
      </c>
      <c r="C1728" s="7" t="s">
        <v>26</v>
      </c>
      <c r="D1728" s="8" t="s">
        <v>432</v>
      </c>
      <c r="E1728" s="8" t="s">
        <v>287</v>
      </c>
      <c r="F1728" s="7" t="s">
        <v>433</v>
      </c>
      <c r="G1728" s="9" t="s">
        <v>181</v>
      </c>
      <c r="H1728" s="7" t="s">
        <v>5432</v>
      </c>
      <c r="I1728" s="7" t="s">
        <v>1211</v>
      </c>
      <c r="J1728" s="10">
        <v>46138.0</v>
      </c>
      <c r="K1728" s="8" t="s">
        <v>3737</v>
      </c>
      <c r="L1728" s="7">
        <v>8.0</v>
      </c>
      <c r="M1728" s="7" t="s">
        <v>33</v>
      </c>
      <c r="N1728" s="13" t="s">
        <v>5555</v>
      </c>
      <c r="O1728" s="15" t="s">
        <v>5556</v>
      </c>
    </row>
    <row r="1729">
      <c r="A1729" s="5">
        <v>2046.0</v>
      </c>
      <c r="B1729" s="6">
        <v>46153.412143229165</v>
      </c>
      <c r="C1729" s="7" t="s">
        <v>26</v>
      </c>
      <c r="D1729" s="8" t="s">
        <v>1022</v>
      </c>
      <c r="E1729" s="8" t="s">
        <v>1023</v>
      </c>
      <c r="F1729" s="7" t="s">
        <v>1024</v>
      </c>
      <c r="G1729" s="9" t="s">
        <v>181</v>
      </c>
      <c r="H1729" s="7" t="s">
        <v>5432</v>
      </c>
      <c r="I1729" s="7" t="s">
        <v>5437</v>
      </c>
      <c r="J1729" s="10">
        <v>46139.0</v>
      </c>
      <c r="K1729" s="8" t="s">
        <v>962</v>
      </c>
      <c r="L1729" s="7">
        <v>4.0</v>
      </c>
      <c r="M1729" s="7" t="s">
        <v>33</v>
      </c>
      <c r="N1729" s="13" t="s">
        <v>5557</v>
      </c>
      <c r="O1729" s="15" t="s">
        <v>5558</v>
      </c>
    </row>
    <row r="1730">
      <c r="A1730" s="5">
        <v>2048.0</v>
      </c>
      <c r="B1730" s="6">
        <v>46153.4124446875</v>
      </c>
      <c r="C1730" s="7" t="s">
        <v>26</v>
      </c>
      <c r="D1730" s="8" t="s">
        <v>432</v>
      </c>
      <c r="E1730" s="8" t="s">
        <v>287</v>
      </c>
      <c r="F1730" s="7" t="s">
        <v>433</v>
      </c>
      <c r="G1730" s="9" t="s">
        <v>181</v>
      </c>
      <c r="H1730" s="7" t="s">
        <v>5432</v>
      </c>
      <c r="I1730" s="7" t="s">
        <v>5437</v>
      </c>
      <c r="J1730" s="10">
        <v>46139.0</v>
      </c>
      <c r="K1730" s="8" t="s">
        <v>962</v>
      </c>
      <c r="L1730" s="7">
        <v>4.0</v>
      </c>
      <c r="M1730" s="7" t="s">
        <v>33</v>
      </c>
      <c r="N1730" s="13" t="s">
        <v>5559</v>
      </c>
      <c r="O1730" s="15" t="s">
        <v>5560</v>
      </c>
    </row>
    <row r="1731">
      <c r="A1731" s="5">
        <v>2049.0</v>
      </c>
      <c r="B1731" s="6">
        <v>46153.41350931713</v>
      </c>
      <c r="C1731" s="7" t="s">
        <v>26</v>
      </c>
      <c r="D1731" s="8" t="s">
        <v>3656</v>
      </c>
      <c r="E1731" s="8" t="s">
        <v>1596</v>
      </c>
      <c r="F1731" s="7" t="s">
        <v>5561</v>
      </c>
      <c r="G1731" s="9" t="s">
        <v>181</v>
      </c>
      <c r="H1731" s="7" t="s">
        <v>5432</v>
      </c>
      <c r="I1731" s="7" t="s">
        <v>231</v>
      </c>
      <c r="J1731" s="10">
        <v>46134.0</v>
      </c>
      <c r="K1731" s="8" t="s">
        <v>962</v>
      </c>
      <c r="L1731" s="7">
        <v>4.0</v>
      </c>
      <c r="M1731" s="7" t="s">
        <v>33</v>
      </c>
      <c r="N1731" s="13" t="s">
        <v>5562</v>
      </c>
      <c r="O1731" s="15" t="s">
        <v>5563</v>
      </c>
    </row>
    <row r="1732">
      <c r="A1732" s="5">
        <v>2050.0</v>
      </c>
      <c r="B1732" s="6">
        <v>46153.414023564816</v>
      </c>
      <c r="C1732" s="7" t="s">
        <v>26</v>
      </c>
      <c r="D1732" s="8" t="s">
        <v>1041</v>
      </c>
      <c r="E1732" s="8" t="s">
        <v>1042</v>
      </c>
      <c r="F1732" s="7" t="s">
        <v>1043</v>
      </c>
      <c r="G1732" s="9" t="s">
        <v>181</v>
      </c>
      <c r="H1732" s="7" t="s">
        <v>5432</v>
      </c>
      <c r="I1732" s="7" t="s">
        <v>231</v>
      </c>
      <c r="J1732" s="10">
        <v>46135.0</v>
      </c>
      <c r="K1732" s="8" t="s">
        <v>962</v>
      </c>
      <c r="L1732" s="7">
        <v>4.0</v>
      </c>
      <c r="M1732" s="7" t="s">
        <v>33</v>
      </c>
      <c r="N1732" s="13" t="s">
        <v>5564</v>
      </c>
      <c r="O1732" s="15" t="s">
        <v>5565</v>
      </c>
    </row>
    <row r="1733">
      <c r="A1733" s="5">
        <v>2051.0</v>
      </c>
      <c r="B1733" s="6">
        <v>46153.41437226852</v>
      </c>
      <c r="C1733" s="7" t="s">
        <v>26</v>
      </c>
      <c r="D1733" s="8" t="s">
        <v>432</v>
      </c>
      <c r="E1733" s="8" t="s">
        <v>287</v>
      </c>
      <c r="F1733" s="7" t="s">
        <v>433</v>
      </c>
      <c r="G1733" s="9" t="s">
        <v>19</v>
      </c>
      <c r="H1733" s="7" t="s">
        <v>5566</v>
      </c>
      <c r="I1733" s="7" t="s">
        <v>5567</v>
      </c>
      <c r="J1733" s="10">
        <v>46032.0</v>
      </c>
      <c r="K1733" s="8" t="s">
        <v>2328</v>
      </c>
      <c r="L1733" s="7">
        <v>8.0</v>
      </c>
      <c r="M1733" s="7" t="s">
        <v>87</v>
      </c>
      <c r="N1733" s="13" t="s">
        <v>5568</v>
      </c>
      <c r="O1733" s="15" t="s">
        <v>5569</v>
      </c>
    </row>
    <row r="1734">
      <c r="A1734" s="5">
        <v>2052.0</v>
      </c>
      <c r="B1734" s="6">
        <v>46153.41504790509</v>
      </c>
      <c r="C1734" s="7" t="s">
        <v>26</v>
      </c>
      <c r="D1734" s="8" t="s">
        <v>3656</v>
      </c>
      <c r="E1734" s="8" t="s">
        <v>1596</v>
      </c>
      <c r="F1734" s="7" t="s">
        <v>3657</v>
      </c>
      <c r="G1734" s="9" t="s">
        <v>181</v>
      </c>
      <c r="H1734" s="7" t="s">
        <v>5432</v>
      </c>
      <c r="I1734" s="7" t="s">
        <v>231</v>
      </c>
      <c r="J1734" s="10">
        <v>46135.0</v>
      </c>
      <c r="K1734" s="8" t="s">
        <v>962</v>
      </c>
      <c r="L1734" s="7">
        <v>4.0</v>
      </c>
      <c r="M1734" s="7" t="s">
        <v>33</v>
      </c>
      <c r="N1734" s="13" t="s">
        <v>5570</v>
      </c>
      <c r="O1734" s="15" t="s">
        <v>5571</v>
      </c>
    </row>
    <row r="1735">
      <c r="A1735" s="5">
        <v>2053.0</v>
      </c>
      <c r="B1735" s="6">
        <v>46153.41576148148</v>
      </c>
      <c r="C1735" s="7" t="s">
        <v>26</v>
      </c>
      <c r="D1735" s="8" t="s">
        <v>432</v>
      </c>
      <c r="E1735" s="8" t="s">
        <v>287</v>
      </c>
      <c r="F1735" s="7" t="s">
        <v>433</v>
      </c>
      <c r="G1735" s="9" t="s">
        <v>84</v>
      </c>
      <c r="H1735" s="7" t="s">
        <v>85</v>
      </c>
      <c r="I1735" s="7" t="s">
        <v>656</v>
      </c>
      <c r="J1735" s="10">
        <v>46074.0</v>
      </c>
      <c r="K1735" s="8" t="s">
        <v>1132</v>
      </c>
      <c r="L1735" s="7">
        <v>8.0</v>
      </c>
      <c r="M1735" s="7" t="s">
        <v>658</v>
      </c>
      <c r="N1735" s="13" t="s">
        <v>5572</v>
      </c>
      <c r="O1735" s="15" t="s">
        <v>5573</v>
      </c>
    </row>
    <row r="1736">
      <c r="A1736" s="5">
        <v>2054.0</v>
      </c>
      <c r="B1736" s="6">
        <v>46153.41738112269</v>
      </c>
      <c r="C1736" s="7" t="s">
        <v>26</v>
      </c>
      <c r="D1736" s="8" t="s">
        <v>3656</v>
      </c>
      <c r="E1736" s="8" t="s">
        <v>1596</v>
      </c>
      <c r="F1736" s="7" t="s">
        <v>3657</v>
      </c>
      <c r="G1736" s="9" t="s">
        <v>181</v>
      </c>
      <c r="H1736" s="7" t="s">
        <v>5432</v>
      </c>
      <c r="I1736" s="7" t="s">
        <v>231</v>
      </c>
      <c r="J1736" s="10">
        <v>46138.0</v>
      </c>
      <c r="K1736" s="8" t="s">
        <v>3737</v>
      </c>
      <c r="L1736" s="7">
        <v>8.0</v>
      </c>
      <c r="M1736" s="7" t="s">
        <v>33</v>
      </c>
      <c r="N1736" s="13" t="s">
        <v>5574</v>
      </c>
      <c r="O1736" s="15" t="s">
        <v>5575</v>
      </c>
    </row>
    <row r="1737">
      <c r="A1737" s="5">
        <v>2055.0</v>
      </c>
      <c r="B1737" s="6">
        <v>46153.44497777778</v>
      </c>
      <c r="C1737" s="7" t="s">
        <v>15</v>
      </c>
      <c r="D1737" s="8" t="s">
        <v>546</v>
      </c>
      <c r="E1737" s="8" t="s">
        <v>547</v>
      </c>
      <c r="F1737" s="7" t="s">
        <v>552</v>
      </c>
      <c r="G1737" s="9" t="s">
        <v>181</v>
      </c>
      <c r="H1737" s="7" t="s">
        <v>5432</v>
      </c>
      <c r="I1737" s="7" t="s">
        <v>231</v>
      </c>
      <c r="J1737" s="10">
        <v>46133.0</v>
      </c>
      <c r="K1737" s="8" t="s">
        <v>962</v>
      </c>
      <c r="L1737" s="7">
        <v>4.0</v>
      </c>
      <c r="M1737" s="7" t="s">
        <v>33</v>
      </c>
      <c r="N1737" s="13" t="s">
        <v>5576</v>
      </c>
      <c r="O1737" s="15" t="s">
        <v>5577</v>
      </c>
    </row>
    <row r="1738">
      <c r="A1738" s="5">
        <v>2056.0</v>
      </c>
      <c r="B1738" s="6">
        <v>46153.448243148145</v>
      </c>
      <c r="C1738" s="7" t="s">
        <v>15</v>
      </c>
      <c r="D1738" s="8" t="s">
        <v>546</v>
      </c>
      <c r="E1738" s="8" t="s">
        <v>547</v>
      </c>
      <c r="F1738" s="7" t="s">
        <v>552</v>
      </c>
      <c r="G1738" s="9" t="s">
        <v>181</v>
      </c>
      <c r="H1738" s="7" t="s">
        <v>5432</v>
      </c>
      <c r="I1738" s="7" t="s">
        <v>231</v>
      </c>
      <c r="J1738" s="10">
        <v>46134.0</v>
      </c>
      <c r="K1738" s="8" t="s">
        <v>962</v>
      </c>
      <c r="L1738" s="7">
        <v>4.0</v>
      </c>
      <c r="M1738" s="7" t="s">
        <v>33</v>
      </c>
      <c r="N1738" s="13" t="s">
        <v>5578</v>
      </c>
      <c r="O1738" s="15" t="s">
        <v>5579</v>
      </c>
    </row>
    <row r="1739">
      <c r="A1739" s="5">
        <v>2057.0</v>
      </c>
      <c r="B1739" s="6">
        <v>46153.45006711806</v>
      </c>
      <c r="C1739" s="7" t="s">
        <v>15</v>
      </c>
      <c r="D1739" s="8" t="s">
        <v>546</v>
      </c>
      <c r="E1739" s="8" t="s">
        <v>547</v>
      </c>
      <c r="F1739" s="7" t="s">
        <v>552</v>
      </c>
      <c r="G1739" s="9" t="s">
        <v>181</v>
      </c>
      <c r="H1739" s="7" t="s">
        <v>5432</v>
      </c>
      <c r="I1739" s="7" t="s">
        <v>231</v>
      </c>
      <c r="J1739" s="10">
        <v>46135.0</v>
      </c>
      <c r="K1739" s="8" t="s">
        <v>962</v>
      </c>
      <c r="L1739" s="7">
        <v>4.0</v>
      </c>
      <c r="M1739" s="7" t="s">
        <v>33</v>
      </c>
      <c r="N1739" s="13" t="s">
        <v>5580</v>
      </c>
      <c r="O1739" s="15" t="s">
        <v>5581</v>
      </c>
    </row>
    <row r="1740">
      <c r="A1740" s="5">
        <v>2058.0</v>
      </c>
      <c r="B1740" s="6">
        <v>46153.455778020834</v>
      </c>
      <c r="C1740" s="7" t="s">
        <v>15</v>
      </c>
      <c r="D1740" s="8" t="s">
        <v>546</v>
      </c>
      <c r="E1740" s="8" t="s">
        <v>547</v>
      </c>
      <c r="F1740" s="7" t="s">
        <v>552</v>
      </c>
      <c r="G1740" s="9" t="s">
        <v>181</v>
      </c>
      <c r="H1740" s="7" t="s">
        <v>5432</v>
      </c>
      <c r="I1740" s="7" t="s">
        <v>231</v>
      </c>
      <c r="J1740" s="10">
        <v>46168.0</v>
      </c>
      <c r="K1740" s="8" t="s">
        <v>3192</v>
      </c>
      <c r="L1740" s="7">
        <v>6.0</v>
      </c>
      <c r="M1740" s="7" t="s">
        <v>33</v>
      </c>
      <c r="N1740" s="13" t="s">
        <v>5582</v>
      </c>
      <c r="O1740" s="15" t="s">
        <v>5583</v>
      </c>
    </row>
    <row r="1741">
      <c r="A1741" s="5">
        <v>2059.0</v>
      </c>
      <c r="B1741" s="6">
        <v>46153.45818100694</v>
      </c>
      <c r="C1741" s="7" t="s">
        <v>15</v>
      </c>
      <c r="D1741" s="8" t="s">
        <v>546</v>
      </c>
      <c r="E1741" s="8" t="s">
        <v>547</v>
      </c>
      <c r="F1741" s="7" t="s">
        <v>552</v>
      </c>
      <c r="G1741" s="9" t="s">
        <v>181</v>
      </c>
      <c r="H1741" s="7" t="s">
        <v>5432</v>
      </c>
      <c r="I1741" s="7" t="s">
        <v>5465</v>
      </c>
      <c r="J1741" s="10">
        <v>46169.0</v>
      </c>
      <c r="K1741" s="8" t="s">
        <v>962</v>
      </c>
      <c r="L1741" s="7">
        <v>4.0</v>
      </c>
      <c r="M1741" s="7" t="s">
        <v>33</v>
      </c>
      <c r="N1741" s="13" t="s">
        <v>5584</v>
      </c>
      <c r="O1741" s="15" t="s">
        <v>5585</v>
      </c>
    </row>
    <row r="1742">
      <c r="A1742" s="5">
        <v>2060.0</v>
      </c>
      <c r="B1742" s="6">
        <v>46153.46713109953</v>
      </c>
      <c r="C1742" s="7" t="s">
        <v>15</v>
      </c>
      <c r="D1742" s="8" t="s">
        <v>2182</v>
      </c>
      <c r="E1742" s="8" t="s">
        <v>1725</v>
      </c>
      <c r="F1742" s="7" t="s">
        <v>2183</v>
      </c>
      <c r="G1742" s="9" t="s">
        <v>19</v>
      </c>
      <c r="H1742" s="7" t="s">
        <v>5452</v>
      </c>
      <c r="I1742" s="7" t="s">
        <v>5335</v>
      </c>
      <c r="J1742" s="10">
        <v>46032.0</v>
      </c>
      <c r="K1742" s="8" t="s">
        <v>5586</v>
      </c>
      <c r="L1742" s="7">
        <v>8.0</v>
      </c>
      <c r="M1742" s="7" t="s">
        <v>445</v>
      </c>
      <c r="N1742" s="13" t="s">
        <v>5587</v>
      </c>
      <c r="O1742" s="15" t="s">
        <v>5588</v>
      </c>
    </row>
    <row r="1743">
      <c r="A1743" s="5">
        <v>2061.0</v>
      </c>
      <c r="B1743" s="6">
        <v>46153.469386620374</v>
      </c>
      <c r="C1743" s="7" t="s">
        <v>15</v>
      </c>
      <c r="D1743" s="8" t="s">
        <v>76</v>
      </c>
      <c r="E1743" s="8" t="s">
        <v>28</v>
      </c>
      <c r="F1743" s="7" t="s">
        <v>77</v>
      </c>
      <c r="G1743" s="9" t="s">
        <v>19</v>
      </c>
      <c r="H1743" s="7" t="s">
        <v>5589</v>
      </c>
      <c r="I1743" s="7" t="s">
        <v>5590</v>
      </c>
      <c r="J1743" s="10">
        <v>46060.0</v>
      </c>
      <c r="K1743" s="8" t="s">
        <v>49</v>
      </c>
      <c r="L1743" s="7">
        <v>8.0</v>
      </c>
      <c r="M1743" s="7" t="s">
        <v>2953</v>
      </c>
      <c r="N1743" s="13" t="s">
        <v>5591</v>
      </c>
      <c r="O1743" s="15" t="s">
        <v>5592</v>
      </c>
    </row>
    <row r="1744">
      <c r="A1744" s="5">
        <v>2062.0</v>
      </c>
      <c r="B1744" s="6">
        <v>46153.47284991898</v>
      </c>
      <c r="C1744" s="7" t="s">
        <v>15</v>
      </c>
      <c r="D1744" s="8" t="s">
        <v>76</v>
      </c>
      <c r="E1744" s="8" t="s">
        <v>28</v>
      </c>
      <c r="F1744" s="7" t="s">
        <v>77</v>
      </c>
      <c r="G1744" s="9" t="s">
        <v>181</v>
      </c>
      <c r="H1744" s="7" t="s">
        <v>5593</v>
      </c>
      <c r="I1744" s="7" t="s">
        <v>231</v>
      </c>
      <c r="J1744" s="10">
        <v>46133.0</v>
      </c>
      <c r="K1744" s="8" t="s">
        <v>962</v>
      </c>
      <c r="L1744" s="7">
        <v>4.0</v>
      </c>
      <c r="M1744" s="7" t="s">
        <v>33</v>
      </c>
      <c r="N1744" s="13" t="s">
        <v>5594</v>
      </c>
      <c r="O1744" s="15" t="s">
        <v>5595</v>
      </c>
    </row>
    <row r="1745">
      <c r="A1745" s="5">
        <v>2063.0</v>
      </c>
      <c r="B1745" s="6">
        <v>46153.47406719907</v>
      </c>
      <c r="C1745" s="7" t="s">
        <v>15</v>
      </c>
      <c r="D1745" s="8" t="s">
        <v>76</v>
      </c>
      <c r="E1745" s="8" t="s">
        <v>28</v>
      </c>
      <c r="F1745" s="7" t="s">
        <v>77</v>
      </c>
      <c r="G1745" s="9" t="s">
        <v>181</v>
      </c>
      <c r="H1745" s="7" t="s">
        <v>5432</v>
      </c>
      <c r="I1745" s="7" t="s">
        <v>231</v>
      </c>
      <c r="J1745" s="10">
        <v>46134.0</v>
      </c>
      <c r="K1745" s="8" t="s">
        <v>962</v>
      </c>
      <c r="L1745" s="7">
        <v>4.0</v>
      </c>
      <c r="M1745" s="7" t="s">
        <v>33</v>
      </c>
      <c r="N1745" s="13" t="s">
        <v>5596</v>
      </c>
      <c r="O1745" s="15" t="s">
        <v>5597</v>
      </c>
    </row>
    <row r="1746">
      <c r="A1746" s="5">
        <v>2064.0</v>
      </c>
      <c r="B1746" s="6">
        <v>46153.47530517361</v>
      </c>
      <c r="C1746" s="7" t="s">
        <v>15</v>
      </c>
      <c r="D1746" s="8" t="s">
        <v>76</v>
      </c>
      <c r="E1746" s="8" t="s">
        <v>28</v>
      </c>
      <c r="F1746" s="7" t="s">
        <v>77</v>
      </c>
      <c r="G1746" s="9" t="s">
        <v>181</v>
      </c>
      <c r="H1746" s="7" t="s">
        <v>5432</v>
      </c>
      <c r="I1746" s="7" t="s">
        <v>231</v>
      </c>
      <c r="J1746" s="10">
        <v>46135.0</v>
      </c>
      <c r="K1746" s="8" t="s">
        <v>962</v>
      </c>
      <c r="L1746" s="7">
        <v>4.0</v>
      </c>
      <c r="M1746" s="7" t="s">
        <v>33</v>
      </c>
      <c r="N1746" s="13" t="s">
        <v>5598</v>
      </c>
      <c r="O1746" s="15" t="s">
        <v>5599</v>
      </c>
    </row>
    <row r="1747">
      <c r="A1747" s="5">
        <v>2066.0</v>
      </c>
      <c r="B1747" s="6">
        <v>46153.47654505787</v>
      </c>
      <c r="C1747" s="7" t="s">
        <v>15</v>
      </c>
      <c r="D1747" s="8" t="s">
        <v>76</v>
      </c>
      <c r="E1747" s="8" t="s">
        <v>28</v>
      </c>
      <c r="F1747" s="7" t="s">
        <v>5600</v>
      </c>
      <c r="G1747" s="9" t="s">
        <v>181</v>
      </c>
      <c r="H1747" s="7" t="s">
        <v>5432</v>
      </c>
      <c r="I1747" s="7" t="s">
        <v>231</v>
      </c>
      <c r="J1747" s="10">
        <v>46138.0</v>
      </c>
      <c r="K1747" s="8" t="s">
        <v>3192</v>
      </c>
      <c r="L1747" s="7">
        <v>6.0</v>
      </c>
      <c r="M1747" s="7" t="s">
        <v>33</v>
      </c>
      <c r="N1747" s="13" t="s">
        <v>5601</v>
      </c>
      <c r="O1747" s="15" t="s">
        <v>5602</v>
      </c>
    </row>
    <row r="1748">
      <c r="A1748" s="5">
        <v>2067.0</v>
      </c>
      <c r="B1748" s="6">
        <v>46153.47798414352</v>
      </c>
      <c r="C1748" s="7" t="s">
        <v>15</v>
      </c>
      <c r="D1748" s="8" t="s">
        <v>76</v>
      </c>
      <c r="E1748" s="8" t="s">
        <v>28</v>
      </c>
      <c r="F1748" s="7" t="s">
        <v>77</v>
      </c>
      <c r="G1748" s="9" t="s">
        <v>181</v>
      </c>
      <c r="H1748" s="7" t="s">
        <v>5603</v>
      </c>
      <c r="I1748" s="7" t="s">
        <v>5437</v>
      </c>
      <c r="J1748" s="10">
        <v>46139.0</v>
      </c>
      <c r="K1748" s="8" t="s">
        <v>962</v>
      </c>
      <c r="L1748" s="7">
        <v>4.0</v>
      </c>
      <c r="M1748" s="7" t="s">
        <v>33</v>
      </c>
      <c r="N1748" s="13" t="s">
        <v>5604</v>
      </c>
      <c r="O1748" s="15" t="s">
        <v>5605</v>
      </c>
    </row>
    <row r="1749">
      <c r="A1749" s="5">
        <v>2068.0</v>
      </c>
      <c r="B1749" s="6">
        <v>46153.478159652776</v>
      </c>
      <c r="C1749" s="7" t="s">
        <v>15</v>
      </c>
      <c r="D1749" s="8" t="s">
        <v>3890</v>
      </c>
      <c r="E1749" s="8" t="s">
        <v>1248</v>
      </c>
      <c r="F1749" s="7" t="s">
        <v>3891</v>
      </c>
      <c r="G1749" s="9" t="s">
        <v>181</v>
      </c>
      <c r="H1749" s="7" t="s">
        <v>5606</v>
      </c>
      <c r="I1749" s="7" t="s">
        <v>314</v>
      </c>
      <c r="J1749" s="10">
        <v>46147.0</v>
      </c>
      <c r="K1749" s="8" t="s">
        <v>620</v>
      </c>
      <c r="L1749" s="7">
        <v>8.0</v>
      </c>
      <c r="M1749" s="7" t="s">
        <v>244</v>
      </c>
      <c r="N1749" s="13" t="s">
        <v>5607</v>
      </c>
      <c r="O1749" s="15" t="s">
        <v>5608</v>
      </c>
    </row>
    <row r="1750">
      <c r="A1750" s="5">
        <v>2069.0</v>
      </c>
      <c r="B1750" s="6">
        <v>46153.48487180556</v>
      </c>
      <c r="C1750" s="7" t="s">
        <v>15</v>
      </c>
      <c r="D1750" s="8" t="s">
        <v>3890</v>
      </c>
      <c r="E1750" s="8" t="s">
        <v>1248</v>
      </c>
      <c r="F1750" s="7" t="s">
        <v>3891</v>
      </c>
      <c r="G1750" s="9" t="s">
        <v>181</v>
      </c>
      <c r="H1750" s="7" t="s">
        <v>5432</v>
      </c>
      <c r="I1750" s="7" t="s">
        <v>231</v>
      </c>
      <c r="J1750" s="10">
        <v>46138.0</v>
      </c>
      <c r="K1750" s="8" t="s">
        <v>3192</v>
      </c>
      <c r="L1750" s="7">
        <v>6.0</v>
      </c>
      <c r="M1750" s="7" t="s">
        <v>33</v>
      </c>
      <c r="N1750" s="13" t="s">
        <v>5609</v>
      </c>
      <c r="O1750" s="15" t="s">
        <v>5610</v>
      </c>
    </row>
    <row r="1751">
      <c r="A1751" s="5">
        <v>2070.0</v>
      </c>
      <c r="B1751" s="6">
        <v>46153.48803601852</v>
      </c>
      <c r="C1751" s="7" t="s">
        <v>15</v>
      </c>
      <c r="D1751" s="8" t="s">
        <v>3890</v>
      </c>
      <c r="E1751" s="8" t="s">
        <v>1248</v>
      </c>
      <c r="F1751" s="7" t="s">
        <v>3891</v>
      </c>
      <c r="G1751" s="9" t="s">
        <v>181</v>
      </c>
      <c r="H1751" s="7" t="s">
        <v>5432</v>
      </c>
      <c r="I1751" s="7" t="s">
        <v>5611</v>
      </c>
      <c r="J1751" s="10">
        <v>46139.0</v>
      </c>
      <c r="K1751" s="8" t="s">
        <v>962</v>
      </c>
      <c r="L1751" s="7">
        <v>4.0</v>
      </c>
      <c r="M1751" s="7" t="s">
        <v>33</v>
      </c>
      <c r="N1751" s="7"/>
      <c r="O1751" s="15" t="s">
        <v>5612</v>
      </c>
    </row>
    <row r="1752">
      <c r="A1752" s="5">
        <v>2071.0</v>
      </c>
      <c r="B1752" s="6">
        <v>46153.49159467593</v>
      </c>
      <c r="C1752" s="7" t="s">
        <v>15</v>
      </c>
      <c r="D1752" s="8" t="s">
        <v>403</v>
      </c>
      <c r="E1752" s="8" t="s">
        <v>404</v>
      </c>
      <c r="F1752" s="7" t="s">
        <v>405</v>
      </c>
      <c r="G1752" s="9" t="s">
        <v>19</v>
      </c>
      <c r="H1752" s="7" t="s">
        <v>3493</v>
      </c>
      <c r="I1752" s="7" t="s">
        <v>5613</v>
      </c>
      <c r="J1752" s="10">
        <v>46092.0</v>
      </c>
      <c r="K1752" s="8" t="s">
        <v>22</v>
      </c>
      <c r="L1752" s="7">
        <v>4.0</v>
      </c>
      <c r="M1752" s="7" t="s">
        <v>5614</v>
      </c>
      <c r="N1752" s="13" t="s">
        <v>5615</v>
      </c>
      <c r="O1752" s="15" t="s">
        <v>5616</v>
      </c>
    </row>
    <row r="1753">
      <c r="A1753" s="5">
        <v>2072.0</v>
      </c>
      <c r="B1753" s="6">
        <v>46153.496540520835</v>
      </c>
      <c r="C1753" s="7" t="s">
        <v>26</v>
      </c>
      <c r="D1753" s="8" t="s">
        <v>1247</v>
      </c>
      <c r="E1753" s="8" t="s">
        <v>1248</v>
      </c>
      <c r="F1753" s="7" t="s">
        <v>1249</v>
      </c>
      <c r="G1753" s="9" t="s">
        <v>181</v>
      </c>
      <c r="H1753" s="7" t="s">
        <v>5432</v>
      </c>
      <c r="I1753" s="7" t="s">
        <v>1211</v>
      </c>
      <c r="J1753" s="10">
        <v>46133.0</v>
      </c>
      <c r="K1753" s="8" t="s">
        <v>962</v>
      </c>
      <c r="L1753" s="7">
        <v>4.0</v>
      </c>
      <c r="M1753" s="7" t="s">
        <v>33</v>
      </c>
      <c r="N1753" s="13" t="s">
        <v>5617</v>
      </c>
      <c r="O1753" s="15" t="s">
        <v>5618</v>
      </c>
    </row>
    <row r="1754">
      <c r="A1754" s="5">
        <v>2073.0</v>
      </c>
      <c r="B1754" s="6">
        <v>46153.49791693287</v>
      </c>
      <c r="C1754" s="7" t="s">
        <v>26</v>
      </c>
      <c r="D1754" s="8" t="s">
        <v>1247</v>
      </c>
      <c r="E1754" s="8" t="s">
        <v>1248</v>
      </c>
      <c r="F1754" s="7" t="s">
        <v>1249</v>
      </c>
      <c r="G1754" s="9" t="s">
        <v>181</v>
      </c>
      <c r="H1754" s="7" t="s">
        <v>5432</v>
      </c>
      <c r="I1754" s="7" t="s">
        <v>1211</v>
      </c>
      <c r="J1754" s="10">
        <v>46134.0</v>
      </c>
      <c r="K1754" s="8" t="s">
        <v>962</v>
      </c>
      <c r="L1754" s="7">
        <v>4.0</v>
      </c>
      <c r="M1754" s="7" t="s">
        <v>33</v>
      </c>
      <c r="N1754" s="13" t="s">
        <v>5619</v>
      </c>
      <c r="O1754" s="15" t="s">
        <v>5620</v>
      </c>
    </row>
    <row r="1755">
      <c r="A1755" s="5">
        <v>2074.0</v>
      </c>
      <c r="B1755" s="6">
        <v>46153.563769409724</v>
      </c>
      <c r="C1755" s="7" t="s">
        <v>15</v>
      </c>
      <c r="D1755" s="8" t="s">
        <v>663</v>
      </c>
      <c r="E1755" s="8" t="s">
        <v>664</v>
      </c>
      <c r="F1755" s="7" t="s">
        <v>665</v>
      </c>
      <c r="G1755" s="9" t="s">
        <v>181</v>
      </c>
      <c r="H1755" s="7" t="s">
        <v>5432</v>
      </c>
      <c r="I1755" s="7" t="s">
        <v>231</v>
      </c>
      <c r="J1755" s="10">
        <v>46133.0</v>
      </c>
      <c r="K1755" s="8" t="s">
        <v>962</v>
      </c>
      <c r="L1755" s="7">
        <v>4.0</v>
      </c>
      <c r="M1755" s="7" t="s">
        <v>33</v>
      </c>
      <c r="N1755" s="13" t="s">
        <v>5621</v>
      </c>
      <c r="O1755" s="15" t="s">
        <v>5622</v>
      </c>
    </row>
    <row r="1756">
      <c r="A1756" s="5">
        <v>2075.0</v>
      </c>
      <c r="B1756" s="6">
        <v>46153.565344930554</v>
      </c>
      <c r="C1756" s="7" t="s">
        <v>15</v>
      </c>
      <c r="D1756" s="8" t="s">
        <v>663</v>
      </c>
      <c r="E1756" s="8" t="s">
        <v>664</v>
      </c>
      <c r="F1756" s="7" t="s">
        <v>665</v>
      </c>
      <c r="G1756" s="9" t="s">
        <v>181</v>
      </c>
      <c r="H1756" s="7" t="s">
        <v>5432</v>
      </c>
      <c r="I1756" s="7" t="s">
        <v>231</v>
      </c>
      <c r="J1756" s="10">
        <v>46134.0</v>
      </c>
      <c r="K1756" s="8" t="s">
        <v>962</v>
      </c>
      <c r="L1756" s="7">
        <v>4.0</v>
      </c>
      <c r="M1756" s="7" t="s">
        <v>33</v>
      </c>
      <c r="N1756" s="13" t="s">
        <v>5623</v>
      </c>
      <c r="O1756" s="15" t="s">
        <v>5624</v>
      </c>
    </row>
    <row r="1757">
      <c r="A1757" s="5">
        <v>2076.0</v>
      </c>
      <c r="B1757" s="6">
        <v>46153.56655982639</v>
      </c>
      <c r="C1757" s="7" t="s">
        <v>15</v>
      </c>
      <c r="D1757" s="8" t="s">
        <v>663</v>
      </c>
      <c r="E1757" s="8" t="s">
        <v>664</v>
      </c>
      <c r="F1757" s="7" t="s">
        <v>665</v>
      </c>
      <c r="G1757" s="9" t="s">
        <v>181</v>
      </c>
      <c r="H1757" s="7" t="s">
        <v>5432</v>
      </c>
      <c r="I1757" s="7" t="s">
        <v>231</v>
      </c>
      <c r="J1757" s="10">
        <v>46135.0</v>
      </c>
      <c r="K1757" s="8" t="s">
        <v>962</v>
      </c>
      <c r="L1757" s="7">
        <v>4.0</v>
      </c>
      <c r="M1757" s="7" t="s">
        <v>33</v>
      </c>
      <c r="N1757" s="13" t="s">
        <v>5625</v>
      </c>
      <c r="O1757" s="15" t="s">
        <v>5626</v>
      </c>
    </row>
    <row r="1758">
      <c r="A1758" s="5">
        <v>2077.0</v>
      </c>
      <c r="B1758" s="6">
        <v>46153.57003086805</v>
      </c>
      <c r="C1758" s="7" t="s">
        <v>15</v>
      </c>
      <c r="D1758" s="8" t="s">
        <v>663</v>
      </c>
      <c r="E1758" s="8" t="s">
        <v>664</v>
      </c>
      <c r="F1758" s="7" t="s">
        <v>665</v>
      </c>
      <c r="G1758" s="9" t="s">
        <v>181</v>
      </c>
      <c r="H1758" s="7" t="s">
        <v>5432</v>
      </c>
      <c r="I1758" s="7" t="s">
        <v>231</v>
      </c>
      <c r="J1758" s="10">
        <v>46138.0</v>
      </c>
      <c r="K1758" s="8" t="s">
        <v>3192</v>
      </c>
      <c r="L1758" s="7">
        <v>6.0</v>
      </c>
      <c r="M1758" s="7" t="s">
        <v>33</v>
      </c>
      <c r="N1758" s="13" t="s">
        <v>5627</v>
      </c>
      <c r="O1758" s="15" t="s">
        <v>5628</v>
      </c>
    </row>
    <row r="1759">
      <c r="A1759" s="5">
        <v>2078.0</v>
      </c>
      <c r="B1759" s="6">
        <v>46153.57147313657</v>
      </c>
      <c r="C1759" s="7" t="s">
        <v>15</v>
      </c>
      <c r="D1759" s="8" t="s">
        <v>663</v>
      </c>
      <c r="E1759" s="8" t="s">
        <v>664</v>
      </c>
      <c r="F1759" s="7" t="s">
        <v>665</v>
      </c>
      <c r="G1759" s="9" t="s">
        <v>181</v>
      </c>
      <c r="H1759" s="7" t="s">
        <v>5432</v>
      </c>
      <c r="I1759" s="7" t="s">
        <v>5629</v>
      </c>
      <c r="J1759" s="10">
        <v>46139.0</v>
      </c>
      <c r="K1759" s="8" t="s">
        <v>962</v>
      </c>
      <c r="L1759" s="7">
        <v>4.0</v>
      </c>
      <c r="M1759" s="7" t="s">
        <v>33</v>
      </c>
      <c r="N1759" s="13" t="s">
        <v>5630</v>
      </c>
      <c r="O1759" s="15" t="s">
        <v>5631</v>
      </c>
    </row>
    <row r="1760">
      <c r="A1760" s="5">
        <v>2079.0</v>
      </c>
      <c r="B1760" s="6">
        <v>46153.58091510416</v>
      </c>
      <c r="C1760" s="7" t="s">
        <v>15</v>
      </c>
      <c r="D1760" s="8" t="s">
        <v>663</v>
      </c>
      <c r="E1760" s="8" t="s">
        <v>664</v>
      </c>
      <c r="F1760" s="7" t="s">
        <v>665</v>
      </c>
      <c r="G1760" s="9" t="s">
        <v>19</v>
      </c>
      <c r="H1760" s="7" t="s">
        <v>5632</v>
      </c>
      <c r="I1760" s="7" t="s">
        <v>3162</v>
      </c>
      <c r="J1760" s="10">
        <v>46064.0</v>
      </c>
      <c r="K1760" s="8" t="s">
        <v>5351</v>
      </c>
      <c r="L1760" s="7">
        <v>2.0</v>
      </c>
      <c r="M1760" s="7" t="s">
        <v>244</v>
      </c>
      <c r="N1760" s="13" t="s">
        <v>5633</v>
      </c>
      <c r="O1760" s="15" t="s">
        <v>5634</v>
      </c>
    </row>
    <row r="1761">
      <c r="A1761" s="5">
        <v>2080.0</v>
      </c>
      <c r="B1761" s="6">
        <v>46153.58222646991</v>
      </c>
      <c r="C1761" s="7" t="s">
        <v>15</v>
      </c>
      <c r="D1761" s="8" t="s">
        <v>663</v>
      </c>
      <c r="E1761" s="8" t="s">
        <v>664</v>
      </c>
      <c r="F1761" s="7" t="s">
        <v>665</v>
      </c>
      <c r="G1761" s="9" t="s">
        <v>19</v>
      </c>
      <c r="H1761" s="7" t="s">
        <v>5635</v>
      </c>
      <c r="I1761" s="7" t="s">
        <v>231</v>
      </c>
      <c r="J1761" s="10">
        <v>46065.0</v>
      </c>
      <c r="K1761" s="8" t="s">
        <v>5351</v>
      </c>
      <c r="L1761" s="7">
        <v>2.0</v>
      </c>
      <c r="M1761" s="7" t="s">
        <v>244</v>
      </c>
      <c r="N1761" s="13" t="s">
        <v>5636</v>
      </c>
      <c r="O1761" s="15" t="s">
        <v>5637</v>
      </c>
    </row>
    <row r="1762">
      <c r="A1762" s="5">
        <v>2081.0</v>
      </c>
      <c r="B1762" s="6">
        <v>46153.58316505787</v>
      </c>
      <c r="C1762" s="7" t="s">
        <v>15</v>
      </c>
      <c r="D1762" s="8" t="s">
        <v>663</v>
      </c>
      <c r="E1762" s="8" t="s">
        <v>664</v>
      </c>
      <c r="F1762" s="7" t="s">
        <v>665</v>
      </c>
      <c r="G1762" s="9" t="s">
        <v>19</v>
      </c>
      <c r="H1762" s="7" t="s">
        <v>5638</v>
      </c>
      <c r="I1762" s="7" t="s">
        <v>3162</v>
      </c>
      <c r="J1762" s="10">
        <v>46066.0</v>
      </c>
      <c r="K1762" s="8" t="s">
        <v>689</v>
      </c>
      <c r="L1762" s="7">
        <v>4.0</v>
      </c>
      <c r="M1762" s="7" t="s">
        <v>244</v>
      </c>
      <c r="N1762" s="13" t="s">
        <v>5639</v>
      </c>
      <c r="O1762" s="15" t="s">
        <v>5640</v>
      </c>
    </row>
    <row r="1763">
      <c r="A1763" s="5">
        <v>2082.0</v>
      </c>
      <c r="B1763" s="6">
        <v>46153.68679969908</v>
      </c>
      <c r="C1763" s="7" t="s">
        <v>15</v>
      </c>
      <c r="D1763" s="8" t="s">
        <v>410</v>
      </c>
      <c r="E1763" s="8" t="s">
        <v>411</v>
      </c>
      <c r="F1763" s="7" t="s">
        <v>412</v>
      </c>
      <c r="G1763" s="9" t="s">
        <v>84</v>
      </c>
      <c r="H1763" s="7" t="s">
        <v>455</v>
      </c>
      <c r="I1763" s="7" t="s">
        <v>3375</v>
      </c>
      <c r="J1763" s="10">
        <v>46077.0</v>
      </c>
      <c r="K1763" s="8" t="s">
        <v>49</v>
      </c>
      <c r="L1763" s="7">
        <v>8.0</v>
      </c>
      <c r="M1763" s="7" t="s">
        <v>5641</v>
      </c>
      <c r="N1763" s="13" t="s">
        <v>5642</v>
      </c>
      <c r="O1763" s="15" t="s">
        <v>5643</v>
      </c>
    </row>
    <row r="1764">
      <c r="A1764" s="5">
        <v>2083.0</v>
      </c>
      <c r="B1764" s="6">
        <v>46153.691965983795</v>
      </c>
      <c r="C1764" s="7" t="s">
        <v>15</v>
      </c>
      <c r="D1764" s="8" t="s">
        <v>410</v>
      </c>
      <c r="E1764" s="8" t="s">
        <v>411</v>
      </c>
      <c r="F1764" s="7" t="s">
        <v>412</v>
      </c>
      <c r="G1764" s="9" t="s">
        <v>84</v>
      </c>
      <c r="H1764" s="7" t="s">
        <v>455</v>
      </c>
      <c r="I1764" s="7" t="s">
        <v>3375</v>
      </c>
      <c r="J1764" s="10">
        <v>46153.0</v>
      </c>
      <c r="K1764" s="8" t="s">
        <v>49</v>
      </c>
      <c r="L1764" s="7">
        <v>8.0</v>
      </c>
      <c r="M1764" s="7" t="s">
        <v>5641</v>
      </c>
      <c r="N1764" s="13" t="s">
        <v>5644</v>
      </c>
      <c r="O1764" s="15" t="s">
        <v>5645</v>
      </c>
    </row>
    <row r="1765">
      <c r="A1765" s="5">
        <v>2084.0</v>
      </c>
      <c r="B1765" s="6">
        <v>46157.45071597223</v>
      </c>
      <c r="C1765" s="7" t="s">
        <v>760</v>
      </c>
      <c r="D1765" s="8" t="s">
        <v>3498</v>
      </c>
      <c r="E1765" s="8" t="s">
        <v>679</v>
      </c>
      <c r="F1765" s="7" t="s">
        <v>3499</v>
      </c>
      <c r="G1765" s="9" t="s">
        <v>19</v>
      </c>
      <c r="H1765" s="7" t="s">
        <v>5410</v>
      </c>
      <c r="I1765" s="7" t="s">
        <v>5411</v>
      </c>
      <c r="J1765" s="10">
        <v>46136.0</v>
      </c>
      <c r="K1765" s="8" t="s">
        <v>5412</v>
      </c>
      <c r="L1765" s="7">
        <v>8.0</v>
      </c>
      <c r="M1765" s="7" t="s">
        <v>87</v>
      </c>
      <c r="N1765" s="13" t="s">
        <v>5646</v>
      </c>
      <c r="O1765" s="15" t="s">
        <v>5647</v>
      </c>
    </row>
    <row r="1766">
      <c r="A1766" s="5">
        <v>2085.0</v>
      </c>
      <c r="B1766" s="6">
        <v>46157.45223758102</v>
      </c>
      <c r="C1766" s="7" t="s">
        <v>760</v>
      </c>
      <c r="D1766" s="8" t="s">
        <v>3498</v>
      </c>
      <c r="E1766" s="8" t="s">
        <v>679</v>
      </c>
      <c r="F1766" s="7" t="s">
        <v>3499</v>
      </c>
      <c r="G1766" s="9" t="s">
        <v>19</v>
      </c>
      <c r="H1766" s="7" t="s">
        <v>5410</v>
      </c>
      <c r="I1766" s="7" t="s">
        <v>5411</v>
      </c>
      <c r="J1766" s="10">
        <v>46137.0</v>
      </c>
      <c r="K1766" s="8" t="s">
        <v>49</v>
      </c>
      <c r="L1766" s="7">
        <v>8.0</v>
      </c>
      <c r="M1766" s="7" t="s">
        <v>5648</v>
      </c>
      <c r="N1766" s="13" t="s">
        <v>5649</v>
      </c>
      <c r="O1766" s="15" t="s">
        <v>5650</v>
      </c>
    </row>
    <row r="1767">
      <c r="A1767" s="5">
        <v>2086.0</v>
      </c>
      <c r="B1767" s="6">
        <v>46157.453359189814</v>
      </c>
      <c r="C1767" s="7" t="s">
        <v>760</v>
      </c>
      <c r="D1767" s="8" t="s">
        <v>3498</v>
      </c>
      <c r="E1767" s="8" t="s">
        <v>679</v>
      </c>
      <c r="F1767" s="7" t="s">
        <v>3499</v>
      </c>
      <c r="G1767" s="9" t="s">
        <v>19</v>
      </c>
      <c r="H1767" s="7" t="s">
        <v>5410</v>
      </c>
      <c r="I1767" s="7" t="s">
        <v>5411</v>
      </c>
      <c r="J1767" s="10">
        <v>46138.0</v>
      </c>
      <c r="K1767" s="8" t="s">
        <v>49</v>
      </c>
      <c r="L1767" s="7">
        <v>8.0</v>
      </c>
      <c r="M1767" s="7" t="s">
        <v>87</v>
      </c>
      <c r="N1767" s="13" t="s">
        <v>5651</v>
      </c>
      <c r="O1767" s="15" t="s">
        <v>5652</v>
      </c>
    </row>
    <row r="1768">
      <c r="A1768" s="5">
        <v>2087.0</v>
      </c>
      <c r="B1768" s="6">
        <v>46157.61011675926</v>
      </c>
      <c r="C1768" s="7" t="s">
        <v>760</v>
      </c>
      <c r="D1768" s="8" t="s">
        <v>770</v>
      </c>
      <c r="E1768" s="8" t="s">
        <v>142</v>
      </c>
      <c r="F1768" s="7" t="s">
        <v>771</v>
      </c>
      <c r="G1768" s="9" t="s">
        <v>19</v>
      </c>
      <c r="H1768" s="7" t="s">
        <v>5653</v>
      </c>
      <c r="I1768" s="7" t="s">
        <v>5654</v>
      </c>
      <c r="J1768" s="10">
        <v>46078.0</v>
      </c>
      <c r="K1768" s="8" t="s">
        <v>2179</v>
      </c>
      <c r="L1768" s="7">
        <v>8.0</v>
      </c>
      <c r="M1768" s="7" t="s">
        <v>2839</v>
      </c>
      <c r="N1768" s="13" t="s">
        <v>5655</v>
      </c>
      <c r="O1768" s="15" t="s">
        <v>5656</v>
      </c>
    </row>
    <row r="1769">
      <c r="A1769" s="5">
        <v>2088.0</v>
      </c>
      <c r="B1769" s="6">
        <v>46157.674219039356</v>
      </c>
      <c r="C1769" s="7" t="s">
        <v>760</v>
      </c>
      <c r="D1769" s="8" t="s">
        <v>1220</v>
      </c>
      <c r="E1769" s="8" t="s">
        <v>951</v>
      </c>
      <c r="F1769" s="7" t="s">
        <v>1221</v>
      </c>
      <c r="G1769" s="9" t="s">
        <v>19</v>
      </c>
      <c r="H1769" s="7" t="s">
        <v>5369</v>
      </c>
      <c r="I1769" s="7" t="s">
        <v>5657</v>
      </c>
      <c r="J1769" s="10">
        <v>46032.0</v>
      </c>
      <c r="K1769" s="8" t="s">
        <v>2328</v>
      </c>
      <c r="L1769" s="7">
        <v>8.0</v>
      </c>
      <c r="M1769" s="7" t="s">
        <v>87</v>
      </c>
      <c r="N1769" s="13" t="s">
        <v>5658</v>
      </c>
      <c r="O1769" s="15" t="s">
        <v>5659</v>
      </c>
    </row>
    <row r="1770">
      <c r="A1770" s="5">
        <v>2089.0</v>
      </c>
      <c r="B1770" s="6">
        <v>46157.675317037036</v>
      </c>
      <c r="C1770" s="7" t="s">
        <v>760</v>
      </c>
      <c r="D1770" s="8" t="s">
        <v>5660</v>
      </c>
      <c r="E1770" s="8" t="s">
        <v>679</v>
      </c>
      <c r="F1770" s="7" t="s">
        <v>3499</v>
      </c>
      <c r="G1770" s="9" t="s">
        <v>19</v>
      </c>
      <c r="H1770" s="7" t="s">
        <v>5661</v>
      </c>
      <c r="I1770" s="7" t="s">
        <v>2602</v>
      </c>
      <c r="J1770" s="10">
        <v>46032.0</v>
      </c>
      <c r="K1770" s="8" t="s">
        <v>49</v>
      </c>
      <c r="L1770" s="7">
        <v>8.0</v>
      </c>
      <c r="M1770" s="7" t="s">
        <v>87</v>
      </c>
      <c r="N1770" s="13" t="s">
        <v>5662</v>
      </c>
      <c r="O1770" s="15" t="s">
        <v>5663</v>
      </c>
    </row>
    <row r="1771">
      <c r="A1771" s="5">
        <v>2090.0</v>
      </c>
      <c r="B1771" s="6">
        <v>46157.67637127315</v>
      </c>
      <c r="C1771" s="7" t="s">
        <v>760</v>
      </c>
      <c r="D1771" s="8" t="s">
        <v>2646</v>
      </c>
      <c r="E1771" s="8" t="s">
        <v>919</v>
      </c>
      <c r="F1771" s="7" t="s">
        <v>2647</v>
      </c>
      <c r="G1771" s="9" t="s">
        <v>19</v>
      </c>
      <c r="H1771" s="7" t="s">
        <v>5653</v>
      </c>
      <c r="I1771" s="7" t="s">
        <v>2029</v>
      </c>
      <c r="J1771" s="10">
        <v>46078.0</v>
      </c>
      <c r="K1771" s="8" t="s">
        <v>2179</v>
      </c>
      <c r="L1771" s="7">
        <v>8.0</v>
      </c>
      <c r="M1771" s="7" t="s">
        <v>87</v>
      </c>
      <c r="N1771" s="13" t="s">
        <v>5664</v>
      </c>
      <c r="O1771" s="15" t="s">
        <v>5665</v>
      </c>
    </row>
    <row r="1772">
      <c r="A1772" s="5">
        <v>2091.0</v>
      </c>
      <c r="B1772" s="6">
        <v>46160.36940681713</v>
      </c>
      <c r="C1772" s="7" t="s">
        <v>15</v>
      </c>
      <c r="D1772" s="8" t="s">
        <v>3781</v>
      </c>
      <c r="E1772" s="8" t="s">
        <v>3024</v>
      </c>
      <c r="F1772" s="7" t="s">
        <v>3782</v>
      </c>
      <c r="G1772" s="9" t="s">
        <v>181</v>
      </c>
      <c r="H1772" s="7" t="s">
        <v>5666</v>
      </c>
      <c r="I1772" s="7" t="s">
        <v>1211</v>
      </c>
      <c r="J1772" s="10">
        <v>46064.0</v>
      </c>
      <c r="K1772" s="8" t="s">
        <v>22</v>
      </c>
      <c r="L1772" s="7">
        <v>4.0</v>
      </c>
      <c r="M1772" s="7" t="s">
        <v>5667</v>
      </c>
      <c r="N1772" s="13" t="s">
        <v>5668</v>
      </c>
      <c r="O1772" s="15" t="s">
        <v>5669</v>
      </c>
    </row>
    <row r="1773">
      <c r="A1773" s="5">
        <v>2092.0</v>
      </c>
      <c r="B1773" s="6">
        <v>46160.37308725694</v>
      </c>
      <c r="C1773" s="7" t="s">
        <v>15</v>
      </c>
      <c r="D1773" s="8" t="s">
        <v>3781</v>
      </c>
      <c r="E1773" s="8" t="s">
        <v>3024</v>
      </c>
      <c r="F1773" s="7" t="s">
        <v>3782</v>
      </c>
      <c r="G1773" s="9" t="s">
        <v>181</v>
      </c>
      <c r="H1773" s="7" t="s">
        <v>5670</v>
      </c>
      <c r="I1773" s="7" t="s">
        <v>231</v>
      </c>
      <c r="J1773" s="10">
        <v>46131.0</v>
      </c>
      <c r="K1773" s="8" t="s">
        <v>22</v>
      </c>
      <c r="L1773" s="7">
        <v>4.0</v>
      </c>
      <c r="M1773" s="7" t="s">
        <v>33</v>
      </c>
      <c r="N1773" s="7"/>
      <c r="O1773" s="15" t="s">
        <v>5671</v>
      </c>
    </row>
    <row r="1774">
      <c r="A1774" s="5">
        <v>2093.0</v>
      </c>
      <c r="B1774" s="6">
        <v>46160.37507126157</v>
      </c>
      <c r="C1774" s="7" t="s">
        <v>15</v>
      </c>
      <c r="D1774" s="8" t="s">
        <v>3781</v>
      </c>
      <c r="E1774" s="8" t="s">
        <v>3024</v>
      </c>
      <c r="F1774" s="7" t="s">
        <v>3782</v>
      </c>
      <c r="G1774" s="9" t="s">
        <v>181</v>
      </c>
      <c r="H1774" s="7" t="s">
        <v>5672</v>
      </c>
      <c r="I1774" s="7" t="s">
        <v>5673</v>
      </c>
      <c r="J1774" s="10">
        <v>46140.0</v>
      </c>
      <c r="K1774" s="8" t="s">
        <v>22</v>
      </c>
      <c r="L1774" s="7">
        <v>4.0</v>
      </c>
      <c r="M1774" s="7" t="s">
        <v>33</v>
      </c>
      <c r="N1774" s="13" t="s">
        <v>5674</v>
      </c>
      <c r="O1774" s="15" t="s">
        <v>5675</v>
      </c>
    </row>
    <row r="1775">
      <c r="A1775" s="5">
        <v>2094.0</v>
      </c>
      <c r="B1775" s="6">
        <v>46160.377690277775</v>
      </c>
      <c r="C1775" s="7" t="s">
        <v>15</v>
      </c>
      <c r="D1775" s="8" t="s">
        <v>3781</v>
      </c>
      <c r="E1775" s="8" t="s">
        <v>3024</v>
      </c>
      <c r="F1775" s="7" t="s">
        <v>3782</v>
      </c>
      <c r="G1775" s="9" t="s">
        <v>181</v>
      </c>
      <c r="H1775" s="7" t="s">
        <v>3908</v>
      </c>
      <c r="I1775" s="7" t="s">
        <v>231</v>
      </c>
      <c r="J1775" s="10">
        <v>46057.0</v>
      </c>
      <c r="K1775" s="8" t="s">
        <v>49</v>
      </c>
      <c r="L1775" s="7">
        <v>8.0</v>
      </c>
      <c r="M1775" s="7" t="s">
        <v>33</v>
      </c>
      <c r="N1775" s="13" t="s">
        <v>5676</v>
      </c>
      <c r="O1775" s="15" t="s">
        <v>5677</v>
      </c>
    </row>
    <row r="1776">
      <c r="A1776" s="5">
        <v>2095.0</v>
      </c>
      <c r="B1776" s="6">
        <v>46160.37916413194</v>
      </c>
      <c r="C1776" s="7" t="s">
        <v>15</v>
      </c>
      <c r="D1776" s="8" t="s">
        <v>3781</v>
      </c>
      <c r="E1776" s="8" t="s">
        <v>3024</v>
      </c>
      <c r="F1776" s="7" t="s">
        <v>3782</v>
      </c>
      <c r="G1776" s="9" t="s">
        <v>181</v>
      </c>
      <c r="H1776" s="7" t="s">
        <v>3908</v>
      </c>
      <c r="I1776" s="7" t="s">
        <v>231</v>
      </c>
      <c r="J1776" s="10">
        <v>46071.0</v>
      </c>
      <c r="K1776" s="8" t="s">
        <v>49</v>
      </c>
      <c r="L1776" s="7">
        <v>8.0</v>
      </c>
      <c r="M1776" s="7" t="s">
        <v>33</v>
      </c>
      <c r="N1776" s="13" t="s">
        <v>5678</v>
      </c>
      <c r="O1776" s="15" t="s">
        <v>5679</v>
      </c>
    </row>
    <row r="1777">
      <c r="A1777" s="5">
        <v>2096.0</v>
      </c>
      <c r="B1777" s="6">
        <v>46160.38034960648</v>
      </c>
      <c r="C1777" s="7" t="s">
        <v>15</v>
      </c>
      <c r="D1777" s="8" t="s">
        <v>3781</v>
      </c>
      <c r="E1777" s="8" t="s">
        <v>3024</v>
      </c>
      <c r="F1777" s="7" t="s">
        <v>3782</v>
      </c>
      <c r="G1777" s="9" t="s">
        <v>181</v>
      </c>
      <c r="H1777" s="7" t="s">
        <v>3908</v>
      </c>
      <c r="I1777" s="7" t="s">
        <v>231</v>
      </c>
      <c r="J1777" s="10">
        <v>46106.0</v>
      </c>
      <c r="K1777" s="8" t="s">
        <v>22</v>
      </c>
      <c r="L1777" s="7">
        <v>4.0</v>
      </c>
      <c r="M1777" s="7" t="s">
        <v>33</v>
      </c>
      <c r="N1777" s="13" t="s">
        <v>5680</v>
      </c>
      <c r="O1777" s="15" t="s">
        <v>5681</v>
      </c>
    </row>
    <row r="1778">
      <c r="A1778" s="5">
        <v>2097.0</v>
      </c>
      <c r="B1778" s="6">
        <v>46161.67042197917</v>
      </c>
      <c r="C1778" s="7" t="s">
        <v>15</v>
      </c>
      <c r="D1778" s="8" t="s">
        <v>403</v>
      </c>
      <c r="E1778" s="8" t="s">
        <v>404</v>
      </c>
      <c r="F1778" s="7" t="s">
        <v>405</v>
      </c>
      <c r="G1778" s="9" t="s">
        <v>84</v>
      </c>
      <c r="H1778" s="7" t="s">
        <v>85</v>
      </c>
      <c r="I1778" s="7" t="s">
        <v>5682</v>
      </c>
      <c r="J1778" s="10">
        <v>46153.0</v>
      </c>
      <c r="K1778" s="8" t="s">
        <v>457</v>
      </c>
      <c r="L1778" s="7">
        <v>8.0</v>
      </c>
      <c r="M1778" s="7" t="s">
        <v>553</v>
      </c>
      <c r="N1778" s="13" t="s">
        <v>5683</v>
      </c>
      <c r="O1778" s="15" t="s">
        <v>5684</v>
      </c>
    </row>
    <row r="1779">
      <c r="A1779" s="5">
        <v>2098.0</v>
      </c>
      <c r="B1779" s="6">
        <v>46161.79277702546</v>
      </c>
      <c r="C1779" s="7" t="s">
        <v>15</v>
      </c>
      <c r="D1779" s="8" t="s">
        <v>3002</v>
      </c>
      <c r="E1779" s="8" t="s">
        <v>1097</v>
      </c>
      <c r="F1779" s="7" t="s">
        <v>3003</v>
      </c>
      <c r="G1779" s="9" t="s">
        <v>181</v>
      </c>
      <c r="H1779" s="7" t="s">
        <v>5432</v>
      </c>
      <c r="I1779" s="7" t="s">
        <v>1211</v>
      </c>
      <c r="J1779" s="10">
        <v>46133.0</v>
      </c>
      <c r="K1779" s="8" t="s">
        <v>962</v>
      </c>
      <c r="L1779" s="7">
        <v>4.0</v>
      </c>
      <c r="M1779" s="7" t="s">
        <v>33</v>
      </c>
      <c r="N1779" s="13" t="s">
        <v>5685</v>
      </c>
      <c r="O1779" s="15" t="s">
        <v>5686</v>
      </c>
    </row>
    <row r="1780">
      <c r="A1780" s="5">
        <v>2099.0</v>
      </c>
      <c r="B1780" s="6">
        <v>46161.794381875</v>
      </c>
      <c r="C1780" s="7" t="s">
        <v>15</v>
      </c>
      <c r="D1780" s="8" t="s">
        <v>3002</v>
      </c>
      <c r="E1780" s="8" t="s">
        <v>1097</v>
      </c>
      <c r="F1780" s="7" t="s">
        <v>3003</v>
      </c>
      <c r="G1780" s="9" t="s">
        <v>181</v>
      </c>
      <c r="H1780" s="7" t="s">
        <v>5432</v>
      </c>
      <c r="I1780" s="7" t="s">
        <v>231</v>
      </c>
      <c r="J1780" s="10">
        <v>46134.0</v>
      </c>
      <c r="K1780" s="8" t="s">
        <v>962</v>
      </c>
      <c r="L1780" s="7">
        <v>4.0</v>
      </c>
      <c r="M1780" s="7" t="s">
        <v>33</v>
      </c>
      <c r="N1780" s="13" t="s">
        <v>5687</v>
      </c>
      <c r="O1780" s="15" t="s">
        <v>5688</v>
      </c>
    </row>
    <row r="1781">
      <c r="A1781" s="5">
        <v>2100.0</v>
      </c>
      <c r="B1781" s="6">
        <v>46161.79638662037</v>
      </c>
      <c r="C1781" s="7" t="s">
        <v>15</v>
      </c>
      <c r="D1781" s="8" t="s">
        <v>678</v>
      </c>
      <c r="E1781" s="8" t="s">
        <v>679</v>
      </c>
      <c r="F1781" s="7" t="s">
        <v>680</v>
      </c>
      <c r="G1781" s="9" t="s">
        <v>181</v>
      </c>
      <c r="H1781" s="7" t="s">
        <v>5432</v>
      </c>
      <c r="I1781" s="7" t="s">
        <v>231</v>
      </c>
      <c r="J1781" s="10">
        <v>46138.0</v>
      </c>
      <c r="K1781" s="8" t="s">
        <v>3192</v>
      </c>
      <c r="L1781" s="7">
        <v>6.0</v>
      </c>
      <c r="M1781" s="7" t="s">
        <v>33</v>
      </c>
      <c r="N1781" s="13" t="s">
        <v>5689</v>
      </c>
      <c r="O1781" s="15" t="s">
        <v>5690</v>
      </c>
    </row>
    <row r="1782">
      <c r="A1782" s="5">
        <v>2101.0</v>
      </c>
      <c r="B1782" s="6">
        <v>46161.800939849534</v>
      </c>
      <c r="C1782" s="7" t="s">
        <v>15</v>
      </c>
      <c r="D1782" s="8" t="s">
        <v>678</v>
      </c>
      <c r="E1782" s="8" t="s">
        <v>679</v>
      </c>
      <c r="F1782" s="7" t="s">
        <v>680</v>
      </c>
      <c r="G1782" s="9" t="s">
        <v>181</v>
      </c>
      <c r="H1782" s="7" t="s">
        <v>5691</v>
      </c>
      <c r="I1782" s="7" t="s">
        <v>5437</v>
      </c>
      <c r="J1782" s="10">
        <v>46139.0</v>
      </c>
      <c r="K1782" s="8" t="s">
        <v>5692</v>
      </c>
      <c r="L1782" s="7">
        <v>4.0</v>
      </c>
      <c r="M1782" s="7" t="s">
        <v>33</v>
      </c>
      <c r="N1782" s="13" t="s">
        <v>5693</v>
      </c>
      <c r="O1782" s="15" t="s">
        <v>5694</v>
      </c>
    </row>
    <row r="1783">
      <c r="A1783" s="5">
        <v>2102.0</v>
      </c>
      <c r="B1783" s="6">
        <v>46161.80122407408</v>
      </c>
      <c r="C1783" s="7" t="s">
        <v>15</v>
      </c>
      <c r="D1783" s="8" t="s">
        <v>3002</v>
      </c>
      <c r="E1783" s="8" t="s">
        <v>1097</v>
      </c>
      <c r="F1783" s="7" t="s">
        <v>3003</v>
      </c>
      <c r="G1783" s="9" t="s">
        <v>181</v>
      </c>
      <c r="H1783" s="7" t="s">
        <v>5432</v>
      </c>
      <c r="I1783" s="7" t="s">
        <v>231</v>
      </c>
      <c r="J1783" s="10">
        <v>46168.0</v>
      </c>
      <c r="K1783" s="8" t="s">
        <v>3192</v>
      </c>
      <c r="L1783" s="7">
        <v>6.0</v>
      </c>
      <c r="M1783" s="7" t="s">
        <v>33</v>
      </c>
      <c r="N1783" s="13" t="s">
        <v>5695</v>
      </c>
      <c r="O1783" s="15" t="s">
        <v>5696</v>
      </c>
    </row>
    <row r="1784">
      <c r="A1784" s="5">
        <v>2104.0</v>
      </c>
      <c r="B1784" s="6">
        <v>46161.80361354166</v>
      </c>
      <c r="C1784" s="7" t="s">
        <v>15</v>
      </c>
      <c r="D1784" s="8" t="s">
        <v>678</v>
      </c>
      <c r="E1784" s="8" t="s">
        <v>679</v>
      </c>
      <c r="F1784" s="7" t="s">
        <v>680</v>
      </c>
      <c r="G1784" s="9" t="s">
        <v>181</v>
      </c>
      <c r="H1784" s="7" t="s">
        <v>5697</v>
      </c>
      <c r="I1784" s="7" t="s">
        <v>231</v>
      </c>
      <c r="J1784" s="10">
        <v>46143.0</v>
      </c>
      <c r="K1784" s="8" t="s">
        <v>22</v>
      </c>
      <c r="L1784" s="7">
        <v>4.0</v>
      </c>
      <c r="M1784" s="7" t="s">
        <v>1325</v>
      </c>
      <c r="N1784" s="13" t="s">
        <v>5698</v>
      </c>
      <c r="O1784" s="15" t="s">
        <v>5699</v>
      </c>
    </row>
    <row r="1785">
      <c r="A1785" s="5">
        <v>2105.0</v>
      </c>
      <c r="B1785" s="6">
        <v>46161.807256608794</v>
      </c>
      <c r="C1785" s="7" t="s">
        <v>15</v>
      </c>
      <c r="D1785" s="8" t="s">
        <v>678</v>
      </c>
      <c r="E1785" s="8" t="s">
        <v>679</v>
      </c>
      <c r="F1785" s="7" t="s">
        <v>680</v>
      </c>
      <c r="G1785" s="9" t="s">
        <v>181</v>
      </c>
      <c r="H1785" s="7" t="s">
        <v>5700</v>
      </c>
      <c r="I1785" s="7" t="s">
        <v>5701</v>
      </c>
      <c r="J1785" s="10">
        <v>46148.0</v>
      </c>
      <c r="K1785" s="8" t="s">
        <v>22</v>
      </c>
      <c r="L1785" s="7">
        <v>4.0</v>
      </c>
      <c r="M1785" s="7" t="s">
        <v>87</v>
      </c>
      <c r="N1785" s="7"/>
      <c r="O1785" s="15" t="s">
        <v>5702</v>
      </c>
    </row>
    <row r="1786">
      <c r="A1786" s="5">
        <v>2106.0</v>
      </c>
      <c r="B1786" s="6">
        <v>46161.887010949074</v>
      </c>
      <c r="C1786" s="7" t="s">
        <v>15</v>
      </c>
      <c r="D1786" s="8" t="s">
        <v>3758</v>
      </c>
      <c r="E1786" s="8" t="s">
        <v>674</v>
      </c>
      <c r="F1786" s="7" t="s">
        <v>3759</v>
      </c>
      <c r="G1786" s="9" t="s">
        <v>181</v>
      </c>
      <c r="H1786" s="7" t="s">
        <v>5703</v>
      </c>
      <c r="I1786" s="7" t="s">
        <v>314</v>
      </c>
      <c r="J1786" s="10">
        <v>46113.0</v>
      </c>
      <c r="K1786" s="8" t="s">
        <v>49</v>
      </c>
      <c r="L1786" s="7">
        <v>8.0</v>
      </c>
      <c r="M1786" s="7" t="s">
        <v>33</v>
      </c>
      <c r="N1786" s="13" t="s">
        <v>5704</v>
      </c>
      <c r="O1786" s="15" t="s">
        <v>5705</v>
      </c>
    </row>
    <row r="1787">
      <c r="A1787" s="5">
        <v>2107.0</v>
      </c>
      <c r="B1787" s="6">
        <v>46161.89419237268</v>
      </c>
      <c r="C1787" s="7" t="s">
        <v>15</v>
      </c>
      <c r="D1787" s="8" t="s">
        <v>3758</v>
      </c>
      <c r="E1787" s="8" t="s">
        <v>674</v>
      </c>
      <c r="F1787" s="7" t="s">
        <v>3759</v>
      </c>
      <c r="G1787" s="9" t="s">
        <v>181</v>
      </c>
      <c r="H1787" s="7" t="s">
        <v>5703</v>
      </c>
      <c r="I1787" s="7" t="s">
        <v>314</v>
      </c>
      <c r="J1787" s="10">
        <v>46114.0</v>
      </c>
      <c r="K1787" s="8" t="s">
        <v>49</v>
      </c>
      <c r="L1787" s="7">
        <v>8.0</v>
      </c>
      <c r="M1787" s="7" t="s">
        <v>33</v>
      </c>
      <c r="N1787" s="13" t="s">
        <v>5706</v>
      </c>
      <c r="O1787" s="15" t="s">
        <v>5707</v>
      </c>
    </row>
    <row r="1788">
      <c r="A1788" s="5">
        <v>2108.0</v>
      </c>
      <c r="B1788" s="6">
        <v>46161.90064962963</v>
      </c>
      <c r="C1788" s="7" t="s">
        <v>15</v>
      </c>
      <c r="D1788" s="8" t="s">
        <v>3758</v>
      </c>
      <c r="E1788" s="8" t="s">
        <v>674</v>
      </c>
      <c r="F1788" s="7" t="s">
        <v>3759</v>
      </c>
      <c r="G1788" s="9" t="s">
        <v>181</v>
      </c>
      <c r="H1788" s="7" t="s">
        <v>5703</v>
      </c>
      <c r="I1788" s="7" t="s">
        <v>314</v>
      </c>
      <c r="J1788" s="10">
        <v>46115.0</v>
      </c>
      <c r="K1788" s="8" t="s">
        <v>22</v>
      </c>
      <c r="L1788" s="7">
        <v>4.0</v>
      </c>
      <c r="M1788" s="7" t="s">
        <v>33</v>
      </c>
      <c r="N1788" s="13" t="s">
        <v>5708</v>
      </c>
      <c r="O1788" s="15" t="s">
        <v>5709</v>
      </c>
    </row>
    <row r="1789">
      <c r="A1789" s="5">
        <v>2109.0</v>
      </c>
      <c r="B1789" s="6">
        <v>46161.93910429398</v>
      </c>
      <c r="C1789" s="7" t="s">
        <v>760</v>
      </c>
      <c r="D1789" s="8" t="s">
        <v>4848</v>
      </c>
      <c r="E1789" s="8" t="s">
        <v>228</v>
      </c>
      <c r="F1789" s="7" t="s">
        <v>4849</v>
      </c>
      <c r="G1789" s="9" t="s">
        <v>181</v>
      </c>
      <c r="H1789" s="7" t="s">
        <v>895</v>
      </c>
      <c r="I1789" s="7" t="s">
        <v>231</v>
      </c>
      <c r="J1789" s="10">
        <v>46028.0</v>
      </c>
      <c r="K1789" s="8" t="s">
        <v>4065</v>
      </c>
      <c r="L1789" s="7">
        <v>1.0</v>
      </c>
      <c r="M1789" s="7" t="s">
        <v>33</v>
      </c>
      <c r="N1789" s="13" t="s">
        <v>5710</v>
      </c>
      <c r="O1789" s="15" t="s">
        <v>5711</v>
      </c>
    </row>
    <row r="1790">
      <c r="A1790" s="5">
        <v>2110.0</v>
      </c>
      <c r="B1790" s="6">
        <v>46161.94062612268</v>
      </c>
      <c r="C1790" s="7" t="s">
        <v>760</v>
      </c>
      <c r="D1790" s="8" t="s">
        <v>4848</v>
      </c>
      <c r="E1790" s="8" t="s">
        <v>228</v>
      </c>
      <c r="F1790" s="7" t="s">
        <v>4849</v>
      </c>
      <c r="G1790" s="9" t="s">
        <v>181</v>
      </c>
      <c r="H1790" s="7" t="s">
        <v>5712</v>
      </c>
      <c r="I1790" s="7" t="s">
        <v>1211</v>
      </c>
      <c r="J1790" s="10">
        <v>46035.0</v>
      </c>
      <c r="K1790" s="8" t="s">
        <v>4065</v>
      </c>
      <c r="L1790" s="7">
        <v>1.0</v>
      </c>
      <c r="M1790" s="7" t="s">
        <v>33</v>
      </c>
      <c r="N1790" s="13" t="s">
        <v>5713</v>
      </c>
      <c r="O1790" s="15" t="s">
        <v>5714</v>
      </c>
    </row>
    <row r="1791">
      <c r="A1791" s="5">
        <v>2112.0</v>
      </c>
      <c r="B1791" s="6">
        <v>46162.47743626157</v>
      </c>
      <c r="C1791" s="7" t="s">
        <v>760</v>
      </c>
      <c r="D1791" s="8" t="s">
        <v>816</v>
      </c>
      <c r="E1791" s="8" t="s">
        <v>817</v>
      </c>
      <c r="F1791" s="7" t="s">
        <v>818</v>
      </c>
      <c r="G1791" s="9" t="s">
        <v>19</v>
      </c>
      <c r="H1791" s="7" t="s">
        <v>5549</v>
      </c>
      <c r="I1791" s="7" t="s">
        <v>5715</v>
      </c>
      <c r="J1791" s="10">
        <v>46032.0</v>
      </c>
      <c r="K1791" s="8" t="s">
        <v>2328</v>
      </c>
      <c r="L1791" s="7">
        <v>8.0</v>
      </c>
      <c r="M1791" s="7" t="s">
        <v>5550</v>
      </c>
      <c r="N1791" s="13" t="s">
        <v>5716</v>
      </c>
      <c r="O1791" s="15" t="s">
        <v>5717</v>
      </c>
    </row>
    <row r="1792">
      <c r="A1792" s="5">
        <v>2114.0</v>
      </c>
      <c r="B1792" s="6">
        <v>46162.48134810185</v>
      </c>
      <c r="C1792" s="7" t="s">
        <v>760</v>
      </c>
      <c r="D1792" s="8" t="s">
        <v>2071</v>
      </c>
      <c r="E1792" s="8" t="s">
        <v>319</v>
      </c>
      <c r="F1792" s="7" t="s">
        <v>2072</v>
      </c>
      <c r="G1792" s="9" t="s">
        <v>19</v>
      </c>
      <c r="H1792" s="7" t="s">
        <v>5718</v>
      </c>
      <c r="I1792" s="7" t="s">
        <v>2029</v>
      </c>
      <c r="J1792" s="10">
        <v>46078.0</v>
      </c>
      <c r="K1792" s="8" t="s">
        <v>2179</v>
      </c>
      <c r="L1792" s="7">
        <v>8.0</v>
      </c>
      <c r="M1792" s="7" t="s">
        <v>87</v>
      </c>
      <c r="N1792" s="13" t="s">
        <v>5719</v>
      </c>
      <c r="O1792" s="15" t="s">
        <v>5720</v>
      </c>
    </row>
    <row r="1793">
      <c r="A1793" s="5">
        <v>2115.0</v>
      </c>
      <c r="B1793" s="6">
        <v>46162.48249496528</v>
      </c>
      <c r="C1793" s="7" t="s">
        <v>760</v>
      </c>
      <c r="D1793" s="8" t="s">
        <v>816</v>
      </c>
      <c r="E1793" s="8" t="s">
        <v>817</v>
      </c>
      <c r="F1793" s="7" t="s">
        <v>818</v>
      </c>
      <c r="G1793" s="9" t="s">
        <v>19</v>
      </c>
      <c r="H1793" s="7" t="s">
        <v>5410</v>
      </c>
      <c r="I1793" s="7" t="s">
        <v>5411</v>
      </c>
      <c r="J1793" s="10">
        <v>46137.0</v>
      </c>
      <c r="K1793" s="8" t="s">
        <v>49</v>
      </c>
      <c r="L1793" s="7">
        <v>8.0</v>
      </c>
      <c r="M1793" s="7" t="s">
        <v>87</v>
      </c>
      <c r="N1793" s="13" t="s">
        <v>5721</v>
      </c>
      <c r="O1793" s="15" t="s">
        <v>5722</v>
      </c>
    </row>
    <row r="1794">
      <c r="A1794" s="5">
        <v>2116.0</v>
      </c>
      <c r="B1794" s="6">
        <v>46162.484224513886</v>
      </c>
      <c r="C1794" s="7" t="s">
        <v>760</v>
      </c>
      <c r="D1794" s="8" t="s">
        <v>816</v>
      </c>
      <c r="E1794" s="8" t="s">
        <v>817</v>
      </c>
      <c r="F1794" s="7" t="s">
        <v>818</v>
      </c>
      <c r="G1794" s="9" t="s">
        <v>19</v>
      </c>
      <c r="H1794" s="7" t="s">
        <v>5410</v>
      </c>
      <c r="I1794" s="7" t="s">
        <v>5411</v>
      </c>
      <c r="J1794" s="10">
        <v>46138.0</v>
      </c>
      <c r="K1794" s="8" t="s">
        <v>49</v>
      </c>
      <c r="L1794" s="7">
        <v>8.0</v>
      </c>
      <c r="M1794" s="7" t="s">
        <v>87</v>
      </c>
      <c r="N1794" s="13" t="s">
        <v>5723</v>
      </c>
      <c r="O1794" s="15" t="s">
        <v>5724</v>
      </c>
    </row>
    <row r="1795">
      <c r="A1795" s="5">
        <v>2117.0</v>
      </c>
      <c r="B1795" s="6">
        <v>46162.48730626157</v>
      </c>
      <c r="C1795" s="7" t="s">
        <v>760</v>
      </c>
      <c r="D1795" s="8" t="s">
        <v>816</v>
      </c>
      <c r="E1795" s="8" t="s">
        <v>817</v>
      </c>
      <c r="F1795" s="7" t="s">
        <v>818</v>
      </c>
      <c r="G1795" s="9" t="s">
        <v>19</v>
      </c>
      <c r="H1795" s="7" t="s">
        <v>5410</v>
      </c>
      <c r="I1795" s="7" t="s">
        <v>5411</v>
      </c>
      <c r="J1795" s="10">
        <v>46136.0</v>
      </c>
      <c r="K1795" s="8" t="s">
        <v>5412</v>
      </c>
      <c r="L1795" s="7">
        <v>8.0</v>
      </c>
      <c r="M1795" s="7" t="s">
        <v>87</v>
      </c>
      <c r="N1795" s="13" t="s">
        <v>5725</v>
      </c>
      <c r="O1795" s="15" t="s">
        <v>5726</v>
      </c>
    </row>
    <row r="1796">
      <c r="A1796" s="5">
        <v>2118.0</v>
      </c>
      <c r="B1796" s="6">
        <v>46162.63152311342</v>
      </c>
      <c r="C1796" s="7" t="s">
        <v>15</v>
      </c>
      <c r="D1796" s="8" t="s">
        <v>370</v>
      </c>
      <c r="E1796" s="8" t="s">
        <v>248</v>
      </c>
      <c r="F1796" s="7" t="s">
        <v>371</v>
      </c>
      <c r="G1796" s="9" t="s">
        <v>181</v>
      </c>
      <c r="H1796" s="7" t="s">
        <v>5727</v>
      </c>
      <c r="I1796" s="7" t="s">
        <v>5728</v>
      </c>
      <c r="J1796" s="10">
        <v>46094.0</v>
      </c>
      <c r="K1796" s="8" t="s">
        <v>457</v>
      </c>
      <c r="L1796" s="7">
        <v>1.0</v>
      </c>
      <c r="M1796" s="7" t="s">
        <v>219</v>
      </c>
      <c r="N1796" s="13" t="s">
        <v>5729</v>
      </c>
      <c r="O1796" s="15" t="s">
        <v>5730</v>
      </c>
    </row>
    <row r="1797">
      <c r="A1797" s="5">
        <v>2119.0</v>
      </c>
      <c r="B1797" s="6">
        <v>46162.63403537037</v>
      </c>
      <c r="C1797" s="7" t="s">
        <v>15</v>
      </c>
      <c r="D1797" s="8" t="s">
        <v>370</v>
      </c>
      <c r="E1797" s="8" t="s">
        <v>248</v>
      </c>
      <c r="F1797" s="7" t="s">
        <v>371</v>
      </c>
      <c r="G1797" s="9" t="s">
        <v>19</v>
      </c>
      <c r="H1797" s="7" t="s">
        <v>5361</v>
      </c>
      <c r="I1797" s="7" t="s">
        <v>5362</v>
      </c>
      <c r="J1797" s="10">
        <v>46121.0</v>
      </c>
      <c r="K1797" s="8" t="s">
        <v>49</v>
      </c>
      <c r="L1797" s="7">
        <v>8.0</v>
      </c>
      <c r="M1797" s="7" t="s">
        <v>5363</v>
      </c>
      <c r="N1797" s="13" t="s">
        <v>5731</v>
      </c>
      <c r="O1797" s="15" t="s">
        <v>5732</v>
      </c>
    </row>
    <row r="1798">
      <c r="A1798" s="5">
        <v>2120.0</v>
      </c>
      <c r="B1798" s="6">
        <v>46162.63699296296</v>
      </c>
      <c r="C1798" s="7" t="s">
        <v>15</v>
      </c>
      <c r="D1798" s="8" t="s">
        <v>370</v>
      </c>
      <c r="E1798" s="8" t="s">
        <v>248</v>
      </c>
      <c r="F1798" s="7" t="s">
        <v>371</v>
      </c>
      <c r="G1798" s="9" t="s">
        <v>181</v>
      </c>
      <c r="H1798" s="7" t="s">
        <v>5733</v>
      </c>
      <c r="I1798" s="7" t="s">
        <v>314</v>
      </c>
      <c r="J1798" s="10">
        <v>46129.0</v>
      </c>
      <c r="K1798" s="8" t="s">
        <v>22</v>
      </c>
      <c r="L1798" s="7">
        <v>4.0</v>
      </c>
      <c r="M1798" s="7" t="s">
        <v>2433</v>
      </c>
      <c r="N1798" s="13" t="s">
        <v>5734</v>
      </c>
      <c r="O1798" s="15" t="s">
        <v>5735</v>
      </c>
    </row>
    <row r="1799">
      <c r="A1799" s="5">
        <v>2121.0</v>
      </c>
      <c r="B1799" s="6">
        <v>46162.639305115736</v>
      </c>
      <c r="C1799" s="7" t="s">
        <v>15</v>
      </c>
      <c r="D1799" s="8" t="s">
        <v>370</v>
      </c>
      <c r="E1799" s="8" t="s">
        <v>248</v>
      </c>
      <c r="F1799" s="7" t="s">
        <v>371</v>
      </c>
      <c r="G1799" s="9" t="s">
        <v>181</v>
      </c>
      <c r="H1799" s="7" t="s">
        <v>5736</v>
      </c>
      <c r="I1799" s="7" t="s">
        <v>314</v>
      </c>
      <c r="J1799" s="10">
        <v>46147.0</v>
      </c>
      <c r="K1799" s="8" t="s">
        <v>49</v>
      </c>
      <c r="L1799" s="7">
        <v>8.0</v>
      </c>
      <c r="M1799" s="7" t="s">
        <v>244</v>
      </c>
      <c r="N1799" s="13" t="s">
        <v>5737</v>
      </c>
      <c r="O1799" s="15" t="s">
        <v>5738</v>
      </c>
    </row>
    <row r="1800">
      <c r="A1800" s="5">
        <v>2122.0</v>
      </c>
      <c r="B1800" s="6">
        <v>46162.641846875005</v>
      </c>
      <c r="C1800" s="7" t="s">
        <v>15</v>
      </c>
      <c r="D1800" s="8" t="s">
        <v>370</v>
      </c>
      <c r="E1800" s="8" t="s">
        <v>248</v>
      </c>
      <c r="F1800" s="7" t="s">
        <v>371</v>
      </c>
      <c r="G1800" s="9" t="s">
        <v>181</v>
      </c>
      <c r="H1800" s="7" t="s">
        <v>5739</v>
      </c>
      <c r="I1800" s="7" t="s">
        <v>314</v>
      </c>
      <c r="J1800" s="10">
        <v>46138.0</v>
      </c>
      <c r="K1800" s="8" t="s">
        <v>3192</v>
      </c>
      <c r="L1800" s="7">
        <v>6.0</v>
      </c>
      <c r="M1800" s="7" t="s">
        <v>33</v>
      </c>
      <c r="N1800" s="13" t="s">
        <v>5740</v>
      </c>
      <c r="O1800" s="15" t="s">
        <v>5741</v>
      </c>
    </row>
    <row r="1801">
      <c r="A1801" s="5">
        <v>2123.0</v>
      </c>
      <c r="B1801" s="6">
        <v>46162.64510701389</v>
      </c>
      <c r="C1801" s="7" t="s">
        <v>15</v>
      </c>
      <c r="D1801" s="8" t="s">
        <v>370</v>
      </c>
      <c r="E1801" s="8" t="s">
        <v>248</v>
      </c>
      <c r="F1801" s="7" t="s">
        <v>371</v>
      </c>
      <c r="G1801" s="9" t="s">
        <v>181</v>
      </c>
      <c r="H1801" s="7" t="s">
        <v>5742</v>
      </c>
      <c r="I1801" s="7" t="s">
        <v>5419</v>
      </c>
      <c r="J1801" s="10">
        <v>46140.0</v>
      </c>
      <c r="K1801" s="8" t="s">
        <v>22</v>
      </c>
      <c r="L1801" s="7">
        <v>4.0</v>
      </c>
      <c r="M1801" s="7" t="s">
        <v>33</v>
      </c>
      <c r="N1801" s="13" t="s">
        <v>5743</v>
      </c>
      <c r="O1801" s="15" t="s">
        <v>5744</v>
      </c>
    </row>
    <row r="1802">
      <c r="A1802" s="5">
        <v>2124.0</v>
      </c>
      <c r="B1802" s="6">
        <v>46162.65915951389</v>
      </c>
      <c r="C1802" s="7" t="s">
        <v>760</v>
      </c>
      <c r="D1802" s="8" t="s">
        <v>902</v>
      </c>
      <c r="E1802" s="8" t="s">
        <v>28</v>
      </c>
      <c r="F1802" s="7" t="s">
        <v>1393</v>
      </c>
      <c r="G1802" s="9" t="s">
        <v>181</v>
      </c>
      <c r="H1802" s="7" t="s">
        <v>5432</v>
      </c>
      <c r="I1802" s="7" t="s">
        <v>1211</v>
      </c>
      <c r="J1802" s="10">
        <v>46133.0</v>
      </c>
      <c r="K1802" s="8" t="s">
        <v>5745</v>
      </c>
      <c r="L1802" s="7">
        <v>4.0</v>
      </c>
      <c r="M1802" s="7" t="s">
        <v>553</v>
      </c>
      <c r="N1802" s="13" t="s">
        <v>5746</v>
      </c>
      <c r="O1802" s="15" t="s">
        <v>5747</v>
      </c>
    </row>
    <row r="1803">
      <c r="A1803" s="5">
        <v>2125.0</v>
      </c>
      <c r="B1803" s="6">
        <v>46162.6611031713</v>
      </c>
      <c r="C1803" s="7" t="s">
        <v>760</v>
      </c>
      <c r="D1803" s="8" t="s">
        <v>902</v>
      </c>
      <c r="E1803" s="8" t="s">
        <v>28</v>
      </c>
      <c r="F1803" s="7" t="s">
        <v>1393</v>
      </c>
      <c r="G1803" s="9" t="s">
        <v>181</v>
      </c>
      <c r="H1803" s="7" t="s">
        <v>5432</v>
      </c>
      <c r="I1803" s="7" t="s">
        <v>1211</v>
      </c>
      <c r="J1803" s="10">
        <v>46134.0</v>
      </c>
      <c r="K1803" s="8" t="s">
        <v>5745</v>
      </c>
      <c r="L1803" s="7">
        <v>4.0</v>
      </c>
      <c r="M1803" s="7" t="s">
        <v>5748</v>
      </c>
      <c r="N1803" s="13" t="s">
        <v>5749</v>
      </c>
      <c r="O1803" s="15" t="s">
        <v>5750</v>
      </c>
    </row>
    <row r="1804">
      <c r="A1804" s="5">
        <v>2126.0</v>
      </c>
      <c r="B1804" s="6">
        <v>46162.66300695602</v>
      </c>
      <c r="C1804" s="7" t="s">
        <v>760</v>
      </c>
      <c r="D1804" s="8" t="s">
        <v>1190</v>
      </c>
      <c r="E1804" s="8" t="s">
        <v>1042</v>
      </c>
      <c r="F1804" s="7" t="s">
        <v>1191</v>
      </c>
      <c r="G1804" s="9" t="s">
        <v>19</v>
      </c>
      <c r="H1804" s="7" t="s">
        <v>5751</v>
      </c>
      <c r="I1804" s="7" t="s">
        <v>5590</v>
      </c>
      <c r="J1804" s="10">
        <v>46060.0</v>
      </c>
      <c r="K1804" s="8" t="s">
        <v>5752</v>
      </c>
      <c r="L1804" s="7">
        <v>8.0</v>
      </c>
      <c r="M1804" s="7" t="s">
        <v>2391</v>
      </c>
      <c r="N1804" s="13" t="s">
        <v>5753</v>
      </c>
      <c r="O1804" s="15" t="s">
        <v>5754</v>
      </c>
    </row>
    <row r="1805">
      <c r="A1805" s="5">
        <v>2127.0</v>
      </c>
      <c r="B1805" s="6">
        <v>46162.6631415625</v>
      </c>
      <c r="C1805" s="7" t="s">
        <v>760</v>
      </c>
      <c r="D1805" s="8" t="s">
        <v>902</v>
      </c>
      <c r="E1805" s="8" t="s">
        <v>28</v>
      </c>
      <c r="F1805" s="7" t="s">
        <v>1393</v>
      </c>
      <c r="G1805" s="9" t="s">
        <v>181</v>
      </c>
      <c r="H1805" s="7" t="s">
        <v>5432</v>
      </c>
      <c r="I1805" s="7" t="s">
        <v>231</v>
      </c>
      <c r="J1805" s="10">
        <v>46135.0</v>
      </c>
      <c r="K1805" s="8" t="s">
        <v>5745</v>
      </c>
      <c r="L1805" s="7">
        <v>4.0</v>
      </c>
      <c r="M1805" s="7" t="s">
        <v>907</v>
      </c>
      <c r="N1805" s="13" t="s">
        <v>5755</v>
      </c>
      <c r="O1805" s="15" t="s">
        <v>5756</v>
      </c>
    </row>
    <row r="1806">
      <c r="A1806" s="5">
        <v>2128.0</v>
      </c>
      <c r="B1806" s="6">
        <v>46162.66504997685</v>
      </c>
      <c r="C1806" s="7" t="s">
        <v>760</v>
      </c>
      <c r="D1806" s="8" t="s">
        <v>902</v>
      </c>
      <c r="E1806" s="8" t="s">
        <v>28</v>
      </c>
      <c r="F1806" s="7" t="s">
        <v>1393</v>
      </c>
      <c r="G1806" s="9" t="s">
        <v>181</v>
      </c>
      <c r="H1806" s="7" t="s">
        <v>5432</v>
      </c>
      <c r="I1806" s="7" t="s">
        <v>231</v>
      </c>
      <c r="J1806" s="10">
        <v>46138.0</v>
      </c>
      <c r="K1806" s="8" t="s">
        <v>5757</v>
      </c>
      <c r="L1806" s="7">
        <v>8.0</v>
      </c>
      <c r="M1806" s="7" t="s">
        <v>907</v>
      </c>
      <c r="N1806" s="13" t="s">
        <v>5758</v>
      </c>
      <c r="O1806" s="15" t="s">
        <v>5759</v>
      </c>
    </row>
    <row r="1807">
      <c r="A1807" s="5">
        <v>2129.0</v>
      </c>
      <c r="B1807" s="6">
        <v>46162.6664146875</v>
      </c>
      <c r="C1807" s="7" t="s">
        <v>760</v>
      </c>
      <c r="D1807" s="8" t="s">
        <v>902</v>
      </c>
      <c r="E1807" s="8" t="s">
        <v>28</v>
      </c>
      <c r="F1807" s="7" t="s">
        <v>1393</v>
      </c>
      <c r="G1807" s="9" t="s">
        <v>181</v>
      </c>
      <c r="H1807" s="7" t="s">
        <v>5432</v>
      </c>
      <c r="I1807" s="7" t="s">
        <v>231</v>
      </c>
      <c r="J1807" s="10">
        <v>46139.0</v>
      </c>
      <c r="K1807" s="8" t="s">
        <v>5745</v>
      </c>
      <c r="L1807" s="7">
        <v>4.0</v>
      </c>
      <c r="M1807" s="7" t="s">
        <v>907</v>
      </c>
      <c r="N1807" s="13" t="s">
        <v>5760</v>
      </c>
      <c r="O1807" s="15" t="s">
        <v>5761</v>
      </c>
    </row>
    <row r="1808">
      <c r="A1808" s="5">
        <v>2131.0</v>
      </c>
      <c r="B1808" s="6">
        <v>46162.670126400466</v>
      </c>
      <c r="C1808" s="7" t="s">
        <v>760</v>
      </c>
      <c r="D1808" s="8" t="s">
        <v>1196</v>
      </c>
      <c r="E1808" s="8" t="s">
        <v>1197</v>
      </c>
      <c r="F1808" s="7" t="s">
        <v>1198</v>
      </c>
      <c r="G1808" s="9" t="s">
        <v>19</v>
      </c>
      <c r="H1808" s="7" t="s">
        <v>5549</v>
      </c>
      <c r="I1808" s="7" t="s">
        <v>5423</v>
      </c>
      <c r="J1808" s="10">
        <v>46032.0</v>
      </c>
      <c r="K1808" s="8" t="s">
        <v>2328</v>
      </c>
      <c r="L1808" s="7">
        <v>8.0</v>
      </c>
      <c r="M1808" s="7" t="s">
        <v>87</v>
      </c>
      <c r="N1808" s="13" t="s">
        <v>5762</v>
      </c>
      <c r="O1808" s="15" t="s">
        <v>5763</v>
      </c>
    </row>
    <row r="1809">
      <c r="A1809" s="5">
        <v>2132.0</v>
      </c>
      <c r="B1809" s="6">
        <v>46162.67198399306</v>
      </c>
      <c r="C1809" s="7" t="s">
        <v>760</v>
      </c>
      <c r="D1809" s="8" t="s">
        <v>798</v>
      </c>
      <c r="E1809" s="8" t="s">
        <v>799</v>
      </c>
      <c r="F1809" s="7" t="s">
        <v>800</v>
      </c>
      <c r="G1809" s="9" t="s">
        <v>19</v>
      </c>
      <c r="H1809" s="7" t="s">
        <v>5422</v>
      </c>
      <c r="I1809" s="7" t="s">
        <v>5370</v>
      </c>
      <c r="J1809" s="10">
        <v>46032.0</v>
      </c>
      <c r="K1809" s="8" t="s">
        <v>2328</v>
      </c>
      <c r="L1809" s="7">
        <v>8.0</v>
      </c>
      <c r="M1809" s="7" t="s">
        <v>87</v>
      </c>
      <c r="N1809" s="13" t="s">
        <v>5764</v>
      </c>
      <c r="O1809" s="15" t="s">
        <v>5765</v>
      </c>
    </row>
    <row r="1810">
      <c r="A1810" s="5">
        <v>2133.0</v>
      </c>
      <c r="B1810" s="6">
        <v>46162.67224368056</v>
      </c>
      <c r="C1810" s="7" t="s">
        <v>760</v>
      </c>
      <c r="D1810" s="8" t="s">
        <v>1196</v>
      </c>
      <c r="E1810" s="8" t="s">
        <v>1197</v>
      </c>
      <c r="F1810" s="7" t="s">
        <v>1198</v>
      </c>
      <c r="G1810" s="9" t="s">
        <v>19</v>
      </c>
      <c r="H1810" s="7" t="s">
        <v>5653</v>
      </c>
      <c r="I1810" s="7" t="s">
        <v>2029</v>
      </c>
      <c r="J1810" s="10">
        <v>46078.0</v>
      </c>
      <c r="K1810" s="8" t="s">
        <v>2179</v>
      </c>
      <c r="L1810" s="7">
        <v>8.0</v>
      </c>
      <c r="M1810" s="7" t="s">
        <v>87</v>
      </c>
      <c r="N1810" s="13" t="s">
        <v>5766</v>
      </c>
      <c r="O1810" s="15" t="s">
        <v>5767</v>
      </c>
    </row>
    <row r="1811">
      <c r="A1811" s="5">
        <v>2135.0</v>
      </c>
      <c r="B1811" s="6">
        <v>46162.683554953706</v>
      </c>
      <c r="C1811" s="7" t="s">
        <v>15</v>
      </c>
      <c r="D1811" s="8" t="s">
        <v>4003</v>
      </c>
      <c r="E1811" s="8" t="s">
        <v>223</v>
      </c>
      <c r="F1811" s="7" t="s">
        <v>4004</v>
      </c>
      <c r="G1811" s="9" t="s">
        <v>159</v>
      </c>
      <c r="H1811" s="7" t="s">
        <v>5768</v>
      </c>
      <c r="I1811" s="7" t="s">
        <v>5769</v>
      </c>
      <c r="J1811" s="10">
        <v>46120.0</v>
      </c>
      <c r="K1811" s="8" t="s">
        <v>5770</v>
      </c>
      <c r="L1811" s="7">
        <v>2.0</v>
      </c>
      <c r="M1811" s="7" t="s">
        <v>5363</v>
      </c>
      <c r="N1811" s="13" t="s">
        <v>5771</v>
      </c>
      <c r="O1811" s="15" t="s">
        <v>5772</v>
      </c>
    </row>
    <row r="1812">
      <c r="A1812" s="5">
        <v>2136.0</v>
      </c>
      <c r="B1812" s="6">
        <v>46162.68749513889</v>
      </c>
      <c r="C1812" s="7" t="s">
        <v>15</v>
      </c>
      <c r="D1812" s="8" t="s">
        <v>4003</v>
      </c>
      <c r="E1812" s="8" t="s">
        <v>223</v>
      </c>
      <c r="F1812" s="7" t="s">
        <v>4004</v>
      </c>
      <c r="G1812" s="9" t="s">
        <v>159</v>
      </c>
      <c r="H1812" s="7" t="s">
        <v>5773</v>
      </c>
      <c r="I1812" s="7" t="s">
        <v>5769</v>
      </c>
      <c r="J1812" s="10">
        <v>46121.0</v>
      </c>
      <c r="K1812" s="8" t="s">
        <v>32</v>
      </c>
      <c r="L1812" s="7">
        <v>8.0</v>
      </c>
      <c r="M1812" s="7" t="s">
        <v>244</v>
      </c>
      <c r="N1812" s="13" t="s">
        <v>5774</v>
      </c>
      <c r="O1812" s="15" t="s">
        <v>5775</v>
      </c>
    </row>
    <row r="1813">
      <c r="A1813" s="5">
        <v>2137.0</v>
      </c>
      <c r="B1813" s="6">
        <v>46162.688116377314</v>
      </c>
      <c r="C1813" s="7" t="s">
        <v>760</v>
      </c>
      <c r="D1813" s="8" t="s">
        <v>4848</v>
      </c>
      <c r="E1813" s="8" t="s">
        <v>228</v>
      </c>
      <c r="F1813" s="7" t="s">
        <v>4849</v>
      </c>
      <c r="G1813" s="9" t="s">
        <v>181</v>
      </c>
      <c r="H1813" s="7" t="s">
        <v>895</v>
      </c>
      <c r="I1813" s="7" t="s">
        <v>231</v>
      </c>
      <c r="J1813" s="10">
        <v>46079.0</v>
      </c>
      <c r="K1813" s="8" t="s">
        <v>4065</v>
      </c>
      <c r="L1813" s="7">
        <v>1.0</v>
      </c>
      <c r="M1813" s="7" t="s">
        <v>33</v>
      </c>
      <c r="N1813" s="13" t="s">
        <v>5776</v>
      </c>
      <c r="O1813" s="15" t="s">
        <v>5777</v>
      </c>
    </row>
    <row r="1814">
      <c r="A1814" s="5">
        <v>2138.0</v>
      </c>
      <c r="B1814" s="6">
        <v>46162.68819165509</v>
      </c>
      <c r="C1814" s="7" t="s">
        <v>760</v>
      </c>
      <c r="D1814" s="8" t="s">
        <v>1196</v>
      </c>
      <c r="E1814" s="8" t="s">
        <v>1197</v>
      </c>
      <c r="F1814" s="7" t="s">
        <v>1198</v>
      </c>
      <c r="G1814" s="9" t="s">
        <v>19</v>
      </c>
      <c r="H1814" s="7" t="s">
        <v>5778</v>
      </c>
      <c r="I1814" s="7" t="s">
        <v>5779</v>
      </c>
      <c r="J1814" s="10">
        <v>46011.0</v>
      </c>
      <c r="K1814" s="8" t="s">
        <v>1750</v>
      </c>
      <c r="L1814" s="7">
        <v>6.0</v>
      </c>
      <c r="M1814" s="7" t="s">
        <v>1564</v>
      </c>
      <c r="N1814" s="13" t="s">
        <v>5780</v>
      </c>
      <c r="O1814" s="15" t="s">
        <v>5781</v>
      </c>
    </row>
    <row r="1815">
      <c r="A1815" s="5">
        <v>2139.0</v>
      </c>
      <c r="B1815" s="6">
        <v>46162.6892952662</v>
      </c>
      <c r="C1815" s="7" t="s">
        <v>760</v>
      </c>
      <c r="D1815" s="8" t="s">
        <v>4848</v>
      </c>
      <c r="E1815" s="8" t="s">
        <v>228</v>
      </c>
      <c r="F1815" s="7" t="s">
        <v>4849</v>
      </c>
      <c r="G1815" s="9" t="s">
        <v>181</v>
      </c>
      <c r="H1815" s="7" t="s">
        <v>895</v>
      </c>
      <c r="I1815" s="7" t="s">
        <v>231</v>
      </c>
      <c r="J1815" s="10">
        <v>46106.0</v>
      </c>
      <c r="K1815" s="8" t="s">
        <v>4065</v>
      </c>
      <c r="L1815" s="7">
        <v>1.0</v>
      </c>
      <c r="M1815" s="7" t="s">
        <v>33</v>
      </c>
      <c r="N1815" s="13" t="s">
        <v>5782</v>
      </c>
      <c r="O1815" s="15" t="s">
        <v>5783</v>
      </c>
    </row>
    <row r="1816">
      <c r="A1816" s="5">
        <v>2140.0</v>
      </c>
      <c r="B1816" s="6">
        <v>46162.68992709491</v>
      </c>
      <c r="C1816" s="7" t="s">
        <v>760</v>
      </c>
      <c r="D1816" s="8" t="s">
        <v>1196</v>
      </c>
      <c r="E1816" s="8" t="s">
        <v>1197</v>
      </c>
      <c r="F1816" s="7" t="s">
        <v>1198</v>
      </c>
      <c r="G1816" s="9" t="s">
        <v>144</v>
      </c>
      <c r="H1816" s="7" t="s">
        <v>5784</v>
      </c>
      <c r="I1816" s="7" t="s">
        <v>5785</v>
      </c>
      <c r="J1816" s="10">
        <v>46023.0</v>
      </c>
      <c r="K1816" s="8" t="s">
        <v>1365</v>
      </c>
      <c r="L1816" s="7">
        <v>4.0</v>
      </c>
      <c r="M1816" s="7" t="s">
        <v>5786</v>
      </c>
      <c r="N1816" s="13" t="s">
        <v>5787</v>
      </c>
      <c r="O1816" s="15" t="s">
        <v>5788</v>
      </c>
    </row>
    <row r="1817">
      <c r="A1817" s="5">
        <v>2141.0</v>
      </c>
      <c r="B1817" s="6">
        <v>46162.69210576389</v>
      </c>
      <c r="C1817" s="7" t="s">
        <v>15</v>
      </c>
      <c r="D1817" s="8" t="s">
        <v>4003</v>
      </c>
      <c r="E1817" s="8" t="s">
        <v>223</v>
      </c>
      <c r="F1817" s="7" t="s">
        <v>4004</v>
      </c>
      <c r="G1817" s="9" t="s">
        <v>181</v>
      </c>
      <c r="H1817" s="7" t="s">
        <v>5789</v>
      </c>
      <c r="I1817" s="7" t="s">
        <v>5790</v>
      </c>
      <c r="J1817" s="10">
        <v>46147.0</v>
      </c>
      <c r="K1817" s="8" t="s">
        <v>32</v>
      </c>
      <c r="L1817" s="7">
        <v>8.0</v>
      </c>
      <c r="M1817" s="7" t="s">
        <v>244</v>
      </c>
      <c r="N1817" s="13" t="s">
        <v>5791</v>
      </c>
      <c r="O1817" s="15" t="s">
        <v>5792</v>
      </c>
    </row>
    <row r="1818">
      <c r="A1818" s="5">
        <v>2142.0</v>
      </c>
      <c r="B1818" s="6">
        <v>46162.82700855324</v>
      </c>
      <c r="C1818" s="7" t="s">
        <v>15</v>
      </c>
      <c r="D1818" s="8" t="s">
        <v>4546</v>
      </c>
      <c r="E1818" s="8" t="s">
        <v>951</v>
      </c>
      <c r="F1818" s="7" t="s">
        <v>4547</v>
      </c>
      <c r="G1818" s="9" t="s">
        <v>181</v>
      </c>
      <c r="H1818" s="7" t="s">
        <v>5793</v>
      </c>
      <c r="I1818" s="7" t="s">
        <v>231</v>
      </c>
      <c r="J1818" s="10">
        <v>46164.0</v>
      </c>
      <c r="K1818" s="8" t="s">
        <v>962</v>
      </c>
      <c r="L1818" s="7">
        <v>4.0</v>
      </c>
      <c r="M1818" s="7" t="s">
        <v>33</v>
      </c>
      <c r="N1818" s="13" t="s">
        <v>5794</v>
      </c>
      <c r="O1818" s="15" t="s">
        <v>5795</v>
      </c>
    </row>
    <row r="1819">
      <c r="A1819" s="5">
        <v>2143.0</v>
      </c>
      <c r="B1819" s="6">
        <v>46162.82822350695</v>
      </c>
      <c r="C1819" s="7" t="s">
        <v>15</v>
      </c>
      <c r="D1819" s="8" t="s">
        <v>4546</v>
      </c>
      <c r="E1819" s="8" t="s">
        <v>951</v>
      </c>
      <c r="F1819" s="7" t="s">
        <v>4547</v>
      </c>
      <c r="G1819" s="9" t="s">
        <v>181</v>
      </c>
      <c r="H1819" s="7" t="s">
        <v>5796</v>
      </c>
      <c r="I1819" s="7" t="s">
        <v>231</v>
      </c>
      <c r="J1819" s="10">
        <v>46135.0</v>
      </c>
      <c r="K1819" s="8" t="s">
        <v>962</v>
      </c>
      <c r="L1819" s="7">
        <v>4.0</v>
      </c>
      <c r="M1819" s="7" t="s">
        <v>33</v>
      </c>
      <c r="N1819" s="13" t="s">
        <v>5797</v>
      </c>
      <c r="O1819" s="15" t="s">
        <v>5798</v>
      </c>
    </row>
    <row r="1820">
      <c r="A1820" s="5">
        <v>2144.0</v>
      </c>
      <c r="B1820" s="6">
        <v>46162.83045820602</v>
      </c>
      <c r="C1820" s="7" t="s">
        <v>15</v>
      </c>
      <c r="D1820" s="8" t="s">
        <v>4546</v>
      </c>
      <c r="E1820" s="8" t="s">
        <v>951</v>
      </c>
      <c r="F1820" s="7" t="s">
        <v>4547</v>
      </c>
      <c r="G1820" s="9" t="s">
        <v>181</v>
      </c>
      <c r="H1820" s="7" t="s">
        <v>5796</v>
      </c>
      <c r="I1820" s="7" t="s">
        <v>231</v>
      </c>
      <c r="J1820" s="10">
        <v>46138.0</v>
      </c>
      <c r="K1820" s="8" t="s">
        <v>3192</v>
      </c>
      <c r="L1820" s="7">
        <v>6.0</v>
      </c>
      <c r="M1820" s="7" t="s">
        <v>33</v>
      </c>
      <c r="N1820" s="13" t="s">
        <v>5799</v>
      </c>
      <c r="O1820" s="15" t="s">
        <v>5800</v>
      </c>
    </row>
    <row r="1821">
      <c r="A1821" s="5">
        <v>2145.0</v>
      </c>
      <c r="B1821" s="6">
        <v>46162.83261564815</v>
      </c>
      <c r="C1821" s="7" t="s">
        <v>15</v>
      </c>
      <c r="D1821" s="8" t="s">
        <v>4546</v>
      </c>
      <c r="E1821" s="8" t="s">
        <v>951</v>
      </c>
      <c r="F1821" s="7" t="s">
        <v>4547</v>
      </c>
      <c r="G1821" s="9" t="s">
        <v>181</v>
      </c>
      <c r="H1821" s="7" t="s">
        <v>5801</v>
      </c>
      <c r="I1821" s="7" t="s">
        <v>5802</v>
      </c>
      <c r="J1821" s="10">
        <v>46139.0</v>
      </c>
      <c r="K1821" s="8" t="s">
        <v>962</v>
      </c>
      <c r="L1821" s="7">
        <v>4.0</v>
      </c>
      <c r="M1821" s="7" t="s">
        <v>33</v>
      </c>
      <c r="N1821" s="13" t="s">
        <v>5803</v>
      </c>
      <c r="O1821" s="15" t="s">
        <v>5804</v>
      </c>
    </row>
    <row r="1822">
      <c r="A1822" s="5">
        <v>2146.0</v>
      </c>
      <c r="B1822" s="6">
        <v>46162.837382025464</v>
      </c>
      <c r="C1822" s="7" t="s">
        <v>15</v>
      </c>
      <c r="D1822" s="8" t="s">
        <v>4546</v>
      </c>
      <c r="E1822" s="8" t="s">
        <v>951</v>
      </c>
      <c r="F1822" s="7" t="s">
        <v>4547</v>
      </c>
      <c r="G1822" s="9" t="s">
        <v>19</v>
      </c>
      <c r="H1822" s="7" t="s">
        <v>5805</v>
      </c>
      <c r="I1822" s="7" t="s">
        <v>5806</v>
      </c>
      <c r="J1822" s="10">
        <v>46148.0</v>
      </c>
      <c r="K1822" s="8" t="s">
        <v>22</v>
      </c>
      <c r="L1822" s="7">
        <v>4.0</v>
      </c>
      <c r="M1822" s="7" t="s">
        <v>219</v>
      </c>
      <c r="N1822" s="13" t="s">
        <v>5807</v>
      </c>
      <c r="O1822" s="15" t="s">
        <v>5808</v>
      </c>
    </row>
    <row r="1823">
      <c r="A1823" s="5">
        <v>2147.0</v>
      </c>
      <c r="B1823" s="6">
        <v>46162.88089900463</v>
      </c>
      <c r="C1823" s="7" t="s">
        <v>760</v>
      </c>
      <c r="D1823" s="8" t="s">
        <v>1672</v>
      </c>
      <c r="E1823" s="8" t="s">
        <v>881</v>
      </c>
      <c r="F1823" s="7" t="s">
        <v>1673</v>
      </c>
      <c r="G1823" s="9" t="s">
        <v>19</v>
      </c>
      <c r="H1823" s="7" t="s">
        <v>5549</v>
      </c>
      <c r="I1823" s="7" t="s">
        <v>5423</v>
      </c>
      <c r="J1823" s="10">
        <v>46032.0</v>
      </c>
      <c r="K1823" s="8" t="s">
        <v>2328</v>
      </c>
      <c r="L1823" s="7">
        <v>8.0</v>
      </c>
      <c r="M1823" s="7" t="s">
        <v>87</v>
      </c>
      <c r="N1823" s="13" t="s">
        <v>5809</v>
      </c>
      <c r="O1823" s="15" t="s">
        <v>5810</v>
      </c>
    </row>
    <row r="1824">
      <c r="A1824" s="5">
        <v>2148.0</v>
      </c>
      <c r="B1824" s="6">
        <v>46162.88321597222</v>
      </c>
      <c r="C1824" s="7" t="s">
        <v>760</v>
      </c>
      <c r="D1824" s="8" t="s">
        <v>1672</v>
      </c>
      <c r="E1824" s="8" t="s">
        <v>881</v>
      </c>
      <c r="F1824" s="7" t="s">
        <v>1673</v>
      </c>
      <c r="G1824" s="9" t="s">
        <v>19</v>
      </c>
      <c r="H1824" s="7" t="s">
        <v>5410</v>
      </c>
      <c r="I1824" s="7" t="s">
        <v>5411</v>
      </c>
      <c r="J1824" s="10">
        <v>46136.0</v>
      </c>
      <c r="K1824" s="8" t="s">
        <v>5412</v>
      </c>
      <c r="L1824" s="7">
        <v>8.0</v>
      </c>
      <c r="M1824" s="7" t="s">
        <v>87</v>
      </c>
      <c r="N1824" s="13" t="s">
        <v>5811</v>
      </c>
      <c r="O1824" s="15" t="s">
        <v>5812</v>
      </c>
    </row>
    <row r="1825">
      <c r="A1825" s="5">
        <v>2149.0</v>
      </c>
      <c r="B1825" s="6">
        <v>46162.88528478009</v>
      </c>
      <c r="C1825" s="7" t="s">
        <v>760</v>
      </c>
      <c r="D1825" s="8" t="s">
        <v>1672</v>
      </c>
      <c r="E1825" s="8" t="s">
        <v>881</v>
      </c>
      <c r="F1825" s="7" t="s">
        <v>1673</v>
      </c>
      <c r="G1825" s="9" t="s">
        <v>19</v>
      </c>
      <c r="H1825" s="7" t="s">
        <v>5410</v>
      </c>
      <c r="I1825" s="7" t="s">
        <v>5411</v>
      </c>
      <c r="J1825" s="10">
        <v>46137.0</v>
      </c>
      <c r="K1825" s="8" t="s">
        <v>49</v>
      </c>
      <c r="L1825" s="7">
        <v>8.0</v>
      </c>
      <c r="M1825" s="7" t="s">
        <v>87</v>
      </c>
      <c r="N1825" s="13" t="s">
        <v>5813</v>
      </c>
      <c r="O1825" s="15" t="s">
        <v>5814</v>
      </c>
    </row>
    <row r="1826">
      <c r="A1826" s="5">
        <v>2150.0</v>
      </c>
      <c r="B1826" s="6">
        <v>46162.8865303125</v>
      </c>
      <c r="C1826" s="7" t="s">
        <v>760</v>
      </c>
      <c r="D1826" s="8" t="s">
        <v>1672</v>
      </c>
      <c r="E1826" s="8" t="s">
        <v>881</v>
      </c>
      <c r="F1826" s="7" t="s">
        <v>1673</v>
      </c>
      <c r="G1826" s="9" t="s">
        <v>19</v>
      </c>
      <c r="H1826" s="7" t="s">
        <v>5410</v>
      </c>
      <c r="I1826" s="7" t="s">
        <v>5411</v>
      </c>
      <c r="J1826" s="10">
        <v>46138.0</v>
      </c>
      <c r="K1826" s="8" t="s">
        <v>49</v>
      </c>
      <c r="L1826" s="7">
        <v>8.0</v>
      </c>
      <c r="M1826" s="7" t="s">
        <v>87</v>
      </c>
      <c r="N1826" s="13" t="s">
        <v>5815</v>
      </c>
      <c r="O1826" s="15" t="s">
        <v>5816</v>
      </c>
    </row>
    <row r="1827">
      <c r="A1827" s="5">
        <v>2151.0</v>
      </c>
      <c r="B1827" s="6">
        <v>46163.37106398148</v>
      </c>
      <c r="C1827" s="7" t="s">
        <v>760</v>
      </c>
      <c r="D1827" s="8" t="s">
        <v>1190</v>
      </c>
      <c r="E1827" s="8" t="s">
        <v>1042</v>
      </c>
      <c r="F1827" s="7" t="s">
        <v>1191</v>
      </c>
      <c r="G1827" s="9" t="s">
        <v>181</v>
      </c>
      <c r="H1827" s="7" t="s">
        <v>5817</v>
      </c>
      <c r="I1827" s="7" t="s">
        <v>231</v>
      </c>
      <c r="J1827" s="10">
        <v>46138.0</v>
      </c>
      <c r="K1827" s="8" t="s">
        <v>5818</v>
      </c>
      <c r="L1827" s="7">
        <v>8.0</v>
      </c>
      <c r="M1827" s="7" t="s">
        <v>33</v>
      </c>
      <c r="N1827" s="13" t="s">
        <v>5819</v>
      </c>
      <c r="O1827" s="15" t="s">
        <v>5820</v>
      </c>
    </row>
    <row r="1828">
      <c r="A1828" s="5">
        <v>2152.0</v>
      </c>
      <c r="B1828" s="6">
        <v>46164.56283570602</v>
      </c>
      <c r="C1828" s="7" t="s">
        <v>15</v>
      </c>
      <c r="D1828" s="8" t="s">
        <v>16</v>
      </c>
      <c r="E1828" s="8" t="s">
        <v>17</v>
      </c>
      <c r="F1828" s="7" t="s">
        <v>18</v>
      </c>
      <c r="G1828" s="9" t="s">
        <v>181</v>
      </c>
      <c r="H1828" s="7" t="s">
        <v>5821</v>
      </c>
      <c r="I1828" s="7" t="s">
        <v>231</v>
      </c>
      <c r="J1828" s="10">
        <v>46147.0</v>
      </c>
      <c r="K1828" s="8" t="s">
        <v>5586</v>
      </c>
      <c r="L1828" s="7">
        <v>8.0</v>
      </c>
      <c r="M1828" s="7" t="s">
        <v>244</v>
      </c>
      <c r="N1828" s="13" t="s">
        <v>5822</v>
      </c>
      <c r="O1828" s="15" t="s">
        <v>5823</v>
      </c>
    </row>
    <row r="1829">
      <c r="A1829" s="5">
        <v>2155.0</v>
      </c>
      <c r="B1829" s="6">
        <v>46165.43052572917</v>
      </c>
      <c r="C1829" s="7" t="s">
        <v>15</v>
      </c>
      <c r="D1829" s="8" t="s">
        <v>2114</v>
      </c>
      <c r="E1829" s="8" t="s">
        <v>319</v>
      </c>
      <c r="F1829" s="7" t="s">
        <v>2115</v>
      </c>
      <c r="G1829" s="9" t="s">
        <v>19</v>
      </c>
      <c r="H1829" s="7" t="s">
        <v>3735</v>
      </c>
      <c r="I1829" s="7" t="s">
        <v>3736</v>
      </c>
      <c r="J1829" s="10">
        <v>46010.0</v>
      </c>
      <c r="K1829" s="8" t="s">
        <v>67</v>
      </c>
      <c r="L1829" s="7">
        <v>8.0</v>
      </c>
      <c r="M1829" s="7" t="s">
        <v>5824</v>
      </c>
      <c r="N1829" s="13" t="s">
        <v>5825</v>
      </c>
      <c r="O1829" s="15" t="s">
        <v>5826</v>
      </c>
    </row>
    <row r="1830">
      <c r="A1830" s="5">
        <v>2156.0</v>
      </c>
      <c r="B1830" s="6">
        <v>46166.86186469907</v>
      </c>
      <c r="C1830" s="7" t="s">
        <v>26</v>
      </c>
      <c r="D1830" s="8" t="s">
        <v>980</v>
      </c>
      <c r="E1830" s="8" t="s">
        <v>236</v>
      </c>
      <c r="F1830" s="7" t="s">
        <v>981</v>
      </c>
      <c r="G1830" s="9" t="s">
        <v>19</v>
      </c>
      <c r="H1830" s="7" t="s">
        <v>5410</v>
      </c>
      <c r="I1830" s="7" t="s">
        <v>5827</v>
      </c>
      <c r="J1830" s="10">
        <v>46136.0</v>
      </c>
      <c r="K1830" s="8" t="s">
        <v>49</v>
      </c>
      <c r="L1830" s="7">
        <v>8.0</v>
      </c>
      <c r="M1830" s="7" t="s">
        <v>87</v>
      </c>
      <c r="N1830" s="13" t="s">
        <v>5828</v>
      </c>
      <c r="O1830" s="15" t="s">
        <v>5829</v>
      </c>
    </row>
    <row r="1831">
      <c r="A1831" s="5">
        <v>2157.0</v>
      </c>
      <c r="B1831" s="6">
        <v>46166.86331148148</v>
      </c>
      <c r="C1831" s="7" t="s">
        <v>26</v>
      </c>
      <c r="D1831" s="8" t="s">
        <v>980</v>
      </c>
      <c r="E1831" s="8" t="s">
        <v>236</v>
      </c>
      <c r="F1831" s="7" t="s">
        <v>981</v>
      </c>
      <c r="G1831" s="9" t="s">
        <v>19</v>
      </c>
      <c r="H1831" s="7" t="s">
        <v>5410</v>
      </c>
      <c r="I1831" s="7" t="s">
        <v>5827</v>
      </c>
      <c r="J1831" s="10">
        <v>46137.0</v>
      </c>
      <c r="K1831" s="8" t="s">
        <v>49</v>
      </c>
      <c r="L1831" s="7">
        <v>8.0</v>
      </c>
      <c r="M1831" s="7" t="s">
        <v>87</v>
      </c>
      <c r="N1831" s="13" t="s">
        <v>5830</v>
      </c>
      <c r="O1831" s="15" t="s">
        <v>5831</v>
      </c>
    </row>
    <row r="1832">
      <c r="A1832" s="5">
        <v>2158.0</v>
      </c>
      <c r="B1832" s="6">
        <v>46166.864687395835</v>
      </c>
      <c r="C1832" s="7" t="s">
        <v>26</v>
      </c>
      <c r="D1832" s="8" t="s">
        <v>980</v>
      </c>
      <c r="E1832" s="8" t="s">
        <v>236</v>
      </c>
      <c r="F1832" s="7" t="s">
        <v>981</v>
      </c>
      <c r="G1832" s="9" t="s">
        <v>19</v>
      </c>
      <c r="H1832" s="7" t="s">
        <v>5410</v>
      </c>
      <c r="I1832" s="7" t="s">
        <v>5827</v>
      </c>
      <c r="J1832" s="10">
        <v>46138.0</v>
      </c>
      <c r="K1832" s="8" t="s">
        <v>49</v>
      </c>
      <c r="L1832" s="7">
        <v>8.0</v>
      </c>
      <c r="M1832" s="7" t="s">
        <v>87</v>
      </c>
      <c r="N1832" s="13" t="s">
        <v>5832</v>
      </c>
      <c r="O1832" s="15" t="s">
        <v>5833</v>
      </c>
    </row>
    <row r="1833">
      <c r="A1833" s="5">
        <v>2159.0</v>
      </c>
      <c r="B1833" s="6">
        <v>46166.86720170139</v>
      </c>
      <c r="C1833" s="7" t="s">
        <v>26</v>
      </c>
      <c r="D1833" s="8" t="s">
        <v>980</v>
      </c>
      <c r="E1833" s="8" t="s">
        <v>236</v>
      </c>
      <c r="F1833" s="7" t="s">
        <v>981</v>
      </c>
      <c r="G1833" s="9" t="s">
        <v>19</v>
      </c>
      <c r="H1833" s="7" t="s">
        <v>5653</v>
      </c>
      <c r="I1833" s="7" t="s">
        <v>5834</v>
      </c>
      <c r="J1833" s="10">
        <v>46078.0</v>
      </c>
      <c r="K1833" s="8" t="s">
        <v>2179</v>
      </c>
      <c r="L1833" s="7">
        <v>8.0</v>
      </c>
      <c r="M1833" s="7" t="s">
        <v>87</v>
      </c>
      <c r="N1833" s="13" t="s">
        <v>5835</v>
      </c>
      <c r="O1833" s="15" t="s">
        <v>5836</v>
      </c>
    </row>
    <row r="1834">
      <c r="A1834" s="5">
        <v>2160.0</v>
      </c>
      <c r="B1834" s="6">
        <v>46166.88496351852</v>
      </c>
      <c r="C1834" s="7" t="s">
        <v>26</v>
      </c>
      <c r="D1834" s="8" t="s">
        <v>385</v>
      </c>
      <c r="E1834" s="8" t="s">
        <v>319</v>
      </c>
      <c r="F1834" s="7" t="s">
        <v>386</v>
      </c>
      <c r="G1834" s="9" t="s">
        <v>19</v>
      </c>
      <c r="H1834" s="7" t="s">
        <v>5653</v>
      </c>
      <c r="I1834" s="7" t="s">
        <v>5837</v>
      </c>
      <c r="J1834" s="10">
        <v>46078.0</v>
      </c>
      <c r="K1834" s="8" t="s">
        <v>2179</v>
      </c>
      <c r="L1834" s="7">
        <v>8.0</v>
      </c>
      <c r="M1834" s="7" t="s">
        <v>5550</v>
      </c>
      <c r="N1834" s="13" t="s">
        <v>5838</v>
      </c>
      <c r="O1834" s="15" t="s">
        <v>5839</v>
      </c>
    </row>
    <row r="1835">
      <c r="A1835" s="5">
        <v>2161.0</v>
      </c>
      <c r="B1835" s="6">
        <v>46167.266439837964</v>
      </c>
      <c r="C1835" s="7" t="s">
        <v>26</v>
      </c>
      <c r="D1835" s="8" t="s">
        <v>247</v>
      </c>
      <c r="E1835" s="8" t="s">
        <v>248</v>
      </c>
      <c r="F1835" s="7" t="s">
        <v>249</v>
      </c>
      <c r="G1835" s="9" t="s">
        <v>19</v>
      </c>
      <c r="H1835" s="7" t="s">
        <v>5840</v>
      </c>
      <c r="I1835" s="7" t="s">
        <v>5841</v>
      </c>
      <c r="J1835" s="10">
        <v>46011.0</v>
      </c>
      <c r="K1835" s="8" t="s">
        <v>175</v>
      </c>
      <c r="L1835" s="7">
        <v>6.0</v>
      </c>
      <c r="M1835" s="7" t="s">
        <v>1564</v>
      </c>
      <c r="N1835" s="13" t="s">
        <v>5842</v>
      </c>
      <c r="O1835" s="15" t="s">
        <v>5843</v>
      </c>
    </row>
    <row r="1836">
      <c r="A1836" s="5">
        <v>2162.0</v>
      </c>
      <c r="B1836" s="6">
        <v>46167.3039664699</v>
      </c>
      <c r="C1836" s="7" t="s">
        <v>15</v>
      </c>
      <c r="D1836" s="8" t="s">
        <v>2123</v>
      </c>
      <c r="E1836" s="8" t="s">
        <v>199</v>
      </c>
      <c r="F1836" s="7" t="s">
        <v>2124</v>
      </c>
      <c r="G1836" s="9" t="s">
        <v>181</v>
      </c>
      <c r="H1836" s="7" t="s">
        <v>5366</v>
      </c>
      <c r="I1836" s="7" t="s">
        <v>279</v>
      </c>
      <c r="J1836" s="10">
        <v>46129.0</v>
      </c>
      <c r="K1836" s="8" t="s">
        <v>22</v>
      </c>
      <c r="L1836" s="7">
        <v>4.0</v>
      </c>
      <c r="M1836" s="7" t="s">
        <v>23</v>
      </c>
      <c r="N1836" s="13" t="s">
        <v>5844</v>
      </c>
      <c r="O1836" s="15" t="s">
        <v>5845</v>
      </c>
    </row>
    <row r="1837">
      <c r="A1837" s="5">
        <v>2163.0</v>
      </c>
      <c r="B1837" s="6">
        <v>46167.31279515046</v>
      </c>
      <c r="C1837" s="7" t="s">
        <v>15</v>
      </c>
      <c r="D1837" s="8" t="s">
        <v>2123</v>
      </c>
      <c r="E1837" s="8" t="s">
        <v>199</v>
      </c>
      <c r="F1837" s="7" t="s">
        <v>2124</v>
      </c>
      <c r="G1837" s="9" t="s">
        <v>19</v>
      </c>
      <c r="H1837" s="7" t="s">
        <v>5361</v>
      </c>
      <c r="I1837" s="7" t="s">
        <v>5362</v>
      </c>
      <c r="J1837" s="10">
        <v>46121.0</v>
      </c>
      <c r="K1837" s="8" t="s">
        <v>49</v>
      </c>
      <c r="L1837" s="7">
        <v>8.0</v>
      </c>
      <c r="M1837" s="7" t="s">
        <v>5363</v>
      </c>
      <c r="N1837" s="13" t="s">
        <v>5846</v>
      </c>
      <c r="O1837" s="15" t="s">
        <v>5847</v>
      </c>
    </row>
    <row r="1838">
      <c r="A1838" s="5">
        <v>2164.0</v>
      </c>
      <c r="B1838" s="6">
        <v>46167.31547502315</v>
      </c>
      <c r="C1838" s="7" t="s">
        <v>26</v>
      </c>
      <c r="D1838" s="8" t="s">
        <v>2247</v>
      </c>
      <c r="E1838" s="8" t="s">
        <v>893</v>
      </c>
      <c r="F1838" s="7" t="s">
        <v>2248</v>
      </c>
      <c r="G1838" s="9" t="s">
        <v>19</v>
      </c>
      <c r="H1838" s="7" t="s">
        <v>5653</v>
      </c>
      <c r="I1838" s="7" t="s">
        <v>5848</v>
      </c>
      <c r="J1838" s="10">
        <v>46078.0</v>
      </c>
      <c r="K1838" s="8" t="s">
        <v>2179</v>
      </c>
      <c r="L1838" s="7">
        <v>8.0</v>
      </c>
      <c r="M1838" s="7" t="s">
        <v>5550</v>
      </c>
      <c r="N1838" s="13" t="s">
        <v>5849</v>
      </c>
      <c r="O1838" s="15" t="s">
        <v>5850</v>
      </c>
    </row>
    <row r="1839">
      <c r="A1839" s="5">
        <v>2165.0</v>
      </c>
      <c r="B1839" s="6">
        <v>46167.316025532404</v>
      </c>
      <c r="C1839" s="7" t="s">
        <v>15</v>
      </c>
      <c r="D1839" s="8" t="s">
        <v>2123</v>
      </c>
      <c r="E1839" s="8" t="s">
        <v>199</v>
      </c>
      <c r="F1839" s="7" t="s">
        <v>5851</v>
      </c>
      <c r="G1839" s="9" t="s">
        <v>181</v>
      </c>
      <c r="H1839" s="7" t="s">
        <v>5432</v>
      </c>
      <c r="I1839" s="7" t="s">
        <v>279</v>
      </c>
      <c r="J1839" s="10">
        <v>46138.0</v>
      </c>
      <c r="K1839" s="8" t="s">
        <v>3192</v>
      </c>
      <c r="L1839" s="7">
        <v>6.0</v>
      </c>
      <c r="M1839" s="7" t="s">
        <v>553</v>
      </c>
      <c r="N1839" s="13" t="s">
        <v>5852</v>
      </c>
      <c r="O1839" s="15" t="s">
        <v>5853</v>
      </c>
    </row>
    <row r="1840">
      <c r="A1840" s="5">
        <v>2166.0</v>
      </c>
      <c r="B1840" s="6">
        <v>46167.317613900464</v>
      </c>
      <c r="C1840" s="7" t="s">
        <v>26</v>
      </c>
      <c r="D1840" s="8" t="s">
        <v>1022</v>
      </c>
      <c r="E1840" s="8" t="s">
        <v>1023</v>
      </c>
      <c r="F1840" s="7" t="s">
        <v>1024</v>
      </c>
      <c r="G1840" s="9" t="s">
        <v>19</v>
      </c>
      <c r="H1840" s="7" t="s">
        <v>5854</v>
      </c>
      <c r="I1840" s="7" t="s">
        <v>2029</v>
      </c>
      <c r="J1840" s="10">
        <v>46078.0</v>
      </c>
      <c r="K1840" s="8" t="s">
        <v>2179</v>
      </c>
      <c r="L1840" s="7">
        <v>8.0</v>
      </c>
      <c r="M1840" s="7" t="s">
        <v>5855</v>
      </c>
      <c r="N1840" s="13" t="s">
        <v>5856</v>
      </c>
      <c r="O1840" s="15" t="s">
        <v>5857</v>
      </c>
    </row>
    <row r="1841">
      <c r="A1841" s="5">
        <v>2167.0</v>
      </c>
      <c r="B1841" s="6">
        <v>46167.32082101852</v>
      </c>
      <c r="C1841" s="7" t="s">
        <v>15</v>
      </c>
      <c r="D1841" s="8" t="s">
        <v>3859</v>
      </c>
      <c r="E1841" s="8" t="s">
        <v>1253</v>
      </c>
      <c r="F1841" s="7" t="s">
        <v>3860</v>
      </c>
      <c r="G1841" s="9" t="s">
        <v>19</v>
      </c>
      <c r="H1841" s="7" t="s">
        <v>5858</v>
      </c>
      <c r="I1841" s="7" t="s">
        <v>5362</v>
      </c>
      <c r="J1841" s="10">
        <v>46121.0</v>
      </c>
      <c r="K1841" s="8" t="s">
        <v>2266</v>
      </c>
      <c r="L1841" s="7">
        <v>8.0</v>
      </c>
      <c r="M1841" s="7" t="s">
        <v>244</v>
      </c>
      <c r="N1841" s="13" t="s">
        <v>5859</v>
      </c>
      <c r="O1841" s="15" t="s">
        <v>5860</v>
      </c>
    </row>
    <row r="1842">
      <c r="A1842" s="5">
        <v>2168.0</v>
      </c>
      <c r="B1842" s="6">
        <v>46167.32157865741</v>
      </c>
      <c r="C1842" s="7" t="s">
        <v>26</v>
      </c>
      <c r="D1842" s="8" t="s">
        <v>1341</v>
      </c>
      <c r="E1842" s="8" t="s">
        <v>1152</v>
      </c>
      <c r="F1842" s="7" t="s">
        <v>5861</v>
      </c>
      <c r="G1842" s="9" t="s">
        <v>19</v>
      </c>
      <c r="H1842" s="7" t="s">
        <v>5653</v>
      </c>
      <c r="I1842" s="7" t="s">
        <v>5862</v>
      </c>
      <c r="J1842" s="10">
        <v>46078.0</v>
      </c>
      <c r="K1842" s="8" t="s">
        <v>2179</v>
      </c>
      <c r="L1842" s="7">
        <v>8.0</v>
      </c>
      <c r="M1842" s="7" t="s">
        <v>87</v>
      </c>
      <c r="N1842" s="13" t="s">
        <v>5863</v>
      </c>
      <c r="O1842" s="15" t="s">
        <v>5864</v>
      </c>
    </row>
    <row r="1843">
      <c r="A1843" s="5">
        <v>2169.0</v>
      </c>
      <c r="B1843" s="6">
        <v>46167.321806990745</v>
      </c>
      <c r="C1843" s="7" t="s">
        <v>26</v>
      </c>
      <c r="D1843" s="8" t="s">
        <v>5865</v>
      </c>
      <c r="E1843" s="8" t="s">
        <v>547</v>
      </c>
      <c r="F1843" s="7" t="s">
        <v>1477</v>
      </c>
      <c r="G1843" s="9" t="s">
        <v>19</v>
      </c>
      <c r="H1843" s="7" t="s">
        <v>5653</v>
      </c>
      <c r="I1843" s="7" t="s">
        <v>2029</v>
      </c>
      <c r="J1843" s="10">
        <v>46078.0</v>
      </c>
      <c r="K1843" s="8" t="s">
        <v>2179</v>
      </c>
      <c r="L1843" s="7">
        <v>8.0</v>
      </c>
      <c r="M1843" s="7" t="s">
        <v>2391</v>
      </c>
      <c r="N1843" s="13" t="s">
        <v>5866</v>
      </c>
      <c r="O1843" s="15" t="s">
        <v>5867</v>
      </c>
    </row>
    <row r="1844">
      <c r="A1844" s="5">
        <v>2170.0</v>
      </c>
      <c r="B1844" s="6">
        <v>46167.32184478009</v>
      </c>
      <c r="C1844" s="7" t="s">
        <v>15</v>
      </c>
      <c r="D1844" s="8" t="s">
        <v>2123</v>
      </c>
      <c r="E1844" s="8" t="s">
        <v>199</v>
      </c>
      <c r="F1844" s="7" t="s">
        <v>2124</v>
      </c>
      <c r="G1844" s="9" t="s">
        <v>181</v>
      </c>
      <c r="H1844" s="7" t="s">
        <v>5500</v>
      </c>
      <c r="I1844" s="7" t="s">
        <v>279</v>
      </c>
      <c r="J1844" s="10">
        <v>46147.0</v>
      </c>
      <c r="K1844" s="8" t="s">
        <v>49</v>
      </c>
      <c r="L1844" s="7">
        <v>8.0</v>
      </c>
      <c r="M1844" s="7" t="s">
        <v>5868</v>
      </c>
      <c r="N1844" s="13" t="s">
        <v>5869</v>
      </c>
      <c r="O1844" s="15" t="s">
        <v>5870</v>
      </c>
    </row>
    <row r="1845">
      <c r="A1845" s="5">
        <v>2171.0</v>
      </c>
      <c r="B1845" s="6">
        <v>46167.32373322917</v>
      </c>
      <c r="C1845" s="7" t="s">
        <v>26</v>
      </c>
      <c r="D1845" s="8" t="s">
        <v>117</v>
      </c>
      <c r="E1845" s="8" t="s">
        <v>118</v>
      </c>
      <c r="F1845" s="7" t="s">
        <v>119</v>
      </c>
      <c r="G1845" s="9" t="s">
        <v>19</v>
      </c>
      <c r="H1845" s="7" t="s">
        <v>5653</v>
      </c>
      <c r="I1845" s="7" t="s">
        <v>5862</v>
      </c>
      <c r="J1845" s="10">
        <v>46078.0</v>
      </c>
      <c r="K1845" s="8" t="s">
        <v>2179</v>
      </c>
      <c r="L1845" s="7">
        <v>8.0</v>
      </c>
      <c r="M1845" s="7" t="s">
        <v>87</v>
      </c>
      <c r="N1845" s="13" t="s">
        <v>5871</v>
      </c>
      <c r="O1845" s="15" t="s">
        <v>5872</v>
      </c>
    </row>
    <row r="1846">
      <c r="A1846" s="5">
        <v>2172.0</v>
      </c>
      <c r="B1846" s="6">
        <v>46167.324752534725</v>
      </c>
      <c r="C1846" s="7" t="s">
        <v>15</v>
      </c>
      <c r="D1846" s="8" t="s">
        <v>3859</v>
      </c>
      <c r="E1846" s="8" t="s">
        <v>1253</v>
      </c>
      <c r="F1846" s="7" t="s">
        <v>3860</v>
      </c>
      <c r="G1846" s="9" t="s">
        <v>181</v>
      </c>
      <c r="H1846" s="7" t="s">
        <v>5873</v>
      </c>
      <c r="I1846" s="7" t="s">
        <v>5874</v>
      </c>
      <c r="J1846" s="10">
        <v>46147.0</v>
      </c>
      <c r="K1846" s="8" t="s">
        <v>5875</v>
      </c>
      <c r="L1846" s="7">
        <v>8.0</v>
      </c>
      <c r="M1846" s="7" t="s">
        <v>244</v>
      </c>
      <c r="N1846" s="13" t="s">
        <v>5876</v>
      </c>
      <c r="O1846" s="15" t="s">
        <v>5877</v>
      </c>
    </row>
    <row r="1847">
      <c r="A1847" s="5">
        <v>2173.0</v>
      </c>
      <c r="B1847" s="6">
        <v>46167.325956851855</v>
      </c>
      <c r="C1847" s="7" t="s">
        <v>26</v>
      </c>
      <c r="D1847" s="8" t="s">
        <v>1247</v>
      </c>
      <c r="E1847" s="8" t="s">
        <v>1248</v>
      </c>
      <c r="F1847" s="7" t="s">
        <v>1249</v>
      </c>
      <c r="G1847" s="9" t="s">
        <v>181</v>
      </c>
      <c r="H1847" s="7" t="s">
        <v>5432</v>
      </c>
      <c r="I1847" s="7" t="s">
        <v>1211</v>
      </c>
      <c r="J1847" s="10">
        <v>46135.0</v>
      </c>
      <c r="K1847" s="8" t="s">
        <v>962</v>
      </c>
      <c r="L1847" s="7">
        <v>4.0</v>
      </c>
      <c r="M1847" s="7" t="s">
        <v>33</v>
      </c>
      <c r="N1847" s="13" t="s">
        <v>5878</v>
      </c>
      <c r="O1847" s="15" t="s">
        <v>5879</v>
      </c>
    </row>
    <row r="1848">
      <c r="A1848" s="5">
        <v>2174.0</v>
      </c>
      <c r="B1848" s="6">
        <v>46167.3273780787</v>
      </c>
      <c r="C1848" s="7" t="s">
        <v>26</v>
      </c>
      <c r="D1848" s="8" t="s">
        <v>27</v>
      </c>
      <c r="E1848" s="8" t="s">
        <v>28</v>
      </c>
      <c r="F1848" s="7" t="s">
        <v>29</v>
      </c>
      <c r="G1848" s="9" t="s">
        <v>19</v>
      </c>
      <c r="H1848" s="7" t="s">
        <v>5653</v>
      </c>
      <c r="I1848" s="7" t="s">
        <v>5654</v>
      </c>
      <c r="J1848" s="10">
        <v>46078.0</v>
      </c>
      <c r="K1848" s="8" t="s">
        <v>2179</v>
      </c>
      <c r="L1848" s="7">
        <v>8.0</v>
      </c>
      <c r="M1848" s="7" t="s">
        <v>87</v>
      </c>
      <c r="N1848" s="13" t="s">
        <v>5880</v>
      </c>
      <c r="O1848" s="15" t="s">
        <v>5881</v>
      </c>
    </row>
    <row r="1849">
      <c r="A1849" s="5">
        <v>2175.0</v>
      </c>
      <c r="B1849" s="6">
        <v>46167.3278515162</v>
      </c>
      <c r="C1849" s="7" t="s">
        <v>26</v>
      </c>
      <c r="D1849" s="8" t="s">
        <v>1247</v>
      </c>
      <c r="E1849" s="8" t="s">
        <v>1248</v>
      </c>
      <c r="F1849" s="7" t="s">
        <v>1249</v>
      </c>
      <c r="G1849" s="9" t="s">
        <v>181</v>
      </c>
      <c r="H1849" s="7" t="s">
        <v>5432</v>
      </c>
      <c r="I1849" s="7" t="s">
        <v>1211</v>
      </c>
      <c r="J1849" s="10">
        <v>46138.0</v>
      </c>
      <c r="K1849" s="8" t="s">
        <v>3192</v>
      </c>
      <c r="L1849" s="7">
        <v>6.0</v>
      </c>
      <c r="M1849" s="7" t="s">
        <v>33</v>
      </c>
      <c r="N1849" s="13" t="s">
        <v>5882</v>
      </c>
      <c r="O1849" s="15" t="s">
        <v>5883</v>
      </c>
    </row>
    <row r="1850">
      <c r="A1850" s="5">
        <v>2176.0</v>
      </c>
      <c r="B1850" s="6">
        <v>46167.32820631945</v>
      </c>
      <c r="C1850" s="7" t="s">
        <v>26</v>
      </c>
      <c r="D1850" s="8" t="s">
        <v>379</v>
      </c>
      <c r="E1850" s="8" t="s">
        <v>1827</v>
      </c>
      <c r="F1850" s="7" t="s">
        <v>381</v>
      </c>
      <c r="G1850" s="9" t="s">
        <v>19</v>
      </c>
      <c r="H1850" s="7" t="s">
        <v>5653</v>
      </c>
      <c r="I1850" s="7" t="s">
        <v>5613</v>
      </c>
      <c r="J1850" s="10">
        <v>46078.0</v>
      </c>
      <c r="K1850" s="8" t="s">
        <v>2179</v>
      </c>
      <c r="L1850" s="7">
        <v>8.0</v>
      </c>
      <c r="M1850" s="7" t="s">
        <v>5550</v>
      </c>
      <c r="N1850" s="13" t="s">
        <v>5884</v>
      </c>
      <c r="O1850" s="15" t="s">
        <v>5885</v>
      </c>
    </row>
    <row r="1851">
      <c r="A1851" s="5">
        <v>2177.0</v>
      </c>
      <c r="B1851" s="6">
        <v>46167.32849532407</v>
      </c>
      <c r="C1851" s="7" t="s">
        <v>26</v>
      </c>
      <c r="D1851" s="8" t="s">
        <v>1542</v>
      </c>
      <c r="E1851" s="8" t="s">
        <v>737</v>
      </c>
      <c r="F1851" s="7" t="s">
        <v>1543</v>
      </c>
      <c r="G1851" s="9" t="s">
        <v>19</v>
      </c>
      <c r="H1851" s="7" t="s">
        <v>5854</v>
      </c>
      <c r="I1851" s="7" t="s">
        <v>2029</v>
      </c>
      <c r="J1851" s="10">
        <v>46078.0</v>
      </c>
      <c r="K1851" s="8" t="s">
        <v>2179</v>
      </c>
      <c r="L1851" s="7">
        <v>8.0</v>
      </c>
      <c r="M1851" s="7" t="s">
        <v>2391</v>
      </c>
      <c r="N1851" s="13" t="s">
        <v>5886</v>
      </c>
      <c r="O1851" s="15" t="s">
        <v>5887</v>
      </c>
    </row>
    <row r="1852">
      <c r="A1852" s="5">
        <v>2178.0</v>
      </c>
      <c r="B1852" s="6">
        <v>46167.32854716435</v>
      </c>
      <c r="C1852" s="7" t="s">
        <v>26</v>
      </c>
      <c r="D1852" s="8" t="s">
        <v>3030</v>
      </c>
      <c r="E1852" s="8" t="s">
        <v>664</v>
      </c>
      <c r="F1852" s="7" t="s">
        <v>3031</v>
      </c>
      <c r="G1852" s="9" t="s">
        <v>19</v>
      </c>
      <c r="H1852" s="7" t="s">
        <v>5653</v>
      </c>
      <c r="I1852" s="7" t="s">
        <v>2029</v>
      </c>
      <c r="J1852" s="10">
        <v>46078.0</v>
      </c>
      <c r="K1852" s="8" t="s">
        <v>2179</v>
      </c>
      <c r="L1852" s="7">
        <v>8.0</v>
      </c>
      <c r="M1852" s="7" t="s">
        <v>5888</v>
      </c>
      <c r="N1852" s="7"/>
      <c r="O1852" s="15" t="s">
        <v>5889</v>
      </c>
    </row>
    <row r="1853">
      <c r="A1853" s="5">
        <v>2179.0</v>
      </c>
      <c r="B1853" s="6">
        <v>46167.328906423616</v>
      </c>
      <c r="C1853" s="7" t="s">
        <v>26</v>
      </c>
      <c r="D1853" s="8" t="s">
        <v>2451</v>
      </c>
      <c r="E1853" s="8" t="s">
        <v>830</v>
      </c>
      <c r="F1853" s="7" t="s">
        <v>2452</v>
      </c>
      <c r="G1853" s="9" t="s">
        <v>19</v>
      </c>
      <c r="H1853" s="7" t="s">
        <v>5653</v>
      </c>
      <c r="I1853" s="7" t="s">
        <v>5837</v>
      </c>
      <c r="J1853" s="10">
        <v>46078.0</v>
      </c>
      <c r="K1853" s="8" t="s">
        <v>2179</v>
      </c>
      <c r="L1853" s="7">
        <v>8.0</v>
      </c>
      <c r="M1853" s="7" t="s">
        <v>87</v>
      </c>
      <c r="N1853" s="13" t="s">
        <v>5890</v>
      </c>
      <c r="O1853" s="15" t="s">
        <v>5891</v>
      </c>
    </row>
    <row r="1854">
      <c r="A1854" s="5">
        <v>2180.0</v>
      </c>
      <c r="B1854" s="6">
        <v>46167.32921891204</v>
      </c>
      <c r="C1854" s="7" t="s">
        <v>26</v>
      </c>
      <c r="D1854" s="8" t="s">
        <v>1288</v>
      </c>
      <c r="E1854" s="8" t="s">
        <v>762</v>
      </c>
      <c r="F1854" s="7" t="s">
        <v>1289</v>
      </c>
      <c r="G1854" s="9" t="s">
        <v>19</v>
      </c>
      <c r="H1854" s="7" t="s">
        <v>5653</v>
      </c>
      <c r="I1854" s="7" t="s">
        <v>5892</v>
      </c>
      <c r="J1854" s="10">
        <v>46078.0</v>
      </c>
      <c r="K1854" s="8" t="s">
        <v>2179</v>
      </c>
      <c r="L1854" s="7">
        <v>8.0</v>
      </c>
      <c r="M1854" s="7" t="s">
        <v>87</v>
      </c>
      <c r="N1854" s="13" t="s">
        <v>5893</v>
      </c>
      <c r="O1854" s="15" t="s">
        <v>5894</v>
      </c>
    </row>
    <row r="1855">
      <c r="A1855" s="5">
        <v>2181.0</v>
      </c>
      <c r="B1855" s="6">
        <v>46167.32928509259</v>
      </c>
      <c r="C1855" s="7" t="s">
        <v>26</v>
      </c>
      <c r="D1855" s="8" t="s">
        <v>1247</v>
      </c>
      <c r="E1855" s="8" t="s">
        <v>1248</v>
      </c>
      <c r="F1855" s="7" t="s">
        <v>1249</v>
      </c>
      <c r="G1855" s="9" t="s">
        <v>181</v>
      </c>
      <c r="H1855" s="7" t="s">
        <v>5432</v>
      </c>
      <c r="I1855" s="7" t="s">
        <v>5437</v>
      </c>
      <c r="J1855" s="10">
        <v>46139.0</v>
      </c>
      <c r="K1855" s="8" t="s">
        <v>962</v>
      </c>
      <c r="L1855" s="7">
        <v>4.0</v>
      </c>
      <c r="M1855" s="7" t="s">
        <v>33</v>
      </c>
      <c r="N1855" s="13" t="s">
        <v>5895</v>
      </c>
      <c r="O1855" s="15" t="s">
        <v>5896</v>
      </c>
    </row>
    <row r="1856">
      <c r="A1856" s="5">
        <v>2182.0</v>
      </c>
      <c r="B1856" s="6">
        <v>46167.33006912037</v>
      </c>
      <c r="C1856" s="7" t="s">
        <v>26</v>
      </c>
      <c r="D1856" s="8" t="s">
        <v>3030</v>
      </c>
      <c r="E1856" s="8" t="s">
        <v>664</v>
      </c>
      <c r="F1856" s="7" t="s">
        <v>3031</v>
      </c>
      <c r="G1856" s="9" t="s">
        <v>19</v>
      </c>
      <c r="H1856" s="7" t="s">
        <v>5653</v>
      </c>
      <c r="I1856" s="7" t="s">
        <v>2029</v>
      </c>
      <c r="J1856" s="10">
        <v>46078.0</v>
      </c>
      <c r="K1856" s="8" t="s">
        <v>2179</v>
      </c>
      <c r="L1856" s="7">
        <v>8.0</v>
      </c>
      <c r="M1856" s="7" t="s">
        <v>87</v>
      </c>
      <c r="N1856" s="13" t="s">
        <v>5897</v>
      </c>
      <c r="O1856" s="15" t="s">
        <v>5898</v>
      </c>
    </row>
    <row r="1857">
      <c r="A1857" s="5">
        <v>2183.0</v>
      </c>
      <c r="B1857" s="6">
        <v>46167.3305296412</v>
      </c>
      <c r="C1857" s="7" t="s">
        <v>26</v>
      </c>
      <c r="D1857" s="8" t="s">
        <v>247</v>
      </c>
      <c r="E1857" s="8" t="s">
        <v>248</v>
      </c>
      <c r="F1857" s="7" t="s">
        <v>249</v>
      </c>
      <c r="G1857" s="9" t="s">
        <v>19</v>
      </c>
      <c r="H1857" s="7" t="s">
        <v>5899</v>
      </c>
      <c r="I1857" s="7" t="s">
        <v>2029</v>
      </c>
      <c r="J1857" s="10">
        <v>46078.0</v>
      </c>
      <c r="K1857" s="8" t="s">
        <v>2179</v>
      </c>
      <c r="L1857" s="7">
        <v>8.0</v>
      </c>
      <c r="M1857" s="7" t="s">
        <v>87</v>
      </c>
      <c r="N1857" s="13" t="s">
        <v>5900</v>
      </c>
      <c r="O1857" s="15" t="s">
        <v>5901</v>
      </c>
    </row>
    <row r="1858">
      <c r="A1858" s="5">
        <v>2184.0</v>
      </c>
      <c r="B1858" s="6">
        <v>46167.33141641204</v>
      </c>
      <c r="C1858" s="7" t="s">
        <v>26</v>
      </c>
      <c r="D1858" s="8" t="s">
        <v>1247</v>
      </c>
      <c r="E1858" s="8" t="s">
        <v>1248</v>
      </c>
      <c r="F1858" s="7" t="s">
        <v>1249</v>
      </c>
      <c r="G1858" s="9" t="s">
        <v>19</v>
      </c>
      <c r="H1858" s="7" t="s">
        <v>5549</v>
      </c>
      <c r="I1858" s="7" t="s">
        <v>5715</v>
      </c>
      <c r="J1858" s="10">
        <v>46032.0</v>
      </c>
      <c r="K1858" s="8" t="s">
        <v>2328</v>
      </c>
      <c r="L1858" s="7">
        <v>8.0</v>
      </c>
      <c r="M1858" s="7" t="s">
        <v>5550</v>
      </c>
      <c r="N1858" s="13" t="s">
        <v>5902</v>
      </c>
      <c r="O1858" s="15" t="s">
        <v>5903</v>
      </c>
    </row>
    <row r="1859">
      <c r="A1859" s="5">
        <v>2185.0</v>
      </c>
      <c r="B1859" s="6">
        <v>46167.333154699074</v>
      </c>
      <c r="C1859" s="7" t="s">
        <v>26</v>
      </c>
      <c r="D1859" s="8" t="s">
        <v>3656</v>
      </c>
      <c r="E1859" s="8" t="s">
        <v>1596</v>
      </c>
      <c r="F1859" s="7" t="s">
        <v>3657</v>
      </c>
      <c r="G1859" s="9" t="s">
        <v>181</v>
      </c>
      <c r="H1859" s="7" t="s">
        <v>5432</v>
      </c>
      <c r="I1859" s="7" t="s">
        <v>5437</v>
      </c>
      <c r="J1859" s="10">
        <v>46139.0</v>
      </c>
      <c r="K1859" s="8" t="s">
        <v>962</v>
      </c>
      <c r="L1859" s="7">
        <v>4.0</v>
      </c>
      <c r="M1859" s="7" t="s">
        <v>1275</v>
      </c>
      <c r="N1859" s="13" t="s">
        <v>5904</v>
      </c>
      <c r="O1859" s="15" t="s">
        <v>5905</v>
      </c>
    </row>
    <row r="1860">
      <c r="A1860" s="5">
        <v>2186.0</v>
      </c>
      <c r="B1860" s="6">
        <v>46167.333353229165</v>
      </c>
      <c r="C1860" s="7" t="s">
        <v>26</v>
      </c>
      <c r="D1860" s="8" t="s">
        <v>3030</v>
      </c>
      <c r="E1860" s="8" t="s">
        <v>664</v>
      </c>
      <c r="F1860" s="7" t="s">
        <v>3031</v>
      </c>
      <c r="G1860" s="9" t="s">
        <v>19</v>
      </c>
      <c r="H1860" s="7" t="s">
        <v>5906</v>
      </c>
      <c r="I1860" s="7" t="s">
        <v>5335</v>
      </c>
      <c r="J1860" s="10">
        <v>46032.0</v>
      </c>
      <c r="K1860" s="8" t="s">
        <v>2328</v>
      </c>
      <c r="L1860" s="7">
        <v>8.0</v>
      </c>
      <c r="M1860" s="7" t="s">
        <v>87</v>
      </c>
      <c r="N1860" s="13" t="s">
        <v>5907</v>
      </c>
      <c r="O1860" s="15" t="s">
        <v>5908</v>
      </c>
    </row>
    <row r="1861">
      <c r="A1861" s="5">
        <v>2187.0</v>
      </c>
      <c r="B1861" s="6">
        <v>46167.33467144676</v>
      </c>
      <c r="C1861" s="7" t="s">
        <v>26</v>
      </c>
      <c r="D1861" s="8" t="s">
        <v>247</v>
      </c>
      <c r="E1861" s="8" t="s">
        <v>248</v>
      </c>
      <c r="F1861" s="7" t="s">
        <v>249</v>
      </c>
      <c r="G1861" s="9" t="s">
        <v>181</v>
      </c>
      <c r="H1861" s="7" t="s">
        <v>5432</v>
      </c>
      <c r="I1861" s="7" t="s">
        <v>231</v>
      </c>
      <c r="J1861" s="10">
        <v>46133.0</v>
      </c>
      <c r="K1861" s="8" t="s">
        <v>962</v>
      </c>
      <c r="L1861" s="7">
        <v>4.0</v>
      </c>
      <c r="M1861" s="7" t="s">
        <v>33</v>
      </c>
      <c r="N1861" s="13" t="s">
        <v>5909</v>
      </c>
      <c r="O1861" s="15" t="s">
        <v>5910</v>
      </c>
    </row>
    <row r="1862">
      <c r="A1862" s="5">
        <v>2188.0</v>
      </c>
      <c r="B1862" s="6">
        <v>46167.334856875</v>
      </c>
      <c r="C1862" s="7" t="s">
        <v>26</v>
      </c>
      <c r="D1862" s="8" t="s">
        <v>1247</v>
      </c>
      <c r="E1862" s="8" t="s">
        <v>1248</v>
      </c>
      <c r="F1862" s="7" t="s">
        <v>1249</v>
      </c>
      <c r="G1862" s="9" t="s">
        <v>19</v>
      </c>
      <c r="H1862" s="7" t="s">
        <v>5653</v>
      </c>
      <c r="I1862" s="7" t="s">
        <v>2029</v>
      </c>
      <c r="J1862" s="10">
        <v>46078.0</v>
      </c>
      <c r="K1862" s="8" t="s">
        <v>2179</v>
      </c>
      <c r="L1862" s="7">
        <v>8.0</v>
      </c>
      <c r="M1862" s="7" t="s">
        <v>5911</v>
      </c>
      <c r="N1862" s="13" t="s">
        <v>5912</v>
      </c>
      <c r="O1862" s="15" t="s">
        <v>5913</v>
      </c>
    </row>
    <row r="1863">
      <c r="A1863" s="5">
        <v>2189.0</v>
      </c>
      <c r="B1863" s="6">
        <v>46167.33545829861</v>
      </c>
      <c r="C1863" s="7" t="s">
        <v>26</v>
      </c>
      <c r="D1863" s="8" t="s">
        <v>1041</v>
      </c>
      <c r="E1863" s="8" t="s">
        <v>1042</v>
      </c>
      <c r="F1863" s="7" t="s">
        <v>1043</v>
      </c>
      <c r="G1863" s="9" t="s">
        <v>19</v>
      </c>
      <c r="H1863" s="7" t="s">
        <v>5653</v>
      </c>
      <c r="I1863" s="7" t="s">
        <v>5654</v>
      </c>
      <c r="J1863" s="10">
        <v>46078.0</v>
      </c>
      <c r="K1863" s="8" t="s">
        <v>2179</v>
      </c>
      <c r="L1863" s="7">
        <v>8.0</v>
      </c>
      <c r="M1863" s="7" t="s">
        <v>87</v>
      </c>
      <c r="N1863" s="13" t="s">
        <v>5914</v>
      </c>
      <c r="O1863" s="15" t="s">
        <v>5915</v>
      </c>
    </row>
    <row r="1864">
      <c r="A1864" s="5">
        <v>2190.0</v>
      </c>
      <c r="B1864" s="6">
        <v>46167.33643603009</v>
      </c>
      <c r="C1864" s="7" t="s">
        <v>26</v>
      </c>
      <c r="D1864" s="8" t="s">
        <v>3656</v>
      </c>
      <c r="E1864" s="8" t="s">
        <v>1596</v>
      </c>
      <c r="F1864" s="7" t="s">
        <v>3657</v>
      </c>
      <c r="G1864" s="9" t="s">
        <v>19</v>
      </c>
      <c r="H1864" s="7" t="s">
        <v>5653</v>
      </c>
      <c r="I1864" s="7" t="s">
        <v>2029</v>
      </c>
      <c r="J1864" s="10">
        <v>46078.0</v>
      </c>
      <c r="K1864" s="8" t="s">
        <v>2179</v>
      </c>
      <c r="L1864" s="7">
        <v>8.0</v>
      </c>
      <c r="M1864" s="7" t="s">
        <v>5916</v>
      </c>
      <c r="N1864" s="13" t="s">
        <v>5917</v>
      </c>
      <c r="O1864" s="15" t="s">
        <v>5918</v>
      </c>
    </row>
    <row r="1865">
      <c r="A1865" s="5">
        <v>2191.0</v>
      </c>
      <c r="B1865" s="6">
        <v>46167.33804159722</v>
      </c>
      <c r="C1865" s="7" t="s">
        <v>26</v>
      </c>
      <c r="D1865" s="8" t="s">
        <v>247</v>
      </c>
      <c r="E1865" s="8" t="s">
        <v>248</v>
      </c>
      <c r="F1865" s="7" t="s">
        <v>249</v>
      </c>
      <c r="G1865" s="9" t="s">
        <v>181</v>
      </c>
      <c r="H1865" s="7" t="s">
        <v>5432</v>
      </c>
      <c r="I1865" s="7" t="s">
        <v>231</v>
      </c>
      <c r="J1865" s="10">
        <v>46134.0</v>
      </c>
      <c r="K1865" s="8" t="s">
        <v>962</v>
      </c>
      <c r="L1865" s="7">
        <v>4.0</v>
      </c>
      <c r="M1865" s="7" t="s">
        <v>33</v>
      </c>
      <c r="N1865" s="13" t="s">
        <v>5919</v>
      </c>
      <c r="O1865" s="15" t="s">
        <v>5920</v>
      </c>
    </row>
    <row r="1866">
      <c r="A1866" s="5">
        <v>2192.0</v>
      </c>
      <c r="B1866" s="6">
        <v>46167.338761782405</v>
      </c>
      <c r="C1866" s="7" t="s">
        <v>26</v>
      </c>
      <c r="D1866" s="8" t="s">
        <v>1041</v>
      </c>
      <c r="E1866" s="8" t="s">
        <v>1042</v>
      </c>
      <c r="F1866" s="7" t="s">
        <v>1043</v>
      </c>
      <c r="G1866" s="9" t="s">
        <v>181</v>
      </c>
      <c r="H1866" s="7" t="s">
        <v>5432</v>
      </c>
      <c r="I1866" s="7" t="s">
        <v>231</v>
      </c>
      <c r="J1866" s="10">
        <v>46138.0</v>
      </c>
      <c r="K1866" s="8" t="s">
        <v>3737</v>
      </c>
      <c r="L1866" s="7">
        <v>8.0</v>
      </c>
      <c r="M1866" s="7" t="s">
        <v>33</v>
      </c>
      <c r="N1866" s="13" t="s">
        <v>5921</v>
      </c>
      <c r="O1866" s="15" t="s">
        <v>5922</v>
      </c>
    </row>
    <row r="1867">
      <c r="A1867" s="5">
        <v>2193.0</v>
      </c>
      <c r="B1867" s="6">
        <v>46167.3392575</v>
      </c>
      <c r="C1867" s="7" t="s">
        <v>26</v>
      </c>
      <c r="D1867" s="8" t="s">
        <v>1247</v>
      </c>
      <c r="E1867" s="8" t="s">
        <v>1248</v>
      </c>
      <c r="F1867" s="7" t="s">
        <v>1249</v>
      </c>
      <c r="G1867" s="9" t="s">
        <v>19</v>
      </c>
      <c r="H1867" s="7" t="s">
        <v>5410</v>
      </c>
      <c r="I1867" s="7" t="s">
        <v>5411</v>
      </c>
      <c r="J1867" s="10">
        <v>46136.0</v>
      </c>
      <c r="K1867" s="8" t="s">
        <v>5412</v>
      </c>
      <c r="L1867" s="7">
        <v>8.0</v>
      </c>
      <c r="M1867" s="7" t="s">
        <v>87</v>
      </c>
      <c r="N1867" s="13" t="s">
        <v>5923</v>
      </c>
      <c r="O1867" s="15" t="s">
        <v>5924</v>
      </c>
    </row>
    <row r="1868">
      <c r="A1868" s="5">
        <v>2194.0</v>
      </c>
      <c r="B1868" s="6">
        <v>46167.33956069444</v>
      </c>
      <c r="C1868" s="7" t="s">
        <v>26</v>
      </c>
      <c r="D1868" s="8" t="s">
        <v>247</v>
      </c>
      <c r="E1868" s="8" t="s">
        <v>248</v>
      </c>
      <c r="F1868" s="7" t="s">
        <v>249</v>
      </c>
      <c r="G1868" s="9" t="s">
        <v>181</v>
      </c>
      <c r="H1868" s="7" t="s">
        <v>5432</v>
      </c>
      <c r="I1868" s="7" t="s">
        <v>231</v>
      </c>
      <c r="J1868" s="10">
        <v>46135.0</v>
      </c>
      <c r="K1868" s="8" t="s">
        <v>962</v>
      </c>
      <c r="L1868" s="7">
        <v>4.0</v>
      </c>
      <c r="M1868" s="7" t="s">
        <v>33</v>
      </c>
      <c r="N1868" s="13" t="s">
        <v>5925</v>
      </c>
      <c r="O1868" s="15" t="s">
        <v>5926</v>
      </c>
    </row>
    <row r="1869">
      <c r="A1869" s="5">
        <v>2195.0</v>
      </c>
      <c r="B1869" s="6">
        <v>46167.340265023144</v>
      </c>
      <c r="C1869" s="7" t="s">
        <v>26</v>
      </c>
      <c r="D1869" s="8" t="s">
        <v>1041</v>
      </c>
      <c r="E1869" s="8" t="s">
        <v>1042</v>
      </c>
      <c r="F1869" s="7" t="s">
        <v>1043</v>
      </c>
      <c r="G1869" s="9" t="s">
        <v>181</v>
      </c>
      <c r="H1869" s="7" t="s">
        <v>5432</v>
      </c>
      <c r="I1869" s="7" t="s">
        <v>5437</v>
      </c>
      <c r="J1869" s="10">
        <v>46139.0</v>
      </c>
      <c r="K1869" s="8" t="s">
        <v>962</v>
      </c>
      <c r="L1869" s="7">
        <v>4.0</v>
      </c>
      <c r="M1869" s="7" t="s">
        <v>33</v>
      </c>
      <c r="N1869" s="13" t="s">
        <v>5927</v>
      </c>
      <c r="O1869" s="15" t="s">
        <v>5928</v>
      </c>
    </row>
    <row r="1870">
      <c r="A1870" s="5">
        <v>2196.0</v>
      </c>
      <c r="B1870" s="6">
        <v>46167.340485347224</v>
      </c>
      <c r="C1870" s="7" t="s">
        <v>26</v>
      </c>
      <c r="D1870" s="8" t="s">
        <v>247</v>
      </c>
      <c r="E1870" s="8" t="s">
        <v>248</v>
      </c>
      <c r="F1870" s="7" t="s">
        <v>249</v>
      </c>
      <c r="G1870" s="9" t="s">
        <v>181</v>
      </c>
      <c r="H1870" s="7" t="s">
        <v>5432</v>
      </c>
      <c r="I1870" s="7" t="s">
        <v>5437</v>
      </c>
      <c r="J1870" s="10">
        <v>46139.0</v>
      </c>
      <c r="K1870" s="8" t="s">
        <v>962</v>
      </c>
      <c r="L1870" s="7">
        <v>4.0</v>
      </c>
      <c r="M1870" s="7" t="s">
        <v>33</v>
      </c>
      <c r="N1870" s="13" t="s">
        <v>5929</v>
      </c>
      <c r="O1870" s="15" t="s">
        <v>5930</v>
      </c>
    </row>
    <row r="1871">
      <c r="A1871" s="5">
        <v>2197.0</v>
      </c>
      <c r="B1871" s="6">
        <v>46167.34061403935</v>
      </c>
      <c r="C1871" s="7" t="s">
        <v>26</v>
      </c>
      <c r="D1871" s="8" t="s">
        <v>109</v>
      </c>
      <c r="E1871" s="8" t="s">
        <v>881</v>
      </c>
      <c r="F1871" s="7" t="s">
        <v>111</v>
      </c>
      <c r="G1871" s="9" t="s">
        <v>19</v>
      </c>
      <c r="H1871" s="7" t="s">
        <v>5653</v>
      </c>
      <c r="I1871" s="7" t="s">
        <v>5931</v>
      </c>
      <c r="J1871" s="10">
        <v>46078.0</v>
      </c>
      <c r="K1871" s="8" t="s">
        <v>2179</v>
      </c>
      <c r="L1871" s="7">
        <v>8.0</v>
      </c>
      <c r="M1871" s="7" t="s">
        <v>5550</v>
      </c>
      <c r="N1871" s="13" t="s">
        <v>5932</v>
      </c>
      <c r="O1871" s="15" t="s">
        <v>5933</v>
      </c>
    </row>
    <row r="1872">
      <c r="A1872" s="5">
        <v>2198.0</v>
      </c>
      <c r="B1872" s="6">
        <v>46167.34083945602</v>
      </c>
      <c r="C1872" s="7" t="s">
        <v>26</v>
      </c>
      <c r="D1872" s="8" t="s">
        <v>318</v>
      </c>
      <c r="E1872" s="8" t="s">
        <v>411</v>
      </c>
      <c r="F1872" s="7" t="s">
        <v>320</v>
      </c>
      <c r="G1872" s="9" t="s">
        <v>19</v>
      </c>
      <c r="H1872" s="7" t="s">
        <v>5653</v>
      </c>
      <c r="I1872" s="7" t="s">
        <v>2029</v>
      </c>
      <c r="J1872" s="10">
        <v>46078.0</v>
      </c>
      <c r="K1872" s="8" t="s">
        <v>2179</v>
      </c>
      <c r="L1872" s="7">
        <v>8.0</v>
      </c>
      <c r="M1872" s="7" t="s">
        <v>5934</v>
      </c>
      <c r="N1872" s="13" t="s">
        <v>5935</v>
      </c>
      <c r="O1872" s="15" t="s">
        <v>5936</v>
      </c>
    </row>
    <row r="1873">
      <c r="A1873" s="5">
        <v>2199.0</v>
      </c>
      <c r="B1873" s="6">
        <v>46167.341903113425</v>
      </c>
      <c r="C1873" s="7" t="s">
        <v>26</v>
      </c>
      <c r="D1873" s="8" t="s">
        <v>1247</v>
      </c>
      <c r="E1873" s="8" t="s">
        <v>1248</v>
      </c>
      <c r="F1873" s="7" t="s">
        <v>1249</v>
      </c>
      <c r="G1873" s="9" t="s">
        <v>19</v>
      </c>
      <c r="H1873" s="7" t="s">
        <v>5410</v>
      </c>
      <c r="I1873" s="7" t="s">
        <v>5411</v>
      </c>
      <c r="J1873" s="10">
        <v>46137.0</v>
      </c>
      <c r="K1873" s="8" t="s">
        <v>49</v>
      </c>
      <c r="L1873" s="7">
        <v>8.0</v>
      </c>
      <c r="M1873" s="7" t="s">
        <v>87</v>
      </c>
      <c r="N1873" s="13" t="s">
        <v>5937</v>
      </c>
      <c r="O1873" s="15" t="s">
        <v>5938</v>
      </c>
    </row>
    <row r="1874">
      <c r="A1874" s="5">
        <v>2200.0</v>
      </c>
      <c r="B1874" s="6">
        <v>46167.34631769676</v>
      </c>
      <c r="C1874" s="7" t="s">
        <v>26</v>
      </c>
      <c r="D1874" s="8" t="s">
        <v>109</v>
      </c>
      <c r="E1874" s="8" t="s">
        <v>881</v>
      </c>
      <c r="F1874" s="7" t="s">
        <v>111</v>
      </c>
      <c r="G1874" s="9" t="s">
        <v>19</v>
      </c>
      <c r="H1874" s="7" t="s">
        <v>5549</v>
      </c>
      <c r="I1874" s="7" t="s">
        <v>5335</v>
      </c>
      <c r="J1874" s="10">
        <v>46032.0</v>
      </c>
      <c r="K1874" s="8" t="s">
        <v>2328</v>
      </c>
      <c r="L1874" s="7">
        <v>8.0</v>
      </c>
      <c r="M1874" s="7" t="s">
        <v>5550</v>
      </c>
      <c r="N1874" s="13" t="s">
        <v>5939</v>
      </c>
      <c r="O1874" s="15" t="s">
        <v>5940</v>
      </c>
    </row>
    <row r="1875">
      <c r="A1875" s="5">
        <v>2201.0</v>
      </c>
      <c r="B1875" s="6">
        <v>46167.348344247686</v>
      </c>
      <c r="C1875" s="7" t="s">
        <v>26</v>
      </c>
      <c r="D1875" s="8" t="s">
        <v>3656</v>
      </c>
      <c r="E1875" s="8" t="s">
        <v>1596</v>
      </c>
      <c r="F1875" s="7" t="s">
        <v>3657</v>
      </c>
      <c r="G1875" s="9" t="s">
        <v>19</v>
      </c>
      <c r="H1875" s="7" t="s">
        <v>5369</v>
      </c>
      <c r="I1875" s="7" t="s">
        <v>1337</v>
      </c>
      <c r="J1875" s="10">
        <v>46032.0</v>
      </c>
      <c r="K1875" s="8" t="s">
        <v>2328</v>
      </c>
      <c r="L1875" s="7">
        <v>8.0</v>
      </c>
      <c r="M1875" s="7" t="s">
        <v>87</v>
      </c>
      <c r="N1875" s="13" t="s">
        <v>5941</v>
      </c>
      <c r="O1875" s="15" t="s">
        <v>5942</v>
      </c>
    </row>
    <row r="1876">
      <c r="A1876" s="5">
        <v>2202.0</v>
      </c>
      <c r="B1876" s="6">
        <v>46167.35111092593</v>
      </c>
      <c r="C1876" s="7" t="s">
        <v>26</v>
      </c>
      <c r="D1876" s="8" t="s">
        <v>3656</v>
      </c>
      <c r="E1876" s="8" t="s">
        <v>1596</v>
      </c>
      <c r="F1876" s="7" t="s">
        <v>3657</v>
      </c>
      <c r="G1876" s="9" t="s">
        <v>19</v>
      </c>
      <c r="H1876" s="7" t="s">
        <v>5369</v>
      </c>
      <c r="I1876" s="7" t="s">
        <v>1337</v>
      </c>
      <c r="J1876" s="10">
        <v>46032.0</v>
      </c>
      <c r="K1876" s="8" t="s">
        <v>2328</v>
      </c>
      <c r="L1876" s="7">
        <v>8.0</v>
      </c>
      <c r="M1876" s="7" t="s">
        <v>87</v>
      </c>
      <c r="N1876" s="13" t="s">
        <v>5943</v>
      </c>
      <c r="O1876" s="15" t="s">
        <v>5944</v>
      </c>
    </row>
    <row r="1877">
      <c r="A1877" s="5">
        <v>2203.0</v>
      </c>
      <c r="B1877" s="6">
        <v>46167.351621643524</v>
      </c>
      <c r="C1877" s="7" t="s">
        <v>26</v>
      </c>
      <c r="D1877" s="8" t="s">
        <v>3541</v>
      </c>
      <c r="E1877" s="8" t="s">
        <v>1197</v>
      </c>
      <c r="F1877" s="7" t="s">
        <v>3542</v>
      </c>
      <c r="G1877" s="9" t="s">
        <v>19</v>
      </c>
      <c r="H1877" s="7" t="s">
        <v>5653</v>
      </c>
      <c r="I1877" s="7" t="s">
        <v>2029</v>
      </c>
      <c r="J1877" s="10">
        <v>46078.0</v>
      </c>
      <c r="K1877" s="8" t="s">
        <v>2179</v>
      </c>
      <c r="L1877" s="7">
        <v>8.0</v>
      </c>
      <c r="M1877" s="7" t="s">
        <v>3009</v>
      </c>
      <c r="N1877" s="13" t="s">
        <v>5945</v>
      </c>
      <c r="O1877" s="15" t="s">
        <v>5946</v>
      </c>
    </row>
    <row r="1878">
      <c r="A1878" s="5">
        <v>2204.0</v>
      </c>
      <c r="B1878" s="6">
        <v>46167.356084803236</v>
      </c>
      <c r="C1878" s="7" t="s">
        <v>26</v>
      </c>
      <c r="D1878" s="8" t="s">
        <v>3541</v>
      </c>
      <c r="E1878" s="8" t="s">
        <v>1197</v>
      </c>
      <c r="F1878" s="7" t="s">
        <v>3542</v>
      </c>
      <c r="G1878" s="9" t="s">
        <v>19</v>
      </c>
      <c r="H1878" s="7" t="s">
        <v>5369</v>
      </c>
      <c r="I1878" s="7" t="s">
        <v>5947</v>
      </c>
      <c r="J1878" s="10">
        <v>46032.0</v>
      </c>
      <c r="K1878" s="8" t="s">
        <v>2328</v>
      </c>
      <c r="L1878" s="7">
        <v>8.0</v>
      </c>
      <c r="M1878" s="7" t="s">
        <v>87</v>
      </c>
      <c r="N1878" s="13" t="s">
        <v>5948</v>
      </c>
      <c r="O1878" s="15" t="s">
        <v>5949</v>
      </c>
    </row>
    <row r="1879">
      <c r="A1879" s="5">
        <v>2205.0</v>
      </c>
      <c r="B1879" s="6">
        <v>46167.388604699074</v>
      </c>
      <c r="C1879" s="7" t="s">
        <v>26</v>
      </c>
      <c r="D1879" s="8" t="s">
        <v>1041</v>
      </c>
      <c r="E1879" s="8" t="s">
        <v>1042</v>
      </c>
      <c r="F1879" s="7" t="s">
        <v>1043</v>
      </c>
      <c r="G1879" s="9" t="s">
        <v>181</v>
      </c>
      <c r="H1879" s="7" t="s">
        <v>5432</v>
      </c>
      <c r="I1879" s="7" t="s">
        <v>231</v>
      </c>
      <c r="J1879" s="10">
        <v>46134.0</v>
      </c>
      <c r="K1879" s="8" t="s">
        <v>962</v>
      </c>
      <c r="L1879" s="7">
        <v>4.0</v>
      </c>
      <c r="M1879" s="7" t="s">
        <v>33</v>
      </c>
      <c r="N1879" s="13" t="s">
        <v>5950</v>
      </c>
      <c r="O1879" s="15" t="s">
        <v>5951</v>
      </c>
    </row>
    <row r="1880">
      <c r="A1880" s="5">
        <v>2206.0</v>
      </c>
      <c r="B1880" s="6">
        <v>46167.43612103009</v>
      </c>
      <c r="C1880" s="7" t="s">
        <v>26</v>
      </c>
      <c r="D1880" s="8" t="s">
        <v>1264</v>
      </c>
      <c r="E1880" s="8" t="s">
        <v>1049</v>
      </c>
      <c r="F1880" s="7" t="s">
        <v>1265</v>
      </c>
      <c r="G1880" s="9" t="s">
        <v>181</v>
      </c>
      <c r="H1880" s="7" t="s">
        <v>5952</v>
      </c>
      <c r="I1880" s="7" t="s">
        <v>5953</v>
      </c>
      <c r="J1880" s="10">
        <v>46146.0</v>
      </c>
      <c r="K1880" s="8" t="s">
        <v>2769</v>
      </c>
      <c r="L1880" s="7">
        <v>5.0</v>
      </c>
      <c r="M1880" s="7" t="s">
        <v>5954</v>
      </c>
      <c r="N1880" s="13" t="s">
        <v>5955</v>
      </c>
      <c r="O1880" s="15" t="s">
        <v>5956</v>
      </c>
    </row>
    <row r="1881">
      <c r="A1881" s="5">
        <v>2207.0</v>
      </c>
      <c r="B1881" s="6">
        <v>46167.440250451386</v>
      </c>
      <c r="C1881" s="7" t="s">
        <v>26</v>
      </c>
      <c r="D1881" s="8" t="s">
        <v>1264</v>
      </c>
      <c r="E1881" s="8" t="s">
        <v>1049</v>
      </c>
      <c r="F1881" s="7" t="s">
        <v>1265</v>
      </c>
      <c r="G1881" s="9" t="s">
        <v>181</v>
      </c>
      <c r="H1881" s="7" t="s">
        <v>5957</v>
      </c>
      <c r="I1881" s="7" t="s">
        <v>5953</v>
      </c>
      <c r="J1881" s="10">
        <v>46143.0</v>
      </c>
      <c r="K1881" s="8" t="s">
        <v>2769</v>
      </c>
      <c r="L1881" s="7">
        <v>5.0</v>
      </c>
      <c r="M1881" s="7" t="s">
        <v>5958</v>
      </c>
      <c r="N1881" s="13" t="s">
        <v>5959</v>
      </c>
      <c r="O1881" s="15" t="s">
        <v>5960</v>
      </c>
    </row>
    <row r="1882">
      <c r="A1882" s="5">
        <v>2208.0</v>
      </c>
      <c r="B1882" s="6">
        <v>46167.4424816088</v>
      </c>
      <c r="C1882" s="7" t="s">
        <v>26</v>
      </c>
      <c r="D1882" s="8" t="s">
        <v>1264</v>
      </c>
      <c r="E1882" s="8" t="s">
        <v>1049</v>
      </c>
      <c r="F1882" s="7" t="s">
        <v>1265</v>
      </c>
      <c r="G1882" s="9" t="s">
        <v>19</v>
      </c>
      <c r="H1882" s="7" t="s">
        <v>5961</v>
      </c>
      <c r="I1882" s="7" t="s">
        <v>5962</v>
      </c>
      <c r="J1882" s="10">
        <v>46078.0</v>
      </c>
      <c r="K1882" s="8" t="s">
        <v>2179</v>
      </c>
      <c r="L1882" s="7">
        <v>8.0</v>
      </c>
      <c r="M1882" s="7" t="s">
        <v>87</v>
      </c>
      <c r="N1882" s="13" t="s">
        <v>5963</v>
      </c>
      <c r="O1882" s="15" t="s">
        <v>5964</v>
      </c>
    </row>
    <row r="1883">
      <c r="A1883" s="5">
        <v>2209.0</v>
      </c>
      <c r="B1883" s="6">
        <v>46167.44709991898</v>
      </c>
      <c r="C1883" s="7" t="s">
        <v>26</v>
      </c>
      <c r="D1883" s="8" t="s">
        <v>1264</v>
      </c>
      <c r="E1883" s="8" t="s">
        <v>1049</v>
      </c>
      <c r="F1883" s="7" t="s">
        <v>1265</v>
      </c>
      <c r="G1883" s="9" t="s">
        <v>181</v>
      </c>
      <c r="H1883" s="7" t="s">
        <v>5965</v>
      </c>
      <c r="I1883" s="7" t="s">
        <v>231</v>
      </c>
      <c r="J1883" s="10">
        <v>46138.0</v>
      </c>
      <c r="K1883" s="8" t="s">
        <v>3192</v>
      </c>
      <c r="L1883" s="7">
        <v>6.0</v>
      </c>
      <c r="M1883" s="7" t="s">
        <v>1275</v>
      </c>
      <c r="N1883" s="13" t="s">
        <v>5966</v>
      </c>
      <c r="O1883" s="15" t="s">
        <v>5967</v>
      </c>
    </row>
    <row r="1884">
      <c r="A1884" s="5">
        <v>2210.0</v>
      </c>
      <c r="B1884" s="6">
        <v>46167.45073603009</v>
      </c>
      <c r="C1884" s="7" t="s">
        <v>26</v>
      </c>
      <c r="D1884" s="8" t="s">
        <v>1264</v>
      </c>
      <c r="E1884" s="8" t="s">
        <v>1049</v>
      </c>
      <c r="F1884" s="7" t="s">
        <v>1265</v>
      </c>
      <c r="G1884" s="9" t="s">
        <v>181</v>
      </c>
      <c r="H1884" s="7" t="s">
        <v>5968</v>
      </c>
      <c r="I1884" s="7" t="s">
        <v>5969</v>
      </c>
      <c r="J1884" s="10">
        <v>46139.0</v>
      </c>
      <c r="K1884" s="8" t="s">
        <v>962</v>
      </c>
      <c r="L1884" s="7">
        <v>4.0</v>
      </c>
      <c r="M1884" s="7" t="s">
        <v>33</v>
      </c>
      <c r="N1884" s="13" t="s">
        <v>5970</v>
      </c>
      <c r="O1884" s="15" t="s">
        <v>5971</v>
      </c>
    </row>
    <row r="1885">
      <c r="A1885" s="5">
        <v>2211.0</v>
      </c>
      <c r="B1885" s="6">
        <v>46167.457145810185</v>
      </c>
      <c r="C1885" s="7" t="s">
        <v>26</v>
      </c>
      <c r="D1885" s="8" t="s">
        <v>1096</v>
      </c>
      <c r="E1885" s="8" t="s">
        <v>1097</v>
      </c>
      <c r="F1885" s="7" t="s">
        <v>1098</v>
      </c>
      <c r="G1885" s="9" t="s">
        <v>19</v>
      </c>
      <c r="H1885" s="7" t="s">
        <v>5369</v>
      </c>
      <c r="I1885" s="7" t="s">
        <v>5972</v>
      </c>
      <c r="J1885" s="10">
        <v>46032.0</v>
      </c>
      <c r="K1885" s="8" t="s">
        <v>2328</v>
      </c>
      <c r="L1885" s="7">
        <v>8.0</v>
      </c>
      <c r="M1885" s="7" t="s">
        <v>87</v>
      </c>
      <c r="N1885" s="13" t="s">
        <v>5973</v>
      </c>
      <c r="O1885" s="15" t="s">
        <v>5974</v>
      </c>
    </row>
    <row r="1886">
      <c r="A1886" s="5">
        <v>2212.0</v>
      </c>
      <c r="B1886" s="6">
        <v>46167.46404533565</v>
      </c>
      <c r="C1886" s="7" t="s">
        <v>26</v>
      </c>
      <c r="D1886" s="8" t="s">
        <v>274</v>
      </c>
      <c r="E1886" s="8" t="s">
        <v>228</v>
      </c>
      <c r="F1886" s="7" t="s">
        <v>275</v>
      </c>
      <c r="G1886" s="9" t="s">
        <v>19</v>
      </c>
      <c r="H1886" s="7" t="s">
        <v>5653</v>
      </c>
      <c r="I1886" s="7" t="s">
        <v>5654</v>
      </c>
      <c r="J1886" s="10">
        <v>46078.0</v>
      </c>
      <c r="K1886" s="8" t="s">
        <v>2179</v>
      </c>
      <c r="L1886" s="7">
        <v>8.0</v>
      </c>
      <c r="M1886" s="7" t="s">
        <v>5975</v>
      </c>
      <c r="N1886" s="13" t="s">
        <v>5976</v>
      </c>
      <c r="O1886" s="15" t="s">
        <v>5977</v>
      </c>
    </row>
    <row r="1887">
      <c r="A1887" s="5">
        <v>2213.0</v>
      </c>
      <c r="B1887" s="6">
        <v>46167.46771733796</v>
      </c>
      <c r="C1887" s="7" t="s">
        <v>26</v>
      </c>
      <c r="D1887" s="8" t="s">
        <v>274</v>
      </c>
      <c r="E1887" s="8" t="s">
        <v>228</v>
      </c>
      <c r="F1887" s="7" t="s">
        <v>275</v>
      </c>
      <c r="G1887" s="9" t="s">
        <v>19</v>
      </c>
      <c r="H1887" s="7" t="s">
        <v>5549</v>
      </c>
      <c r="I1887" s="7" t="s">
        <v>5978</v>
      </c>
      <c r="J1887" s="10">
        <v>46032.0</v>
      </c>
      <c r="K1887" s="8" t="s">
        <v>2328</v>
      </c>
      <c r="L1887" s="7">
        <v>8.0</v>
      </c>
      <c r="M1887" s="7" t="s">
        <v>5975</v>
      </c>
      <c r="N1887" s="13" t="s">
        <v>5979</v>
      </c>
      <c r="O1887" s="15" t="s">
        <v>5980</v>
      </c>
    </row>
    <row r="1888">
      <c r="A1888" s="5">
        <v>2214.0</v>
      </c>
      <c r="B1888" s="6">
        <v>46167.474246446756</v>
      </c>
      <c r="C1888" s="7" t="s">
        <v>26</v>
      </c>
      <c r="D1888" s="8" t="s">
        <v>2247</v>
      </c>
      <c r="E1888" s="8" t="s">
        <v>893</v>
      </c>
      <c r="F1888" s="7" t="s">
        <v>2248</v>
      </c>
      <c r="G1888" s="9" t="s">
        <v>84</v>
      </c>
      <c r="H1888" s="7" t="s">
        <v>85</v>
      </c>
      <c r="I1888" s="7" t="s">
        <v>5981</v>
      </c>
      <c r="J1888" s="10">
        <v>46158.0</v>
      </c>
      <c r="K1888" s="8" t="s">
        <v>5982</v>
      </c>
      <c r="L1888" s="7">
        <v>8.0</v>
      </c>
      <c r="M1888" s="7" t="s">
        <v>5983</v>
      </c>
      <c r="N1888" s="13" t="s">
        <v>5984</v>
      </c>
      <c r="O1888" s="15" t="s">
        <v>5985</v>
      </c>
    </row>
    <row r="1889">
      <c r="A1889" s="5">
        <v>2215.0</v>
      </c>
      <c r="B1889" s="6">
        <v>46167.47509898148</v>
      </c>
      <c r="C1889" s="7" t="s">
        <v>26</v>
      </c>
      <c r="D1889" s="8" t="s">
        <v>1096</v>
      </c>
      <c r="E1889" s="8" t="s">
        <v>1097</v>
      </c>
      <c r="F1889" s="7" t="s">
        <v>1098</v>
      </c>
      <c r="G1889" s="9" t="s">
        <v>181</v>
      </c>
      <c r="H1889" s="7" t="s">
        <v>5432</v>
      </c>
      <c r="I1889" s="7" t="s">
        <v>231</v>
      </c>
      <c r="J1889" s="10">
        <v>46133.0</v>
      </c>
      <c r="K1889" s="8" t="s">
        <v>962</v>
      </c>
      <c r="L1889" s="7">
        <v>4.0</v>
      </c>
      <c r="M1889" s="7" t="s">
        <v>33</v>
      </c>
      <c r="N1889" s="13" t="s">
        <v>5986</v>
      </c>
      <c r="O1889" s="15" t="s">
        <v>5987</v>
      </c>
    </row>
    <row r="1890">
      <c r="A1890" s="5">
        <v>2216.0</v>
      </c>
      <c r="B1890" s="6">
        <v>46167.47706842593</v>
      </c>
      <c r="C1890" s="7" t="s">
        <v>26</v>
      </c>
      <c r="D1890" s="8" t="s">
        <v>1096</v>
      </c>
      <c r="E1890" s="8" t="s">
        <v>1097</v>
      </c>
      <c r="F1890" s="7" t="s">
        <v>1098</v>
      </c>
      <c r="G1890" s="9" t="s">
        <v>181</v>
      </c>
      <c r="H1890" s="7" t="s">
        <v>5432</v>
      </c>
      <c r="I1890" s="7" t="s">
        <v>231</v>
      </c>
      <c r="J1890" s="10">
        <v>46134.0</v>
      </c>
      <c r="K1890" s="8" t="s">
        <v>962</v>
      </c>
      <c r="L1890" s="7">
        <v>4.0</v>
      </c>
      <c r="M1890" s="7" t="s">
        <v>33</v>
      </c>
      <c r="N1890" s="13" t="s">
        <v>5988</v>
      </c>
      <c r="O1890" s="15" t="s">
        <v>5989</v>
      </c>
    </row>
    <row r="1891">
      <c r="A1891" s="5">
        <v>2217.0</v>
      </c>
      <c r="B1891" s="6">
        <v>46167.47805164352</v>
      </c>
      <c r="C1891" s="7" t="s">
        <v>26</v>
      </c>
      <c r="D1891" s="8" t="s">
        <v>2247</v>
      </c>
      <c r="E1891" s="8" t="s">
        <v>893</v>
      </c>
      <c r="F1891" s="7" t="s">
        <v>2248</v>
      </c>
      <c r="G1891" s="9" t="s">
        <v>144</v>
      </c>
      <c r="H1891" s="7" t="s">
        <v>5990</v>
      </c>
      <c r="I1891" s="7" t="s">
        <v>5991</v>
      </c>
      <c r="J1891" s="10">
        <v>46144.0</v>
      </c>
      <c r="K1891" s="8" t="s">
        <v>957</v>
      </c>
      <c r="L1891" s="7">
        <v>4.0</v>
      </c>
      <c r="M1891" s="7" t="s">
        <v>5983</v>
      </c>
      <c r="N1891" s="13" t="s">
        <v>5992</v>
      </c>
      <c r="O1891" s="15" t="s">
        <v>5993</v>
      </c>
    </row>
    <row r="1892">
      <c r="A1892" s="5">
        <v>2218.0</v>
      </c>
      <c r="B1892" s="6">
        <v>46167.478854444445</v>
      </c>
      <c r="C1892" s="7" t="s">
        <v>26</v>
      </c>
      <c r="D1892" s="8" t="s">
        <v>1096</v>
      </c>
      <c r="E1892" s="8" t="s">
        <v>1097</v>
      </c>
      <c r="F1892" s="7" t="s">
        <v>1098</v>
      </c>
      <c r="G1892" s="9" t="s">
        <v>181</v>
      </c>
      <c r="H1892" s="7" t="s">
        <v>5432</v>
      </c>
      <c r="I1892" s="7" t="s">
        <v>231</v>
      </c>
      <c r="J1892" s="10">
        <v>46135.0</v>
      </c>
      <c r="K1892" s="8" t="s">
        <v>962</v>
      </c>
      <c r="L1892" s="7">
        <v>4.0</v>
      </c>
      <c r="M1892" s="7" t="s">
        <v>33</v>
      </c>
      <c r="N1892" s="13" t="s">
        <v>5994</v>
      </c>
      <c r="O1892" s="15" t="s">
        <v>5995</v>
      </c>
    </row>
    <row r="1893">
      <c r="A1893" s="5">
        <v>2219.0</v>
      </c>
      <c r="B1893" s="6">
        <v>46167.48086484954</v>
      </c>
      <c r="C1893" s="7" t="s">
        <v>26</v>
      </c>
      <c r="D1893" s="8" t="s">
        <v>1096</v>
      </c>
      <c r="E1893" s="8" t="s">
        <v>1097</v>
      </c>
      <c r="F1893" s="7" t="s">
        <v>1098</v>
      </c>
      <c r="G1893" s="9" t="s">
        <v>181</v>
      </c>
      <c r="H1893" s="7" t="s">
        <v>5432</v>
      </c>
      <c r="I1893" s="7" t="s">
        <v>231</v>
      </c>
      <c r="J1893" s="10">
        <v>46138.0</v>
      </c>
      <c r="K1893" s="8" t="s">
        <v>3192</v>
      </c>
      <c r="L1893" s="7">
        <v>6.0</v>
      </c>
      <c r="M1893" s="7" t="s">
        <v>33</v>
      </c>
      <c r="N1893" s="13" t="s">
        <v>5996</v>
      </c>
      <c r="O1893" s="15" t="s">
        <v>5997</v>
      </c>
    </row>
    <row r="1894">
      <c r="A1894" s="5">
        <v>2220.0</v>
      </c>
      <c r="B1894" s="6">
        <v>46167.48250258101</v>
      </c>
      <c r="C1894" s="7" t="s">
        <v>26</v>
      </c>
      <c r="D1894" s="8" t="s">
        <v>1096</v>
      </c>
      <c r="E1894" s="8" t="s">
        <v>1097</v>
      </c>
      <c r="F1894" s="7" t="s">
        <v>1098</v>
      </c>
      <c r="G1894" s="9" t="s">
        <v>181</v>
      </c>
      <c r="H1894" s="7" t="s">
        <v>5998</v>
      </c>
      <c r="I1894" s="7" t="s">
        <v>5437</v>
      </c>
      <c r="J1894" s="10">
        <v>46139.0</v>
      </c>
      <c r="K1894" s="8" t="s">
        <v>962</v>
      </c>
      <c r="L1894" s="7">
        <v>4.0</v>
      </c>
      <c r="M1894" s="7" t="s">
        <v>33</v>
      </c>
      <c r="N1894" s="13" t="s">
        <v>5999</v>
      </c>
      <c r="O1894" s="15" t="s">
        <v>6000</v>
      </c>
    </row>
    <row r="1895">
      <c r="A1895" s="5">
        <v>2221.0</v>
      </c>
      <c r="B1895" s="6">
        <v>46167.485020416665</v>
      </c>
      <c r="C1895" s="7" t="s">
        <v>26</v>
      </c>
      <c r="D1895" s="8" t="s">
        <v>1096</v>
      </c>
      <c r="E1895" s="8" t="s">
        <v>1097</v>
      </c>
      <c r="F1895" s="7" t="s">
        <v>1098</v>
      </c>
      <c r="G1895" s="9" t="s">
        <v>19</v>
      </c>
      <c r="H1895" s="7" t="s">
        <v>5653</v>
      </c>
      <c r="I1895" s="7" t="s">
        <v>5654</v>
      </c>
      <c r="J1895" s="10">
        <v>46078.0</v>
      </c>
      <c r="K1895" s="8" t="s">
        <v>2179</v>
      </c>
      <c r="L1895" s="7">
        <v>8.0</v>
      </c>
      <c r="M1895" s="7" t="s">
        <v>87</v>
      </c>
      <c r="N1895" s="13" t="s">
        <v>6001</v>
      </c>
      <c r="O1895" s="15" t="s">
        <v>6002</v>
      </c>
    </row>
    <row r="1896">
      <c r="A1896" s="5">
        <v>2222.0</v>
      </c>
      <c r="B1896" s="6">
        <v>46167.52068822917</v>
      </c>
      <c r="C1896" s="7" t="s">
        <v>26</v>
      </c>
      <c r="D1896" s="8" t="s">
        <v>2247</v>
      </c>
      <c r="E1896" s="8" t="s">
        <v>893</v>
      </c>
      <c r="F1896" s="7" t="s">
        <v>2248</v>
      </c>
      <c r="G1896" s="9" t="s">
        <v>144</v>
      </c>
      <c r="H1896" s="7" t="s">
        <v>730</v>
      </c>
      <c r="I1896" s="7" t="s">
        <v>6003</v>
      </c>
      <c r="J1896" s="10">
        <v>46137.0</v>
      </c>
      <c r="K1896" s="8" t="s">
        <v>957</v>
      </c>
      <c r="L1896" s="7">
        <v>4.0</v>
      </c>
      <c r="M1896" s="7" t="s">
        <v>5983</v>
      </c>
      <c r="N1896" s="13" t="s">
        <v>6004</v>
      </c>
      <c r="O1896" s="15" t="s">
        <v>6005</v>
      </c>
    </row>
    <row r="1897">
      <c r="A1897" s="5">
        <v>2223.0</v>
      </c>
      <c r="B1897" s="6">
        <v>46167.52539418981</v>
      </c>
      <c r="C1897" s="7" t="s">
        <v>26</v>
      </c>
      <c r="D1897" s="8" t="s">
        <v>2247</v>
      </c>
      <c r="E1897" s="8" t="s">
        <v>893</v>
      </c>
      <c r="F1897" s="7" t="s">
        <v>2248</v>
      </c>
      <c r="G1897" s="9" t="s">
        <v>159</v>
      </c>
      <c r="H1897" s="7" t="s">
        <v>6006</v>
      </c>
      <c r="I1897" s="7" t="s">
        <v>6007</v>
      </c>
      <c r="J1897" s="10">
        <v>46123.0</v>
      </c>
      <c r="K1897" s="8" t="s">
        <v>3180</v>
      </c>
      <c r="L1897" s="7">
        <v>4.0</v>
      </c>
      <c r="M1897" s="7" t="s">
        <v>5983</v>
      </c>
      <c r="N1897" s="13" t="s">
        <v>6008</v>
      </c>
      <c r="O1897" s="15" t="s">
        <v>6009</v>
      </c>
    </row>
    <row r="1898">
      <c r="A1898" s="5">
        <v>2224.0</v>
      </c>
      <c r="B1898" s="6">
        <v>46167.56608916666</v>
      </c>
      <c r="C1898" s="7" t="s">
        <v>26</v>
      </c>
      <c r="D1898" s="8" t="s">
        <v>379</v>
      </c>
      <c r="E1898" s="8" t="s">
        <v>1827</v>
      </c>
      <c r="F1898" s="7" t="s">
        <v>381</v>
      </c>
      <c r="G1898" s="9" t="s">
        <v>181</v>
      </c>
      <c r="H1898" s="7" t="s">
        <v>6010</v>
      </c>
      <c r="I1898" s="7" t="s">
        <v>6011</v>
      </c>
      <c r="J1898" s="10">
        <v>46147.0</v>
      </c>
      <c r="K1898" s="8" t="s">
        <v>6012</v>
      </c>
      <c r="L1898" s="7">
        <v>3.0</v>
      </c>
      <c r="M1898" s="7" t="s">
        <v>1325</v>
      </c>
      <c r="N1898" s="13" t="s">
        <v>6013</v>
      </c>
      <c r="O1898" s="15" t="s">
        <v>6014</v>
      </c>
    </row>
    <row r="1899">
      <c r="A1899" s="5">
        <v>2225.0</v>
      </c>
      <c r="B1899" s="6">
        <v>46167.56707269676</v>
      </c>
      <c r="C1899" s="7" t="s">
        <v>26</v>
      </c>
      <c r="D1899" s="8" t="s">
        <v>27</v>
      </c>
      <c r="E1899" s="8" t="s">
        <v>28</v>
      </c>
      <c r="F1899" s="7" t="s">
        <v>29</v>
      </c>
      <c r="G1899" s="9" t="s">
        <v>181</v>
      </c>
      <c r="H1899" s="7" t="s">
        <v>6010</v>
      </c>
      <c r="I1899" s="7" t="s">
        <v>6011</v>
      </c>
      <c r="J1899" s="10">
        <v>46147.0</v>
      </c>
      <c r="K1899" s="8" t="s">
        <v>6012</v>
      </c>
      <c r="L1899" s="7">
        <v>3.0</v>
      </c>
      <c r="M1899" s="7" t="s">
        <v>1325</v>
      </c>
      <c r="N1899" s="13" t="s">
        <v>6015</v>
      </c>
      <c r="O1899" s="15" t="s">
        <v>6016</v>
      </c>
    </row>
    <row r="1900">
      <c r="A1900" s="5">
        <v>2226.0</v>
      </c>
      <c r="B1900" s="6">
        <v>46167.56765912037</v>
      </c>
      <c r="C1900" s="7" t="s">
        <v>26</v>
      </c>
      <c r="D1900" s="8" t="s">
        <v>5865</v>
      </c>
      <c r="E1900" s="8" t="s">
        <v>547</v>
      </c>
      <c r="F1900" s="7" t="s">
        <v>1477</v>
      </c>
      <c r="G1900" s="9" t="s">
        <v>181</v>
      </c>
      <c r="H1900" s="7" t="s">
        <v>6017</v>
      </c>
      <c r="I1900" s="7" t="s">
        <v>6018</v>
      </c>
      <c r="J1900" s="10">
        <v>46147.0</v>
      </c>
      <c r="K1900" s="8" t="s">
        <v>6012</v>
      </c>
      <c r="L1900" s="7">
        <v>3.0</v>
      </c>
      <c r="M1900" s="7" t="s">
        <v>1325</v>
      </c>
      <c r="N1900" s="13" t="s">
        <v>6019</v>
      </c>
      <c r="O1900" s="15" t="s">
        <v>6020</v>
      </c>
    </row>
    <row r="1901">
      <c r="A1901" s="5">
        <v>2227.0</v>
      </c>
      <c r="B1901" s="6">
        <v>46167.56852134259</v>
      </c>
      <c r="C1901" s="7" t="s">
        <v>26</v>
      </c>
      <c r="D1901" s="8" t="s">
        <v>117</v>
      </c>
      <c r="E1901" s="8" t="s">
        <v>118</v>
      </c>
      <c r="F1901" s="7" t="s">
        <v>6021</v>
      </c>
      <c r="G1901" s="9" t="s">
        <v>181</v>
      </c>
      <c r="H1901" s="7" t="s">
        <v>6022</v>
      </c>
      <c r="I1901" s="7" t="s">
        <v>6023</v>
      </c>
      <c r="J1901" s="10">
        <v>46147.0</v>
      </c>
      <c r="K1901" s="8" t="s">
        <v>3287</v>
      </c>
      <c r="L1901" s="7">
        <v>3.0</v>
      </c>
      <c r="M1901" s="7" t="s">
        <v>1325</v>
      </c>
      <c r="N1901" s="13" t="s">
        <v>6024</v>
      </c>
      <c r="O1901" s="15" t="s">
        <v>6025</v>
      </c>
    </row>
    <row r="1902">
      <c r="A1902" s="5">
        <v>2228.0</v>
      </c>
      <c r="B1902" s="6">
        <v>46167.56945105324</v>
      </c>
      <c r="C1902" s="7" t="s">
        <v>26</v>
      </c>
      <c r="D1902" s="8" t="s">
        <v>1041</v>
      </c>
      <c r="E1902" s="8" t="s">
        <v>1042</v>
      </c>
      <c r="F1902" s="7" t="s">
        <v>1043</v>
      </c>
      <c r="G1902" s="9" t="s">
        <v>181</v>
      </c>
      <c r="H1902" s="7" t="s">
        <v>6022</v>
      </c>
      <c r="I1902" s="7" t="s">
        <v>6026</v>
      </c>
      <c r="J1902" s="10">
        <v>46147.0</v>
      </c>
      <c r="K1902" s="8" t="s">
        <v>3287</v>
      </c>
      <c r="L1902" s="7">
        <v>3.0</v>
      </c>
      <c r="M1902" s="7" t="s">
        <v>1325</v>
      </c>
      <c r="N1902" s="13" t="s">
        <v>6027</v>
      </c>
      <c r="O1902" s="15" t="s">
        <v>6028</v>
      </c>
    </row>
    <row r="1903">
      <c r="A1903" s="5">
        <v>2229.0</v>
      </c>
      <c r="B1903" s="6">
        <v>46167.573539351855</v>
      </c>
      <c r="C1903" s="7" t="s">
        <v>26</v>
      </c>
      <c r="D1903" s="8" t="s">
        <v>2247</v>
      </c>
      <c r="E1903" s="8" t="s">
        <v>893</v>
      </c>
      <c r="F1903" s="7" t="s">
        <v>2248</v>
      </c>
      <c r="G1903" s="9" t="s">
        <v>181</v>
      </c>
      <c r="H1903" s="7" t="s">
        <v>6022</v>
      </c>
      <c r="I1903" s="7" t="s">
        <v>6026</v>
      </c>
      <c r="J1903" s="10">
        <v>46147.0</v>
      </c>
      <c r="K1903" s="8" t="s">
        <v>3287</v>
      </c>
      <c r="L1903" s="7">
        <v>3.0</v>
      </c>
      <c r="M1903" s="7" t="s">
        <v>1325</v>
      </c>
      <c r="N1903" s="13" t="s">
        <v>6029</v>
      </c>
      <c r="O1903" s="15" t="s">
        <v>6030</v>
      </c>
    </row>
    <row r="1904">
      <c r="A1904" s="5">
        <v>2230.0</v>
      </c>
      <c r="B1904" s="6">
        <v>46167.57585059028</v>
      </c>
      <c r="C1904" s="7" t="s">
        <v>26</v>
      </c>
      <c r="D1904" s="8" t="s">
        <v>1288</v>
      </c>
      <c r="E1904" s="8" t="s">
        <v>762</v>
      </c>
      <c r="F1904" s="7" t="s">
        <v>1289</v>
      </c>
      <c r="G1904" s="9" t="s">
        <v>19</v>
      </c>
      <c r="H1904" s="7" t="s">
        <v>5334</v>
      </c>
      <c r="I1904" s="7" t="s">
        <v>5657</v>
      </c>
      <c r="J1904" s="10">
        <v>46032.0</v>
      </c>
      <c r="K1904" s="8" t="s">
        <v>2328</v>
      </c>
      <c r="L1904" s="7">
        <v>8.0</v>
      </c>
      <c r="M1904" s="7" t="s">
        <v>87</v>
      </c>
      <c r="N1904" s="13" t="s">
        <v>6031</v>
      </c>
      <c r="O1904" s="15" t="s">
        <v>6032</v>
      </c>
    </row>
    <row r="1905">
      <c r="A1905" s="5">
        <v>2231.0</v>
      </c>
      <c r="B1905" s="6">
        <v>46167.57639686343</v>
      </c>
      <c r="C1905" s="7" t="s">
        <v>26</v>
      </c>
      <c r="D1905" s="8" t="s">
        <v>379</v>
      </c>
      <c r="E1905" s="8" t="s">
        <v>1827</v>
      </c>
      <c r="F1905" s="7" t="s">
        <v>381</v>
      </c>
      <c r="G1905" s="9" t="s">
        <v>181</v>
      </c>
      <c r="H1905" s="7" t="s">
        <v>6033</v>
      </c>
      <c r="I1905" s="7" t="s">
        <v>231</v>
      </c>
      <c r="J1905" s="10">
        <v>46167.0</v>
      </c>
      <c r="K1905" s="8" t="s">
        <v>1538</v>
      </c>
      <c r="L1905" s="7">
        <v>4.0</v>
      </c>
      <c r="M1905" s="7" t="s">
        <v>33</v>
      </c>
      <c r="N1905" s="13" t="s">
        <v>6034</v>
      </c>
      <c r="O1905" s="15" t="s">
        <v>6035</v>
      </c>
    </row>
    <row r="1906">
      <c r="A1906" s="5">
        <v>2232.0</v>
      </c>
      <c r="B1906" s="6">
        <v>46167.57687609954</v>
      </c>
      <c r="C1906" s="7" t="s">
        <v>26</v>
      </c>
      <c r="D1906" s="8" t="s">
        <v>2140</v>
      </c>
      <c r="E1906" s="8" t="s">
        <v>440</v>
      </c>
      <c r="F1906" s="7" t="s">
        <v>2141</v>
      </c>
      <c r="G1906" s="9" t="s">
        <v>181</v>
      </c>
      <c r="H1906" s="7" t="s">
        <v>5432</v>
      </c>
      <c r="I1906" s="7" t="s">
        <v>231</v>
      </c>
      <c r="J1906" s="10">
        <v>46133.0</v>
      </c>
      <c r="K1906" s="8" t="s">
        <v>962</v>
      </c>
      <c r="L1906" s="7">
        <v>4.0</v>
      </c>
      <c r="M1906" s="7" t="s">
        <v>33</v>
      </c>
      <c r="N1906" s="13" t="s">
        <v>6036</v>
      </c>
      <c r="O1906" s="15" t="s">
        <v>6037</v>
      </c>
    </row>
    <row r="1907">
      <c r="A1907" s="5">
        <v>2233.0</v>
      </c>
      <c r="B1907" s="6">
        <v>46167.57722186342</v>
      </c>
      <c r="C1907" s="7" t="s">
        <v>26</v>
      </c>
      <c r="D1907" s="8" t="s">
        <v>1288</v>
      </c>
      <c r="E1907" s="8" t="s">
        <v>762</v>
      </c>
      <c r="F1907" s="7" t="s">
        <v>1289</v>
      </c>
      <c r="G1907" s="9" t="s">
        <v>181</v>
      </c>
      <c r="H1907" s="7" t="s">
        <v>6038</v>
      </c>
      <c r="I1907" s="7" t="s">
        <v>231</v>
      </c>
      <c r="J1907" s="10">
        <v>46167.0</v>
      </c>
      <c r="K1907" s="8" t="s">
        <v>1538</v>
      </c>
      <c r="L1907" s="7">
        <v>4.0</v>
      </c>
      <c r="M1907" s="7" t="s">
        <v>33</v>
      </c>
      <c r="N1907" s="13" t="s">
        <v>6039</v>
      </c>
      <c r="O1907" s="15" t="s">
        <v>6040</v>
      </c>
    </row>
    <row r="1908">
      <c r="A1908" s="5">
        <v>2234.0</v>
      </c>
      <c r="B1908" s="6">
        <v>46167.5778309375</v>
      </c>
      <c r="C1908" s="7" t="s">
        <v>26</v>
      </c>
      <c r="D1908" s="8" t="s">
        <v>2140</v>
      </c>
      <c r="E1908" s="8" t="s">
        <v>440</v>
      </c>
      <c r="F1908" s="7" t="s">
        <v>2141</v>
      </c>
      <c r="G1908" s="9" t="s">
        <v>181</v>
      </c>
      <c r="H1908" s="7" t="s">
        <v>5432</v>
      </c>
      <c r="I1908" s="7" t="s">
        <v>231</v>
      </c>
      <c r="J1908" s="10">
        <v>46134.0</v>
      </c>
      <c r="K1908" s="8" t="s">
        <v>962</v>
      </c>
      <c r="L1908" s="7">
        <v>4.0</v>
      </c>
      <c r="M1908" s="7" t="s">
        <v>33</v>
      </c>
      <c r="N1908" s="13" t="s">
        <v>6041</v>
      </c>
      <c r="O1908" s="15" t="s">
        <v>6042</v>
      </c>
    </row>
    <row r="1909">
      <c r="A1909" s="5">
        <v>2235.0</v>
      </c>
      <c r="B1909" s="6">
        <v>46167.57857091435</v>
      </c>
      <c r="C1909" s="7" t="s">
        <v>26</v>
      </c>
      <c r="D1909" s="8" t="s">
        <v>1288</v>
      </c>
      <c r="E1909" s="8" t="s">
        <v>762</v>
      </c>
      <c r="F1909" s="7" t="s">
        <v>1289</v>
      </c>
      <c r="G1909" s="9" t="s">
        <v>181</v>
      </c>
      <c r="H1909" s="7" t="s">
        <v>6043</v>
      </c>
      <c r="I1909" s="7" t="s">
        <v>6026</v>
      </c>
      <c r="J1909" s="10">
        <v>46147.0</v>
      </c>
      <c r="K1909" s="8" t="s">
        <v>3287</v>
      </c>
      <c r="L1909" s="7">
        <v>3.0</v>
      </c>
      <c r="M1909" s="7" t="s">
        <v>1325</v>
      </c>
      <c r="N1909" s="13" t="s">
        <v>6044</v>
      </c>
      <c r="O1909" s="15" t="s">
        <v>6045</v>
      </c>
    </row>
    <row r="1910">
      <c r="A1910" s="5">
        <v>2236.0</v>
      </c>
      <c r="B1910" s="6">
        <v>46167.57926138889</v>
      </c>
      <c r="C1910" s="7" t="s">
        <v>26</v>
      </c>
      <c r="D1910" s="8" t="s">
        <v>2140</v>
      </c>
      <c r="E1910" s="8" t="s">
        <v>440</v>
      </c>
      <c r="F1910" s="7" t="s">
        <v>2141</v>
      </c>
      <c r="G1910" s="9" t="s">
        <v>181</v>
      </c>
      <c r="H1910" s="7" t="s">
        <v>5432</v>
      </c>
      <c r="I1910" s="7" t="s">
        <v>231</v>
      </c>
      <c r="J1910" s="10">
        <v>46135.0</v>
      </c>
      <c r="K1910" s="8" t="s">
        <v>962</v>
      </c>
      <c r="L1910" s="7">
        <v>4.0</v>
      </c>
      <c r="M1910" s="7" t="s">
        <v>33</v>
      </c>
      <c r="N1910" s="13" t="s">
        <v>6046</v>
      </c>
      <c r="O1910" s="15" t="s">
        <v>6047</v>
      </c>
    </row>
    <row r="1911">
      <c r="A1911" s="5">
        <v>2237.0</v>
      </c>
      <c r="B1911" s="6">
        <v>46167.58047814815</v>
      </c>
      <c r="C1911" s="7" t="s">
        <v>26</v>
      </c>
      <c r="D1911" s="8" t="s">
        <v>2140</v>
      </c>
      <c r="E1911" s="8" t="s">
        <v>440</v>
      </c>
      <c r="F1911" s="7" t="s">
        <v>2141</v>
      </c>
      <c r="G1911" s="9" t="s">
        <v>181</v>
      </c>
      <c r="H1911" s="7" t="s">
        <v>5432</v>
      </c>
      <c r="I1911" s="7" t="s">
        <v>231</v>
      </c>
      <c r="J1911" s="10">
        <v>46138.0</v>
      </c>
      <c r="K1911" s="8" t="s">
        <v>3192</v>
      </c>
      <c r="L1911" s="7">
        <v>6.0</v>
      </c>
      <c r="M1911" s="7" t="s">
        <v>33</v>
      </c>
      <c r="N1911" s="13" t="s">
        <v>6048</v>
      </c>
      <c r="O1911" s="15" t="s">
        <v>6049</v>
      </c>
    </row>
    <row r="1912">
      <c r="A1912" s="5">
        <v>2238.0</v>
      </c>
      <c r="B1912" s="6">
        <v>46167.58084390046</v>
      </c>
      <c r="C1912" s="7" t="s">
        <v>26</v>
      </c>
      <c r="D1912" s="8" t="s">
        <v>109</v>
      </c>
      <c r="E1912" s="8" t="s">
        <v>881</v>
      </c>
      <c r="F1912" s="7" t="s">
        <v>111</v>
      </c>
      <c r="G1912" s="9" t="s">
        <v>181</v>
      </c>
      <c r="H1912" s="7" t="s">
        <v>6022</v>
      </c>
      <c r="I1912" s="7" t="s">
        <v>6026</v>
      </c>
      <c r="J1912" s="10">
        <v>46147.0</v>
      </c>
      <c r="K1912" s="8" t="s">
        <v>3287</v>
      </c>
      <c r="L1912" s="7">
        <v>3.0</v>
      </c>
      <c r="M1912" s="7" t="s">
        <v>1325</v>
      </c>
      <c r="N1912" s="13" t="s">
        <v>6050</v>
      </c>
      <c r="O1912" s="15" t="s">
        <v>6051</v>
      </c>
    </row>
    <row r="1913">
      <c r="A1913" s="5">
        <v>2239.0</v>
      </c>
      <c r="B1913" s="6">
        <v>46167.58153722222</v>
      </c>
      <c r="C1913" s="7" t="s">
        <v>26</v>
      </c>
      <c r="D1913" s="8" t="s">
        <v>2140</v>
      </c>
      <c r="E1913" s="8" t="s">
        <v>440</v>
      </c>
      <c r="F1913" s="7" t="s">
        <v>2141</v>
      </c>
      <c r="G1913" s="9" t="s">
        <v>181</v>
      </c>
      <c r="H1913" s="7" t="s">
        <v>5432</v>
      </c>
      <c r="I1913" s="7" t="s">
        <v>5437</v>
      </c>
      <c r="J1913" s="10">
        <v>46139.0</v>
      </c>
      <c r="K1913" s="8" t="s">
        <v>962</v>
      </c>
      <c r="L1913" s="7">
        <v>4.0</v>
      </c>
      <c r="M1913" s="7" t="s">
        <v>33</v>
      </c>
      <c r="N1913" s="13" t="s">
        <v>6052</v>
      </c>
      <c r="O1913" s="15" t="s">
        <v>6053</v>
      </c>
    </row>
    <row r="1914">
      <c r="A1914" s="5">
        <v>2240.0</v>
      </c>
      <c r="B1914" s="6">
        <v>46167.58597730324</v>
      </c>
      <c r="C1914" s="7" t="s">
        <v>760</v>
      </c>
      <c r="D1914" s="8" t="s">
        <v>2799</v>
      </c>
      <c r="E1914" s="8" t="s">
        <v>171</v>
      </c>
      <c r="F1914" s="7" t="s">
        <v>2800</v>
      </c>
      <c r="G1914" s="9" t="s">
        <v>19</v>
      </c>
      <c r="H1914" s="7" t="s">
        <v>6054</v>
      </c>
      <c r="I1914" s="7" t="s">
        <v>6055</v>
      </c>
      <c r="J1914" s="10">
        <v>46138.0</v>
      </c>
      <c r="K1914" s="8" t="s">
        <v>49</v>
      </c>
      <c r="L1914" s="7">
        <v>8.0</v>
      </c>
      <c r="M1914" s="7" t="s">
        <v>87</v>
      </c>
      <c r="N1914" s="13" t="s">
        <v>6056</v>
      </c>
      <c r="O1914" s="15" t="s">
        <v>6057</v>
      </c>
    </row>
    <row r="1915">
      <c r="A1915" s="5">
        <v>2241.0</v>
      </c>
      <c r="B1915" s="6">
        <v>46167.58666076389</v>
      </c>
      <c r="C1915" s="7" t="s">
        <v>760</v>
      </c>
      <c r="D1915" s="8" t="s">
        <v>1443</v>
      </c>
      <c r="E1915" s="8" t="s">
        <v>1116</v>
      </c>
      <c r="F1915" s="7" t="s">
        <v>1444</v>
      </c>
      <c r="G1915" s="9" t="s">
        <v>181</v>
      </c>
      <c r="H1915" s="7" t="s">
        <v>6022</v>
      </c>
      <c r="I1915" s="7" t="s">
        <v>6023</v>
      </c>
      <c r="J1915" s="10">
        <v>46147.0</v>
      </c>
      <c r="K1915" s="8" t="s">
        <v>3287</v>
      </c>
      <c r="L1915" s="7">
        <v>3.0</v>
      </c>
      <c r="M1915" s="7" t="s">
        <v>1325</v>
      </c>
      <c r="N1915" s="13" t="s">
        <v>6058</v>
      </c>
      <c r="O1915" s="15" t="s">
        <v>6059</v>
      </c>
    </row>
    <row r="1916">
      <c r="A1916" s="5">
        <v>2242.0</v>
      </c>
      <c r="B1916" s="6">
        <v>46167.58714265046</v>
      </c>
      <c r="C1916" s="7" t="s">
        <v>760</v>
      </c>
      <c r="D1916" s="8" t="s">
        <v>2646</v>
      </c>
      <c r="E1916" s="8" t="s">
        <v>919</v>
      </c>
      <c r="F1916" s="7" t="s">
        <v>2647</v>
      </c>
      <c r="G1916" s="9" t="s">
        <v>181</v>
      </c>
      <c r="H1916" s="7" t="s">
        <v>6043</v>
      </c>
      <c r="I1916" s="7" t="s">
        <v>314</v>
      </c>
      <c r="J1916" s="10">
        <v>46147.0</v>
      </c>
      <c r="K1916" s="8" t="s">
        <v>3287</v>
      </c>
      <c r="L1916" s="7">
        <v>3.0</v>
      </c>
      <c r="M1916" s="7" t="s">
        <v>1325</v>
      </c>
      <c r="N1916" s="13" t="s">
        <v>6060</v>
      </c>
      <c r="O1916" s="15" t="s">
        <v>6061</v>
      </c>
    </row>
    <row r="1917">
      <c r="A1917" s="5">
        <v>2243.0</v>
      </c>
      <c r="B1917" s="6">
        <v>46167.587853460645</v>
      </c>
      <c r="C1917" s="7" t="s">
        <v>760</v>
      </c>
      <c r="D1917" s="8" t="s">
        <v>2692</v>
      </c>
      <c r="E1917" s="8" t="s">
        <v>1248</v>
      </c>
      <c r="F1917" s="7" t="s">
        <v>2693</v>
      </c>
      <c r="G1917" s="9" t="s">
        <v>181</v>
      </c>
      <c r="H1917" s="7" t="s">
        <v>6022</v>
      </c>
      <c r="I1917" s="7" t="s">
        <v>6026</v>
      </c>
      <c r="J1917" s="10">
        <v>46147.0</v>
      </c>
      <c r="K1917" s="8" t="s">
        <v>3287</v>
      </c>
      <c r="L1917" s="7">
        <v>3.0</v>
      </c>
      <c r="M1917" s="7" t="s">
        <v>1325</v>
      </c>
      <c r="N1917" s="13" t="s">
        <v>6062</v>
      </c>
      <c r="O1917" s="15" t="s">
        <v>6063</v>
      </c>
    </row>
    <row r="1918">
      <c r="A1918" s="5">
        <v>2244.0</v>
      </c>
      <c r="B1918" s="6">
        <v>46167.58798166667</v>
      </c>
      <c r="C1918" s="7" t="s">
        <v>760</v>
      </c>
      <c r="D1918" s="8" t="s">
        <v>791</v>
      </c>
      <c r="E1918" s="8" t="s">
        <v>164</v>
      </c>
      <c r="F1918" s="7" t="s">
        <v>6064</v>
      </c>
      <c r="G1918" s="9" t="s">
        <v>181</v>
      </c>
      <c r="H1918" s="7" t="s">
        <v>6022</v>
      </c>
      <c r="I1918" s="7" t="s">
        <v>231</v>
      </c>
      <c r="J1918" s="10">
        <v>46147.0</v>
      </c>
      <c r="K1918" s="8" t="s">
        <v>3287</v>
      </c>
      <c r="L1918" s="7">
        <v>3.0</v>
      </c>
      <c r="M1918" s="7" t="s">
        <v>1325</v>
      </c>
      <c r="N1918" s="13" t="s">
        <v>6065</v>
      </c>
      <c r="O1918" s="15" t="s">
        <v>6066</v>
      </c>
    </row>
    <row r="1919">
      <c r="A1919" s="5">
        <v>2245.0</v>
      </c>
      <c r="B1919" s="6">
        <v>46167.58896555555</v>
      </c>
      <c r="C1919" s="7" t="s">
        <v>760</v>
      </c>
      <c r="D1919" s="8" t="s">
        <v>3498</v>
      </c>
      <c r="E1919" s="8" t="s">
        <v>679</v>
      </c>
      <c r="F1919" s="7" t="s">
        <v>3499</v>
      </c>
      <c r="G1919" s="9" t="s">
        <v>181</v>
      </c>
      <c r="H1919" s="7" t="s">
        <v>6022</v>
      </c>
      <c r="I1919" s="7" t="s">
        <v>6026</v>
      </c>
      <c r="J1919" s="10">
        <v>46147.0</v>
      </c>
      <c r="K1919" s="8" t="s">
        <v>3287</v>
      </c>
      <c r="L1919" s="7">
        <v>3.0</v>
      </c>
      <c r="M1919" s="7" t="s">
        <v>1325</v>
      </c>
      <c r="N1919" s="13" t="s">
        <v>6067</v>
      </c>
      <c r="O1919" s="15" t="s">
        <v>6068</v>
      </c>
    </row>
    <row r="1920">
      <c r="A1920" s="5">
        <v>2246.0</v>
      </c>
      <c r="B1920" s="6">
        <v>46167.58902969907</v>
      </c>
      <c r="C1920" s="7" t="s">
        <v>760</v>
      </c>
      <c r="D1920" s="8" t="s">
        <v>902</v>
      </c>
      <c r="E1920" s="8" t="s">
        <v>28</v>
      </c>
      <c r="F1920" s="7" t="s">
        <v>6069</v>
      </c>
      <c r="G1920" s="9" t="s">
        <v>181</v>
      </c>
      <c r="H1920" s="7" t="s">
        <v>6022</v>
      </c>
      <c r="I1920" s="7" t="s">
        <v>6026</v>
      </c>
      <c r="J1920" s="10">
        <v>46147.0</v>
      </c>
      <c r="K1920" s="8" t="s">
        <v>6070</v>
      </c>
      <c r="L1920" s="7">
        <v>3.0</v>
      </c>
      <c r="M1920" s="7" t="s">
        <v>1325</v>
      </c>
      <c r="N1920" s="13" t="s">
        <v>6071</v>
      </c>
      <c r="O1920" s="15" t="s">
        <v>6072</v>
      </c>
    </row>
    <row r="1921">
      <c r="A1921" s="5">
        <v>2247.0</v>
      </c>
      <c r="B1921" s="6">
        <v>46167.58944127314</v>
      </c>
      <c r="C1921" s="7" t="s">
        <v>760</v>
      </c>
      <c r="D1921" s="8" t="s">
        <v>1384</v>
      </c>
      <c r="E1921" s="8" t="s">
        <v>1385</v>
      </c>
      <c r="F1921" s="7" t="s">
        <v>1386</v>
      </c>
      <c r="G1921" s="9" t="s">
        <v>19</v>
      </c>
      <c r="H1921" s="7" t="s">
        <v>6073</v>
      </c>
      <c r="I1921" s="7" t="s">
        <v>6055</v>
      </c>
      <c r="J1921" s="10">
        <v>46138.0</v>
      </c>
      <c r="K1921" s="8" t="s">
        <v>49</v>
      </c>
      <c r="L1921" s="7">
        <v>8.0</v>
      </c>
      <c r="M1921" s="7" t="s">
        <v>87</v>
      </c>
      <c r="N1921" s="13" t="s">
        <v>6074</v>
      </c>
      <c r="O1921" s="15" t="s">
        <v>6075</v>
      </c>
    </row>
    <row r="1922">
      <c r="A1922" s="5">
        <v>2248.0</v>
      </c>
      <c r="B1922" s="6">
        <v>46167.59020601852</v>
      </c>
      <c r="C1922" s="7" t="s">
        <v>760</v>
      </c>
      <c r="D1922" s="8" t="s">
        <v>2692</v>
      </c>
      <c r="E1922" s="8" t="s">
        <v>1248</v>
      </c>
      <c r="F1922" s="7" t="s">
        <v>2693</v>
      </c>
      <c r="G1922" s="9" t="s">
        <v>19</v>
      </c>
      <c r="H1922" s="7" t="s">
        <v>5410</v>
      </c>
      <c r="I1922" s="7" t="s">
        <v>5411</v>
      </c>
      <c r="J1922" s="10">
        <v>46136.0</v>
      </c>
      <c r="K1922" s="8" t="s">
        <v>5412</v>
      </c>
      <c r="L1922" s="7">
        <v>8.0</v>
      </c>
      <c r="M1922" s="7" t="s">
        <v>87</v>
      </c>
      <c r="N1922" s="13" t="s">
        <v>6076</v>
      </c>
      <c r="O1922" s="15" t="s">
        <v>6077</v>
      </c>
    </row>
    <row r="1923">
      <c r="A1923" s="5">
        <v>2249.0</v>
      </c>
      <c r="B1923" s="6">
        <v>46167.59029659722</v>
      </c>
      <c r="C1923" s="7" t="s">
        <v>760</v>
      </c>
      <c r="D1923" s="8" t="s">
        <v>1424</v>
      </c>
      <c r="E1923" s="8" t="s">
        <v>110</v>
      </c>
      <c r="F1923" s="7" t="s">
        <v>1425</v>
      </c>
      <c r="G1923" s="9" t="s">
        <v>181</v>
      </c>
      <c r="H1923" s="7" t="s">
        <v>6022</v>
      </c>
      <c r="I1923" s="7" t="s">
        <v>6078</v>
      </c>
      <c r="J1923" s="10">
        <v>46147.0</v>
      </c>
      <c r="K1923" s="8" t="s">
        <v>6079</v>
      </c>
      <c r="L1923" s="7">
        <v>3.0</v>
      </c>
      <c r="M1923" s="7" t="s">
        <v>6080</v>
      </c>
      <c r="N1923" s="13" t="s">
        <v>6081</v>
      </c>
      <c r="O1923" s="15" t="s">
        <v>6082</v>
      </c>
    </row>
    <row r="1924">
      <c r="A1924" s="5">
        <v>2250.0</v>
      </c>
      <c r="B1924" s="6">
        <v>46167.59157827546</v>
      </c>
      <c r="C1924" s="7" t="s">
        <v>760</v>
      </c>
      <c r="D1924" s="8" t="s">
        <v>785</v>
      </c>
      <c r="E1924" s="8" t="s">
        <v>380</v>
      </c>
      <c r="F1924" s="7" t="s">
        <v>786</v>
      </c>
      <c r="G1924" s="9" t="s">
        <v>181</v>
      </c>
      <c r="H1924" s="7" t="s">
        <v>6022</v>
      </c>
      <c r="I1924" s="7" t="s">
        <v>6026</v>
      </c>
      <c r="J1924" s="10">
        <v>46147.0</v>
      </c>
      <c r="K1924" s="8" t="s">
        <v>6083</v>
      </c>
      <c r="L1924" s="7">
        <v>3.0</v>
      </c>
      <c r="M1924" s="7" t="s">
        <v>1325</v>
      </c>
      <c r="N1924" s="13" t="s">
        <v>6084</v>
      </c>
      <c r="O1924" s="15" t="s">
        <v>6085</v>
      </c>
    </row>
    <row r="1925">
      <c r="A1925" s="5">
        <v>2251.0</v>
      </c>
      <c r="B1925" s="6">
        <v>46167.59175765046</v>
      </c>
      <c r="C1925" s="7" t="s">
        <v>760</v>
      </c>
      <c r="D1925" s="8" t="s">
        <v>2560</v>
      </c>
      <c r="E1925" s="8" t="s">
        <v>1023</v>
      </c>
      <c r="F1925" s="7" t="s">
        <v>2561</v>
      </c>
      <c r="G1925" s="9" t="s">
        <v>181</v>
      </c>
      <c r="H1925" s="7" t="s">
        <v>6022</v>
      </c>
      <c r="I1925" s="7" t="s">
        <v>6026</v>
      </c>
      <c r="J1925" s="10">
        <v>46147.0</v>
      </c>
      <c r="K1925" s="8" t="s">
        <v>3287</v>
      </c>
      <c r="L1925" s="7">
        <v>3.0</v>
      </c>
      <c r="M1925" s="7" t="s">
        <v>1325</v>
      </c>
      <c r="N1925" s="13" t="s">
        <v>6086</v>
      </c>
      <c r="O1925" s="15" t="s">
        <v>6087</v>
      </c>
    </row>
    <row r="1926">
      <c r="A1926" s="5">
        <v>2252.0</v>
      </c>
      <c r="B1926" s="6">
        <v>46167.591958564815</v>
      </c>
      <c r="C1926" s="7" t="s">
        <v>760</v>
      </c>
      <c r="D1926" s="8" t="s">
        <v>2692</v>
      </c>
      <c r="E1926" s="8" t="s">
        <v>1248</v>
      </c>
      <c r="F1926" s="7" t="s">
        <v>2693</v>
      </c>
      <c r="G1926" s="9" t="s">
        <v>19</v>
      </c>
      <c r="H1926" s="7" t="s">
        <v>5410</v>
      </c>
      <c r="I1926" s="7" t="s">
        <v>5411</v>
      </c>
      <c r="J1926" s="10">
        <v>46137.0</v>
      </c>
      <c r="K1926" s="8" t="s">
        <v>49</v>
      </c>
      <c r="L1926" s="7">
        <v>8.0</v>
      </c>
      <c r="M1926" s="7" t="s">
        <v>87</v>
      </c>
      <c r="N1926" s="13" t="s">
        <v>6088</v>
      </c>
      <c r="O1926" s="15" t="s">
        <v>6089</v>
      </c>
    </row>
    <row r="1927">
      <c r="A1927" s="5">
        <v>2253.0</v>
      </c>
      <c r="B1927" s="6">
        <v>46167.5933244676</v>
      </c>
      <c r="C1927" s="7" t="s">
        <v>760</v>
      </c>
      <c r="D1927" s="8" t="s">
        <v>2692</v>
      </c>
      <c r="E1927" s="8" t="s">
        <v>1248</v>
      </c>
      <c r="F1927" s="7" t="s">
        <v>2693</v>
      </c>
      <c r="G1927" s="9" t="s">
        <v>19</v>
      </c>
      <c r="H1927" s="7" t="s">
        <v>5410</v>
      </c>
      <c r="I1927" s="7" t="s">
        <v>5411</v>
      </c>
      <c r="J1927" s="10">
        <v>46138.0</v>
      </c>
      <c r="K1927" s="8" t="s">
        <v>49</v>
      </c>
      <c r="L1927" s="7">
        <v>8.0</v>
      </c>
      <c r="M1927" s="7" t="s">
        <v>87</v>
      </c>
      <c r="N1927" s="13" t="s">
        <v>6090</v>
      </c>
      <c r="O1927" s="15" t="s">
        <v>6091</v>
      </c>
    </row>
    <row r="1928">
      <c r="A1928" s="5">
        <v>2254.0</v>
      </c>
      <c r="B1928" s="6">
        <v>46167.59379853009</v>
      </c>
      <c r="C1928" s="7" t="s">
        <v>760</v>
      </c>
      <c r="D1928" s="8" t="s">
        <v>2745</v>
      </c>
      <c r="E1928" s="8" t="s">
        <v>214</v>
      </c>
      <c r="F1928" s="7" t="s">
        <v>2746</v>
      </c>
      <c r="G1928" s="9" t="s">
        <v>19</v>
      </c>
      <c r="H1928" s="7" t="s">
        <v>6092</v>
      </c>
      <c r="I1928" s="7" t="s">
        <v>6093</v>
      </c>
      <c r="J1928" s="10">
        <v>46134.0</v>
      </c>
      <c r="K1928" s="8" t="s">
        <v>49</v>
      </c>
      <c r="L1928" s="7">
        <v>8.0</v>
      </c>
      <c r="M1928" s="7" t="s">
        <v>1325</v>
      </c>
      <c r="N1928" s="13" t="s">
        <v>6094</v>
      </c>
      <c r="O1928" s="15" t="s">
        <v>6095</v>
      </c>
    </row>
    <row r="1929">
      <c r="A1929" s="5">
        <v>2256.0</v>
      </c>
      <c r="B1929" s="6">
        <v>46167.59827019676</v>
      </c>
      <c r="C1929" s="7" t="s">
        <v>760</v>
      </c>
      <c r="D1929" s="8" t="s">
        <v>761</v>
      </c>
      <c r="E1929" s="8" t="s">
        <v>762</v>
      </c>
      <c r="F1929" s="7" t="s">
        <v>763</v>
      </c>
      <c r="G1929" s="9" t="s">
        <v>181</v>
      </c>
      <c r="H1929" s="7" t="s">
        <v>6022</v>
      </c>
      <c r="I1929" s="7" t="s">
        <v>6026</v>
      </c>
      <c r="J1929" s="10">
        <v>46147.0</v>
      </c>
      <c r="K1929" s="8" t="s">
        <v>3287</v>
      </c>
      <c r="L1929" s="7">
        <v>3.0</v>
      </c>
      <c r="M1929" s="7" t="s">
        <v>1325</v>
      </c>
      <c r="N1929" s="13" t="s">
        <v>6096</v>
      </c>
      <c r="O1929" s="15" t="s">
        <v>6097</v>
      </c>
    </row>
    <row r="1930">
      <c r="A1930" s="5">
        <v>2257.0</v>
      </c>
      <c r="B1930" s="6">
        <v>46167.59856903936</v>
      </c>
      <c r="C1930" s="7" t="s">
        <v>760</v>
      </c>
      <c r="D1930" s="8" t="s">
        <v>2745</v>
      </c>
      <c r="E1930" s="8" t="s">
        <v>214</v>
      </c>
      <c r="F1930" s="7" t="s">
        <v>2746</v>
      </c>
      <c r="G1930" s="9" t="s">
        <v>181</v>
      </c>
      <c r="H1930" s="7" t="s">
        <v>6098</v>
      </c>
      <c r="I1930" s="7" t="s">
        <v>231</v>
      </c>
      <c r="J1930" s="10">
        <v>46133.0</v>
      </c>
      <c r="K1930" s="8" t="s">
        <v>962</v>
      </c>
      <c r="L1930" s="7">
        <v>4.0</v>
      </c>
      <c r="M1930" s="7" t="s">
        <v>33</v>
      </c>
      <c r="N1930" s="13" t="s">
        <v>6099</v>
      </c>
      <c r="O1930" s="15" t="s">
        <v>6100</v>
      </c>
    </row>
    <row r="1931">
      <c r="A1931" s="5">
        <v>2258.0</v>
      </c>
      <c r="B1931" s="6">
        <v>46167.59938673611</v>
      </c>
      <c r="C1931" s="7" t="s">
        <v>760</v>
      </c>
      <c r="D1931" s="8" t="s">
        <v>902</v>
      </c>
      <c r="E1931" s="8" t="s">
        <v>28</v>
      </c>
      <c r="F1931" s="7" t="s">
        <v>6069</v>
      </c>
      <c r="G1931" s="9" t="s">
        <v>19</v>
      </c>
      <c r="H1931" s="7" t="s">
        <v>6101</v>
      </c>
      <c r="I1931" s="7" t="s">
        <v>6102</v>
      </c>
      <c r="J1931" s="10">
        <v>46134.0</v>
      </c>
      <c r="K1931" s="8" t="s">
        <v>6103</v>
      </c>
      <c r="L1931" s="7">
        <v>8.0</v>
      </c>
      <c r="M1931" s="7" t="s">
        <v>1325</v>
      </c>
      <c r="N1931" s="13" t="s">
        <v>6104</v>
      </c>
      <c r="O1931" s="15" t="s">
        <v>6105</v>
      </c>
    </row>
    <row r="1932">
      <c r="A1932" s="5">
        <v>2259.0</v>
      </c>
      <c r="B1932" s="6">
        <v>46167.599742060185</v>
      </c>
      <c r="C1932" s="7" t="s">
        <v>760</v>
      </c>
      <c r="D1932" s="8" t="s">
        <v>2745</v>
      </c>
      <c r="E1932" s="8" t="s">
        <v>214</v>
      </c>
      <c r="F1932" s="7" t="s">
        <v>2746</v>
      </c>
      <c r="G1932" s="9" t="s">
        <v>181</v>
      </c>
      <c r="H1932" s="7" t="s">
        <v>6098</v>
      </c>
      <c r="I1932" s="7" t="s">
        <v>231</v>
      </c>
      <c r="J1932" s="10">
        <v>46134.0</v>
      </c>
      <c r="K1932" s="8" t="s">
        <v>962</v>
      </c>
      <c r="L1932" s="7">
        <v>4.0</v>
      </c>
      <c r="M1932" s="7" t="s">
        <v>33</v>
      </c>
      <c r="N1932" s="13" t="s">
        <v>6106</v>
      </c>
      <c r="O1932" s="15" t="s">
        <v>6107</v>
      </c>
    </row>
    <row r="1933">
      <c r="A1933" s="5">
        <v>2260.0</v>
      </c>
      <c r="B1933" s="6">
        <v>46167.60015053241</v>
      </c>
      <c r="C1933" s="7" t="s">
        <v>760</v>
      </c>
      <c r="D1933" s="8" t="s">
        <v>2799</v>
      </c>
      <c r="E1933" s="8" t="s">
        <v>171</v>
      </c>
      <c r="F1933" s="7" t="s">
        <v>2800</v>
      </c>
      <c r="G1933" s="9" t="s">
        <v>19</v>
      </c>
      <c r="H1933" s="7" t="s">
        <v>6108</v>
      </c>
      <c r="I1933" s="7" t="s">
        <v>4741</v>
      </c>
      <c r="J1933" s="10">
        <v>46121.0</v>
      </c>
      <c r="K1933" s="8" t="s">
        <v>2328</v>
      </c>
      <c r="L1933" s="7">
        <v>8.0</v>
      </c>
      <c r="M1933" s="7" t="s">
        <v>6109</v>
      </c>
      <c r="N1933" s="13" t="s">
        <v>6110</v>
      </c>
      <c r="O1933" s="15" t="s">
        <v>6111</v>
      </c>
    </row>
    <row r="1934">
      <c r="A1934" s="5">
        <v>2261.0</v>
      </c>
      <c r="B1934" s="6">
        <v>46167.60120611111</v>
      </c>
      <c r="C1934" s="7" t="s">
        <v>760</v>
      </c>
      <c r="D1934" s="8" t="s">
        <v>2745</v>
      </c>
      <c r="E1934" s="8" t="s">
        <v>214</v>
      </c>
      <c r="F1934" s="7" t="s">
        <v>2746</v>
      </c>
      <c r="G1934" s="9" t="s">
        <v>181</v>
      </c>
      <c r="H1934" s="7" t="s">
        <v>6098</v>
      </c>
      <c r="I1934" s="7" t="s">
        <v>231</v>
      </c>
      <c r="J1934" s="10">
        <v>46135.0</v>
      </c>
      <c r="K1934" s="8" t="s">
        <v>962</v>
      </c>
      <c r="L1934" s="7">
        <v>4.0</v>
      </c>
      <c r="M1934" s="7" t="s">
        <v>33</v>
      </c>
      <c r="N1934" s="13" t="s">
        <v>6112</v>
      </c>
      <c r="O1934" s="15" t="s">
        <v>6113</v>
      </c>
    </row>
    <row r="1935">
      <c r="A1935" s="5">
        <v>2262.0</v>
      </c>
      <c r="B1935" s="6">
        <v>46167.60230778935</v>
      </c>
      <c r="C1935" s="7" t="s">
        <v>760</v>
      </c>
      <c r="D1935" s="8" t="s">
        <v>902</v>
      </c>
      <c r="E1935" s="8" t="s">
        <v>28</v>
      </c>
      <c r="F1935" s="7" t="s">
        <v>6069</v>
      </c>
      <c r="G1935" s="9" t="s">
        <v>19</v>
      </c>
      <c r="H1935" s="7" t="s">
        <v>6114</v>
      </c>
      <c r="I1935" s="7" t="s">
        <v>4741</v>
      </c>
      <c r="J1935" s="10">
        <v>46121.0</v>
      </c>
      <c r="K1935" s="8" t="s">
        <v>6115</v>
      </c>
      <c r="L1935" s="7">
        <v>8.0</v>
      </c>
      <c r="M1935" s="7" t="s">
        <v>6109</v>
      </c>
      <c r="N1935" s="13" t="s">
        <v>6116</v>
      </c>
      <c r="O1935" s="15" t="s">
        <v>6117</v>
      </c>
    </row>
    <row r="1936">
      <c r="A1936" s="5">
        <v>2264.0</v>
      </c>
      <c r="B1936" s="6">
        <v>46167.60308696759</v>
      </c>
      <c r="C1936" s="7" t="s">
        <v>26</v>
      </c>
      <c r="D1936" s="8" t="s">
        <v>874</v>
      </c>
      <c r="E1936" s="8" t="s">
        <v>171</v>
      </c>
      <c r="F1936" s="7" t="s">
        <v>875</v>
      </c>
      <c r="G1936" s="9" t="s">
        <v>19</v>
      </c>
      <c r="H1936" s="7" t="s">
        <v>5653</v>
      </c>
      <c r="I1936" s="7" t="s">
        <v>5654</v>
      </c>
      <c r="J1936" s="10">
        <v>46078.0</v>
      </c>
      <c r="K1936" s="8" t="s">
        <v>2179</v>
      </c>
      <c r="L1936" s="7">
        <v>8.0</v>
      </c>
      <c r="M1936" s="7" t="s">
        <v>87</v>
      </c>
      <c r="N1936" s="13" t="s">
        <v>6118</v>
      </c>
      <c r="O1936" s="15" t="s">
        <v>6119</v>
      </c>
    </row>
    <row r="1937">
      <c r="A1937" s="5">
        <v>2265.0</v>
      </c>
      <c r="B1937" s="6">
        <v>46167.60517359954</v>
      </c>
      <c r="C1937" s="7" t="s">
        <v>760</v>
      </c>
      <c r="D1937" s="8" t="s">
        <v>2560</v>
      </c>
      <c r="E1937" s="8" t="s">
        <v>1023</v>
      </c>
      <c r="F1937" s="7" t="s">
        <v>2561</v>
      </c>
      <c r="G1937" s="9" t="s">
        <v>19</v>
      </c>
      <c r="H1937" s="7" t="s">
        <v>6120</v>
      </c>
      <c r="I1937" s="7" t="s">
        <v>6093</v>
      </c>
      <c r="J1937" s="10">
        <v>46134.0</v>
      </c>
      <c r="K1937" s="8" t="s">
        <v>49</v>
      </c>
      <c r="L1937" s="7">
        <v>8.0</v>
      </c>
      <c r="M1937" s="7" t="s">
        <v>1564</v>
      </c>
      <c r="N1937" s="13" t="s">
        <v>6121</v>
      </c>
      <c r="O1937" s="15" t="s">
        <v>6122</v>
      </c>
    </row>
    <row r="1938">
      <c r="A1938" s="5">
        <v>2266.0</v>
      </c>
      <c r="B1938" s="6">
        <v>46167.606293958335</v>
      </c>
      <c r="C1938" s="7" t="s">
        <v>26</v>
      </c>
      <c r="D1938" s="8" t="s">
        <v>874</v>
      </c>
      <c r="E1938" s="8" t="s">
        <v>171</v>
      </c>
      <c r="F1938" s="7" t="s">
        <v>875</v>
      </c>
      <c r="G1938" s="9" t="s">
        <v>181</v>
      </c>
      <c r="H1938" s="7" t="s">
        <v>6022</v>
      </c>
      <c r="I1938" s="7" t="s">
        <v>6026</v>
      </c>
      <c r="J1938" s="10">
        <v>46147.0</v>
      </c>
      <c r="K1938" s="8" t="s">
        <v>3287</v>
      </c>
      <c r="L1938" s="7">
        <v>3.0</v>
      </c>
      <c r="M1938" s="7" t="s">
        <v>1325</v>
      </c>
      <c r="N1938" s="13" t="s">
        <v>6123</v>
      </c>
      <c r="O1938" s="15" t="s">
        <v>6124</v>
      </c>
    </row>
    <row r="1939">
      <c r="A1939" s="5">
        <v>2268.0</v>
      </c>
      <c r="B1939" s="6">
        <v>46167.61035076389</v>
      </c>
      <c r="C1939" s="7" t="s">
        <v>760</v>
      </c>
      <c r="D1939" s="8" t="s">
        <v>791</v>
      </c>
      <c r="E1939" s="8" t="s">
        <v>164</v>
      </c>
      <c r="F1939" s="7" t="s">
        <v>792</v>
      </c>
      <c r="G1939" s="9" t="s">
        <v>19</v>
      </c>
      <c r="H1939" s="7" t="s">
        <v>6114</v>
      </c>
      <c r="I1939" s="7" t="s">
        <v>469</v>
      </c>
      <c r="J1939" s="10">
        <v>46121.0</v>
      </c>
      <c r="K1939" s="8" t="s">
        <v>2328</v>
      </c>
      <c r="L1939" s="7">
        <v>8.0</v>
      </c>
      <c r="M1939" s="7" t="s">
        <v>6109</v>
      </c>
      <c r="N1939" s="13" t="s">
        <v>6125</v>
      </c>
      <c r="O1939" s="15" t="s">
        <v>6126</v>
      </c>
    </row>
    <row r="1940">
      <c r="A1940" s="5">
        <v>2269.0</v>
      </c>
      <c r="B1940" s="6">
        <v>46167.613593692135</v>
      </c>
      <c r="C1940" s="7" t="s">
        <v>26</v>
      </c>
      <c r="D1940" s="8" t="s">
        <v>2140</v>
      </c>
      <c r="E1940" s="8" t="s">
        <v>440</v>
      </c>
      <c r="F1940" s="7" t="s">
        <v>2141</v>
      </c>
      <c r="G1940" s="9" t="s">
        <v>19</v>
      </c>
      <c r="H1940" s="7" t="s">
        <v>5653</v>
      </c>
      <c r="I1940" s="7" t="s">
        <v>2029</v>
      </c>
      <c r="J1940" s="10">
        <v>46078.0</v>
      </c>
      <c r="K1940" s="8" t="s">
        <v>2179</v>
      </c>
      <c r="L1940" s="7">
        <v>8.0</v>
      </c>
      <c r="M1940" s="7" t="s">
        <v>87</v>
      </c>
      <c r="N1940" s="13" t="s">
        <v>6127</v>
      </c>
      <c r="O1940" s="15" t="s">
        <v>6128</v>
      </c>
    </row>
    <row r="1941">
      <c r="A1941" s="5">
        <v>2270.0</v>
      </c>
      <c r="B1941" s="6">
        <v>46167.61475450231</v>
      </c>
      <c r="C1941" s="7" t="s">
        <v>26</v>
      </c>
      <c r="D1941" s="8" t="s">
        <v>2140</v>
      </c>
      <c r="E1941" s="8" t="s">
        <v>440</v>
      </c>
      <c r="F1941" s="7" t="s">
        <v>2141</v>
      </c>
      <c r="G1941" s="9" t="s">
        <v>181</v>
      </c>
      <c r="H1941" s="7" t="s">
        <v>6022</v>
      </c>
      <c r="I1941" s="7" t="s">
        <v>231</v>
      </c>
      <c r="J1941" s="10">
        <v>46147.0</v>
      </c>
      <c r="K1941" s="8" t="s">
        <v>3287</v>
      </c>
      <c r="L1941" s="7">
        <v>3.0</v>
      </c>
      <c r="M1941" s="7" t="s">
        <v>1325</v>
      </c>
      <c r="N1941" s="13" t="s">
        <v>6129</v>
      </c>
      <c r="O1941" s="15" t="s">
        <v>6130</v>
      </c>
    </row>
    <row r="1942">
      <c r="A1942" s="5">
        <v>2271.0</v>
      </c>
      <c r="B1942" s="6">
        <v>46167.62020931713</v>
      </c>
      <c r="C1942" s="7" t="s">
        <v>26</v>
      </c>
      <c r="D1942" s="8" t="s">
        <v>2140</v>
      </c>
      <c r="E1942" s="8" t="s">
        <v>440</v>
      </c>
      <c r="F1942" s="7" t="s">
        <v>2141</v>
      </c>
      <c r="G1942" s="9" t="s">
        <v>181</v>
      </c>
      <c r="H1942" s="7" t="s">
        <v>6022</v>
      </c>
      <c r="I1942" s="7" t="s">
        <v>231</v>
      </c>
      <c r="J1942" s="10">
        <v>46147.0</v>
      </c>
      <c r="K1942" s="8" t="s">
        <v>3287</v>
      </c>
      <c r="L1942" s="7">
        <v>3.0</v>
      </c>
      <c r="M1942" s="7" t="s">
        <v>1325</v>
      </c>
      <c r="N1942" s="13" t="s">
        <v>6131</v>
      </c>
      <c r="O1942" s="15" t="s">
        <v>6132</v>
      </c>
    </row>
    <row r="1943">
      <c r="A1943" s="5">
        <v>2272.0</v>
      </c>
      <c r="B1943" s="6">
        <v>46167.62043724537</v>
      </c>
      <c r="C1943" s="7" t="s">
        <v>26</v>
      </c>
      <c r="D1943" s="8" t="s">
        <v>247</v>
      </c>
      <c r="E1943" s="8" t="s">
        <v>248</v>
      </c>
      <c r="F1943" s="7" t="s">
        <v>249</v>
      </c>
      <c r="G1943" s="9" t="s">
        <v>181</v>
      </c>
      <c r="H1943" s="7" t="s">
        <v>6022</v>
      </c>
      <c r="I1943" s="7" t="s">
        <v>6026</v>
      </c>
      <c r="J1943" s="10">
        <v>46147.0</v>
      </c>
      <c r="K1943" s="8" t="s">
        <v>3287</v>
      </c>
      <c r="L1943" s="7">
        <v>3.0</v>
      </c>
      <c r="M1943" s="7" t="s">
        <v>931</v>
      </c>
      <c r="N1943" s="13" t="s">
        <v>6133</v>
      </c>
      <c r="O1943" s="15" t="s">
        <v>6134</v>
      </c>
    </row>
    <row r="1944">
      <c r="A1944" s="5">
        <v>2273.0</v>
      </c>
      <c r="B1944" s="6">
        <v>46167.6216007176</v>
      </c>
      <c r="C1944" s="7" t="s">
        <v>26</v>
      </c>
      <c r="D1944" s="8" t="s">
        <v>2140</v>
      </c>
      <c r="E1944" s="8" t="s">
        <v>440</v>
      </c>
      <c r="F1944" s="7" t="s">
        <v>2141</v>
      </c>
      <c r="G1944" s="9" t="s">
        <v>19</v>
      </c>
      <c r="H1944" s="7" t="s">
        <v>6135</v>
      </c>
      <c r="I1944" s="7" t="s">
        <v>6136</v>
      </c>
      <c r="J1944" s="10">
        <v>46136.0</v>
      </c>
      <c r="K1944" s="8" t="s">
        <v>6137</v>
      </c>
      <c r="L1944" s="7">
        <v>8.0</v>
      </c>
      <c r="M1944" s="7" t="s">
        <v>87</v>
      </c>
      <c r="N1944" s="13" t="s">
        <v>6138</v>
      </c>
      <c r="O1944" s="15" t="s">
        <v>6139</v>
      </c>
    </row>
    <row r="1945">
      <c r="A1945" s="5">
        <v>2274.0</v>
      </c>
      <c r="B1945" s="6">
        <v>46167.62326020833</v>
      </c>
      <c r="C1945" s="7" t="s">
        <v>26</v>
      </c>
      <c r="D1945" s="8" t="s">
        <v>2140</v>
      </c>
      <c r="E1945" s="8" t="s">
        <v>440</v>
      </c>
      <c r="F1945" s="7" t="s">
        <v>2141</v>
      </c>
      <c r="G1945" s="9" t="s">
        <v>19</v>
      </c>
      <c r="H1945" s="7" t="s">
        <v>6140</v>
      </c>
      <c r="I1945" s="7" t="s">
        <v>5411</v>
      </c>
      <c r="J1945" s="10">
        <v>46137.0</v>
      </c>
      <c r="K1945" s="8" t="s">
        <v>49</v>
      </c>
      <c r="L1945" s="7">
        <v>8.0</v>
      </c>
      <c r="M1945" s="7" t="s">
        <v>87</v>
      </c>
      <c r="N1945" s="13" t="s">
        <v>6141</v>
      </c>
      <c r="O1945" s="15" t="s">
        <v>6142</v>
      </c>
    </row>
    <row r="1946">
      <c r="A1946" s="5">
        <v>2275.0</v>
      </c>
      <c r="B1946" s="6">
        <v>46167.62426703704</v>
      </c>
      <c r="C1946" s="7" t="s">
        <v>26</v>
      </c>
      <c r="D1946" s="8" t="s">
        <v>2140</v>
      </c>
      <c r="E1946" s="8" t="s">
        <v>440</v>
      </c>
      <c r="F1946" s="7" t="s">
        <v>2141</v>
      </c>
      <c r="G1946" s="9" t="s">
        <v>19</v>
      </c>
      <c r="H1946" s="7" t="s">
        <v>6135</v>
      </c>
      <c r="I1946" s="7" t="s">
        <v>5411</v>
      </c>
      <c r="J1946" s="10">
        <v>46138.0</v>
      </c>
      <c r="K1946" s="8" t="s">
        <v>49</v>
      </c>
      <c r="L1946" s="7">
        <v>8.0</v>
      </c>
      <c r="M1946" s="7" t="s">
        <v>87</v>
      </c>
      <c r="N1946" s="13" t="s">
        <v>6143</v>
      </c>
      <c r="O1946" s="15" t="s">
        <v>6144</v>
      </c>
    </row>
    <row r="1947">
      <c r="A1947" s="5">
        <v>2276.0</v>
      </c>
      <c r="B1947" s="6">
        <v>46167.65581130787</v>
      </c>
      <c r="C1947" s="7" t="s">
        <v>760</v>
      </c>
      <c r="D1947" s="8" t="s">
        <v>1443</v>
      </c>
      <c r="E1947" s="8" t="s">
        <v>1116</v>
      </c>
      <c r="F1947" s="7" t="s">
        <v>1444</v>
      </c>
      <c r="G1947" s="9" t="s">
        <v>19</v>
      </c>
      <c r="H1947" s="7" t="s">
        <v>6145</v>
      </c>
      <c r="I1947" s="7" t="s">
        <v>6146</v>
      </c>
      <c r="J1947" s="10">
        <v>46116.0</v>
      </c>
      <c r="K1947" s="8" t="s">
        <v>49</v>
      </c>
      <c r="L1947" s="7">
        <v>8.0</v>
      </c>
      <c r="M1947" s="7" t="s">
        <v>6147</v>
      </c>
      <c r="N1947" s="13" t="s">
        <v>6148</v>
      </c>
      <c r="O1947" s="15" t="s">
        <v>6149</v>
      </c>
    </row>
    <row r="1948">
      <c r="A1948" s="5">
        <v>2277.0</v>
      </c>
      <c r="B1948" s="6">
        <v>46167.666428055556</v>
      </c>
      <c r="C1948" s="7" t="s">
        <v>760</v>
      </c>
      <c r="D1948" s="8" t="s">
        <v>791</v>
      </c>
      <c r="E1948" s="8" t="s">
        <v>164</v>
      </c>
      <c r="F1948" s="7" t="s">
        <v>792</v>
      </c>
      <c r="G1948" s="9" t="s">
        <v>181</v>
      </c>
      <c r="H1948" s="7" t="s">
        <v>895</v>
      </c>
      <c r="I1948" s="7" t="s">
        <v>231</v>
      </c>
      <c r="J1948" s="10">
        <v>46079.0</v>
      </c>
      <c r="K1948" s="8" t="s">
        <v>310</v>
      </c>
      <c r="L1948" s="7">
        <v>1.0</v>
      </c>
      <c r="M1948" s="7" t="s">
        <v>33</v>
      </c>
      <c r="N1948" s="13" t="s">
        <v>6150</v>
      </c>
      <c r="O1948" s="15" t="s">
        <v>6151</v>
      </c>
    </row>
    <row r="1949">
      <c r="A1949" s="5">
        <v>2278.0</v>
      </c>
      <c r="B1949" s="6">
        <v>46167.66787986111</v>
      </c>
      <c r="C1949" s="7" t="s">
        <v>760</v>
      </c>
      <c r="D1949" s="8" t="s">
        <v>791</v>
      </c>
      <c r="E1949" s="8" t="s">
        <v>164</v>
      </c>
      <c r="F1949" s="7" t="s">
        <v>792</v>
      </c>
      <c r="G1949" s="9" t="s">
        <v>181</v>
      </c>
      <c r="H1949" s="7" t="s">
        <v>895</v>
      </c>
      <c r="I1949" s="7" t="s">
        <v>231</v>
      </c>
      <c r="J1949" s="10">
        <v>46107.0</v>
      </c>
      <c r="K1949" s="8" t="s">
        <v>310</v>
      </c>
      <c r="L1949" s="7">
        <v>1.0</v>
      </c>
      <c r="M1949" s="7" t="s">
        <v>33</v>
      </c>
      <c r="N1949" s="13" t="s">
        <v>6152</v>
      </c>
      <c r="O1949" s="15" t="s">
        <v>6153</v>
      </c>
    </row>
    <row r="1950">
      <c r="A1950" s="5">
        <v>2279.0</v>
      </c>
      <c r="B1950" s="6">
        <v>46168.395501782405</v>
      </c>
      <c r="C1950" s="7" t="s">
        <v>15</v>
      </c>
      <c r="D1950" s="8" t="s">
        <v>6154</v>
      </c>
      <c r="E1950" s="8" t="s">
        <v>1042</v>
      </c>
      <c r="F1950" s="7" t="s">
        <v>6155</v>
      </c>
      <c r="G1950" s="9" t="s">
        <v>181</v>
      </c>
      <c r="H1950" s="7" t="s">
        <v>6156</v>
      </c>
      <c r="I1950" s="7" t="s">
        <v>6157</v>
      </c>
      <c r="J1950" s="10">
        <v>46094.0</v>
      </c>
      <c r="K1950" s="8" t="s">
        <v>457</v>
      </c>
      <c r="L1950" s="7">
        <v>1.0</v>
      </c>
      <c r="M1950" s="7" t="s">
        <v>219</v>
      </c>
      <c r="N1950" s="13" t="s">
        <v>6158</v>
      </c>
      <c r="O1950" s="15" t="s">
        <v>6159</v>
      </c>
    </row>
    <row r="1951">
      <c r="A1951" s="5">
        <v>2280.0</v>
      </c>
      <c r="B1951" s="6">
        <v>46168.39817163194</v>
      </c>
      <c r="C1951" s="7" t="s">
        <v>15</v>
      </c>
      <c r="D1951" s="8" t="s">
        <v>1876</v>
      </c>
      <c r="E1951" s="8" t="s">
        <v>1042</v>
      </c>
      <c r="F1951" s="7" t="s">
        <v>1877</v>
      </c>
      <c r="G1951" s="9" t="s">
        <v>181</v>
      </c>
      <c r="H1951" s="7" t="s">
        <v>6160</v>
      </c>
      <c r="I1951" s="7" t="s">
        <v>6161</v>
      </c>
      <c r="J1951" s="10">
        <v>46094.0</v>
      </c>
      <c r="K1951" s="8" t="s">
        <v>457</v>
      </c>
      <c r="L1951" s="7">
        <v>1.0</v>
      </c>
      <c r="M1951" s="7" t="s">
        <v>219</v>
      </c>
      <c r="N1951" s="13" t="s">
        <v>6162</v>
      </c>
      <c r="O1951" s="15" t="s">
        <v>6163</v>
      </c>
    </row>
    <row r="1952">
      <c r="A1952" s="5">
        <v>2281.0</v>
      </c>
      <c r="B1952" s="6">
        <v>46168.4013128125</v>
      </c>
      <c r="C1952" s="7" t="s">
        <v>15</v>
      </c>
      <c r="D1952" s="8" t="s">
        <v>1876</v>
      </c>
      <c r="E1952" s="8" t="s">
        <v>1042</v>
      </c>
      <c r="F1952" s="7" t="s">
        <v>1877</v>
      </c>
      <c r="G1952" s="9" t="s">
        <v>181</v>
      </c>
      <c r="H1952" s="7" t="s">
        <v>6164</v>
      </c>
      <c r="I1952" s="7" t="s">
        <v>231</v>
      </c>
      <c r="J1952" s="10">
        <v>46147.0</v>
      </c>
      <c r="K1952" s="8" t="s">
        <v>49</v>
      </c>
      <c r="L1952" s="7">
        <v>8.0</v>
      </c>
      <c r="M1952" s="7" t="s">
        <v>6165</v>
      </c>
      <c r="N1952" s="13" t="s">
        <v>6166</v>
      </c>
      <c r="O1952" s="15" t="s">
        <v>6167</v>
      </c>
    </row>
    <row r="1953">
      <c r="A1953" s="5">
        <v>2282.0</v>
      </c>
      <c r="B1953" s="6">
        <v>46168.40699724537</v>
      </c>
      <c r="C1953" s="7" t="s">
        <v>15</v>
      </c>
      <c r="D1953" s="8" t="s">
        <v>1876</v>
      </c>
      <c r="E1953" s="8" t="s">
        <v>1042</v>
      </c>
      <c r="F1953" s="7" t="s">
        <v>1877</v>
      </c>
      <c r="G1953" s="9" t="s">
        <v>181</v>
      </c>
      <c r="H1953" s="7" t="s">
        <v>6168</v>
      </c>
      <c r="I1953" s="7" t="s">
        <v>231</v>
      </c>
      <c r="J1953" s="10">
        <v>46133.0</v>
      </c>
      <c r="K1953" s="8" t="s">
        <v>962</v>
      </c>
      <c r="L1953" s="7">
        <v>4.0</v>
      </c>
      <c r="M1953" s="7" t="s">
        <v>33</v>
      </c>
      <c r="N1953" s="13" t="s">
        <v>6169</v>
      </c>
      <c r="O1953" s="15" t="s">
        <v>6170</v>
      </c>
    </row>
    <row r="1954">
      <c r="A1954" s="5">
        <v>2283.0</v>
      </c>
      <c r="B1954" s="6">
        <v>46168.408229513894</v>
      </c>
      <c r="C1954" s="7" t="s">
        <v>15</v>
      </c>
      <c r="D1954" s="8" t="s">
        <v>1876</v>
      </c>
      <c r="E1954" s="8" t="s">
        <v>1042</v>
      </c>
      <c r="F1954" s="7" t="s">
        <v>1877</v>
      </c>
      <c r="G1954" s="9" t="s">
        <v>181</v>
      </c>
      <c r="H1954" s="7" t="s">
        <v>6168</v>
      </c>
      <c r="I1954" s="7" t="s">
        <v>231</v>
      </c>
      <c r="J1954" s="10">
        <v>46134.0</v>
      </c>
      <c r="K1954" s="8" t="s">
        <v>962</v>
      </c>
      <c r="L1954" s="7">
        <v>4.0</v>
      </c>
      <c r="M1954" s="7" t="s">
        <v>33</v>
      </c>
      <c r="N1954" s="13" t="s">
        <v>6171</v>
      </c>
      <c r="O1954" s="15" t="s">
        <v>6172</v>
      </c>
    </row>
    <row r="1955">
      <c r="A1955" s="5">
        <v>2284.0</v>
      </c>
      <c r="B1955" s="6">
        <v>46168.410086041666</v>
      </c>
      <c r="C1955" s="7" t="s">
        <v>15</v>
      </c>
      <c r="D1955" s="8" t="s">
        <v>1876</v>
      </c>
      <c r="E1955" s="8" t="s">
        <v>1042</v>
      </c>
      <c r="F1955" s="7" t="s">
        <v>1877</v>
      </c>
      <c r="G1955" s="9" t="s">
        <v>181</v>
      </c>
      <c r="H1955" s="7" t="s">
        <v>6168</v>
      </c>
      <c r="I1955" s="7" t="s">
        <v>231</v>
      </c>
      <c r="J1955" s="10">
        <v>46135.0</v>
      </c>
      <c r="K1955" s="8" t="s">
        <v>962</v>
      </c>
      <c r="L1955" s="7">
        <v>4.0</v>
      </c>
      <c r="M1955" s="7" t="s">
        <v>33</v>
      </c>
      <c r="N1955" s="13" t="s">
        <v>6173</v>
      </c>
      <c r="O1955" s="15" t="s">
        <v>6174</v>
      </c>
    </row>
    <row r="1956">
      <c r="A1956" s="5">
        <v>2285.0</v>
      </c>
      <c r="B1956" s="6">
        <v>46168.412375914355</v>
      </c>
      <c r="C1956" s="7" t="s">
        <v>15</v>
      </c>
      <c r="D1956" s="8" t="s">
        <v>1876</v>
      </c>
      <c r="E1956" s="8" t="s">
        <v>1042</v>
      </c>
      <c r="F1956" s="7" t="s">
        <v>1877</v>
      </c>
      <c r="G1956" s="9" t="s">
        <v>181</v>
      </c>
      <c r="H1956" s="7" t="s">
        <v>6168</v>
      </c>
      <c r="I1956" s="7" t="s">
        <v>231</v>
      </c>
      <c r="J1956" s="10">
        <v>46138.0</v>
      </c>
      <c r="K1956" s="8" t="s">
        <v>3737</v>
      </c>
      <c r="L1956" s="7">
        <v>8.0</v>
      </c>
      <c r="M1956" s="7" t="s">
        <v>33</v>
      </c>
      <c r="N1956" s="13" t="s">
        <v>6175</v>
      </c>
      <c r="O1956" s="15" t="s">
        <v>6176</v>
      </c>
    </row>
    <row r="1957">
      <c r="A1957" s="5">
        <v>2287.0</v>
      </c>
      <c r="B1957" s="6">
        <v>46168.41950091435</v>
      </c>
      <c r="C1957" s="7" t="s">
        <v>15</v>
      </c>
      <c r="D1957" s="8" t="s">
        <v>1876</v>
      </c>
      <c r="E1957" s="8" t="s">
        <v>1042</v>
      </c>
      <c r="F1957" s="7" t="s">
        <v>1877</v>
      </c>
      <c r="G1957" s="9" t="s">
        <v>181</v>
      </c>
      <c r="H1957" s="7" t="s">
        <v>6168</v>
      </c>
      <c r="I1957" s="7" t="s">
        <v>5437</v>
      </c>
      <c r="J1957" s="10">
        <v>46139.0</v>
      </c>
      <c r="K1957" s="8" t="s">
        <v>962</v>
      </c>
      <c r="L1957" s="7">
        <v>4.0</v>
      </c>
      <c r="M1957" s="7" t="s">
        <v>33</v>
      </c>
      <c r="N1957" s="13" t="s">
        <v>6177</v>
      </c>
      <c r="O1957" s="15" t="s">
        <v>6178</v>
      </c>
    </row>
    <row r="1958">
      <c r="A1958" s="5">
        <v>2288.0</v>
      </c>
      <c r="B1958" s="6">
        <v>46168.440199143515</v>
      </c>
      <c r="C1958" s="7" t="s">
        <v>26</v>
      </c>
      <c r="D1958" s="8" t="s">
        <v>213</v>
      </c>
      <c r="E1958" s="8" t="s">
        <v>214</v>
      </c>
      <c r="F1958" s="7" t="s">
        <v>215</v>
      </c>
      <c r="G1958" s="9" t="s">
        <v>19</v>
      </c>
      <c r="H1958" s="7" t="s">
        <v>5369</v>
      </c>
      <c r="I1958" s="7" t="s">
        <v>5335</v>
      </c>
      <c r="J1958" s="10">
        <v>46032.0</v>
      </c>
      <c r="K1958" s="8" t="s">
        <v>1750</v>
      </c>
      <c r="L1958" s="7">
        <v>8.0</v>
      </c>
      <c r="M1958" s="7" t="s">
        <v>87</v>
      </c>
      <c r="N1958" s="13" t="s">
        <v>6179</v>
      </c>
      <c r="O1958" s="15" t="s">
        <v>6180</v>
      </c>
    </row>
    <row r="1959">
      <c r="A1959" s="5">
        <v>2290.0</v>
      </c>
      <c r="B1959" s="6">
        <v>46168.44374607639</v>
      </c>
      <c r="C1959" s="7" t="s">
        <v>26</v>
      </c>
      <c r="D1959" s="8" t="s">
        <v>213</v>
      </c>
      <c r="E1959" s="8" t="s">
        <v>214</v>
      </c>
      <c r="F1959" s="7" t="s">
        <v>215</v>
      </c>
      <c r="G1959" s="9" t="s">
        <v>19</v>
      </c>
      <c r="H1959" s="7" t="s">
        <v>5653</v>
      </c>
      <c r="I1959" s="7" t="s">
        <v>2029</v>
      </c>
      <c r="J1959" s="10">
        <v>46078.0</v>
      </c>
      <c r="K1959" s="8" t="s">
        <v>6181</v>
      </c>
      <c r="L1959" s="7">
        <v>8.0</v>
      </c>
      <c r="M1959" s="7" t="s">
        <v>87</v>
      </c>
      <c r="N1959" s="13" t="s">
        <v>6182</v>
      </c>
      <c r="O1959" s="15" t="s">
        <v>6183</v>
      </c>
    </row>
    <row r="1960">
      <c r="A1960" s="5">
        <v>2291.0</v>
      </c>
      <c r="B1960" s="6">
        <v>46168.44761239583</v>
      </c>
      <c r="C1960" s="7" t="s">
        <v>26</v>
      </c>
      <c r="D1960" s="8" t="s">
        <v>213</v>
      </c>
      <c r="E1960" s="8" t="s">
        <v>214</v>
      </c>
      <c r="F1960" s="7" t="s">
        <v>215</v>
      </c>
      <c r="G1960" s="9" t="s">
        <v>181</v>
      </c>
      <c r="H1960" s="7" t="s">
        <v>6184</v>
      </c>
      <c r="I1960" s="7" t="s">
        <v>6023</v>
      </c>
      <c r="J1960" s="10">
        <v>46147.0</v>
      </c>
      <c r="K1960" s="8" t="s">
        <v>6083</v>
      </c>
      <c r="L1960" s="7">
        <v>3.0</v>
      </c>
      <c r="M1960" s="7" t="s">
        <v>1325</v>
      </c>
      <c r="N1960" s="13" t="s">
        <v>6185</v>
      </c>
      <c r="O1960" s="15" t="s">
        <v>6186</v>
      </c>
    </row>
    <row r="1961">
      <c r="A1961" s="5">
        <v>2294.0</v>
      </c>
      <c r="B1961" s="6">
        <v>46168.504120451384</v>
      </c>
      <c r="C1961" s="7" t="s">
        <v>26</v>
      </c>
      <c r="D1961" s="8" t="s">
        <v>1586</v>
      </c>
      <c r="E1961" s="8" t="s">
        <v>17</v>
      </c>
      <c r="F1961" s="7" t="s">
        <v>1587</v>
      </c>
      <c r="G1961" s="9" t="s">
        <v>19</v>
      </c>
      <c r="H1961" s="7" t="s">
        <v>5653</v>
      </c>
      <c r="I1961" s="7" t="s">
        <v>5931</v>
      </c>
      <c r="J1961" s="10">
        <v>46078.0</v>
      </c>
      <c r="K1961" s="8" t="s">
        <v>2179</v>
      </c>
      <c r="L1961" s="7">
        <v>8.0</v>
      </c>
      <c r="M1961" s="7" t="s">
        <v>2839</v>
      </c>
      <c r="N1961" s="13" t="s">
        <v>6187</v>
      </c>
      <c r="O1961" s="15" t="s">
        <v>6188</v>
      </c>
    </row>
    <row r="1962">
      <c r="A1962" s="5">
        <v>2295.0</v>
      </c>
      <c r="B1962" s="6">
        <v>46168.5055250463</v>
      </c>
      <c r="C1962" s="7" t="s">
        <v>26</v>
      </c>
      <c r="D1962" s="8" t="s">
        <v>1252</v>
      </c>
      <c r="E1962" s="8" t="s">
        <v>1253</v>
      </c>
      <c r="F1962" s="7" t="s">
        <v>1254</v>
      </c>
      <c r="G1962" s="9" t="s">
        <v>181</v>
      </c>
      <c r="H1962" s="7" t="s">
        <v>6189</v>
      </c>
      <c r="I1962" s="7" t="s">
        <v>6011</v>
      </c>
      <c r="J1962" s="10">
        <v>46147.0</v>
      </c>
      <c r="K1962" s="8" t="s">
        <v>6012</v>
      </c>
      <c r="L1962" s="7">
        <v>3.0</v>
      </c>
      <c r="M1962" s="7" t="s">
        <v>1325</v>
      </c>
      <c r="N1962" s="13" t="s">
        <v>6190</v>
      </c>
      <c r="O1962" s="15" t="s">
        <v>6191</v>
      </c>
    </row>
    <row r="1963">
      <c r="A1963" s="5">
        <v>2296.0</v>
      </c>
      <c r="B1963" s="6">
        <v>46168.50833401621</v>
      </c>
      <c r="C1963" s="7" t="s">
        <v>26</v>
      </c>
      <c r="D1963" s="8" t="s">
        <v>1252</v>
      </c>
      <c r="E1963" s="8" t="s">
        <v>1253</v>
      </c>
      <c r="F1963" s="7" t="s">
        <v>1254</v>
      </c>
      <c r="G1963" s="9" t="s">
        <v>19</v>
      </c>
      <c r="H1963" s="7" t="s">
        <v>5653</v>
      </c>
      <c r="I1963" s="7" t="s">
        <v>5834</v>
      </c>
      <c r="J1963" s="10">
        <v>46078.0</v>
      </c>
      <c r="K1963" s="8" t="s">
        <v>2179</v>
      </c>
      <c r="L1963" s="7">
        <v>8.0</v>
      </c>
      <c r="M1963" s="7" t="s">
        <v>5975</v>
      </c>
      <c r="N1963" s="13" t="s">
        <v>6192</v>
      </c>
      <c r="O1963" s="15" t="s">
        <v>6193</v>
      </c>
    </row>
    <row r="1964">
      <c r="A1964" s="5">
        <v>2297.0</v>
      </c>
      <c r="B1964" s="6">
        <v>46168.51050488426</v>
      </c>
      <c r="C1964" s="7" t="s">
        <v>26</v>
      </c>
      <c r="D1964" s="8" t="s">
        <v>1586</v>
      </c>
      <c r="E1964" s="8" t="s">
        <v>17</v>
      </c>
      <c r="F1964" s="7" t="s">
        <v>1587</v>
      </c>
      <c r="G1964" s="9" t="s">
        <v>181</v>
      </c>
      <c r="H1964" s="7" t="s">
        <v>6010</v>
      </c>
      <c r="I1964" s="7" t="s">
        <v>6011</v>
      </c>
      <c r="J1964" s="10">
        <v>46147.0</v>
      </c>
      <c r="K1964" s="8" t="s">
        <v>6012</v>
      </c>
      <c r="L1964" s="7">
        <v>3.0</v>
      </c>
      <c r="M1964" s="7" t="s">
        <v>1325</v>
      </c>
      <c r="N1964" s="13" t="s">
        <v>6194</v>
      </c>
      <c r="O1964" s="15" t="s">
        <v>6195</v>
      </c>
    </row>
    <row r="1965">
      <c r="A1965" s="5">
        <v>2298.0</v>
      </c>
      <c r="B1965" s="6">
        <v>46168.51169103009</v>
      </c>
      <c r="C1965" s="7" t="s">
        <v>26</v>
      </c>
      <c r="D1965" s="8" t="s">
        <v>1252</v>
      </c>
      <c r="E1965" s="8" t="s">
        <v>1253</v>
      </c>
      <c r="F1965" s="7" t="s">
        <v>1254</v>
      </c>
      <c r="G1965" s="9" t="s">
        <v>19</v>
      </c>
      <c r="H1965" s="7" t="s">
        <v>5410</v>
      </c>
      <c r="I1965" s="7" t="s">
        <v>5411</v>
      </c>
      <c r="J1965" s="10">
        <v>46136.0</v>
      </c>
      <c r="K1965" s="8" t="s">
        <v>5412</v>
      </c>
      <c r="L1965" s="7">
        <v>8.0</v>
      </c>
      <c r="M1965" s="7" t="s">
        <v>87</v>
      </c>
      <c r="N1965" s="13" t="s">
        <v>6196</v>
      </c>
      <c r="O1965" s="15" t="s">
        <v>6197</v>
      </c>
    </row>
    <row r="1966">
      <c r="A1966" s="5">
        <v>2299.0</v>
      </c>
      <c r="B1966" s="6">
        <v>46168.51359621528</v>
      </c>
      <c r="C1966" s="7" t="s">
        <v>26</v>
      </c>
      <c r="D1966" s="8" t="s">
        <v>1252</v>
      </c>
      <c r="E1966" s="8" t="s">
        <v>1253</v>
      </c>
      <c r="F1966" s="7" t="s">
        <v>1254</v>
      </c>
      <c r="G1966" s="9" t="s">
        <v>19</v>
      </c>
      <c r="H1966" s="7" t="s">
        <v>5410</v>
      </c>
      <c r="I1966" s="7" t="s">
        <v>5411</v>
      </c>
      <c r="J1966" s="10">
        <v>46137.0</v>
      </c>
      <c r="K1966" s="8" t="s">
        <v>49</v>
      </c>
      <c r="L1966" s="7">
        <v>8.0</v>
      </c>
      <c r="M1966" s="7" t="s">
        <v>87</v>
      </c>
      <c r="N1966" s="13" t="s">
        <v>6198</v>
      </c>
      <c r="O1966" s="15" t="s">
        <v>6199</v>
      </c>
    </row>
    <row r="1967">
      <c r="A1967" s="5">
        <v>2300.0</v>
      </c>
      <c r="B1967" s="6">
        <v>46168.51522335648</v>
      </c>
      <c r="C1967" s="7" t="s">
        <v>26</v>
      </c>
      <c r="D1967" s="8" t="s">
        <v>1252</v>
      </c>
      <c r="E1967" s="8" t="s">
        <v>1253</v>
      </c>
      <c r="F1967" s="7" t="s">
        <v>1254</v>
      </c>
      <c r="G1967" s="9" t="s">
        <v>19</v>
      </c>
      <c r="H1967" s="7" t="s">
        <v>5410</v>
      </c>
      <c r="I1967" s="7" t="s">
        <v>5411</v>
      </c>
      <c r="J1967" s="10">
        <v>46138.0</v>
      </c>
      <c r="K1967" s="8" t="s">
        <v>49</v>
      </c>
      <c r="L1967" s="7">
        <v>8.0</v>
      </c>
      <c r="M1967" s="7" t="s">
        <v>87</v>
      </c>
      <c r="N1967" s="13" t="s">
        <v>6200</v>
      </c>
      <c r="O1967" s="15" t="s">
        <v>6201</v>
      </c>
    </row>
    <row r="1968">
      <c r="A1968" s="5">
        <v>2303.0</v>
      </c>
      <c r="B1968" s="6">
        <v>46168.91111295139</v>
      </c>
      <c r="C1968" s="7" t="s">
        <v>760</v>
      </c>
      <c r="D1968" s="8" t="s">
        <v>1443</v>
      </c>
      <c r="E1968" s="8" t="s">
        <v>1116</v>
      </c>
      <c r="F1968" s="7" t="s">
        <v>1444</v>
      </c>
      <c r="G1968" s="9" t="s">
        <v>19</v>
      </c>
      <c r="H1968" s="7" t="s">
        <v>6145</v>
      </c>
      <c r="I1968" s="7" t="s">
        <v>6146</v>
      </c>
      <c r="J1968" s="10">
        <v>46116.0</v>
      </c>
      <c r="K1968" s="8" t="s">
        <v>49</v>
      </c>
      <c r="L1968" s="7">
        <v>8.0</v>
      </c>
      <c r="M1968" s="7" t="s">
        <v>6147</v>
      </c>
      <c r="N1968" s="7"/>
      <c r="O1968" s="15" t="s">
        <v>6202</v>
      </c>
    </row>
    <row r="1969">
      <c r="A1969" s="5">
        <v>2304.0</v>
      </c>
      <c r="B1969" s="6">
        <v>46169.53256072917</v>
      </c>
      <c r="C1969" s="7" t="s">
        <v>760</v>
      </c>
      <c r="D1969" s="8" t="s">
        <v>3635</v>
      </c>
      <c r="E1969" s="8" t="s">
        <v>17</v>
      </c>
      <c r="F1969" s="7" t="s">
        <v>6203</v>
      </c>
      <c r="G1969" s="9" t="s">
        <v>19</v>
      </c>
      <c r="H1969" s="7" t="s">
        <v>5410</v>
      </c>
      <c r="I1969" s="7" t="s">
        <v>5411</v>
      </c>
      <c r="J1969" s="10">
        <v>46136.0</v>
      </c>
      <c r="K1969" s="8" t="s">
        <v>6204</v>
      </c>
      <c r="L1969" s="7">
        <v>8.0</v>
      </c>
      <c r="M1969" s="7" t="s">
        <v>87</v>
      </c>
      <c r="N1969" s="13" t="s">
        <v>6205</v>
      </c>
      <c r="O1969" s="15" t="s">
        <v>6206</v>
      </c>
    </row>
    <row r="1970">
      <c r="A1970" s="5">
        <v>2305.0</v>
      </c>
      <c r="B1970" s="6">
        <v>46169.65080179398</v>
      </c>
      <c r="C1970" s="7" t="s">
        <v>26</v>
      </c>
      <c r="D1970" s="8" t="s">
        <v>2487</v>
      </c>
      <c r="E1970" s="8" t="s">
        <v>164</v>
      </c>
      <c r="F1970" s="7" t="s">
        <v>2488</v>
      </c>
      <c r="G1970" s="9" t="s">
        <v>19</v>
      </c>
      <c r="H1970" s="7" t="s">
        <v>5854</v>
      </c>
      <c r="I1970" s="7" t="s">
        <v>5862</v>
      </c>
      <c r="J1970" s="10">
        <v>46078.0</v>
      </c>
      <c r="K1970" s="8" t="s">
        <v>2179</v>
      </c>
      <c r="L1970" s="7">
        <v>8.0</v>
      </c>
      <c r="M1970" s="7" t="s">
        <v>87</v>
      </c>
      <c r="N1970" s="13" t="s">
        <v>6207</v>
      </c>
      <c r="O1970" s="15" t="s">
        <v>6208</v>
      </c>
    </row>
    <row r="1971">
      <c r="A1971" s="5">
        <v>2306.0</v>
      </c>
      <c r="B1971" s="6">
        <v>46169.653117905094</v>
      </c>
      <c r="C1971" s="7" t="s">
        <v>26</v>
      </c>
      <c r="D1971" s="8" t="s">
        <v>2487</v>
      </c>
      <c r="E1971" s="8" t="s">
        <v>164</v>
      </c>
      <c r="F1971" s="7" t="s">
        <v>2488</v>
      </c>
      <c r="G1971" s="9" t="s">
        <v>181</v>
      </c>
      <c r="H1971" s="7" t="s">
        <v>6017</v>
      </c>
      <c r="I1971" s="7" t="s">
        <v>6018</v>
      </c>
      <c r="J1971" s="10">
        <v>46147.0</v>
      </c>
      <c r="K1971" s="8" t="s">
        <v>6012</v>
      </c>
      <c r="L1971" s="7">
        <v>3.0</v>
      </c>
      <c r="M1971" s="7" t="s">
        <v>1325</v>
      </c>
      <c r="N1971" s="13" t="s">
        <v>6209</v>
      </c>
      <c r="O1971" s="15" t="s">
        <v>6210</v>
      </c>
    </row>
    <row r="1972">
      <c r="A1972" s="5">
        <v>2307.0</v>
      </c>
      <c r="B1972" s="6">
        <v>46169.65799898148</v>
      </c>
      <c r="C1972" s="7" t="s">
        <v>26</v>
      </c>
      <c r="D1972" s="8" t="s">
        <v>2487</v>
      </c>
      <c r="E1972" s="8" t="s">
        <v>164</v>
      </c>
      <c r="F1972" s="7" t="s">
        <v>2488</v>
      </c>
      <c r="G1972" s="9" t="s">
        <v>19</v>
      </c>
      <c r="H1972" s="7" t="s">
        <v>6211</v>
      </c>
      <c r="I1972" s="7" t="s">
        <v>6212</v>
      </c>
      <c r="J1972" s="10">
        <v>46101.0</v>
      </c>
      <c r="K1972" s="8" t="s">
        <v>753</v>
      </c>
      <c r="L1972" s="7">
        <v>3.0</v>
      </c>
      <c r="M1972" s="7" t="s">
        <v>1533</v>
      </c>
      <c r="N1972" s="13" t="s">
        <v>6213</v>
      </c>
      <c r="O1972" s="15" t="s">
        <v>6214</v>
      </c>
    </row>
    <row r="1973">
      <c r="A1973" s="5">
        <v>2308.0</v>
      </c>
      <c r="B1973" s="6">
        <v>46169.65930693287</v>
      </c>
      <c r="C1973" s="7" t="s">
        <v>26</v>
      </c>
      <c r="D1973" s="8" t="s">
        <v>2487</v>
      </c>
      <c r="E1973" s="8" t="s">
        <v>164</v>
      </c>
      <c r="F1973" s="7" t="s">
        <v>2488</v>
      </c>
      <c r="G1973" s="9" t="s">
        <v>19</v>
      </c>
      <c r="H1973" s="7" t="s">
        <v>6211</v>
      </c>
      <c r="I1973" s="7" t="s">
        <v>6212</v>
      </c>
      <c r="J1973" s="10">
        <v>46108.0</v>
      </c>
      <c r="K1973" s="8" t="s">
        <v>753</v>
      </c>
      <c r="L1973" s="7">
        <v>3.0</v>
      </c>
      <c r="M1973" s="7" t="s">
        <v>1064</v>
      </c>
      <c r="N1973" s="13" t="s">
        <v>6215</v>
      </c>
      <c r="O1973" s="15" t="s">
        <v>6216</v>
      </c>
    </row>
    <row r="1974">
      <c r="A1974" s="5">
        <v>2309.0</v>
      </c>
      <c r="B1974" s="6">
        <v>46169.66053179398</v>
      </c>
      <c r="C1974" s="7" t="s">
        <v>26</v>
      </c>
      <c r="D1974" s="8" t="s">
        <v>2487</v>
      </c>
      <c r="E1974" s="8" t="s">
        <v>164</v>
      </c>
      <c r="F1974" s="7" t="s">
        <v>2488</v>
      </c>
      <c r="G1974" s="9" t="s">
        <v>19</v>
      </c>
      <c r="H1974" s="7" t="s">
        <v>6211</v>
      </c>
      <c r="I1974" s="7" t="s">
        <v>6217</v>
      </c>
      <c r="J1974" s="10">
        <v>46115.0</v>
      </c>
      <c r="K1974" s="8" t="s">
        <v>753</v>
      </c>
      <c r="L1974" s="7">
        <v>3.0</v>
      </c>
      <c r="M1974" s="7" t="s">
        <v>1064</v>
      </c>
      <c r="N1974" s="13" t="s">
        <v>6218</v>
      </c>
      <c r="O1974" s="15" t="s">
        <v>6219</v>
      </c>
    </row>
    <row r="1975">
      <c r="A1975" s="5">
        <v>2310.0</v>
      </c>
      <c r="B1975" s="6">
        <v>46169.66067709491</v>
      </c>
      <c r="C1975" s="7" t="s">
        <v>26</v>
      </c>
      <c r="D1975" s="8" t="s">
        <v>2140</v>
      </c>
      <c r="E1975" s="8" t="s">
        <v>440</v>
      </c>
      <c r="F1975" s="7" t="s">
        <v>2141</v>
      </c>
      <c r="G1975" s="9" t="s">
        <v>19</v>
      </c>
      <c r="H1975" s="7" t="s">
        <v>6220</v>
      </c>
      <c r="I1975" s="7" t="s">
        <v>6212</v>
      </c>
      <c r="J1975" s="10">
        <v>46101.0</v>
      </c>
      <c r="K1975" s="8" t="s">
        <v>753</v>
      </c>
      <c r="L1975" s="7">
        <v>3.0</v>
      </c>
      <c r="M1975" s="7" t="s">
        <v>1064</v>
      </c>
      <c r="N1975" s="13" t="s">
        <v>6221</v>
      </c>
      <c r="O1975" s="15" t="s">
        <v>6222</v>
      </c>
    </row>
    <row r="1976">
      <c r="A1976" s="5">
        <v>2311.0</v>
      </c>
      <c r="B1976" s="6">
        <v>46169.66181893519</v>
      </c>
      <c r="C1976" s="7" t="s">
        <v>26</v>
      </c>
      <c r="D1976" s="8" t="s">
        <v>2487</v>
      </c>
      <c r="E1976" s="8" t="s">
        <v>164</v>
      </c>
      <c r="F1976" s="7" t="s">
        <v>2488</v>
      </c>
      <c r="G1976" s="9" t="s">
        <v>19</v>
      </c>
      <c r="H1976" s="7" t="s">
        <v>6211</v>
      </c>
      <c r="I1976" s="7" t="s">
        <v>6217</v>
      </c>
      <c r="J1976" s="10">
        <v>46119.0</v>
      </c>
      <c r="K1976" s="8" t="s">
        <v>6223</v>
      </c>
      <c r="L1976" s="7">
        <v>6.0</v>
      </c>
      <c r="M1976" s="7" t="s">
        <v>1064</v>
      </c>
      <c r="N1976" s="13" t="s">
        <v>6224</v>
      </c>
      <c r="O1976" s="15" t="s">
        <v>6225</v>
      </c>
    </row>
    <row r="1977">
      <c r="A1977" s="5">
        <v>2312.0</v>
      </c>
      <c r="B1977" s="6">
        <v>46169.661887407405</v>
      </c>
      <c r="C1977" s="7" t="s">
        <v>26</v>
      </c>
      <c r="D1977" s="8" t="s">
        <v>2140</v>
      </c>
      <c r="E1977" s="8" t="s">
        <v>440</v>
      </c>
      <c r="F1977" s="7" t="s">
        <v>2141</v>
      </c>
      <c r="G1977" s="9" t="s">
        <v>19</v>
      </c>
      <c r="H1977" s="7" t="s">
        <v>6226</v>
      </c>
      <c r="I1977" s="7" t="s">
        <v>6212</v>
      </c>
      <c r="J1977" s="10">
        <v>46108.0</v>
      </c>
      <c r="K1977" s="8" t="s">
        <v>753</v>
      </c>
      <c r="L1977" s="7">
        <v>3.0</v>
      </c>
      <c r="M1977" s="7" t="s">
        <v>1064</v>
      </c>
      <c r="N1977" s="13" t="s">
        <v>6227</v>
      </c>
      <c r="O1977" s="15" t="s">
        <v>6228</v>
      </c>
    </row>
    <row r="1978">
      <c r="A1978" s="5">
        <v>2313.0</v>
      </c>
      <c r="B1978" s="6">
        <v>46169.66284701389</v>
      </c>
      <c r="C1978" s="7" t="s">
        <v>26</v>
      </c>
      <c r="D1978" s="8" t="s">
        <v>2487</v>
      </c>
      <c r="E1978" s="8" t="s">
        <v>164</v>
      </c>
      <c r="F1978" s="7" t="s">
        <v>2488</v>
      </c>
      <c r="G1978" s="9" t="s">
        <v>19</v>
      </c>
      <c r="H1978" s="7" t="s">
        <v>6211</v>
      </c>
      <c r="I1978" s="7" t="s">
        <v>6217</v>
      </c>
      <c r="J1978" s="10">
        <v>46120.0</v>
      </c>
      <c r="K1978" s="8" t="s">
        <v>3318</v>
      </c>
      <c r="L1978" s="7">
        <v>6.0</v>
      </c>
      <c r="M1978" s="7" t="s">
        <v>1064</v>
      </c>
      <c r="N1978" s="13" t="s">
        <v>6229</v>
      </c>
      <c r="O1978" s="15" t="s">
        <v>6230</v>
      </c>
    </row>
    <row r="1979">
      <c r="A1979" s="5">
        <v>2314.0</v>
      </c>
      <c r="B1979" s="6">
        <v>46169.663098634264</v>
      </c>
      <c r="C1979" s="7" t="s">
        <v>26</v>
      </c>
      <c r="D1979" s="8" t="s">
        <v>2140</v>
      </c>
      <c r="E1979" s="8" t="s">
        <v>440</v>
      </c>
      <c r="F1979" s="7" t="s">
        <v>2141</v>
      </c>
      <c r="G1979" s="9" t="s">
        <v>19</v>
      </c>
      <c r="H1979" s="7" t="s">
        <v>6226</v>
      </c>
      <c r="I1979" s="7" t="s">
        <v>6212</v>
      </c>
      <c r="J1979" s="10">
        <v>46115.0</v>
      </c>
      <c r="K1979" s="8" t="s">
        <v>753</v>
      </c>
      <c r="L1979" s="7">
        <v>3.0</v>
      </c>
      <c r="M1979" s="7" t="s">
        <v>1064</v>
      </c>
      <c r="N1979" s="13" t="s">
        <v>6231</v>
      </c>
      <c r="O1979" s="15" t="s">
        <v>6232</v>
      </c>
    </row>
    <row r="1980">
      <c r="A1980" s="5">
        <v>2315.0</v>
      </c>
      <c r="B1980" s="6">
        <v>46169.663968761575</v>
      </c>
      <c r="C1980" s="7" t="s">
        <v>26</v>
      </c>
      <c r="D1980" s="8" t="s">
        <v>2487</v>
      </c>
      <c r="E1980" s="8" t="s">
        <v>164</v>
      </c>
      <c r="F1980" s="7" t="s">
        <v>2488</v>
      </c>
      <c r="G1980" s="9" t="s">
        <v>19</v>
      </c>
      <c r="H1980" s="7" t="s">
        <v>6211</v>
      </c>
      <c r="I1980" s="7" t="s">
        <v>6233</v>
      </c>
      <c r="J1980" s="10">
        <v>46121.0</v>
      </c>
      <c r="K1980" s="8" t="s">
        <v>6234</v>
      </c>
      <c r="L1980" s="7">
        <v>8.0</v>
      </c>
      <c r="M1980" s="7" t="s">
        <v>1064</v>
      </c>
      <c r="N1980" s="13" t="s">
        <v>6235</v>
      </c>
      <c r="O1980" s="15" t="s">
        <v>6236</v>
      </c>
    </row>
    <row r="1981">
      <c r="A1981" s="5">
        <v>2316.0</v>
      </c>
      <c r="B1981" s="6">
        <v>46169.66418046296</v>
      </c>
      <c r="C1981" s="7" t="s">
        <v>26</v>
      </c>
      <c r="D1981" s="8" t="s">
        <v>2140</v>
      </c>
      <c r="E1981" s="8" t="s">
        <v>440</v>
      </c>
      <c r="F1981" s="7" t="s">
        <v>2141</v>
      </c>
      <c r="G1981" s="9" t="s">
        <v>19</v>
      </c>
      <c r="H1981" s="7" t="s">
        <v>6226</v>
      </c>
      <c r="I1981" s="7" t="s">
        <v>6212</v>
      </c>
      <c r="J1981" s="10">
        <v>46119.0</v>
      </c>
      <c r="K1981" s="8" t="s">
        <v>6223</v>
      </c>
      <c r="L1981" s="7">
        <v>6.0</v>
      </c>
      <c r="M1981" s="7" t="s">
        <v>1064</v>
      </c>
      <c r="N1981" s="13" t="s">
        <v>6237</v>
      </c>
      <c r="O1981" s="15" t="s">
        <v>6238</v>
      </c>
    </row>
    <row r="1982">
      <c r="A1982" s="5">
        <v>2317.0</v>
      </c>
      <c r="B1982" s="6">
        <v>46169.66524905093</v>
      </c>
      <c r="C1982" s="7" t="s">
        <v>26</v>
      </c>
      <c r="D1982" s="8" t="s">
        <v>2140</v>
      </c>
      <c r="E1982" s="8" t="s">
        <v>440</v>
      </c>
      <c r="F1982" s="7" t="s">
        <v>2141</v>
      </c>
      <c r="G1982" s="9" t="s">
        <v>19</v>
      </c>
      <c r="H1982" s="7" t="s">
        <v>6226</v>
      </c>
      <c r="I1982" s="7" t="s">
        <v>6212</v>
      </c>
      <c r="J1982" s="10">
        <v>46120.0</v>
      </c>
      <c r="K1982" s="8" t="s">
        <v>3318</v>
      </c>
      <c r="L1982" s="7">
        <v>6.0</v>
      </c>
      <c r="M1982" s="7" t="s">
        <v>1064</v>
      </c>
      <c r="N1982" s="13" t="s">
        <v>6239</v>
      </c>
      <c r="O1982" s="15" t="s">
        <v>6240</v>
      </c>
    </row>
    <row r="1983">
      <c r="A1983" s="5">
        <v>2318.0</v>
      </c>
      <c r="B1983" s="6">
        <v>46169.66656734954</v>
      </c>
      <c r="C1983" s="7" t="s">
        <v>26</v>
      </c>
      <c r="D1983" s="8" t="s">
        <v>2140</v>
      </c>
      <c r="E1983" s="8" t="s">
        <v>440</v>
      </c>
      <c r="F1983" s="7" t="s">
        <v>2141</v>
      </c>
      <c r="G1983" s="9" t="s">
        <v>19</v>
      </c>
      <c r="H1983" s="7" t="s">
        <v>6241</v>
      </c>
      <c r="I1983" s="7" t="s">
        <v>6212</v>
      </c>
      <c r="J1983" s="10">
        <v>46121.0</v>
      </c>
      <c r="K1983" s="8" t="s">
        <v>6234</v>
      </c>
      <c r="L1983" s="7">
        <v>8.0</v>
      </c>
      <c r="M1983" s="7" t="s">
        <v>1064</v>
      </c>
      <c r="N1983" s="13" t="s">
        <v>6242</v>
      </c>
      <c r="O1983" s="15" t="s">
        <v>6243</v>
      </c>
    </row>
    <row r="1984">
      <c r="A1984" s="5">
        <v>2319.0</v>
      </c>
      <c r="B1984" s="6">
        <v>46169.68837263889</v>
      </c>
      <c r="C1984" s="7" t="s">
        <v>26</v>
      </c>
      <c r="D1984" s="8" t="s">
        <v>934</v>
      </c>
      <c r="E1984" s="8" t="s">
        <v>674</v>
      </c>
      <c r="F1984" s="7" t="s">
        <v>935</v>
      </c>
      <c r="G1984" s="9" t="s">
        <v>19</v>
      </c>
      <c r="H1984" s="7" t="s">
        <v>6244</v>
      </c>
      <c r="I1984" s="7" t="s">
        <v>5335</v>
      </c>
      <c r="J1984" s="10">
        <v>46032.0</v>
      </c>
      <c r="K1984" s="8" t="s">
        <v>2328</v>
      </c>
      <c r="L1984" s="7">
        <v>8.0</v>
      </c>
      <c r="M1984" s="7" t="s">
        <v>87</v>
      </c>
      <c r="N1984" s="13" t="s">
        <v>6245</v>
      </c>
      <c r="O1984" s="15" t="s">
        <v>6246</v>
      </c>
    </row>
    <row r="1985">
      <c r="A1985" s="5">
        <v>2320.0</v>
      </c>
      <c r="B1985" s="6">
        <v>46169.695183993055</v>
      </c>
      <c r="C1985" s="7" t="s">
        <v>760</v>
      </c>
      <c r="D1985" s="8" t="s">
        <v>4645</v>
      </c>
      <c r="E1985" s="8" t="s">
        <v>1259</v>
      </c>
      <c r="F1985" s="7" t="s">
        <v>4646</v>
      </c>
      <c r="G1985" s="9" t="s">
        <v>19</v>
      </c>
      <c r="H1985" s="7" t="s">
        <v>5410</v>
      </c>
      <c r="I1985" s="7" t="s">
        <v>5411</v>
      </c>
      <c r="J1985" s="10">
        <v>46136.0</v>
      </c>
      <c r="K1985" s="8" t="s">
        <v>5412</v>
      </c>
      <c r="L1985" s="7">
        <v>8.0</v>
      </c>
      <c r="M1985" s="7" t="s">
        <v>87</v>
      </c>
      <c r="N1985" s="13" t="s">
        <v>6247</v>
      </c>
      <c r="O1985" s="15" t="s">
        <v>6248</v>
      </c>
    </row>
    <row r="1986">
      <c r="A1986" s="5">
        <v>2321.0</v>
      </c>
      <c r="B1986" s="6">
        <v>46169.69596858796</v>
      </c>
      <c r="C1986" s="7" t="s">
        <v>760</v>
      </c>
      <c r="D1986" s="8" t="s">
        <v>4645</v>
      </c>
      <c r="E1986" s="8" t="s">
        <v>1259</v>
      </c>
      <c r="F1986" s="7" t="s">
        <v>4646</v>
      </c>
      <c r="G1986" s="9" t="s">
        <v>19</v>
      </c>
      <c r="H1986" s="7" t="s">
        <v>5410</v>
      </c>
      <c r="I1986" s="7" t="s">
        <v>5411</v>
      </c>
      <c r="J1986" s="10">
        <v>46137.0</v>
      </c>
      <c r="K1986" s="8" t="s">
        <v>49</v>
      </c>
      <c r="L1986" s="7">
        <v>8.0</v>
      </c>
      <c r="M1986" s="7" t="s">
        <v>87</v>
      </c>
      <c r="N1986" s="13" t="s">
        <v>6249</v>
      </c>
      <c r="O1986" s="15" t="s">
        <v>6250</v>
      </c>
    </row>
    <row r="1987">
      <c r="A1987" s="5">
        <v>2322.0</v>
      </c>
      <c r="B1987" s="6">
        <v>46169.69670418982</v>
      </c>
      <c r="C1987" s="7" t="s">
        <v>760</v>
      </c>
      <c r="D1987" s="8" t="s">
        <v>4645</v>
      </c>
      <c r="E1987" s="8" t="s">
        <v>1259</v>
      </c>
      <c r="F1987" s="7" t="s">
        <v>4646</v>
      </c>
      <c r="G1987" s="9" t="s">
        <v>19</v>
      </c>
      <c r="H1987" s="7" t="s">
        <v>5410</v>
      </c>
      <c r="I1987" s="7" t="s">
        <v>5411</v>
      </c>
      <c r="J1987" s="10">
        <v>46138.0</v>
      </c>
      <c r="K1987" s="8" t="s">
        <v>5412</v>
      </c>
      <c r="L1987" s="7">
        <v>8.0</v>
      </c>
      <c r="M1987" s="7" t="s">
        <v>87</v>
      </c>
      <c r="N1987" s="13" t="s">
        <v>6251</v>
      </c>
      <c r="O1987" s="15" t="s">
        <v>6252</v>
      </c>
    </row>
    <row r="1988">
      <c r="A1988" s="5">
        <v>2323.0</v>
      </c>
      <c r="B1988" s="6">
        <v>46169.80841751157</v>
      </c>
      <c r="C1988" s="7" t="s">
        <v>760</v>
      </c>
      <c r="D1988" s="8" t="s">
        <v>4848</v>
      </c>
      <c r="E1988" s="8" t="s">
        <v>228</v>
      </c>
      <c r="F1988" s="7" t="s">
        <v>4849</v>
      </c>
      <c r="G1988" s="9" t="s">
        <v>181</v>
      </c>
      <c r="H1988" s="7" t="s">
        <v>895</v>
      </c>
      <c r="I1988" s="7" t="s">
        <v>231</v>
      </c>
      <c r="J1988" s="10">
        <v>46114.0</v>
      </c>
      <c r="K1988" s="8" t="s">
        <v>6253</v>
      </c>
      <c r="L1988" s="7">
        <v>1.0</v>
      </c>
      <c r="M1988" s="7" t="s">
        <v>33</v>
      </c>
      <c r="N1988" s="13" t="s">
        <v>6254</v>
      </c>
      <c r="O1988" s="15" t="s">
        <v>6255</v>
      </c>
    </row>
    <row r="1989">
      <c r="A1989" s="5">
        <v>2324.0</v>
      </c>
      <c r="B1989" s="6">
        <v>46169.809244097225</v>
      </c>
      <c r="C1989" s="7" t="s">
        <v>760</v>
      </c>
      <c r="D1989" s="8" t="s">
        <v>4848</v>
      </c>
      <c r="E1989" s="8" t="s">
        <v>228</v>
      </c>
      <c r="F1989" s="7" t="s">
        <v>4849</v>
      </c>
      <c r="G1989" s="9" t="s">
        <v>181</v>
      </c>
      <c r="H1989" s="7" t="s">
        <v>895</v>
      </c>
      <c r="I1989" s="7" t="s">
        <v>231</v>
      </c>
      <c r="J1989" s="10">
        <v>46115.0</v>
      </c>
      <c r="K1989" s="8" t="s">
        <v>6253</v>
      </c>
      <c r="L1989" s="7">
        <v>1.0</v>
      </c>
      <c r="M1989" s="7" t="s">
        <v>33</v>
      </c>
      <c r="N1989" s="13" t="s">
        <v>6256</v>
      </c>
      <c r="O1989" s="15" t="s">
        <v>6257</v>
      </c>
    </row>
    <row r="1990">
      <c r="A1990" s="5">
        <v>2325.0</v>
      </c>
      <c r="B1990" s="6">
        <v>46170.38673107639</v>
      </c>
      <c r="C1990" s="7" t="s">
        <v>760</v>
      </c>
      <c r="D1990" s="8" t="s">
        <v>3979</v>
      </c>
      <c r="E1990" s="8" t="s">
        <v>236</v>
      </c>
      <c r="F1990" s="7" t="s">
        <v>3980</v>
      </c>
      <c r="G1990" s="9" t="s">
        <v>181</v>
      </c>
      <c r="H1990" s="7" t="s">
        <v>6258</v>
      </c>
      <c r="I1990" s="7" t="s">
        <v>6026</v>
      </c>
      <c r="J1990" s="10">
        <v>46147.0</v>
      </c>
      <c r="K1990" s="8" t="s">
        <v>3287</v>
      </c>
      <c r="L1990" s="7">
        <v>3.0</v>
      </c>
      <c r="M1990" s="7" t="s">
        <v>931</v>
      </c>
      <c r="N1990" s="13" t="s">
        <v>6259</v>
      </c>
      <c r="O1990" s="15" t="s">
        <v>6260</v>
      </c>
    </row>
    <row r="1991">
      <c r="A1991" s="5">
        <v>2326.0</v>
      </c>
      <c r="B1991" s="6">
        <v>46170.38987320602</v>
      </c>
      <c r="C1991" s="7" t="s">
        <v>760</v>
      </c>
      <c r="D1991" s="8" t="s">
        <v>3979</v>
      </c>
      <c r="E1991" s="8" t="s">
        <v>236</v>
      </c>
      <c r="F1991" s="7" t="s">
        <v>3980</v>
      </c>
      <c r="G1991" s="9" t="s">
        <v>181</v>
      </c>
      <c r="H1991" s="7" t="s">
        <v>1222</v>
      </c>
      <c r="I1991" s="7" t="s">
        <v>231</v>
      </c>
      <c r="J1991" s="10">
        <v>46163.0</v>
      </c>
      <c r="K1991" s="8" t="s">
        <v>310</v>
      </c>
      <c r="L1991" s="7">
        <v>1.0</v>
      </c>
      <c r="M1991" s="7" t="s">
        <v>553</v>
      </c>
      <c r="N1991" s="13" t="s">
        <v>6261</v>
      </c>
      <c r="O1991" s="15" t="s">
        <v>6262</v>
      </c>
    </row>
    <row r="1992">
      <c r="A1992" s="5">
        <v>2327.0</v>
      </c>
      <c r="B1992" s="6">
        <v>46170.49390644676</v>
      </c>
      <c r="C1992" s="7" t="s">
        <v>760</v>
      </c>
      <c r="D1992" s="8" t="s">
        <v>1190</v>
      </c>
      <c r="E1992" s="8" t="s">
        <v>1042</v>
      </c>
      <c r="F1992" s="7" t="s">
        <v>1191</v>
      </c>
      <c r="G1992" s="9" t="s">
        <v>181</v>
      </c>
      <c r="H1992" s="7" t="s">
        <v>6263</v>
      </c>
      <c r="I1992" s="7" t="s">
        <v>231</v>
      </c>
      <c r="J1992" s="10">
        <v>46135.0</v>
      </c>
      <c r="K1992" s="8" t="s">
        <v>6264</v>
      </c>
      <c r="L1992" s="7">
        <v>4.0</v>
      </c>
      <c r="M1992" s="7" t="s">
        <v>33</v>
      </c>
      <c r="N1992" s="13" t="s">
        <v>6265</v>
      </c>
      <c r="O1992" s="15" t="s">
        <v>6266</v>
      </c>
    </row>
    <row r="1993">
      <c r="A1993" s="5">
        <v>2328.0</v>
      </c>
      <c r="B1993" s="6">
        <v>46170.49654393518</v>
      </c>
      <c r="C1993" s="7" t="s">
        <v>760</v>
      </c>
      <c r="D1993" s="8" t="s">
        <v>6267</v>
      </c>
      <c r="E1993" s="8" t="s">
        <v>830</v>
      </c>
      <c r="F1993" s="7" t="s">
        <v>831</v>
      </c>
      <c r="G1993" s="9" t="s">
        <v>181</v>
      </c>
      <c r="H1993" s="7" t="s">
        <v>6022</v>
      </c>
      <c r="I1993" s="7" t="s">
        <v>6026</v>
      </c>
      <c r="J1993" s="10">
        <v>46147.0</v>
      </c>
      <c r="K1993" s="8" t="s">
        <v>3287</v>
      </c>
      <c r="L1993" s="7">
        <v>3.0</v>
      </c>
      <c r="M1993" s="7" t="s">
        <v>1325</v>
      </c>
      <c r="N1993" s="13" t="s">
        <v>6268</v>
      </c>
      <c r="O1993" s="15" t="s">
        <v>6269</v>
      </c>
    </row>
    <row r="1994">
      <c r="A1994" s="5">
        <v>2329.0</v>
      </c>
      <c r="B1994" s="6">
        <v>46170.49802237269</v>
      </c>
      <c r="C1994" s="7" t="s">
        <v>760</v>
      </c>
      <c r="D1994" s="8" t="s">
        <v>1672</v>
      </c>
      <c r="E1994" s="8" t="s">
        <v>881</v>
      </c>
      <c r="F1994" s="7" t="s">
        <v>1673</v>
      </c>
      <c r="G1994" s="9" t="s">
        <v>181</v>
      </c>
      <c r="H1994" s="7" t="s">
        <v>5432</v>
      </c>
      <c r="I1994" s="7" t="s">
        <v>231</v>
      </c>
      <c r="J1994" s="10">
        <v>46133.0</v>
      </c>
      <c r="K1994" s="8" t="s">
        <v>962</v>
      </c>
      <c r="L1994" s="7">
        <v>4.0</v>
      </c>
      <c r="M1994" s="7" t="s">
        <v>33</v>
      </c>
      <c r="N1994" s="13" t="s">
        <v>6270</v>
      </c>
      <c r="O1994" s="15" t="s">
        <v>6271</v>
      </c>
    </row>
    <row r="1995">
      <c r="A1995" s="5">
        <v>2330.0</v>
      </c>
      <c r="B1995" s="6">
        <v>46170.49979957176</v>
      </c>
      <c r="C1995" s="7" t="s">
        <v>760</v>
      </c>
      <c r="D1995" s="8" t="s">
        <v>1672</v>
      </c>
      <c r="E1995" s="8" t="s">
        <v>881</v>
      </c>
      <c r="F1995" s="7" t="s">
        <v>1673</v>
      </c>
      <c r="G1995" s="9" t="s">
        <v>181</v>
      </c>
      <c r="H1995" s="7" t="s">
        <v>5432</v>
      </c>
      <c r="I1995" s="7" t="s">
        <v>231</v>
      </c>
      <c r="J1995" s="10">
        <v>46134.0</v>
      </c>
      <c r="K1995" s="8" t="s">
        <v>962</v>
      </c>
      <c r="L1995" s="7">
        <v>4.0</v>
      </c>
      <c r="M1995" s="7" t="s">
        <v>33</v>
      </c>
      <c r="N1995" s="13" t="s">
        <v>6272</v>
      </c>
      <c r="O1995" s="15" t="s">
        <v>6273</v>
      </c>
    </row>
    <row r="1996">
      <c r="A1996" s="5">
        <v>2331.0</v>
      </c>
      <c r="B1996" s="6">
        <v>46170.50026045139</v>
      </c>
      <c r="C1996" s="7" t="s">
        <v>760</v>
      </c>
      <c r="D1996" s="8" t="s">
        <v>816</v>
      </c>
      <c r="E1996" s="8" t="s">
        <v>817</v>
      </c>
      <c r="F1996" s="7" t="s">
        <v>818</v>
      </c>
      <c r="G1996" s="9" t="s">
        <v>181</v>
      </c>
      <c r="H1996" s="7" t="s">
        <v>6022</v>
      </c>
      <c r="I1996" s="7" t="s">
        <v>6026</v>
      </c>
      <c r="J1996" s="10">
        <v>46147.0</v>
      </c>
      <c r="K1996" s="8" t="s">
        <v>3287</v>
      </c>
      <c r="L1996" s="7">
        <v>3.0</v>
      </c>
      <c r="M1996" s="7" t="s">
        <v>1325</v>
      </c>
      <c r="N1996" s="13" t="s">
        <v>6274</v>
      </c>
      <c r="O1996" s="15" t="s">
        <v>6275</v>
      </c>
    </row>
    <row r="1997">
      <c r="A1997" s="5">
        <v>2332.0</v>
      </c>
      <c r="B1997" s="6">
        <v>46170.50037184027</v>
      </c>
      <c r="C1997" s="7" t="s">
        <v>760</v>
      </c>
      <c r="D1997" s="8" t="s">
        <v>6276</v>
      </c>
      <c r="E1997" s="8" t="s">
        <v>110</v>
      </c>
      <c r="F1997" s="7" t="s">
        <v>6277</v>
      </c>
      <c r="G1997" s="9" t="s">
        <v>181</v>
      </c>
      <c r="H1997" s="7" t="s">
        <v>6278</v>
      </c>
      <c r="I1997" s="7" t="s">
        <v>231</v>
      </c>
      <c r="J1997" s="10">
        <v>46164.0</v>
      </c>
      <c r="K1997" s="8" t="s">
        <v>6079</v>
      </c>
      <c r="L1997" s="7">
        <v>3.0</v>
      </c>
      <c r="M1997" s="7" t="s">
        <v>6279</v>
      </c>
      <c r="N1997" s="13" t="s">
        <v>6280</v>
      </c>
      <c r="O1997" s="15" t="s">
        <v>6281</v>
      </c>
    </row>
    <row r="1998">
      <c r="A1998" s="5">
        <v>2334.0</v>
      </c>
      <c r="B1998" s="6">
        <v>46170.50155597222</v>
      </c>
      <c r="C1998" s="7" t="s">
        <v>760</v>
      </c>
      <c r="D1998" s="8" t="s">
        <v>1672</v>
      </c>
      <c r="E1998" s="8" t="s">
        <v>881</v>
      </c>
      <c r="F1998" s="7" t="s">
        <v>1673</v>
      </c>
      <c r="G1998" s="9" t="s">
        <v>181</v>
      </c>
      <c r="H1998" s="7" t="s">
        <v>5432</v>
      </c>
      <c r="I1998" s="7" t="s">
        <v>231</v>
      </c>
      <c r="J1998" s="10">
        <v>46135.0</v>
      </c>
      <c r="K1998" s="8" t="s">
        <v>962</v>
      </c>
      <c r="L1998" s="7">
        <v>4.0</v>
      </c>
      <c r="M1998" s="7" t="s">
        <v>33</v>
      </c>
      <c r="N1998" s="13" t="s">
        <v>6282</v>
      </c>
      <c r="O1998" s="15" t="s">
        <v>6283</v>
      </c>
    </row>
    <row r="1999">
      <c r="A1999" s="5">
        <v>2335.0</v>
      </c>
      <c r="B1999" s="6">
        <v>46170.502878495376</v>
      </c>
      <c r="C1999" s="7" t="s">
        <v>760</v>
      </c>
      <c r="D1999" s="8" t="s">
        <v>829</v>
      </c>
      <c r="E1999" s="8" t="s">
        <v>830</v>
      </c>
      <c r="F1999" s="7" t="s">
        <v>831</v>
      </c>
      <c r="G1999" s="9" t="s">
        <v>181</v>
      </c>
      <c r="H1999" s="7" t="s">
        <v>6284</v>
      </c>
      <c r="I1999" s="7" t="s">
        <v>231</v>
      </c>
      <c r="J1999" s="10">
        <v>46164.0</v>
      </c>
      <c r="K1999" s="8" t="s">
        <v>3287</v>
      </c>
      <c r="L1999" s="7">
        <v>3.0</v>
      </c>
      <c r="M1999" s="7" t="s">
        <v>3607</v>
      </c>
      <c r="N1999" s="13" t="s">
        <v>6285</v>
      </c>
      <c r="O1999" s="15" t="s">
        <v>6286</v>
      </c>
    </row>
    <row r="2000">
      <c r="A2000" s="5">
        <v>2336.0</v>
      </c>
      <c r="B2000" s="6">
        <v>46170.52826875</v>
      </c>
      <c r="C2000" s="7" t="s">
        <v>760</v>
      </c>
      <c r="D2000" s="8" t="s">
        <v>1424</v>
      </c>
      <c r="E2000" s="8" t="s">
        <v>110</v>
      </c>
      <c r="F2000" s="7" t="s">
        <v>1425</v>
      </c>
      <c r="G2000" s="9" t="s">
        <v>19</v>
      </c>
      <c r="H2000" s="7" t="s">
        <v>6287</v>
      </c>
      <c r="I2000" s="7" t="s">
        <v>6146</v>
      </c>
      <c r="J2000" s="10">
        <v>46134.0</v>
      </c>
      <c r="K2000" s="8" t="s">
        <v>6288</v>
      </c>
      <c r="L2000" s="7">
        <v>8.0</v>
      </c>
      <c r="M2000" s="7" t="s">
        <v>1564</v>
      </c>
      <c r="N2000" s="13" t="s">
        <v>6289</v>
      </c>
      <c r="O2000" s="15" t="s">
        <v>6290</v>
      </c>
    </row>
    <row r="2001">
      <c r="A2001" s="5">
        <v>2337.0</v>
      </c>
      <c r="B2001" s="6">
        <v>46170.53026658564</v>
      </c>
      <c r="C2001" s="7" t="s">
        <v>760</v>
      </c>
      <c r="D2001" s="8" t="s">
        <v>1179</v>
      </c>
      <c r="E2001" s="8" t="s">
        <v>396</v>
      </c>
      <c r="F2001" s="7" t="s">
        <v>1180</v>
      </c>
      <c r="G2001" s="9" t="s">
        <v>209</v>
      </c>
      <c r="H2001" s="7" t="s">
        <v>6291</v>
      </c>
      <c r="I2001" s="7" t="s">
        <v>6292</v>
      </c>
      <c r="J2001" s="10">
        <v>46166.0</v>
      </c>
      <c r="K2001" s="8" t="s">
        <v>2659</v>
      </c>
      <c r="L2001" s="7">
        <v>1.0</v>
      </c>
      <c r="M2001" s="7" t="s">
        <v>1982</v>
      </c>
      <c r="N2001" s="13" t="s">
        <v>6293</v>
      </c>
      <c r="O2001" s="15" t="s">
        <v>6294</v>
      </c>
    </row>
    <row r="2002">
      <c r="A2002" s="5">
        <v>2338.0</v>
      </c>
      <c r="B2002" s="6">
        <v>46170.53041436343</v>
      </c>
      <c r="C2002" s="7" t="s">
        <v>760</v>
      </c>
      <c r="D2002" s="8" t="s">
        <v>2071</v>
      </c>
      <c r="E2002" s="8" t="s">
        <v>319</v>
      </c>
      <c r="F2002" s="7" t="s">
        <v>2072</v>
      </c>
      <c r="G2002" s="9" t="s">
        <v>19</v>
      </c>
      <c r="H2002" s="7" t="s">
        <v>5653</v>
      </c>
      <c r="I2002" s="7" t="s">
        <v>2029</v>
      </c>
      <c r="J2002" s="10">
        <v>46078.0</v>
      </c>
      <c r="K2002" s="8" t="s">
        <v>2179</v>
      </c>
      <c r="L2002" s="7">
        <v>8.0</v>
      </c>
      <c r="M2002" s="7" t="s">
        <v>87</v>
      </c>
      <c r="N2002" s="13" t="s">
        <v>6295</v>
      </c>
      <c r="O2002" s="15" t="s">
        <v>6296</v>
      </c>
    </row>
    <row r="2003">
      <c r="A2003" s="5">
        <v>2339.0</v>
      </c>
      <c r="B2003" s="6">
        <v>46170.53266739583</v>
      </c>
      <c r="C2003" s="7" t="s">
        <v>760</v>
      </c>
      <c r="D2003" s="8" t="s">
        <v>4879</v>
      </c>
      <c r="E2003" s="8" t="s">
        <v>3024</v>
      </c>
      <c r="F2003" s="7" t="s">
        <v>4880</v>
      </c>
      <c r="G2003" s="9" t="s">
        <v>19</v>
      </c>
      <c r="H2003" s="7" t="s">
        <v>6297</v>
      </c>
      <c r="I2003" s="7" t="s">
        <v>6298</v>
      </c>
      <c r="J2003" s="10">
        <v>46134.0</v>
      </c>
      <c r="K2003" s="8" t="s">
        <v>3326</v>
      </c>
      <c r="L2003" s="7">
        <v>8.0</v>
      </c>
      <c r="M2003" s="7" t="s">
        <v>1564</v>
      </c>
      <c r="N2003" s="13" t="s">
        <v>6299</v>
      </c>
      <c r="O2003" s="15" t="s">
        <v>6300</v>
      </c>
    </row>
    <row r="2004">
      <c r="A2004" s="5">
        <v>2340.0</v>
      </c>
      <c r="B2004" s="6">
        <v>46170.538808576384</v>
      </c>
      <c r="C2004" s="7" t="s">
        <v>760</v>
      </c>
      <c r="D2004" s="8" t="s">
        <v>1672</v>
      </c>
      <c r="E2004" s="8" t="s">
        <v>881</v>
      </c>
      <c r="F2004" s="7" t="s">
        <v>1673</v>
      </c>
      <c r="G2004" s="9" t="s">
        <v>181</v>
      </c>
      <c r="H2004" s="7" t="s">
        <v>5432</v>
      </c>
      <c r="I2004" s="7" t="s">
        <v>231</v>
      </c>
      <c r="J2004" s="10">
        <v>46138.0</v>
      </c>
      <c r="K2004" s="8" t="s">
        <v>3192</v>
      </c>
      <c r="L2004" s="7">
        <v>6.0</v>
      </c>
      <c r="M2004" s="7" t="s">
        <v>33</v>
      </c>
      <c r="N2004" s="13" t="s">
        <v>6301</v>
      </c>
      <c r="O2004" s="15" t="s">
        <v>6302</v>
      </c>
    </row>
    <row r="2005">
      <c r="A2005" s="5">
        <v>2341.0</v>
      </c>
      <c r="B2005" s="6">
        <v>46170.54040866898</v>
      </c>
      <c r="C2005" s="7" t="s">
        <v>760</v>
      </c>
      <c r="D2005" s="8" t="s">
        <v>1672</v>
      </c>
      <c r="E2005" s="8" t="s">
        <v>881</v>
      </c>
      <c r="F2005" s="7" t="s">
        <v>1673</v>
      </c>
      <c r="G2005" s="9" t="s">
        <v>181</v>
      </c>
      <c r="H2005" s="7" t="s">
        <v>5432</v>
      </c>
      <c r="I2005" s="7" t="s">
        <v>5437</v>
      </c>
      <c r="J2005" s="10">
        <v>46139.0</v>
      </c>
      <c r="K2005" s="8" t="s">
        <v>962</v>
      </c>
      <c r="L2005" s="7">
        <v>4.0</v>
      </c>
      <c r="M2005" s="7" t="s">
        <v>33</v>
      </c>
      <c r="N2005" s="13" t="s">
        <v>6303</v>
      </c>
      <c r="O2005" s="15" t="s">
        <v>6304</v>
      </c>
    </row>
    <row r="2006">
      <c r="A2006" s="5">
        <v>2342.0</v>
      </c>
      <c r="B2006" s="6">
        <v>46170.54314195602</v>
      </c>
      <c r="C2006" s="7" t="s">
        <v>760</v>
      </c>
      <c r="D2006" s="8" t="s">
        <v>4180</v>
      </c>
      <c r="E2006" s="8" t="s">
        <v>1827</v>
      </c>
      <c r="F2006" s="7" t="s">
        <v>4181</v>
      </c>
      <c r="G2006" s="9" t="s">
        <v>19</v>
      </c>
      <c r="H2006" s="7" t="s">
        <v>6305</v>
      </c>
      <c r="I2006" s="7" t="s">
        <v>4741</v>
      </c>
      <c r="J2006" s="10">
        <v>46121.0</v>
      </c>
      <c r="K2006" s="8" t="s">
        <v>2328</v>
      </c>
      <c r="L2006" s="7">
        <v>8.0</v>
      </c>
      <c r="M2006" s="7" t="s">
        <v>6109</v>
      </c>
      <c r="N2006" s="13" t="s">
        <v>6306</v>
      </c>
      <c r="O2006" s="15" t="s">
        <v>6307</v>
      </c>
    </row>
    <row r="2007">
      <c r="A2007" s="5">
        <v>2344.0</v>
      </c>
      <c r="B2007" s="6">
        <v>46170.54689355324</v>
      </c>
      <c r="C2007" s="7" t="s">
        <v>760</v>
      </c>
      <c r="D2007" s="8" t="s">
        <v>2757</v>
      </c>
      <c r="E2007" s="8" t="s">
        <v>1049</v>
      </c>
      <c r="F2007" s="7" t="s">
        <v>2758</v>
      </c>
      <c r="G2007" s="9" t="s">
        <v>19</v>
      </c>
      <c r="H2007" s="7" t="s">
        <v>6114</v>
      </c>
      <c r="I2007" s="7" t="s">
        <v>4741</v>
      </c>
      <c r="J2007" s="10">
        <v>46121.0</v>
      </c>
      <c r="K2007" s="8" t="s">
        <v>2328</v>
      </c>
      <c r="L2007" s="7">
        <v>8.0</v>
      </c>
      <c r="M2007" s="7" t="s">
        <v>6109</v>
      </c>
      <c r="N2007" s="13" t="s">
        <v>6308</v>
      </c>
      <c r="O2007" s="15" t="s">
        <v>6309</v>
      </c>
    </row>
    <row r="2008">
      <c r="A2008" s="5">
        <v>2345.0</v>
      </c>
      <c r="B2008" s="6">
        <v>46170.547138009264</v>
      </c>
      <c r="C2008" s="7" t="s">
        <v>760</v>
      </c>
      <c r="D2008" s="8" t="s">
        <v>4180</v>
      </c>
      <c r="E2008" s="8" t="s">
        <v>1827</v>
      </c>
      <c r="F2008" s="7" t="s">
        <v>4181</v>
      </c>
      <c r="G2008" s="9" t="s">
        <v>181</v>
      </c>
      <c r="H2008" s="7" t="s">
        <v>3401</v>
      </c>
      <c r="I2008" s="7" t="s">
        <v>231</v>
      </c>
      <c r="J2008" s="10">
        <v>46079.0</v>
      </c>
      <c r="K2008" s="8" t="s">
        <v>310</v>
      </c>
      <c r="L2008" s="7">
        <v>1.0</v>
      </c>
      <c r="M2008" s="7" t="s">
        <v>6310</v>
      </c>
      <c r="N2008" s="13" t="s">
        <v>6311</v>
      </c>
      <c r="O2008" s="15" t="s">
        <v>6312</v>
      </c>
    </row>
    <row r="2009">
      <c r="A2009" s="5">
        <v>2346.0</v>
      </c>
      <c r="B2009" s="6">
        <v>46170.55121409722</v>
      </c>
      <c r="C2009" s="7" t="s">
        <v>760</v>
      </c>
      <c r="D2009" s="8" t="s">
        <v>4879</v>
      </c>
      <c r="E2009" s="8" t="s">
        <v>3024</v>
      </c>
      <c r="F2009" s="7" t="s">
        <v>4880</v>
      </c>
      <c r="G2009" s="9" t="s">
        <v>19</v>
      </c>
      <c r="H2009" s="7" t="s">
        <v>5653</v>
      </c>
      <c r="I2009" s="7" t="s">
        <v>2029</v>
      </c>
      <c r="J2009" s="10">
        <v>46078.0</v>
      </c>
      <c r="K2009" s="8" t="s">
        <v>2179</v>
      </c>
      <c r="L2009" s="7">
        <v>8.0</v>
      </c>
      <c r="M2009" s="7" t="s">
        <v>87</v>
      </c>
      <c r="N2009" s="13" t="s">
        <v>6313</v>
      </c>
      <c r="O2009" s="15" t="s">
        <v>6314</v>
      </c>
    </row>
    <row r="2010">
      <c r="A2010" s="5">
        <v>2347.0</v>
      </c>
      <c r="B2010" s="6">
        <v>46170.5521887963</v>
      </c>
      <c r="C2010" s="7" t="s">
        <v>760</v>
      </c>
      <c r="D2010" s="8" t="s">
        <v>4180</v>
      </c>
      <c r="E2010" s="8" t="s">
        <v>1827</v>
      </c>
      <c r="F2010" s="7" t="s">
        <v>4181</v>
      </c>
      <c r="G2010" s="9" t="s">
        <v>181</v>
      </c>
      <c r="H2010" s="7" t="s">
        <v>6315</v>
      </c>
      <c r="I2010" s="7" t="s">
        <v>231</v>
      </c>
      <c r="J2010" s="10">
        <v>46164.0</v>
      </c>
      <c r="K2010" s="8" t="s">
        <v>3287</v>
      </c>
      <c r="L2010" s="7">
        <v>3.0</v>
      </c>
      <c r="M2010" s="7" t="s">
        <v>3607</v>
      </c>
      <c r="N2010" s="13" t="s">
        <v>6316</v>
      </c>
      <c r="O2010" s="15" t="s">
        <v>6317</v>
      </c>
    </row>
    <row r="2011">
      <c r="A2011" s="5">
        <v>2348.0</v>
      </c>
      <c r="B2011" s="6">
        <v>46170.55305138889</v>
      </c>
      <c r="C2011" s="7" t="s">
        <v>760</v>
      </c>
      <c r="D2011" s="8" t="s">
        <v>2466</v>
      </c>
      <c r="E2011" s="8" t="s">
        <v>411</v>
      </c>
      <c r="F2011" s="7" t="s">
        <v>2467</v>
      </c>
      <c r="G2011" s="9" t="s">
        <v>19</v>
      </c>
      <c r="H2011" s="7" t="s">
        <v>6318</v>
      </c>
      <c r="I2011" s="7" t="s">
        <v>5978</v>
      </c>
      <c r="J2011" s="10">
        <v>46032.0</v>
      </c>
      <c r="K2011" s="8" t="s">
        <v>2328</v>
      </c>
      <c r="L2011" s="7">
        <v>8.0</v>
      </c>
      <c r="M2011" s="7" t="s">
        <v>87</v>
      </c>
      <c r="N2011" s="13" t="s">
        <v>6319</v>
      </c>
      <c r="O2011" s="15" t="s">
        <v>6320</v>
      </c>
    </row>
    <row r="2012">
      <c r="A2012" s="5">
        <v>2350.0</v>
      </c>
      <c r="B2012" s="6">
        <v>46170.553574351856</v>
      </c>
      <c r="C2012" s="7" t="s">
        <v>760</v>
      </c>
      <c r="D2012" s="8" t="s">
        <v>4180</v>
      </c>
      <c r="E2012" s="8" t="s">
        <v>1827</v>
      </c>
      <c r="F2012" s="7" t="s">
        <v>4181</v>
      </c>
      <c r="G2012" s="9" t="s">
        <v>181</v>
      </c>
      <c r="H2012" s="7" t="s">
        <v>3401</v>
      </c>
      <c r="I2012" s="7" t="s">
        <v>231</v>
      </c>
      <c r="J2012" s="10">
        <v>46142.0</v>
      </c>
      <c r="K2012" s="8" t="s">
        <v>310</v>
      </c>
      <c r="L2012" s="7">
        <v>1.0</v>
      </c>
      <c r="M2012" s="7" t="s">
        <v>6310</v>
      </c>
      <c r="N2012" s="13" t="s">
        <v>6321</v>
      </c>
      <c r="O2012" s="15" t="s">
        <v>6322</v>
      </c>
    </row>
    <row r="2013">
      <c r="A2013" s="5">
        <v>2352.0</v>
      </c>
      <c r="B2013" s="6">
        <v>46170.55527278935</v>
      </c>
      <c r="C2013" s="7" t="s">
        <v>760</v>
      </c>
      <c r="D2013" s="8" t="s">
        <v>2466</v>
      </c>
      <c r="E2013" s="8" t="s">
        <v>411</v>
      </c>
      <c r="F2013" s="7" t="s">
        <v>2467</v>
      </c>
      <c r="G2013" s="9" t="s">
        <v>181</v>
      </c>
      <c r="H2013" s="7" t="s">
        <v>6022</v>
      </c>
      <c r="I2013" s="7" t="s">
        <v>6026</v>
      </c>
      <c r="J2013" s="10">
        <v>46147.0</v>
      </c>
      <c r="K2013" s="8" t="s">
        <v>3287</v>
      </c>
      <c r="L2013" s="7">
        <v>3.0</v>
      </c>
      <c r="M2013" s="7" t="s">
        <v>1325</v>
      </c>
      <c r="N2013" s="13" t="s">
        <v>6323</v>
      </c>
      <c r="O2013" s="15" t="s">
        <v>6324</v>
      </c>
    </row>
    <row r="2014">
      <c r="A2014" s="5">
        <v>2353.0</v>
      </c>
      <c r="B2014" s="6">
        <v>46170.555556817126</v>
      </c>
      <c r="C2014" s="7" t="s">
        <v>760</v>
      </c>
      <c r="D2014" s="8" t="s">
        <v>2757</v>
      </c>
      <c r="E2014" s="8" t="s">
        <v>1049</v>
      </c>
      <c r="F2014" s="7" t="s">
        <v>2758</v>
      </c>
      <c r="G2014" s="9" t="s">
        <v>19</v>
      </c>
      <c r="H2014" s="7" t="s">
        <v>6120</v>
      </c>
      <c r="I2014" s="7" t="s">
        <v>6298</v>
      </c>
      <c r="J2014" s="10">
        <v>46134.0</v>
      </c>
      <c r="K2014" s="8" t="s">
        <v>1647</v>
      </c>
      <c r="L2014" s="7">
        <v>8.0</v>
      </c>
      <c r="M2014" s="7" t="s">
        <v>1564</v>
      </c>
      <c r="N2014" s="13" t="s">
        <v>6325</v>
      </c>
      <c r="O2014" s="15" t="s">
        <v>6326</v>
      </c>
    </row>
    <row r="2015">
      <c r="A2015" s="5">
        <v>2354.0</v>
      </c>
      <c r="B2015" s="6">
        <v>46170.55571424769</v>
      </c>
      <c r="C2015" s="7" t="s">
        <v>760</v>
      </c>
      <c r="D2015" s="8" t="s">
        <v>2060</v>
      </c>
      <c r="E2015" s="8" t="s">
        <v>2061</v>
      </c>
      <c r="F2015" s="7" t="s">
        <v>2062</v>
      </c>
      <c r="G2015" s="9" t="s">
        <v>19</v>
      </c>
      <c r="H2015" s="7" t="s">
        <v>5410</v>
      </c>
      <c r="I2015" s="7" t="s">
        <v>5411</v>
      </c>
      <c r="J2015" s="10">
        <v>46136.0</v>
      </c>
      <c r="K2015" s="8" t="s">
        <v>5412</v>
      </c>
      <c r="L2015" s="7">
        <v>8.0</v>
      </c>
      <c r="M2015" s="7" t="s">
        <v>87</v>
      </c>
      <c r="N2015" s="13" t="s">
        <v>6327</v>
      </c>
      <c r="O2015" s="15" t="s">
        <v>6328</v>
      </c>
    </row>
    <row r="2016">
      <c r="A2016" s="5">
        <v>2355.0</v>
      </c>
      <c r="B2016" s="6">
        <v>46170.555842546295</v>
      </c>
      <c r="C2016" s="7" t="s">
        <v>760</v>
      </c>
      <c r="D2016" s="8" t="s">
        <v>798</v>
      </c>
      <c r="E2016" s="8" t="s">
        <v>799</v>
      </c>
      <c r="F2016" s="7" t="s">
        <v>800</v>
      </c>
      <c r="G2016" s="9" t="s">
        <v>144</v>
      </c>
      <c r="H2016" s="7" t="s">
        <v>6329</v>
      </c>
      <c r="I2016" s="7" t="s">
        <v>6330</v>
      </c>
      <c r="J2016" s="10">
        <v>46023.0</v>
      </c>
      <c r="K2016" s="8" t="s">
        <v>2102</v>
      </c>
      <c r="L2016" s="7">
        <v>1.0</v>
      </c>
      <c r="M2016" s="7" t="s">
        <v>6331</v>
      </c>
      <c r="N2016" s="13" t="s">
        <v>6332</v>
      </c>
      <c r="O2016" s="15" t="s">
        <v>6333</v>
      </c>
    </row>
    <row r="2017">
      <c r="A2017" s="5">
        <v>2356.0</v>
      </c>
      <c r="B2017" s="6">
        <v>46170.55708533565</v>
      </c>
      <c r="C2017" s="7" t="s">
        <v>760</v>
      </c>
      <c r="D2017" s="8" t="s">
        <v>2060</v>
      </c>
      <c r="E2017" s="8" t="s">
        <v>2061</v>
      </c>
      <c r="F2017" s="7" t="s">
        <v>2062</v>
      </c>
      <c r="G2017" s="9" t="s">
        <v>19</v>
      </c>
      <c r="H2017" s="7" t="s">
        <v>5410</v>
      </c>
      <c r="I2017" s="7" t="s">
        <v>5411</v>
      </c>
      <c r="J2017" s="10">
        <v>46137.0</v>
      </c>
      <c r="K2017" s="8" t="s">
        <v>49</v>
      </c>
      <c r="L2017" s="7">
        <v>8.0</v>
      </c>
      <c r="M2017" s="7" t="s">
        <v>87</v>
      </c>
      <c r="N2017" s="13" t="s">
        <v>6334</v>
      </c>
      <c r="O2017" s="15" t="s">
        <v>6335</v>
      </c>
    </row>
    <row r="2018">
      <c r="A2018" s="5">
        <v>2359.0</v>
      </c>
      <c r="B2018" s="6">
        <v>46170.55875303241</v>
      </c>
      <c r="C2018" s="7" t="s">
        <v>760</v>
      </c>
      <c r="D2018" s="8" t="s">
        <v>2060</v>
      </c>
      <c r="E2018" s="8" t="s">
        <v>2061</v>
      </c>
      <c r="F2018" s="7" t="s">
        <v>2062</v>
      </c>
      <c r="G2018" s="9" t="s">
        <v>19</v>
      </c>
      <c r="H2018" s="7" t="s">
        <v>5410</v>
      </c>
      <c r="I2018" s="7" t="s">
        <v>5411</v>
      </c>
      <c r="J2018" s="10">
        <v>46138.0</v>
      </c>
      <c r="K2018" s="8" t="s">
        <v>49</v>
      </c>
      <c r="L2018" s="7">
        <v>8.0</v>
      </c>
      <c r="M2018" s="7" t="s">
        <v>87</v>
      </c>
      <c r="N2018" s="13" t="s">
        <v>6336</v>
      </c>
      <c r="O2018" s="15" t="s">
        <v>6337</v>
      </c>
    </row>
    <row r="2019">
      <c r="A2019" s="5">
        <v>2363.0</v>
      </c>
      <c r="B2019" s="6">
        <v>46170.56116143518</v>
      </c>
      <c r="C2019" s="7" t="s">
        <v>760</v>
      </c>
      <c r="D2019" s="8" t="s">
        <v>4697</v>
      </c>
      <c r="E2019" s="8" t="s">
        <v>547</v>
      </c>
      <c r="F2019" s="7" t="s">
        <v>6338</v>
      </c>
      <c r="G2019" s="9" t="s">
        <v>19</v>
      </c>
      <c r="H2019" s="7" t="s">
        <v>5369</v>
      </c>
      <c r="I2019" s="7" t="s">
        <v>5657</v>
      </c>
      <c r="J2019" s="10">
        <v>46032.0</v>
      </c>
      <c r="K2019" s="8" t="s">
        <v>2328</v>
      </c>
      <c r="L2019" s="7">
        <v>8.0</v>
      </c>
      <c r="M2019" s="7" t="s">
        <v>6339</v>
      </c>
      <c r="N2019" s="13" t="s">
        <v>6340</v>
      </c>
      <c r="O2019" s="15" t="s">
        <v>6341</v>
      </c>
    </row>
    <row r="2020">
      <c r="A2020" s="5">
        <v>2364.0</v>
      </c>
      <c r="B2020" s="6">
        <v>46170.56213199074</v>
      </c>
      <c r="C2020" s="7" t="s">
        <v>760</v>
      </c>
      <c r="D2020" s="8" t="s">
        <v>1214</v>
      </c>
      <c r="E2020" s="8" t="s">
        <v>179</v>
      </c>
      <c r="F2020" s="7" t="s">
        <v>6342</v>
      </c>
      <c r="G2020" s="9" t="s">
        <v>181</v>
      </c>
      <c r="H2020" s="7" t="s">
        <v>5432</v>
      </c>
      <c r="I2020" s="7" t="s">
        <v>231</v>
      </c>
      <c r="J2020" s="10">
        <v>46134.0</v>
      </c>
      <c r="K2020" s="8" t="s">
        <v>962</v>
      </c>
      <c r="L2020" s="7">
        <v>4.0</v>
      </c>
      <c r="M2020" s="7" t="s">
        <v>33</v>
      </c>
      <c r="N2020" s="13" t="s">
        <v>6343</v>
      </c>
      <c r="O2020" s="15" t="s">
        <v>6344</v>
      </c>
    </row>
    <row r="2021">
      <c r="A2021" s="5">
        <v>2365.0</v>
      </c>
      <c r="B2021" s="6">
        <v>46170.563210231485</v>
      </c>
      <c r="C2021" s="7" t="s">
        <v>760</v>
      </c>
      <c r="D2021" s="8" t="s">
        <v>2757</v>
      </c>
      <c r="E2021" s="8" t="s">
        <v>1049</v>
      </c>
      <c r="F2021" s="7" t="s">
        <v>2758</v>
      </c>
      <c r="G2021" s="9" t="s">
        <v>181</v>
      </c>
      <c r="H2021" s="7" t="s">
        <v>895</v>
      </c>
      <c r="I2021" s="7" t="s">
        <v>231</v>
      </c>
      <c r="J2021" s="10">
        <v>46035.0</v>
      </c>
      <c r="K2021" s="8" t="s">
        <v>310</v>
      </c>
      <c r="L2021" s="7">
        <v>1.0</v>
      </c>
      <c r="M2021" s="7" t="s">
        <v>33</v>
      </c>
      <c r="N2021" s="13" t="s">
        <v>6345</v>
      </c>
      <c r="O2021" s="23"/>
    </row>
    <row r="2022">
      <c r="A2022" s="5">
        <v>2366.0</v>
      </c>
      <c r="B2022" s="6">
        <v>46170.56400194444</v>
      </c>
      <c r="C2022" s="7" t="s">
        <v>760</v>
      </c>
      <c r="D2022" s="8" t="s">
        <v>4746</v>
      </c>
      <c r="E2022" s="8" t="s">
        <v>569</v>
      </c>
      <c r="F2022" s="7" t="s">
        <v>6346</v>
      </c>
      <c r="G2022" s="9" t="s">
        <v>181</v>
      </c>
      <c r="H2022" s="7" t="s">
        <v>6347</v>
      </c>
      <c r="I2022" s="7" t="s">
        <v>231</v>
      </c>
      <c r="J2022" s="10">
        <v>46164.0</v>
      </c>
      <c r="K2022" s="8" t="s">
        <v>753</v>
      </c>
      <c r="L2022" s="7">
        <v>2.0</v>
      </c>
      <c r="M2022" s="7" t="s">
        <v>3607</v>
      </c>
      <c r="N2022" s="13" t="s">
        <v>6348</v>
      </c>
      <c r="O2022" s="15" t="s">
        <v>6349</v>
      </c>
    </row>
    <row r="2023">
      <c r="A2023" s="5">
        <v>2368.0</v>
      </c>
      <c r="B2023" s="6">
        <v>46170.564773101854</v>
      </c>
      <c r="C2023" s="7" t="s">
        <v>760</v>
      </c>
      <c r="D2023" s="8" t="s">
        <v>1196</v>
      </c>
      <c r="E2023" s="8" t="s">
        <v>1197</v>
      </c>
      <c r="F2023" s="7" t="s">
        <v>1198</v>
      </c>
      <c r="G2023" s="9" t="s">
        <v>181</v>
      </c>
      <c r="H2023" s="7" t="s">
        <v>6022</v>
      </c>
      <c r="I2023" s="7" t="s">
        <v>6026</v>
      </c>
      <c r="J2023" s="10">
        <v>46147.0</v>
      </c>
      <c r="K2023" s="8" t="s">
        <v>3287</v>
      </c>
      <c r="L2023" s="7">
        <v>3.0</v>
      </c>
      <c r="M2023" s="7" t="s">
        <v>1325</v>
      </c>
      <c r="N2023" s="13" t="s">
        <v>6350</v>
      </c>
      <c r="O2023" s="15" t="s">
        <v>6351</v>
      </c>
    </row>
    <row r="2024">
      <c r="A2024" s="5">
        <v>2369.0</v>
      </c>
      <c r="B2024" s="6">
        <v>46170.56533450232</v>
      </c>
      <c r="C2024" s="7" t="s">
        <v>760</v>
      </c>
      <c r="D2024" s="8" t="s">
        <v>4697</v>
      </c>
      <c r="E2024" s="8" t="s">
        <v>547</v>
      </c>
      <c r="F2024" s="7" t="s">
        <v>6338</v>
      </c>
      <c r="G2024" s="9" t="s">
        <v>181</v>
      </c>
      <c r="H2024" s="7" t="s">
        <v>6352</v>
      </c>
      <c r="I2024" s="7" t="s">
        <v>6353</v>
      </c>
      <c r="J2024" s="10">
        <v>46139.0</v>
      </c>
      <c r="K2024" s="8" t="s">
        <v>962</v>
      </c>
      <c r="L2024" s="7">
        <v>4.0</v>
      </c>
      <c r="M2024" s="7" t="s">
        <v>33</v>
      </c>
      <c r="N2024" s="13" t="s">
        <v>6354</v>
      </c>
      <c r="O2024" s="15" t="s">
        <v>6355</v>
      </c>
    </row>
    <row r="2025">
      <c r="A2025" s="5">
        <v>2370.0</v>
      </c>
      <c r="B2025" s="6">
        <v>46170.566564479166</v>
      </c>
      <c r="C2025" s="7" t="s">
        <v>760</v>
      </c>
      <c r="D2025" s="8" t="s">
        <v>4848</v>
      </c>
      <c r="E2025" s="8" t="s">
        <v>228</v>
      </c>
      <c r="F2025" s="7" t="s">
        <v>4849</v>
      </c>
      <c r="G2025" s="9" t="s">
        <v>181</v>
      </c>
      <c r="H2025" s="7" t="s">
        <v>6347</v>
      </c>
      <c r="I2025" s="7" t="s">
        <v>6356</v>
      </c>
      <c r="J2025" s="10">
        <v>46164.0</v>
      </c>
      <c r="K2025" s="8" t="s">
        <v>753</v>
      </c>
      <c r="L2025" s="7">
        <v>2.0</v>
      </c>
      <c r="M2025" s="7" t="s">
        <v>3607</v>
      </c>
      <c r="N2025" s="13" t="s">
        <v>6357</v>
      </c>
      <c r="O2025" s="15" t="s">
        <v>6358</v>
      </c>
    </row>
    <row r="2026">
      <c r="A2026" s="5">
        <v>2371.0</v>
      </c>
      <c r="B2026" s="6">
        <v>46170.567505127314</v>
      </c>
      <c r="C2026" s="7" t="s">
        <v>760</v>
      </c>
      <c r="D2026" s="8" t="s">
        <v>791</v>
      </c>
      <c r="E2026" s="8" t="s">
        <v>164</v>
      </c>
      <c r="F2026" s="7" t="s">
        <v>792</v>
      </c>
      <c r="G2026" s="9" t="s">
        <v>181</v>
      </c>
      <c r="H2026" s="7" t="s">
        <v>6347</v>
      </c>
      <c r="I2026" s="7" t="s">
        <v>6356</v>
      </c>
      <c r="J2026" s="10">
        <v>46164.0</v>
      </c>
      <c r="K2026" s="8" t="s">
        <v>753</v>
      </c>
      <c r="L2026" s="7">
        <v>2.0</v>
      </c>
      <c r="M2026" s="7" t="s">
        <v>3607</v>
      </c>
      <c r="N2026" s="13" t="s">
        <v>6359</v>
      </c>
      <c r="O2026" s="15" t="s">
        <v>6360</v>
      </c>
    </row>
    <row r="2027">
      <c r="A2027" s="5">
        <v>2372.0</v>
      </c>
      <c r="B2027" s="6">
        <v>46170.56863601852</v>
      </c>
      <c r="C2027" s="7" t="s">
        <v>760</v>
      </c>
      <c r="D2027" s="8" t="s">
        <v>1214</v>
      </c>
      <c r="E2027" s="8" t="s">
        <v>179</v>
      </c>
      <c r="F2027" s="7" t="s">
        <v>6342</v>
      </c>
      <c r="G2027" s="9" t="s">
        <v>181</v>
      </c>
      <c r="H2027" s="7" t="s">
        <v>5432</v>
      </c>
      <c r="I2027" s="7" t="s">
        <v>231</v>
      </c>
      <c r="J2027" s="10">
        <v>46133.0</v>
      </c>
      <c r="K2027" s="8" t="s">
        <v>962</v>
      </c>
      <c r="L2027" s="7">
        <v>4.0</v>
      </c>
      <c r="M2027" s="7" t="s">
        <v>33</v>
      </c>
      <c r="N2027" s="13" t="s">
        <v>6361</v>
      </c>
      <c r="O2027" s="15" t="s">
        <v>6362</v>
      </c>
    </row>
    <row r="2028">
      <c r="A2028" s="5">
        <v>2373.0</v>
      </c>
      <c r="B2028" s="6">
        <v>46170.568659895835</v>
      </c>
      <c r="C2028" s="7" t="s">
        <v>760</v>
      </c>
      <c r="D2028" s="8" t="s">
        <v>4746</v>
      </c>
      <c r="E2028" s="8" t="s">
        <v>569</v>
      </c>
      <c r="F2028" s="7" t="s">
        <v>6346</v>
      </c>
      <c r="G2028" s="9" t="s">
        <v>181</v>
      </c>
      <c r="H2028" s="7" t="s">
        <v>6022</v>
      </c>
      <c r="I2028" s="7" t="s">
        <v>6026</v>
      </c>
      <c r="J2028" s="10">
        <v>46147.0</v>
      </c>
      <c r="K2028" s="8" t="s">
        <v>3287</v>
      </c>
      <c r="L2028" s="7">
        <v>3.0</v>
      </c>
      <c r="M2028" s="7" t="s">
        <v>1325</v>
      </c>
      <c r="N2028" s="13" t="s">
        <v>6363</v>
      </c>
      <c r="O2028" s="15" t="s">
        <v>6364</v>
      </c>
    </row>
    <row r="2029">
      <c r="A2029" s="5">
        <v>2374.0</v>
      </c>
      <c r="B2029" s="6">
        <v>46170.56899414352</v>
      </c>
      <c r="C2029" s="7" t="s">
        <v>760</v>
      </c>
      <c r="D2029" s="8" t="s">
        <v>4697</v>
      </c>
      <c r="E2029" s="8" t="s">
        <v>547</v>
      </c>
      <c r="F2029" s="7" t="s">
        <v>6338</v>
      </c>
      <c r="G2029" s="9" t="s">
        <v>181</v>
      </c>
      <c r="H2029" s="7" t="s">
        <v>6022</v>
      </c>
      <c r="I2029" s="7" t="s">
        <v>6026</v>
      </c>
      <c r="J2029" s="10">
        <v>46147.0</v>
      </c>
      <c r="K2029" s="8" t="s">
        <v>3287</v>
      </c>
      <c r="L2029" s="7">
        <v>3.0</v>
      </c>
      <c r="M2029" s="7" t="s">
        <v>6365</v>
      </c>
      <c r="N2029" s="7"/>
      <c r="O2029" s="15" t="s">
        <v>6366</v>
      </c>
    </row>
    <row r="2030">
      <c r="A2030" s="5">
        <v>2375.0</v>
      </c>
      <c r="B2030" s="6">
        <v>46170.56997708333</v>
      </c>
      <c r="C2030" s="7" t="s">
        <v>760</v>
      </c>
      <c r="D2030" s="8" t="s">
        <v>1214</v>
      </c>
      <c r="E2030" s="8" t="s">
        <v>179</v>
      </c>
      <c r="F2030" s="7" t="s">
        <v>6342</v>
      </c>
      <c r="G2030" s="9" t="s">
        <v>181</v>
      </c>
      <c r="H2030" s="7" t="s">
        <v>5432</v>
      </c>
      <c r="I2030" s="7" t="s">
        <v>231</v>
      </c>
      <c r="J2030" s="10">
        <v>46135.0</v>
      </c>
      <c r="K2030" s="8" t="s">
        <v>962</v>
      </c>
      <c r="L2030" s="7">
        <v>4.0</v>
      </c>
      <c r="M2030" s="7" t="s">
        <v>33</v>
      </c>
      <c r="N2030" s="13" t="s">
        <v>6367</v>
      </c>
      <c r="O2030" s="15" t="s">
        <v>6368</v>
      </c>
    </row>
    <row r="2031">
      <c r="A2031" s="5">
        <v>2376.0</v>
      </c>
      <c r="B2031" s="6">
        <v>46170.57003296296</v>
      </c>
      <c r="C2031" s="7" t="s">
        <v>760</v>
      </c>
      <c r="D2031" s="8" t="s">
        <v>785</v>
      </c>
      <c r="E2031" s="8" t="s">
        <v>380</v>
      </c>
      <c r="F2031" s="7" t="s">
        <v>2827</v>
      </c>
      <c r="G2031" s="9" t="s">
        <v>181</v>
      </c>
      <c r="H2031" s="7" t="s">
        <v>6347</v>
      </c>
      <c r="I2031" s="7" t="s">
        <v>6356</v>
      </c>
      <c r="J2031" s="10">
        <v>46164.0</v>
      </c>
      <c r="K2031" s="8" t="s">
        <v>6369</v>
      </c>
      <c r="L2031" s="7">
        <v>2.0</v>
      </c>
      <c r="M2031" s="7" t="s">
        <v>3607</v>
      </c>
      <c r="N2031" s="13" t="s">
        <v>6370</v>
      </c>
      <c r="O2031" s="15" t="s">
        <v>6371</v>
      </c>
    </row>
    <row r="2032">
      <c r="A2032" s="5">
        <v>2378.0</v>
      </c>
      <c r="B2032" s="6">
        <v>46170.57006466435</v>
      </c>
      <c r="C2032" s="7" t="s">
        <v>760</v>
      </c>
      <c r="D2032" s="8" t="s">
        <v>791</v>
      </c>
      <c r="E2032" s="8" t="s">
        <v>164</v>
      </c>
      <c r="F2032" s="7" t="s">
        <v>792</v>
      </c>
      <c r="G2032" s="9" t="s">
        <v>181</v>
      </c>
      <c r="H2032" s="7" t="s">
        <v>895</v>
      </c>
      <c r="I2032" s="7" t="s">
        <v>231</v>
      </c>
      <c r="J2032" s="10">
        <v>46093.0</v>
      </c>
      <c r="K2032" s="8" t="s">
        <v>310</v>
      </c>
      <c r="L2032" s="7">
        <v>1.0</v>
      </c>
      <c r="M2032" s="7" t="s">
        <v>33</v>
      </c>
      <c r="N2032" s="13" t="s">
        <v>6372</v>
      </c>
      <c r="O2032" s="15" t="s">
        <v>6373</v>
      </c>
    </row>
    <row r="2033">
      <c r="A2033" s="5">
        <v>2379.0</v>
      </c>
      <c r="B2033" s="6">
        <v>46170.57010982639</v>
      </c>
      <c r="C2033" s="7" t="s">
        <v>760</v>
      </c>
      <c r="D2033" s="8" t="s">
        <v>816</v>
      </c>
      <c r="E2033" s="8" t="s">
        <v>817</v>
      </c>
      <c r="F2033" s="7" t="s">
        <v>818</v>
      </c>
      <c r="G2033" s="9" t="s">
        <v>181</v>
      </c>
      <c r="H2033" s="7" t="s">
        <v>6347</v>
      </c>
      <c r="I2033" s="7" t="s">
        <v>6356</v>
      </c>
      <c r="J2033" s="10">
        <v>46164.0</v>
      </c>
      <c r="K2033" s="8" t="s">
        <v>753</v>
      </c>
      <c r="L2033" s="7">
        <v>2.0</v>
      </c>
      <c r="M2033" s="7" t="s">
        <v>3607</v>
      </c>
      <c r="N2033" s="13" t="s">
        <v>6374</v>
      </c>
      <c r="O2033" s="15" t="s">
        <v>6375</v>
      </c>
    </row>
    <row r="2034">
      <c r="A2034" s="5">
        <v>2380.0</v>
      </c>
      <c r="B2034" s="6">
        <v>46170.57044675926</v>
      </c>
      <c r="C2034" s="7" t="s">
        <v>760</v>
      </c>
      <c r="D2034" s="8" t="s">
        <v>2757</v>
      </c>
      <c r="E2034" s="8" t="s">
        <v>1049</v>
      </c>
      <c r="F2034" s="7" t="s">
        <v>2758</v>
      </c>
      <c r="G2034" s="9" t="s">
        <v>181</v>
      </c>
      <c r="H2034" s="7" t="s">
        <v>895</v>
      </c>
      <c r="I2034" s="7" t="s">
        <v>231</v>
      </c>
      <c r="J2034" s="10">
        <v>46079.0</v>
      </c>
      <c r="K2034" s="8" t="s">
        <v>310</v>
      </c>
      <c r="L2034" s="7">
        <v>1.0</v>
      </c>
      <c r="M2034" s="7" t="s">
        <v>33</v>
      </c>
      <c r="N2034" s="13" t="s">
        <v>6376</v>
      </c>
      <c r="O2034" s="15" t="s">
        <v>6377</v>
      </c>
    </row>
    <row r="2035">
      <c r="A2035" s="5">
        <v>2381.0</v>
      </c>
      <c r="B2035" s="6">
        <v>46170.570998993055</v>
      </c>
      <c r="C2035" s="7" t="s">
        <v>760</v>
      </c>
      <c r="D2035" s="8" t="s">
        <v>1196</v>
      </c>
      <c r="E2035" s="8" t="s">
        <v>1197</v>
      </c>
      <c r="F2035" s="7" t="s">
        <v>1198</v>
      </c>
      <c r="G2035" s="9" t="s">
        <v>19</v>
      </c>
      <c r="H2035" s="7" t="s">
        <v>6120</v>
      </c>
      <c r="I2035" s="7" t="s">
        <v>6093</v>
      </c>
      <c r="J2035" s="10">
        <v>46134.0</v>
      </c>
      <c r="K2035" s="8" t="s">
        <v>49</v>
      </c>
      <c r="L2035" s="7">
        <v>8.0</v>
      </c>
      <c r="M2035" s="7" t="s">
        <v>1564</v>
      </c>
      <c r="N2035" s="13" t="s">
        <v>6378</v>
      </c>
      <c r="O2035" s="15" t="s">
        <v>6379</v>
      </c>
    </row>
    <row r="2036">
      <c r="A2036" s="5">
        <v>2382.0</v>
      </c>
      <c r="B2036" s="6">
        <v>46170.57133210648</v>
      </c>
      <c r="C2036" s="7" t="s">
        <v>760</v>
      </c>
      <c r="D2036" s="8" t="s">
        <v>1214</v>
      </c>
      <c r="E2036" s="8" t="s">
        <v>179</v>
      </c>
      <c r="F2036" s="7" t="s">
        <v>6342</v>
      </c>
      <c r="G2036" s="9" t="s">
        <v>181</v>
      </c>
      <c r="H2036" s="7" t="s">
        <v>5432</v>
      </c>
      <c r="I2036" s="7" t="s">
        <v>231</v>
      </c>
      <c r="J2036" s="10">
        <v>46138.0</v>
      </c>
      <c r="K2036" s="8" t="s">
        <v>3192</v>
      </c>
      <c r="L2036" s="7">
        <v>6.0</v>
      </c>
      <c r="M2036" s="7" t="s">
        <v>33</v>
      </c>
      <c r="N2036" s="13" t="s">
        <v>6380</v>
      </c>
      <c r="O2036" s="15" t="s">
        <v>6381</v>
      </c>
    </row>
    <row r="2037">
      <c r="A2037" s="5">
        <v>2383.0</v>
      </c>
      <c r="B2037" s="6">
        <v>46170.57185310185</v>
      </c>
      <c r="C2037" s="7" t="s">
        <v>760</v>
      </c>
      <c r="D2037" s="8" t="s">
        <v>761</v>
      </c>
      <c r="E2037" s="8" t="s">
        <v>762</v>
      </c>
      <c r="F2037" s="7" t="s">
        <v>763</v>
      </c>
      <c r="G2037" s="9" t="s">
        <v>181</v>
      </c>
      <c r="H2037" s="7" t="s">
        <v>6347</v>
      </c>
      <c r="I2037" s="7" t="s">
        <v>6356</v>
      </c>
      <c r="J2037" s="10">
        <v>46164.0</v>
      </c>
      <c r="K2037" s="8" t="s">
        <v>753</v>
      </c>
      <c r="L2037" s="7">
        <v>2.0</v>
      </c>
      <c r="M2037" s="7" t="s">
        <v>3607</v>
      </c>
      <c r="N2037" s="13" t="s">
        <v>6382</v>
      </c>
      <c r="O2037" s="15" t="s">
        <v>6383</v>
      </c>
    </row>
    <row r="2038">
      <c r="A2038" s="5">
        <v>2384.0</v>
      </c>
      <c r="B2038" s="6">
        <v>46170.57206070602</v>
      </c>
      <c r="C2038" s="7" t="s">
        <v>760</v>
      </c>
      <c r="D2038" s="8" t="s">
        <v>2560</v>
      </c>
      <c r="E2038" s="8" t="s">
        <v>1023</v>
      </c>
      <c r="F2038" s="7" t="s">
        <v>2561</v>
      </c>
      <c r="G2038" s="9" t="s">
        <v>181</v>
      </c>
      <c r="H2038" s="7" t="s">
        <v>6347</v>
      </c>
      <c r="I2038" s="7" t="s">
        <v>6356</v>
      </c>
      <c r="J2038" s="10">
        <v>46164.0</v>
      </c>
      <c r="K2038" s="8" t="s">
        <v>753</v>
      </c>
      <c r="L2038" s="7">
        <v>3.0</v>
      </c>
      <c r="M2038" s="7" t="s">
        <v>3607</v>
      </c>
      <c r="N2038" s="13" t="s">
        <v>6384</v>
      </c>
      <c r="O2038" s="15" t="s">
        <v>6385</v>
      </c>
    </row>
    <row r="2039">
      <c r="A2039" s="5">
        <v>2385.0</v>
      </c>
      <c r="B2039" s="6">
        <v>46170.57212842593</v>
      </c>
      <c r="C2039" s="7" t="s">
        <v>760</v>
      </c>
      <c r="D2039" s="8" t="s">
        <v>791</v>
      </c>
      <c r="E2039" s="8" t="s">
        <v>164</v>
      </c>
      <c r="F2039" s="7" t="s">
        <v>792</v>
      </c>
      <c r="G2039" s="9" t="s">
        <v>181</v>
      </c>
      <c r="H2039" s="7" t="s">
        <v>895</v>
      </c>
      <c r="I2039" s="7" t="s">
        <v>231</v>
      </c>
      <c r="J2039" s="10">
        <v>46086.0</v>
      </c>
      <c r="K2039" s="8" t="s">
        <v>310</v>
      </c>
      <c r="L2039" s="7">
        <v>1.0</v>
      </c>
      <c r="M2039" s="7" t="s">
        <v>33</v>
      </c>
      <c r="N2039" s="13" t="s">
        <v>6386</v>
      </c>
      <c r="O2039" s="15" t="s">
        <v>6387</v>
      </c>
    </row>
    <row r="2040">
      <c r="A2040" s="5">
        <v>2386.0</v>
      </c>
      <c r="B2040" s="6">
        <v>46170.572377881945</v>
      </c>
      <c r="C2040" s="7" t="s">
        <v>760</v>
      </c>
      <c r="D2040" s="8" t="s">
        <v>798</v>
      </c>
      <c r="E2040" s="8" t="s">
        <v>799</v>
      </c>
      <c r="F2040" s="7" t="s">
        <v>800</v>
      </c>
      <c r="G2040" s="9" t="s">
        <v>209</v>
      </c>
      <c r="H2040" s="7" t="s">
        <v>6388</v>
      </c>
      <c r="I2040" s="7" t="s">
        <v>825</v>
      </c>
      <c r="J2040" s="10">
        <v>46020.0</v>
      </c>
      <c r="K2040" s="8" t="s">
        <v>1032</v>
      </c>
      <c r="L2040" s="7">
        <v>2.0</v>
      </c>
      <c r="M2040" s="7" t="s">
        <v>6331</v>
      </c>
      <c r="N2040" s="13" t="s">
        <v>6389</v>
      </c>
      <c r="O2040" s="15" t="s">
        <v>6390</v>
      </c>
    </row>
    <row r="2041">
      <c r="A2041" s="5">
        <v>2387.0</v>
      </c>
      <c r="B2041" s="6">
        <v>46170.5728362963</v>
      </c>
      <c r="C2041" s="7" t="s">
        <v>760</v>
      </c>
      <c r="D2041" s="8" t="s">
        <v>1214</v>
      </c>
      <c r="E2041" s="8" t="s">
        <v>179</v>
      </c>
      <c r="F2041" s="7" t="s">
        <v>6342</v>
      </c>
      <c r="G2041" s="9" t="s">
        <v>181</v>
      </c>
      <c r="H2041" s="7" t="s">
        <v>5998</v>
      </c>
      <c r="I2041" s="7" t="s">
        <v>5437</v>
      </c>
      <c r="J2041" s="10">
        <v>46139.0</v>
      </c>
      <c r="K2041" s="8" t="s">
        <v>962</v>
      </c>
      <c r="L2041" s="7">
        <v>4.0</v>
      </c>
      <c r="M2041" s="7" t="s">
        <v>33</v>
      </c>
      <c r="N2041" s="13" t="s">
        <v>6391</v>
      </c>
      <c r="O2041" s="15" t="s">
        <v>6392</v>
      </c>
    </row>
    <row r="2042">
      <c r="A2042" s="5">
        <v>2388.0</v>
      </c>
      <c r="B2042" s="6">
        <v>46170.57308633102</v>
      </c>
      <c r="C2042" s="7" t="s">
        <v>760</v>
      </c>
      <c r="D2042" s="8" t="s">
        <v>4697</v>
      </c>
      <c r="E2042" s="8" t="s">
        <v>547</v>
      </c>
      <c r="F2042" s="7" t="s">
        <v>6338</v>
      </c>
      <c r="G2042" s="9" t="s">
        <v>19</v>
      </c>
      <c r="H2042" s="7" t="s">
        <v>5653</v>
      </c>
      <c r="I2042" s="7" t="s">
        <v>2029</v>
      </c>
      <c r="J2042" s="10">
        <v>46078.0</v>
      </c>
      <c r="K2042" s="8" t="s">
        <v>2179</v>
      </c>
      <c r="L2042" s="7">
        <v>8.0</v>
      </c>
      <c r="M2042" s="7" t="s">
        <v>6393</v>
      </c>
      <c r="N2042" s="13" t="s">
        <v>6394</v>
      </c>
      <c r="O2042" s="15" t="s">
        <v>6395</v>
      </c>
    </row>
    <row r="2043">
      <c r="A2043" s="5">
        <v>2389.0</v>
      </c>
      <c r="B2043" s="6">
        <v>46170.573429282405</v>
      </c>
      <c r="C2043" s="7" t="s">
        <v>760</v>
      </c>
      <c r="D2043" s="8" t="s">
        <v>1196</v>
      </c>
      <c r="E2043" s="8" t="s">
        <v>1197</v>
      </c>
      <c r="F2043" s="7" t="s">
        <v>1198</v>
      </c>
      <c r="G2043" s="9" t="s">
        <v>181</v>
      </c>
      <c r="H2043" s="7" t="s">
        <v>6347</v>
      </c>
      <c r="I2043" s="7" t="s">
        <v>6356</v>
      </c>
      <c r="J2043" s="10">
        <v>46164.0</v>
      </c>
      <c r="K2043" s="8" t="s">
        <v>753</v>
      </c>
      <c r="L2043" s="7">
        <v>2.0</v>
      </c>
      <c r="M2043" s="7" t="s">
        <v>3607</v>
      </c>
      <c r="N2043" s="13" t="s">
        <v>6396</v>
      </c>
      <c r="O2043" s="15" t="s">
        <v>6397</v>
      </c>
    </row>
    <row r="2044">
      <c r="A2044" s="5">
        <v>2390.0</v>
      </c>
      <c r="B2044" s="6">
        <v>46170.57364524306</v>
      </c>
      <c r="C2044" s="7" t="s">
        <v>760</v>
      </c>
      <c r="D2044" s="8" t="s">
        <v>2757</v>
      </c>
      <c r="E2044" s="8" t="s">
        <v>1049</v>
      </c>
      <c r="F2044" s="7" t="s">
        <v>2758</v>
      </c>
      <c r="G2044" s="9" t="s">
        <v>181</v>
      </c>
      <c r="H2044" s="7" t="s">
        <v>895</v>
      </c>
      <c r="I2044" s="7" t="s">
        <v>231</v>
      </c>
      <c r="J2044" s="10">
        <v>46114.0</v>
      </c>
      <c r="K2044" s="8" t="s">
        <v>310</v>
      </c>
      <c r="L2044" s="7">
        <v>1.0</v>
      </c>
      <c r="M2044" s="7" t="s">
        <v>33</v>
      </c>
      <c r="N2044" s="13" t="s">
        <v>6398</v>
      </c>
      <c r="O2044" s="15" t="s">
        <v>6399</v>
      </c>
    </row>
    <row r="2045">
      <c r="A2045" s="5">
        <v>2391.0</v>
      </c>
      <c r="B2045" s="6">
        <v>46170.57412585648</v>
      </c>
      <c r="C2045" s="7" t="s">
        <v>760</v>
      </c>
      <c r="D2045" s="8" t="s">
        <v>761</v>
      </c>
      <c r="E2045" s="8" t="s">
        <v>762</v>
      </c>
      <c r="F2045" s="7" t="s">
        <v>763</v>
      </c>
      <c r="G2045" s="9" t="s">
        <v>84</v>
      </c>
      <c r="H2045" s="7" t="s">
        <v>85</v>
      </c>
      <c r="I2045" s="7" t="s">
        <v>765</v>
      </c>
      <c r="J2045" s="10">
        <v>46102.0</v>
      </c>
      <c r="K2045" s="8" t="s">
        <v>2659</v>
      </c>
      <c r="L2045" s="7">
        <v>8.0</v>
      </c>
      <c r="M2045" s="7" t="s">
        <v>6400</v>
      </c>
      <c r="N2045" s="13" t="s">
        <v>6401</v>
      </c>
      <c r="O2045" s="15" t="s">
        <v>6402</v>
      </c>
    </row>
    <row r="2046">
      <c r="A2046" s="5">
        <v>2392.0</v>
      </c>
      <c r="B2046" s="6">
        <v>46170.574211388885</v>
      </c>
      <c r="C2046" s="7" t="s">
        <v>760</v>
      </c>
      <c r="D2046" s="8" t="s">
        <v>791</v>
      </c>
      <c r="E2046" s="8" t="s">
        <v>164</v>
      </c>
      <c r="F2046" s="7" t="s">
        <v>792</v>
      </c>
      <c r="G2046" s="9" t="s">
        <v>181</v>
      </c>
      <c r="H2046" s="7" t="s">
        <v>895</v>
      </c>
      <c r="I2046" s="7" t="s">
        <v>231</v>
      </c>
      <c r="J2046" s="10">
        <v>46143.0</v>
      </c>
      <c r="K2046" s="8" t="s">
        <v>310</v>
      </c>
      <c r="L2046" s="7">
        <v>1.0</v>
      </c>
      <c r="M2046" s="7" t="s">
        <v>33</v>
      </c>
      <c r="N2046" s="13" t="s">
        <v>6403</v>
      </c>
      <c r="O2046" s="15" t="s">
        <v>6404</v>
      </c>
    </row>
    <row r="2047">
      <c r="A2047" s="5">
        <v>2393.0</v>
      </c>
      <c r="B2047" s="6">
        <v>46170.57424591435</v>
      </c>
      <c r="C2047" s="7" t="s">
        <v>760</v>
      </c>
      <c r="D2047" s="8" t="s">
        <v>4697</v>
      </c>
      <c r="E2047" s="8" t="s">
        <v>547</v>
      </c>
      <c r="F2047" s="7" t="s">
        <v>6338</v>
      </c>
      <c r="G2047" s="9" t="s">
        <v>181</v>
      </c>
      <c r="H2047" s="7" t="s">
        <v>6405</v>
      </c>
      <c r="I2047" s="7" t="s">
        <v>231</v>
      </c>
      <c r="J2047" s="10">
        <v>46147.0</v>
      </c>
      <c r="K2047" s="8" t="s">
        <v>3287</v>
      </c>
      <c r="L2047" s="7">
        <v>3.0</v>
      </c>
      <c r="M2047" s="7" t="s">
        <v>6365</v>
      </c>
      <c r="N2047" s="13" t="s">
        <v>6406</v>
      </c>
      <c r="O2047" s="15" t="s">
        <v>6407</v>
      </c>
    </row>
    <row r="2048">
      <c r="A2048" s="5">
        <v>2394.0</v>
      </c>
      <c r="B2048" s="6">
        <v>46170.57437138889</v>
      </c>
      <c r="C2048" s="7" t="s">
        <v>760</v>
      </c>
      <c r="D2048" s="8" t="s">
        <v>816</v>
      </c>
      <c r="E2048" s="8" t="s">
        <v>817</v>
      </c>
      <c r="F2048" s="7" t="s">
        <v>818</v>
      </c>
      <c r="G2048" s="9" t="s">
        <v>19</v>
      </c>
      <c r="H2048" s="7" t="s">
        <v>6408</v>
      </c>
      <c r="I2048" s="7" t="s">
        <v>6409</v>
      </c>
      <c r="J2048" s="10">
        <v>46041.0</v>
      </c>
      <c r="K2048" s="8" t="s">
        <v>49</v>
      </c>
      <c r="L2048" s="7">
        <v>8.0</v>
      </c>
      <c r="M2048" s="7" t="s">
        <v>33</v>
      </c>
      <c r="N2048" s="13" t="s">
        <v>6410</v>
      </c>
      <c r="O2048" s="15" t="s">
        <v>6411</v>
      </c>
    </row>
    <row r="2049">
      <c r="A2049" s="5">
        <v>2395.0</v>
      </c>
      <c r="B2049" s="6">
        <v>46170.574699351855</v>
      </c>
      <c r="C2049" s="7" t="s">
        <v>760</v>
      </c>
      <c r="D2049" s="8" t="s">
        <v>1214</v>
      </c>
      <c r="E2049" s="8" t="s">
        <v>179</v>
      </c>
      <c r="F2049" s="7" t="s">
        <v>6342</v>
      </c>
      <c r="G2049" s="9" t="s">
        <v>19</v>
      </c>
      <c r="H2049" s="7" t="s">
        <v>5854</v>
      </c>
      <c r="I2049" s="7" t="s">
        <v>5862</v>
      </c>
      <c r="J2049" s="10">
        <v>46078.0</v>
      </c>
      <c r="K2049" s="8" t="s">
        <v>2179</v>
      </c>
      <c r="L2049" s="7">
        <v>8.0</v>
      </c>
      <c r="M2049" s="7" t="s">
        <v>87</v>
      </c>
      <c r="N2049" s="13" t="s">
        <v>6412</v>
      </c>
      <c r="O2049" s="15" t="s">
        <v>6413</v>
      </c>
    </row>
    <row r="2050">
      <c r="A2050" s="5">
        <v>2396.0</v>
      </c>
      <c r="B2050" s="6">
        <v>46170.574879074076</v>
      </c>
      <c r="C2050" s="7" t="s">
        <v>760</v>
      </c>
      <c r="D2050" s="8" t="s">
        <v>4879</v>
      </c>
      <c r="E2050" s="8" t="s">
        <v>3024</v>
      </c>
      <c r="F2050" s="7" t="s">
        <v>4880</v>
      </c>
      <c r="G2050" s="9" t="s">
        <v>181</v>
      </c>
      <c r="H2050" s="7" t="s">
        <v>5432</v>
      </c>
      <c r="I2050" s="7" t="s">
        <v>231</v>
      </c>
      <c r="J2050" s="10">
        <v>46134.0</v>
      </c>
      <c r="K2050" s="8" t="s">
        <v>6414</v>
      </c>
      <c r="L2050" s="7">
        <v>4.0</v>
      </c>
      <c r="M2050" s="7" t="s">
        <v>33</v>
      </c>
      <c r="N2050" s="13" t="s">
        <v>6415</v>
      </c>
      <c r="O2050" s="15" t="s">
        <v>6416</v>
      </c>
    </row>
    <row r="2051">
      <c r="A2051" s="5">
        <v>2397.0</v>
      </c>
      <c r="B2051" s="6">
        <v>46170.574998703705</v>
      </c>
      <c r="C2051" s="7" t="s">
        <v>760</v>
      </c>
      <c r="D2051" s="8" t="s">
        <v>3159</v>
      </c>
      <c r="E2051" s="8" t="s">
        <v>664</v>
      </c>
      <c r="F2051" s="7" t="s">
        <v>6417</v>
      </c>
      <c r="G2051" s="9" t="s">
        <v>19</v>
      </c>
      <c r="H2051" s="7" t="s">
        <v>6418</v>
      </c>
      <c r="I2051" s="7" t="s">
        <v>6212</v>
      </c>
      <c r="J2051" s="10">
        <v>46120.0</v>
      </c>
      <c r="K2051" s="8" t="s">
        <v>3318</v>
      </c>
      <c r="L2051" s="7">
        <v>6.0</v>
      </c>
      <c r="M2051" s="7" t="s">
        <v>1064</v>
      </c>
      <c r="N2051" s="13" t="s">
        <v>6419</v>
      </c>
      <c r="O2051" s="15" t="s">
        <v>6420</v>
      </c>
    </row>
    <row r="2052">
      <c r="A2052" s="5">
        <v>2398.0</v>
      </c>
      <c r="B2052" s="6">
        <v>46170.575496770834</v>
      </c>
      <c r="C2052" s="7" t="s">
        <v>760</v>
      </c>
      <c r="D2052" s="8" t="s">
        <v>2757</v>
      </c>
      <c r="E2052" s="8" t="s">
        <v>1049</v>
      </c>
      <c r="F2052" s="7" t="s">
        <v>2758</v>
      </c>
      <c r="G2052" s="9" t="s">
        <v>181</v>
      </c>
      <c r="H2052" s="7" t="s">
        <v>6347</v>
      </c>
      <c r="I2052" s="7" t="s">
        <v>231</v>
      </c>
      <c r="J2052" s="10">
        <v>46164.0</v>
      </c>
      <c r="K2052" s="8" t="s">
        <v>753</v>
      </c>
      <c r="L2052" s="7">
        <v>2.0</v>
      </c>
      <c r="M2052" s="7" t="s">
        <v>3607</v>
      </c>
      <c r="N2052" s="13" t="s">
        <v>6421</v>
      </c>
      <c r="O2052" s="15" t="s">
        <v>6422</v>
      </c>
    </row>
    <row r="2053">
      <c r="A2053" s="5">
        <v>2399.0</v>
      </c>
      <c r="B2053" s="6">
        <v>46170.575610925924</v>
      </c>
      <c r="C2053" s="7" t="s">
        <v>760</v>
      </c>
      <c r="D2053" s="8" t="s">
        <v>791</v>
      </c>
      <c r="E2053" s="8" t="s">
        <v>164</v>
      </c>
      <c r="F2053" s="7" t="s">
        <v>792</v>
      </c>
      <c r="G2053" s="9" t="s">
        <v>181</v>
      </c>
      <c r="H2053" s="7" t="s">
        <v>895</v>
      </c>
      <c r="I2053" s="7" t="s">
        <v>231</v>
      </c>
      <c r="J2053" s="10">
        <v>46140.0</v>
      </c>
      <c r="K2053" s="8" t="s">
        <v>310</v>
      </c>
      <c r="L2053" s="7">
        <v>1.0</v>
      </c>
      <c r="M2053" s="7" t="s">
        <v>33</v>
      </c>
      <c r="N2053" s="13" t="s">
        <v>6423</v>
      </c>
      <c r="O2053" s="15" t="s">
        <v>6424</v>
      </c>
    </row>
    <row r="2054">
      <c r="A2054" s="5">
        <v>2400.0</v>
      </c>
      <c r="B2054" s="6">
        <v>46170.576415868054</v>
      </c>
      <c r="C2054" s="7" t="s">
        <v>760</v>
      </c>
      <c r="D2054" s="8" t="s">
        <v>2757</v>
      </c>
      <c r="E2054" s="8" t="s">
        <v>1049</v>
      </c>
      <c r="F2054" s="7" t="s">
        <v>2758</v>
      </c>
      <c r="G2054" s="9" t="s">
        <v>181</v>
      </c>
      <c r="H2054" s="7" t="s">
        <v>895</v>
      </c>
      <c r="I2054" s="7" t="s">
        <v>231</v>
      </c>
      <c r="J2054" s="10">
        <v>46143.0</v>
      </c>
      <c r="K2054" s="8" t="s">
        <v>310</v>
      </c>
      <c r="L2054" s="7">
        <v>1.0</v>
      </c>
      <c r="M2054" s="7" t="s">
        <v>33</v>
      </c>
      <c r="N2054" s="13" t="s">
        <v>6425</v>
      </c>
      <c r="O2054" s="15" t="s">
        <v>6426</v>
      </c>
    </row>
    <row r="2055">
      <c r="A2055" s="5">
        <v>2401.0</v>
      </c>
      <c r="B2055" s="6">
        <v>46170.576801296294</v>
      </c>
      <c r="C2055" s="7" t="s">
        <v>760</v>
      </c>
      <c r="D2055" s="8" t="s">
        <v>4746</v>
      </c>
      <c r="E2055" s="8" t="s">
        <v>569</v>
      </c>
      <c r="F2055" s="7" t="s">
        <v>6346</v>
      </c>
      <c r="G2055" s="9" t="s">
        <v>209</v>
      </c>
      <c r="H2055" s="7" t="s">
        <v>824</v>
      </c>
      <c r="I2055" s="7" t="s">
        <v>825</v>
      </c>
      <c r="J2055" s="10">
        <v>46158.0</v>
      </c>
      <c r="K2055" s="8" t="s">
        <v>6427</v>
      </c>
      <c r="L2055" s="7">
        <v>1.0</v>
      </c>
      <c r="M2055" s="7" t="s">
        <v>6428</v>
      </c>
      <c r="N2055" s="13" t="s">
        <v>6429</v>
      </c>
      <c r="O2055" s="15" t="s">
        <v>6430</v>
      </c>
    </row>
    <row r="2056">
      <c r="A2056" s="5">
        <v>2402.0</v>
      </c>
      <c r="B2056" s="6">
        <v>46170.57693912037</v>
      </c>
      <c r="C2056" s="7" t="s">
        <v>760</v>
      </c>
      <c r="D2056" s="8" t="s">
        <v>791</v>
      </c>
      <c r="E2056" s="8" t="s">
        <v>164</v>
      </c>
      <c r="F2056" s="7" t="s">
        <v>792</v>
      </c>
      <c r="G2056" s="9" t="s">
        <v>181</v>
      </c>
      <c r="H2056" s="7" t="s">
        <v>895</v>
      </c>
      <c r="I2056" s="7" t="s">
        <v>231</v>
      </c>
      <c r="J2056" s="10">
        <v>46147.0</v>
      </c>
      <c r="K2056" s="8" t="s">
        <v>310</v>
      </c>
      <c r="L2056" s="7">
        <v>1.0</v>
      </c>
      <c r="M2056" s="7" t="s">
        <v>33</v>
      </c>
      <c r="N2056" s="13" t="s">
        <v>6431</v>
      </c>
      <c r="O2056" s="15" t="s">
        <v>6432</v>
      </c>
    </row>
    <row r="2057">
      <c r="A2057" s="5">
        <v>2403.0</v>
      </c>
      <c r="B2057" s="6">
        <v>46170.5771790162</v>
      </c>
      <c r="C2057" s="7" t="s">
        <v>760</v>
      </c>
      <c r="D2057" s="8" t="s">
        <v>3159</v>
      </c>
      <c r="E2057" s="8" t="s">
        <v>664</v>
      </c>
      <c r="F2057" s="7" t="s">
        <v>6417</v>
      </c>
      <c r="G2057" s="9" t="s">
        <v>19</v>
      </c>
      <c r="H2057" s="7" t="s">
        <v>6418</v>
      </c>
      <c r="I2057" s="7" t="s">
        <v>6212</v>
      </c>
      <c r="J2057" s="10">
        <v>46119.0</v>
      </c>
      <c r="K2057" s="8" t="s">
        <v>6223</v>
      </c>
      <c r="L2057" s="7">
        <v>6.0</v>
      </c>
      <c r="M2057" s="7" t="s">
        <v>1064</v>
      </c>
      <c r="N2057" s="13" t="s">
        <v>6433</v>
      </c>
      <c r="O2057" s="15" t="s">
        <v>6434</v>
      </c>
    </row>
    <row r="2058">
      <c r="A2058" s="5">
        <v>2404.0</v>
      </c>
      <c r="B2058" s="6">
        <v>46170.57726277778</v>
      </c>
      <c r="C2058" s="7" t="s">
        <v>760</v>
      </c>
      <c r="D2058" s="8" t="s">
        <v>1214</v>
      </c>
      <c r="E2058" s="8" t="s">
        <v>179</v>
      </c>
      <c r="F2058" s="7" t="s">
        <v>6342</v>
      </c>
      <c r="G2058" s="9" t="s">
        <v>19</v>
      </c>
      <c r="H2058" s="7" t="s">
        <v>6120</v>
      </c>
      <c r="I2058" s="7" t="s">
        <v>6435</v>
      </c>
      <c r="J2058" s="10">
        <v>46134.0</v>
      </c>
      <c r="K2058" s="8" t="s">
        <v>49</v>
      </c>
      <c r="L2058" s="7">
        <v>8.0</v>
      </c>
      <c r="M2058" s="7" t="s">
        <v>1564</v>
      </c>
      <c r="N2058" s="13" t="s">
        <v>6436</v>
      </c>
      <c r="O2058" s="15" t="s">
        <v>6437</v>
      </c>
    </row>
    <row r="2059">
      <c r="A2059" s="5">
        <v>2405.0</v>
      </c>
      <c r="B2059" s="6">
        <v>46170.57726935185</v>
      </c>
      <c r="C2059" s="7" t="s">
        <v>760</v>
      </c>
      <c r="D2059" s="8" t="s">
        <v>798</v>
      </c>
      <c r="E2059" s="8" t="s">
        <v>799</v>
      </c>
      <c r="F2059" s="7" t="s">
        <v>800</v>
      </c>
      <c r="G2059" s="9" t="s">
        <v>181</v>
      </c>
      <c r="H2059" s="7" t="s">
        <v>6347</v>
      </c>
      <c r="I2059" s="7" t="s">
        <v>6356</v>
      </c>
      <c r="J2059" s="10">
        <v>46164.0</v>
      </c>
      <c r="K2059" s="8" t="s">
        <v>6438</v>
      </c>
      <c r="L2059" s="7">
        <v>2.0</v>
      </c>
      <c r="M2059" s="7" t="s">
        <v>3607</v>
      </c>
      <c r="N2059" s="13" t="s">
        <v>6439</v>
      </c>
      <c r="O2059" s="15" t="s">
        <v>6440</v>
      </c>
    </row>
    <row r="2060">
      <c r="A2060" s="5">
        <v>2406.0</v>
      </c>
      <c r="B2060" s="6">
        <v>46170.577310775465</v>
      </c>
      <c r="C2060" s="7" t="s">
        <v>760</v>
      </c>
      <c r="D2060" s="8" t="s">
        <v>2757</v>
      </c>
      <c r="E2060" s="8" t="s">
        <v>1049</v>
      </c>
      <c r="F2060" s="7" t="s">
        <v>2758</v>
      </c>
      <c r="G2060" s="9" t="s">
        <v>181</v>
      </c>
      <c r="H2060" s="7" t="s">
        <v>895</v>
      </c>
      <c r="I2060" s="7" t="s">
        <v>231</v>
      </c>
      <c r="J2060" s="10">
        <v>46107.0</v>
      </c>
      <c r="K2060" s="8" t="s">
        <v>310</v>
      </c>
      <c r="L2060" s="7">
        <v>1.0</v>
      </c>
      <c r="M2060" s="7" t="s">
        <v>33</v>
      </c>
      <c r="N2060" s="13" t="s">
        <v>6441</v>
      </c>
      <c r="O2060" s="15" t="s">
        <v>6442</v>
      </c>
    </row>
    <row r="2061">
      <c r="A2061" s="5">
        <v>2407.0</v>
      </c>
      <c r="B2061" s="6">
        <v>46170.57758806713</v>
      </c>
      <c r="C2061" s="7" t="s">
        <v>760</v>
      </c>
      <c r="D2061" s="8" t="s">
        <v>3979</v>
      </c>
      <c r="E2061" s="8" t="s">
        <v>236</v>
      </c>
      <c r="F2061" s="7" t="s">
        <v>3980</v>
      </c>
      <c r="G2061" s="9" t="s">
        <v>19</v>
      </c>
      <c r="H2061" s="7" t="s">
        <v>6443</v>
      </c>
      <c r="I2061" s="7" t="s">
        <v>6093</v>
      </c>
      <c r="J2061" s="10">
        <v>46134.0</v>
      </c>
      <c r="K2061" s="8" t="s">
        <v>49</v>
      </c>
      <c r="L2061" s="7">
        <v>8.0</v>
      </c>
      <c r="M2061" s="7" t="s">
        <v>6444</v>
      </c>
      <c r="N2061" s="13" t="s">
        <v>6445</v>
      </c>
      <c r="O2061" s="15" t="s">
        <v>6446</v>
      </c>
    </row>
    <row r="2062">
      <c r="A2062" s="5">
        <v>2408.0</v>
      </c>
      <c r="B2062" s="6">
        <v>46170.57833986111</v>
      </c>
      <c r="C2062" s="7" t="s">
        <v>760</v>
      </c>
      <c r="D2062" s="8" t="s">
        <v>2757</v>
      </c>
      <c r="E2062" s="8" t="s">
        <v>1049</v>
      </c>
      <c r="F2062" s="7" t="s">
        <v>2758</v>
      </c>
      <c r="G2062" s="9" t="s">
        <v>181</v>
      </c>
      <c r="H2062" s="7" t="s">
        <v>895</v>
      </c>
      <c r="I2062" s="7" t="s">
        <v>231</v>
      </c>
      <c r="J2062" s="10">
        <v>46108.0</v>
      </c>
      <c r="K2062" s="8" t="s">
        <v>310</v>
      </c>
      <c r="L2062" s="7">
        <v>1.0</v>
      </c>
      <c r="M2062" s="7" t="s">
        <v>33</v>
      </c>
      <c r="N2062" s="13" t="s">
        <v>6447</v>
      </c>
      <c r="O2062" s="15" t="s">
        <v>6448</v>
      </c>
    </row>
    <row r="2063">
      <c r="A2063" s="5">
        <v>2409.0</v>
      </c>
      <c r="B2063" s="6">
        <v>46170.578427465276</v>
      </c>
      <c r="C2063" s="7" t="s">
        <v>760</v>
      </c>
      <c r="D2063" s="8" t="s">
        <v>4879</v>
      </c>
      <c r="E2063" s="8" t="s">
        <v>3024</v>
      </c>
      <c r="F2063" s="7" t="s">
        <v>4880</v>
      </c>
      <c r="G2063" s="9" t="s">
        <v>181</v>
      </c>
      <c r="H2063" s="7" t="s">
        <v>5432</v>
      </c>
      <c r="I2063" s="7" t="s">
        <v>231</v>
      </c>
      <c r="J2063" s="10">
        <v>46135.0</v>
      </c>
      <c r="K2063" s="8" t="s">
        <v>6414</v>
      </c>
      <c r="L2063" s="7">
        <v>4.0</v>
      </c>
      <c r="M2063" s="7" t="s">
        <v>33</v>
      </c>
      <c r="N2063" s="13" t="s">
        <v>6449</v>
      </c>
      <c r="O2063" s="15" t="s">
        <v>6450</v>
      </c>
    </row>
    <row r="2064">
      <c r="A2064" s="5">
        <v>2410.0</v>
      </c>
      <c r="B2064" s="6">
        <v>46170.578960231476</v>
      </c>
      <c r="C2064" s="7" t="s">
        <v>760</v>
      </c>
      <c r="D2064" s="8" t="s">
        <v>6451</v>
      </c>
      <c r="E2064" s="8" t="s">
        <v>664</v>
      </c>
      <c r="F2064" s="7" t="s">
        <v>6417</v>
      </c>
      <c r="G2064" s="9" t="s">
        <v>19</v>
      </c>
      <c r="H2064" s="7" t="s">
        <v>5334</v>
      </c>
      <c r="I2064" s="7" t="s">
        <v>5335</v>
      </c>
      <c r="J2064" s="10">
        <v>46032.0</v>
      </c>
      <c r="K2064" s="8" t="s">
        <v>2328</v>
      </c>
      <c r="L2064" s="7">
        <v>8.0</v>
      </c>
      <c r="M2064" s="7" t="s">
        <v>87</v>
      </c>
      <c r="N2064" s="13" t="s">
        <v>6452</v>
      </c>
      <c r="O2064" s="15" t="s">
        <v>6453</v>
      </c>
    </row>
    <row r="2065">
      <c r="A2065" s="5">
        <v>2411.0</v>
      </c>
      <c r="B2065" s="6">
        <v>46174.38976633102</v>
      </c>
      <c r="C2065" s="7" t="s">
        <v>760</v>
      </c>
      <c r="D2065" s="8" t="s">
        <v>2646</v>
      </c>
      <c r="E2065" s="8" t="s">
        <v>919</v>
      </c>
      <c r="F2065" s="7" t="s">
        <v>2647</v>
      </c>
      <c r="G2065" s="9" t="s">
        <v>181</v>
      </c>
      <c r="H2065" s="7" t="s">
        <v>6347</v>
      </c>
      <c r="I2065" s="7" t="s">
        <v>231</v>
      </c>
      <c r="J2065" s="10">
        <v>46164.0</v>
      </c>
      <c r="K2065" s="7" t="s">
        <v>3607</v>
      </c>
      <c r="L2065" s="13" t="s">
        <v>6454</v>
      </c>
      <c r="M2065" s="7" t="s">
        <v>3607</v>
      </c>
      <c r="N2065" s="13" t="s">
        <v>6454</v>
      </c>
      <c r="O2065" s="15" t="s">
        <v>6455</v>
      </c>
    </row>
    <row r="2066">
      <c r="A2066" s="5">
        <v>2412.0</v>
      </c>
      <c r="B2066" s="6">
        <v>46170.57996581019</v>
      </c>
      <c r="C2066" s="7" t="s">
        <v>760</v>
      </c>
      <c r="D2066" s="8" t="s">
        <v>2757</v>
      </c>
      <c r="E2066" s="8" t="s">
        <v>1049</v>
      </c>
      <c r="F2066" s="7" t="s">
        <v>2758</v>
      </c>
      <c r="G2066" s="9" t="s">
        <v>181</v>
      </c>
      <c r="H2066" s="7" t="s">
        <v>895</v>
      </c>
      <c r="I2066" s="7" t="s">
        <v>231</v>
      </c>
      <c r="J2066" s="10">
        <v>46154.0</v>
      </c>
      <c r="K2066" s="8" t="s">
        <v>310</v>
      </c>
      <c r="L2066" s="7">
        <v>1.0</v>
      </c>
      <c r="M2066" s="7" t="s">
        <v>33</v>
      </c>
      <c r="N2066" s="13" t="s">
        <v>6456</v>
      </c>
      <c r="O2066" s="15" t="s">
        <v>6457</v>
      </c>
    </row>
    <row r="2067">
      <c r="A2067" s="5">
        <v>2413.0</v>
      </c>
      <c r="B2067" s="6">
        <v>46177.9209793287</v>
      </c>
      <c r="C2067" s="7" t="s">
        <v>760</v>
      </c>
      <c r="D2067" s="8" t="s">
        <v>892</v>
      </c>
      <c r="E2067" s="8" t="s">
        <v>893</v>
      </c>
      <c r="F2067" s="7" t="s">
        <v>899</v>
      </c>
      <c r="G2067" s="9" t="s">
        <v>181</v>
      </c>
      <c r="H2067" s="7" t="s">
        <v>895</v>
      </c>
      <c r="I2067" s="7" t="s">
        <v>231</v>
      </c>
      <c r="J2067" s="10">
        <v>46079.0</v>
      </c>
      <c r="K2067" s="7" t="s">
        <v>33</v>
      </c>
      <c r="L2067" s="13" t="s">
        <v>6458</v>
      </c>
      <c r="M2067" s="7" t="s">
        <v>33</v>
      </c>
      <c r="N2067" s="13" t="s">
        <v>6458</v>
      </c>
      <c r="O2067" s="15" t="s">
        <v>6459</v>
      </c>
    </row>
    <row r="2068">
      <c r="A2068" s="5">
        <v>2414.0</v>
      </c>
      <c r="B2068" s="6">
        <v>46170.58051465278</v>
      </c>
      <c r="C2068" s="7" t="s">
        <v>760</v>
      </c>
      <c r="D2068" s="8" t="s">
        <v>4879</v>
      </c>
      <c r="E2068" s="8" t="s">
        <v>3024</v>
      </c>
      <c r="F2068" s="7" t="s">
        <v>4880</v>
      </c>
      <c r="G2068" s="9" t="s">
        <v>181</v>
      </c>
      <c r="H2068" s="7" t="s">
        <v>5432</v>
      </c>
      <c r="I2068" s="7" t="s">
        <v>231</v>
      </c>
      <c r="J2068" s="10">
        <v>46138.0</v>
      </c>
      <c r="K2068" s="8" t="s">
        <v>6460</v>
      </c>
      <c r="L2068" s="7">
        <v>6.0</v>
      </c>
      <c r="M2068" s="7" t="s">
        <v>33</v>
      </c>
      <c r="N2068" s="13" t="s">
        <v>6461</v>
      </c>
      <c r="O2068" s="15" t="s">
        <v>6462</v>
      </c>
    </row>
    <row r="2069">
      <c r="A2069" s="5">
        <v>2415.0</v>
      </c>
      <c r="B2069" s="6">
        <v>46170.58095148148</v>
      </c>
      <c r="C2069" s="7" t="s">
        <v>760</v>
      </c>
      <c r="D2069" s="8" t="s">
        <v>2757</v>
      </c>
      <c r="E2069" s="8" t="s">
        <v>1049</v>
      </c>
      <c r="F2069" s="7" t="s">
        <v>2758</v>
      </c>
      <c r="G2069" s="9" t="s">
        <v>181</v>
      </c>
      <c r="H2069" s="7" t="s">
        <v>895</v>
      </c>
      <c r="I2069" s="7" t="s">
        <v>1211</v>
      </c>
      <c r="J2069" s="10">
        <v>46148.0</v>
      </c>
      <c r="K2069" s="8" t="s">
        <v>310</v>
      </c>
      <c r="L2069" s="7">
        <v>1.0</v>
      </c>
      <c r="M2069" s="7" t="s">
        <v>33</v>
      </c>
      <c r="N2069" s="13" t="s">
        <v>6463</v>
      </c>
      <c r="O2069" s="15" t="s">
        <v>6464</v>
      </c>
    </row>
    <row r="2070">
      <c r="A2070" s="5">
        <v>2416.0</v>
      </c>
      <c r="B2070" s="6">
        <v>46170.58106376157</v>
      </c>
      <c r="C2070" s="7" t="s">
        <v>760</v>
      </c>
      <c r="D2070" s="8" t="s">
        <v>1209</v>
      </c>
      <c r="E2070" s="8" t="s">
        <v>223</v>
      </c>
      <c r="F2070" s="7" t="s">
        <v>2809</v>
      </c>
      <c r="G2070" s="9" t="s">
        <v>181</v>
      </c>
      <c r="H2070" s="7" t="s">
        <v>5432</v>
      </c>
      <c r="I2070" s="7" t="s">
        <v>231</v>
      </c>
      <c r="J2070" s="10">
        <v>46133.0</v>
      </c>
      <c r="K2070" s="8" t="s">
        <v>962</v>
      </c>
      <c r="L2070" s="7">
        <v>4.0</v>
      </c>
      <c r="M2070" s="7" t="s">
        <v>33</v>
      </c>
      <c r="N2070" s="13" t="s">
        <v>6465</v>
      </c>
      <c r="O2070" s="15" t="s">
        <v>6466</v>
      </c>
    </row>
    <row r="2071">
      <c r="A2071" s="5">
        <v>2417.0</v>
      </c>
      <c r="B2071" s="6">
        <v>46177.92208059027</v>
      </c>
      <c r="C2071" s="7" t="s">
        <v>760</v>
      </c>
      <c r="D2071" s="8" t="s">
        <v>892</v>
      </c>
      <c r="E2071" s="8" t="s">
        <v>893</v>
      </c>
      <c r="F2071" s="7" t="s">
        <v>899</v>
      </c>
      <c r="G2071" s="9" t="s">
        <v>181</v>
      </c>
      <c r="H2071" s="7" t="s">
        <v>895</v>
      </c>
      <c r="I2071" s="7" t="s">
        <v>231</v>
      </c>
      <c r="J2071" s="10">
        <v>46106.0</v>
      </c>
      <c r="K2071" s="7" t="s">
        <v>33</v>
      </c>
      <c r="L2071" s="13" t="s">
        <v>6467</v>
      </c>
      <c r="M2071" s="7" t="s">
        <v>33</v>
      </c>
      <c r="N2071" s="13" t="s">
        <v>6467</v>
      </c>
      <c r="O2071" s="15" t="s">
        <v>6468</v>
      </c>
    </row>
    <row r="2072">
      <c r="A2072" s="5">
        <v>2418.0</v>
      </c>
      <c r="B2072" s="6">
        <v>46170.581704930555</v>
      </c>
      <c r="C2072" s="7" t="s">
        <v>760</v>
      </c>
      <c r="D2072" s="8" t="s">
        <v>798</v>
      </c>
      <c r="E2072" s="8" t="s">
        <v>799</v>
      </c>
      <c r="F2072" s="7" t="s">
        <v>800</v>
      </c>
      <c r="G2072" s="9" t="s">
        <v>209</v>
      </c>
      <c r="H2072" s="7" t="s">
        <v>6469</v>
      </c>
      <c r="I2072" s="7" t="s">
        <v>825</v>
      </c>
      <c r="J2072" s="10">
        <v>46123.0</v>
      </c>
      <c r="K2072" s="8" t="s">
        <v>753</v>
      </c>
      <c r="L2072" s="7">
        <v>2.0</v>
      </c>
      <c r="M2072" s="7" t="s">
        <v>6331</v>
      </c>
      <c r="N2072" s="13" t="s">
        <v>6470</v>
      </c>
      <c r="O2072" s="15" t="s">
        <v>6471</v>
      </c>
    </row>
    <row r="2073">
      <c r="A2073" s="5">
        <v>2419.0</v>
      </c>
      <c r="B2073" s="6">
        <v>46170.581966365746</v>
      </c>
      <c r="C2073" s="7" t="s">
        <v>760</v>
      </c>
      <c r="D2073" s="8" t="s">
        <v>2757</v>
      </c>
      <c r="E2073" s="8" t="s">
        <v>1049</v>
      </c>
      <c r="F2073" s="7" t="s">
        <v>2758</v>
      </c>
      <c r="G2073" s="9" t="s">
        <v>181</v>
      </c>
      <c r="H2073" s="7" t="s">
        <v>895</v>
      </c>
      <c r="I2073" s="7" t="s">
        <v>231</v>
      </c>
      <c r="J2073" s="10">
        <v>46157.0</v>
      </c>
      <c r="K2073" s="8" t="s">
        <v>310</v>
      </c>
      <c r="L2073" s="7">
        <v>1.0</v>
      </c>
      <c r="M2073" s="7" t="s">
        <v>33</v>
      </c>
      <c r="N2073" s="13" t="s">
        <v>6472</v>
      </c>
      <c r="O2073" s="15" t="s">
        <v>6473</v>
      </c>
    </row>
    <row r="2074">
      <c r="A2074" s="5">
        <v>2420.0</v>
      </c>
      <c r="B2074" s="6">
        <v>46170.58282689815</v>
      </c>
      <c r="C2074" s="7" t="s">
        <v>760</v>
      </c>
      <c r="D2074" s="8" t="s">
        <v>4879</v>
      </c>
      <c r="E2074" s="8" t="s">
        <v>3024</v>
      </c>
      <c r="F2074" s="7" t="s">
        <v>4880</v>
      </c>
      <c r="G2074" s="9" t="s">
        <v>181</v>
      </c>
      <c r="H2074" s="7" t="s">
        <v>5432</v>
      </c>
      <c r="I2074" s="7" t="s">
        <v>5437</v>
      </c>
      <c r="J2074" s="10">
        <v>46139.0</v>
      </c>
      <c r="K2074" s="8" t="s">
        <v>6414</v>
      </c>
      <c r="L2074" s="7">
        <v>4.0</v>
      </c>
      <c r="M2074" s="7" t="s">
        <v>33</v>
      </c>
      <c r="N2074" s="13" t="s">
        <v>6474</v>
      </c>
      <c r="O2074" s="15" t="s">
        <v>6475</v>
      </c>
    </row>
    <row r="2075">
      <c r="A2075" s="5">
        <v>2421.0</v>
      </c>
      <c r="B2075" s="6">
        <v>46177.92301047454</v>
      </c>
      <c r="C2075" s="7" t="s">
        <v>760</v>
      </c>
      <c r="D2075" s="8" t="s">
        <v>892</v>
      </c>
      <c r="E2075" s="8" t="s">
        <v>893</v>
      </c>
      <c r="F2075" s="7" t="s">
        <v>899</v>
      </c>
      <c r="G2075" s="9" t="s">
        <v>181</v>
      </c>
      <c r="H2075" s="7" t="s">
        <v>895</v>
      </c>
      <c r="I2075" s="7" t="s">
        <v>231</v>
      </c>
      <c r="J2075" s="10">
        <v>46107.0</v>
      </c>
      <c r="K2075" s="7" t="s">
        <v>33</v>
      </c>
      <c r="L2075" s="13" t="s">
        <v>6476</v>
      </c>
      <c r="M2075" s="7" t="s">
        <v>33</v>
      </c>
      <c r="N2075" s="13" t="s">
        <v>6476</v>
      </c>
      <c r="O2075" s="15" t="s">
        <v>6477</v>
      </c>
    </row>
    <row r="2076">
      <c r="A2076" s="5">
        <v>2423.0</v>
      </c>
      <c r="B2076" s="6">
        <v>46170.58373212963</v>
      </c>
      <c r="C2076" s="7" t="s">
        <v>760</v>
      </c>
      <c r="D2076" s="8" t="s">
        <v>2799</v>
      </c>
      <c r="E2076" s="8" t="s">
        <v>171</v>
      </c>
      <c r="F2076" s="7" t="s">
        <v>2800</v>
      </c>
      <c r="G2076" s="9" t="s">
        <v>181</v>
      </c>
      <c r="H2076" s="7" t="s">
        <v>6347</v>
      </c>
      <c r="I2076" s="7" t="s">
        <v>6356</v>
      </c>
      <c r="J2076" s="10">
        <v>46164.0</v>
      </c>
      <c r="K2076" s="8" t="s">
        <v>753</v>
      </c>
      <c r="L2076" s="7">
        <v>2.0</v>
      </c>
      <c r="M2076" s="7" t="s">
        <v>3607</v>
      </c>
      <c r="N2076" s="13" t="s">
        <v>6478</v>
      </c>
      <c r="O2076" s="15" t="s">
        <v>6479</v>
      </c>
    </row>
    <row r="2077">
      <c r="A2077" s="5">
        <v>2424.0</v>
      </c>
      <c r="B2077" s="6">
        <v>46170.58403478009</v>
      </c>
      <c r="C2077" s="7" t="s">
        <v>760</v>
      </c>
      <c r="D2077" s="8" t="s">
        <v>3159</v>
      </c>
      <c r="E2077" s="8" t="s">
        <v>664</v>
      </c>
      <c r="F2077" s="7" t="s">
        <v>6417</v>
      </c>
      <c r="G2077" s="9" t="s">
        <v>19</v>
      </c>
      <c r="H2077" s="7" t="s">
        <v>6480</v>
      </c>
      <c r="I2077" s="7" t="s">
        <v>6212</v>
      </c>
      <c r="J2077" s="10">
        <v>46121.0</v>
      </c>
      <c r="K2077" s="8" t="s">
        <v>6234</v>
      </c>
      <c r="L2077" s="7">
        <v>8.0</v>
      </c>
      <c r="M2077" s="7" t="s">
        <v>1064</v>
      </c>
      <c r="N2077" s="13" t="s">
        <v>6481</v>
      </c>
      <c r="O2077" s="15" t="s">
        <v>6482</v>
      </c>
    </row>
    <row r="2078">
      <c r="A2078" s="5">
        <v>2425.0</v>
      </c>
      <c r="B2078" s="6">
        <v>46170.58438824074</v>
      </c>
      <c r="C2078" s="7" t="s">
        <v>760</v>
      </c>
      <c r="D2078" s="8" t="s">
        <v>798</v>
      </c>
      <c r="E2078" s="8" t="s">
        <v>799</v>
      </c>
      <c r="F2078" s="7" t="s">
        <v>800</v>
      </c>
      <c r="G2078" s="9" t="s">
        <v>144</v>
      </c>
      <c r="H2078" s="7" t="s">
        <v>6483</v>
      </c>
      <c r="I2078" s="7" t="s">
        <v>6484</v>
      </c>
      <c r="J2078" s="10">
        <v>46067.0</v>
      </c>
      <c r="K2078" s="8" t="s">
        <v>1922</v>
      </c>
      <c r="L2078" s="7">
        <v>2.0</v>
      </c>
      <c r="M2078" s="7" t="s">
        <v>6331</v>
      </c>
      <c r="N2078" s="13" t="s">
        <v>6485</v>
      </c>
      <c r="O2078" s="15" t="s">
        <v>6486</v>
      </c>
    </row>
    <row r="2079">
      <c r="A2079" s="5">
        <v>2426.0</v>
      </c>
      <c r="B2079" s="6">
        <v>46177.92408039352</v>
      </c>
      <c r="C2079" s="7" t="s">
        <v>760</v>
      </c>
      <c r="D2079" s="8" t="s">
        <v>892</v>
      </c>
      <c r="E2079" s="8" t="s">
        <v>893</v>
      </c>
      <c r="F2079" s="7" t="s">
        <v>899</v>
      </c>
      <c r="G2079" s="9" t="s">
        <v>181</v>
      </c>
      <c r="H2079" s="7" t="s">
        <v>895</v>
      </c>
      <c r="I2079" s="7" t="s">
        <v>231</v>
      </c>
      <c r="J2079" s="10">
        <v>46111.0</v>
      </c>
      <c r="K2079" s="7" t="s">
        <v>33</v>
      </c>
      <c r="L2079" s="13" t="s">
        <v>6487</v>
      </c>
      <c r="M2079" s="7" t="s">
        <v>33</v>
      </c>
      <c r="N2079" s="13" t="s">
        <v>6487</v>
      </c>
      <c r="O2079" s="15" t="s">
        <v>6488</v>
      </c>
    </row>
    <row r="2080">
      <c r="A2080" s="5">
        <v>2428.0</v>
      </c>
      <c r="B2080" s="6">
        <v>46177.92478366898</v>
      </c>
      <c r="C2080" s="7" t="s">
        <v>760</v>
      </c>
      <c r="D2080" s="8" t="s">
        <v>892</v>
      </c>
      <c r="E2080" s="8" t="s">
        <v>893</v>
      </c>
      <c r="F2080" s="7" t="s">
        <v>899</v>
      </c>
      <c r="G2080" s="9" t="s">
        <v>181</v>
      </c>
      <c r="H2080" s="7" t="s">
        <v>895</v>
      </c>
      <c r="I2080" s="7" t="s">
        <v>231</v>
      </c>
      <c r="J2080" s="10">
        <v>46057.0</v>
      </c>
      <c r="K2080" s="7" t="s">
        <v>33</v>
      </c>
      <c r="L2080" s="13" t="s">
        <v>6489</v>
      </c>
      <c r="M2080" s="7" t="s">
        <v>33</v>
      </c>
      <c r="N2080" s="13" t="s">
        <v>6489</v>
      </c>
      <c r="O2080" s="15" t="s">
        <v>6490</v>
      </c>
    </row>
    <row r="2081">
      <c r="A2081" s="5">
        <v>2429.0</v>
      </c>
      <c r="B2081" s="6">
        <v>46170.58684790509</v>
      </c>
      <c r="C2081" s="7" t="s">
        <v>760</v>
      </c>
      <c r="D2081" s="8" t="s">
        <v>3159</v>
      </c>
      <c r="E2081" s="8" t="s">
        <v>664</v>
      </c>
      <c r="F2081" s="7" t="s">
        <v>6417</v>
      </c>
      <c r="G2081" s="9" t="s">
        <v>19</v>
      </c>
      <c r="H2081" s="7" t="s">
        <v>5334</v>
      </c>
      <c r="I2081" s="7" t="s">
        <v>6491</v>
      </c>
      <c r="J2081" s="10">
        <v>46032.0</v>
      </c>
      <c r="K2081" s="8" t="s">
        <v>2328</v>
      </c>
      <c r="L2081" s="7">
        <v>8.0</v>
      </c>
      <c r="M2081" s="7" t="s">
        <v>87</v>
      </c>
      <c r="N2081" s="13" t="s">
        <v>6492</v>
      </c>
      <c r="O2081" s="15" t="s">
        <v>6493</v>
      </c>
    </row>
    <row r="2082">
      <c r="A2082" s="5">
        <v>2430.0</v>
      </c>
      <c r="B2082" s="6">
        <v>46177.92584465278</v>
      </c>
      <c r="C2082" s="7" t="s">
        <v>760</v>
      </c>
      <c r="D2082" s="8" t="s">
        <v>892</v>
      </c>
      <c r="E2082" s="8" t="s">
        <v>893</v>
      </c>
      <c r="F2082" s="7" t="s">
        <v>899</v>
      </c>
      <c r="G2082" s="9" t="s">
        <v>181</v>
      </c>
      <c r="H2082" s="7" t="s">
        <v>895</v>
      </c>
      <c r="I2082" s="7" t="s">
        <v>231</v>
      </c>
      <c r="J2082" s="10">
        <v>46114.0</v>
      </c>
      <c r="K2082" s="7" t="s">
        <v>33</v>
      </c>
      <c r="L2082" s="13" t="s">
        <v>6494</v>
      </c>
      <c r="M2082" s="7" t="s">
        <v>33</v>
      </c>
      <c r="N2082" s="13" t="s">
        <v>6494</v>
      </c>
      <c r="O2082" s="15" t="s">
        <v>6495</v>
      </c>
    </row>
    <row r="2083">
      <c r="A2083" s="5">
        <v>2431.0</v>
      </c>
      <c r="B2083" s="6">
        <v>46170.58740898148</v>
      </c>
      <c r="C2083" s="7" t="s">
        <v>760</v>
      </c>
      <c r="D2083" s="8" t="s">
        <v>2757</v>
      </c>
      <c r="E2083" s="8" t="s">
        <v>1049</v>
      </c>
      <c r="F2083" s="7" t="s">
        <v>2758</v>
      </c>
      <c r="G2083" s="9" t="s">
        <v>181</v>
      </c>
      <c r="H2083" s="7" t="s">
        <v>895</v>
      </c>
      <c r="I2083" s="7" t="s">
        <v>231</v>
      </c>
      <c r="J2083" s="10">
        <v>46035.0</v>
      </c>
      <c r="K2083" s="8" t="s">
        <v>310</v>
      </c>
      <c r="L2083" s="7">
        <v>1.0</v>
      </c>
      <c r="M2083" s="7" t="s">
        <v>33</v>
      </c>
      <c r="N2083" s="13" t="s">
        <v>6496</v>
      </c>
      <c r="O2083" s="23"/>
    </row>
    <row r="2084">
      <c r="A2084" s="5">
        <v>2432.0</v>
      </c>
      <c r="B2084" s="6">
        <v>46177.92680726852</v>
      </c>
      <c r="C2084" s="7" t="s">
        <v>760</v>
      </c>
      <c r="D2084" s="8" t="s">
        <v>892</v>
      </c>
      <c r="E2084" s="8" t="s">
        <v>893</v>
      </c>
      <c r="F2084" s="7" t="s">
        <v>899</v>
      </c>
      <c r="G2084" s="9" t="s">
        <v>181</v>
      </c>
      <c r="H2084" s="7" t="s">
        <v>895</v>
      </c>
      <c r="I2084" s="7" t="s">
        <v>231</v>
      </c>
      <c r="J2084" s="10">
        <v>46143.0</v>
      </c>
      <c r="K2084" s="7" t="s">
        <v>33</v>
      </c>
      <c r="L2084" s="13" t="s">
        <v>6497</v>
      </c>
      <c r="M2084" s="7" t="s">
        <v>33</v>
      </c>
      <c r="N2084" s="13" t="s">
        <v>6497</v>
      </c>
      <c r="O2084" s="15" t="s">
        <v>6498</v>
      </c>
    </row>
    <row r="2085">
      <c r="A2085" s="5">
        <v>2433.0</v>
      </c>
      <c r="B2085" s="6">
        <v>46170.59055908565</v>
      </c>
      <c r="C2085" s="7" t="s">
        <v>760</v>
      </c>
      <c r="D2085" s="8" t="s">
        <v>902</v>
      </c>
      <c r="E2085" s="8" t="s">
        <v>28</v>
      </c>
      <c r="F2085" s="7" t="s">
        <v>6069</v>
      </c>
      <c r="G2085" s="9" t="s">
        <v>181</v>
      </c>
      <c r="H2085" s="7" t="s">
        <v>6347</v>
      </c>
      <c r="I2085" s="7" t="s">
        <v>231</v>
      </c>
      <c r="J2085" s="10">
        <v>46164.0</v>
      </c>
      <c r="K2085" s="8" t="s">
        <v>4834</v>
      </c>
      <c r="L2085" s="7">
        <v>2.0</v>
      </c>
      <c r="M2085" s="7" t="s">
        <v>6499</v>
      </c>
      <c r="N2085" s="13" t="s">
        <v>6500</v>
      </c>
      <c r="O2085" s="15" t="s">
        <v>6501</v>
      </c>
    </row>
    <row r="2086">
      <c r="A2086" s="5">
        <v>2434.0</v>
      </c>
      <c r="B2086" s="6">
        <v>46170.591903865745</v>
      </c>
      <c r="C2086" s="7" t="s">
        <v>760</v>
      </c>
      <c r="D2086" s="8" t="s">
        <v>1209</v>
      </c>
      <c r="E2086" s="8" t="s">
        <v>223</v>
      </c>
      <c r="F2086" s="7" t="s">
        <v>2809</v>
      </c>
      <c r="G2086" s="9" t="s">
        <v>181</v>
      </c>
      <c r="H2086" s="7" t="s">
        <v>5432</v>
      </c>
      <c r="I2086" s="7" t="s">
        <v>231</v>
      </c>
      <c r="J2086" s="10">
        <v>46138.0</v>
      </c>
      <c r="K2086" s="8" t="s">
        <v>3737</v>
      </c>
      <c r="L2086" s="7">
        <v>8.0</v>
      </c>
      <c r="M2086" s="7" t="s">
        <v>33</v>
      </c>
      <c r="N2086" s="13" t="s">
        <v>6502</v>
      </c>
      <c r="O2086" s="15" t="s">
        <v>6503</v>
      </c>
    </row>
    <row r="2087">
      <c r="A2087" s="5">
        <v>2435.0</v>
      </c>
      <c r="B2087" s="6">
        <v>46170.59403150463</v>
      </c>
      <c r="C2087" s="7" t="s">
        <v>760</v>
      </c>
      <c r="D2087" s="8" t="s">
        <v>1209</v>
      </c>
      <c r="E2087" s="8" t="s">
        <v>223</v>
      </c>
      <c r="F2087" s="7" t="s">
        <v>2809</v>
      </c>
      <c r="G2087" s="9" t="s">
        <v>181</v>
      </c>
      <c r="H2087" s="7" t="s">
        <v>5432</v>
      </c>
      <c r="I2087" s="7" t="s">
        <v>231</v>
      </c>
      <c r="J2087" s="10">
        <v>46139.0</v>
      </c>
      <c r="K2087" s="8" t="s">
        <v>962</v>
      </c>
      <c r="L2087" s="7">
        <v>4.0</v>
      </c>
      <c r="M2087" s="7" t="s">
        <v>33</v>
      </c>
      <c r="N2087" s="13" t="s">
        <v>6504</v>
      </c>
      <c r="O2087" s="15" t="s">
        <v>6505</v>
      </c>
    </row>
    <row r="2088">
      <c r="A2088" s="5">
        <v>2437.0</v>
      </c>
      <c r="B2088" s="6">
        <v>46170.59938587963</v>
      </c>
      <c r="C2088" s="7" t="s">
        <v>760</v>
      </c>
      <c r="D2088" s="8" t="s">
        <v>2799</v>
      </c>
      <c r="E2088" s="8" t="s">
        <v>171</v>
      </c>
      <c r="F2088" s="7" t="s">
        <v>2800</v>
      </c>
      <c r="G2088" s="9" t="s">
        <v>144</v>
      </c>
      <c r="H2088" s="7" t="s">
        <v>6506</v>
      </c>
      <c r="I2088" s="7" t="s">
        <v>6507</v>
      </c>
      <c r="J2088" s="10">
        <v>45879.0</v>
      </c>
      <c r="K2088" s="8" t="s">
        <v>753</v>
      </c>
      <c r="L2088" s="7">
        <v>2.0</v>
      </c>
      <c r="M2088" s="7" t="s">
        <v>6508</v>
      </c>
      <c r="N2088" s="13" t="s">
        <v>6509</v>
      </c>
      <c r="O2088" s="15" t="s">
        <v>6510</v>
      </c>
    </row>
    <row r="2089">
      <c r="A2089" s="5">
        <v>2440.0</v>
      </c>
      <c r="B2089" s="6">
        <v>46170.61002756945</v>
      </c>
      <c r="C2089" s="7" t="s">
        <v>760</v>
      </c>
      <c r="D2089" s="8" t="s">
        <v>1209</v>
      </c>
      <c r="E2089" s="8" t="s">
        <v>223</v>
      </c>
      <c r="F2089" s="7" t="s">
        <v>2809</v>
      </c>
      <c r="G2089" s="9" t="s">
        <v>181</v>
      </c>
      <c r="H2089" s="7" t="s">
        <v>6347</v>
      </c>
      <c r="I2089" s="7" t="s">
        <v>6356</v>
      </c>
      <c r="J2089" s="10">
        <v>46164.0</v>
      </c>
      <c r="K2089" s="8" t="s">
        <v>753</v>
      </c>
      <c r="L2089" s="7">
        <v>2.0</v>
      </c>
      <c r="M2089" s="7" t="s">
        <v>3607</v>
      </c>
      <c r="N2089" s="13" t="s">
        <v>6511</v>
      </c>
      <c r="O2089" s="15" t="s">
        <v>6512</v>
      </c>
    </row>
    <row r="2090">
      <c r="A2090" s="5">
        <v>2442.0</v>
      </c>
      <c r="B2090" s="6">
        <v>46170.61489239583</v>
      </c>
      <c r="C2090" s="7" t="s">
        <v>760</v>
      </c>
      <c r="D2090" s="8" t="s">
        <v>1209</v>
      </c>
      <c r="E2090" s="8" t="s">
        <v>223</v>
      </c>
      <c r="F2090" s="7" t="s">
        <v>2809</v>
      </c>
      <c r="G2090" s="9" t="s">
        <v>19</v>
      </c>
      <c r="H2090" s="7" t="s">
        <v>6513</v>
      </c>
      <c r="I2090" s="7" t="s">
        <v>6514</v>
      </c>
      <c r="J2090" s="10">
        <v>46135.0</v>
      </c>
      <c r="K2090" s="8" t="s">
        <v>1647</v>
      </c>
      <c r="L2090" s="7">
        <v>8.0</v>
      </c>
      <c r="M2090" s="7" t="s">
        <v>1564</v>
      </c>
      <c r="N2090" s="13" t="s">
        <v>6515</v>
      </c>
      <c r="O2090" s="15" t="s">
        <v>6516</v>
      </c>
    </row>
    <row r="2091">
      <c r="A2091" s="5">
        <v>2443.0</v>
      </c>
      <c r="B2091" s="6">
        <v>46170.61531978009</v>
      </c>
      <c r="C2091" s="7" t="s">
        <v>760</v>
      </c>
      <c r="D2091" s="8" t="s">
        <v>2757</v>
      </c>
      <c r="E2091" s="8" t="s">
        <v>1049</v>
      </c>
      <c r="F2091" s="7" t="s">
        <v>2758</v>
      </c>
      <c r="G2091" s="9" t="s">
        <v>181</v>
      </c>
      <c r="H2091" s="7" t="s">
        <v>895</v>
      </c>
      <c r="I2091" s="7" t="s">
        <v>231</v>
      </c>
      <c r="J2091" s="10">
        <v>46143.0</v>
      </c>
      <c r="K2091" s="8" t="s">
        <v>310</v>
      </c>
      <c r="L2091" s="7">
        <v>1.0</v>
      </c>
      <c r="M2091" s="7" t="s">
        <v>33</v>
      </c>
      <c r="N2091" s="13" t="s">
        <v>6517</v>
      </c>
      <c r="O2091" s="15" t="s">
        <v>6518</v>
      </c>
    </row>
    <row r="2092">
      <c r="A2092" s="5">
        <v>2444.0</v>
      </c>
      <c r="B2092" s="6">
        <v>46170.615499363426</v>
      </c>
      <c r="C2092" s="7" t="s">
        <v>760</v>
      </c>
      <c r="D2092" s="8" t="s">
        <v>3369</v>
      </c>
      <c r="E2092" s="8" t="s">
        <v>1948</v>
      </c>
      <c r="F2092" s="7" t="s">
        <v>3370</v>
      </c>
      <c r="G2092" s="9" t="s">
        <v>19</v>
      </c>
      <c r="H2092" s="7" t="s">
        <v>6480</v>
      </c>
      <c r="I2092" s="7" t="s">
        <v>6212</v>
      </c>
      <c r="J2092" s="10">
        <v>46119.0</v>
      </c>
      <c r="K2092" s="8" t="s">
        <v>6223</v>
      </c>
      <c r="L2092" s="7">
        <v>6.0</v>
      </c>
      <c r="M2092" s="7" t="s">
        <v>1064</v>
      </c>
      <c r="N2092" s="13" t="s">
        <v>6519</v>
      </c>
      <c r="O2092" s="15" t="s">
        <v>6520</v>
      </c>
    </row>
    <row r="2093">
      <c r="A2093" s="5">
        <v>2445.0</v>
      </c>
      <c r="B2093" s="6">
        <v>46170.61620128472</v>
      </c>
      <c r="C2093" s="7" t="s">
        <v>760</v>
      </c>
      <c r="D2093" s="8" t="s">
        <v>2757</v>
      </c>
      <c r="E2093" s="8" t="s">
        <v>1049</v>
      </c>
      <c r="F2093" s="7" t="s">
        <v>2758</v>
      </c>
      <c r="G2093" s="9" t="s">
        <v>181</v>
      </c>
      <c r="H2093" s="7" t="s">
        <v>895</v>
      </c>
      <c r="I2093" s="7" t="s">
        <v>231</v>
      </c>
      <c r="J2093" s="10">
        <v>46107.0</v>
      </c>
      <c r="K2093" s="8" t="s">
        <v>310</v>
      </c>
      <c r="L2093" s="7">
        <v>1.0</v>
      </c>
      <c r="M2093" s="7" t="s">
        <v>33</v>
      </c>
      <c r="N2093" s="13" t="s">
        <v>6521</v>
      </c>
      <c r="O2093" s="15" t="s">
        <v>6522</v>
      </c>
    </row>
    <row r="2094">
      <c r="A2094" s="5">
        <v>2446.0</v>
      </c>
      <c r="B2094" s="6">
        <v>46170.617042847225</v>
      </c>
      <c r="C2094" s="7" t="s">
        <v>760</v>
      </c>
      <c r="D2094" s="8" t="s">
        <v>3369</v>
      </c>
      <c r="E2094" s="8" t="s">
        <v>1948</v>
      </c>
      <c r="F2094" s="7" t="s">
        <v>3370</v>
      </c>
      <c r="G2094" s="9" t="s">
        <v>19</v>
      </c>
      <c r="H2094" s="7" t="s">
        <v>6418</v>
      </c>
      <c r="I2094" s="7" t="s">
        <v>6212</v>
      </c>
      <c r="J2094" s="10">
        <v>46120.0</v>
      </c>
      <c r="K2094" s="8" t="s">
        <v>3318</v>
      </c>
      <c r="L2094" s="7">
        <v>6.0</v>
      </c>
      <c r="M2094" s="7" t="s">
        <v>1064</v>
      </c>
      <c r="N2094" s="13" t="s">
        <v>6523</v>
      </c>
      <c r="O2094" s="15" t="s">
        <v>6524</v>
      </c>
    </row>
    <row r="2095">
      <c r="A2095" s="5">
        <v>2447.0</v>
      </c>
      <c r="B2095" s="6">
        <v>46170.61713644676</v>
      </c>
      <c r="C2095" s="7" t="s">
        <v>760</v>
      </c>
      <c r="D2095" s="8" t="s">
        <v>2757</v>
      </c>
      <c r="E2095" s="8" t="s">
        <v>1049</v>
      </c>
      <c r="F2095" s="7" t="s">
        <v>2758</v>
      </c>
      <c r="G2095" s="9" t="s">
        <v>181</v>
      </c>
      <c r="H2095" s="7" t="s">
        <v>895</v>
      </c>
      <c r="I2095" s="7" t="s">
        <v>1211</v>
      </c>
      <c r="J2095" s="10">
        <v>46085.0</v>
      </c>
      <c r="K2095" s="8" t="s">
        <v>310</v>
      </c>
      <c r="L2095" s="7">
        <v>1.0</v>
      </c>
      <c r="M2095" s="7" t="s">
        <v>33</v>
      </c>
      <c r="N2095" s="13" t="s">
        <v>6525</v>
      </c>
      <c r="O2095" s="15" t="s">
        <v>6526</v>
      </c>
    </row>
    <row r="2096">
      <c r="A2096" s="5">
        <v>2448.0</v>
      </c>
      <c r="B2096" s="6">
        <v>46170.61716763889</v>
      </c>
      <c r="C2096" s="7" t="s">
        <v>760</v>
      </c>
      <c r="D2096" s="8" t="s">
        <v>2799</v>
      </c>
      <c r="E2096" s="8" t="s">
        <v>171</v>
      </c>
      <c r="F2096" s="7" t="s">
        <v>2800</v>
      </c>
      <c r="G2096" s="9" t="s">
        <v>181</v>
      </c>
      <c r="H2096" s="7" t="s">
        <v>6022</v>
      </c>
      <c r="I2096" s="7" t="s">
        <v>6026</v>
      </c>
      <c r="J2096" s="10">
        <v>46147.0</v>
      </c>
      <c r="K2096" s="8" t="s">
        <v>3287</v>
      </c>
      <c r="L2096" s="7">
        <v>3.0</v>
      </c>
      <c r="M2096" s="7" t="s">
        <v>1325</v>
      </c>
      <c r="N2096" s="13" t="s">
        <v>6527</v>
      </c>
      <c r="O2096" s="15" t="s">
        <v>6528</v>
      </c>
    </row>
    <row r="2097">
      <c r="A2097" s="5">
        <v>2451.0</v>
      </c>
      <c r="B2097" s="6">
        <v>46170.61850240741</v>
      </c>
      <c r="C2097" s="7" t="s">
        <v>760</v>
      </c>
      <c r="D2097" s="8" t="s">
        <v>3369</v>
      </c>
      <c r="E2097" s="8" t="s">
        <v>1948</v>
      </c>
      <c r="F2097" s="7" t="s">
        <v>3370</v>
      </c>
      <c r="G2097" s="9" t="s">
        <v>19</v>
      </c>
      <c r="H2097" s="7" t="s">
        <v>6480</v>
      </c>
      <c r="I2097" s="7" t="s">
        <v>6212</v>
      </c>
      <c r="J2097" s="10">
        <v>46121.0</v>
      </c>
      <c r="K2097" s="8" t="s">
        <v>6234</v>
      </c>
      <c r="L2097" s="7">
        <v>8.0</v>
      </c>
      <c r="M2097" s="7" t="s">
        <v>1064</v>
      </c>
      <c r="N2097" s="13" t="s">
        <v>6529</v>
      </c>
      <c r="O2097" s="15" t="s">
        <v>6530</v>
      </c>
    </row>
    <row r="2098">
      <c r="A2098" s="5">
        <v>2452.0</v>
      </c>
      <c r="B2098" s="6">
        <v>46170.61954168981</v>
      </c>
      <c r="C2098" s="7" t="s">
        <v>760</v>
      </c>
      <c r="D2098" s="8" t="s">
        <v>2757</v>
      </c>
      <c r="E2098" s="8" t="s">
        <v>1049</v>
      </c>
      <c r="F2098" s="7" t="s">
        <v>2758</v>
      </c>
      <c r="G2098" s="9" t="s">
        <v>181</v>
      </c>
      <c r="H2098" s="7" t="s">
        <v>895</v>
      </c>
      <c r="I2098" s="7" t="s">
        <v>231</v>
      </c>
      <c r="J2098" s="10">
        <v>46149.0</v>
      </c>
      <c r="K2098" s="8" t="s">
        <v>310</v>
      </c>
      <c r="L2098" s="7">
        <v>1.0</v>
      </c>
      <c r="M2098" s="7" t="s">
        <v>33</v>
      </c>
      <c r="N2098" s="13" t="s">
        <v>6531</v>
      </c>
      <c r="O2098" s="15" t="s">
        <v>6532</v>
      </c>
    </row>
    <row r="2099">
      <c r="A2099" s="5">
        <v>2453.0</v>
      </c>
      <c r="B2099" s="6">
        <v>46170.620446886576</v>
      </c>
      <c r="C2099" s="7" t="s">
        <v>760</v>
      </c>
      <c r="D2099" s="8" t="s">
        <v>2757</v>
      </c>
      <c r="E2099" s="8" t="s">
        <v>1049</v>
      </c>
      <c r="F2099" s="7" t="s">
        <v>2758</v>
      </c>
      <c r="G2099" s="9" t="s">
        <v>181</v>
      </c>
      <c r="H2099" s="7" t="s">
        <v>895</v>
      </c>
      <c r="I2099" s="7" t="s">
        <v>231</v>
      </c>
      <c r="J2099" s="10">
        <v>46156.0</v>
      </c>
      <c r="K2099" s="8" t="s">
        <v>310</v>
      </c>
      <c r="L2099" s="7">
        <v>1.0</v>
      </c>
      <c r="M2099" s="7" t="s">
        <v>33</v>
      </c>
      <c r="N2099" s="13" t="s">
        <v>6533</v>
      </c>
      <c r="O2099" s="15" t="s">
        <v>6534</v>
      </c>
    </row>
    <row r="2100">
      <c r="A2100" s="5">
        <v>2454.0</v>
      </c>
      <c r="B2100" s="6">
        <v>46170.62130395834</v>
      </c>
      <c r="C2100" s="7" t="s">
        <v>760</v>
      </c>
      <c r="D2100" s="8" t="s">
        <v>4379</v>
      </c>
      <c r="E2100" s="8" t="s">
        <v>118</v>
      </c>
      <c r="F2100" s="7" t="s">
        <v>4380</v>
      </c>
      <c r="G2100" s="9" t="s">
        <v>19</v>
      </c>
      <c r="H2100" s="7" t="s">
        <v>6287</v>
      </c>
      <c r="I2100" s="7" t="s">
        <v>6514</v>
      </c>
      <c r="J2100" s="10">
        <v>46135.0</v>
      </c>
      <c r="K2100" s="8" t="s">
        <v>1647</v>
      </c>
      <c r="L2100" s="7">
        <v>8.0</v>
      </c>
      <c r="M2100" s="7" t="s">
        <v>1564</v>
      </c>
      <c r="N2100" s="13" t="s">
        <v>6535</v>
      </c>
      <c r="O2100" s="15" t="s">
        <v>6536</v>
      </c>
    </row>
    <row r="2101">
      <c r="A2101" s="5">
        <v>2455.0</v>
      </c>
      <c r="B2101" s="6">
        <v>46170.62229905093</v>
      </c>
      <c r="C2101" s="7" t="s">
        <v>760</v>
      </c>
      <c r="D2101" s="8" t="s">
        <v>4379</v>
      </c>
      <c r="E2101" s="8" t="s">
        <v>118</v>
      </c>
      <c r="F2101" s="7" t="s">
        <v>4380</v>
      </c>
      <c r="G2101" s="9" t="s">
        <v>181</v>
      </c>
      <c r="H2101" s="7" t="s">
        <v>5432</v>
      </c>
      <c r="I2101" s="7" t="s">
        <v>231</v>
      </c>
      <c r="J2101" s="10">
        <v>46133.0</v>
      </c>
      <c r="K2101" s="8" t="s">
        <v>962</v>
      </c>
      <c r="L2101" s="7">
        <v>4.0</v>
      </c>
      <c r="M2101" s="7" t="s">
        <v>33</v>
      </c>
      <c r="N2101" s="13" t="s">
        <v>6537</v>
      </c>
      <c r="O2101" s="15" t="s">
        <v>6538</v>
      </c>
    </row>
    <row r="2102">
      <c r="A2102" s="5">
        <v>2456.0</v>
      </c>
      <c r="B2102" s="6">
        <v>46170.623613379634</v>
      </c>
      <c r="C2102" s="7" t="s">
        <v>760</v>
      </c>
      <c r="D2102" s="8" t="s">
        <v>4379</v>
      </c>
      <c r="E2102" s="8" t="s">
        <v>118</v>
      </c>
      <c r="F2102" s="7" t="s">
        <v>4380</v>
      </c>
      <c r="G2102" s="9" t="s">
        <v>181</v>
      </c>
      <c r="H2102" s="7" t="s">
        <v>5432</v>
      </c>
      <c r="I2102" s="7" t="s">
        <v>231</v>
      </c>
      <c r="J2102" s="10">
        <v>46134.0</v>
      </c>
      <c r="K2102" s="8" t="s">
        <v>962</v>
      </c>
      <c r="L2102" s="7">
        <v>4.0</v>
      </c>
      <c r="M2102" s="7" t="s">
        <v>33</v>
      </c>
      <c r="N2102" s="13" t="s">
        <v>6539</v>
      </c>
      <c r="O2102" s="15" t="s">
        <v>6540</v>
      </c>
    </row>
    <row r="2103">
      <c r="A2103" s="5">
        <v>2459.0</v>
      </c>
      <c r="B2103" s="6">
        <v>46170.624986944444</v>
      </c>
      <c r="C2103" s="7" t="s">
        <v>760</v>
      </c>
      <c r="D2103" s="8" t="s">
        <v>829</v>
      </c>
      <c r="E2103" s="8" t="s">
        <v>830</v>
      </c>
      <c r="F2103" s="7" t="s">
        <v>831</v>
      </c>
      <c r="G2103" s="9" t="s">
        <v>84</v>
      </c>
      <c r="H2103" s="7" t="s">
        <v>85</v>
      </c>
      <c r="I2103" s="7" t="s">
        <v>6541</v>
      </c>
      <c r="J2103" s="10">
        <v>46102.0</v>
      </c>
      <c r="K2103" s="8" t="s">
        <v>1633</v>
      </c>
      <c r="L2103" s="7">
        <v>8.0</v>
      </c>
      <c r="M2103" s="7" t="s">
        <v>831</v>
      </c>
      <c r="N2103" s="13" t="s">
        <v>6542</v>
      </c>
      <c r="O2103" s="15" t="s">
        <v>6543</v>
      </c>
    </row>
    <row r="2104">
      <c r="A2104" s="5">
        <v>2460.0</v>
      </c>
      <c r="B2104" s="6">
        <v>46170.6320853588</v>
      </c>
      <c r="C2104" s="7" t="s">
        <v>760</v>
      </c>
      <c r="D2104" s="8" t="s">
        <v>4379</v>
      </c>
      <c r="E2104" s="8" t="s">
        <v>118</v>
      </c>
      <c r="F2104" s="7" t="s">
        <v>4380</v>
      </c>
      <c r="G2104" s="9" t="s">
        <v>181</v>
      </c>
      <c r="H2104" s="7" t="s">
        <v>5432</v>
      </c>
      <c r="I2104" s="7" t="s">
        <v>231</v>
      </c>
      <c r="J2104" s="10">
        <v>46135.0</v>
      </c>
      <c r="K2104" s="8" t="s">
        <v>962</v>
      </c>
      <c r="L2104" s="7">
        <v>4.0</v>
      </c>
      <c r="M2104" s="7" t="s">
        <v>33</v>
      </c>
      <c r="N2104" s="13" t="s">
        <v>6544</v>
      </c>
      <c r="O2104" s="15" t="s">
        <v>6545</v>
      </c>
    </row>
    <row r="2105">
      <c r="A2105" s="5">
        <v>2461.0</v>
      </c>
      <c r="B2105" s="6">
        <v>46170.64368978009</v>
      </c>
      <c r="C2105" s="7" t="s">
        <v>760</v>
      </c>
      <c r="D2105" s="8" t="s">
        <v>1209</v>
      </c>
      <c r="E2105" s="8" t="s">
        <v>223</v>
      </c>
      <c r="F2105" s="7" t="s">
        <v>2809</v>
      </c>
      <c r="G2105" s="9" t="s">
        <v>181</v>
      </c>
      <c r="H2105" s="7" t="s">
        <v>5432</v>
      </c>
      <c r="I2105" s="7" t="s">
        <v>231</v>
      </c>
      <c r="J2105" s="10">
        <v>46134.0</v>
      </c>
      <c r="K2105" s="8" t="s">
        <v>962</v>
      </c>
      <c r="L2105" s="7">
        <v>4.0</v>
      </c>
      <c r="M2105" s="7" t="s">
        <v>33</v>
      </c>
      <c r="N2105" s="13" t="s">
        <v>6546</v>
      </c>
      <c r="O2105" s="15" t="s">
        <v>6547</v>
      </c>
    </row>
    <row r="2106">
      <c r="A2106" s="5">
        <v>2462.0</v>
      </c>
      <c r="B2106" s="6">
        <v>46170.64510571759</v>
      </c>
      <c r="C2106" s="7" t="s">
        <v>760</v>
      </c>
      <c r="D2106" s="8" t="s">
        <v>1209</v>
      </c>
      <c r="E2106" s="8" t="s">
        <v>223</v>
      </c>
      <c r="F2106" s="7" t="s">
        <v>2809</v>
      </c>
      <c r="G2106" s="9" t="s">
        <v>181</v>
      </c>
      <c r="H2106" s="7" t="s">
        <v>5432</v>
      </c>
      <c r="I2106" s="7" t="s">
        <v>231</v>
      </c>
      <c r="J2106" s="10">
        <v>46135.0</v>
      </c>
      <c r="K2106" s="8" t="s">
        <v>962</v>
      </c>
      <c r="L2106" s="7">
        <v>4.0</v>
      </c>
      <c r="M2106" s="7" t="s">
        <v>33</v>
      </c>
      <c r="N2106" s="13" t="s">
        <v>6548</v>
      </c>
      <c r="O2106" s="15" t="s">
        <v>6549</v>
      </c>
    </row>
    <row r="2107">
      <c r="A2107" s="5">
        <v>2463.0</v>
      </c>
      <c r="B2107" s="6">
        <v>46170.64594456019</v>
      </c>
      <c r="C2107" s="7" t="s">
        <v>760</v>
      </c>
      <c r="D2107" s="8" t="s">
        <v>1672</v>
      </c>
      <c r="E2107" s="8" t="s">
        <v>881</v>
      </c>
      <c r="F2107" s="7" t="s">
        <v>1673</v>
      </c>
      <c r="G2107" s="9" t="s">
        <v>181</v>
      </c>
      <c r="H2107" s="7" t="s">
        <v>6022</v>
      </c>
      <c r="I2107" s="7" t="s">
        <v>6023</v>
      </c>
      <c r="J2107" s="10">
        <v>46147.0</v>
      </c>
      <c r="K2107" s="8" t="s">
        <v>3287</v>
      </c>
      <c r="L2107" s="7">
        <v>3.0</v>
      </c>
      <c r="M2107" s="7" t="s">
        <v>1325</v>
      </c>
      <c r="N2107" s="13" t="s">
        <v>6550</v>
      </c>
      <c r="O2107" s="15" t="s">
        <v>6551</v>
      </c>
    </row>
    <row r="2108">
      <c r="A2108" s="5">
        <v>2464.0</v>
      </c>
      <c r="B2108" s="6">
        <v>46170.64976959491</v>
      </c>
      <c r="C2108" s="7" t="s">
        <v>760</v>
      </c>
      <c r="D2108" s="8" t="s">
        <v>4379</v>
      </c>
      <c r="E2108" s="8" t="s">
        <v>118</v>
      </c>
      <c r="F2108" s="7" t="s">
        <v>4380</v>
      </c>
      <c r="G2108" s="9" t="s">
        <v>181</v>
      </c>
      <c r="H2108" s="7" t="s">
        <v>5432</v>
      </c>
      <c r="I2108" s="7" t="s">
        <v>231</v>
      </c>
      <c r="J2108" s="10">
        <v>46138.0</v>
      </c>
      <c r="K2108" s="7" t="s">
        <v>33</v>
      </c>
      <c r="L2108" s="13" t="s">
        <v>6552</v>
      </c>
      <c r="M2108" s="7" t="s">
        <v>33</v>
      </c>
      <c r="N2108" s="13" t="s">
        <v>6552</v>
      </c>
      <c r="O2108" s="15" t="s">
        <v>6553</v>
      </c>
    </row>
    <row r="2109">
      <c r="A2109" s="5">
        <v>2465.0</v>
      </c>
      <c r="B2109" s="6">
        <v>46170.648804027776</v>
      </c>
      <c r="C2109" s="7" t="s">
        <v>760</v>
      </c>
      <c r="D2109" s="8" t="s">
        <v>4379</v>
      </c>
      <c r="E2109" s="8" t="s">
        <v>118</v>
      </c>
      <c r="F2109" s="7" t="s">
        <v>4380</v>
      </c>
      <c r="G2109" s="9" t="s">
        <v>181</v>
      </c>
      <c r="H2109" s="7" t="s">
        <v>5432</v>
      </c>
      <c r="I2109" s="7" t="s">
        <v>5437</v>
      </c>
      <c r="J2109" s="10">
        <v>46169.0</v>
      </c>
      <c r="K2109" s="8" t="s">
        <v>962</v>
      </c>
      <c r="L2109" s="7">
        <v>4.0</v>
      </c>
      <c r="M2109" s="7" t="s">
        <v>33</v>
      </c>
      <c r="N2109" s="13" t="s">
        <v>6554</v>
      </c>
      <c r="O2109" s="15" t="s">
        <v>6555</v>
      </c>
    </row>
    <row r="2110">
      <c r="A2110" s="5">
        <v>2466.0</v>
      </c>
      <c r="B2110" s="6">
        <v>46176.3402602662</v>
      </c>
      <c r="C2110" s="7" t="s">
        <v>760</v>
      </c>
      <c r="D2110" s="8" t="s">
        <v>4379</v>
      </c>
      <c r="E2110" s="8" t="s">
        <v>118</v>
      </c>
      <c r="F2110" s="7" t="s">
        <v>4380</v>
      </c>
      <c r="G2110" s="9" t="s">
        <v>181</v>
      </c>
      <c r="H2110" s="7" t="s">
        <v>6347</v>
      </c>
      <c r="I2110" s="7" t="s">
        <v>231</v>
      </c>
      <c r="J2110" s="10">
        <v>46164.0</v>
      </c>
      <c r="K2110" s="7" t="s">
        <v>3607</v>
      </c>
      <c r="L2110" s="13" t="s">
        <v>6556</v>
      </c>
      <c r="M2110" s="7" t="s">
        <v>3607</v>
      </c>
      <c r="N2110" s="13" t="s">
        <v>6556</v>
      </c>
      <c r="O2110" s="15" t="s">
        <v>6557</v>
      </c>
    </row>
    <row r="2111">
      <c r="A2111" s="5">
        <v>2470.0</v>
      </c>
      <c r="B2111" s="6">
        <v>46170.6787768287</v>
      </c>
      <c r="C2111" s="7" t="s">
        <v>760</v>
      </c>
      <c r="D2111" s="8" t="s">
        <v>1407</v>
      </c>
      <c r="E2111" s="8" t="s">
        <v>440</v>
      </c>
      <c r="F2111" s="7" t="s">
        <v>1408</v>
      </c>
      <c r="G2111" s="9" t="s">
        <v>19</v>
      </c>
      <c r="H2111" s="7" t="s">
        <v>6120</v>
      </c>
      <c r="I2111" s="7" t="s">
        <v>6558</v>
      </c>
      <c r="J2111" s="10">
        <v>46134.0</v>
      </c>
      <c r="K2111" s="8" t="s">
        <v>49</v>
      </c>
      <c r="L2111" s="7">
        <v>8.0</v>
      </c>
      <c r="M2111" s="7" t="s">
        <v>1564</v>
      </c>
      <c r="N2111" s="13" t="s">
        <v>6559</v>
      </c>
      <c r="O2111" s="15" t="s">
        <v>6560</v>
      </c>
    </row>
    <row r="2112">
      <c r="A2112" s="5">
        <v>2471.0</v>
      </c>
      <c r="B2112" s="6">
        <v>46170.794588703706</v>
      </c>
      <c r="C2112" s="7" t="s">
        <v>760</v>
      </c>
      <c r="D2112" s="8" t="s">
        <v>2799</v>
      </c>
      <c r="E2112" s="8" t="s">
        <v>171</v>
      </c>
      <c r="F2112" s="7" t="s">
        <v>2800</v>
      </c>
      <c r="G2112" s="9" t="s">
        <v>144</v>
      </c>
      <c r="H2112" s="7" t="s">
        <v>6561</v>
      </c>
      <c r="I2112" s="7" t="s">
        <v>731</v>
      </c>
      <c r="J2112" s="10">
        <v>45899.0</v>
      </c>
      <c r="K2112" s="8" t="s">
        <v>3715</v>
      </c>
      <c r="L2112" s="7">
        <v>2.0</v>
      </c>
      <c r="M2112" s="7" t="s">
        <v>6562</v>
      </c>
      <c r="N2112" s="13" t="s">
        <v>6563</v>
      </c>
      <c r="O2112" s="15" t="s">
        <v>6564</v>
      </c>
    </row>
    <row r="2113">
      <c r="A2113" s="5">
        <v>2473.0</v>
      </c>
      <c r="B2113" s="6">
        <v>46170.81156318287</v>
      </c>
      <c r="C2113" s="7" t="s">
        <v>760</v>
      </c>
      <c r="D2113" s="8" t="s">
        <v>2799</v>
      </c>
      <c r="E2113" s="8" t="s">
        <v>171</v>
      </c>
      <c r="F2113" s="7" t="s">
        <v>6565</v>
      </c>
      <c r="G2113" s="9" t="s">
        <v>144</v>
      </c>
      <c r="H2113" s="7" t="s">
        <v>6566</v>
      </c>
      <c r="I2113" s="7" t="s">
        <v>6507</v>
      </c>
      <c r="J2113" s="10">
        <v>45941.0</v>
      </c>
      <c r="K2113" s="8" t="s">
        <v>1032</v>
      </c>
      <c r="L2113" s="7">
        <v>2.0</v>
      </c>
      <c r="M2113" s="7" t="s">
        <v>6508</v>
      </c>
      <c r="N2113" s="13" t="s">
        <v>6567</v>
      </c>
      <c r="O2113" s="15" t="s">
        <v>6568</v>
      </c>
    </row>
    <row r="2114">
      <c r="A2114" s="5">
        <v>2474.0</v>
      </c>
      <c r="B2114" s="6">
        <v>46170.940064490744</v>
      </c>
      <c r="C2114" s="7" t="s">
        <v>760</v>
      </c>
      <c r="D2114" s="8" t="s">
        <v>3848</v>
      </c>
      <c r="E2114" s="8" t="s">
        <v>574</v>
      </c>
      <c r="F2114" s="7" t="s">
        <v>3849</v>
      </c>
      <c r="G2114" s="9" t="s">
        <v>19</v>
      </c>
      <c r="H2114" s="7" t="s">
        <v>5653</v>
      </c>
      <c r="I2114" s="7" t="s">
        <v>2029</v>
      </c>
      <c r="J2114" s="10">
        <v>46078.0</v>
      </c>
      <c r="K2114" s="8" t="s">
        <v>2179</v>
      </c>
      <c r="L2114" s="7">
        <v>8.0</v>
      </c>
      <c r="M2114" s="7" t="s">
        <v>2391</v>
      </c>
      <c r="N2114" s="13" t="s">
        <v>6569</v>
      </c>
      <c r="O2114" s="15" t="s">
        <v>6570</v>
      </c>
    </row>
    <row r="2115">
      <c r="A2115" s="5">
        <v>2475.0</v>
      </c>
      <c r="B2115" s="6">
        <v>46171.63874833334</v>
      </c>
      <c r="C2115" s="7" t="s">
        <v>26</v>
      </c>
      <c r="D2115" s="8" t="s">
        <v>2451</v>
      </c>
      <c r="E2115" s="8" t="s">
        <v>830</v>
      </c>
      <c r="F2115" s="7" t="s">
        <v>2452</v>
      </c>
      <c r="G2115" s="9" t="s">
        <v>19</v>
      </c>
      <c r="H2115" s="7" t="s">
        <v>6241</v>
      </c>
      <c r="I2115" s="7" t="s">
        <v>6212</v>
      </c>
      <c r="J2115" s="10">
        <v>46101.0</v>
      </c>
      <c r="K2115" s="8" t="s">
        <v>753</v>
      </c>
      <c r="L2115" s="7">
        <v>3.0</v>
      </c>
      <c r="M2115" s="7" t="s">
        <v>1064</v>
      </c>
      <c r="N2115" s="13" t="s">
        <v>6571</v>
      </c>
      <c r="O2115" s="15" t="s">
        <v>6572</v>
      </c>
    </row>
    <row r="2116">
      <c r="A2116" s="5">
        <v>2476.0</v>
      </c>
      <c r="B2116" s="6">
        <v>46171.64046238426</v>
      </c>
      <c r="C2116" s="7" t="s">
        <v>26</v>
      </c>
      <c r="D2116" s="8" t="s">
        <v>2451</v>
      </c>
      <c r="E2116" s="8" t="s">
        <v>830</v>
      </c>
      <c r="F2116" s="7" t="s">
        <v>2452</v>
      </c>
      <c r="G2116" s="9" t="s">
        <v>19</v>
      </c>
      <c r="H2116" s="7" t="s">
        <v>6241</v>
      </c>
      <c r="I2116" s="7" t="s">
        <v>6212</v>
      </c>
      <c r="J2116" s="10">
        <v>46108.0</v>
      </c>
      <c r="K2116" s="8" t="s">
        <v>3287</v>
      </c>
      <c r="L2116" s="7">
        <v>3.0</v>
      </c>
      <c r="M2116" s="7" t="s">
        <v>1064</v>
      </c>
      <c r="N2116" s="13" t="s">
        <v>6573</v>
      </c>
      <c r="O2116" s="15" t="s">
        <v>6574</v>
      </c>
    </row>
    <row r="2117">
      <c r="A2117" s="5">
        <v>2477.0</v>
      </c>
      <c r="B2117" s="6">
        <v>46171.64179820602</v>
      </c>
      <c r="C2117" s="7" t="s">
        <v>26</v>
      </c>
      <c r="D2117" s="8" t="s">
        <v>2451</v>
      </c>
      <c r="E2117" s="8" t="s">
        <v>830</v>
      </c>
      <c r="F2117" s="7" t="s">
        <v>2452</v>
      </c>
      <c r="G2117" s="9" t="s">
        <v>19</v>
      </c>
      <c r="H2117" s="7" t="s">
        <v>6575</v>
      </c>
      <c r="I2117" s="7" t="s">
        <v>6212</v>
      </c>
      <c r="J2117" s="10">
        <v>46119.0</v>
      </c>
      <c r="K2117" s="8" t="s">
        <v>2143</v>
      </c>
      <c r="L2117" s="7">
        <v>6.0</v>
      </c>
      <c r="M2117" s="7" t="s">
        <v>1064</v>
      </c>
      <c r="N2117" s="13" t="s">
        <v>6576</v>
      </c>
      <c r="O2117" s="15" t="s">
        <v>6577</v>
      </c>
    </row>
    <row r="2118">
      <c r="A2118" s="5">
        <v>2478.0</v>
      </c>
      <c r="B2118" s="6">
        <v>46171.64329550926</v>
      </c>
      <c r="C2118" s="7" t="s">
        <v>26</v>
      </c>
      <c r="D2118" s="8" t="s">
        <v>2451</v>
      </c>
      <c r="E2118" s="8" t="s">
        <v>830</v>
      </c>
      <c r="F2118" s="7" t="s">
        <v>2452</v>
      </c>
      <c r="G2118" s="9" t="s">
        <v>19</v>
      </c>
      <c r="H2118" s="7" t="s">
        <v>6241</v>
      </c>
      <c r="I2118" s="7" t="s">
        <v>6212</v>
      </c>
      <c r="J2118" s="10">
        <v>46120.0</v>
      </c>
      <c r="K2118" s="8" t="s">
        <v>6578</v>
      </c>
      <c r="L2118" s="7">
        <v>6.0</v>
      </c>
      <c r="M2118" s="7" t="s">
        <v>1064</v>
      </c>
      <c r="N2118" s="13" t="s">
        <v>6579</v>
      </c>
      <c r="O2118" s="15" t="s">
        <v>6580</v>
      </c>
    </row>
    <row r="2119">
      <c r="A2119" s="5">
        <v>2479.0</v>
      </c>
      <c r="B2119" s="6">
        <v>46171.64489778935</v>
      </c>
      <c r="C2119" s="7" t="s">
        <v>26</v>
      </c>
      <c r="D2119" s="8" t="s">
        <v>2451</v>
      </c>
      <c r="E2119" s="8" t="s">
        <v>830</v>
      </c>
      <c r="F2119" s="7" t="s">
        <v>2452</v>
      </c>
      <c r="G2119" s="9" t="s">
        <v>19</v>
      </c>
      <c r="H2119" s="7" t="s">
        <v>6241</v>
      </c>
      <c r="I2119" s="7" t="s">
        <v>6212</v>
      </c>
      <c r="J2119" s="10">
        <v>46121.0</v>
      </c>
      <c r="K2119" s="8" t="s">
        <v>2179</v>
      </c>
      <c r="L2119" s="7">
        <v>8.0</v>
      </c>
      <c r="M2119" s="7" t="s">
        <v>1064</v>
      </c>
      <c r="N2119" s="13" t="s">
        <v>6581</v>
      </c>
      <c r="O2119" s="15" t="s">
        <v>6582</v>
      </c>
    </row>
    <row r="2120">
      <c r="A2120" s="5">
        <v>2480.0</v>
      </c>
      <c r="B2120" s="6">
        <v>46171.65714225694</v>
      </c>
      <c r="C2120" s="7" t="s">
        <v>760</v>
      </c>
      <c r="D2120" s="8" t="s">
        <v>6276</v>
      </c>
      <c r="E2120" s="8" t="s">
        <v>110</v>
      </c>
      <c r="F2120" s="7" t="s">
        <v>1425</v>
      </c>
      <c r="G2120" s="9" t="s">
        <v>181</v>
      </c>
      <c r="H2120" s="7" t="s">
        <v>6583</v>
      </c>
      <c r="I2120" s="7" t="s">
        <v>231</v>
      </c>
      <c r="J2120" s="10">
        <v>46031.0</v>
      </c>
      <c r="K2120" s="8" t="s">
        <v>6584</v>
      </c>
      <c r="L2120" s="7">
        <v>4.0</v>
      </c>
      <c r="M2120" s="7" t="s">
        <v>2391</v>
      </c>
      <c r="N2120" s="13" t="s">
        <v>6585</v>
      </c>
      <c r="O2120" s="15" t="s">
        <v>6586</v>
      </c>
    </row>
    <row r="2121">
      <c r="A2121" s="5">
        <v>2482.0</v>
      </c>
      <c r="B2121" s="6">
        <v>46171.694240219906</v>
      </c>
      <c r="C2121" s="7" t="s">
        <v>760</v>
      </c>
      <c r="D2121" s="8" t="s">
        <v>2466</v>
      </c>
      <c r="E2121" s="8" t="s">
        <v>411</v>
      </c>
      <c r="F2121" s="7" t="s">
        <v>2467</v>
      </c>
      <c r="G2121" s="9" t="s">
        <v>181</v>
      </c>
      <c r="H2121" s="7" t="s">
        <v>6583</v>
      </c>
      <c r="I2121" s="7" t="s">
        <v>231</v>
      </c>
      <c r="J2121" s="10">
        <v>46031.0</v>
      </c>
      <c r="K2121" s="8" t="s">
        <v>457</v>
      </c>
      <c r="L2121" s="7">
        <v>4.0</v>
      </c>
      <c r="M2121" s="7" t="s">
        <v>87</v>
      </c>
      <c r="N2121" s="13" t="s">
        <v>6587</v>
      </c>
      <c r="O2121" s="15" t="s">
        <v>6588</v>
      </c>
    </row>
    <row r="2122">
      <c r="A2122" s="5">
        <v>2483.0</v>
      </c>
      <c r="B2122" s="6">
        <v>46171.904112731485</v>
      </c>
      <c r="C2122" s="7" t="s">
        <v>15</v>
      </c>
      <c r="D2122" s="8" t="s">
        <v>5042</v>
      </c>
      <c r="E2122" s="8" t="s">
        <v>2061</v>
      </c>
      <c r="F2122" s="7" t="s">
        <v>5043</v>
      </c>
      <c r="G2122" s="9" t="s">
        <v>19</v>
      </c>
      <c r="H2122" s="7" t="s">
        <v>6589</v>
      </c>
      <c r="I2122" s="7" t="s">
        <v>5806</v>
      </c>
      <c r="J2122" s="10">
        <v>46148.0</v>
      </c>
      <c r="K2122" s="8" t="s">
        <v>22</v>
      </c>
      <c r="L2122" s="7">
        <v>4.0</v>
      </c>
      <c r="M2122" s="7" t="s">
        <v>219</v>
      </c>
      <c r="N2122" s="13" t="s">
        <v>6590</v>
      </c>
      <c r="O2122" s="15" t="s">
        <v>6591</v>
      </c>
    </row>
    <row r="2123">
      <c r="A2123" s="5">
        <v>2484.0</v>
      </c>
      <c r="B2123" s="6">
        <v>46171.9047343287</v>
      </c>
      <c r="C2123" s="7" t="s">
        <v>15</v>
      </c>
      <c r="D2123" s="8" t="s">
        <v>2321</v>
      </c>
      <c r="E2123" s="8" t="s">
        <v>1385</v>
      </c>
      <c r="F2123" s="7" t="s">
        <v>2322</v>
      </c>
      <c r="G2123" s="9" t="s">
        <v>19</v>
      </c>
      <c r="H2123" s="7" t="s">
        <v>6589</v>
      </c>
      <c r="I2123" s="7" t="s">
        <v>6592</v>
      </c>
      <c r="J2123" s="10">
        <v>46148.0</v>
      </c>
      <c r="K2123" s="8" t="s">
        <v>22</v>
      </c>
      <c r="L2123" s="7">
        <v>4.0</v>
      </c>
      <c r="M2123" s="7" t="s">
        <v>6593</v>
      </c>
      <c r="N2123" s="13" t="s">
        <v>6594</v>
      </c>
      <c r="O2123" s="15" t="s">
        <v>6595</v>
      </c>
    </row>
    <row r="2124">
      <c r="A2124" s="5">
        <v>2485.0</v>
      </c>
      <c r="B2124" s="6">
        <v>46172.38219478009</v>
      </c>
      <c r="C2124" s="7" t="s">
        <v>15</v>
      </c>
      <c r="D2124" s="8" t="s">
        <v>2114</v>
      </c>
      <c r="E2124" s="8" t="s">
        <v>319</v>
      </c>
      <c r="F2124" s="7" t="s">
        <v>2115</v>
      </c>
      <c r="G2124" s="9" t="s">
        <v>19</v>
      </c>
      <c r="H2124" s="7" t="s">
        <v>6596</v>
      </c>
      <c r="I2124" s="7" t="s">
        <v>5931</v>
      </c>
      <c r="J2124" s="10">
        <v>46066.0</v>
      </c>
      <c r="K2124" s="8" t="s">
        <v>689</v>
      </c>
      <c r="L2124" s="7">
        <v>4.0</v>
      </c>
      <c r="M2124" s="7" t="s">
        <v>6597</v>
      </c>
      <c r="N2124" s="13" t="s">
        <v>6598</v>
      </c>
      <c r="O2124" s="15" t="s">
        <v>6599</v>
      </c>
    </row>
    <row r="2125">
      <c r="A2125" s="5">
        <v>2486.0</v>
      </c>
      <c r="B2125" s="6">
        <v>46172.472345671296</v>
      </c>
      <c r="C2125" s="7" t="s">
        <v>760</v>
      </c>
      <c r="D2125" s="8" t="s">
        <v>791</v>
      </c>
      <c r="E2125" s="8" t="s">
        <v>164</v>
      </c>
      <c r="F2125" s="7" t="s">
        <v>792</v>
      </c>
      <c r="G2125" s="9" t="s">
        <v>159</v>
      </c>
      <c r="H2125" s="7" t="s">
        <v>497</v>
      </c>
      <c r="I2125" s="7" t="s">
        <v>6600</v>
      </c>
      <c r="J2125" s="10">
        <v>46158.0</v>
      </c>
      <c r="K2125" s="8" t="s">
        <v>22</v>
      </c>
      <c r="L2125" s="7">
        <v>4.0</v>
      </c>
      <c r="M2125" s="7" t="s">
        <v>87</v>
      </c>
      <c r="N2125" s="13" t="s">
        <v>6601</v>
      </c>
      <c r="O2125" s="15" t="s">
        <v>6602</v>
      </c>
    </row>
    <row r="2126">
      <c r="A2126" s="5">
        <v>2488.0</v>
      </c>
      <c r="B2126" s="6">
        <v>46172.53596173611</v>
      </c>
      <c r="C2126" s="7" t="s">
        <v>760</v>
      </c>
      <c r="D2126" s="8" t="s">
        <v>4361</v>
      </c>
      <c r="E2126" s="8" t="s">
        <v>674</v>
      </c>
      <c r="F2126" s="7" t="s">
        <v>6603</v>
      </c>
      <c r="G2126" s="9" t="s">
        <v>181</v>
      </c>
      <c r="H2126" s="7" t="s">
        <v>1222</v>
      </c>
      <c r="I2126" s="7" t="s">
        <v>231</v>
      </c>
      <c r="J2126" s="10">
        <v>46157.0</v>
      </c>
      <c r="K2126" s="8" t="s">
        <v>766</v>
      </c>
      <c r="L2126" s="7">
        <v>1.0</v>
      </c>
      <c r="M2126" s="7" t="s">
        <v>33</v>
      </c>
      <c r="N2126" s="13" t="s">
        <v>6604</v>
      </c>
      <c r="O2126" s="15" t="s">
        <v>6605</v>
      </c>
    </row>
    <row r="2127">
      <c r="A2127" s="5">
        <v>2489.0</v>
      </c>
      <c r="B2127" s="6">
        <v>46172.550996377315</v>
      </c>
      <c r="C2127" s="7" t="s">
        <v>760</v>
      </c>
      <c r="D2127" s="8" t="s">
        <v>4361</v>
      </c>
      <c r="E2127" s="8" t="s">
        <v>674</v>
      </c>
      <c r="F2127" s="7" t="s">
        <v>6606</v>
      </c>
      <c r="G2127" s="9" t="s">
        <v>181</v>
      </c>
      <c r="H2127" s="7" t="s">
        <v>1222</v>
      </c>
      <c r="I2127" s="7" t="s">
        <v>231</v>
      </c>
      <c r="J2127" s="10">
        <v>46143.0</v>
      </c>
      <c r="K2127" s="8" t="s">
        <v>766</v>
      </c>
      <c r="L2127" s="7">
        <v>1.0</v>
      </c>
      <c r="M2127" s="7" t="s">
        <v>33</v>
      </c>
      <c r="N2127" s="13" t="s">
        <v>6607</v>
      </c>
      <c r="O2127" s="15" t="s">
        <v>6608</v>
      </c>
    </row>
    <row r="2128">
      <c r="A2128" s="5">
        <v>2490.0</v>
      </c>
      <c r="B2128" s="6">
        <v>46172.55307297454</v>
      </c>
      <c r="C2128" s="7" t="s">
        <v>760</v>
      </c>
      <c r="D2128" s="8" t="s">
        <v>4361</v>
      </c>
      <c r="E2128" s="8" t="s">
        <v>674</v>
      </c>
      <c r="F2128" s="7" t="s">
        <v>6606</v>
      </c>
      <c r="G2128" s="9" t="s">
        <v>181</v>
      </c>
      <c r="H2128" s="7" t="s">
        <v>1222</v>
      </c>
      <c r="I2128" s="7" t="s">
        <v>231</v>
      </c>
      <c r="J2128" s="10">
        <v>46112.0</v>
      </c>
      <c r="K2128" s="8" t="s">
        <v>766</v>
      </c>
      <c r="L2128" s="7">
        <v>1.0</v>
      </c>
      <c r="M2128" s="7" t="s">
        <v>33</v>
      </c>
      <c r="N2128" s="13" t="s">
        <v>6609</v>
      </c>
      <c r="O2128" s="15" t="s">
        <v>6610</v>
      </c>
    </row>
    <row r="2129">
      <c r="A2129" s="5">
        <v>2491.0</v>
      </c>
      <c r="B2129" s="6">
        <v>46172.55544976852</v>
      </c>
      <c r="C2129" s="7" t="s">
        <v>760</v>
      </c>
      <c r="D2129" s="8" t="s">
        <v>4361</v>
      </c>
      <c r="E2129" s="8" t="s">
        <v>674</v>
      </c>
      <c r="F2129" s="7" t="s">
        <v>6606</v>
      </c>
      <c r="G2129" s="9" t="s">
        <v>181</v>
      </c>
      <c r="H2129" s="7" t="s">
        <v>1222</v>
      </c>
      <c r="I2129" s="7" t="s">
        <v>1211</v>
      </c>
      <c r="J2129" s="10">
        <v>46107.0</v>
      </c>
      <c r="K2129" s="8" t="s">
        <v>766</v>
      </c>
      <c r="L2129" s="7">
        <v>1.0</v>
      </c>
      <c r="M2129" s="7" t="s">
        <v>33</v>
      </c>
      <c r="N2129" s="13" t="s">
        <v>6611</v>
      </c>
      <c r="O2129" s="15" t="s">
        <v>6612</v>
      </c>
    </row>
    <row r="2130">
      <c r="A2130" s="5">
        <v>2492.0</v>
      </c>
      <c r="B2130" s="6">
        <v>46172.55709836805</v>
      </c>
      <c r="C2130" s="7" t="s">
        <v>760</v>
      </c>
      <c r="D2130" s="8" t="s">
        <v>4361</v>
      </c>
      <c r="E2130" s="8" t="s">
        <v>674</v>
      </c>
      <c r="F2130" s="7" t="s">
        <v>6606</v>
      </c>
      <c r="G2130" s="9" t="s">
        <v>181</v>
      </c>
      <c r="H2130" s="7" t="s">
        <v>1222</v>
      </c>
      <c r="I2130" s="7" t="s">
        <v>231</v>
      </c>
      <c r="J2130" s="10">
        <v>46142.0</v>
      </c>
      <c r="K2130" s="8" t="s">
        <v>766</v>
      </c>
      <c r="L2130" s="7">
        <v>1.0</v>
      </c>
      <c r="M2130" s="7" t="s">
        <v>33</v>
      </c>
      <c r="N2130" s="13" t="s">
        <v>6613</v>
      </c>
      <c r="O2130" s="15" t="s">
        <v>6614</v>
      </c>
    </row>
    <row r="2131">
      <c r="A2131" s="5">
        <v>2493.0</v>
      </c>
      <c r="B2131" s="6">
        <v>46172.55897275463</v>
      </c>
      <c r="C2131" s="7" t="s">
        <v>760</v>
      </c>
      <c r="D2131" s="8" t="s">
        <v>4361</v>
      </c>
      <c r="E2131" s="8" t="s">
        <v>674</v>
      </c>
      <c r="F2131" s="7" t="s">
        <v>6606</v>
      </c>
      <c r="G2131" s="9" t="s">
        <v>181</v>
      </c>
      <c r="H2131" s="7" t="s">
        <v>1222</v>
      </c>
      <c r="I2131" s="7" t="s">
        <v>231</v>
      </c>
      <c r="J2131" s="10">
        <v>46106.0</v>
      </c>
      <c r="K2131" s="8" t="s">
        <v>766</v>
      </c>
      <c r="L2131" s="7">
        <v>1.0</v>
      </c>
      <c r="M2131" s="7" t="s">
        <v>33</v>
      </c>
      <c r="N2131" s="13" t="s">
        <v>6615</v>
      </c>
      <c r="O2131" s="15" t="s">
        <v>6616</v>
      </c>
    </row>
    <row r="2132">
      <c r="A2132" s="5">
        <v>2494.0</v>
      </c>
      <c r="B2132" s="6">
        <v>46172.56623921296</v>
      </c>
      <c r="C2132" s="7" t="s">
        <v>760</v>
      </c>
      <c r="D2132" s="8" t="s">
        <v>4361</v>
      </c>
      <c r="E2132" s="8" t="s">
        <v>674</v>
      </c>
      <c r="F2132" s="7" t="s">
        <v>6606</v>
      </c>
      <c r="G2132" s="9" t="s">
        <v>181</v>
      </c>
      <c r="H2132" s="7" t="s">
        <v>1222</v>
      </c>
      <c r="I2132" s="7" t="s">
        <v>231</v>
      </c>
      <c r="J2132" s="10">
        <v>46079.0</v>
      </c>
      <c r="K2132" s="8" t="s">
        <v>766</v>
      </c>
      <c r="L2132" s="7">
        <v>1.0</v>
      </c>
      <c r="M2132" s="7" t="s">
        <v>33</v>
      </c>
      <c r="N2132" s="13" t="s">
        <v>6617</v>
      </c>
      <c r="O2132" s="15" t="s">
        <v>6618</v>
      </c>
    </row>
    <row r="2133">
      <c r="A2133" s="5">
        <v>2495.0</v>
      </c>
      <c r="B2133" s="6">
        <v>46172.56816326389</v>
      </c>
      <c r="C2133" s="7" t="s">
        <v>760</v>
      </c>
      <c r="D2133" s="8" t="s">
        <v>4361</v>
      </c>
      <c r="E2133" s="8" t="s">
        <v>674</v>
      </c>
      <c r="F2133" s="7" t="s">
        <v>6606</v>
      </c>
      <c r="G2133" s="9" t="s">
        <v>181</v>
      </c>
      <c r="H2133" s="7" t="s">
        <v>1222</v>
      </c>
      <c r="I2133" s="7" t="s">
        <v>231</v>
      </c>
      <c r="J2133" s="10">
        <v>46035.0</v>
      </c>
      <c r="K2133" s="8" t="s">
        <v>766</v>
      </c>
      <c r="L2133" s="7">
        <v>1.0</v>
      </c>
      <c r="M2133" s="7" t="s">
        <v>33</v>
      </c>
      <c r="N2133" s="13" t="s">
        <v>6619</v>
      </c>
      <c r="O2133" s="15" t="s">
        <v>6620</v>
      </c>
    </row>
    <row r="2134">
      <c r="A2134" s="5">
        <v>2496.0</v>
      </c>
      <c r="B2134" s="6">
        <v>46172.588115729166</v>
      </c>
      <c r="C2134" s="7" t="s">
        <v>15</v>
      </c>
      <c r="D2134" s="8" t="s">
        <v>2114</v>
      </c>
      <c r="E2134" s="8" t="s">
        <v>319</v>
      </c>
      <c r="F2134" s="7" t="s">
        <v>2115</v>
      </c>
      <c r="G2134" s="9" t="s">
        <v>3171</v>
      </c>
      <c r="H2134" s="7" t="s">
        <v>6621</v>
      </c>
      <c r="I2134" s="7" t="s">
        <v>231</v>
      </c>
      <c r="J2134" s="10">
        <v>46153.0</v>
      </c>
      <c r="K2134" s="8" t="s">
        <v>5351</v>
      </c>
      <c r="L2134" s="7">
        <v>2.0</v>
      </c>
      <c r="M2134" s="7" t="s">
        <v>244</v>
      </c>
      <c r="N2134" s="13" t="s">
        <v>6622</v>
      </c>
      <c r="O2134" s="15" t="s">
        <v>6623</v>
      </c>
    </row>
    <row r="2135">
      <c r="A2135" s="5">
        <v>2497.0</v>
      </c>
      <c r="B2135" s="6">
        <v>46172.60767251157</v>
      </c>
      <c r="C2135" s="7" t="s">
        <v>760</v>
      </c>
      <c r="D2135" s="8" t="s">
        <v>4361</v>
      </c>
      <c r="E2135" s="8" t="s">
        <v>674</v>
      </c>
      <c r="F2135" s="7" t="s">
        <v>6606</v>
      </c>
      <c r="G2135" s="9" t="s">
        <v>181</v>
      </c>
      <c r="H2135" s="7" t="s">
        <v>1222</v>
      </c>
      <c r="I2135" s="7" t="s">
        <v>231</v>
      </c>
      <c r="J2135" s="10">
        <v>46028.0</v>
      </c>
      <c r="K2135" s="8" t="s">
        <v>766</v>
      </c>
      <c r="L2135" s="7">
        <v>1.0</v>
      </c>
      <c r="M2135" s="7" t="s">
        <v>33</v>
      </c>
      <c r="N2135" s="13" t="s">
        <v>6624</v>
      </c>
      <c r="O2135" s="15" t="s">
        <v>6625</v>
      </c>
    </row>
    <row r="2136">
      <c r="A2136" s="5">
        <v>2498.0</v>
      </c>
      <c r="B2136" s="6">
        <v>46172.60894619213</v>
      </c>
      <c r="C2136" s="7" t="s">
        <v>760</v>
      </c>
      <c r="D2136" s="8" t="s">
        <v>4361</v>
      </c>
      <c r="E2136" s="8" t="s">
        <v>674</v>
      </c>
      <c r="F2136" s="7" t="s">
        <v>6606</v>
      </c>
      <c r="G2136" s="9" t="s">
        <v>181</v>
      </c>
      <c r="H2136" s="7" t="s">
        <v>1222</v>
      </c>
      <c r="I2136" s="7" t="s">
        <v>231</v>
      </c>
      <c r="J2136" s="10">
        <v>46114.0</v>
      </c>
      <c r="K2136" s="8" t="s">
        <v>766</v>
      </c>
      <c r="L2136" s="7">
        <v>1.0</v>
      </c>
      <c r="M2136" s="7" t="s">
        <v>33</v>
      </c>
      <c r="N2136" s="13" t="s">
        <v>6626</v>
      </c>
      <c r="O2136" s="15" t="s">
        <v>6627</v>
      </c>
    </row>
    <row r="2137">
      <c r="A2137" s="5">
        <v>2499.0</v>
      </c>
      <c r="B2137" s="6">
        <v>46172.61045097222</v>
      </c>
      <c r="C2137" s="7" t="s">
        <v>760</v>
      </c>
      <c r="D2137" s="8" t="s">
        <v>4361</v>
      </c>
      <c r="E2137" s="8" t="s">
        <v>674</v>
      </c>
      <c r="F2137" s="7" t="s">
        <v>6606</v>
      </c>
      <c r="G2137" s="9" t="s">
        <v>181</v>
      </c>
      <c r="H2137" s="7" t="s">
        <v>1222</v>
      </c>
      <c r="I2137" s="7" t="s">
        <v>231</v>
      </c>
      <c r="J2137" s="10">
        <v>46121.0</v>
      </c>
      <c r="K2137" s="8" t="s">
        <v>766</v>
      </c>
      <c r="L2137" s="7">
        <v>1.0</v>
      </c>
      <c r="M2137" s="7" t="s">
        <v>33</v>
      </c>
      <c r="N2137" s="13" t="s">
        <v>6628</v>
      </c>
      <c r="O2137" s="15" t="s">
        <v>6629</v>
      </c>
    </row>
    <row r="2138">
      <c r="A2138" s="5">
        <v>2500.0</v>
      </c>
      <c r="B2138" s="6">
        <v>46172.61300540509</v>
      </c>
      <c r="C2138" s="7" t="s">
        <v>760</v>
      </c>
      <c r="D2138" s="8" t="s">
        <v>4361</v>
      </c>
      <c r="E2138" s="8" t="s">
        <v>674</v>
      </c>
      <c r="F2138" s="7" t="s">
        <v>6606</v>
      </c>
      <c r="G2138" s="9" t="s">
        <v>181</v>
      </c>
      <c r="H2138" s="7" t="s">
        <v>6347</v>
      </c>
      <c r="I2138" s="7" t="s">
        <v>231</v>
      </c>
      <c r="J2138" s="10">
        <v>46164.0</v>
      </c>
      <c r="K2138" s="8" t="s">
        <v>753</v>
      </c>
      <c r="L2138" s="7">
        <v>2.0</v>
      </c>
      <c r="M2138" s="7" t="s">
        <v>3607</v>
      </c>
      <c r="N2138" s="13" t="s">
        <v>6630</v>
      </c>
      <c r="O2138" s="15" t="s">
        <v>6631</v>
      </c>
    </row>
    <row r="2139">
      <c r="A2139" s="5">
        <v>2501.0</v>
      </c>
      <c r="B2139" s="6">
        <v>46172.64103780093</v>
      </c>
      <c r="C2139" s="7" t="s">
        <v>760</v>
      </c>
      <c r="D2139" s="8" t="s">
        <v>4361</v>
      </c>
      <c r="E2139" s="8" t="s">
        <v>674</v>
      </c>
      <c r="F2139" s="7" t="s">
        <v>6606</v>
      </c>
      <c r="G2139" s="9" t="s">
        <v>19</v>
      </c>
      <c r="H2139" s="7" t="s">
        <v>6632</v>
      </c>
      <c r="I2139" s="7" t="s">
        <v>6633</v>
      </c>
      <c r="J2139" s="10">
        <v>46135.0</v>
      </c>
      <c r="K2139" s="8" t="s">
        <v>49</v>
      </c>
      <c r="L2139" s="7">
        <v>8.0</v>
      </c>
      <c r="M2139" s="7" t="s">
        <v>1564</v>
      </c>
      <c r="N2139" s="13" t="s">
        <v>6634</v>
      </c>
      <c r="O2139" s="15" t="s">
        <v>6635</v>
      </c>
    </row>
    <row r="2140">
      <c r="A2140" s="5">
        <v>2504.0</v>
      </c>
      <c r="B2140" s="6">
        <v>46172.67867763889</v>
      </c>
      <c r="C2140" s="7" t="s">
        <v>15</v>
      </c>
      <c r="D2140" s="8" t="s">
        <v>2968</v>
      </c>
      <c r="E2140" s="8" t="s">
        <v>1259</v>
      </c>
      <c r="F2140" s="7" t="s">
        <v>6636</v>
      </c>
      <c r="G2140" s="9" t="s">
        <v>19</v>
      </c>
      <c r="H2140" s="7" t="s">
        <v>5386</v>
      </c>
      <c r="I2140" s="7" t="s">
        <v>3156</v>
      </c>
      <c r="J2140" s="10">
        <v>46066.0</v>
      </c>
      <c r="K2140" s="8" t="s">
        <v>6637</v>
      </c>
      <c r="L2140" s="7">
        <v>4.0</v>
      </c>
      <c r="M2140" s="7" t="s">
        <v>5387</v>
      </c>
      <c r="N2140" s="13" t="s">
        <v>6638</v>
      </c>
      <c r="O2140" s="15" t="s">
        <v>6639</v>
      </c>
    </row>
    <row r="2141">
      <c r="A2141" s="5">
        <v>2505.0</v>
      </c>
      <c r="B2141" s="6">
        <v>46172.681877407405</v>
      </c>
      <c r="C2141" s="7" t="s">
        <v>15</v>
      </c>
      <c r="D2141" s="8" t="s">
        <v>2968</v>
      </c>
      <c r="E2141" s="8" t="s">
        <v>1259</v>
      </c>
      <c r="F2141" s="7" t="s">
        <v>2969</v>
      </c>
      <c r="G2141" s="9" t="s">
        <v>181</v>
      </c>
      <c r="H2141" s="7" t="s">
        <v>6640</v>
      </c>
      <c r="I2141" s="7" t="s">
        <v>231</v>
      </c>
      <c r="J2141" s="10">
        <v>46143.0</v>
      </c>
      <c r="K2141" s="8" t="s">
        <v>22</v>
      </c>
      <c r="L2141" s="7">
        <v>4.0</v>
      </c>
      <c r="M2141" s="7" t="s">
        <v>1325</v>
      </c>
      <c r="N2141" s="13" t="s">
        <v>6641</v>
      </c>
      <c r="O2141" s="15" t="s">
        <v>6642</v>
      </c>
    </row>
    <row r="2142">
      <c r="A2142" s="5">
        <v>2506.0</v>
      </c>
      <c r="B2142" s="6">
        <v>46172.685543287036</v>
      </c>
      <c r="C2142" s="7" t="s">
        <v>15</v>
      </c>
      <c r="D2142" s="8" t="s">
        <v>2968</v>
      </c>
      <c r="E2142" s="8" t="s">
        <v>1259</v>
      </c>
      <c r="F2142" s="7" t="s">
        <v>2969</v>
      </c>
      <c r="G2142" s="9" t="s">
        <v>181</v>
      </c>
      <c r="H2142" s="7" t="s">
        <v>6263</v>
      </c>
      <c r="I2142" s="7" t="s">
        <v>231</v>
      </c>
      <c r="J2142" s="10">
        <v>46133.0</v>
      </c>
      <c r="K2142" s="8" t="s">
        <v>962</v>
      </c>
      <c r="L2142" s="7">
        <v>4.0</v>
      </c>
      <c r="M2142" s="7" t="s">
        <v>33</v>
      </c>
      <c r="N2142" s="13" t="s">
        <v>6643</v>
      </c>
      <c r="O2142" s="15" t="s">
        <v>6644</v>
      </c>
    </row>
    <row r="2143">
      <c r="A2143" s="5">
        <v>2507.0</v>
      </c>
      <c r="B2143" s="6">
        <v>46172.68694225694</v>
      </c>
      <c r="C2143" s="7" t="s">
        <v>760</v>
      </c>
      <c r="D2143" s="8" t="s">
        <v>4361</v>
      </c>
      <c r="E2143" s="8" t="s">
        <v>674</v>
      </c>
      <c r="F2143" s="7" t="s">
        <v>6606</v>
      </c>
      <c r="G2143" s="9" t="s">
        <v>209</v>
      </c>
      <c r="H2143" s="7" t="s">
        <v>851</v>
      </c>
      <c r="I2143" s="7" t="s">
        <v>6645</v>
      </c>
      <c r="J2143" s="10">
        <v>46172.0</v>
      </c>
      <c r="K2143" s="8" t="s">
        <v>1132</v>
      </c>
      <c r="L2143" s="7">
        <v>4.0</v>
      </c>
      <c r="M2143" s="7" t="s">
        <v>6646</v>
      </c>
      <c r="N2143" s="13" t="s">
        <v>6647</v>
      </c>
      <c r="O2143" s="15" t="s">
        <v>6648</v>
      </c>
    </row>
    <row r="2144">
      <c r="A2144" s="5">
        <v>2508.0</v>
      </c>
      <c r="B2144" s="6">
        <v>46172.68768607639</v>
      </c>
      <c r="C2144" s="7" t="s">
        <v>15</v>
      </c>
      <c r="D2144" s="8" t="s">
        <v>2968</v>
      </c>
      <c r="E2144" s="8" t="s">
        <v>1259</v>
      </c>
      <c r="F2144" s="7" t="s">
        <v>2969</v>
      </c>
      <c r="G2144" s="9" t="s">
        <v>181</v>
      </c>
      <c r="H2144" s="7" t="s">
        <v>6649</v>
      </c>
      <c r="I2144" s="7" t="s">
        <v>231</v>
      </c>
      <c r="J2144" s="10">
        <v>46134.0</v>
      </c>
      <c r="K2144" s="8" t="s">
        <v>6650</v>
      </c>
      <c r="L2144" s="7">
        <v>4.0</v>
      </c>
      <c r="M2144" s="7" t="s">
        <v>33</v>
      </c>
      <c r="N2144" s="13" t="s">
        <v>6651</v>
      </c>
      <c r="O2144" s="23"/>
    </row>
    <row r="2145">
      <c r="A2145" s="5">
        <v>2509.0</v>
      </c>
      <c r="B2145" s="6">
        <v>46172.69553765046</v>
      </c>
      <c r="C2145" s="7" t="s">
        <v>15</v>
      </c>
      <c r="D2145" s="8" t="s">
        <v>2968</v>
      </c>
      <c r="E2145" s="8" t="s">
        <v>1259</v>
      </c>
      <c r="F2145" s="7" t="s">
        <v>2969</v>
      </c>
      <c r="G2145" s="9" t="s">
        <v>181</v>
      </c>
      <c r="H2145" s="7" t="s">
        <v>6649</v>
      </c>
      <c r="I2145" s="7" t="s">
        <v>231</v>
      </c>
      <c r="J2145" s="10">
        <v>46135.0</v>
      </c>
      <c r="K2145" s="8" t="s">
        <v>962</v>
      </c>
      <c r="L2145" s="7">
        <v>4.0</v>
      </c>
      <c r="M2145" s="7" t="s">
        <v>33</v>
      </c>
      <c r="N2145" s="13" t="s">
        <v>6652</v>
      </c>
      <c r="O2145" s="15" t="s">
        <v>6653</v>
      </c>
    </row>
    <row r="2146">
      <c r="A2146" s="5">
        <v>2510.0</v>
      </c>
      <c r="B2146" s="6">
        <v>46172.69754511574</v>
      </c>
      <c r="C2146" s="7" t="s">
        <v>15</v>
      </c>
      <c r="D2146" s="8" t="s">
        <v>2968</v>
      </c>
      <c r="E2146" s="8" t="s">
        <v>1259</v>
      </c>
      <c r="F2146" s="7" t="s">
        <v>2969</v>
      </c>
      <c r="G2146" s="9" t="s">
        <v>181</v>
      </c>
      <c r="H2146" s="7" t="s">
        <v>6649</v>
      </c>
      <c r="I2146" s="7" t="s">
        <v>231</v>
      </c>
      <c r="J2146" s="10">
        <v>46138.0</v>
      </c>
      <c r="K2146" s="8" t="s">
        <v>3192</v>
      </c>
      <c r="L2146" s="7">
        <v>6.0</v>
      </c>
      <c r="M2146" s="7" t="s">
        <v>33</v>
      </c>
      <c r="N2146" s="13" t="s">
        <v>6654</v>
      </c>
      <c r="O2146" s="15" t="s">
        <v>6655</v>
      </c>
    </row>
    <row r="2147">
      <c r="A2147" s="5">
        <v>2511.0</v>
      </c>
      <c r="B2147" s="6">
        <v>46172.69956368055</v>
      </c>
      <c r="C2147" s="7" t="s">
        <v>15</v>
      </c>
      <c r="D2147" s="8" t="s">
        <v>2968</v>
      </c>
      <c r="E2147" s="8" t="s">
        <v>1259</v>
      </c>
      <c r="F2147" s="7" t="s">
        <v>2969</v>
      </c>
      <c r="G2147" s="9" t="s">
        <v>181</v>
      </c>
      <c r="H2147" s="7" t="s">
        <v>6649</v>
      </c>
      <c r="I2147" s="7" t="s">
        <v>5437</v>
      </c>
      <c r="J2147" s="10">
        <v>46139.0</v>
      </c>
      <c r="K2147" s="8" t="s">
        <v>962</v>
      </c>
      <c r="L2147" s="7">
        <v>4.0</v>
      </c>
      <c r="M2147" s="7" t="s">
        <v>33</v>
      </c>
      <c r="N2147" s="13" t="s">
        <v>6656</v>
      </c>
      <c r="O2147" s="15" t="s">
        <v>6657</v>
      </c>
    </row>
    <row r="2148">
      <c r="A2148" s="5">
        <v>2512.0</v>
      </c>
      <c r="B2148" s="6">
        <v>46172.956848657406</v>
      </c>
      <c r="C2148" s="7" t="s">
        <v>760</v>
      </c>
      <c r="D2148" s="8" t="s">
        <v>829</v>
      </c>
      <c r="E2148" s="8" t="s">
        <v>830</v>
      </c>
      <c r="F2148" s="7" t="s">
        <v>831</v>
      </c>
      <c r="G2148" s="9" t="s">
        <v>3171</v>
      </c>
      <c r="H2148" s="7" t="s">
        <v>2900</v>
      </c>
      <c r="I2148" s="7" t="s">
        <v>825</v>
      </c>
      <c r="J2148" s="10">
        <v>46123.0</v>
      </c>
      <c r="K2148" s="8" t="s">
        <v>4229</v>
      </c>
      <c r="L2148" s="7">
        <v>2.0</v>
      </c>
      <c r="M2148" s="7" t="s">
        <v>6658</v>
      </c>
      <c r="N2148" s="13" t="s">
        <v>6659</v>
      </c>
      <c r="O2148" s="15" t="s">
        <v>6660</v>
      </c>
    </row>
    <row r="2149">
      <c r="A2149" s="5">
        <v>2513.0</v>
      </c>
      <c r="B2149" s="6">
        <v>46172.96870991898</v>
      </c>
      <c r="C2149" s="7" t="s">
        <v>760</v>
      </c>
      <c r="D2149" s="8" t="s">
        <v>829</v>
      </c>
      <c r="E2149" s="8" t="s">
        <v>830</v>
      </c>
      <c r="F2149" s="7" t="s">
        <v>831</v>
      </c>
      <c r="G2149" s="9" t="s">
        <v>144</v>
      </c>
      <c r="H2149" s="7" t="s">
        <v>6661</v>
      </c>
      <c r="I2149" s="7" t="s">
        <v>6662</v>
      </c>
      <c r="J2149" s="10">
        <v>46125.0</v>
      </c>
      <c r="K2149" s="8" t="s">
        <v>2266</v>
      </c>
      <c r="L2149" s="7">
        <v>2.0</v>
      </c>
      <c r="M2149" s="7" t="s">
        <v>6658</v>
      </c>
      <c r="N2149" s="13" t="s">
        <v>6663</v>
      </c>
      <c r="O2149" s="15" t="s">
        <v>6664</v>
      </c>
    </row>
    <row r="2150">
      <c r="A2150" s="5">
        <v>2514.0</v>
      </c>
      <c r="B2150" s="6">
        <v>46172.97343737268</v>
      </c>
      <c r="C2150" s="7" t="s">
        <v>760</v>
      </c>
      <c r="D2150" s="8" t="s">
        <v>2646</v>
      </c>
      <c r="E2150" s="8" t="s">
        <v>919</v>
      </c>
      <c r="F2150" s="7" t="s">
        <v>2647</v>
      </c>
      <c r="G2150" s="9" t="s">
        <v>19</v>
      </c>
      <c r="H2150" s="7" t="s">
        <v>497</v>
      </c>
      <c r="I2150" s="7" t="s">
        <v>6665</v>
      </c>
      <c r="J2150" s="10">
        <v>46158.0</v>
      </c>
      <c r="K2150" s="8" t="s">
        <v>22</v>
      </c>
      <c r="L2150" s="7">
        <v>4.0</v>
      </c>
      <c r="M2150" s="7" t="s">
        <v>87</v>
      </c>
      <c r="N2150" s="13" t="s">
        <v>6666</v>
      </c>
      <c r="O2150" s="15" t="s">
        <v>6667</v>
      </c>
    </row>
    <row r="2151">
      <c r="A2151" s="5">
        <v>2515.0</v>
      </c>
      <c r="B2151" s="6">
        <v>46172.97492929398</v>
      </c>
      <c r="C2151" s="7" t="s">
        <v>760</v>
      </c>
      <c r="D2151" s="8" t="s">
        <v>2646</v>
      </c>
      <c r="E2151" s="8" t="s">
        <v>919</v>
      </c>
      <c r="F2151" s="7" t="s">
        <v>2647</v>
      </c>
      <c r="G2151" s="9" t="s">
        <v>19</v>
      </c>
      <c r="H2151" s="7" t="s">
        <v>497</v>
      </c>
      <c r="I2151" s="7" t="s">
        <v>6665</v>
      </c>
      <c r="J2151" s="10">
        <v>46172.0</v>
      </c>
      <c r="K2151" s="8" t="s">
        <v>22</v>
      </c>
      <c r="L2151" s="7">
        <v>4.0</v>
      </c>
      <c r="M2151" s="7" t="s">
        <v>87</v>
      </c>
      <c r="N2151" s="13" t="s">
        <v>6668</v>
      </c>
      <c r="O2151" s="15" t="s">
        <v>6669</v>
      </c>
    </row>
    <row r="2152">
      <c r="A2152" s="5">
        <v>2517.0</v>
      </c>
      <c r="B2152" s="6">
        <v>46172.9972606713</v>
      </c>
      <c r="C2152" s="7" t="s">
        <v>760</v>
      </c>
      <c r="D2152" s="8" t="s">
        <v>5157</v>
      </c>
      <c r="E2152" s="8" t="s">
        <v>5158</v>
      </c>
      <c r="F2152" s="7" t="s">
        <v>6670</v>
      </c>
      <c r="G2152" s="9" t="s">
        <v>144</v>
      </c>
      <c r="H2152" s="7" t="s">
        <v>730</v>
      </c>
      <c r="I2152" s="7" t="s">
        <v>6671</v>
      </c>
      <c r="J2152" s="10">
        <v>45990.0</v>
      </c>
      <c r="K2152" s="8" t="s">
        <v>2961</v>
      </c>
      <c r="L2152" s="7">
        <v>2.0</v>
      </c>
      <c r="M2152" s="7" t="s">
        <v>6672</v>
      </c>
      <c r="N2152" s="13" t="s">
        <v>6673</v>
      </c>
      <c r="O2152" s="15" t="s">
        <v>6674</v>
      </c>
    </row>
    <row r="2153">
      <c r="A2153" s="5">
        <v>2518.0</v>
      </c>
      <c r="B2153" s="6">
        <v>46172.99984304398</v>
      </c>
      <c r="C2153" s="7" t="s">
        <v>760</v>
      </c>
      <c r="D2153" s="8" t="s">
        <v>5157</v>
      </c>
      <c r="E2153" s="8" t="s">
        <v>5158</v>
      </c>
      <c r="F2153" s="7" t="s">
        <v>6670</v>
      </c>
      <c r="G2153" s="9" t="s">
        <v>144</v>
      </c>
      <c r="H2153" s="7" t="s">
        <v>6675</v>
      </c>
      <c r="I2153" s="7" t="s">
        <v>6676</v>
      </c>
      <c r="J2153" s="10">
        <v>45920.0</v>
      </c>
      <c r="K2153" s="8" t="s">
        <v>766</v>
      </c>
      <c r="L2153" s="7">
        <v>4.0</v>
      </c>
      <c r="M2153" s="7" t="s">
        <v>6677</v>
      </c>
      <c r="N2153" s="13" t="s">
        <v>6678</v>
      </c>
      <c r="O2153" s="15" t="s">
        <v>6679</v>
      </c>
    </row>
    <row r="2154">
      <c r="A2154" s="5">
        <v>2519.0</v>
      </c>
      <c r="B2154" s="6">
        <v>46173.00283212963</v>
      </c>
      <c r="C2154" s="7" t="s">
        <v>760</v>
      </c>
      <c r="D2154" s="8" t="s">
        <v>5157</v>
      </c>
      <c r="E2154" s="8" t="s">
        <v>5158</v>
      </c>
      <c r="F2154" s="7" t="s">
        <v>6670</v>
      </c>
      <c r="G2154" s="9" t="s">
        <v>209</v>
      </c>
      <c r="H2154" s="7" t="s">
        <v>6680</v>
      </c>
      <c r="I2154" s="7" t="s">
        <v>6681</v>
      </c>
      <c r="J2154" s="10">
        <v>45941.0</v>
      </c>
      <c r="K2154" s="8" t="s">
        <v>2266</v>
      </c>
      <c r="L2154" s="7">
        <v>2.0</v>
      </c>
      <c r="M2154" s="7" t="s">
        <v>6682</v>
      </c>
      <c r="N2154" s="13" t="s">
        <v>6683</v>
      </c>
      <c r="O2154" s="15" t="s">
        <v>6684</v>
      </c>
    </row>
    <row r="2155">
      <c r="A2155" s="5">
        <v>2520.0</v>
      </c>
      <c r="B2155" s="6">
        <v>46173.00498332176</v>
      </c>
      <c r="C2155" s="7" t="s">
        <v>760</v>
      </c>
      <c r="D2155" s="8" t="s">
        <v>5157</v>
      </c>
      <c r="E2155" s="8" t="s">
        <v>5158</v>
      </c>
      <c r="F2155" s="7" t="s">
        <v>6670</v>
      </c>
      <c r="G2155" s="9" t="s">
        <v>209</v>
      </c>
      <c r="H2155" s="7" t="s">
        <v>2900</v>
      </c>
      <c r="I2155" s="7" t="s">
        <v>6681</v>
      </c>
      <c r="J2155" s="10">
        <v>45906.0</v>
      </c>
      <c r="K2155" s="8" t="s">
        <v>1132</v>
      </c>
      <c r="L2155" s="7">
        <v>2.0</v>
      </c>
      <c r="M2155" s="7" t="s">
        <v>6682</v>
      </c>
      <c r="N2155" s="13" t="s">
        <v>6685</v>
      </c>
      <c r="O2155" s="15" t="s">
        <v>6686</v>
      </c>
    </row>
    <row r="2156">
      <c r="A2156" s="5">
        <v>2523.0</v>
      </c>
      <c r="B2156" s="6">
        <v>46173.01074914352</v>
      </c>
      <c r="C2156" s="7" t="s">
        <v>760</v>
      </c>
      <c r="D2156" s="8" t="s">
        <v>5157</v>
      </c>
      <c r="E2156" s="8" t="s">
        <v>5158</v>
      </c>
      <c r="F2156" s="7" t="s">
        <v>6670</v>
      </c>
      <c r="G2156" s="9" t="s">
        <v>159</v>
      </c>
      <c r="H2156" s="7" t="s">
        <v>6687</v>
      </c>
      <c r="I2156" s="7" t="s">
        <v>6688</v>
      </c>
      <c r="J2156" s="10">
        <v>45899.0</v>
      </c>
      <c r="K2156" s="8" t="s">
        <v>1691</v>
      </c>
      <c r="L2156" s="7">
        <v>4.0</v>
      </c>
      <c r="M2156" s="7" t="s">
        <v>6689</v>
      </c>
      <c r="N2156" s="13" t="s">
        <v>6690</v>
      </c>
      <c r="O2156" s="15" t="s">
        <v>6691</v>
      </c>
    </row>
    <row r="2157">
      <c r="A2157" s="5">
        <v>2524.0</v>
      </c>
      <c r="B2157" s="6">
        <v>46173.014868240745</v>
      </c>
      <c r="C2157" s="7" t="s">
        <v>760</v>
      </c>
      <c r="D2157" s="8" t="s">
        <v>6692</v>
      </c>
      <c r="E2157" s="8" t="s">
        <v>5158</v>
      </c>
      <c r="F2157" s="7" t="s">
        <v>6670</v>
      </c>
      <c r="G2157" s="9" t="s">
        <v>159</v>
      </c>
      <c r="H2157" s="7" t="s">
        <v>6687</v>
      </c>
      <c r="I2157" s="7" t="s">
        <v>6688</v>
      </c>
      <c r="J2157" s="10">
        <v>45899.0</v>
      </c>
      <c r="K2157" s="8" t="s">
        <v>2266</v>
      </c>
      <c r="L2157" s="7">
        <v>4.0</v>
      </c>
      <c r="M2157" s="7" t="s">
        <v>6689</v>
      </c>
      <c r="N2157" s="13" t="s">
        <v>6693</v>
      </c>
      <c r="O2157" s="15" t="s">
        <v>6694</v>
      </c>
    </row>
    <row r="2158">
      <c r="A2158" s="5">
        <v>2525.0</v>
      </c>
      <c r="B2158" s="6">
        <v>46173.06303635417</v>
      </c>
      <c r="C2158" s="7" t="s">
        <v>760</v>
      </c>
      <c r="D2158" s="8" t="s">
        <v>5157</v>
      </c>
      <c r="E2158" s="8" t="s">
        <v>5158</v>
      </c>
      <c r="F2158" s="7" t="s">
        <v>6670</v>
      </c>
      <c r="G2158" s="9" t="s">
        <v>181</v>
      </c>
      <c r="H2158" s="7" t="s">
        <v>6583</v>
      </c>
      <c r="I2158" s="7" t="s">
        <v>314</v>
      </c>
      <c r="J2158" s="10">
        <v>46031.0</v>
      </c>
      <c r="K2158" s="8" t="s">
        <v>457</v>
      </c>
      <c r="L2158" s="7">
        <v>4.0</v>
      </c>
      <c r="M2158" s="7" t="s">
        <v>87</v>
      </c>
      <c r="N2158" s="13" t="s">
        <v>6695</v>
      </c>
      <c r="O2158" s="15" t="s">
        <v>6696</v>
      </c>
    </row>
    <row r="2159">
      <c r="A2159" s="5">
        <v>2526.0</v>
      </c>
      <c r="B2159" s="6">
        <v>46173.48464471065</v>
      </c>
      <c r="C2159" s="7" t="s">
        <v>760</v>
      </c>
      <c r="D2159" s="8" t="s">
        <v>1443</v>
      </c>
      <c r="E2159" s="8" t="s">
        <v>1116</v>
      </c>
      <c r="F2159" s="7" t="s">
        <v>1444</v>
      </c>
      <c r="G2159" s="9" t="s">
        <v>209</v>
      </c>
      <c r="H2159" s="7" t="s">
        <v>1461</v>
      </c>
      <c r="I2159" s="7" t="s">
        <v>825</v>
      </c>
      <c r="J2159" s="10">
        <v>46172.0</v>
      </c>
      <c r="K2159" s="8" t="s">
        <v>2659</v>
      </c>
      <c r="L2159" s="7">
        <v>1.0</v>
      </c>
      <c r="M2159" s="7" t="s">
        <v>1463</v>
      </c>
      <c r="N2159" s="13" t="s">
        <v>6697</v>
      </c>
      <c r="O2159" s="15" t="s">
        <v>6698</v>
      </c>
    </row>
    <row r="2160">
      <c r="A2160" s="5">
        <v>2527.0</v>
      </c>
      <c r="B2160" s="6">
        <v>46173.485751817134</v>
      </c>
      <c r="C2160" s="7" t="s">
        <v>760</v>
      </c>
      <c r="D2160" s="8" t="s">
        <v>1443</v>
      </c>
      <c r="E2160" s="8" t="s">
        <v>1116</v>
      </c>
      <c r="F2160" s="7" t="s">
        <v>1444</v>
      </c>
      <c r="G2160" s="9" t="s">
        <v>209</v>
      </c>
      <c r="H2160" s="7" t="s">
        <v>6699</v>
      </c>
      <c r="I2160" s="7" t="s">
        <v>825</v>
      </c>
      <c r="J2160" s="10">
        <v>46172.0</v>
      </c>
      <c r="K2160" s="8" t="s">
        <v>2102</v>
      </c>
      <c r="L2160" s="7">
        <v>1.0</v>
      </c>
      <c r="M2160" s="7" t="s">
        <v>1463</v>
      </c>
      <c r="N2160" s="13" t="s">
        <v>6700</v>
      </c>
      <c r="O2160" s="15" t="s">
        <v>6701</v>
      </c>
    </row>
    <row r="2161">
      <c r="A2161" s="5">
        <v>2528.0</v>
      </c>
      <c r="B2161" s="6">
        <v>46173.48881407407</v>
      </c>
      <c r="C2161" s="7" t="s">
        <v>760</v>
      </c>
      <c r="D2161" s="8" t="s">
        <v>1443</v>
      </c>
      <c r="E2161" s="8" t="s">
        <v>1116</v>
      </c>
      <c r="F2161" s="7" t="s">
        <v>1444</v>
      </c>
      <c r="G2161" s="9" t="s">
        <v>181</v>
      </c>
      <c r="H2161" s="7" t="s">
        <v>6022</v>
      </c>
      <c r="I2161" s="7" t="s">
        <v>6023</v>
      </c>
      <c r="J2161" s="10">
        <v>46147.0</v>
      </c>
      <c r="K2161" s="8" t="s">
        <v>3287</v>
      </c>
      <c r="L2161" s="7">
        <v>3.0</v>
      </c>
      <c r="M2161" s="7" t="s">
        <v>1325</v>
      </c>
      <c r="N2161" s="13" t="s">
        <v>6702</v>
      </c>
      <c r="O2161" s="15" t="s">
        <v>6703</v>
      </c>
    </row>
    <row r="2162">
      <c r="A2162" s="5">
        <v>2529.0</v>
      </c>
      <c r="B2162" s="6">
        <v>46173.49071820602</v>
      </c>
      <c r="C2162" s="7" t="s">
        <v>760</v>
      </c>
      <c r="D2162" s="8" t="s">
        <v>1443</v>
      </c>
      <c r="E2162" s="8" t="s">
        <v>1116</v>
      </c>
      <c r="F2162" s="7" t="s">
        <v>1444</v>
      </c>
      <c r="G2162" s="9" t="s">
        <v>181</v>
      </c>
      <c r="H2162" s="7" t="s">
        <v>6347</v>
      </c>
      <c r="I2162" s="7" t="s">
        <v>6356</v>
      </c>
      <c r="J2162" s="10">
        <v>46164.0</v>
      </c>
      <c r="K2162" s="8" t="s">
        <v>753</v>
      </c>
      <c r="L2162" s="7">
        <v>2.0</v>
      </c>
      <c r="M2162" s="7" t="s">
        <v>3607</v>
      </c>
      <c r="N2162" s="13" t="s">
        <v>6704</v>
      </c>
      <c r="O2162" s="15" t="s">
        <v>6705</v>
      </c>
    </row>
    <row r="2163">
      <c r="A2163" s="5">
        <v>2530.0</v>
      </c>
      <c r="B2163" s="6">
        <v>46173.505311076384</v>
      </c>
      <c r="C2163" s="7" t="s">
        <v>760</v>
      </c>
      <c r="D2163" s="8" t="s">
        <v>1443</v>
      </c>
      <c r="E2163" s="8" t="s">
        <v>1116</v>
      </c>
      <c r="F2163" s="7" t="s">
        <v>1444</v>
      </c>
      <c r="G2163" s="9" t="s">
        <v>181</v>
      </c>
      <c r="H2163" s="7" t="s">
        <v>6347</v>
      </c>
      <c r="I2163" s="7" t="s">
        <v>6356</v>
      </c>
      <c r="J2163" s="10">
        <v>46164.0</v>
      </c>
      <c r="K2163" s="8" t="s">
        <v>753</v>
      </c>
      <c r="L2163" s="7">
        <v>2.0</v>
      </c>
      <c r="M2163" s="7" t="s">
        <v>3607</v>
      </c>
      <c r="N2163" s="13" t="s">
        <v>6706</v>
      </c>
      <c r="O2163" s="15" t="s">
        <v>6707</v>
      </c>
    </row>
    <row r="2164">
      <c r="A2164" s="5">
        <v>2531.0</v>
      </c>
      <c r="B2164" s="6">
        <v>46173.56492815972</v>
      </c>
      <c r="C2164" s="7" t="s">
        <v>760</v>
      </c>
      <c r="D2164" s="8" t="s">
        <v>3937</v>
      </c>
      <c r="E2164" s="8" t="s">
        <v>484</v>
      </c>
      <c r="F2164" s="7" t="s">
        <v>3938</v>
      </c>
      <c r="G2164" s="9" t="s">
        <v>181</v>
      </c>
      <c r="H2164" s="7" t="s">
        <v>6583</v>
      </c>
      <c r="I2164" s="7" t="s">
        <v>231</v>
      </c>
      <c r="J2164" s="10">
        <v>46031.0</v>
      </c>
      <c r="K2164" s="8" t="s">
        <v>457</v>
      </c>
      <c r="L2164" s="7">
        <v>4.0</v>
      </c>
      <c r="M2164" s="7" t="s">
        <v>87</v>
      </c>
      <c r="N2164" s="13" t="s">
        <v>6708</v>
      </c>
      <c r="O2164" s="15" t="s">
        <v>6709</v>
      </c>
    </row>
    <row r="2165">
      <c r="A2165" s="5">
        <v>2532.0</v>
      </c>
      <c r="B2165" s="6">
        <v>46173.56856</v>
      </c>
      <c r="C2165" s="7" t="s">
        <v>760</v>
      </c>
      <c r="D2165" s="8" t="s">
        <v>3937</v>
      </c>
      <c r="E2165" s="8" t="s">
        <v>484</v>
      </c>
      <c r="F2165" s="7" t="s">
        <v>3938</v>
      </c>
      <c r="G2165" s="9" t="s">
        <v>181</v>
      </c>
      <c r="H2165" s="7" t="s">
        <v>6022</v>
      </c>
      <c r="I2165" s="7" t="s">
        <v>6026</v>
      </c>
      <c r="J2165" s="10">
        <v>46147.0</v>
      </c>
      <c r="K2165" s="8" t="s">
        <v>3287</v>
      </c>
      <c r="L2165" s="7">
        <v>3.0</v>
      </c>
      <c r="M2165" s="7" t="s">
        <v>1325</v>
      </c>
      <c r="N2165" s="13" t="s">
        <v>6710</v>
      </c>
      <c r="O2165" s="15" t="s">
        <v>6711</v>
      </c>
    </row>
    <row r="2166">
      <c r="A2166" s="5">
        <v>2533.0</v>
      </c>
      <c r="B2166" s="6">
        <v>46173.57231506944</v>
      </c>
      <c r="C2166" s="7" t="s">
        <v>760</v>
      </c>
      <c r="D2166" s="8" t="s">
        <v>3937</v>
      </c>
      <c r="E2166" s="8" t="s">
        <v>484</v>
      </c>
      <c r="F2166" s="7" t="s">
        <v>3938</v>
      </c>
      <c r="G2166" s="9" t="s">
        <v>19</v>
      </c>
      <c r="H2166" s="7" t="s">
        <v>5653</v>
      </c>
      <c r="I2166" s="7" t="s">
        <v>5654</v>
      </c>
      <c r="J2166" s="10">
        <v>46078.0</v>
      </c>
      <c r="K2166" s="8" t="s">
        <v>2179</v>
      </c>
      <c r="L2166" s="7">
        <v>8.0</v>
      </c>
      <c r="M2166" s="7" t="s">
        <v>5550</v>
      </c>
      <c r="N2166" s="13" t="s">
        <v>6712</v>
      </c>
      <c r="O2166" s="15" t="s">
        <v>6713</v>
      </c>
    </row>
    <row r="2167">
      <c r="A2167" s="5">
        <v>2534.0</v>
      </c>
      <c r="B2167" s="6">
        <v>46173.77165263889</v>
      </c>
      <c r="C2167" s="7" t="s">
        <v>760</v>
      </c>
      <c r="D2167" s="8" t="s">
        <v>5157</v>
      </c>
      <c r="E2167" s="8" t="s">
        <v>5158</v>
      </c>
      <c r="F2167" s="7" t="s">
        <v>6670</v>
      </c>
      <c r="G2167" s="9" t="s">
        <v>181</v>
      </c>
      <c r="H2167" s="7" t="s">
        <v>6714</v>
      </c>
      <c r="I2167" s="7" t="s">
        <v>6356</v>
      </c>
      <c r="J2167" s="10">
        <v>46164.0</v>
      </c>
      <c r="K2167" s="8" t="s">
        <v>753</v>
      </c>
      <c r="L2167" s="7">
        <v>2.0</v>
      </c>
      <c r="M2167" s="7" t="s">
        <v>3607</v>
      </c>
      <c r="N2167" s="13" t="s">
        <v>6715</v>
      </c>
      <c r="O2167" s="15" t="s">
        <v>6716</v>
      </c>
    </row>
    <row r="2168">
      <c r="A2168" s="5">
        <v>2535.0</v>
      </c>
      <c r="B2168" s="6">
        <v>46173.77469900463</v>
      </c>
      <c r="C2168" s="7" t="s">
        <v>760</v>
      </c>
      <c r="D2168" s="8" t="s">
        <v>5157</v>
      </c>
      <c r="E2168" s="8" t="s">
        <v>5158</v>
      </c>
      <c r="F2168" s="7" t="s">
        <v>6670</v>
      </c>
      <c r="G2168" s="9" t="s">
        <v>181</v>
      </c>
      <c r="H2168" s="7" t="s">
        <v>6022</v>
      </c>
      <c r="I2168" s="7" t="s">
        <v>6023</v>
      </c>
      <c r="J2168" s="10">
        <v>46147.0</v>
      </c>
      <c r="K2168" s="8" t="s">
        <v>3924</v>
      </c>
      <c r="L2168" s="7">
        <v>3.0</v>
      </c>
      <c r="M2168" s="7" t="s">
        <v>1325</v>
      </c>
      <c r="N2168" s="13" t="s">
        <v>6717</v>
      </c>
      <c r="O2168" s="15" t="s">
        <v>6718</v>
      </c>
    </row>
    <row r="2169">
      <c r="A2169" s="5">
        <v>2536.0</v>
      </c>
      <c r="B2169" s="6">
        <v>46173.78172221065</v>
      </c>
      <c r="C2169" s="7" t="s">
        <v>760</v>
      </c>
      <c r="D2169" s="8" t="s">
        <v>5157</v>
      </c>
      <c r="E2169" s="8" t="s">
        <v>5158</v>
      </c>
      <c r="F2169" s="7" t="s">
        <v>6670</v>
      </c>
      <c r="G2169" s="9" t="s">
        <v>144</v>
      </c>
      <c r="H2169" s="7" t="s">
        <v>6719</v>
      </c>
      <c r="I2169" s="7" t="s">
        <v>6720</v>
      </c>
      <c r="J2169" s="10">
        <v>46130.0</v>
      </c>
      <c r="K2169" s="8" t="s">
        <v>766</v>
      </c>
      <c r="L2169" s="7">
        <v>2.0</v>
      </c>
      <c r="M2169" s="7" t="s">
        <v>6721</v>
      </c>
      <c r="N2169" s="13" t="s">
        <v>6722</v>
      </c>
      <c r="O2169" s="15" t="s">
        <v>6723</v>
      </c>
    </row>
    <row r="2170">
      <c r="A2170" s="5">
        <v>2537.0</v>
      </c>
      <c r="B2170" s="6">
        <v>46173.78436146991</v>
      </c>
      <c r="C2170" s="7" t="s">
        <v>760</v>
      </c>
      <c r="D2170" s="8" t="s">
        <v>5157</v>
      </c>
      <c r="E2170" s="8" t="s">
        <v>5158</v>
      </c>
      <c r="F2170" s="7" t="s">
        <v>6670</v>
      </c>
      <c r="G2170" s="9" t="s">
        <v>144</v>
      </c>
      <c r="H2170" s="7" t="s">
        <v>6724</v>
      </c>
      <c r="I2170" s="7" t="s">
        <v>6725</v>
      </c>
      <c r="J2170" s="10">
        <v>46088.0</v>
      </c>
      <c r="K2170" s="8" t="s">
        <v>129</v>
      </c>
      <c r="L2170" s="7">
        <v>2.0</v>
      </c>
      <c r="M2170" s="7" t="s">
        <v>6726</v>
      </c>
      <c r="N2170" s="13" t="s">
        <v>6727</v>
      </c>
      <c r="O2170" s="15" t="s">
        <v>6728</v>
      </c>
    </row>
    <row r="2171">
      <c r="A2171" s="5">
        <v>2538.0</v>
      </c>
      <c r="B2171" s="6">
        <v>46173.79125039352</v>
      </c>
      <c r="C2171" s="7" t="s">
        <v>760</v>
      </c>
      <c r="D2171" s="8" t="s">
        <v>5157</v>
      </c>
      <c r="E2171" s="8" t="s">
        <v>5158</v>
      </c>
      <c r="F2171" s="7" t="s">
        <v>6670</v>
      </c>
      <c r="G2171" s="9" t="s">
        <v>209</v>
      </c>
      <c r="H2171" s="7" t="s">
        <v>6729</v>
      </c>
      <c r="I2171" s="7" t="s">
        <v>6681</v>
      </c>
      <c r="J2171" s="10">
        <v>46102.0</v>
      </c>
      <c r="K2171" s="8" t="s">
        <v>2961</v>
      </c>
      <c r="L2171" s="7">
        <v>2.0</v>
      </c>
      <c r="M2171" s="7" t="s">
        <v>6682</v>
      </c>
      <c r="N2171" s="13" t="s">
        <v>6730</v>
      </c>
      <c r="O2171" s="15" t="s">
        <v>6731</v>
      </c>
    </row>
    <row r="2172">
      <c r="A2172" s="5">
        <v>2539.0</v>
      </c>
      <c r="B2172" s="6">
        <v>46173.79342486111</v>
      </c>
      <c r="C2172" s="7" t="s">
        <v>760</v>
      </c>
      <c r="D2172" s="8" t="s">
        <v>5157</v>
      </c>
      <c r="E2172" s="8" t="s">
        <v>5158</v>
      </c>
      <c r="F2172" s="7" t="s">
        <v>6670</v>
      </c>
      <c r="G2172" s="9" t="s">
        <v>209</v>
      </c>
      <c r="H2172" s="7" t="s">
        <v>2900</v>
      </c>
      <c r="I2172" s="7" t="s">
        <v>6681</v>
      </c>
      <c r="J2172" s="10">
        <v>46172.0</v>
      </c>
      <c r="K2172" s="8" t="s">
        <v>1698</v>
      </c>
      <c r="L2172" s="7">
        <v>2.0</v>
      </c>
      <c r="M2172" s="7" t="s">
        <v>6682</v>
      </c>
      <c r="N2172" s="13" t="s">
        <v>6732</v>
      </c>
      <c r="O2172" s="15" t="s">
        <v>6733</v>
      </c>
    </row>
    <row r="2173">
      <c r="A2173" s="5">
        <v>2540.0</v>
      </c>
      <c r="B2173" s="6">
        <v>46173.79695498843</v>
      </c>
      <c r="C2173" s="7" t="s">
        <v>760</v>
      </c>
      <c r="D2173" s="8" t="s">
        <v>5157</v>
      </c>
      <c r="E2173" s="8" t="s">
        <v>5158</v>
      </c>
      <c r="F2173" s="7" t="s">
        <v>6670</v>
      </c>
      <c r="G2173" s="9" t="s">
        <v>19</v>
      </c>
      <c r="H2173" s="7" t="s">
        <v>6734</v>
      </c>
      <c r="I2173" s="7" t="s">
        <v>6735</v>
      </c>
      <c r="J2173" s="10">
        <v>46134.0</v>
      </c>
      <c r="K2173" s="8" t="s">
        <v>766</v>
      </c>
      <c r="L2173" s="7">
        <v>8.0</v>
      </c>
      <c r="M2173" s="7" t="s">
        <v>1325</v>
      </c>
      <c r="N2173" s="13" t="s">
        <v>6736</v>
      </c>
      <c r="O2173" s="15" t="s">
        <v>6737</v>
      </c>
    </row>
    <row r="2174">
      <c r="A2174" s="5">
        <v>2541.0</v>
      </c>
      <c r="B2174" s="6">
        <v>46173.85352870371</v>
      </c>
      <c r="C2174" s="7" t="s">
        <v>760</v>
      </c>
      <c r="D2174" s="8" t="s">
        <v>798</v>
      </c>
      <c r="E2174" s="8" t="s">
        <v>799</v>
      </c>
      <c r="F2174" s="7" t="s">
        <v>800</v>
      </c>
      <c r="G2174" s="9" t="s">
        <v>159</v>
      </c>
      <c r="H2174" s="7" t="s">
        <v>6738</v>
      </c>
      <c r="I2174" s="7" t="s">
        <v>802</v>
      </c>
      <c r="J2174" s="10">
        <v>46172.0</v>
      </c>
      <c r="K2174" s="8" t="s">
        <v>1521</v>
      </c>
      <c r="L2174" s="7">
        <v>4.0</v>
      </c>
      <c r="M2174" s="7" t="s">
        <v>6739</v>
      </c>
      <c r="N2174" s="13" t="s">
        <v>6740</v>
      </c>
      <c r="O2174" s="15" t="s">
        <v>6741</v>
      </c>
    </row>
    <row r="2175">
      <c r="A2175" s="5">
        <v>2542.0</v>
      </c>
      <c r="B2175" s="6">
        <v>46173.94253383102</v>
      </c>
      <c r="C2175" s="7" t="s">
        <v>760</v>
      </c>
      <c r="D2175" s="8" t="s">
        <v>1443</v>
      </c>
      <c r="E2175" s="8" t="s">
        <v>1116</v>
      </c>
      <c r="F2175" s="7" t="s">
        <v>1444</v>
      </c>
      <c r="G2175" s="9" t="s">
        <v>209</v>
      </c>
      <c r="H2175" s="7" t="s">
        <v>6742</v>
      </c>
      <c r="I2175" s="7" t="s">
        <v>6743</v>
      </c>
      <c r="J2175" s="10">
        <v>46173.0</v>
      </c>
      <c r="K2175" s="8" t="s">
        <v>1241</v>
      </c>
      <c r="L2175" s="7">
        <v>1.0</v>
      </c>
      <c r="M2175" s="7" t="s">
        <v>1463</v>
      </c>
      <c r="N2175" s="13" t="s">
        <v>6744</v>
      </c>
      <c r="O2175" s="15" t="s">
        <v>6745</v>
      </c>
    </row>
    <row r="2176">
      <c r="A2176" s="5">
        <v>2543.0</v>
      </c>
      <c r="B2176" s="6">
        <v>46174.04137178241</v>
      </c>
      <c r="C2176" s="7" t="s">
        <v>760</v>
      </c>
      <c r="D2176" s="8" t="s">
        <v>3937</v>
      </c>
      <c r="E2176" s="8" t="s">
        <v>484</v>
      </c>
      <c r="F2176" s="7" t="s">
        <v>3938</v>
      </c>
      <c r="G2176" s="9" t="s">
        <v>181</v>
      </c>
      <c r="H2176" s="7" t="s">
        <v>6347</v>
      </c>
      <c r="I2176" s="7" t="s">
        <v>6356</v>
      </c>
      <c r="J2176" s="10">
        <v>46164.0</v>
      </c>
      <c r="K2176" s="8" t="s">
        <v>753</v>
      </c>
      <c r="L2176" s="7">
        <v>2.0</v>
      </c>
      <c r="M2176" s="7" t="s">
        <v>3607</v>
      </c>
      <c r="N2176" s="13" t="s">
        <v>6746</v>
      </c>
      <c r="O2176" s="15" t="s">
        <v>6747</v>
      </c>
    </row>
    <row r="2177">
      <c r="A2177" s="5">
        <v>2544.0</v>
      </c>
      <c r="B2177" s="6">
        <v>46174.39464157408</v>
      </c>
      <c r="C2177" s="7" t="s">
        <v>760</v>
      </c>
      <c r="D2177" s="8" t="s">
        <v>2646</v>
      </c>
      <c r="E2177" s="8" t="s">
        <v>919</v>
      </c>
      <c r="F2177" s="7" t="s">
        <v>2647</v>
      </c>
      <c r="G2177" s="9" t="s">
        <v>19</v>
      </c>
      <c r="H2177" s="7" t="s">
        <v>6748</v>
      </c>
      <c r="I2177" s="7" t="s">
        <v>6298</v>
      </c>
      <c r="J2177" s="10">
        <v>46134.0</v>
      </c>
      <c r="K2177" s="8" t="s">
        <v>1647</v>
      </c>
      <c r="L2177" s="7">
        <v>8.0</v>
      </c>
      <c r="M2177" s="7" t="s">
        <v>1564</v>
      </c>
      <c r="N2177" s="13" t="s">
        <v>6749</v>
      </c>
      <c r="O2177" s="15" t="s">
        <v>6750</v>
      </c>
    </row>
    <row r="2178">
      <c r="A2178" s="5">
        <v>2545.0</v>
      </c>
      <c r="B2178" s="6">
        <v>46174.40359927084</v>
      </c>
      <c r="C2178" s="7" t="s">
        <v>760</v>
      </c>
      <c r="D2178" s="8" t="s">
        <v>2560</v>
      </c>
      <c r="E2178" s="8" t="s">
        <v>1023</v>
      </c>
      <c r="F2178" s="7" t="s">
        <v>2561</v>
      </c>
      <c r="G2178" s="9" t="s">
        <v>19</v>
      </c>
      <c r="H2178" s="7" t="s">
        <v>6751</v>
      </c>
      <c r="I2178" s="7" t="s">
        <v>6665</v>
      </c>
      <c r="J2178" s="10">
        <v>46172.0</v>
      </c>
      <c r="K2178" s="8" t="s">
        <v>22</v>
      </c>
      <c r="L2178" s="7">
        <v>4.0</v>
      </c>
      <c r="M2178" s="7" t="s">
        <v>87</v>
      </c>
      <c r="N2178" s="13" t="s">
        <v>6752</v>
      </c>
      <c r="O2178" s="15" t="s">
        <v>6753</v>
      </c>
    </row>
    <row r="2179">
      <c r="A2179" s="5">
        <v>2546.0</v>
      </c>
      <c r="B2179" s="6">
        <v>46174.40969943287</v>
      </c>
      <c r="C2179" s="7" t="s">
        <v>15</v>
      </c>
      <c r="D2179" s="8" t="s">
        <v>2114</v>
      </c>
      <c r="E2179" s="8" t="s">
        <v>319</v>
      </c>
      <c r="F2179" s="7" t="s">
        <v>2115</v>
      </c>
      <c r="G2179" s="9" t="s">
        <v>3171</v>
      </c>
      <c r="H2179" s="7" t="s">
        <v>6621</v>
      </c>
      <c r="I2179" s="7" t="s">
        <v>231</v>
      </c>
      <c r="J2179" s="10">
        <v>46064.0</v>
      </c>
      <c r="K2179" s="8" t="s">
        <v>5351</v>
      </c>
      <c r="L2179" s="7">
        <v>2.0</v>
      </c>
      <c r="M2179" s="7" t="s">
        <v>244</v>
      </c>
      <c r="N2179" s="13" t="s">
        <v>6754</v>
      </c>
      <c r="O2179" s="15" t="s">
        <v>6755</v>
      </c>
    </row>
    <row r="2180">
      <c r="A2180" s="5">
        <v>2547.0</v>
      </c>
      <c r="B2180" s="6">
        <v>46174.480336354165</v>
      </c>
      <c r="C2180" s="7" t="s">
        <v>15</v>
      </c>
      <c r="D2180" s="8" t="s">
        <v>2165</v>
      </c>
      <c r="E2180" s="8" t="s">
        <v>799</v>
      </c>
      <c r="F2180" s="7" t="s">
        <v>2166</v>
      </c>
      <c r="G2180" s="9" t="s">
        <v>19</v>
      </c>
      <c r="H2180" s="7" t="s">
        <v>5361</v>
      </c>
      <c r="I2180" s="7" t="s">
        <v>5362</v>
      </c>
      <c r="J2180" s="10">
        <v>46121.0</v>
      </c>
      <c r="K2180" s="8" t="s">
        <v>49</v>
      </c>
      <c r="L2180" s="7">
        <v>8.0</v>
      </c>
      <c r="M2180" s="7" t="s">
        <v>5363</v>
      </c>
      <c r="N2180" s="13" t="s">
        <v>6756</v>
      </c>
      <c r="O2180" s="15" t="s">
        <v>6757</v>
      </c>
    </row>
    <row r="2181">
      <c r="A2181" s="5">
        <v>2548.0</v>
      </c>
      <c r="B2181" s="6">
        <v>46174.485091712966</v>
      </c>
      <c r="C2181" s="7" t="s">
        <v>15</v>
      </c>
      <c r="D2181" s="8" t="s">
        <v>2165</v>
      </c>
      <c r="E2181" s="8" t="s">
        <v>799</v>
      </c>
      <c r="F2181" s="7" t="s">
        <v>2166</v>
      </c>
      <c r="G2181" s="9" t="s">
        <v>181</v>
      </c>
      <c r="H2181" s="7" t="s">
        <v>5432</v>
      </c>
      <c r="I2181" s="7" t="s">
        <v>231</v>
      </c>
      <c r="J2181" s="10">
        <v>46133.0</v>
      </c>
      <c r="K2181" s="8" t="s">
        <v>962</v>
      </c>
      <c r="L2181" s="7">
        <v>4.0</v>
      </c>
      <c r="M2181" s="7" t="s">
        <v>33</v>
      </c>
      <c r="N2181" s="13" t="s">
        <v>6758</v>
      </c>
      <c r="O2181" s="15" t="s">
        <v>6759</v>
      </c>
    </row>
    <row r="2182">
      <c r="A2182" s="5">
        <v>2549.0</v>
      </c>
      <c r="B2182" s="6">
        <v>46174.487175358794</v>
      </c>
      <c r="C2182" s="7" t="s">
        <v>15</v>
      </c>
      <c r="D2182" s="8" t="s">
        <v>2165</v>
      </c>
      <c r="E2182" s="8" t="s">
        <v>799</v>
      </c>
      <c r="F2182" s="7" t="s">
        <v>2166</v>
      </c>
      <c r="G2182" s="9" t="s">
        <v>181</v>
      </c>
      <c r="H2182" s="7" t="s">
        <v>6760</v>
      </c>
      <c r="I2182" s="7" t="s">
        <v>231</v>
      </c>
      <c r="J2182" s="10">
        <v>46147.0</v>
      </c>
      <c r="K2182" s="8" t="s">
        <v>49</v>
      </c>
      <c r="L2182" s="7">
        <v>8.0</v>
      </c>
      <c r="M2182" s="7" t="s">
        <v>244</v>
      </c>
      <c r="N2182" s="13" t="s">
        <v>6761</v>
      </c>
      <c r="O2182" s="15" t="s">
        <v>6762</v>
      </c>
    </row>
    <row r="2183">
      <c r="A2183" s="5">
        <v>2550.0</v>
      </c>
      <c r="B2183" s="6">
        <v>46174.49285436343</v>
      </c>
      <c r="C2183" s="7" t="s">
        <v>760</v>
      </c>
      <c r="D2183" s="8" t="s">
        <v>4848</v>
      </c>
      <c r="E2183" s="8" t="s">
        <v>228</v>
      </c>
      <c r="F2183" s="7" t="s">
        <v>4849</v>
      </c>
      <c r="G2183" s="9" t="s">
        <v>209</v>
      </c>
      <c r="H2183" s="7" t="s">
        <v>851</v>
      </c>
      <c r="I2183" s="7" t="s">
        <v>825</v>
      </c>
      <c r="J2183" s="10">
        <v>46151.0</v>
      </c>
      <c r="K2183" s="8" t="s">
        <v>2102</v>
      </c>
      <c r="L2183" s="7">
        <v>1.0</v>
      </c>
      <c r="M2183" s="7" t="s">
        <v>5209</v>
      </c>
      <c r="N2183" s="13" t="s">
        <v>6763</v>
      </c>
      <c r="O2183" s="15" t="s">
        <v>6764</v>
      </c>
    </row>
    <row r="2184">
      <c r="A2184" s="5">
        <v>2551.0</v>
      </c>
      <c r="B2184" s="6">
        <v>46174.49430943287</v>
      </c>
      <c r="C2184" s="7" t="s">
        <v>760</v>
      </c>
      <c r="D2184" s="8" t="s">
        <v>4848</v>
      </c>
      <c r="E2184" s="8" t="s">
        <v>228</v>
      </c>
      <c r="F2184" s="7" t="s">
        <v>4849</v>
      </c>
      <c r="G2184" s="9" t="s">
        <v>209</v>
      </c>
      <c r="H2184" s="7" t="s">
        <v>6765</v>
      </c>
      <c r="I2184" s="7" t="s">
        <v>825</v>
      </c>
      <c r="J2184" s="10">
        <v>46173.0</v>
      </c>
      <c r="K2184" s="8" t="s">
        <v>2659</v>
      </c>
      <c r="L2184" s="7">
        <v>1.0</v>
      </c>
      <c r="M2184" s="7" t="s">
        <v>5209</v>
      </c>
      <c r="N2184" s="13" t="s">
        <v>6766</v>
      </c>
      <c r="O2184" s="15" t="s">
        <v>6767</v>
      </c>
    </row>
    <row r="2185">
      <c r="A2185" s="5">
        <v>2552.0</v>
      </c>
      <c r="B2185" s="6">
        <v>46174.49577158564</v>
      </c>
      <c r="C2185" s="7" t="s">
        <v>760</v>
      </c>
      <c r="D2185" s="8" t="s">
        <v>4848</v>
      </c>
      <c r="E2185" s="8" t="s">
        <v>228</v>
      </c>
      <c r="F2185" s="7" t="s">
        <v>4849</v>
      </c>
      <c r="G2185" s="9" t="s">
        <v>209</v>
      </c>
      <c r="H2185" s="7" t="s">
        <v>824</v>
      </c>
      <c r="I2185" s="7" t="s">
        <v>825</v>
      </c>
      <c r="J2185" s="10">
        <v>46172.0</v>
      </c>
      <c r="K2185" s="8" t="s">
        <v>457</v>
      </c>
      <c r="L2185" s="7">
        <v>1.0</v>
      </c>
      <c r="M2185" s="7" t="s">
        <v>5209</v>
      </c>
      <c r="N2185" s="13" t="s">
        <v>6768</v>
      </c>
      <c r="O2185" s="15" t="s">
        <v>6769</v>
      </c>
    </row>
    <row r="2186">
      <c r="A2186" s="5">
        <v>2553.0</v>
      </c>
      <c r="B2186" s="6">
        <v>46174.4971541088</v>
      </c>
      <c r="C2186" s="7" t="s">
        <v>760</v>
      </c>
      <c r="D2186" s="8" t="s">
        <v>4848</v>
      </c>
      <c r="E2186" s="8" t="s">
        <v>228</v>
      </c>
      <c r="F2186" s="7" t="s">
        <v>4849</v>
      </c>
      <c r="G2186" s="9" t="s">
        <v>209</v>
      </c>
      <c r="H2186" s="7" t="s">
        <v>6770</v>
      </c>
      <c r="I2186" s="7" t="s">
        <v>825</v>
      </c>
      <c r="J2186" s="10">
        <v>46173.0</v>
      </c>
      <c r="K2186" s="8" t="s">
        <v>4922</v>
      </c>
      <c r="L2186" s="7">
        <v>1.0</v>
      </c>
      <c r="M2186" s="7" t="s">
        <v>5209</v>
      </c>
      <c r="N2186" s="13" t="s">
        <v>6771</v>
      </c>
      <c r="O2186" s="15" t="s">
        <v>6772</v>
      </c>
    </row>
    <row r="2187">
      <c r="A2187" s="5">
        <v>2554.0</v>
      </c>
      <c r="B2187" s="6">
        <v>46174.536346759254</v>
      </c>
      <c r="C2187" s="7" t="s">
        <v>760</v>
      </c>
      <c r="D2187" s="8" t="s">
        <v>785</v>
      </c>
      <c r="E2187" s="8" t="s">
        <v>380</v>
      </c>
      <c r="F2187" s="7" t="s">
        <v>2827</v>
      </c>
      <c r="G2187" s="9" t="s">
        <v>209</v>
      </c>
      <c r="H2187" s="7" t="s">
        <v>6773</v>
      </c>
      <c r="I2187" s="7" t="s">
        <v>825</v>
      </c>
      <c r="J2187" s="10">
        <v>46174.0</v>
      </c>
      <c r="K2187" s="8" t="s">
        <v>6774</v>
      </c>
      <c r="L2187" s="7">
        <v>2.0</v>
      </c>
      <c r="M2187" s="7" t="s">
        <v>6775</v>
      </c>
      <c r="N2187" s="13" t="s">
        <v>6776</v>
      </c>
      <c r="O2187" s="15" t="s">
        <v>6777</v>
      </c>
    </row>
    <row r="2188">
      <c r="A2188" s="5">
        <v>2556.0</v>
      </c>
      <c r="B2188" s="6">
        <v>46174.54238486111</v>
      </c>
      <c r="C2188" s="7" t="s">
        <v>760</v>
      </c>
      <c r="D2188" s="8" t="s">
        <v>785</v>
      </c>
      <c r="E2188" s="8" t="s">
        <v>380</v>
      </c>
      <c r="F2188" s="7" t="s">
        <v>2827</v>
      </c>
      <c r="G2188" s="9" t="s">
        <v>209</v>
      </c>
      <c r="H2188" s="7" t="s">
        <v>851</v>
      </c>
      <c r="I2188" s="7" t="s">
        <v>825</v>
      </c>
      <c r="J2188" s="10">
        <v>46174.0</v>
      </c>
      <c r="K2188" s="8" t="s">
        <v>6778</v>
      </c>
      <c r="L2188" s="7">
        <v>2.0</v>
      </c>
      <c r="M2188" s="7" t="s">
        <v>6779</v>
      </c>
      <c r="N2188" s="13" t="s">
        <v>6780</v>
      </c>
      <c r="O2188" s="15" t="s">
        <v>6781</v>
      </c>
    </row>
    <row r="2189">
      <c r="A2189" s="5">
        <v>2557.0</v>
      </c>
      <c r="B2189" s="6">
        <v>46174.5936472801</v>
      </c>
      <c r="C2189" s="7" t="s">
        <v>760</v>
      </c>
      <c r="D2189" s="8" t="s">
        <v>2692</v>
      </c>
      <c r="E2189" s="8" t="s">
        <v>1248</v>
      </c>
      <c r="F2189" s="7" t="s">
        <v>2693</v>
      </c>
      <c r="G2189" s="9" t="s">
        <v>19</v>
      </c>
      <c r="H2189" s="7" t="s">
        <v>497</v>
      </c>
      <c r="I2189" s="7" t="s">
        <v>6782</v>
      </c>
      <c r="J2189" s="10">
        <v>46172.0</v>
      </c>
      <c r="K2189" s="8" t="s">
        <v>22</v>
      </c>
      <c r="L2189" s="7">
        <v>4.0</v>
      </c>
      <c r="M2189" s="7" t="s">
        <v>87</v>
      </c>
      <c r="N2189" s="13" t="s">
        <v>6783</v>
      </c>
      <c r="O2189" s="15" t="s">
        <v>6784</v>
      </c>
    </row>
    <row r="2190">
      <c r="A2190" s="5">
        <v>2558.0</v>
      </c>
      <c r="B2190" s="6">
        <v>46174.67092428241</v>
      </c>
      <c r="C2190" s="7" t="s">
        <v>760</v>
      </c>
      <c r="D2190" s="8" t="s">
        <v>2466</v>
      </c>
      <c r="E2190" s="8" t="s">
        <v>411</v>
      </c>
      <c r="F2190" s="7" t="s">
        <v>2467</v>
      </c>
      <c r="G2190" s="9" t="s">
        <v>181</v>
      </c>
      <c r="H2190" s="7" t="s">
        <v>6347</v>
      </c>
      <c r="I2190" s="7" t="s">
        <v>6356</v>
      </c>
      <c r="J2190" s="10">
        <v>46164.0</v>
      </c>
      <c r="K2190" s="8" t="s">
        <v>753</v>
      </c>
      <c r="L2190" s="7">
        <v>2.0</v>
      </c>
      <c r="M2190" s="7" t="s">
        <v>3607</v>
      </c>
      <c r="N2190" s="13" t="s">
        <v>6785</v>
      </c>
      <c r="O2190" s="15" t="s">
        <v>6786</v>
      </c>
    </row>
    <row r="2191">
      <c r="A2191" s="5">
        <v>2559.0</v>
      </c>
      <c r="B2191" s="6">
        <v>46174.67262979167</v>
      </c>
      <c r="C2191" s="7" t="s">
        <v>760</v>
      </c>
      <c r="D2191" s="8" t="s">
        <v>2466</v>
      </c>
      <c r="E2191" s="8" t="s">
        <v>411</v>
      </c>
      <c r="F2191" s="7" t="s">
        <v>2467</v>
      </c>
      <c r="G2191" s="9" t="s">
        <v>181</v>
      </c>
      <c r="H2191" s="7" t="s">
        <v>6583</v>
      </c>
      <c r="I2191" s="7" t="s">
        <v>231</v>
      </c>
      <c r="J2191" s="10">
        <v>46031.0</v>
      </c>
      <c r="K2191" s="8" t="s">
        <v>457</v>
      </c>
      <c r="L2191" s="7">
        <v>4.0</v>
      </c>
      <c r="M2191" s="7" t="s">
        <v>87</v>
      </c>
      <c r="N2191" s="13" t="s">
        <v>6787</v>
      </c>
      <c r="O2191" s="15" t="s">
        <v>6788</v>
      </c>
    </row>
    <row r="2192">
      <c r="A2192" s="5">
        <v>2560.0</v>
      </c>
      <c r="B2192" s="6">
        <v>46174.83812090278</v>
      </c>
      <c r="C2192" s="7" t="s">
        <v>760</v>
      </c>
      <c r="D2192" s="8" t="s">
        <v>3979</v>
      </c>
      <c r="E2192" s="8" t="s">
        <v>236</v>
      </c>
      <c r="F2192" s="7" t="s">
        <v>3980</v>
      </c>
      <c r="G2192" s="9" t="s">
        <v>181</v>
      </c>
      <c r="H2192" s="7" t="s">
        <v>6789</v>
      </c>
      <c r="I2192" s="7" t="s">
        <v>6356</v>
      </c>
      <c r="J2192" s="10">
        <v>46171.0</v>
      </c>
      <c r="K2192" s="8" t="s">
        <v>6790</v>
      </c>
      <c r="L2192" s="7">
        <v>3.0</v>
      </c>
      <c r="M2192" s="7" t="s">
        <v>3607</v>
      </c>
      <c r="N2192" s="13" t="s">
        <v>6791</v>
      </c>
      <c r="O2192" s="15" t="s">
        <v>6792</v>
      </c>
    </row>
    <row r="2193">
      <c r="A2193" s="5">
        <v>2561.0</v>
      </c>
      <c r="B2193" s="6">
        <v>46174.898005752315</v>
      </c>
      <c r="C2193" s="7" t="s">
        <v>760</v>
      </c>
      <c r="D2193" s="8" t="s">
        <v>2718</v>
      </c>
      <c r="E2193" s="8" t="s">
        <v>91</v>
      </c>
      <c r="F2193" s="7" t="s">
        <v>2719</v>
      </c>
      <c r="G2193" s="9" t="s">
        <v>181</v>
      </c>
      <c r="H2193" s="7" t="s">
        <v>6347</v>
      </c>
      <c r="I2193" s="7" t="s">
        <v>6356</v>
      </c>
      <c r="J2193" s="10">
        <v>46164.0</v>
      </c>
      <c r="K2193" s="8" t="s">
        <v>753</v>
      </c>
      <c r="L2193" s="7">
        <v>2.0</v>
      </c>
      <c r="M2193" s="7" t="s">
        <v>3607</v>
      </c>
      <c r="N2193" s="13" t="s">
        <v>6793</v>
      </c>
      <c r="O2193" s="15" t="s">
        <v>6794</v>
      </c>
    </row>
    <row r="2194">
      <c r="A2194" s="5">
        <v>2562.0</v>
      </c>
      <c r="B2194" s="6">
        <v>46174.91987758102</v>
      </c>
      <c r="C2194" s="7" t="s">
        <v>15</v>
      </c>
      <c r="D2194" s="8" t="s">
        <v>1867</v>
      </c>
      <c r="E2194" s="8" t="s">
        <v>1023</v>
      </c>
      <c r="F2194" s="7" t="s">
        <v>1868</v>
      </c>
      <c r="G2194" s="9" t="s">
        <v>181</v>
      </c>
      <c r="H2194" s="7" t="s">
        <v>6795</v>
      </c>
      <c r="I2194" s="7" t="s">
        <v>231</v>
      </c>
      <c r="J2194" s="10">
        <v>46147.0</v>
      </c>
      <c r="K2194" s="8" t="s">
        <v>49</v>
      </c>
      <c r="L2194" s="7">
        <v>8.0</v>
      </c>
      <c r="M2194" s="7" t="s">
        <v>6796</v>
      </c>
      <c r="N2194" s="13" t="s">
        <v>6797</v>
      </c>
      <c r="O2194" s="15" t="s">
        <v>6798</v>
      </c>
    </row>
    <row r="2195">
      <c r="A2195" s="5">
        <v>2563.0</v>
      </c>
      <c r="B2195" s="6">
        <v>46174.93649431713</v>
      </c>
      <c r="C2195" s="7" t="s">
        <v>15</v>
      </c>
      <c r="D2195" s="8" t="s">
        <v>2044</v>
      </c>
      <c r="E2195" s="8" t="s">
        <v>134</v>
      </c>
      <c r="F2195" s="7" t="s">
        <v>2045</v>
      </c>
      <c r="G2195" s="9" t="s">
        <v>84</v>
      </c>
      <c r="H2195" s="7" t="s">
        <v>455</v>
      </c>
      <c r="I2195" s="7" t="s">
        <v>3375</v>
      </c>
      <c r="J2195" s="10">
        <v>46094.0</v>
      </c>
      <c r="K2195" s="8" t="s">
        <v>657</v>
      </c>
      <c r="L2195" s="7">
        <v>8.0</v>
      </c>
      <c r="M2195" s="7" t="s">
        <v>33</v>
      </c>
      <c r="N2195" s="13" t="s">
        <v>6799</v>
      </c>
      <c r="O2195" s="15" t="s">
        <v>6800</v>
      </c>
    </row>
    <row r="2196">
      <c r="A2196" s="5">
        <v>2564.0</v>
      </c>
      <c r="B2196" s="6">
        <v>46174.96510061342</v>
      </c>
      <c r="C2196" s="7" t="s">
        <v>15</v>
      </c>
      <c r="D2196" s="8" t="s">
        <v>1867</v>
      </c>
      <c r="E2196" s="8" t="s">
        <v>1023</v>
      </c>
      <c r="F2196" s="7" t="s">
        <v>1868</v>
      </c>
      <c r="G2196" s="9" t="s">
        <v>181</v>
      </c>
      <c r="H2196" s="7" t="s">
        <v>5432</v>
      </c>
      <c r="I2196" s="7" t="s">
        <v>231</v>
      </c>
      <c r="J2196" s="10">
        <v>46133.0</v>
      </c>
      <c r="K2196" s="8" t="s">
        <v>962</v>
      </c>
      <c r="L2196" s="7">
        <v>4.0</v>
      </c>
      <c r="M2196" s="7" t="s">
        <v>33</v>
      </c>
      <c r="N2196" s="13" t="s">
        <v>6801</v>
      </c>
      <c r="O2196" s="15" t="s">
        <v>6802</v>
      </c>
    </row>
    <row r="2197">
      <c r="A2197" s="5">
        <v>2565.0</v>
      </c>
      <c r="B2197" s="6">
        <v>46174.96626498843</v>
      </c>
      <c r="C2197" s="7" t="s">
        <v>15</v>
      </c>
      <c r="D2197" s="8" t="s">
        <v>1867</v>
      </c>
      <c r="E2197" s="8" t="s">
        <v>1023</v>
      </c>
      <c r="F2197" s="7" t="s">
        <v>1868</v>
      </c>
      <c r="G2197" s="9" t="s">
        <v>181</v>
      </c>
      <c r="H2197" s="7" t="s">
        <v>5432</v>
      </c>
      <c r="I2197" s="7" t="s">
        <v>231</v>
      </c>
      <c r="J2197" s="10">
        <v>46134.0</v>
      </c>
      <c r="K2197" s="8" t="s">
        <v>962</v>
      </c>
      <c r="L2197" s="7">
        <v>4.0</v>
      </c>
      <c r="M2197" s="7" t="s">
        <v>33</v>
      </c>
      <c r="N2197" s="13" t="s">
        <v>6803</v>
      </c>
      <c r="O2197" s="15" t="s">
        <v>6804</v>
      </c>
    </row>
    <row r="2198">
      <c r="A2198" s="5">
        <v>2566.0</v>
      </c>
      <c r="B2198" s="6">
        <v>46174.96763461806</v>
      </c>
      <c r="C2198" s="7" t="s">
        <v>15</v>
      </c>
      <c r="D2198" s="8" t="s">
        <v>1867</v>
      </c>
      <c r="E2198" s="8" t="s">
        <v>1023</v>
      </c>
      <c r="F2198" s="7" t="s">
        <v>1868</v>
      </c>
      <c r="G2198" s="9" t="s">
        <v>181</v>
      </c>
      <c r="H2198" s="7" t="s">
        <v>5432</v>
      </c>
      <c r="I2198" s="7" t="s">
        <v>231</v>
      </c>
      <c r="J2198" s="10">
        <v>46135.0</v>
      </c>
      <c r="K2198" s="8" t="s">
        <v>962</v>
      </c>
      <c r="L2198" s="7">
        <v>4.0</v>
      </c>
      <c r="M2198" s="7" t="s">
        <v>33</v>
      </c>
      <c r="N2198" s="13" t="s">
        <v>6805</v>
      </c>
      <c r="O2198" s="15" t="s">
        <v>6806</v>
      </c>
    </row>
    <row r="2199">
      <c r="A2199" s="5">
        <v>2567.0</v>
      </c>
      <c r="B2199" s="6">
        <v>46174.96860936342</v>
      </c>
      <c r="C2199" s="7" t="s">
        <v>15</v>
      </c>
      <c r="D2199" s="8" t="s">
        <v>403</v>
      </c>
      <c r="E2199" s="8" t="s">
        <v>404</v>
      </c>
      <c r="F2199" s="7" t="s">
        <v>405</v>
      </c>
      <c r="G2199" s="9" t="s">
        <v>84</v>
      </c>
      <c r="H2199" s="7" t="s">
        <v>85</v>
      </c>
      <c r="I2199" s="7" t="s">
        <v>3375</v>
      </c>
      <c r="J2199" s="10">
        <v>46073.0</v>
      </c>
      <c r="K2199" s="8" t="s">
        <v>457</v>
      </c>
      <c r="L2199" s="7">
        <v>8.0</v>
      </c>
      <c r="M2199" s="7" t="s">
        <v>33</v>
      </c>
      <c r="N2199" s="13" t="s">
        <v>6807</v>
      </c>
      <c r="O2199" s="15" t="s">
        <v>6808</v>
      </c>
    </row>
    <row r="2200">
      <c r="A2200" s="5">
        <v>2568.0</v>
      </c>
      <c r="B2200" s="6">
        <v>46174.9688665625</v>
      </c>
      <c r="C2200" s="7" t="s">
        <v>15</v>
      </c>
      <c r="D2200" s="8" t="s">
        <v>1867</v>
      </c>
      <c r="E2200" s="8" t="s">
        <v>1023</v>
      </c>
      <c r="F2200" s="7" t="s">
        <v>1868</v>
      </c>
      <c r="G2200" s="9" t="s">
        <v>181</v>
      </c>
      <c r="H2200" s="7" t="s">
        <v>5432</v>
      </c>
      <c r="I2200" s="7" t="s">
        <v>231</v>
      </c>
      <c r="J2200" s="10">
        <v>46138.0</v>
      </c>
      <c r="K2200" s="8" t="s">
        <v>3192</v>
      </c>
      <c r="L2200" s="7">
        <v>6.0</v>
      </c>
      <c r="M2200" s="7" t="s">
        <v>33</v>
      </c>
      <c r="N2200" s="13" t="s">
        <v>6809</v>
      </c>
      <c r="O2200" s="15" t="s">
        <v>6810</v>
      </c>
    </row>
    <row r="2201">
      <c r="A2201" s="5">
        <v>2569.0</v>
      </c>
      <c r="B2201" s="6">
        <v>46174.97034642361</v>
      </c>
      <c r="C2201" s="7" t="s">
        <v>15</v>
      </c>
      <c r="D2201" s="8" t="s">
        <v>1867</v>
      </c>
      <c r="E2201" s="8" t="s">
        <v>1023</v>
      </c>
      <c r="F2201" s="7" t="s">
        <v>1868</v>
      </c>
      <c r="G2201" s="9" t="s">
        <v>181</v>
      </c>
      <c r="H2201" s="7" t="s">
        <v>5432</v>
      </c>
      <c r="I2201" s="7" t="s">
        <v>5465</v>
      </c>
      <c r="J2201" s="10">
        <v>46139.0</v>
      </c>
      <c r="K2201" s="8" t="s">
        <v>962</v>
      </c>
      <c r="L2201" s="7">
        <v>4.0</v>
      </c>
      <c r="M2201" s="7" t="s">
        <v>33</v>
      </c>
      <c r="N2201" s="13" t="s">
        <v>6811</v>
      </c>
      <c r="O2201" s="15" t="s">
        <v>6812</v>
      </c>
    </row>
    <row r="2202">
      <c r="A2202" s="32">
        <v>2570.0</v>
      </c>
      <c r="B2202" s="33">
        <v>46174.97459568287</v>
      </c>
      <c r="C2202" s="34" t="s">
        <v>15</v>
      </c>
      <c r="D2202" s="35" t="s">
        <v>403</v>
      </c>
      <c r="E2202" s="35" t="s">
        <v>404</v>
      </c>
      <c r="F2202" s="34" t="s">
        <v>405</v>
      </c>
      <c r="G2202" s="36" t="s">
        <v>144</v>
      </c>
      <c r="H2202" s="34" t="s">
        <v>5187</v>
      </c>
      <c r="I2202" s="34" t="s">
        <v>6813</v>
      </c>
      <c r="J2202" s="37">
        <v>46137.0</v>
      </c>
      <c r="K2202" s="35" t="s">
        <v>2291</v>
      </c>
      <c r="L2202" s="34">
        <v>1.0</v>
      </c>
      <c r="M2202" s="34" t="s">
        <v>33</v>
      </c>
      <c r="N2202" s="38" t="s">
        <v>6814</v>
      </c>
      <c r="O2202" s="39" t="s">
        <v>6815</v>
      </c>
    </row>
    <row r="2203">
      <c r="A2203" s="32">
        <v>2572.0</v>
      </c>
      <c r="B2203" s="33">
        <v>46175.31017144676</v>
      </c>
      <c r="C2203" s="34" t="s">
        <v>15</v>
      </c>
      <c r="D2203" s="35" t="s">
        <v>2641</v>
      </c>
      <c r="E2203" s="35" t="s">
        <v>1152</v>
      </c>
      <c r="F2203" s="34" t="s">
        <v>2642</v>
      </c>
      <c r="G2203" s="36" t="s">
        <v>181</v>
      </c>
      <c r="H2203" s="34" t="s">
        <v>5739</v>
      </c>
      <c r="I2203" s="34" t="s">
        <v>5437</v>
      </c>
      <c r="J2203" s="37">
        <v>46139.0</v>
      </c>
      <c r="K2203" s="35" t="s">
        <v>6790</v>
      </c>
      <c r="L2203" s="34">
        <v>4.0</v>
      </c>
      <c r="M2203" s="34" t="s">
        <v>6816</v>
      </c>
      <c r="N2203" s="38" t="s">
        <v>6817</v>
      </c>
      <c r="O2203" s="39" t="s">
        <v>6818</v>
      </c>
    </row>
    <row r="2204">
      <c r="A2204" s="32">
        <v>2573.0</v>
      </c>
      <c r="B2204" s="33">
        <v>46175.311695</v>
      </c>
      <c r="C2204" s="34" t="s">
        <v>15</v>
      </c>
      <c r="D2204" s="35" t="s">
        <v>2641</v>
      </c>
      <c r="E2204" s="35" t="s">
        <v>1152</v>
      </c>
      <c r="F2204" s="34" t="s">
        <v>2642</v>
      </c>
      <c r="G2204" s="36" t="s">
        <v>181</v>
      </c>
      <c r="H2204" s="34" t="s">
        <v>6819</v>
      </c>
      <c r="I2204" s="34" t="s">
        <v>5437</v>
      </c>
      <c r="J2204" s="37">
        <v>46140.0</v>
      </c>
      <c r="K2204" s="35" t="s">
        <v>22</v>
      </c>
      <c r="L2204" s="34">
        <v>4.0</v>
      </c>
      <c r="M2204" s="34" t="s">
        <v>6816</v>
      </c>
      <c r="N2204" s="38" t="s">
        <v>6820</v>
      </c>
      <c r="O2204" s="39" t="s">
        <v>6821</v>
      </c>
    </row>
    <row r="2205">
      <c r="A2205" s="32">
        <v>2575.0</v>
      </c>
      <c r="B2205" s="33">
        <v>46175.313296099535</v>
      </c>
      <c r="C2205" s="34" t="s">
        <v>15</v>
      </c>
      <c r="D2205" s="35" t="s">
        <v>1454</v>
      </c>
      <c r="E2205" s="35" t="s">
        <v>574</v>
      </c>
      <c r="F2205" s="34" t="s">
        <v>1455</v>
      </c>
      <c r="G2205" s="36" t="s">
        <v>181</v>
      </c>
      <c r="H2205" s="34" t="s">
        <v>6822</v>
      </c>
      <c r="I2205" s="34" t="s">
        <v>231</v>
      </c>
      <c r="J2205" s="37">
        <v>46141.0</v>
      </c>
      <c r="K2205" s="35" t="s">
        <v>22</v>
      </c>
      <c r="L2205" s="34">
        <v>4.0</v>
      </c>
      <c r="M2205" s="34" t="s">
        <v>6823</v>
      </c>
      <c r="N2205" s="38" t="s">
        <v>6824</v>
      </c>
      <c r="O2205" s="39" t="s">
        <v>6825</v>
      </c>
    </row>
    <row r="2206">
      <c r="A2206" s="32">
        <v>2576.0</v>
      </c>
      <c r="B2206" s="33">
        <v>46175.31390414352</v>
      </c>
      <c r="C2206" s="34" t="s">
        <v>15</v>
      </c>
      <c r="D2206" s="35" t="s">
        <v>2044</v>
      </c>
      <c r="E2206" s="35" t="s">
        <v>134</v>
      </c>
      <c r="F2206" s="34" t="s">
        <v>2045</v>
      </c>
      <c r="G2206" s="36" t="s">
        <v>181</v>
      </c>
      <c r="H2206" s="34" t="s">
        <v>6263</v>
      </c>
      <c r="I2206" s="34" t="s">
        <v>1211</v>
      </c>
      <c r="J2206" s="37">
        <v>46133.0</v>
      </c>
      <c r="K2206" s="35" t="s">
        <v>962</v>
      </c>
      <c r="L2206" s="34">
        <v>4.0</v>
      </c>
      <c r="M2206" s="34" t="s">
        <v>33</v>
      </c>
      <c r="N2206" s="38" t="s">
        <v>6826</v>
      </c>
      <c r="O2206" s="39" t="s">
        <v>6827</v>
      </c>
    </row>
    <row r="2207">
      <c r="A2207" s="32">
        <v>2577.0</v>
      </c>
      <c r="B2207" s="33">
        <v>46175.31481732639</v>
      </c>
      <c r="C2207" s="34" t="s">
        <v>15</v>
      </c>
      <c r="D2207" s="35" t="s">
        <v>439</v>
      </c>
      <c r="E2207" s="35" t="s">
        <v>440</v>
      </c>
      <c r="F2207" s="34" t="s">
        <v>441</v>
      </c>
      <c r="G2207" s="36" t="s">
        <v>181</v>
      </c>
      <c r="H2207" s="34" t="s">
        <v>5432</v>
      </c>
      <c r="I2207" s="34" t="s">
        <v>1211</v>
      </c>
      <c r="J2207" s="37">
        <v>46135.0</v>
      </c>
      <c r="K2207" s="35" t="s">
        <v>962</v>
      </c>
      <c r="L2207" s="34">
        <v>4.0</v>
      </c>
      <c r="M2207" s="34" t="s">
        <v>6828</v>
      </c>
      <c r="N2207" s="38" t="s">
        <v>6829</v>
      </c>
      <c r="O2207" s="39" t="s">
        <v>6830</v>
      </c>
    </row>
    <row r="2208">
      <c r="A2208" s="32">
        <v>2578.0</v>
      </c>
      <c r="B2208" s="33">
        <v>46175.31525131944</v>
      </c>
      <c r="C2208" s="34" t="s">
        <v>15</v>
      </c>
      <c r="D2208" s="35" t="s">
        <v>1867</v>
      </c>
      <c r="E2208" s="35" t="s">
        <v>1023</v>
      </c>
      <c r="F2208" s="34" t="s">
        <v>1868</v>
      </c>
      <c r="G2208" s="36" t="s">
        <v>19</v>
      </c>
      <c r="H2208" s="34" t="s">
        <v>5549</v>
      </c>
      <c r="I2208" s="34" t="s">
        <v>5335</v>
      </c>
      <c r="J2208" s="37">
        <v>46032.0</v>
      </c>
      <c r="K2208" s="35" t="s">
        <v>2328</v>
      </c>
      <c r="L2208" s="34">
        <v>8.0</v>
      </c>
      <c r="M2208" s="34" t="s">
        <v>5550</v>
      </c>
      <c r="N2208" s="38" t="s">
        <v>6831</v>
      </c>
      <c r="O2208" s="39" t="s">
        <v>6832</v>
      </c>
    </row>
    <row r="2209">
      <c r="A2209" s="32">
        <v>2579.0</v>
      </c>
      <c r="B2209" s="33">
        <v>46175.31565149306</v>
      </c>
      <c r="C2209" s="34" t="s">
        <v>15</v>
      </c>
      <c r="D2209" s="35" t="s">
        <v>2641</v>
      </c>
      <c r="E2209" s="35" t="s">
        <v>1152</v>
      </c>
      <c r="F2209" s="34" t="s">
        <v>2642</v>
      </c>
      <c r="G2209" s="36" t="s">
        <v>181</v>
      </c>
      <c r="H2209" s="34" t="s">
        <v>6833</v>
      </c>
      <c r="I2209" s="34" t="s">
        <v>231</v>
      </c>
      <c r="J2209" s="37">
        <v>46147.0</v>
      </c>
      <c r="K2209" s="35" t="s">
        <v>49</v>
      </c>
      <c r="L2209" s="34">
        <v>8.0</v>
      </c>
      <c r="M2209" s="34" t="s">
        <v>244</v>
      </c>
      <c r="N2209" s="38" t="s">
        <v>6834</v>
      </c>
      <c r="O2209" s="39" t="s">
        <v>6835</v>
      </c>
    </row>
    <row r="2210">
      <c r="A2210" s="32">
        <v>2580.0</v>
      </c>
      <c r="B2210" s="33">
        <v>46175.31581363426</v>
      </c>
      <c r="C2210" s="34" t="s">
        <v>15</v>
      </c>
      <c r="D2210" s="35" t="s">
        <v>439</v>
      </c>
      <c r="E2210" s="35" t="s">
        <v>440</v>
      </c>
      <c r="F2210" s="34" t="s">
        <v>441</v>
      </c>
      <c r="G2210" s="36" t="s">
        <v>181</v>
      </c>
      <c r="H2210" s="34" t="s">
        <v>5432</v>
      </c>
      <c r="I2210" s="34" t="s">
        <v>1211</v>
      </c>
      <c r="J2210" s="37">
        <v>46138.0</v>
      </c>
      <c r="K2210" s="35" t="s">
        <v>3192</v>
      </c>
      <c r="L2210" s="34">
        <v>6.0</v>
      </c>
      <c r="M2210" s="34" t="s">
        <v>6828</v>
      </c>
      <c r="N2210" s="38" t="s">
        <v>6836</v>
      </c>
      <c r="O2210" s="39" t="s">
        <v>6837</v>
      </c>
    </row>
    <row r="2211">
      <c r="A2211" s="32">
        <v>2581.0</v>
      </c>
      <c r="B2211" s="33">
        <v>46175.31623146991</v>
      </c>
      <c r="C2211" s="34" t="s">
        <v>15</v>
      </c>
      <c r="D2211" s="35" t="s">
        <v>2044</v>
      </c>
      <c r="E2211" s="35" t="s">
        <v>134</v>
      </c>
      <c r="F2211" s="34" t="s">
        <v>2045</v>
      </c>
      <c r="G2211" s="36" t="s">
        <v>181</v>
      </c>
      <c r="H2211" s="34" t="s">
        <v>6263</v>
      </c>
      <c r="I2211" s="34" t="s">
        <v>231</v>
      </c>
      <c r="J2211" s="37">
        <v>46134.0</v>
      </c>
      <c r="K2211" s="35" t="s">
        <v>962</v>
      </c>
      <c r="L2211" s="34">
        <v>4.0</v>
      </c>
      <c r="M2211" s="34" t="s">
        <v>33</v>
      </c>
      <c r="N2211" s="38" t="s">
        <v>6838</v>
      </c>
      <c r="O2211" s="39" t="s">
        <v>6839</v>
      </c>
    </row>
    <row r="2212">
      <c r="A2212" s="32">
        <v>2582.0</v>
      </c>
      <c r="B2212" s="33">
        <v>46175.31656383102</v>
      </c>
      <c r="C2212" s="34" t="s">
        <v>15</v>
      </c>
      <c r="D2212" s="35" t="s">
        <v>736</v>
      </c>
      <c r="E2212" s="35" t="s">
        <v>737</v>
      </c>
      <c r="F2212" s="34" t="s">
        <v>738</v>
      </c>
      <c r="G2212" s="36" t="s">
        <v>181</v>
      </c>
      <c r="H2212" s="34" t="s">
        <v>6840</v>
      </c>
      <c r="I2212" s="34" t="s">
        <v>3162</v>
      </c>
      <c r="J2212" s="37">
        <v>46067.0</v>
      </c>
      <c r="K2212" s="35" t="s">
        <v>22</v>
      </c>
      <c r="L2212" s="34">
        <v>4.0</v>
      </c>
      <c r="M2212" s="34" t="s">
        <v>244</v>
      </c>
      <c r="N2212" s="38" t="s">
        <v>6841</v>
      </c>
      <c r="O2212" s="39" t="s">
        <v>6842</v>
      </c>
    </row>
    <row r="2213">
      <c r="A2213" s="32">
        <v>2583.0</v>
      </c>
      <c r="B2213" s="33">
        <v>46175.31659585648</v>
      </c>
      <c r="C2213" s="34" t="s">
        <v>15</v>
      </c>
      <c r="D2213" s="35" t="s">
        <v>2683</v>
      </c>
      <c r="E2213" s="35" t="s">
        <v>919</v>
      </c>
      <c r="F2213" s="34" t="s">
        <v>2684</v>
      </c>
      <c r="G2213" s="36" t="s">
        <v>19</v>
      </c>
      <c r="H2213" s="34" t="s">
        <v>6843</v>
      </c>
      <c r="I2213" s="34" t="s">
        <v>3736</v>
      </c>
      <c r="J2213" s="37">
        <v>46010.0</v>
      </c>
      <c r="K2213" s="35" t="s">
        <v>49</v>
      </c>
      <c r="L2213" s="34">
        <v>8.0</v>
      </c>
      <c r="M2213" s="34" t="s">
        <v>5407</v>
      </c>
      <c r="N2213" s="38" t="s">
        <v>6844</v>
      </c>
      <c r="O2213" s="39" t="s">
        <v>6845</v>
      </c>
    </row>
    <row r="2214">
      <c r="A2214" s="32">
        <v>2584.0</v>
      </c>
      <c r="B2214" s="33">
        <v>46175.317123506946</v>
      </c>
      <c r="C2214" s="34" t="s">
        <v>15</v>
      </c>
      <c r="D2214" s="35" t="s">
        <v>2849</v>
      </c>
      <c r="E2214" s="35" t="s">
        <v>2338</v>
      </c>
      <c r="F2214" s="34" t="s">
        <v>2850</v>
      </c>
      <c r="G2214" s="36" t="s">
        <v>19</v>
      </c>
      <c r="H2214" s="34" t="s">
        <v>6846</v>
      </c>
      <c r="I2214" s="34" t="s">
        <v>5567</v>
      </c>
      <c r="J2214" s="37">
        <v>46032.0</v>
      </c>
      <c r="K2214" s="35" t="s">
        <v>2328</v>
      </c>
      <c r="L2214" s="34">
        <v>8.0</v>
      </c>
      <c r="M2214" s="34" t="s">
        <v>87</v>
      </c>
      <c r="N2214" s="38" t="s">
        <v>6847</v>
      </c>
      <c r="O2214" s="39" t="s">
        <v>6848</v>
      </c>
    </row>
    <row r="2215">
      <c r="A2215" s="32">
        <v>2585.0</v>
      </c>
      <c r="B2215" s="33">
        <v>46175.31718799769</v>
      </c>
      <c r="C2215" s="34" t="s">
        <v>15</v>
      </c>
      <c r="D2215" s="35" t="s">
        <v>2182</v>
      </c>
      <c r="E2215" s="35" t="s">
        <v>1725</v>
      </c>
      <c r="F2215" s="34" t="s">
        <v>2183</v>
      </c>
      <c r="G2215" s="36" t="s">
        <v>181</v>
      </c>
      <c r="H2215" s="34" t="s">
        <v>6849</v>
      </c>
      <c r="I2215" s="34" t="s">
        <v>5437</v>
      </c>
      <c r="J2215" s="37">
        <v>46139.0</v>
      </c>
      <c r="K2215" s="35" t="s">
        <v>6790</v>
      </c>
      <c r="L2215" s="34">
        <v>4.0</v>
      </c>
      <c r="M2215" s="34" t="s">
        <v>1559</v>
      </c>
      <c r="N2215" s="38" t="s">
        <v>6850</v>
      </c>
      <c r="O2215" s="39" t="s">
        <v>6851</v>
      </c>
    </row>
    <row r="2216">
      <c r="A2216" s="32">
        <v>2586.0</v>
      </c>
      <c r="B2216" s="33">
        <v>46175.317253125</v>
      </c>
      <c r="C2216" s="34" t="s">
        <v>15</v>
      </c>
      <c r="D2216" s="35" t="s">
        <v>439</v>
      </c>
      <c r="E2216" s="35" t="s">
        <v>440</v>
      </c>
      <c r="F2216" s="34" t="s">
        <v>441</v>
      </c>
      <c r="G2216" s="36" t="s">
        <v>181</v>
      </c>
      <c r="H2216" s="34" t="s">
        <v>5432</v>
      </c>
      <c r="I2216" s="34" t="s">
        <v>5465</v>
      </c>
      <c r="J2216" s="37">
        <v>46139.0</v>
      </c>
      <c r="K2216" s="35" t="s">
        <v>962</v>
      </c>
      <c r="L2216" s="34">
        <v>4.0</v>
      </c>
      <c r="M2216" s="34" t="s">
        <v>6828</v>
      </c>
      <c r="N2216" s="38" t="s">
        <v>6852</v>
      </c>
      <c r="O2216" s="39" t="s">
        <v>6853</v>
      </c>
    </row>
    <row r="2217">
      <c r="A2217" s="32">
        <v>2587.0</v>
      </c>
      <c r="B2217" s="33">
        <v>46175.31788505787</v>
      </c>
      <c r="C2217" s="34" t="s">
        <v>15</v>
      </c>
      <c r="D2217" s="35" t="s">
        <v>678</v>
      </c>
      <c r="E2217" s="35" t="s">
        <v>679</v>
      </c>
      <c r="F2217" s="34" t="s">
        <v>680</v>
      </c>
      <c r="G2217" s="36" t="s">
        <v>181</v>
      </c>
      <c r="H2217" s="34" t="s">
        <v>2812</v>
      </c>
      <c r="I2217" s="34" t="s">
        <v>279</v>
      </c>
      <c r="J2217" s="37">
        <v>46097.0</v>
      </c>
      <c r="K2217" s="35" t="s">
        <v>49</v>
      </c>
      <c r="L2217" s="34">
        <v>8.0</v>
      </c>
      <c r="M2217" s="34" t="s">
        <v>33</v>
      </c>
      <c r="N2217" s="38" t="s">
        <v>6854</v>
      </c>
      <c r="O2217" s="40"/>
    </row>
    <row r="2218">
      <c r="A2218" s="32">
        <v>2588.0</v>
      </c>
      <c r="B2218" s="33">
        <v>46175.31819994213</v>
      </c>
      <c r="C2218" s="34" t="s">
        <v>15</v>
      </c>
      <c r="D2218" s="35" t="s">
        <v>2044</v>
      </c>
      <c r="E2218" s="35" t="s">
        <v>134</v>
      </c>
      <c r="F2218" s="34" t="s">
        <v>2045</v>
      </c>
      <c r="G2218" s="36" t="s">
        <v>181</v>
      </c>
      <c r="H2218" s="34" t="s">
        <v>6263</v>
      </c>
      <c r="I2218" s="34" t="s">
        <v>231</v>
      </c>
      <c r="J2218" s="37">
        <v>46135.0</v>
      </c>
      <c r="K2218" s="35" t="s">
        <v>962</v>
      </c>
      <c r="L2218" s="34">
        <v>4.0</v>
      </c>
      <c r="M2218" s="34" t="s">
        <v>33</v>
      </c>
      <c r="N2218" s="38" t="s">
        <v>6855</v>
      </c>
      <c r="O2218" s="39" t="s">
        <v>6856</v>
      </c>
    </row>
    <row r="2219">
      <c r="A2219" s="32">
        <v>2589.0</v>
      </c>
      <c r="B2219" s="33">
        <v>46175.31829923611</v>
      </c>
      <c r="C2219" s="34" t="s">
        <v>15</v>
      </c>
      <c r="D2219" s="35" t="s">
        <v>2547</v>
      </c>
      <c r="E2219" s="35" t="s">
        <v>110</v>
      </c>
      <c r="F2219" s="34" t="s">
        <v>2548</v>
      </c>
      <c r="G2219" s="36" t="s">
        <v>181</v>
      </c>
      <c r="H2219" s="34" t="s">
        <v>5666</v>
      </c>
      <c r="I2219" s="34" t="s">
        <v>231</v>
      </c>
      <c r="J2219" s="37">
        <v>46064.0</v>
      </c>
      <c r="K2219" s="35" t="s">
        <v>22</v>
      </c>
      <c r="L2219" s="34">
        <v>4.0</v>
      </c>
      <c r="M2219" s="34" t="s">
        <v>5667</v>
      </c>
      <c r="N2219" s="38" t="s">
        <v>6857</v>
      </c>
      <c r="O2219" s="39" t="s">
        <v>6858</v>
      </c>
    </row>
    <row r="2220">
      <c r="A2220" s="32">
        <v>2590.0</v>
      </c>
      <c r="B2220" s="33">
        <v>46175.318460462964</v>
      </c>
      <c r="C2220" s="34" t="s">
        <v>15</v>
      </c>
      <c r="D2220" s="35" t="s">
        <v>2641</v>
      </c>
      <c r="E2220" s="35" t="s">
        <v>1152</v>
      </c>
      <c r="F2220" s="34" t="s">
        <v>2642</v>
      </c>
      <c r="G2220" s="36" t="s">
        <v>19</v>
      </c>
      <c r="H2220" s="34" t="s">
        <v>6859</v>
      </c>
      <c r="I2220" s="34" t="s">
        <v>6860</v>
      </c>
      <c r="J2220" s="37">
        <v>46060.0</v>
      </c>
      <c r="K2220" s="35" t="s">
        <v>49</v>
      </c>
      <c r="L2220" s="34">
        <v>8.0</v>
      </c>
      <c r="M2220" s="34" t="s">
        <v>2391</v>
      </c>
      <c r="N2220" s="38" t="s">
        <v>6861</v>
      </c>
      <c r="O2220" s="40"/>
    </row>
    <row r="2221">
      <c r="A2221" s="32">
        <v>2591.0</v>
      </c>
      <c r="B2221" s="33">
        <v>46175.31876070602</v>
      </c>
      <c r="C2221" s="34" t="s">
        <v>15</v>
      </c>
      <c r="D2221" s="35" t="s">
        <v>2683</v>
      </c>
      <c r="E2221" s="35" t="s">
        <v>919</v>
      </c>
      <c r="F2221" s="34" t="s">
        <v>2684</v>
      </c>
      <c r="G2221" s="36" t="s">
        <v>181</v>
      </c>
      <c r="H2221" s="34" t="s">
        <v>6862</v>
      </c>
      <c r="I2221" s="34" t="s">
        <v>231</v>
      </c>
      <c r="J2221" s="37">
        <v>46147.0</v>
      </c>
      <c r="K2221" s="35" t="s">
        <v>49</v>
      </c>
      <c r="L2221" s="34">
        <v>8.0</v>
      </c>
      <c r="M2221" s="34" t="s">
        <v>5492</v>
      </c>
      <c r="N2221" s="38" t="s">
        <v>6863</v>
      </c>
      <c r="O2221" s="39" t="s">
        <v>6864</v>
      </c>
    </row>
    <row r="2222">
      <c r="A2222" s="32">
        <v>2592.0</v>
      </c>
      <c r="B2222" s="33">
        <v>46175.319439583334</v>
      </c>
      <c r="C2222" s="34" t="s">
        <v>15</v>
      </c>
      <c r="D2222" s="35" t="s">
        <v>2114</v>
      </c>
      <c r="E2222" s="35" t="s">
        <v>319</v>
      </c>
      <c r="F2222" s="34" t="s">
        <v>2115</v>
      </c>
      <c r="G2222" s="36" t="s">
        <v>144</v>
      </c>
      <c r="H2222" s="34" t="s">
        <v>730</v>
      </c>
      <c r="I2222" s="34" t="s">
        <v>6865</v>
      </c>
      <c r="J2222" s="37">
        <v>46102.0</v>
      </c>
      <c r="K2222" s="35" t="s">
        <v>5110</v>
      </c>
      <c r="L2222" s="34">
        <v>1.0</v>
      </c>
      <c r="M2222" s="34" t="s">
        <v>6866</v>
      </c>
      <c r="N2222" s="38" t="s">
        <v>6867</v>
      </c>
      <c r="O2222" s="39" t="s">
        <v>6868</v>
      </c>
    </row>
    <row r="2223">
      <c r="A2223" s="32">
        <v>2593.0</v>
      </c>
      <c r="B2223" s="33">
        <v>46175.31980111111</v>
      </c>
      <c r="C2223" s="34" t="s">
        <v>15</v>
      </c>
      <c r="D2223" s="35" t="s">
        <v>3859</v>
      </c>
      <c r="E2223" s="35" t="s">
        <v>1253</v>
      </c>
      <c r="F2223" s="34" t="s">
        <v>3860</v>
      </c>
      <c r="G2223" s="36" t="s">
        <v>181</v>
      </c>
      <c r="H2223" s="34" t="s">
        <v>6869</v>
      </c>
      <c r="I2223" s="34" t="s">
        <v>5444</v>
      </c>
      <c r="J2223" s="37">
        <v>46143.0</v>
      </c>
      <c r="K2223" s="35" t="s">
        <v>6870</v>
      </c>
      <c r="L2223" s="34">
        <v>4.0</v>
      </c>
      <c r="M2223" s="34" t="s">
        <v>6871</v>
      </c>
      <c r="N2223" s="38" t="s">
        <v>6872</v>
      </c>
      <c r="O2223" s="39" t="s">
        <v>6873</v>
      </c>
    </row>
    <row r="2224">
      <c r="A2224" s="32">
        <v>2594.0</v>
      </c>
      <c r="B2224" s="33">
        <v>46175.3198162037</v>
      </c>
      <c r="C2224" s="34" t="s">
        <v>15</v>
      </c>
      <c r="D2224" s="35" t="s">
        <v>439</v>
      </c>
      <c r="E2224" s="35" t="s">
        <v>440</v>
      </c>
      <c r="F2224" s="34" t="s">
        <v>441</v>
      </c>
      <c r="G2224" s="36" t="s">
        <v>84</v>
      </c>
      <c r="H2224" s="34" t="s">
        <v>455</v>
      </c>
      <c r="I2224" s="34" t="s">
        <v>3375</v>
      </c>
      <c r="J2224" s="37">
        <v>46037.0</v>
      </c>
      <c r="K2224" s="35" t="s">
        <v>2102</v>
      </c>
      <c r="L2224" s="34">
        <v>8.0</v>
      </c>
      <c r="M2224" s="34" t="s">
        <v>690</v>
      </c>
      <c r="N2224" s="38" t="s">
        <v>6874</v>
      </c>
      <c r="O2224" s="39" t="s">
        <v>6875</v>
      </c>
    </row>
    <row r="2225">
      <c r="A2225" s="32">
        <v>2594.0</v>
      </c>
      <c r="B2225" s="33">
        <v>46175.319826493054</v>
      </c>
      <c r="C2225" s="34" t="s">
        <v>15</v>
      </c>
      <c r="D2225" s="35" t="s">
        <v>2182</v>
      </c>
      <c r="E2225" s="35" t="s">
        <v>1725</v>
      </c>
      <c r="F2225" s="34" t="s">
        <v>2183</v>
      </c>
      <c r="G2225" s="36" t="s">
        <v>181</v>
      </c>
      <c r="H2225" s="34" t="s">
        <v>6876</v>
      </c>
      <c r="I2225" s="34" t="s">
        <v>5437</v>
      </c>
      <c r="J2225" s="37">
        <v>46140.0</v>
      </c>
      <c r="K2225" s="35" t="s">
        <v>22</v>
      </c>
      <c r="L2225" s="34">
        <v>4.0</v>
      </c>
      <c r="M2225" s="34" t="s">
        <v>1559</v>
      </c>
      <c r="N2225" s="38" t="s">
        <v>6877</v>
      </c>
      <c r="O2225" s="39" t="s">
        <v>6878</v>
      </c>
    </row>
    <row r="2226">
      <c r="A2226" s="32">
        <v>2595.0</v>
      </c>
      <c r="B2226" s="33">
        <v>46175.320314236116</v>
      </c>
      <c r="C2226" s="34" t="s">
        <v>15</v>
      </c>
      <c r="D2226" s="35" t="s">
        <v>4315</v>
      </c>
      <c r="E2226" s="35" t="s">
        <v>164</v>
      </c>
      <c r="F2226" s="34" t="s">
        <v>6879</v>
      </c>
      <c r="G2226" s="36" t="s">
        <v>181</v>
      </c>
      <c r="H2226" s="34" t="s">
        <v>6880</v>
      </c>
      <c r="I2226" s="34" t="s">
        <v>1211</v>
      </c>
      <c r="J2226" s="37">
        <v>46133.0</v>
      </c>
      <c r="K2226" s="35" t="s">
        <v>962</v>
      </c>
      <c r="L2226" s="34">
        <v>4.0</v>
      </c>
      <c r="M2226" s="34" t="s">
        <v>6881</v>
      </c>
      <c r="N2226" s="38" t="s">
        <v>6882</v>
      </c>
      <c r="O2226" s="39" t="s">
        <v>6883</v>
      </c>
    </row>
    <row r="2227">
      <c r="A2227" s="32">
        <v>2596.0</v>
      </c>
      <c r="B2227" s="33">
        <v>46175.32078582176</v>
      </c>
      <c r="C2227" s="34" t="s">
        <v>15</v>
      </c>
      <c r="D2227" s="35" t="s">
        <v>2114</v>
      </c>
      <c r="E2227" s="35" t="s">
        <v>319</v>
      </c>
      <c r="F2227" s="34" t="s">
        <v>2115</v>
      </c>
      <c r="G2227" s="36" t="s">
        <v>144</v>
      </c>
      <c r="H2227" s="34" t="s">
        <v>730</v>
      </c>
      <c r="I2227" s="34" t="s">
        <v>6884</v>
      </c>
      <c r="J2227" s="37">
        <v>46023.0</v>
      </c>
      <c r="K2227" s="35" t="s">
        <v>2291</v>
      </c>
      <c r="L2227" s="34">
        <v>1.0</v>
      </c>
      <c r="M2227" s="34" t="s">
        <v>2118</v>
      </c>
      <c r="N2227" s="38" t="s">
        <v>6885</v>
      </c>
      <c r="O2227" s="39" t="s">
        <v>6886</v>
      </c>
    </row>
    <row r="2228">
      <c r="A2228" s="32">
        <v>2597.0</v>
      </c>
      <c r="B2228" s="33">
        <v>46175.32196743056</v>
      </c>
      <c r="C2228" s="34" t="s">
        <v>15</v>
      </c>
      <c r="D2228" s="35" t="s">
        <v>4315</v>
      </c>
      <c r="E2228" s="35" t="s">
        <v>164</v>
      </c>
      <c r="F2228" s="34" t="s">
        <v>4323</v>
      </c>
      <c r="G2228" s="36" t="s">
        <v>181</v>
      </c>
      <c r="H2228" s="34" t="s">
        <v>6887</v>
      </c>
      <c r="I2228" s="34" t="s">
        <v>1211</v>
      </c>
      <c r="J2228" s="37">
        <v>46134.0</v>
      </c>
      <c r="K2228" s="35" t="s">
        <v>962</v>
      </c>
      <c r="L2228" s="34">
        <v>4.0</v>
      </c>
      <c r="M2228" s="34" t="s">
        <v>1275</v>
      </c>
      <c r="N2228" s="38" t="s">
        <v>6888</v>
      </c>
      <c r="O2228" s="39" t="s">
        <v>6889</v>
      </c>
    </row>
    <row r="2229">
      <c r="A2229" s="32">
        <v>2598.0</v>
      </c>
      <c r="B2229" s="33">
        <v>46175.32322641204</v>
      </c>
      <c r="C2229" s="34" t="s">
        <v>15</v>
      </c>
      <c r="D2229" s="35" t="s">
        <v>439</v>
      </c>
      <c r="E2229" s="35" t="s">
        <v>440</v>
      </c>
      <c r="F2229" s="34" t="s">
        <v>441</v>
      </c>
      <c r="G2229" s="36" t="s">
        <v>84</v>
      </c>
      <c r="H2229" s="34" t="s">
        <v>455</v>
      </c>
      <c r="I2229" s="34" t="s">
        <v>1192</v>
      </c>
      <c r="J2229" s="37">
        <v>46172.0</v>
      </c>
      <c r="K2229" s="35" t="s">
        <v>418</v>
      </c>
      <c r="L2229" s="34">
        <v>8.0</v>
      </c>
      <c r="M2229" s="34" t="s">
        <v>6828</v>
      </c>
      <c r="N2229" s="38" t="s">
        <v>6890</v>
      </c>
      <c r="O2229" s="39" t="s">
        <v>6891</v>
      </c>
    </row>
    <row r="2230">
      <c r="A2230" s="32">
        <v>2599.0</v>
      </c>
      <c r="B2230" s="33">
        <v>46175.32330826389</v>
      </c>
      <c r="C2230" s="34" t="s">
        <v>15</v>
      </c>
      <c r="D2230" s="35" t="s">
        <v>1454</v>
      </c>
      <c r="E2230" s="35" t="s">
        <v>574</v>
      </c>
      <c r="F2230" s="34" t="s">
        <v>1455</v>
      </c>
      <c r="G2230" s="36" t="s">
        <v>181</v>
      </c>
      <c r="H2230" s="34" t="s">
        <v>5432</v>
      </c>
      <c r="I2230" s="34" t="s">
        <v>231</v>
      </c>
      <c r="J2230" s="37">
        <v>46133.0</v>
      </c>
      <c r="K2230" s="35" t="s">
        <v>962</v>
      </c>
      <c r="L2230" s="34">
        <v>4.0</v>
      </c>
      <c r="M2230" s="34" t="s">
        <v>33</v>
      </c>
      <c r="N2230" s="38" t="s">
        <v>6892</v>
      </c>
      <c r="O2230" s="39" t="s">
        <v>6893</v>
      </c>
    </row>
    <row r="2231">
      <c r="A2231" s="32">
        <v>2600.0</v>
      </c>
      <c r="B2231" s="33">
        <v>46175.323358634254</v>
      </c>
      <c r="C2231" s="34" t="s">
        <v>15</v>
      </c>
      <c r="D2231" s="35" t="s">
        <v>5042</v>
      </c>
      <c r="E2231" s="35" t="s">
        <v>2061</v>
      </c>
      <c r="F2231" s="34" t="s">
        <v>5043</v>
      </c>
      <c r="G2231" s="36" t="s">
        <v>181</v>
      </c>
      <c r="H2231" s="34" t="s">
        <v>6894</v>
      </c>
      <c r="I2231" s="34" t="s">
        <v>6895</v>
      </c>
      <c r="J2231" s="37">
        <v>46067.0</v>
      </c>
      <c r="K2231" s="35" t="s">
        <v>49</v>
      </c>
      <c r="L2231" s="34">
        <v>8.0</v>
      </c>
      <c r="M2231" s="34" t="s">
        <v>244</v>
      </c>
      <c r="N2231" s="38" t="s">
        <v>6896</v>
      </c>
      <c r="O2231" s="39" t="s">
        <v>6897</v>
      </c>
    </row>
    <row r="2232">
      <c r="A2232" s="32">
        <v>2601.0</v>
      </c>
      <c r="B2232" s="33">
        <v>46175.323966145836</v>
      </c>
      <c r="C2232" s="34" t="s">
        <v>15</v>
      </c>
      <c r="D2232" s="35" t="s">
        <v>678</v>
      </c>
      <c r="E2232" s="35" t="s">
        <v>679</v>
      </c>
      <c r="F2232" s="34" t="s">
        <v>680</v>
      </c>
      <c r="G2232" s="36" t="s">
        <v>181</v>
      </c>
      <c r="H2232" s="34" t="s">
        <v>2812</v>
      </c>
      <c r="I2232" s="34" t="s">
        <v>279</v>
      </c>
      <c r="J2232" s="37">
        <v>46133.0</v>
      </c>
      <c r="K2232" s="35" t="s">
        <v>22</v>
      </c>
      <c r="L2232" s="34">
        <v>4.0</v>
      </c>
      <c r="M2232" s="34" t="s">
        <v>33</v>
      </c>
      <c r="N2232" s="38" t="s">
        <v>6898</v>
      </c>
      <c r="O2232" s="39" t="s">
        <v>6899</v>
      </c>
    </row>
    <row r="2233">
      <c r="A2233" s="32">
        <v>2602.0</v>
      </c>
      <c r="B2233" s="33">
        <v>46175.32436241898</v>
      </c>
      <c r="C2233" s="34" t="s">
        <v>15</v>
      </c>
      <c r="D2233" s="35" t="s">
        <v>4315</v>
      </c>
      <c r="E2233" s="35" t="s">
        <v>164</v>
      </c>
      <c r="F2233" s="34" t="s">
        <v>4323</v>
      </c>
      <c r="G2233" s="36" t="s">
        <v>181</v>
      </c>
      <c r="H2233" s="34" t="s">
        <v>5432</v>
      </c>
      <c r="I2233" s="34" t="s">
        <v>231</v>
      </c>
      <c r="J2233" s="37">
        <v>46135.0</v>
      </c>
      <c r="K2233" s="35" t="s">
        <v>962</v>
      </c>
      <c r="L2233" s="34">
        <v>4.0</v>
      </c>
      <c r="M2233" s="34" t="s">
        <v>1275</v>
      </c>
      <c r="N2233" s="38" t="s">
        <v>6900</v>
      </c>
      <c r="O2233" s="39" t="s">
        <v>6901</v>
      </c>
    </row>
    <row r="2234">
      <c r="A2234" s="32">
        <v>2603.0</v>
      </c>
      <c r="B2234" s="33">
        <v>46175.3257471875</v>
      </c>
      <c r="C2234" s="34" t="s">
        <v>15</v>
      </c>
      <c r="D2234" s="35" t="s">
        <v>1454</v>
      </c>
      <c r="E2234" s="35" t="s">
        <v>574</v>
      </c>
      <c r="F2234" s="34" t="s">
        <v>1455</v>
      </c>
      <c r="G2234" s="36" t="s">
        <v>181</v>
      </c>
      <c r="H2234" s="34" t="s">
        <v>5432</v>
      </c>
      <c r="I2234" s="34" t="s">
        <v>231</v>
      </c>
      <c r="J2234" s="37">
        <v>46134.0</v>
      </c>
      <c r="K2234" s="35" t="s">
        <v>962</v>
      </c>
      <c r="L2234" s="34">
        <v>4.0</v>
      </c>
      <c r="M2234" s="34" t="s">
        <v>33</v>
      </c>
      <c r="N2234" s="38" t="s">
        <v>6902</v>
      </c>
      <c r="O2234" s="39" t="s">
        <v>6903</v>
      </c>
    </row>
    <row r="2235">
      <c r="A2235" s="32">
        <v>2604.0</v>
      </c>
      <c r="B2235" s="33">
        <v>46175.32580314815</v>
      </c>
      <c r="C2235" s="34" t="s">
        <v>15</v>
      </c>
      <c r="D2235" s="35" t="s">
        <v>4315</v>
      </c>
      <c r="E2235" s="35" t="s">
        <v>164</v>
      </c>
      <c r="F2235" s="34" t="s">
        <v>4323</v>
      </c>
      <c r="G2235" s="36" t="s">
        <v>181</v>
      </c>
      <c r="H2235" s="34" t="s">
        <v>5432</v>
      </c>
      <c r="I2235" s="34" t="s">
        <v>231</v>
      </c>
      <c r="J2235" s="37">
        <v>46138.0</v>
      </c>
      <c r="K2235" s="35" t="s">
        <v>3192</v>
      </c>
      <c r="L2235" s="34">
        <v>6.0</v>
      </c>
      <c r="M2235" s="34" t="s">
        <v>1275</v>
      </c>
      <c r="N2235" s="38" t="s">
        <v>6904</v>
      </c>
      <c r="O2235" s="39" t="s">
        <v>6905</v>
      </c>
    </row>
    <row r="2236">
      <c r="A2236" s="32">
        <v>2605.0</v>
      </c>
      <c r="B2236" s="33">
        <v>46175.32654277778</v>
      </c>
      <c r="C2236" s="34" t="s">
        <v>15</v>
      </c>
      <c r="D2236" s="35" t="s">
        <v>678</v>
      </c>
      <c r="E2236" s="35" t="s">
        <v>679</v>
      </c>
      <c r="F2236" s="34" t="s">
        <v>680</v>
      </c>
      <c r="G2236" s="36" t="s">
        <v>181</v>
      </c>
      <c r="H2236" s="34" t="s">
        <v>2812</v>
      </c>
      <c r="I2236" s="34" t="s">
        <v>279</v>
      </c>
      <c r="J2236" s="37">
        <v>46122.0</v>
      </c>
      <c r="K2236" s="35" t="s">
        <v>49</v>
      </c>
      <c r="L2236" s="34">
        <v>8.0</v>
      </c>
      <c r="M2236" s="34" t="s">
        <v>33</v>
      </c>
      <c r="N2236" s="38" t="s">
        <v>6906</v>
      </c>
      <c r="O2236" s="39" t="s">
        <v>6907</v>
      </c>
    </row>
    <row r="2237">
      <c r="A2237" s="32">
        <v>2606.0</v>
      </c>
      <c r="B2237" s="33">
        <v>46175.326711180554</v>
      </c>
      <c r="C2237" s="34" t="s">
        <v>15</v>
      </c>
      <c r="D2237" s="35" t="s">
        <v>2683</v>
      </c>
      <c r="E2237" s="35" t="s">
        <v>919</v>
      </c>
      <c r="F2237" s="34" t="s">
        <v>2684</v>
      </c>
      <c r="G2237" s="36" t="s">
        <v>19</v>
      </c>
      <c r="H2237" s="34" t="s">
        <v>6908</v>
      </c>
      <c r="I2237" s="34" t="s">
        <v>6909</v>
      </c>
      <c r="J2237" s="37">
        <v>46060.0</v>
      </c>
      <c r="K2237" s="35" t="s">
        <v>49</v>
      </c>
      <c r="L2237" s="34">
        <v>8.0</v>
      </c>
      <c r="M2237" s="34" t="s">
        <v>2391</v>
      </c>
      <c r="N2237" s="38" t="s">
        <v>6910</v>
      </c>
      <c r="O2237" s="39" t="s">
        <v>6911</v>
      </c>
    </row>
    <row r="2238">
      <c r="A2238" s="32">
        <v>2607.0</v>
      </c>
      <c r="B2238" s="33">
        <v>46175.32691966435</v>
      </c>
      <c r="C2238" s="34" t="s">
        <v>15</v>
      </c>
      <c r="D2238" s="35" t="s">
        <v>1454</v>
      </c>
      <c r="E2238" s="35" t="s">
        <v>574</v>
      </c>
      <c r="F2238" s="34" t="s">
        <v>1455</v>
      </c>
      <c r="G2238" s="36" t="s">
        <v>181</v>
      </c>
      <c r="H2238" s="34" t="s">
        <v>5432</v>
      </c>
      <c r="I2238" s="34" t="s">
        <v>231</v>
      </c>
      <c r="J2238" s="37">
        <v>46196.0</v>
      </c>
      <c r="K2238" s="35" t="s">
        <v>962</v>
      </c>
      <c r="L2238" s="34">
        <v>4.0</v>
      </c>
      <c r="M2238" s="34" t="s">
        <v>33</v>
      </c>
      <c r="N2238" s="38" t="s">
        <v>6912</v>
      </c>
      <c r="O2238" s="39" t="s">
        <v>6913</v>
      </c>
    </row>
    <row r="2239">
      <c r="A2239" s="32">
        <v>2608.0</v>
      </c>
      <c r="B2239" s="33">
        <v>46175.32817655093</v>
      </c>
      <c r="C2239" s="34" t="s">
        <v>15</v>
      </c>
      <c r="D2239" s="35" t="s">
        <v>2641</v>
      </c>
      <c r="E2239" s="35" t="s">
        <v>1152</v>
      </c>
      <c r="F2239" s="34" t="s">
        <v>2642</v>
      </c>
      <c r="G2239" s="36" t="s">
        <v>181</v>
      </c>
      <c r="H2239" s="34" t="s">
        <v>6914</v>
      </c>
      <c r="I2239" s="34" t="s">
        <v>6915</v>
      </c>
      <c r="J2239" s="37">
        <v>46094.0</v>
      </c>
      <c r="K2239" s="35" t="s">
        <v>457</v>
      </c>
      <c r="L2239" s="34">
        <v>1.0</v>
      </c>
      <c r="M2239" s="34" t="s">
        <v>6593</v>
      </c>
      <c r="N2239" s="38" t="s">
        <v>6916</v>
      </c>
      <c r="O2239" s="39" t="s">
        <v>6917</v>
      </c>
    </row>
    <row r="2240">
      <c r="A2240" s="32">
        <v>2609.0</v>
      </c>
      <c r="B2240" s="33">
        <v>46175.328534155095</v>
      </c>
      <c r="C2240" s="34" t="s">
        <v>15</v>
      </c>
      <c r="D2240" s="35" t="s">
        <v>1454</v>
      </c>
      <c r="E2240" s="35" t="s">
        <v>574</v>
      </c>
      <c r="F2240" s="34" t="s">
        <v>1455</v>
      </c>
      <c r="G2240" s="36" t="s">
        <v>181</v>
      </c>
      <c r="H2240" s="34" t="s">
        <v>5432</v>
      </c>
      <c r="I2240" s="34" t="s">
        <v>231</v>
      </c>
      <c r="J2240" s="37">
        <v>46138.0</v>
      </c>
      <c r="K2240" s="35" t="s">
        <v>3192</v>
      </c>
      <c r="L2240" s="34">
        <v>6.0</v>
      </c>
      <c r="M2240" s="34" t="s">
        <v>33</v>
      </c>
      <c r="N2240" s="38" t="s">
        <v>6918</v>
      </c>
      <c r="O2240" s="39" t="s">
        <v>6919</v>
      </c>
    </row>
    <row r="2241">
      <c r="A2241" s="32">
        <v>2610.0</v>
      </c>
      <c r="B2241" s="33">
        <v>46175.32922724537</v>
      </c>
      <c r="C2241" s="34" t="s">
        <v>15</v>
      </c>
      <c r="D2241" s="35" t="s">
        <v>2321</v>
      </c>
      <c r="E2241" s="35" t="s">
        <v>1385</v>
      </c>
      <c r="F2241" s="34" t="s">
        <v>2322</v>
      </c>
      <c r="G2241" s="36" t="s">
        <v>181</v>
      </c>
      <c r="H2241" s="34" t="s">
        <v>5432</v>
      </c>
      <c r="I2241" s="34" t="s">
        <v>231</v>
      </c>
      <c r="J2241" s="37">
        <v>46133.0</v>
      </c>
      <c r="K2241" s="35" t="s">
        <v>962</v>
      </c>
      <c r="L2241" s="34">
        <v>4.0</v>
      </c>
      <c r="M2241" s="34" t="s">
        <v>33</v>
      </c>
      <c r="N2241" s="38" t="s">
        <v>6920</v>
      </c>
      <c r="O2241" s="39" t="s">
        <v>6921</v>
      </c>
    </row>
    <row r="2242">
      <c r="A2242" s="32">
        <v>2611.0</v>
      </c>
      <c r="B2242" s="33">
        <v>46175.329678842594</v>
      </c>
      <c r="C2242" s="34" t="s">
        <v>15</v>
      </c>
      <c r="D2242" s="35" t="s">
        <v>736</v>
      </c>
      <c r="E2242" s="35" t="s">
        <v>737</v>
      </c>
      <c r="F2242" s="34" t="s">
        <v>738</v>
      </c>
      <c r="G2242" s="36" t="s">
        <v>181</v>
      </c>
      <c r="H2242" s="34" t="s">
        <v>6922</v>
      </c>
      <c r="I2242" s="34" t="s">
        <v>6923</v>
      </c>
      <c r="J2242" s="37">
        <v>46143.0</v>
      </c>
      <c r="K2242" s="35" t="s">
        <v>22</v>
      </c>
      <c r="L2242" s="34">
        <v>4.0</v>
      </c>
      <c r="M2242" s="34" t="s">
        <v>5445</v>
      </c>
      <c r="N2242" s="38" t="s">
        <v>6924</v>
      </c>
      <c r="O2242" s="39" t="s">
        <v>6925</v>
      </c>
    </row>
    <row r="2243">
      <c r="A2243" s="32">
        <v>2612.0</v>
      </c>
      <c r="B2243" s="33">
        <v>46175.32975802083</v>
      </c>
      <c r="C2243" s="34" t="s">
        <v>15</v>
      </c>
      <c r="D2243" s="35" t="s">
        <v>1454</v>
      </c>
      <c r="E2243" s="35" t="s">
        <v>574</v>
      </c>
      <c r="F2243" s="34" t="s">
        <v>1455</v>
      </c>
      <c r="G2243" s="36" t="s">
        <v>181</v>
      </c>
      <c r="H2243" s="34" t="s">
        <v>5998</v>
      </c>
      <c r="I2243" s="34" t="s">
        <v>5465</v>
      </c>
      <c r="J2243" s="37">
        <v>46139.0</v>
      </c>
      <c r="K2243" s="35" t="s">
        <v>962</v>
      </c>
      <c r="L2243" s="34">
        <v>4.0</v>
      </c>
      <c r="M2243" s="34" t="s">
        <v>33</v>
      </c>
      <c r="N2243" s="38" t="s">
        <v>6926</v>
      </c>
      <c r="O2243" s="40"/>
    </row>
    <row r="2244">
      <c r="A2244" s="32">
        <v>2613.0</v>
      </c>
      <c r="B2244" s="33">
        <v>46175.330039629625</v>
      </c>
      <c r="C2244" s="34" t="s">
        <v>15</v>
      </c>
      <c r="D2244" s="35" t="s">
        <v>5042</v>
      </c>
      <c r="E2244" s="35" t="s">
        <v>2061</v>
      </c>
      <c r="F2244" s="34" t="s">
        <v>5043</v>
      </c>
      <c r="G2244" s="36" t="s">
        <v>181</v>
      </c>
      <c r="H2244" s="34" t="s">
        <v>6927</v>
      </c>
      <c r="I2244" s="34" t="s">
        <v>1211</v>
      </c>
      <c r="J2244" s="37">
        <v>46064.0</v>
      </c>
      <c r="K2244" s="35" t="s">
        <v>22</v>
      </c>
      <c r="L2244" s="34">
        <v>4.0</v>
      </c>
      <c r="M2244" s="34" t="s">
        <v>244</v>
      </c>
      <c r="N2244" s="38" t="s">
        <v>6928</v>
      </c>
      <c r="O2244" s="39" t="s">
        <v>6929</v>
      </c>
    </row>
    <row r="2245">
      <c r="A2245" s="32">
        <v>2614.0</v>
      </c>
      <c r="B2245" s="33">
        <v>46175.33071841435</v>
      </c>
      <c r="C2245" s="34" t="s">
        <v>15</v>
      </c>
      <c r="D2245" s="35" t="s">
        <v>2321</v>
      </c>
      <c r="E2245" s="35" t="s">
        <v>1385</v>
      </c>
      <c r="F2245" s="34" t="s">
        <v>2322</v>
      </c>
      <c r="G2245" s="36" t="s">
        <v>181</v>
      </c>
      <c r="H2245" s="34" t="s">
        <v>5432</v>
      </c>
      <c r="I2245" s="34" t="s">
        <v>231</v>
      </c>
      <c r="J2245" s="37">
        <v>46195.0</v>
      </c>
      <c r="K2245" s="35" t="s">
        <v>962</v>
      </c>
      <c r="L2245" s="34">
        <v>4.0</v>
      </c>
      <c r="M2245" s="34" t="s">
        <v>33</v>
      </c>
      <c r="N2245" s="38" t="s">
        <v>6930</v>
      </c>
      <c r="O2245" s="40"/>
    </row>
    <row r="2246">
      <c r="A2246" s="32">
        <v>2615.0</v>
      </c>
      <c r="B2246" s="33">
        <v>46175.3322283912</v>
      </c>
      <c r="C2246" s="34" t="s">
        <v>15</v>
      </c>
      <c r="D2246" s="35" t="s">
        <v>2321</v>
      </c>
      <c r="E2246" s="35" t="s">
        <v>1385</v>
      </c>
      <c r="F2246" s="34" t="s">
        <v>2322</v>
      </c>
      <c r="G2246" s="36" t="s">
        <v>181</v>
      </c>
      <c r="H2246" s="34" t="s">
        <v>5432</v>
      </c>
      <c r="I2246" s="34" t="s">
        <v>231</v>
      </c>
      <c r="J2246" s="37">
        <v>46135.0</v>
      </c>
      <c r="K2246" s="35" t="s">
        <v>962</v>
      </c>
      <c r="L2246" s="34">
        <v>4.0</v>
      </c>
      <c r="M2246" s="34" t="s">
        <v>33</v>
      </c>
      <c r="N2246" s="38" t="s">
        <v>6931</v>
      </c>
      <c r="O2246" s="39" t="s">
        <v>6932</v>
      </c>
    </row>
    <row r="2247">
      <c r="A2247" s="32">
        <v>2616.0</v>
      </c>
      <c r="B2247" s="33">
        <v>46175.33392628472</v>
      </c>
      <c r="C2247" s="34" t="s">
        <v>15</v>
      </c>
      <c r="D2247" s="35" t="s">
        <v>2547</v>
      </c>
      <c r="E2247" s="35" t="s">
        <v>110</v>
      </c>
      <c r="F2247" s="34" t="s">
        <v>2548</v>
      </c>
      <c r="G2247" s="36" t="s">
        <v>181</v>
      </c>
      <c r="H2247" s="34" t="s">
        <v>757</v>
      </c>
      <c r="I2247" s="34" t="s">
        <v>231</v>
      </c>
      <c r="J2247" s="37">
        <v>45859.0</v>
      </c>
      <c r="K2247" s="35" t="s">
        <v>2328</v>
      </c>
      <c r="L2247" s="34">
        <v>8.0</v>
      </c>
      <c r="M2247" s="34" t="s">
        <v>754</v>
      </c>
      <c r="N2247" s="38" t="s">
        <v>6933</v>
      </c>
      <c r="O2247" s="39" t="s">
        <v>6934</v>
      </c>
    </row>
    <row r="2248">
      <c r="A2248" s="32">
        <v>2617.0</v>
      </c>
      <c r="B2248" s="33">
        <v>46175.33887179398</v>
      </c>
      <c r="C2248" s="34" t="s">
        <v>15</v>
      </c>
      <c r="D2248" s="35" t="s">
        <v>2044</v>
      </c>
      <c r="E2248" s="35" t="s">
        <v>134</v>
      </c>
      <c r="F2248" s="34" t="s">
        <v>2045</v>
      </c>
      <c r="G2248" s="36" t="s">
        <v>181</v>
      </c>
      <c r="H2248" s="34" t="s">
        <v>6263</v>
      </c>
      <c r="I2248" s="34" t="s">
        <v>231</v>
      </c>
      <c r="J2248" s="37">
        <v>46138.0</v>
      </c>
      <c r="K2248" s="35" t="s">
        <v>3192</v>
      </c>
      <c r="L2248" s="34">
        <v>6.0</v>
      </c>
      <c r="M2248" s="34" t="s">
        <v>33</v>
      </c>
      <c r="N2248" s="38" t="s">
        <v>6935</v>
      </c>
      <c r="O2248" s="39" t="s">
        <v>6936</v>
      </c>
    </row>
    <row r="2249">
      <c r="A2249" s="32">
        <v>2618.0</v>
      </c>
      <c r="B2249" s="33">
        <v>46175.4161462037</v>
      </c>
      <c r="C2249" s="34" t="s">
        <v>15</v>
      </c>
      <c r="D2249" s="35" t="s">
        <v>4719</v>
      </c>
      <c r="E2249" s="35" t="s">
        <v>171</v>
      </c>
      <c r="F2249" s="34" t="s">
        <v>4720</v>
      </c>
      <c r="G2249" s="36" t="s">
        <v>181</v>
      </c>
      <c r="H2249" s="34" t="s">
        <v>5456</v>
      </c>
      <c r="I2249" s="34" t="s">
        <v>231</v>
      </c>
      <c r="J2249" s="37">
        <v>46133.0</v>
      </c>
      <c r="K2249" s="35" t="s">
        <v>962</v>
      </c>
      <c r="L2249" s="34">
        <v>4.0</v>
      </c>
      <c r="M2249" s="34" t="s">
        <v>33</v>
      </c>
      <c r="N2249" s="38" t="s">
        <v>6937</v>
      </c>
      <c r="O2249" s="39" t="s">
        <v>6938</v>
      </c>
    </row>
    <row r="2250">
      <c r="A2250" s="32">
        <v>2619.0</v>
      </c>
      <c r="B2250" s="33">
        <v>46175.41765274305</v>
      </c>
      <c r="C2250" s="34" t="s">
        <v>15</v>
      </c>
      <c r="D2250" s="35" t="s">
        <v>4719</v>
      </c>
      <c r="E2250" s="35" t="s">
        <v>171</v>
      </c>
      <c r="F2250" s="34" t="s">
        <v>4720</v>
      </c>
      <c r="G2250" s="36" t="s">
        <v>181</v>
      </c>
      <c r="H2250" s="34" t="s">
        <v>5456</v>
      </c>
      <c r="I2250" s="34" t="s">
        <v>231</v>
      </c>
      <c r="J2250" s="37">
        <v>46134.0</v>
      </c>
      <c r="K2250" s="35" t="s">
        <v>962</v>
      </c>
      <c r="L2250" s="34">
        <v>4.0</v>
      </c>
      <c r="M2250" s="34" t="s">
        <v>33</v>
      </c>
      <c r="N2250" s="38" t="s">
        <v>6939</v>
      </c>
      <c r="O2250" s="39" t="s">
        <v>6940</v>
      </c>
    </row>
    <row r="2251">
      <c r="A2251" s="32">
        <v>2620.0</v>
      </c>
      <c r="B2251" s="33">
        <v>46175.41857850694</v>
      </c>
      <c r="C2251" s="34" t="s">
        <v>15</v>
      </c>
      <c r="D2251" s="35" t="s">
        <v>4719</v>
      </c>
      <c r="E2251" s="35" t="s">
        <v>171</v>
      </c>
      <c r="F2251" s="34" t="s">
        <v>4720</v>
      </c>
      <c r="G2251" s="36" t="s">
        <v>181</v>
      </c>
      <c r="H2251" s="34" t="s">
        <v>5456</v>
      </c>
      <c r="I2251" s="34" t="s">
        <v>231</v>
      </c>
      <c r="J2251" s="37">
        <v>46135.0</v>
      </c>
      <c r="K2251" s="35" t="s">
        <v>962</v>
      </c>
      <c r="L2251" s="34">
        <v>4.0</v>
      </c>
      <c r="M2251" s="34" t="s">
        <v>33</v>
      </c>
      <c r="N2251" s="38" t="s">
        <v>6941</v>
      </c>
      <c r="O2251" s="39" t="s">
        <v>6942</v>
      </c>
    </row>
    <row r="2252">
      <c r="A2252" s="32">
        <v>2621.0</v>
      </c>
      <c r="B2252" s="33">
        <v>46175.41994</v>
      </c>
      <c r="C2252" s="34" t="s">
        <v>15</v>
      </c>
      <c r="D2252" s="35" t="s">
        <v>4719</v>
      </c>
      <c r="E2252" s="35" t="s">
        <v>171</v>
      </c>
      <c r="F2252" s="34" t="s">
        <v>4720</v>
      </c>
      <c r="G2252" s="36" t="s">
        <v>181</v>
      </c>
      <c r="H2252" s="34" t="s">
        <v>5456</v>
      </c>
      <c r="I2252" s="34" t="s">
        <v>231</v>
      </c>
      <c r="J2252" s="37">
        <v>46138.0</v>
      </c>
      <c r="K2252" s="35" t="s">
        <v>3192</v>
      </c>
      <c r="L2252" s="34">
        <v>6.0</v>
      </c>
      <c r="M2252" s="34" t="s">
        <v>33</v>
      </c>
      <c r="N2252" s="38" t="s">
        <v>6943</v>
      </c>
      <c r="O2252" s="39" t="s">
        <v>6944</v>
      </c>
    </row>
    <row r="2253">
      <c r="A2253" s="32">
        <v>2622.0</v>
      </c>
      <c r="B2253" s="33">
        <v>46175.42158577546</v>
      </c>
      <c r="C2253" s="34" t="s">
        <v>15</v>
      </c>
      <c r="D2253" s="35" t="s">
        <v>4719</v>
      </c>
      <c r="E2253" s="35" t="s">
        <v>171</v>
      </c>
      <c r="F2253" s="34" t="s">
        <v>4720</v>
      </c>
      <c r="G2253" s="36" t="s">
        <v>181</v>
      </c>
      <c r="H2253" s="34" t="s">
        <v>5456</v>
      </c>
      <c r="I2253" s="34" t="s">
        <v>5437</v>
      </c>
      <c r="J2253" s="37">
        <v>46139.0</v>
      </c>
      <c r="K2253" s="35" t="s">
        <v>962</v>
      </c>
      <c r="L2253" s="34">
        <v>4.0</v>
      </c>
      <c r="M2253" s="34" t="s">
        <v>33</v>
      </c>
      <c r="N2253" s="38" t="s">
        <v>6945</v>
      </c>
      <c r="O2253" s="39" t="s">
        <v>6946</v>
      </c>
    </row>
    <row r="2254">
      <c r="A2254" s="32">
        <v>2623.0</v>
      </c>
      <c r="B2254" s="33">
        <v>46175.43046307871</v>
      </c>
      <c r="C2254" s="34" t="s">
        <v>15</v>
      </c>
      <c r="D2254" s="35" t="s">
        <v>4719</v>
      </c>
      <c r="E2254" s="35" t="s">
        <v>171</v>
      </c>
      <c r="F2254" s="34" t="s">
        <v>4720</v>
      </c>
      <c r="G2254" s="36" t="s">
        <v>181</v>
      </c>
      <c r="H2254" s="34" t="s">
        <v>6947</v>
      </c>
      <c r="I2254" s="34" t="s">
        <v>231</v>
      </c>
      <c r="J2254" s="37">
        <v>46147.0</v>
      </c>
      <c r="K2254" s="35" t="s">
        <v>49</v>
      </c>
      <c r="L2254" s="34">
        <v>8.0</v>
      </c>
      <c r="M2254" s="34" t="s">
        <v>6948</v>
      </c>
      <c r="N2254" s="38" t="s">
        <v>6949</v>
      </c>
      <c r="O2254" s="39" t="s">
        <v>6950</v>
      </c>
    </row>
    <row r="2255">
      <c r="A2255" s="32">
        <v>2624.0</v>
      </c>
      <c r="B2255" s="33">
        <v>46175.43606854166</v>
      </c>
      <c r="C2255" s="34" t="s">
        <v>15</v>
      </c>
      <c r="D2255" s="35" t="s">
        <v>62</v>
      </c>
      <c r="E2255" s="35" t="s">
        <v>63</v>
      </c>
      <c r="F2255" s="34" t="s">
        <v>64</v>
      </c>
      <c r="G2255" s="36" t="s">
        <v>19</v>
      </c>
      <c r="H2255" s="34" t="s">
        <v>3493</v>
      </c>
      <c r="I2255" s="34" t="s">
        <v>3398</v>
      </c>
      <c r="J2255" s="37">
        <v>46064.0</v>
      </c>
      <c r="K2255" s="35" t="s">
        <v>5351</v>
      </c>
      <c r="L2255" s="34">
        <v>2.0</v>
      </c>
      <c r="M2255" s="34" t="s">
        <v>6951</v>
      </c>
      <c r="N2255" s="38" t="s">
        <v>6952</v>
      </c>
      <c r="O2255" s="39" t="s">
        <v>6953</v>
      </c>
    </row>
    <row r="2256">
      <c r="A2256" s="32">
        <v>2625.0</v>
      </c>
      <c r="B2256" s="33">
        <v>46175.43714039352</v>
      </c>
      <c r="C2256" s="34" t="s">
        <v>15</v>
      </c>
      <c r="D2256" s="35" t="s">
        <v>62</v>
      </c>
      <c r="E2256" s="35" t="s">
        <v>63</v>
      </c>
      <c r="F2256" s="34" t="s">
        <v>64</v>
      </c>
      <c r="G2256" s="36" t="s">
        <v>19</v>
      </c>
      <c r="H2256" s="34" t="s">
        <v>3493</v>
      </c>
      <c r="I2256" s="34" t="s">
        <v>3398</v>
      </c>
      <c r="J2256" s="37">
        <v>46065.0</v>
      </c>
      <c r="K2256" s="35" t="s">
        <v>5351</v>
      </c>
      <c r="L2256" s="34">
        <v>2.0</v>
      </c>
      <c r="M2256" s="34" t="s">
        <v>6951</v>
      </c>
      <c r="N2256" s="38" t="s">
        <v>6954</v>
      </c>
      <c r="O2256" s="39" t="s">
        <v>6955</v>
      </c>
    </row>
    <row r="2257">
      <c r="A2257" s="32">
        <v>2626.0</v>
      </c>
      <c r="B2257" s="33">
        <v>46175.438198090276</v>
      </c>
      <c r="C2257" s="34" t="s">
        <v>15</v>
      </c>
      <c r="D2257" s="35" t="s">
        <v>62</v>
      </c>
      <c r="E2257" s="35" t="s">
        <v>63</v>
      </c>
      <c r="F2257" s="34" t="s">
        <v>64</v>
      </c>
      <c r="G2257" s="36" t="s">
        <v>19</v>
      </c>
      <c r="H2257" s="34" t="s">
        <v>3493</v>
      </c>
      <c r="I2257" s="34" t="s">
        <v>3398</v>
      </c>
      <c r="J2257" s="37">
        <v>46066.0</v>
      </c>
      <c r="K2257" s="35" t="s">
        <v>689</v>
      </c>
      <c r="L2257" s="34">
        <v>4.0</v>
      </c>
      <c r="M2257" s="34" t="s">
        <v>6951</v>
      </c>
      <c r="N2257" s="38" t="s">
        <v>6956</v>
      </c>
      <c r="O2257" s="39" t="s">
        <v>6957</v>
      </c>
    </row>
    <row r="2258">
      <c r="A2258" s="32">
        <v>2627.0</v>
      </c>
      <c r="B2258" s="33">
        <v>46175.445688078704</v>
      </c>
      <c r="C2258" s="34" t="s">
        <v>26</v>
      </c>
      <c r="D2258" s="35" t="s">
        <v>3023</v>
      </c>
      <c r="E2258" s="35" t="s">
        <v>2061</v>
      </c>
      <c r="F2258" s="34" t="s">
        <v>3025</v>
      </c>
      <c r="G2258" s="36" t="s">
        <v>19</v>
      </c>
      <c r="H2258" s="34" t="s">
        <v>5653</v>
      </c>
      <c r="I2258" s="34" t="s">
        <v>2029</v>
      </c>
      <c r="J2258" s="37">
        <v>46078.0</v>
      </c>
      <c r="K2258" s="35" t="s">
        <v>510</v>
      </c>
      <c r="L2258" s="34">
        <v>8.0</v>
      </c>
      <c r="M2258" s="34" t="s">
        <v>5550</v>
      </c>
      <c r="N2258" s="38" t="s">
        <v>6958</v>
      </c>
      <c r="O2258" s="39" t="s">
        <v>6959</v>
      </c>
    </row>
    <row r="2259">
      <c r="A2259" s="32">
        <v>2628.0</v>
      </c>
      <c r="B2259" s="33">
        <v>46175.51191261574</v>
      </c>
      <c r="C2259" s="34" t="s">
        <v>26</v>
      </c>
      <c r="D2259" s="35" t="s">
        <v>1724</v>
      </c>
      <c r="E2259" s="35" t="s">
        <v>1725</v>
      </c>
      <c r="F2259" s="34" t="s">
        <v>1726</v>
      </c>
      <c r="G2259" s="36" t="s">
        <v>19</v>
      </c>
      <c r="H2259" s="34" t="s">
        <v>5653</v>
      </c>
      <c r="I2259" s="34" t="s">
        <v>5862</v>
      </c>
      <c r="J2259" s="37">
        <v>46078.0</v>
      </c>
      <c r="K2259" s="35" t="s">
        <v>2179</v>
      </c>
      <c r="L2259" s="34">
        <v>8.0</v>
      </c>
      <c r="M2259" s="34" t="s">
        <v>87</v>
      </c>
      <c r="N2259" s="38" t="s">
        <v>6960</v>
      </c>
      <c r="O2259" s="39" t="s">
        <v>6961</v>
      </c>
    </row>
    <row r="2260">
      <c r="A2260" s="32">
        <v>2629.0</v>
      </c>
      <c r="B2260" s="33">
        <v>46175.51819722222</v>
      </c>
      <c r="C2260" s="34" t="s">
        <v>26</v>
      </c>
      <c r="D2260" s="35" t="s">
        <v>1724</v>
      </c>
      <c r="E2260" s="35" t="s">
        <v>1725</v>
      </c>
      <c r="F2260" s="34" t="s">
        <v>1726</v>
      </c>
      <c r="G2260" s="36" t="s">
        <v>181</v>
      </c>
      <c r="H2260" s="34" t="s">
        <v>6010</v>
      </c>
      <c r="I2260" s="34" t="s">
        <v>6018</v>
      </c>
      <c r="J2260" s="37">
        <v>46147.0</v>
      </c>
      <c r="K2260" s="35" t="s">
        <v>6012</v>
      </c>
      <c r="L2260" s="34">
        <v>3.0</v>
      </c>
      <c r="M2260" s="34" t="s">
        <v>1325</v>
      </c>
      <c r="N2260" s="38" t="s">
        <v>6962</v>
      </c>
      <c r="O2260" s="39" t="s">
        <v>6963</v>
      </c>
    </row>
    <row r="2261">
      <c r="A2261" s="32">
        <v>2630.0</v>
      </c>
      <c r="B2261" s="33">
        <v>46175.51983016204</v>
      </c>
      <c r="C2261" s="34" t="s">
        <v>26</v>
      </c>
      <c r="D2261" s="35" t="s">
        <v>1543</v>
      </c>
      <c r="E2261" s="35" t="s">
        <v>737</v>
      </c>
      <c r="F2261" s="34" t="s">
        <v>1543</v>
      </c>
      <c r="G2261" s="36" t="s">
        <v>181</v>
      </c>
      <c r="H2261" s="34" t="s">
        <v>6022</v>
      </c>
      <c r="I2261" s="34" t="s">
        <v>6026</v>
      </c>
      <c r="J2261" s="37">
        <v>46147.0</v>
      </c>
      <c r="K2261" s="35" t="s">
        <v>3287</v>
      </c>
      <c r="L2261" s="34">
        <v>3.0</v>
      </c>
      <c r="M2261" s="34" t="s">
        <v>1325</v>
      </c>
      <c r="N2261" s="38" t="s">
        <v>6964</v>
      </c>
      <c r="O2261" s="39" t="s">
        <v>6965</v>
      </c>
    </row>
    <row r="2262">
      <c r="A2262" s="32">
        <v>2631.0</v>
      </c>
      <c r="B2262" s="33">
        <v>46175.52221858797</v>
      </c>
      <c r="C2262" s="34" t="s">
        <v>26</v>
      </c>
      <c r="D2262" s="35" t="s">
        <v>1595</v>
      </c>
      <c r="E2262" s="35" t="s">
        <v>1385</v>
      </c>
      <c r="F2262" s="34" t="s">
        <v>1597</v>
      </c>
      <c r="G2262" s="36" t="s">
        <v>19</v>
      </c>
      <c r="H2262" s="34" t="s">
        <v>5422</v>
      </c>
      <c r="I2262" s="34" t="s">
        <v>1337</v>
      </c>
      <c r="J2262" s="37">
        <v>46032.0</v>
      </c>
      <c r="K2262" s="35" t="s">
        <v>2328</v>
      </c>
      <c r="L2262" s="34">
        <v>8.0</v>
      </c>
      <c r="M2262" s="34" t="s">
        <v>5975</v>
      </c>
      <c r="N2262" s="38" t="s">
        <v>6966</v>
      </c>
      <c r="O2262" s="39" t="s">
        <v>6967</v>
      </c>
    </row>
    <row r="2263">
      <c r="A2263" s="32">
        <v>2632.0</v>
      </c>
      <c r="B2263" s="33">
        <v>46175.522310381944</v>
      </c>
      <c r="C2263" s="34" t="s">
        <v>26</v>
      </c>
      <c r="D2263" s="35" t="s">
        <v>965</v>
      </c>
      <c r="E2263" s="35" t="s">
        <v>6968</v>
      </c>
      <c r="F2263" s="34" t="s">
        <v>966</v>
      </c>
      <c r="G2263" s="36" t="s">
        <v>19</v>
      </c>
      <c r="H2263" s="34" t="s">
        <v>5653</v>
      </c>
      <c r="I2263" s="34" t="s">
        <v>5834</v>
      </c>
      <c r="J2263" s="37">
        <v>46078.0</v>
      </c>
      <c r="K2263" s="35" t="s">
        <v>2179</v>
      </c>
      <c r="L2263" s="34">
        <v>8.0</v>
      </c>
      <c r="M2263" s="34" t="s">
        <v>5550</v>
      </c>
      <c r="N2263" s="38" t="s">
        <v>6969</v>
      </c>
      <c r="O2263" s="39" t="s">
        <v>6970</v>
      </c>
    </row>
    <row r="2264">
      <c r="A2264" s="32">
        <v>2633.0</v>
      </c>
      <c r="B2264" s="33">
        <v>46175.52343515046</v>
      </c>
      <c r="C2264" s="34" t="s">
        <v>26</v>
      </c>
      <c r="D2264" s="35" t="s">
        <v>1724</v>
      </c>
      <c r="E2264" s="35" t="s">
        <v>1725</v>
      </c>
      <c r="F2264" s="34" t="s">
        <v>1726</v>
      </c>
      <c r="G2264" s="36" t="s">
        <v>19</v>
      </c>
      <c r="H2264" s="34" t="s">
        <v>5906</v>
      </c>
      <c r="I2264" s="34" t="s">
        <v>5978</v>
      </c>
      <c r="J2264" s="37">
        <v>46032.0</v>
      </c>
      <c r="K2264" s="35" t="s">
        <v>2328</v>
      </c>
      <c r="L2264" s="34">
        <v>8.0</v>
      </c>
      <c r="M2264" s="34" t="s">
        <v>87</v>
      </c>
      <c r="N2264" s="38" t="s">
        <v>6971</v>
      </c>
      <c r="O2264" s="39" t="s">
        <v>6972</v>
      </c>
    </row>
    <row r="2265">
      <c r="A2265" s="32">
        <v>2634.0</v>
      </c>
      <c r="B2265" s="33">
        <v>46175.52431893519</v>
      </c>
      <c r="C2265" s="34" t="s">
        <v>26</v>
      </c>
      <c r="D2265" s="35" t="s">
        <v>1595</v>
      </c>
      <c r="E2265" s="35" t="s">
        <v>1385</v>
      </c>
      <c r="F2265" s="34" t="s">
        <v>1597</v>
      </c>
      <c r="G2265" s="36" t="s">
        <v>181</v>
      </c>
      <c r="H2265" s="34" t="s">
        <v>6017</v>
      </c>
      <c r="I2265" s="34" t="s">
        <v>6018</v>
      </c>
      <c r="J2265" s="37">
        <v>46147.0</v>
      </c>
      <c r="K2265" s="35" t="s">
        <v>6012</v>
      </c>
      <c r="L2265" s="34">
        <v>3.0</v>
      </c>
      <c r="M2265" s="34" t="s">
        <v>1325</v>
      </c>
      <c r="N2265" s="38" t="s">
        <v>6973</v>
      </c>
      <c r="O2265" s="39" t="s">
        <v>6974</v>
      </c>
    </row>
    <row r="2266">
      <c r="A2266" s="32">
        <v>2635.0</v>
      </c>
      <c r="B2266" s="33">
        <v>46175.52484703704</v>
      </c>
      <c r="C2266" s="34" t="s">
        <v>26</v>
      </c>
      <c r="D2266" s="35" t="s">
        <v>1542</v>
      </c>
      <c r="E2266" s="35" t="s">
        <v>737</v>
      </c>
      <c r="F2266" s="34" t="s">
        <v>1543</v>
      </c>
      <c r="G2266" s="36" t="s">
        <v>19</v>
      </c>
      <c r="H2266" s="34" t="s">
        <v>6975</v>
      </c>
      <c r="I2266" s="34" t="s">
        <v>6976</v>
      </c>
      <c r="J2266" s="37">
        <v>46168.0</v>
      </c>
      <c r="K2266" s="35" t="s">
        <v>6977</v>
      </c>
      <c r="L2266" s="34">
        <v>5.0</v>
      </c>
      <c r="M2266" s="34" t="s">
        <v>6978</v>
      </c>
      <c r="N2266" s="38" t="s">
        <v>6979</v>
      </c>
      <c r="O2266" s="39" t="s">
        <v>6980</v>
      </c>
    </row>
    <row r="2267">
      <c r="A2267" s="32">
        <v>2637.0</v>
      </c>
      <c r="B2267" s="33">
        <v>46175.525198310184</v>
      </c>
      <c r="C2267" s="34" t="s">
        <v>26</v>
      </c>
      <c r="D2267" s="35" t="s">
        <v>965</v>
      </c>
      <c r="E2267" s="35" t="s">
        <v>6968</v>
      </c>
      <c r="F2267" s="34" t="s">
        <v>966</v>
      </c>
      <c r="G2267" s="36" t="s">
        <v>181</v>
      </c>
      <c r="H2267" s="34" t="s">
        <v>5456</v>
      </c>
      <c r="I2267" s="34" t="s">
        <v>231</v>
      </c>
      <c r="J2267" s="37">
        <v>46133.0</v>
      </c>
      <c r="K2267" s="35" t="s">
        <v>962</v>
      </c>
      <c r="L2267" s="34">
        <v>4.0</v>
      </c>
      <c r="M2267" s="34" t="s">
        <v>33</v>
      </c>
      <c r="N2267" s="38" t="s">
        <v>6981</v>
      </c>
      <c r="O2267" s="39" t="s">
        <v>6982</v>
      </c>
    </row>
    <row r="2268">
      <c r="A2268" s="32">
        <v>2638.0</v>
      </c>
      <c r="B2268" s="33">
        <v>46175.5265091551</v>
      </c>
      <c r="C2268" s="34" t="s">
        <v>26</v>
      </c>
      <c r="D2268" s="35" t="s">
        <v>965</v>
      </c>
      <c r="E2268" s="35" t="s">
        <v>569</v>
      </c>
      <c r="F2268" s="34" t="s">
        <v>966</v>
      </c>
      <c r="G2268" s="36" t="s">
        <v>181</v>
      </c>
      <c r="H2268" s="34" t="s">
        <v>5432</v>
      </c>
      <c r="I2268" s="34" t="s">
        <v>1211</v>
      </c>
      <c r="J2268" s="37">
        <v>46134.0</v>
      </c>
      <c r="K2268" s="35" t="s">
        <v>962</v>
      </c>
      <c r="L2268" s="34">
        <v>4.0</v>
      </c>
      <c r="M2268" s="34" t="s">
        <v>33</v>
      </c>
      <c r="N2268" s="38" t="s">
        <v>6983</v>
      </c>
      <c r="O2268" s="39" t="s">
        <v>6984</v>
      </c>
    </row>
    <row r="2269">
      <c r="A2269" s="32">
        <v>2639.0</v>
      </c>
      <c r="B2269" s="33">
        <v>46175.52750655093</v>
      </c>
      <c r="C2269" s="34" t="s">
        <v>26</v>
      </c>
      <c r="D2269" s="35" t="s">
        <v>1595</v>
      </c>
      <c r="E2269" s="35" t="s">
        <v>1385</v>
      </c>
      <c r="F2269" s="34" t="s">
        <v>1597</v>
      </c>
      <c r="G2269" s="36" t="s">
        <v>19</v>
      </c>
      <c r="H2269" s="34" t="s">
        <v>5653</v>
      </c>
      <c r="I2269" s="34" t="s">
        <v>5862</v>
      </c>
      <c r="J2269" s="37">
        <v>46078.0</v>
      </c>
      <c r="K2269" s="35" t="s">
        <v>2179</v>
      </c>
      <c r="L2269" s="34">
        <v>8.0</v>
      </c>
      <c r="M2269" s="34" t="s">
        <v>5975</v>
      </c>
      <c r="N2269" s="38" t="s">
        <v>6985</v>
      </c>
      <c r="O2269" s="39" t="s">
        <v>6986</v>
      </c>
    </row>
    <row r="2270">
      <c r="A2270" s="32">
        <v>2640.0</v>
      </c>
      <c r="B2270" s="33">
        <v>46175.52784578704</v>
      </c>
      <c r="C2270" s="34" t="s">
        <v>26</v>
      </c>
      <c r="D2270" s="35" t="s">
        <v>965</v>
      </c>
      <c r="E2270" s="35" t="s">
        <v>569</v>
      </c>
      <c r="F2270" s="34" t="s">
        <v>966</v>
      </c>
      <c r="G2270" s="36" t="s">
        <v>181</v>
      </c>
      <c r="H2270" s="34" t="s">
        <v>5432</v>
      </c>
      <c r="I2270" s="34" t="s">
        <v>1211</v>
      </c>
      <c r="J2270" s="37">
        <v>46135.0</v>
      </c>
      <c r="K2270" s="35" t="s">
        <v>962</v>
      </c>
      <c r="L2270" s="34">
        <v>4.0</v>
      </c>
      <c r="M2270" s="34" t="s">
        <v>33</v>
      </c>
      <c r="N2270" s="38" t="s">
        <v>6987</v>
      </c>
      <c r="O2270" s="39" t="s">
        <v>6988</v>
      </c>
    </row>
    <row r="2271">
      <c r="A2271" s="32">
        <v>2641.0</v>
      </c>
      <c r="B2271" s="33">
        <v>46175.52803291667</v>
      </c>
      <c r="C2271" s="34" t="s">
        <v>26</v>
      </c>
      <c r="D2271" s="35" t="s">
        <v>1010</v>
      </c>
      <c r="E2271" s="35" t="s">
        <v>3024</v>
      </c>
      <c r="F2271" s="34" t="s">
        <v>1011</v>
      </c>
      <c r="G2271" s="36" t="s">
        <v>19</v>
      </c>
      <c r="H2271" s="34" t="s">
        <v>5422</v>
      </c>
      <c r="I2271" s="34" t="s">
        <v>5567</v>
      </c>
      <c r="J2271" s="37">
        <v>46032.0</v>
      </c>
      <c r="K2271" s="35" t="s">
        <v>2328</v>
      </c>
      <c r="L2271" s="34">
        <v>8.0</v>
      </c>
      <c r="M2271" s="34" t="s">
        <v>5550</v>
      </c>
      <c r="N2271" s="38" t="s">
        <v>6989</v>
      </c>
      <c r="O2271" s="39" t="s">
        <v>6990</v>
      </c>
    </row>
    <row r="2272">
      <c r="A2272" s="32">
        <v>2642.0</v>
      </c>
      <c r="B2272" s="33">
        <v>46175.52976239583</v>
      </c>
      <c r="C2272" s="34" t="s">
        <v>26</v>
      </c>
      <c r="D2272" s="35" t="s">
        <v>1724</v>
      </c>
      <c r="E2272" s="35" t="s">
        <v>1725</v>
      </c>
      <c r="F2272" s="34" t="s">
        <v>1726</v>
      </c>
      <c r="G2272" s="36" t="s">
        <v>181</v>
      </c>
      <c r="H2272" s="34" t="s">
        <v>5432</v>
      </c>
      <c r="I2272" s="34" t="s">
        <v>6991</v>
      </c>
      <c r="J2272" s="37">
        <v>46139.0</v>
      </c>
      <c r="K2272" s="35" t="s">
        <v>962</v>
      </c>
      <c r="L2272" s="34">
        <v>4.0</v>
      </c>
      <c r="M2272" s="34" t="s">
        <v>33</v>
      </c>
      <c r="N2272" s="38" t="s">
        <v>6992</v>
      </c>
      <c r="O2272" s="39" t="s">
        <v>6993</v>
      </c>
    </row>
    <row r="2273">
      <c r="A2273" s="32">
        <v>2643.0</v>
      </c>
      <c r="B2273" s="33">
        <v>46175.53015233796</v>
      </c>
      <c r="C2273" s="34" t="s">
        <v>26</v>
      </c>
      <c r="D2273" s="35" t="s">
        <v>934</v>
      </c>
      <c r="E2273" s="35" t="s">
        <v>674</v>
      </c>
      <c r="F2273" s="34" t="s">
        <v>935</v>
      </c>
      <c r="G2273" s="36" t="s">
        <v>19</v>
      </c>
      <c r="H2273" s="34" t="s">
        <v>5653</v>
      </c>
      <c r="I2273" s="34" t="s">
        <v>6994</v>
      </c>
      <c r="J2273" s="37">
        <v>46078.0</v>
      </c>
      <c r="K2273" s="35" t="s">
        <v>2179</v>
      </c>
      <c r="L2273" s="34">
        <v>8.0</v>
      </c>
      <c r="M2273" s="34" t="s">
        <v>87</v>
      </c>
      <c r="N2273" s="38" t="s">
        <v>6995</v>
      </c>
      <c r="O2273" s="39" t="s">
        <v>6996</v>
      </c>
    </row>
    <row r="2274">
      <c r="A2274" s="32">
        <v>2644.0</v>
      </c>
      <c r="B2274" s="33">
        <v>46175.53265458334</v>
      </c>
      <c r="C2274" s="34" t="s">
        <v>26</v>
      </c>
      <c r="D2274" s="35" t="s">
        <v>965</v>
      </c>
      <c r="E2274" s="35" t="s">
        <v>569</v>
      </c>
      <c r="F2274" s="34" t="s">
        <v>966</v>
      </c>
      <c r="G2274" s="36" t="s">
        <v>181</v>
      </c>
      <c r="H2274" s="34" t="s">
        <v>5432</v>
      </c>
      <c r="I2274" s="34" t="s">
        <v>5437</v>
      </c>
      <c r="J2274" s="37">
        <v>46139.0</v>
      </c>
      <c r="K2274" s="35" t="s">
        <v>962</v>
      </c>
      <c r="L2274" s="34">
        <v>4.0</v>
      </c>
      <c r="M2274" s="34" t="s">
        <v>33</v>
      </c>
      <c r="N2274" s="38" t="s">
        <v>6997</v>
      </c>
      <c r="O2274" s="39" t="s">
        <v>6998</v>
      </c>
    </row>
    <row r="2275">
      <c r="A2275" s="32">
        <v>2645.0</v>
      </c>
      <c r="B2275" s="33">
        <v>46175.53273626158</v>
      </c>
      <c r="C2275" s="34" t="s">
        <v>26</v>
      </c>
      <c r="D2275" s="35" t="s">
        <v>1010</v>
      </c>
      <c r="E2275" s="35" t="s">
        <v>3024</v>
      </c>
      <c r="F2275" s="34" t="s">
        <v>1011</v>
      </c>
      <c r="G2275" s="36" t="s">
        <v>19</v>
      </c>
      <c r="H2275" s="34" t="s">
        <v>5653</v>
      </c>
      <c r="I2275" s="34" t="s">
        <v>2029</v>
      </c>
      <c r="J2275" s="37">
        <v>46078.0</v>
      </c>
      <c r="K2275" s="35" t="s">
        <v>2179</v>
      </c>
      <c r="L2275" s="34">
        <v>8.0</v>
      </c>
      <c r="M2275" s="34" t="s">
        <v>5550</v>
      </c>
      <c r="N2275" s="38" t="s">
        <v>6999</v>
      </c>
      <c r="O2275" s="39" t="s">
        <v>7000</v>
      </c>
    </row>
    <row r="2276">
      <c r="A2276" s="32">
        <v>2646.0</v>
      </c>
      <c r="B2276" s="33">
        <v>46175.533644062496</v>
      </c>
      <c r="C2276" s="34" t="s">
        <v>26</v>
      </c>
      <c r="D2276" s="35" t="s">
        <v>1780</v>
      </c>
      <c r="E2276" s="35" t="s">
        <v>817</v>
      </c>
      <c r="F2276" s="34" t="s">
        <v>1781</v>
      </c>
      <c r="G2276" s="36" t="s">
        <v>19</v>
      </c>
      <c r="H2276" s="34" t="s">
        <v>5410</v>
      </c>
      <c r="I2276" s="34" t="s">
        <v>5411</v>
      </c>
      <c r="J2276" s="37">
        <v>46136.0</v>
      </c>
      <c r="K2276" s="35" t="s">
        <v>5412</v>
      </c>
      <c r="L2276" s="34">
        <v>8.0</v>
      </c>
      <c r="M2276" s="34" t="s">
        <v>87</v>
      </c>
      <c r="N2276" s="38" t="s">
        <v>7001</v>
      </c>
      <c r="O2276" s="39" t="s">
        <v>7002</v>
      </c>
    </row>
    <row r="2277">
      <c r="A2277" s="32">
        <v>2647.0</v>
      </c>
      <c r="B2277" s="33">
        <v>46175.53425474537</v>
      </c>
      <c r="C2277" s="34" t="s">
        <v>26</v>
      </c>
      <c r="D2277" s="35" t="s">
        <v>3030</v>
      </c>
      <c r="E2277" s="35" t="s">
        <v>664</v>
      </c>
      <c r="F2277" s="34" t="s">
        <v>3031</v>
      </c>
      <c r="G2277" s="36" t="s">
        <v>181</v>
      </c>
      <c r="H2277" s="34" t="s">
        <v>6010</v>
      </c>
      <c r="I2277" s="34" t="s">
        <v>6011</v>
      </c>
      <c r="J2277" s="37">
        <v>46147.0</v>
      </c>
      <c r="K2277" s="35" t="s">
        <v>6012</v>
      </c>
      <c r="L2277" s="34">
        <v>3.0</v>
      </c>
      <c r="M2277" s="34" t="s">
        <v>3841</v>
      </c>
      <c r="N2277" s="38" t="s">
        <v>7003</v>
      </c>
      <c r="O2277" s="39" t="s">
        <v>7004</v>
      </c>
    </row>
    <row r="2278">
      <c r="A2278" s="32">
        <v>2648.0</v>
      </c>
      <c r="B2278" s="33">
        <v>46175.53470596064</v>
      </c>
      <c r="C2278" s="34" t="s">
        <v>15</v>
      </c>
      <c r="D2278" s="35" t="s">
        <v>2264</v>
      </c>
      <c r="E2278" s="35" t="s">
        <v>380</v>
      </c>
      <c r="F2278" s="34" t="s">
        <v>2265</v>
      </c>
      <c r="G2278" s="36" t="s">
        <v>181</v>
      </c>
      <c r="H2278" s="34" t="s">
        <v>7005</v>
      </c>
      <c r="I2278" s="34" t="s">
        <v>231</v>
      </c>
      <c r="J2278" s="37">
        <v>46133.0</v>
      </c>
      <c r="K2278" s="35" t="s">
        <v>6264</v>
      </c>
      <c r="L2278" s="34">
        <v>4.0</v>
      </c>
      <c r="M2278" s="34" t="s">
        <v>7006</v>
      </c>
      <c r="N2278" s="38" t="s">
        <v>7007</v>
      </c>
      <c r="O2278" s="39" t="s">
        <v>7008</v>
      </c>
    </row>
    <row r="2279">
      <c r="A2279" s="32">
        <v>2649.0</v>
      </c>
      <c r="B2279" s="33">
        <v>46175.53496508102</v>
      </c>
      <c r="C2279" s="34" t="s">
        <v>26</v>
      </c>
      <c r="D2279" s="35" t="s">
        <v>1010</v>
      </c>
      <c r="E2279" s="35" t="s">
        <v>3024</v>
      </c>
      <c r="F2279" s="34" t="s">
        <v>1011</v>
      </c>
      <c r="G2279" s="36" t="s">
        <v>181</v>
      </c>
      <c r="H2279" s="34" t="s">
        <v>6010</v>
      </c>
      <c r="I2279" s="34" t="s">
        <v>6018</v>
      </c>
      <c r="J2279" s="37">
        <v>46147.0</v>
      </c>
      <c r="K2279" s="35" t="s">
        <v>6012</v>
      </c>
      <c r="L2279" s="34">
        <v>3.0</v>
      </c>
      <c r="M2279" s="34" t="s">
        <v>6080</v>
      </c>
      <c r="N2279" s="38" t="s">
        <v>7009</v>
      </c>
      <c r="O2279" s="39" t="s">
        <v>7010</v>
      </c>
    </row>
    <row r="2280">
      <c r="A2280" s="32">
        <v>2650.0</v>
      </c>
      <c r="B2280" s="33">
        <v>46175.53574724537</v>
      </c>
      <c r="C2280" s="34" t="s">
        <v>26</v>
      </c>
      <c r="D2280" s="35" t="s">
        <v>965</v>
      </c>
      <c r="E2280" s="35" t="s">
        <v>569</v>
      </c>
      <c r="F2280" s="34" t="s">
        <v>966</v>
      </c>
      <c r="G2280" s="36" t="s">
        <v>181</v>
      </c>
      <c r="H2280" s="34" t="s">
        <v>5432</v>
      </c>
      <c r="I2280" s="34" t="s">
        <v>231</v>
      </c>
      <c r="J2280" s="37">
        <v>46138.0</v>
      </c>
      <c r="K2280" s="35" t="s">
        <v>3737</v>
      </c>
      <c r="L2280" s="34">
        <v>8.0</v>
      </c>
      <c r="M2280" s="34" t="s">
        <v>33</v>
      </c>
      <c r="N2280" s="38" t="s">
        <v>7011</v>
      </c>
      <c r="O2280" s="39" t="s">
        <v>7012</v>
      </c>
    </row>
    <row r="2281">
      <c r="A2281" s="32">
        <v>2651.0</v>
      </c>
      <c r="B2281" s="33">
        <v>46175.53654918981</v>
      </c>
      <c r="C2281" s="34" t="s">
        <v>15</v>
      </c>
      <c r="D2281" s="35" t="s">
        <v>2264</v>
      </c>
      <c r="E2281" s="35" t="s">
        <v>380</v>
      </c>
      <c r="F2281" s="34" t="s">
        <v>2265</v>
      </c>
      <c r="G2281" s="36" t="s">
        <v>181</v>
      </c>
      <c r="H2281" s="34" t="s">
        <v>7005</v>
      </c>
      <c r="I2281" s="34" t="s">
        <v>231</v>
      </c>
      <c r="J2281" s="37">
        <v>46134.0</v>
      </c>
      <c r="K2281" s="35" t="s">
        <v>6264</v>
      </c>
      <c r="L2281" s="34">
        <v>4.0</v>
      </c>
      <c r="M2281" s="34" t="s">
        <v>7006</v>
      </c>
      <c r="N2281" s="38" t="s">
        <v>7013</v>
      </c>
      <c r="O2281" s="39" t="s">
        <v>7014</v>
      </c>
    </row>
    <row r="2282">
      <c r="A2282" s="32">
        <v>2652.0</v>
      </c>
      <c r="B2282" s="33">
        <v>46175.53725675926</v>
      </c>
      <c r="C2282" s="34" t="s">
        <v>26</v>
      </c>
      <c r="D2282" s="35" t="s">
        <v>1780</v>
      </c>
      <c r="E2282" s="35" t="s">
        <v>817</v>
      </c>
      <c r="F2282" s="34" t="s">
        <v>1781</v>
      </c>
      <c r="G2282" s="36" t="s">
        <v>19</v>
      </c>
      <c r="H2282" s="34" t="s">
        <v>5410</v>
      </c>
      <c r="I2282" s="34" t="s">
        <v>5411</v>
      </c>
      <c r="J2282" s="37">
        <v>46137.0</v>
      </c>
      <c r="K2282" s="35" t="s">
        <v>49</v>
      </c>
      <c r="L2282" s="34">
        <v>8.0</v>
      </c>
      <c r="M2282" s="34" t="s">
        <v>87</v>
      </c>
      <c r="N2282" s="38" t="s">
        <v>7015</v>
      </c>
      <c r="O2282" s="39" t="s">
        <v>7016</v>
      </c>
    </row>
    <row r="2283">
      <c r="A2283" s="32">
        <v>2653.0</v>
      </c>
      <c r="B2283" s="33">
        <v>46175.53758599537</v>
      </c>
      <c r="C2283" s="34" t="s">
        <v>15</v>
      </c>
      <c r="D2283" s="35" t="s">
        <v>2264</v>
      </c>
      <c r="E2283" s="35" t="s">
        <v>380</v>
      </c>
      <c r="F2283" s="34" t="s">
        <v>2265</v>
      </c>
      <c r="G2283" s="36" t="s">
        <v>181</v>
      </c>
      <c r="H2283" s="34" t="s">
        <v>7005</v>
      </c>
      <c r="I2283" s="34" t="s">
        <v>231</v>
      </c>
      <c r="J2283" s="37">
        <v>46135.0</v>
      </c>
      <c r="K2283" s="35" t="s">
        <v>6264</v>
      </c>
      <c r="L2283" s="34">
        <v>4.0</v>
      </c>
      <c r="M2283" s="34" t="s">
        <v>7006</v>
      </c>
      <c r="N2283" s="38" t="s">
        <v>7017</v>
      </c>
      <c r="O2283" s="39" t="s">
        <v>7018</v>
      </c>
    </row>
    <row r="2284">
      <c r="A2284" s="32">
        <v>2654.0</v>
      </c>
      <c r="B2284" s="33">
        <v>46175.5381937037</v>
      </c>
      <c r="C2284" s="34" t="s">
        <v>26</v>
      </c>
      <c r="D2284" s="35" t="s">
        <v>1724</v>
      </c>
      <c r="E2284" s="35" t="s">
        <v>1725</v>
      </c>
      <c r="F2284" s="34" t="s">
        <v>1726</v>
      </c>
      <c r="G2284" s="36" t="s">
        <v>181</v>
      </c>
      <c r="H2284" s="34" t="s">
        <v>5432</v>
      </c>
      <c r="I2284" s="34" t="s">
        <v>231</v>
      </c>
      <c r="J2284" s="37">
        <v>46133.0</v>
      </c>
      <c r="K2284" s="35" t="s">
        <v>962</v>
      </c>
      <c r="L2284" s="34">
        <v>4.0</v>
      </c>
      <c r="M2284" s="34" t="s">
        <v>33</v>
      </c>
      <c r="N2284" s="38" t="s">
        <v>7019</v>
      </c>
      <c r="O2284" s="39" t="s">
        <v>7020</v>
      </c>
    </row>
    <row r="2285">
      <c r="A2285" s="32">
        <v>2655.0</v>
      </c>
      <c r="B2285" s="33">
        <v>46175.53822890046</v>
      </c>
      <c r="C2285" s="34" t="s">
        <v>26</v>
      </c>
      <c r="D2285" s="35" t="s">
        <v>1010</v>
      </c>
      <c r="E2285" s="35" t="s">
        <v>3024</v>
      </c>
      <c r="F2285" s="34" t="s">
        <v>1011</v>
      </c>
      <c r="G2285" s="36" t="s">
        <v>181</v>
      </c>
      <c r="H2285" s="34" t="s">
        <v>6038</v>
      </c>
      <c r="I2285" s="34" t="s">
        <v>231</v>
      </c>
      <c r="J2285" s="37">
        <v>46167.0</v>
      </c>
      <c r="K2285" s="35" t="s">
        <v>2731</v>
      </c>
      <c r="L2285" s="34">
        <v>4.0</v>
      </c>
      <c r="M2285" s="34" t="s">
        <v>33</v>
      </c>
      <c r="N2285" s="38" t="s">
        <v>7021</v>
      </c>
      <c r="O2285" s="39" t="s">
        <v>7022</v>
      </c>
    </row>
    <row r="2286">
      <c r="A2286" s="32">
        <v>2656.0</v>
      </c>
      <c r="B2286" s="33">
        <v>46175.53872859954</v>
      </c>
      <c r="C2286" s="34" t="s">
        <v>26</v>
      </c>
      <c r="D2286" s="35" t="s">
        <v>7023</v>
      </c>
      <c r="E2286" s="35" t="s">
        <v>762</v>
      </c>
      <c r="F2286" s="34" t="s">
        <v>1289</v>
      </c>
      <c r="G2286" s="36" t="s">
        <v>181</v>
      </c>
      <c r="H2286" s="34" t="s">
        <v>5432</v>
      </c>
      <c r="I2286" s="34" t="s">
        <v>231</v>
      </c>
      <c r="J2286" s="37">
        <v>46133.0</v>
      </c>
      <c r="K2286" s="35" t="s">
        <v>962</v>
      </c>
      <c r="L2286" s="34">
        <v>4.0</v>
      </c>
      <c r="M2286" s="34" t="s">
        <v>33</v>
      </c>
      <c r="N2286" s="38" t="s">
        <v>7024</v>
      </c>
      <c r="O2286" s="39" t="s">
        <v>7025</v>
      </c>
    </row>
    <row r="2287">
      <c r="A2287" s="32">
        <v>2658.0</v>
      </c>
      <c r="B2287" s="33">
        <v>46175.53931626157</v>
      </c>
      <c r="C2287" s="34" t="s">
        <v>15</v>
      </c>
      <c r="D2287" s="35" t="s">
        <v>2264</v>
      </c>
      <c r="E2287" s="35" t="s">
        <v>380</v>
      </c>
      <c r="F2287" s="34" t="s">
        <v>2265</v>
      </c>
      <c r="G2287" s="36" t="s">
        <v>181</v>
      </c>
      <c r="H2287" s="34" t="s">
        <v>7005</v>
      </c>
      <c r="I2287" s="34" t="s">
        <v>231</v>
      </c>
      <c r="J2287" s="37">
        <v>46138.0</v>
      </c>
      <c r="K2287" s="35" t="s">
        <v>7026</v>
      </c>
      <c r="L2287" s="34">
        <v>6.0</v>
      </c>
      <c r="M2287" s="34" t="s">
        <v>7006</v>
      </c>
      <c r="N2287" s="38" t="s">
        <v>7027</v>
      </c>
      <c r="O2287" s="39" t="s">
        <v>7028</v>
      </c>
    </row>
    <row r="2288">
      <c r="A2288" s="32">
        <v>2659.0</v>
      </c>
      <c r="B2288" s="33">
        <v>46175.539659016205</v>
      </c>
      <c r="C2288" s="34" t="s">
        <v>26</v>
      </c>
      <c r="D2288" s="35" t="s">
        <v>1509</v>
      </c>
      <c r="E2288" s="35" t="s">
        <v>199</v>
      </c>
      <c r="F2288" s="34" t="s">
        <v>1510</v>
      </c>
      <c r="G2288" s="36" t="s">
        <v>181</v>
      </c>
      <c r="H2288" s="34" t="s">
        <v>6189</v>
      </c>
      <c r="I2288" s="34" t="s">
        <v>6011</v>
      </c>
      <c r="J2288" s="37">
        <v>46147.0</v>
      </c>
      <c r="K2288" s="35" t="s">
        <v>6012</v>
      </c>
      <c r="L2288" s="34">
        <v>3.0</v>
      </c>
      <c r="M2288" s="34" t="s">
        <v>1325</v>
      </c>
      <c r="N2288" s="38" t="s">
        <v>7029</v>
      </c>
      <c r="O2288" s="39" t="s">
        <v>7030</v>
      </c>
    </row>
    <row r="2289">
      <c r="A2289" s="32">
        <v>2660.0</v>
      </c>
      <c r="B2289" s="33">
        <v>46175.53973045139</v>
      </c>
      <c r="C2289" s="34" t="s">
        <v>26</v>
      </c>
      <c r="D2289" s="35" t="s">
        <v>1724</v>
      </c>
      <c r="E2289" s="35" t="s">
        <v>1725</v>
      </c>
      <c r="F2289" s="34" t="s">
        <v>1726</v>
      </c>
      <c r="G2289" s="36" t="s">
        <v>181</v>
      </c>
      <c r="H2289" s="34" t="s">
        <v>5432</v>
      </c>
      <c r="I2289" s="34" t="s">
        <v>231</v>
      </c>
      <c r="J2289" s="37">
        <v>46134.0</v>
      </c>
      <c r="K2289" s="35" t="s">
        <v>962</v>
      </c>
      <c r="L2289" s="34">
        <v>4.0</v>
      </c>
      <c r="M2289" s="34" t="s">
        <v>33</v>
      </c>
      <c r="N2289" s="38" t="s">
        <v>7031</v>
      </c>
      <c r="O2289" s="39" t="s">
        <v>7032</v>
      </c>
    </row>
    <row r="2290">
      <c r="A2290" s="32">
        <v>2661.0</v>
      </c>
      <c r="B2290" s="33">
        <v>46175.540194201385</v>
      </c>
      <c r="C2290" s="34" t="s">
        <v>26</v>
      </c>
      <c r="D2290" s="35" t="s">
        <v>1476</v>
      </c>
      <c r="E2290" s="35" t="s">
        <v>547</v>
      </c>
      <c r="F2290" s="34" t="s">
        <v>1477</v>
      </c>
      <c r="G2290" s="36" t="s">
        <v>144</v>
      </c>
      <c r="H2290" s="34" t="s">
        <v>7033</v>
      </c>
      <c r="I2290" s="34" t="s">
        <v>731</v>
      </c>
      <c r="J2290" s="37">
        <v>46172.0</v>
      </c>
      <c r="K2290" s="35" t="s">
        <v>3489</v>
      </c>
      <c r="L2290" s="34">
        <v>3.0</v>
      </c>
      <c r="M2290" s="34" t="s">
        <v>2883</v>
      </c>
      <c r="N2290" s="38" t="s">
        <v>7034</v>
      </c>
      <c r="O2290" s="39" t="s">
        <v>7035</v>
      </c>
    </row>
    <row r="2291">
      <c r="A2291" s="32">
        <v>2662.0</v>
      </c>
      <c r="B2291" s="33">
        <v>46175.54025480324</v>
      </c>
      <c r="C2291" s="34" t="s">
        <v>26</v>
      </c>
      <c r="D2291" s="35" t="s">
        <v>7023</v>
      </c>
      <c r="E2291" s="35" t="s">
        <v>762</v>
      </c>
      <c r="F2291" s="34" t="s">
        <v>1289</v>
      </c>
      <c r="G2291" s="36" t="s">
        <v>181</v>
      </c>
      <c r="H2291" s="34" t="s">
        <v>5432</v>
      </c>
      <c r="I2291" s="34" t="s">
        <v>231</v>
      </c>
      <c r="J2291" s="37">
        <v>46134.0</v>
      </c>
      <c r="K2291" s="35" t="s">
        <v>962</v>
      </c>
      <c r="L2291" s="34">
        <v>4.0</v>
      </c>
      <c r="M2291" s="34" t="s">
        <v>33</v>
      </c>
      <c r="N2291" s="38" t="s">
        <v>7036</v>
      </c>
      <c r="O2291" s="39" t="s">
        <v>7037</v>
      </c>
    </row>
    <row r="2292">
      <c r="A2292" s="32">
        <v>2663.0</v>
      </c>
      <c r="B2292" s="33">
        <v>46175.54075505787</v>
      </c>
      <c r="C2292" s="34" t="s">
        <v>26</v>
      </c>
      <c r="D2292" s="35" t="s">
        <v>2451</v>
      </c>
      <c r="E2292" s="35" t="s">
        <v>830</v>
      </c>
      <c r="F2292" s="34" t="s">
        <v>2452</v>
      </c>
      <c r="G2292" s="36" t="s">
        <v>181</v>
      </c>
      <c r="H2292" s="34" t="s">
        <v>7038</v>
      </c>
      <c r="I2292" s="34" t="s">
        <v>6023</v>
      </c>
      <c r="J2292" s="37">
        <v>46147.0</v>
      </c>
      <c r="K2292" s="35" t="s">
        <v>3287</v>
      </c>
      <c r="L2292" s="34">
        <v>3.0</v>
      </c>
      <c r="M2292" s="34" t="s">
        <v>1325</v>
      </c>
      <c r="N2292" s="38" t="s">
        <v>7039</v>
      </c>
      <c r="O2292" s="39" t="s">
        <v>7040</v>
      </c>
    </row>
    <row r="2293">
      <c r="A2293" s="32">
        <v>2664.0</v>
      </c>
      <c r="B2293" s="33">
        <v>46175.540960625</v>
      </c>
      <c r="C2293" s="34" t="s">
        <v>26</v>
      </c>
      <c r="D2293" s="35" t="s">
        <v>1724</v>
      </c>
      <c r="E2293" s="35" t="s">
        <v>1725</v>
      </c>
      <c r="F2293" s="34" t="s">
        <v>1726</v>
      </c>
      <c r="G2293" s="36" t="s">
        <v>181</v>
      </c>
      <c r="H2293" s="34" t="s">
        <v>5432</v>
      </c>
      <c r="I2293" s="34" t="s">
        <v>231</v>
      </c>
      <c r="J2293" s="37">
        <v>46135.0</v>
      </c>
      <c r="K2293" s="35" t="s">
        <v>962</v>
      </c>
      <c r="L2293" s="34">
        <v>4.0</v>
      </c>
      <c r="M2293" s="34" t="s">
        <v>33</v>
      </c>
      <c r="N2293" s="38" t="s">
        <v>7041</v>
      </c>
      <c r="O2293" s="39" t="s">
        <v>7042</v>
      </c>
    </row>
    <row r="2294">
      <c r="A2294" s="32">
        <v>2665.0</v>
      </c>
      <c r="B2294" s="33">
        <v>46175.54126225694</v>
      </c>
      <c r="C2294" s="34" t="s">
        <v>15</v>
      </c>
      <c r="D2294" s="35" t="s">
        <v>2264</v>
      </c>
      <c r="E2294" s="35" t="s">
        <v>380</v>
      </c>
      <c r="F2294" s="34" t="s">
        <v>2265</v>
      </c>
      <c r="G2294" s="36" t="s">
        <v>181</v>
      </c>
      <c r="H2294" s="34" t="s">
        <v>7005</v>
      </c>
      <c r="I2294" s="34" t="s">
        <v>5465</v>
      </c>
      <c r="J2294" s="37">
        <v>46139.0</v>
      </c>
      <c r="K2294" s="35" t="s">
        <v>6264</v>
      </c>
      <c r="L2294" s="34">
        <v>4.0</v>
      </c>
      <c r="M2294" s="34" t="s">
        <v>7006</v>
      </c>
      <c r="N2294" s="38" t="s">
        <v>7043</v>
      </c>
      <c r="O2294" s="39" t="s">
        <v>7044</v>
      </c>
    </row>
    <row r="2295">
      <c r="A2295" s="32">
        <v>2666.0</v>
      </c>
      <c r="B2295" s="33">
        <v>46175.5415603588</v>
      </c>
      <c r="C2295" s="34" t="s">
        <v>26</v>
      </c>
      <c r="D2295" s="35" t="s">
        <v>1780</v>
      </c>
      <c r="E2295" s="35" t="s">
        <v>817</v>
      </c>
      <c r="F2295" s="34" t="s">
        <v>1781</v>
      </c>
      <c r="G2295" s="36" t="s">
        <v>19</v>
      </c>
      <c r="H2295" s="34" t="s">
        <v>5653</v>
      </c>
      <c r="I2295" s="34" t="s">
        <v>2029</v>
      </c>
      <c r="J2295" s="37">
        <v>46078.0</v>
      </c>
      <c r="K2295" s="35" t="s">
        <v>2179</v>
      </c>
      <c r="L2295" s="34">
        <v>8.0</v>
      </c>
      <c r="M2295" s="34" t="s">
        <v>87</v>
      </c>
      <c r="N2295" s="38" t="s">
        <v>7045</v>
      </c>
      <c r="O2295" s="39" t="s">
        <v>7046</v>
      </c>
    </row>
    <row r="2296">
      <c r="A2296" s="32">
        <v>2667.0</v>
      </c>
      <c r="B2296" s="33">
        <v>46175.54167697916</v>
      </c>
      <c r="C2296" s="34" t="s">
        <v>26</v>
      </c>
      <c r="D2296" s="35" t="s">
        <v>7023</v>
      </c>
      <c r="E2296" s="35" t="s">
        <v>762</v>
      </c>
      <c r="F2296" s="34" t="s">
        <v>1289</v>
      </c>
      <c r="G2296" s="36" t="s">
        <v>181</v>
      </c>
      <c r="H2296" s="34" t="s">
        <v>5432</v>
      </c>
      <c r="I2296" s="34" t="s">
        <v>231</v>
      </c>
      <c r="J2296" s="37">
        <v>46135.0</v>
      </c>
      <c r="K2296" s="35" t="s">
        <v>962</v>
      </c>
      <c r="L2296" s="34">
        <v>4.0</v>
      </c>
      <c r="M2296" s="34" t="s">
        <v>33</v>
      </c>
      <c r="N2296" s="38" t="s">
        <v>7047</v>
      </c>
      <c r="O2296" s="39" t="s">
        <v>7048</v>
      </c>
    </row>
    <row r="2297">
      <c r="A2297" s="32">
        <v>2668.0</v>
      </c>
      <c r="B2297" s="33">
        <v>46175.54265083333</v>
      </c>
      <c r="C2297" s="34" t="s">
        <v>26</v>
      </c>
      <c r="D2297" s="35" t="s">
        <v>1509</v>
      </c>
      <c r="E2297" s="35" t="s">
        <v>199</v>
      </c>
      <c r="F2297" s="34" t="s">
        <v>1510</v>
      </c>
      <c r="G2297" s="36" t="s">
        <v>19</v>
      </c>
      <c r="H2297" s="34" t="s">
        <v>5653</v>
      </c>
      <c r="I2297" s="34" t="s">
        <v>5654</v>
      </c>
      <c r="J2297" s="37">
        <v>46078.0</v>
      </c>
      <c r="K2297" s="35" t="s">
        <v>2179</v>
      </c>
      <c r="L2297" s="34">
        <v>8.0</v>
      </c>
      <c r="M2297" s="34" t="s">
        <v>5550</v>
      </c>
      <c r="N2297" s="38" t="s">
        <v>7049</v>
      </c>
      <c r="O2297" s="39" t="s">
        <v>7050</v>
      </c>
    </row>
    <row r="2298">
      <c r="A2298" s="32">
        <v>2669.0</v>
      </c>
      <c r="B2298" s="33">
        <v>46175.54305018518</v>
      </c>
      <c r="C2298" s="34" t="s">
        <v>26</v>
      </c>
      <c r="D2298" s="35" t="s">
        <v>1476</v>
      </c>
      <c r="E2298" s="35" t="s">
        <v>547</v>
      </c>
      <c r="F2298" s="34" t="s">
        <v>1477</v>
      </c>
      <c r="G2298" s="36" t="s">
        <v>144</v>
      </c>
      <c r="H2298" s="34" t="s">
        <v>3652</v>
      </c>
      <c r="I2298" s="34" t="s">
        <v>731</v>
      </c>
      <c r="J2298" s="37">
        <v>46172.0</v>
      </c>
      <c r="K2298" s="35" t="s">
        <v>7051</v>
      </c>
      <c r="L2298" s="34">
        <v>1.0</v>
      </c>
      <c r="M2298" s="34" t="s">
        <v>2883</v>
      </c>
      <c r="N2298" s="38" t="s">
        <v>7052</v>
      </c>
      <c r="O2298" s="39" t="s">
        <v>7053</v>
      </c>
    </row>
    <row r="2299">
      <c r="A2299" s="32">
        <v>2670.0</v>
      </c>
      <c r="B2299" s="33">
        <v>46175.54306927083</v>
      </c>
      <c r="C2299" s="34" t="s">
        <v>26</v>
      </c>
      <c r="D2299" s="35" t="s">
        <v>1724</v>
      </c>
      <c r="E2299" s="35" t="s">
        <v>1725</v>
      </c>
      <c r="F2299" s="34" t="s">
        <v>1726</v>
      </c>
      <c r="G2299" s="36" t="s">
        <v>181</v>
      </c>
      <c r="H2299" s="34" t="s">
        <v>5432</v>
      </c>
      <c r="I2299" s="34" t="s">
        <v>231</v>
      </c>
      <c r="J2299" s="37">
        <v>46138.0</v>
      </c>
      <c r="K2299" s="35" t="s">
        <v>3192</v>
      </c>
      <c r="L2299" s="34">
        <v>6.0</v>
      </c>
      <c r="M2299" s="34" t="s">
        <v>33</v>
      </c>
      <c r="N2299" s="38" t="s">
        <v>7054</v>
      </c>
      <c r="O2299" s="39" t="s">
        <v>7055</v>
      </c>
    </row>
    <row r="2300">
      <c r="A2300" s="32">
        <v>2671.0</v>
      </c>
      <c r="B2300" s="33">
        <v>46175.54338476852</v>
      </c>
      <c r="C2300" s="34" t="s">
        <v>26</v>
      </c>
      <c r="D2300" s="35" t="s">
        <v>7023</v>
      </c>
      <c r="E2300" s="35" t="s">
        <v>762</v>
      </c>
      <c r="F2300" s="34" t="s">
        <v>7056</v>
      </c>
      <c r="G2300" s="36" t="s">
        <v>181</v>
      </c>
      <c r="H2300" s="34" t="s">
        <v>5432</v>
      </c>
      <c r="I2300" s="34" t="s">
        <v>231</v>
      </c>
      <c r="J2300" s="37">
        <v>46138.0</v>
      </c>
      <c r="K2300" s="35" t="s">
        <v>3192</v>
      </c>
      <c r="L2300" s="34">
        <v>6.0</v>
      </c>
      <c r="M2300" s="34" t="s">
        <v>33</v>
      </c>
      <c r="N2300" s="38" t="s">
        <v>7057</v>
      </c>
      <c r="O2300" s="39" t="s">
        <v>7058</v>
      </c>
    </row>
    <row r="2301">
      <c r="A2301" s="32">
        <v>2672.0</v>
      </c>
      <c r="B2301" s="33">
        <v>46175.54490828703</v>
      </c>
      <c r="C2301" s="34" t="s">
        <v>15</v>
      </c>
      <c r="D2301" s="35" t="s">
        <v>2264</v>
      </c>
      <c r="E2301" s="35" t="s">
        <v>380</v>
      </c>
      <c r="F2301" s="34" t="s">
        <v>2265</v>
      </c>
      <c r="G2301" s="36" t="s">
        <v>19</v>
      </c>
      <c r="H2301" s="34" t="s">
        <v>7059</v>
      </c>
      <c r="I2301" s="34" t="s">
        <v>3736</v>
      </c>
      <c r="J2301" s="37">
        <v>46004.0</v>
      </c>
      <c r="K2301" s="35" t="s">
        <v>7060</v>
      </c>
      <c r="L2301" s="34">
        <v>8.0</v>
      </c>
      <c r="M2301" s="34" t="s">
        <v>7061</v>
      </c>
      <c r="N2301" s="38" t="s">
        <v>7062</v>
      </c>
      <c r="O2301" s="39" t="s">
        <v>7063</v>
      </c>
    </row>
    <row r="2302">
      <c r="A2302" s="32">
        <v>2673.0</v>
      </c>
      <c r="B2302" s="33">
        <v>46175.54522644676</v>
      </c>
      <c r="C2302" s="34" t="s">
        <v>26</v>
      </c>
      <c r="D2302" s="35" t="s">
        <v>3030</v>
      </c>
      <c r="E2302" s="35" t="s">
        <v>664</v>
      </c>
      <c r="F2302" s="34" t="s">
        <v>3031</v>
      </c>
      <c r="G2302" s="36" t="s">
        <v>181</v>
      </c>
      <c r="H2302" s="34" t="s">
        <v>7064</v>
      </c>
      <c r="I2302" s="34" t="s">
        <v>279</v>
      </c>
      <c r="J2302" s="37">
        <v>46169.0</v>
      </c>
      <c r="K2302" s="35" t="s">
        <v>310</v>
      </c>
      <c r="L2302" s="34">
        <v>1.0</v>
      </c>
      <c r="M2302" s="34" t="s">
        <v>33</v>
      </c>
      <c r="N2302" s="38" t="s">
        <v>7065</v>
      </c>
      <c r="O2302" s="39" t="s">
        <v>7066</v>
      </c>
    </row>
    <row r="2303">
      <c r="A2303" s="32">
        <v>2674.0</v>
      </c>
      <c r="B2303" s="33">
        <v>46175.54536395833</v>
      </c>
      <c r="C2303" s="34" t="s">
        <v>26</v>
      </c>
      <c r="D2303" s="35" t="s">
        <v>274</v>
      </c>
      <c r="E2303" s="35" t="s">
        <v>228</v>
      </c>
      <c r="F2303" s="34" t="s">
        <v>275</v>
      </c>
      <c r="G2303" s="36" t="s">
        <v>144</v>
      </c>
      <c r="H2303" s="34" t="s">
        <v>3652</v>
      </c>
      <c r="I2303" s="34" t="s">
        <v>731</v>
      </c>
      <c r="J2303" s="37">
        <v>46172.0</v>
      </c>
      <c r="K2303" s="35" t="s">
        <v>310</v>
      </c>
      <c r="L2303" s="34">
        <v>1.0</v>
      </c>
      <c r="M2303" s="34" t="s">
        <v>2883</v>
      </c>
      <c r="N2303" s="38" t="s">
        <v>7067</v>
      </c>
      <c r="O2303" s="39" t="s">
        <v>7068</v>
      </c>
    </row>
    <row r="2304">
      <c r="A2304" s="32">
        <v>2675.0</v>
      </c>
      <c r="B2304" s="33">
        <v>46175.54546761574</v>
      </c>
      <c r="C2304" s="34" t="s">
        <v>26</v>
      </c>
      <c r="D2304" s="35" t="s">
        <v>7023</v>
      </c>
      <c r="E2304" s="35" t="s">
        <v>762</v>
      </c>
      <c r="F2304" s="34" t="s">
        <v>1289</v>
      </c>
      <c r="G2304" s="36" t="s">
        <v>181</v>
      </c>
      <c r="H2304" s="34" t="s">
        <v>5432</v>
      </c>
      <c r="I2304" s="34" t="s">
        <v>6991</v>
      </c>
      <c r="J2304" s="37">
        <v>46139.0</v>
      </c>
      <c r="K2304" s="35" t="s">
        <v>962</v>
      </c>
      <c r="L2304" s="34">
        <v>4.0</v>
      </c>
      <c r="M2304" s="34" t="s">
        <v>33</v>
      </c>
      <c r="N2304" s="38" t="s">
        <v>7069</v>
      </c>
      <c r="O2304" s="39" t="s">
        <v>7070</v>
      </c>
    </row>
    <row r="2305">
      <c r="A2305" s="32">
        <v>2676.0</v>
      </c>
      <c r="B2305" s="33">
        <v>46175.54565637732</v>
      </c>
      <c r="C2305" s="34" t="s">
        <v>26</v>
      </c>
      <c r="D2305" s="35" t="s">
        <v>847</v>
      </c>
      <c r="E2305" s="35" t="s">
        <v>1185</v>
      </c>
      <c r="F2305" s="34" t="s">
        <v>848</v>
      </c>
      <c r="G2305" s="36" t="s">
        <v>181</v>
      </c>
      <c r="H2305" s="34" t="s">
        <v>5432</v>
      </c>
      <c r="I2305" s="34" t="s">
        <v>231</v>
      </c>
      <c r="J2305" s="37">
        <v>46138.0</v>
      </c>
      <c r="K2305" s="35" t="s">
        <v>3737</v>
      </c>
      <c r="L2305" s="34">
        <v>8.0</v>
      </c>
      <c r="M2305" s="34" t="s">
        <v>33</v>
      </c>
      <c r="N2305" s="38" t="s">
        <v>7071</v>
      </c>
      <c r="O2305" s="39" t="s">
        <v>7072</v>
      </c>
    </row>
    <row r="2306">
      <c r="A2306" s="32">
        <v>2677.0</v>
      </c>
      <c r="B2306" s="33">
        <v>46175.546640671295</v>
      </c>
      <c r="C2306" s="34" t="s">
        <v>26</v>
      </c>
      <c r="D2306" s="35" t="s">
        <v>1509</v>
      </c>
      <c r="E2306" s="35" t="s">
        <v>199</v>
      </c>
      <c r="F2306" s="34" t="s">
        <v>1510</v>
      </c>
      <c r="G2306" s="36" t="s">
        <v>181</v>
      </c>
      <c r="H2306" s="34" t="s">
        <v>5432</v>
      </c>
      <c r="I2306" s="34" t="s">
        <v>231</v>
      </c>
      <c r="J2306" s="37">
        <v>46133.0</v>
      </c>
      <c r="K2306" s="35" t="s">
        <v>962</v>
      </c>
      <c r="L2306" s="34">
        <v>4.0</v>
      </c>
      <c r="M2306" s="34" t="s">
        <v>33</v>
      </c>
      <c r="N2306" s="38" t="s">
        <v>7073</v>
      </c>
      <c r="O2306" s="39" t="s">
        <v>7074</v>
      </c>
    </row>
    <row r="2307">
      <c r="A2307" s="32">
        <v>2678.0</v>
      </c>
      <c r="B2307" s="33">
        <v>46175.54832423611</v>
      </c>
      <c r="C2307" s="34" t="s">
        <v>26</v>
      </c>
      <c r="D2307" s="35" t="s">
        <v>2401</v>
      </c>
      <c r="E2307" s="35" t="s">
        <v>799</v>
      </c>
      <c r="F2307" s="34" t="s">
        <v>2402</v>
      </c>
      <c r="G2307" s="36" t="s">
        <v>181</v>
      </c>
      <c r="H2307" s="34" t="s">
        <v>5432</v>
      </c>
      <c r="I2307" s="34" t="s">
        <v>231</v>
      </c>
      <c r="J2307" s="37">
        <v>46133.0</v>
      </c>
      <c r="K2307" s="35" t="s">
        <v>962</v>
      </c>
      <c r="L2307" s="34">
        <v>4.0</v>
      </c>
      <c r="M2307" s="34" t="s">
        <v>33</v>
      </c>
      <c r="N2307" s="38" t="s">
        <v>7075</v>
      </c>
      <c r="O2307" s="39" t="s">
        <v>7076</v>
      </c>
    </row>
    <row r="2308">
      <c r="A2308" s="32">
        <v>2679.0</v>
      </c>
      <c r="B2308" s="33">
        <v>46175.54838719907</v>
      </c>
      <c r="C2308" s="34" t="s">
        <v>26</v>
      </c>
      <c r="D2308" s="35" t="s">
        <v>1509</v>
      </c>
      <c r="E2308" s="35" t="s">
        <v>199</v>
      </c>
      <c r="F2308" s="34" t="s">
        <v>1510</v>
      </c>
      <c r="G2308" s="36" t="s">
        <v>181</v>
      </c>
      <c r="H2308" s="34" t="s">
        <v>5432</v>
      </c>
      <c r="I2308" s="34" t="s">
        <v>1211</v>
      </c>
      <c r="J2308" s="37">
        <v>46134.0</v>
      </c>
      <c r="K2308" s="35" t="s">
        <v>962</v>
      </c>
      <c r="L2308" s="34">
        <v>4.0</v>
      </c>
      <c r="M2308" s="34" t="s">
        <v>33</v>
      </c>
      <c r="N2308" s="38" t="s">
        <v>7077</v>
      </c>
      <c r="O2308" s="39" t="s">
        <v>7078</v>
      </c>
    </row>
    <row r="2309">
      <c r="A2309" s="32">
        <v>2680.0</v>
      </c>
      <c r="B2309" s="33">
        <v>46175.54921445602</v>
      </c>
      <c r="C2309" s="34" t="s">
        <v>26</v>
      </c>
      <c r="D2309" s="35" t="s">
        <v>274</v>
      </c>
      <c r="E2309" s="35" t="s">
        <v>228</v>
      </c>
      <c r="F2309" s="34" t="s">
        <v>275</v>
      </c>
      <c r="G2309" s="36" t="s">
        <v>144</v>
      </c>
      <c r="H2309" s="34" t="s">
        <v>730</v>
      </c>
      <c r="I2309" s="34" t="s">
        <v>731</v>
      </c>
      <c r="J2309" s="37">
        <v>46172.0</v>
      </c>
      <c r="K2309" s="35" t="s">
        <v>264</v>
      </c>
      <c r="L2309" s="34">
        <v>3.0</v>
      </c>
      <c r="M2309" s="34" t="s">
        <v>2883</v>
      </c>
      <c r="N2309" s="38" t="s">
        <v>7079</v>
      </c>
      <c r="O2309" s="39" t="s">
        <v>7080</v>
      </c>
    </row>
    <row r="2310">
      <c r="A2310" s="32">
        <v>2681.0</v>
      </c>
      <c r="B2310" s="33">
        <v>46175.5494496412</v>
      </c>
      <c r="C2310" s="34" t="s">
        <v>26</v>
      </c>
      <c r="D2310" s="35" t="s">
        <v>2108</v>
      </c>
      <c r="E2310" s="35" t="s">
        <v>1116</v>
      </c>
      <c r="F2310" s="34" t="s">
        <v>7081</v>
      </c>
      <c r="G2310" s="36" t="s">
        <v>19</v>
      </c>
      <c r="H2310" s="34" t="s">
        <v>5422</v>
      </c>
      <c r="I2310" s="34" t="s">
        <v>5657</v>
      </c>
      <c r="J2310" s="37">
        <v>46032.0</v>
      </c>
      <c r="K2310" s="35" t="s">
        <v>49</v>
      </c>
      <c r="L2310" s="34">
        <v>8.0</v>
      </c>
      <c r="M2310" s="34" t="s">
        <v>2391</v>
      </c>
      <c r="N2310" s="38" t="s">
        <v>7082</v>
      </c>
      <c r="O2310" s="39" t="s">
        <v>7083</v>
      </c>
    </row>
    <row r="2311">
      <c r="A2311" s="32">
        <v>2682.0</v>
      </c>
      <c r="B2311" s="33">
        <v>46175.54965105324</v>
      </c>
      <c r="C2311" s="34" t="s">
        <v>26</v>
      </c>
      <c r="D2311" s="35" t="s">
        <v>1509</v>
      </c>
      <c r="E2311" s="35" t="s">
        <v>199</v>
      </c>
      <c r="F2311" s="34" t="s">
        <v>1510</v>
      </c>
      <c r="G2311" s="36" t="s">
        <v>181</v>
      </c>
      <c r="H2311" s="34" t="s">
        <v>5432</v>
      </c>
      <c r="I2311" s="34" t="s">
        <v>231</v>
      </c>
      <c r="J2311" s="37">
        <v>46135.0</v>
      </c>
      <c r="K2311" s="35" t="s">
        <v>962</v>
      </c>
      <c r="L2311" s="34">
        <v>4.0</v>
      </c>
      <c r="M2311" s="34" t="s">
        <v>33</v>
      </c>
      <c r="N2311" s="38" t="s">
        <v>7084</v>
      </c>
      <c r="O2311" s="39" t="s">
        <v>7085</v>
      </c>
    </row>
    <row r="2312">
      <c r="A2312" s="32">
        <v>2683.0</v>
      </c>
      <c r="B2312" s="33">
        <v>46175.55072263889</v>
      </c>
      <c r="C2312" s="34" t="s">
        <v>26</v>
      </c>
      <c r="D2312" s="35" t="s">
        <v>2401</v>
      </c>
      <c r="E2312" s="35" t="s">
        <v>799</v>
      </c>
      <c r="F2312" s="34" t="s">
        <v>2402</v>
      </c>
      <c r="G2312" s="36" t="s">
        <v>181</v>
      </c>
      <c r="H2312" s="34" t="s">
        <v>5432</v>
      </c>
      <c r="I2312" s="34" t="s">
        <v>231</v>
      </c>
      <c r="J2312" s="37">
        <v>46134.0</v>
      </c>
      <c r="K2312" s="35" t="s">
        <v>962</v>
      </c>
      <c r="L2312" s="34">
        <v>4.0</v>
      </c>
      <c r="M2312" s="34" t="s">
        <v>33</v>
      </c>
      <c r="N2312" s="38" t="s">
        <v>7086</v>
      </c>
      <c r="O2312" s="39" t="s">
        <v>7087</v>
      </c>
    </row>
    <row r="2313">
      <c r="A2313" s="32">
        <v>2684.0</v>
      </c>
      <c r="B2313" s="33">
        <v>46175.55162331018</v>
      </c>
      <c r="C2313" s="34" t="s">
        <v>26</v>
      </c>
      <c r="D2313" s="35" t="s">
        <v>847</v>
      </c>
      <c r="E2313" s="35" t="s">
        <v>1185</v>
      </c>
      <c r="F2313" s="34" t="s">
        <v>848</v>
      </c>
      <c r="G2313" s="36" t="s">
        <v>181</v>
      </c>
      <c r="H2313" s="34" t="s">
        <v>5432</v>
      </c>
      <c r="I2313" s="34" t="s">
        <v>5437</v>
      </c>
      <c r="J2313" s="37">
        <v>46139.0</v>
      </c>
      <c r="K2313" s="35" t="s">
        <v>962</v>
      </c>
      <c r="L2313" s="34">
        <v>4.0</v>
      </c>
      <c r="M2313" s="34" t="s">
        <v>33</v>
      </c>
      <c r="N2313" s="38" t="s">
        <v>7088</v>
      </c>
      <c r="O2313" s="39" t="s">
        <v>7089</v>
      </c>
    </row>
    <row r="2314">
      <c r="A2314" s="32">
        <v>2685.0</v>
      </c>
      <c r="B2314" s="33">
        <v>46175.55172200232</v>
      </c>
      <c r="C2314" s="34" t="s">
        <v>26</v>
      </c>
      <c r="D2314" s="35" t="s">
        <v>1509</v>
      </c>
      <c r="E2314" s="35" t="s">
        <v>199</v>
      </c>
      <c r="F2314" s="34" t="s">
        <v>1510</v>
      </c>
      <c r="G2314" s="36" t="s">
        <v>181</v>
      </c>
      <c r="H2314" s="34" t="s">
        <v>5432</v>
      </c>
      <c r="I2314" s="34" t="s">
        <v>231</v>
      </c>
      <c r="J2314" s="37">
        <v>46138.0</v>
      </c>
      <c r="K2314" s="35" t="s">
        <v>3192</v>
      </c>
      <c r="L2314" s="34">
        <v>6.0</v>
      </c>
      <c r="M2314" s="34" t="s">
        <v>33</v>
      </c>
      <c r="N2314" s="38" t="s">
        <v>7090</v>
      </c>
      <c r="O2314" s="39" t="s">
        <v>7091</v>
      </c>
    </row>
    <row r="2315">
      <c r="A2315" s="32">
        <v>2686.0</v>
      </c>
      <c r="B2315" s="33">
        <v>46175.55232840277</v>
      </c>
      <c r="C2315" s="34" t="s">
        <v>26</v>
      </c>
      <c r="D2315" s="35" t="s">
        <v>2401</v>
      </c>
      <c r="E2315" s="35" t="s">
        <v>799</v>
      </c>
      <c r="F2315" s="34" t="s">
        <v>2402</v>
      </c>
      <c r="G2315" s="36" t="s">
        <v>181</v>
      </c>
      <c r="H2315" s="34" t="s">
        <v>5432</v>
      </c>
      <c r="I2315" s="34" t="s">
        <v>231</v>
      </c>
      <c r="J2315" s="37">
        <v>46135.0</v>
      </c>
      <c r="K2315" s="35" t="s">
        <v>962</v>
      </c>
      <c r="L2315" s="34">
        <v>4.0</v>
      </c>
      <c r="M2315" s="34" t="s">
        <v>33</v>
      </c>
      <c r="N2315" s="38" t="s">
        <v>7092</v>
      </c>
      <c r="O2315" s="39" t="s">
        <v>7093</v>
      </c>
    </row>
    <row r="2316">
      <c r="A2316" s="32">
        <v>2687.0</v>
      </c>
      <c r="B2316" s="33">
        <v>46175.553299340274</v>
      </c>
      <c r="C2316" s="34" t="s">
        <v>26</v>
      </c>
      <c r="D2316" s="35" t="s">
        <v>1509</v>
      </c>
      <c r="E2316" s="35" t="s">
        <v>199</v>
      </c>
      <c r="F2316" s="34" t="s">
        <v>1510</v>
      </c>
      <c r="G2316" s="36" t="s">
        <v>181</v>
      </c>
      <c r="H2316" s="34" t="s">
        <v>5432</v>
      </c>
      <c r="I2316" s="34" t="s">
        <v>5437</v>
      </c>
      <c r="J2316" s="37">
        <v>46139.0</v>
      </c>
      <c r="K2316" s="35" t="s">
        <v>962</v>
      </c>
      <c r="L2316" s="34">
        <v>4.0</v>
      </c>
      <c r="M2316" s="34" t="s">
        <v>33</v>
      </c>
      <c r="N2316" s="38" t="s">
        <v>7094</v>
      </c>
      <c r="O2316" s="39" t="s">
        <v>7095</v>
      </c>
    </row>
    <row r="2317">
      <c r="A2317" s="32">
        <v>2688.0</v>
      </c>
      <c r="B2317" s="33">
        <v>46175.55401196759</v>
      </c>
      <c r="C2317" s="34" t="s">
        <v>26</v>
      </c>
      <c r="D2317" s="35" t="s">
        <v>2401</v>
      </c>
      <c r="E2317" s="35" t="s">
        <v>799</v>
      </c>
      <c r="F2317" s="34" t="s">
        <v>2402</v>
      </c>
      <c r="G2317" s="36" t="s">
        <v>181</v>
      </c>
      <c r="H2317" s="34" t="s">
        <v>5432</v>
      </c>
      <c r="I2317" s="34" t="s">
        <v>231</v>
      </c>
      <c r="J2317" s="37">
        <v>46138.0</v>
      </c>
      <c r="K2317" s="35" t="s">
        <v>3737</v>
      </c>
      <c r="L2317" s="34">
        <v>8.0</v>
      </c>
      <c r="M2317" s="34" t="s">
        <v>33</v>
      </c>
      <c r="N2317" s="38" t="s">
        <v>7096</v>
      </c>
      <c r="O2317" s="39" t="s">
        <v>7097</v>
      </c>
    </row>
    <row r="2318">
      <c r="A2318" s="32">
        <v>2689.0</v>
      </c>
      <c r="B2318" s="33">
        <v>46175.55499415509</v>
      </c>
      <c r="C2318" s="34" t="s">
        <v>26</v>
      </c>
      <c r="D2318" s="35" t="s">
        <v>847</v>
      </c>
      <c r="E2318" s="35" t="s">
        <v>1185</v>
      </c>
      <c r="F2318" s="34" t="s">
        <v>848</v>
      </c>
      <c r="G2318" s="36" t="s">
        <v>19</v>
      </c>
      <c r="H2318" s="34" t="s">
        <v>5653</v>
      </c>
      <c r="I2318" s="34" t="s">
        <v>2029</v>
      </c>
      <c r="J2318" s="37">
        <v>46078.0</v>
      </c>
      <c r="K2318" s="35" t="s">
        <v>2179</v>
      </c>
      <c r="L2318" s="34">
        <v>8.0</v>
      </c>
      <c r="M2318" s="34" t="s">
        <v>87</v>
      </c>
      <c r="N2318" s="38" t="s">
        <v>7098</v>
      </c>
      <c r="O2318" s="39" t="s">
        <v>7099</v>
      </c>
    </row>
    <row r="2319">
      <c r="A2319" s="32">
        <v>2690.0</v>
      </c>
      <c r="B2319" s="33">
        <v>46175.55536946759</v>
      </c>
      <c r="C2319" s="34" t="s">
        <v>26</v>
      </c>
      <c r="D2319" s="35" t="s">
        <v>2401</v>
      </c>
      <c r="E2319" s="35" t="s">
        <v>799</v>
      </c>
      <c r="F2319" s="34" t="s">
        <v>2402</v>
      </c>
      <c r="G2319" s="36" t="s">
        <v>181</v>
      </c>
      <c r="H2319" s="34" t="s">
        <v>5432</v>
      </c>
      <c r="I2319" s="34" t="s">
        <v>5437</v>
      </c>
      <c r="J2319" s="37">
        <v>46139.0</v>
      </c>
      <c r="K2319" s="35" t="s">
        <v>962</v>
      </c>
      <c r="L2319" s="34">
        <v>4.0</v>
      </c>
      <c r="M2319" s="34" t="s">
        <v>33</v>
      </c>
      <c r="N2319" s="38" t="s">
        <v>7100</v>
      </c>
      <c r="O2319" s="39" t="s">
        <v>7101</v>
      </c>
    </row>
    <row r="2320">
      <c r="A2320" s="32">
        <v>2691.0</v>
      </c>
      <c r="B2320" s="33">
        <v>46175.55663039352</v>
      </c>
      <c r="C2320" s="34" t="s">
        <v>26</v>
      </c>
      <c r="D2320" s="35" t="s">
        <v>274</v>
      </c>
      <c r="E2320" s="35" t="s">
        <v>228</v>
      </c>
      <c r="F2320" s="34" t="s">
        <v>275</v>
      </c>
      <c r="G2320" s="36" t="s">
        <v>181</v>
      </c>
      <c r="H2320" s="34" t="s">
        <v>6010</v>
      </c>
      <c r="I2320" s="34" t="s">
        <v>6018</v>
      </c>
      <c r="J2320" s="37">
        <v>46147.0</v>
      </c>
      <c r="K2320" s="35" t="s">
        <v>6012</v>
      </c>
      <c r="L2320" s="34">
        <v>3.0</v>
      </c>
      <c r="M2320" s="34" t="s">
        <v>1325</v>
      </c>
      <c r="N2320" s="38" t="s">
        <v>7102</v>
      </c>
      <c r="O2320" s="39" t="s">
        <v>7103</v>
      </c>
    </row>
    <row r="2321">
      <c r="A2321" s="32">
        <v>2692.0</v>
      </c>
      <c r="B2321" s="33">
        <v>46175.560530821764</v>
      </c>
      <c r="C2321" s="34" t="s">
        <v>26</v>
      </c>
      <c r="D2321" s="35" t="s">
        <v>2401</v>
      </c>
      <c r="E2321" s="35" t="s">
        <v>799</v>
      </c>
      <c r="F2321" s="34" t="s">
        <v>2402</v>
      </c>
      <c r="G2321" s="36" t="s">
        <v>19</v>
      </c>
      <c r="H2321" s="34" t="s">
        <v>5653</v>
      </c>
      <c r="I2321" s="34" t="s">
        <v>5931</v>
      </c>
      <c r="J2321" s="37">
        <v>46078.0</v>
      </c>
      <c r="K2321" s="35" t="s">
        <v>2179</v>
      </c>
      <c r="L2321" s="34">
        <v>8.0</v>
      </c>
      <c r="M2321" s="34" t="s">
        <v>87</v>
      </c>
      <c r="N2321" s="38" t="s">
        <v>7104</v>
      </c>
      <c r="O2321" s="39" t="s">
        <v>7105</v>
      </c>
    </row>
    <row r="2322">
      <c r="A2322" s="32">
        <v>2693.0</v>
      </c>
      <c r="B2322" s="33">
        <v>46175.56151047454</v>
      </c>
      <c r="C2322" s="34" t="s">
        <v>26</v>
      </c>
      <c r="D2322" s="35" t="s">
        <v>847</v>
      </c>
      <c r="E2322" s="35" t="s">
        <v>1185</v>
      </c>
      <c r="F2322" s="34" t="s">
        <v>848</v>
      </c>
      <c r="G2322" s="36" t="s">
        <v>181</v>
      </c>
      <c r="H2322" s="34" t="s">
        <v>6043</v>
      </c>
      <c r="I2322" s="34" t="s">
        <v>6026</v>
      </c>
      <c r="J2322" s="37">
        <v>46147.0</v>
      </c>
      <c r="K2322" s="35" t="s">
        <v>3287</v>
      </c>
      <c r="L2322" s="34">
        <v>3.0</v>
      </c>
      <c r="M2322" s="34" t="s">
        <v>1325</v>
      </c>
      <c r="N2322" s="38" t="s">
        <v>7106</v>
      </c>
      <c r="O2322" s="39" t="s">
        <v>7107</v>
      </c>
    </row>
    <row r="2323">
      <c r="A2323" s="32">
        <v>2694.0</v>
      </c>
      <c r="B2323" s="33">
        <v>46175.56183224537</v>
      </c>
      <c r="C2323" s="34" t="s">
        <v>26</v>
      </c>
      <c r="D2323" s="35" t="s">
        <v>2401</v>
      </c>
      <c r="E2323" s="35" t="s">
        <v>799</v>
      </c>
      <c r="F2323" s="34" t="s">
        <v>2402</v>
      </c>
      <c r="G2323" s="36" t="s">
        <v>181</v>
      </c>
      <c r="H2323" s="34" t="s">
        <v>6022</v>
      </c>
      <c r="I2323" s="34" t="s">
        <v>6023</v>
      </c>
      <c r="J2323" s="37">
        <v>46147.0</v>
      </c>
      <c r="K2323" s="35" t="s">
        <v>3287</v>
      </c>
      <c r="L2323" s="34">
        <v>3.0</v>
      </c>
      <c r="M2323" s="34" t="s">
        <v>1325</v>
      </c>
      <c r="N2323" s="38" t="s">
        <v>7108</v>
      </c>
      <c r="O2323" s="39" t="s">
        <v>7109</v>
      </c>
    </row>
    <row r="2324">
      <c r="A2324" s="32">
        <v>2695.0</v>
      </c>
      <c r="B2324" s="33">
        <v>46175.56688987269</v>
      </c>
      <c r="C2324" s="34" t="s">
        <v>26</v>
      </c>
      <c r="D2324" s="35" t="s">
        <v>847</v>
      </c>
      <c r="E2324" s="35" t="s">
        <v>1185</v>
      </c>
      <c r="F2324" s="34" t="s">
        <v>848</v>
      </c>
      <c r="G2324" s="36" t="s">
        <v>19</v>
      </c>
      <c r="H2324" s="34" t="s">
        <v>5334</v>
      </c>
      <c r="I2324" s="34" t="s">
        <v>5657</v>
      </c>
      <c r="J2324" s="37">
        <v>46032.0</v>
      </c>
      <c r="K2324" s="35" t="s">
        <v>2328</v>
      </c>
      <c r="L2324" s="34">
        <v>8.0</v>
      </c>
      <c r="M2324" s="34" t="s">
        <v>87</v>
      </c>
      <c r="N2324" s="38" t="s">
        <v>7110</v>
      </c>
      <c r="O2324" s="39" t="s">
        <v>7111</v>
      </c>
    </row>
    <row r="2325">
      <c r="A2325" s="32">
        <v>2696.0</v>
      </c>
      <c r="B2325" s="33">
        <v>46175.58926959491</v>
      </c>
      <c r="C2325" s="34" t="s">
        <v>15</v>
      </c>
      <c r="D2325" s="35" t="s">
        <v>2547</v>
      </c>
      <c r="E2325" s="35" t="s">
        <v>110</v>
      </c>
      <c r="F2325" s="34" t="s">
        <v>2548</v>
      </c>
      <c r="G2325" s="36" t="s">
        <v>84</v>
      </c>
      <c r="H2325" s="34" t="s">
        <v>85</v>
      </c>
      <c r="I2325" s="34" t="s">
        <v>7112</v>
      </c>
      <c r="J2325" s="37">
        <v>46175.0</v>
      </c>
      <c r="K2325" s="35" t="s">
        <v>129</v>
      </c>
      <c r="L2325" s="34">
        <v>8.0</v>
      </c>
      <c r="M2325" s="34" t="s">
        <v>7112</v>
      </c>
      <c r="N2325" s="38" t="s">
        <v>7113</v>
      </c>
      <c r="O2325" s="39" t="s">
        <v>7114</v>
      </c>
    </row>
    <row r="2326">
      <c r="A2326" s="32">
        <v>2697.0</v>
      </c>
      <c r="B2326" s="33">
        <v>46175.59997914352</v>
      </c>
      <c r="C2326" s="34" t="s">
        <v>15</v>
      </c>
      <c r="D2326" s="35" t="s">
        <v>546</v>
      </c>
      <c r="E2326" s="35" t="s">
        <v>547</v>
      </c>
      <c r="F2326" s="34" t="s">
        <v>552</v>
      </c>
      <c r="G2326" s="36" t="s">
        <v>84</v>
      </c>
      <c r="H2326" s="34" t="s">
        <v>85</v>
      </c>
      <c r="I2326" s="34" t="s">
        <v>456</v>
      </c>
      <c r="J2326" s="37">
        <v>46175.0</v>
      </c>
      <c r="K2326" s="35" t="s">
        <v>2266</v>
      </c>
      <c r="L2326" s="34">
        <v>8.0</v>
      </c>
      <c r="M2326" s="34" t="s">
        <v>7115</v>
      </c>
      <c r="N2326" s="38" t="s">
        <v>7116</v>
      </c>
      <c r="O2326" s="39" t="s">
        <v>7117</v>
      </c>
    </row>
    <row r="2327">
      <c r="A2327" s="32">
        <v>2700.0</v>
      </c>
      <c r="B2327" s="33">
        <v>46175.63247626157</v>
      </c>
      <c r="C2327" s="34" t="s">
        <v>26</v>
      </c>
      <c r="D2327" s="35" t="s">
        <v>1235</v>
      </c>
      <c r="E2327" s="35" t="s">
        <v>1259</v>
      </c>
      <c r="F2327" s="34" t="s">
        <v>1236</v>
      </c>
      <c r="G2327" s="36" t="s">
        <v>19</v>
      </c>
      <c r="H2327" s="34" t="s">
        <v>5422</v>
      </c>
      <c r="I2327" s="34" t="s">
        <v>1337</v>
      </c>
      <c r="J2327" s="37">
        <v>46032.0</v>
      </c>
      <c r="K2327" s="35" t="s">
        <v>315</v>
      </c>
      <c r="L2327" s="34">
        <v>8.0</v>
      </c>
      <c r="M2327" s="34" t="s">
        <v>2839</v>
      </c>
      <c r="N2327" s="38" t="s">
        <v>7118</v>
      </c>
      <c r="O2327" s="40"/>
    </row>
    <row r="2328">
      <c r="A2328" s="32">
        <v>2701.0</v>
      </c>
      <c r="B2328" s="33">
        <v>46175.63445525463</v>
      </c>
      <c r="C2328" s="34" t="s">
        <v>26</v>
      </c>
      <c r="D2328" s="35" t="s">
        <v>27</v>
      </c>
      <c r="E2328" s="35" t="s">
        <v>28</v>
      </c>
      <c r="F2328" s="34" t="s">
        <v>29</v>
      </c>
      <c r="G2328" s="36" t="s">
        <v>84</v>
      </c>
      <c r="H2328" s="34" t="s">
        <v>85</v>
      </c>
      <c r="I2328" s="34" t="s">
        <v>456</v>
      </c>
      <c r="J2328" s="37">
        <v>46175.0</v>
      </c>
      <c r="K2328" s="35" t="s">
        <v>5110</v>
      </c>
      <c r="L2328" s="34">
        <v>8.0</v>
      </c>
      <c r="M2328" s="34" t="s">
        <v>860</v>
      </c>
      <c r="N2328" s="38" t="s">
        <v>7119</v>
      </c>
      <c r="O2328" s="39" t="s">
        <v>7120</v>
      </c>
    </row>
    <row r="2329">
      <c r="A2329" s="32">
        <v>2702.0</v>
      </c>
      <c r="B2329" s="33">
        <v>46175.63590739583</v>
      </c>
      <c r="C2329" s="34" t="s">
        <v>26</v>
      </c>
      <c r="D2329" s="35" t="s">
        <v>1235</v>
      </c>
      <c r="E2329" s="35" t="s">
        <v>1259</v>
      </c>
      <c r="F2329" s="34" t="s">
        <v>1236</v>
      </c>
      <c r="G2329" s="36" t="s">
        <v>84</v>
      </c>
      <c r="H2329" s="34" t="s">
        <v>85</v>
      </c>
      <c r="I2329" s="34" t="s">
        <v>5419</v>
      </c>
      <c r="J2329" s="37">
        <v>46000.0</v>
      </c>
      <c r="K2329" s="35" t="s">
        <v>49</v>
      </c>
      <c r="L2329" s="34">
        <v>8.0</v>
      </c>
      <c r="M2329" s="34" t="s">
        <v>2839</v>
      </c>
      <c r="N2329" s="38" t="s">
        <v>7121</v>
      </c>
      <c r="O2329" s="39" t="s">
        <v>7122</v>
      </c>
    </row>
    <row r="2330">
      <c r="A2330" s="32">
        <v>2703.0</v>
      </c>
      <c r="B2330" s="33">
        <v>46175.63777850695</v>
      </c>
      <c r="C2330" s="34" t="s">
        <v>26</v>
      </c>
      <c r="D2330" s="35" t="s">
        <v>1235</v>
      </c>
      <c r="E2330" s="35" t="s">
        <v>1259</v>
      </c>
      <c r="F2330" s="34" t="s">
        <v>1236</v>
      </c>
      <c r="G2330" s="36" t="s">
        <v>19</v>
      </c>
      <c r="H2330" s="34" t="s">
        <v>5653</v>
      </c>
      <c r="I2330" s="34" t="s">
        <v>5654</v>
      </c>
      <c r="J2330" s="37">
        <v>46078.0</v>
      </c>
      <c r="K2330" s="35" t="s">
        <v>2179</v>
      </c>
      <c r="L2330" s="34">
        <v>8.0</v>
      </c>
      <c r="M2330" s="34" t="s">
        <v>5550</v>
      </c>
      <c r="N2330" s="38" t="s">
        <v>7123</v>
      </c>
      <c r="O2330" s="39" t="s">
        <v>7124</v>
      </c>
    </row>
    <row r="2331">
      <c r="A2331" s="32">
        <v>2704.0</v>
      </c>
      <c r="B2331" s="33">
        <v>46175.64339586806</v>
      </c>
      <c r="C2331" s="34" t="s">
        <v>26</v>
      </c>
      <c r="D2331" s="35" t="s">
        <v>1235</v>
      </c>
      <c r="E2331" s="35" t="s">
        <v>1259</v>
      </c>
      <c r="F2331" s="34" t="s">
        <v>1236</v>
      </c>
      <c r="G2331" s="36" t="s">
        <v>181</v>
      </c>
      <c r="H2331" s="34" t="s">
        <v>5432</v>
      </c>
      <c r="I2331" s="34" t="s">
        <v>231</v>
      </c>
      <c r="J2331" s="37">
        <v>46133.0</v>
      </c>
      <c r="K2331" s="35" t="s">
        <v>962</v>
      </c>
      <c r="L2331" s="34">
        <v>4.0</v>
      </c>
      <c r="M2331" s="34" t="s">
        <v>33</v>
      </c>
      <c r="N2331" s="38" t="s">
        <v>7125</v>
      </c>
      <c r="O2331" s="39" t="s">
        <v>7126</v>
      </c>
    </row>
    <row r="2332">
      <c r="A2332" s="32">
        <v>2705.0</v>
      </c>
      <c r="B2332" s="33">
        <v>46175.64455563657</v>
      </c>
      <c r="C2332" s="34" t="s">
        <v>26</v>
      </c>
      <c r="D2332" s="35" t="s">
        <v>1235</v>
      </c>
      <c r="E2332" s="35" t="s">
        <v>1259</v>
      </c>
      <c r="F2332" s="34" t="s">
        <v>1236</v>
      </c>
      <c r="G2332" s="36" t="s">
        <v>181</v>
      </c>
      <c r="H2332" s="34" t="s">
        <v>5432</v>
      </c>
      <c r="I2332" s="34" t="s">
        <v>231</v>
      </c>
      <c r="J2332" s="37">
        <v>46134.0</v>
      </c>
      <c r="K2332" s="35" t="s">
        <v>962</v>
      </c>
      <c r="L2332" s="34">
        <v>4.0</v>
      </c>
      <c r="M2332" s="34" t="s">
        <v>33</v>
      </c>
      <c r="N2332" s="38" t="s">
        <v>7127</v>
      </c>
      <c r="O2332" s="39" t="s">
        <v>7128</v>
      </c>
    </row>
    <row r="2333">
      <c r="A2333" s="32">
        <v>2706.0</v>
      </c>
      <c r="B2333" s="33">
        <v>46175.6459540162</v>
      </c>
      <c r="C2333" s="34" t="s">
        <v>26</v>
      </c>
      <c r="D2333" s="35" t="s">
        <v>1235</v>
      </c>
      <c r="E2333" s="35" t="s">
        <v>1259</v>
      </c>
      <c r="F2333" s="34" t="s">
        <v>1236</v>
      </c>
      <c r="G2333" s="36" t="s">
        <v>181</v>
      </c>
      <c r="H2333" s="34" t="s">
        <v>5432</v>
      </c>
      <c r="I2333" s="34" t="s">
        <v>231</v>
      </c>
      <c r="J2333" s="37">
        <v>46135.0</v>
      </c>
      <c r="K2333" s="35" t="s">
        <v>962</v>
      </c>
      <c r="L2333" s="34">
        <v>4.0</v>
      </c>
      <c r="M2333" s="34" t="s">
        <v>33</v>
      </c>
      <c r="N2333" s="38" t="s">
        <v>7129</v>
      </c>
      <c r="O2333" s="39" t="s">
        <v>7130</v>
      </c>
    </row>
    <row r="2334">
      <c r="A2334" s="32">
        <v>2707.0</v>
      </c>
      <c r="B2334" s="33">
        <v>46175.65018783565</v>
      </c>
      <c r="C2334" s="34" t="s">
        <v>26</v>
      </c>
      <c r="D2334" s="35" t="s">
        <v>1235</v>
      </c>
      <c r="E2334" s="35" t="s">
        <v>1259</v>
      </c>
      <c r="F2334" s="34" t="s">
        <v>1236</v>
      </c>
      <c r="G2334" s="36" t="s">
        <v>181</v>
      </c>
      <c r="H2334" s="34" t="s">
        <v>5432</v>
      </c>
      <c r="I2334" s="34" t="s">
        <v>231</v>
      </c>
      <c r="J2334" s="37">
        <v>46138.0</v>
      </c>
      <c r="K2334" s="35" t="s">
        <v>3737</v>
      </c>
      <c r="L2334" s="34">
        <v>8.0</v>
      </c>
      <c r="M2334" s="34" t="s">
        <v>33</v>
      </c>
      <c r="N2334" s="38" t="s">
        <v>7131</v>
      </c>
      <c r="O2334" s="39" t="s">
        <v>7132</v>
      </c>
    </row>
    <row r="2335">
      <c r="A2335" s="32">
        <v>2708.0</v>
      </c>
      <c r="B2335" s="33">
        <v>46175.6516790162</v>
      </c>
      <c r="C2335" s="34" t="s">
        <v>26</v>
      </c>
      <c r="D2335" s="35" t="s">
        <v>1235</v>
      </c>
      <c r="E2335" s="35" t="s">
        <v>1259</v>
      </c>
      <c r="F2335" s="34" t="s">
        <v>1236</v>
      </c>
      <c r="G2335" s="36" t="s">
        <v>181</v>
      </c>
      <c r="H2335" s="34" t="s">
        <v>5432</v>
      </c>
      <c r="I2335" s="34" t="s">
        <v>5969</v>
      </c>
      <c r="J2335" s="37">
        <v>46139.0</v>
      </c>
      <c r="K2335" s="35" t="s">
        <v>962</v>
      </c>
      <c r="L2335" s="34">
        <v>4.0</v>
      </c>
      <c r="M2335" s="34" t="s">
        <v>33</v>
      </c>
      <c r="N2335" s="38" t="s">
        <v>7133</v>
      </c>
      <c r="O2335" s="39" t="s">
        <v>7134</v>
      </c>
    </row>
    <row r="2336">
      <c r="A2336" s="32">
        <v>2709.0</v>
      </c>
      <c r="B2336" s="33">
        <v>46175.65302861111</v>
      </c>
      <c r="C2336" s="34" t="s">
        <v>26</v>
      </c>
      <c r="D2336" s="35" t="s">
        <v>27</v>
      </c>
      <c r="E2336" s="35" t="s">
        <v>28</v>
      </c>
      <c r="F2336" s="34" t="s">
        <v>29</v>
      </c>
      <c r="G2336" s="36" t="s">
        <v>181</v>
      </c>
      <c r="H2336" s="34" t="s">
        <v>6038</v>
      </c>
      <c r="I2336" s="34" t="s">
        <v>231</v>
      </c>
      <c r="J2336" s="37">
        <v>46167.0</v>
      </c>
      <c r="K2336" s="35" t="s">
        <v>1538</v>
      </c>
      <c r="L2336" s="34">
        <v>4.0</v>
      </c>
      <c r="M2336" s="34" t="s">
        <v>33</v>
      </c>
      <c r="N2336" s="38" t="s">
        <v>7135</v>
      </c>
      <c r="O2336" s="39" t="s">
        <v>7136</v>
      </c>
    </row>
    <row r="2337">
      <c r="A2337" s="32">
        <v>2710.0</v>
      </c>
      <c r="B2337" s="33">
        <v>46175.65574862268</v>
      </c>
      <c r="C2337" s="34" t="s">
        <v>26</v>
      </c>
      <c r="D2337" s="35" t="s">
        <v>918</v>
      </c>
      <c r="E2337" s="35" t="s">
        <v>919</v>
      </c>
      <c r="F2337" s="34" t="s">
        <v>920</v>
      </c>
      <c r="G2337" s="36" t="s">
        <v>19</v>
      </c>
      <c r="H2337" s="34" t="s">
        <v>5369</v>
      </c>
      <c r="I2337" s="34" t="s">
        <v>5978</v>
      </c>
      <c r="J2337" s="37">
        <v>46032.0</v>
      </c>
      <c r="K2337" s="35" t="s">
        <v>2328</v>
      </c>
      <c r="L2337" s="34">
        <v>8.0</v>
      </c>
      <c r="M2337" s="34" t="s">
        <v>87</v>
      </c>
      <c r="N2337" s="38" t="s">
        <v>7137</v>
      </c>
      <c r="O2337" s="39" t="s">
        <v>7138</v>
      </c>
    </row>
    <row r="2338">
      <c r="A2338" s="32">
        <v>2711.0</v>
      </c>
      <c r="B2338" s="33">
        <v>46175.658330266204</v>
      </c>
      <c r="C2338" s="34" t="s">
        <v>26</v>
      </c>
      <c r="D2338" s="35" t="s">
        <v>918</v>
      </c>
      <c r="E2338" s="35" t="s">
        <v>919</v>
      </c>
      <c r="F2338" s="34" t="s">
        <v>920</v>
      </c>
      <c r="G2338" s="36" t="s">
        <v>19</v>
      </c>
      <c r="H2338" s="34" t="s">
        <v>5410</v>
      </c>
      <c r="I2338" s="34" t="s">
        <v>5411</v>
      </c>
      <c r="J2338" s="37">
        <v>46136.0</v>
      </c>
      <c r="K2338" s="35" t="s">
        <v>5412</v>
      </c>
      <c r="L2338" s="34">
        <v>8.0</v>
      </c>
      <c r="M2338" s="34" t="s">
        <v>87</v>
      </c>
      <c r="N2338" s="38" t="s">
        <v>7139</v>
      </c>
      <c r="O2338" s="39" t="s">
        <v>7140</v>
      </c>
    </row>
    <row r="2339">
      <c r="A2339" s="32">
        <v>2712.0</v>
      </c>
      <c r="B2339" s="33">
        <v>46175.660565266204</v>
      </c>
      <c r="C2339" s="34" t="s">
        <v>26</v>
      </c>
      <c r="D2339" s="35" t="s">
        <v>918</v>
      </c>
      <c r="E2339" s="35" t="s">
        <v>919</v>
      </c>
      <c r="F2339" s="34" t="s">
        <v>920</v>
      </c>
      <c r="G2339" s="36" t="s">
        <v>19</v>
      </c>
      <c r="H2339" s="34" t="s">
        <v>5410</v>
      </c>
      <c r="I2339" s="34" t="s">
        <v>5411</v>
      </c>
      <c r="J2339" s="37">
        <v>46137.0</v>
      </c>
      <c r="K2339" s="35" t="s">
        <v>49</v>
      </c>
      <c r="L2339" s="34">
        <v>8.0</v>
      </c>
      <c r="M2339" s="34" t="s">
        <v>87</v>
      </c>
      <c r="N2339" s="38" t="s">
        <v>7141</v>
      </c>
      <c r="O2339" s="39" t="s">
        <v>7142</v>
      </c>
    </row>
    <row r="2340">
      <c r="A2340" s="32">
        <v>2713.0</v>
      </c>
      <c r="B2340" s="33">
        <v>46175.661957847224</v>
      </c>
      <c r="C2340" s="34" t="s">
        <v>26</v>
      </c>
      <c r="D2340" s="35" t="s">
        <v>918</v>
      </c>
      <c r="E2340" s="35" t="s">
        <v>919</v>
      </c>
      <c r="F2340" s="34" t="s">
        <v>920</v>
      </c>
      <c r="G2340" s="36" t="s">
        <v>19</v>
      </c>
      <c r="H2340" s="34" t="s">
        <v>5410</v>
      </c>
      <c r="I2340" s="34" t="s">
        <v>5411</v>
      </c>
      <c r="J2340" s="37">
        <v>46138.0</v>
      </c>
      <c r="K2340" s="35" t="s">
        <v>49</v>
      </c>
      <c r="L2340" s="34">
        <v>8.0</v>
      </c>
      <c r="M2340" s="34" t="s">
        <v>87</v>
      </c>
      <c r="N2340" s="38" t="s">
        <v>7143</v>
      </c>
      <c r="O2340" s="39" t="s">
        <v>7144</v>
      </c>
    </row>
    <row r="2341">
      <c r="A2341" s="32">
        <v>2714.0</v>
      </c>
      <c r="B2341" s="33">
        <v>46175.690252835644</v>
      </c>
      <c r="C2341" s="34" t="s">
        <v>26</v>
      </c>
      <c r="D2341" s="35" t="s">
        <v>2108</v>
      </c>
      <c r="E2341" s="35" t="s">
        <v>1116</v>
      </c>
      <c r="F2341" s="34" t="s">
        <v>7081</v>
      </c>
      <c r="G2341" s="36" t="s">
        <v>19</v>
      </c>
      <c r="H2341" s="34" t="s">
        <v>5653</v>
      </c>
      <c r="I2341" s="34" t="s">
        <v>5834</v>
      </c>
      <c r="J2341" s="37">
        <v>46078.0</v>
      </c>
      <c r="K2341" s="35" t="s">
        <v>2179</v>
      </c>
      <c r="L2341" s="34">
        <v>8.0</v>
      </c>
      <c r="M2341" s="34" t="s">
        <v>2391</v>
      </c>
      <c r="N2341" s="38" t="s">
        <v>7145</v>
      </c>
      <c r="O2341" s="39" t="s">
        <v>7146</v>
      </c>
    </row>
    <row r="2342">
      <c r="A2342" s="32">
        <v>2715.0</v>
      </c>
      <c r="B2342" s="33">
        <v>46175.70954445602</v>
      </c>
      <c r="C2342" s="34" t="s">
        <v>26</v>
      </c>
      <c r="D2342" s="35" t="s">
        <v>2108</v>
      </c>
      <c r="E2342" s="35" t="s">
        <v>1116</v>
      </c>
      <c r="F2342" s="34" t="s">
        <v>7081</v>
      </c>
      <c r="G2342" s="36" t="s">
        <v>19</v>
      </c>
      <c r="H2342" s="34" t="s">
        <v>6135</v>
      </c>
      <c r="I2342" s="34" t="s">
        <v>5411</v>
      </c>
      <c r="J2342" s="37">
        <v>46136.0</v>
      </c>
      <c r="K2342" s="35" t="s">
        <v>5412</v>
      </c>
      <c r="L2342" s="34">
        <v>8.0</v>
      </c>
      <c r="M2342" s="34" t="s">
        <v>2391</v>
      </c>
      <c r="N2342" s="38" t="s">
        <v>7147</v>
      </c>
      <c r="O2342" s="39" t="s">
        <v>7148</v>
      </c>
    </row>
    <row r="2343">
      <c r="A2343" s="32">
        <v>2716.0</v>
      </c>
      <c r="B2343" s="33">
        <v>46175.76582840278</v>
      </c>
      <c r="C2343" s="34" t="s">
        <v>760</v>
      </c>
      <c r="D2343" s="35" t="s">
        <v>1424</v>
      </c>
      <c r="E2343" s="35" t="s">
        <v>110</v>
      </c>
      <c r="F2343" s="34" t="s">
        <v>1425</v>
      </c>
      <c r="G2343" s="36" t="s">
        <v>84</v>
      </c>
      <c r="H2343" s="34" t="s">
        <v>455</v>
      </c>
      <c r="I2343" s="34" t="s">
        <v>7149</v>
      </c>
      <c r="J2343" s="37">
        <v>46102.0</v>
      </c>
      <c r="K2343" s="35" t="s">
        <v>138</v>
      </c>
      <c r="L2343" s="34">
        <v>8.0</v>
      </c>
      <c r="M2343" s="34" t="s">
        <v>1425</v>
      </c>
      <c r="N2343" s="38" t="s">
        <v>7150</v>
      </c>
      <c r="O2343" s="39" t="s">
        <v>7151</v>
      </c>
    </row>
    <row r="2344">
      <c r="A2344" s="32">
        <v>2717.0</v>
      </c>
      <c r="B2344" s="33">
        <v>46175.76755224537</v>
      </c>
      <c r="C2344" s="34" t="s">
        <v>26</v>
      </c>
      <c r="D2344" s="35" t="s">
        <v>2108</v>
      </c>
      <c r="E2344" s="35" t="s">
        <v>1116</v>
      </c>
      <c r="F2344" s="34" t="s">
        <v>2109</v>
      </c>
      <c r="G2344" s="36" t="s">
        <v>19</v>
      </c>
      <c r="H2344" s="34" t="s">
        <v>6135</v>
      </c>
      <c r="I2344" s="34" t="s">
        <v>5411</v>
      </c>
      <c r="J2344" s="37">
        <v>46137.0</v>
      </c>
      <c r="K2344" s="35" t="s">
        <v>49</v>
      </c>
      <c r="L2344" s="34">
        <v>8.0</v>
      </c>
      <c r="M2344" s="34" t="s">
        <v>2391</v>
      </c>
      <c r="N2344" s="38" t="s">
        <v>7152</v>
      </c>
      <c r="O2344" s="39" t="s">
        <v>7153</v>
      </c>
    </row>
    <row r="2345">
      <c r="A2345" s="32">
        <v>2718.0</v>
      </c>
      <c r="B2345" s="33">
        <v>46175.76878465278</v>
      </c>
      <c r="C2345" s="34" t="s">
        <v>760</v>
      </c>
      <c r="D2345" s="35" t="s">
        <v>1424</v>
      </c>
      <c r="E2345" s="35" t="s">
        <v>110</v>
      </c>
      <c r="F2345" s="34" t="s">
        <v>1425</v>
      </c>
      <c r="G2345" s="36" t="s">
        <v>181</v>
      </c>
      <c r="H2345" s="34" t="s">
        <v>6347</v>
      </c>
      <c r="I2345" s="34" t="s">
        <v>231</v>
      </c>
      <c r="J2345" s="37">
        <v>46164.0</v>
      </c>
      <c r="K2345" s="35" t="s">
        <v>753</v>
      </c>
      <c r="L2345" s="34">
        <v>2.0</v>
      </c>
      <c r="M2345" s="34" t="s">
        <v>6279</v>
      </c>
      <c r="N2345" s="38" t="s">
        <v>7154</v>
      </c>
      <c r="O2345" s="39" t="s">
        <v>7155</v>
      </c>
    </row>
    <row r="2346">
      <c r="A2346" s="32">
        <v>2719.0</v>
      </c>
      <c r="B2346" s="33">
        <v>46175.76941622685</v>
      </c>
      <c r="C2346" s="34" t="s">
        <v>26</v>
      </c>
      <c r="D2346" s="35" t="s">
        <v>2108</v>
      </c>
      <c r="E2346" s="35" t="s">
        <v>1116</v>
      </c>
      <c r="F2346" s="34" t="s">
        <v>2109</v>
      </c>
      <c r="G2346" s="36" t="s">
        <v>19</v>
      </c>
      <c r="H2346" s="34" t="s">
        <v>6135</v>
      </c>
      <c r="I2346" s="34" t="s">
        <v>5411</v>
      </c>
      <c r="J2346" s="37">
        <v>46138.0</v>
      </c>
      <c r="K2346" s="35" t="s">
        <v>49</v>
      </c>
      <c r="L2346" s="34">
        <v>8.0</v>
      </c>
      <c r="M2346" s="34" t="s">
        <v>2391</v>
      </c>
      <c r="N2346" s="38" t="s">
        <v>7156</v>
      </c>
      <c r="O2346" s="39" t="s">
        <v>7157</v>
      </c>
    </row>
    <row r="2347">
      <c r="A2347" s="32">
        <v>2720.0</v>
      </c>
      <c r="B2347" s="33">
        <v>46175.789975312495</v>
      </c>
      <c r="C2347" s="34" t="s">
        <v>26</v>
      </c>
      <c r="D2347" s="35" t="s">
        <v>7158</v>
      </c>
      <c r="E2347" s="35" t="s">
        <v>1116</v>
      </c>
      <c r="F2347" s="34" t="s">
        <v>2109</v>
      </c>
      <c r="G2347" s="36" t="s">
        <v>181</v>
      </c>
      <c r="H2347" s="34" t="s">
        <v>5432</v>
      </c>
      <c r="I2347" s="34" t="s">
        <v>231</v>
      </c>
      <c r="J2347" s="37">
        <v>46133.0</v>
      </c>
      <c r="K2347" s="35" t="s">
        <v>962</v>
      </c>
      <c r="L2347" s="34">
        <v>4.0</v>
      </c>
      <c r="M2347" s="34" t="s">
        <v>33</v>
      </c>
      <c r="N2347" s="38" t="s">
        <v>7159</v>
      </c>
      <c r="O2347" s="39" t="s">
        <v>7160</v>
      </c>
    </row>
    <row r="2348">
      <c r="A2348" s="32">
        <v>2721.0</v>
      </c>
      <c r="B2348" s="33">
        <v>46175.79092724537</v>
      </c>
      <c r="C2348" s="34" t="s">
        <v>26</v>
      </c>
      <c r="D2348" s="35" t="s">
        <v>7158</v>
      </c>
      <c r="E2348" s="35" t="s">
        <v>1116</v>
      </c>
      <c r="F2348" s="34" t="s">
        <v>2109</v>
      </c>
      <c r="G2348" s="36" t="s">
        <v>181</v>
      </c>
      <c r="H2348" s="34" t="s">
        <v>5432</v>
      </c>
      <c r="I2348" s="34" t="s">
        <v>231</v>
      </c>
      <c r="J2348" s="37">
        <v>46134.0</v>
      </c>
      <c r="K2348" s="35" t="s">
        <v>962</v>
      </c>
      <c r="L2348" s="34">
        <v>4.0</v>
      </c>
      <c r="M2348" s="34" t="s">
        <v>33</v>
      </c>
      <c r="N2348" s="38" t="s">
        <v>7161</v>
      </c>
      <c r="O2348" s="39" t="s">
        <v>7162</v>
      </c>
    </row>
    <row r="2349">
      <c r="A2349" s="32">
        <v>2722.0</v>
      </c>
      <c r="B2349" s="33">
        <v>46175.79230681713</v>
      </c>
      <c r="C2349" s="34" t="s">
        <v>26</v>
      </c>
      <c r="D2349" s="35" t="s">
        <v>7158</v>
      </c>
      <c r="E2349" s="35" t="s">
        <v>1116</v>
      </c>
      <c r="F2349" s="34" t="s">
        <v>2109</v>
      </c>
      <c r="G2349" s="36" t="s">
        <v>181</v>
      </c>
      <c r="H2349" s="34" t="s">
        <v>5432</v>
      </c>
      <c r="I2349" s="34" t="s">
        <v>231</v>
      </c>
      <c r="J2349" s="37">
        <v>46135.0</v>
      </c>
      <c r="K2349" s="35" t="s">
        <v>962</v>
      </c>
      <c r="L2349" s="34">
        <v>4.0</v>
      </c>
      <c r="M2349" s="34" t="s">
        <v>33</v>
      </c>
      <c r="N2349" s="38" t="s">
        <v>7163</v>
      </c>
      <c r="O2349" s="39" t="s">
        <v>7164</v>
      </c>
    </row>
    <row r="2350">
      <c r="A2350" s="32">
        <v>2723.0</v>
      </c>
      <c r="B2350" s="33">
        <v>46175.79347123843</v>
      </c>
      <c r="C2350" s="34" t="s">
        <v>26</v>
      </c>
      <c r="D2350" s="35" t="s">
        <v>7158</v>
      </c>
      <c r="E2350" s="35" t="s">
        <v>1116</v>
      </c>
      <c r="F2350" s="34" t="s">
        <v>2109</v>
      </c>
      <c r="G2350" s="36" t="s">
        <v>181</v>
      </c>
      <c r="H2350" s="34" t="s">
        <v>5432</v>
      </c>
      <c r="I2350" s="34" t="s">
        <v>231</v>
      </c>
      <c r="J2350" s="37">
        <v>46138.0</v>
      </c>
      <c r="K2350" s="35" t="s">
        <v>3737</v>
      </c>
      <c r="L2350" s="34">
        <v>8.0</v>
      </c>
      <c r="M2350" s="34" t="s">
        <v>33</v>
      </c>
      <c r="N2350" s="38" t="s">
        <v>7165</v>
      </c>
      <c r="O2350" s="39" t="s">
        <v>7166</v>
      </c>
    </row>
    <row r="2351">
      <c r="A2351" s="32">
        <v>2724.0</v>
      </c>
      <c r="B2351" s="33">
        <v>46175.7944091088</v>
      </c>
      <c r="C2351" s="34" t="s">
        <v>26</v>
      </c>
      <c r="D2351" s="35" t="s">
        <v>7158</v>
      </c>
      <c r="E2351" s="35" t="s">
        <v>1116</v>
      </c>
      <c r="F2351" s="34" t="s">
        <v>2109</v>
      </c>
      <c r="G2351" s="36" t="s">
        <v>181</v>
      </c>
      <c r="H2351" s="34" t="s">
        <v>5432</v>
      </c>
      <c r="I2351" s="34" t="s">
        <v>6991</v>
      </c>
      <c r="J2351" s="37">
        <v>46139.0</v>
      </c>
      <c r="K2351" s="35" t="s">
        <v>962</v>
      </c>
      <c r="L2351" s="34">
        <v>4.0</v>
      </c>
      <c r="M2351" s="34" t="s">
        <v>33</v>
      </c>
      <c r="N2351" s="38" t="s">
        <v>7167</v>
      </c>
      <c r="O2351" s="39" t="s">
        <v>7168</v>
      </c>
    </row>
    <row r="2352">
      <c r="A2352" s="32">
        <v>2725.0</v>
      </c>
      <c r="B2352" s="33">
        <v>46175.84471842593</v>
      </c>
      <c r="C2352" s="34" t="s">
        <v>760</v>
      </c>
      <c r="D2352" s="35" t="s">
        <v>3406</v>
      </c>
      <c r="E2352" s="35" t="s">
        <v>134</v>
      </c>
      <c r="F2352" s="34" t="s">
        <v>3407</v>
      </c>
      <c r="G2352" s="36" t="s">
        <v>19</v>
      </c>
      <c r="H2352" s="34" t="s">
        <v>6751</v>
      </c>
      <c r="I2352" s="34" t="s">
        <v>6665</v>
      </c>
      <c r="J2352" s="37">
        <v>46158.0</v>
      </c>
      <c r="K2352" s="35" t="s">
        <v>22</v>
      </c>
      <c r="L2352" s="34">
        <v>4.0</v>
      </c>
      <c r="M2352" s="34" t="s">
        <v>87</v>
      </c>
      <c r="N2352" s="38" t="s">
        <v>7169</v>
      </c>
      <c r="O2352" s="39" t="s">
        <v>7170</v>
      </c>
    </row>
    <row r="2353">
      <c r="A2353" s="32">
        <v>2726.0</v>
      </c>
      <c r="B2353" s="33">
        <v>46175.85180791667</v>
      </c>
      <c r="C2353" s="34" t="s">
        <v>760</v>
      </c>
      <c r="D2353" s="35" t="s">
        <v>3406</v>
      </c>
      <c r="E2353" s="35" t="s">
        <v>134</v>
      </c>
      <c r="F2353" s="34" t="s">
        <v>3407</v>
      </c>
      <c r="G2353" s="36" t="s">
        <v>19</v>
      </c>
      <c r="H2353" s="34" t="s">
        <v>7171</v>
      </c>
      <c r="I2353" s="34" t="s">
        <v>7172</v>
      </c>
      <c r="J2353" s="37">
        <v>46136.0</v>
      </c>
      <c r="K2353" s="35" t="s">
        <v>5412</v>
      </c>
      <c r="L2353" s="34">
        <v>8.0</v>
      </c>
      <c r="M2353" s="34" t="s">
        <v>87</v>
      </c>
      <c r="N2353" s="38" t="s">
        <v>7173</v>
      </c>
      <c r="O2353" s="39" t="s">
        <v>7174</v>
      </c>
    </row>
    <row r="2354">
      <c r="A2354" s="32">
        <v>2727.0</v>
      </c>
      <c r="B2354" s="33">
        <v>46175.85354950231</v>
      </c>
      <c r="C2354" s="34" t="s">
        <v>760</v>
      </c>
      <c r="D2354" s="35" t="s">
        <v>3406</v>
      </c>
      <c r="E2354" s="35" t="s">
        <v>134</v>
      </c>
      <c r="F2354" s="34" t="s">
        <v>3407</v>
      </c>
      <c r="G2354" s="36" t="s">
        <v>19</v>
      </c>
      <c r="H2354" s="34" t="s">
        <v>7171</v>
      </c>
      <c r="I2354" s="34" t="s">
        <v>5411</v>
      </c>
      <c r="J2354" s="37">
        <v>46137.0</v>
      </c>
      <c r="K2354" s="35" t="s">
        <v>49</v>
      </c>
      <c r="L2354" s="34">
        <v>8.0</v>
      </c>
      <c r="M2354" s="34" t="s">
        <v>87</v>
      </c>
      <c r="N2354" s="38" t="s">
        <v>7175</v>
      </c>
      <c r="O2354" s="39" t="s">
        <v>7176</v>
      </c>
    </row>
    <row r="2355">
      <c r="A2355" s="32">
        <v>2729.0</v>
      </c>
      <c r="B2355" s="33">
        <v>46175.857533692135</v>
      </c>
      <c r="C2355" s="34" t="s">
        <v>760</v>
      </c>
      <c r="D2355" s="35" t="s">
        <v>3406</v>
      </c>
      <c r="E2355" s="35" t="s">
        <v>134</v>
      </c>
      <c r="F2355" s="34" t="s">
        <v>3407</v>
      </c>
      <c r="G2355" s="36" t="s">
        <v>181</v>
      </c>
      <c r="H2355" s="34" t="s">
        <v>5432</v>
      </c>
      <c r="I2355" s="34" t="s">
        <v>231</v>
      </c>
      <c r="J2355" s="37">
        <v>46133.0</v>
      </c>
      <c r="K2355" s="35" t="s">
        <v>962</v>
      </c>
      <c r="L2355" s="34">
        <v>4.0</v>
      </c>
      <c r="M2355" s="34" t="s">
        <v>33</v>
      </c>
      <c r="N2355" s="38" t="s">
        <v>7177</v>
      </c>
      <c r="O2355" s="39" t="s">
        <v>7178</v>
      </c>
    </row>
    <row r="2356">
      <c r="A2356" s="32">
        <v>2730.0</v>
      </c>
      <c r="B2356" s="33">
        <v>46175.858799837966</v>
      </c>
      <c r="C2356" s="34" t="s">
        <v>760</v>
      </c>
      <c r="D2356" s="35" t="s">
        <v>3406</v>
      </c>
      <c r="E2356" s="35" t="s">
        <v>134</v>
      </c>
      <c r="F2356" s="34" t="s">
        <v>3407</v>
      </c>
      <c r="G2356" s="36" t="s">
        <v>181</v>
      </c>
      <c r="H2356" s="34" t="s">
        <v>5432</v>
      </c>
      <c r="I2356" s="34" t="s">
        <v>231</v>
      </c>
      <c r="J2356" s="37">
        <v>46134.0</v>
      </c>
      <c r="K2356" s="35" t="s">
        <v>962</v>
      </c>
      <c r="L2356" s="34">
        <v>4.0</v>
      </c>
      <c r="M2356" s="34" t="s">
        <v>33</v>
      </c>
      <c r="N2356" s="38" t="s">
        <v>7179</v>
      </c>
      <c r="O2356" s="39" t="s">
        <v>7180</v>
      </c>
    </row>
    <row r="2357">
      <c r="A2357" s="32">
        <v>2731.0</v>
      </c>
      <c r="B2357" s="33">
        <v>46175.86285754629</v>
      </c>
      <c r="C2357" s="34" t="s">
        <v>760</v>
      </c>
      <c r="D2357" s="35" t="s">
        <v>3406</v>
      </c>
      <c r="E2357" s="35" t="s">
        <v>134</v>
      </c>
      <c r="F2357" s="34" t="s">
        <v>3407</v>
      </c>
      <c r="G2357" s="36" t="s">
        <v>181</v>
      </c>
      <c r="H2357" s="34" t="s">
        <v>5432</v>
      </c>
      <c r="I2357" s="34" t="s">
        <v>231</v>
      </c>
      <c r="J2357" s="37">
        <v>46135.0</v>
      </c>
      <c r="K2357" s="35" t="s">
        <v>962</v>
      </c>
      <c r="L2357" s="34">
        <v>4.0</v>
      </c>
      <c r="M2357" s="34" t="s">
        <v>33</v>
      </c>
      <c r="N2357" s="38" t="s">
        <v>7181</v>
      </c>
      <c r="O2357" s="39" t="s">
        <v>7182</v>
      </c>
    </row>
    <row r="2358">
      <c r="A2358" s="32">
        <v>2733.0</v>
      </c>
      <c r="B2358" s="33">
        <v>46175.86634508102</v>
      </c>
      <c r="C2358" s="34" t="s">
        <v>760</v>
      </c>
      <c r="D2358" s="35" t="s">
        <v>3406</v>
      </c>
      <c r="E2358" s="35" t="s">
        <v>134</v>
      </c>
      <c r="F2358" s="34" t="s">
        <v>3407</v>
      </c>
      <c r="G2358" s="36" t="s">
        <v>19</v>
      </c>
      <c r="H2358" s="34" t="s">
        <v>7171</v>
      </c>
      <c r="I2358" s="34" t="s">
        <v>5411</v>
      </c>
      <c r="J2358" s="37">
        <v>46138.0</v>
      </c>
      <c r="K2358" s="35" t="s">
        <v>49</v>
      </c>
      <c r="L2358" s="34">
        <v>8.0</v>
      </c>
      <c r="M2358" s="34" t="s">
        <v>87</v>
      </c>
      <c r="N2358" s="38" t="s">
        <v>7183</v>
      </c>
      <c r="O2358" s="39" t="s">
        <v>7184</v>
      </c>
    </row>
    <row r="2359">
      <c r="A2359" s="32">
        <v>2734.0</v>
      </c>
      <c r="B2359" s="33">
        <v>46175.87040834491</v>
      </c>
      <c r="C2359" s="34" t="s">
        <v>760</v>
      </c>
      <c r="D2359" s="35" t="s">
        <v>3406</v>
      </c>
      <c r="E2359" s="35" t="s">
        <v>134</v>
      </c>
      <c r="F2359" s="34" t="s">
        <v>3407</v>
      </c>
      <c r="G2359" s="36" t="s">
        <v>19</v>
      </c>
      <c r="H2359" s="34" t="s">
        <v>7185</v>
      </c>
      <c r="I2359" s="34" t="s">
        <v>7186</v>
      </c>
      <c r="J2359" s="37">
        <v>46078.0</v>
      </c>
      <c r="K2359" s="35" t="s">
        <v>2179</v>
      </c>
      <c r="L2359" s="34">
        <v>8.0</v>
      </c>
      <c r="M2359" s="34" t="s">
        <v>87</v>
      </c>
      <c r="N2359" s="38" t="s">
        <v>7187</v>
      </c>
      <c r="O2359" s="39" t="s">
        <v>7188</v>
      </c>
    </row>
    <row r="2360">
      <c r="A2360" s="32">
        <v>2735.0</v>
      </c>
      <c r="B2360" s="33">
        <v>46175.87345516204</v>
      </c>
      <c r="C2360" s="34" t="s">
        <v>760</v>
      </c>
      <c r="D2360" s="35" t="s">
        <v>7189</v>
      </c>
      <c r="E2360" s="35" t="s">
        <v>134</v>
      </c>
      <c r="F2360" s="34" t="s">
        <v>3407</v>
      </c>
      <c r="G2360" s="36" t="s">
        <v>181</v>
      </c>
      <c r="H2360" s="34" t="s">
        <v>6022</v>
      </c>
      <c r="I2360" s="34" t="s">
        <v>6026</v>
      </c>
      <c r="J2360" s="37">
        <v>46147.0</v>
      </c>
      <c r="K2360" s="35" t="s">
        <v>3287</v>
      </c>
      <c r="L2360" s="34">
        <v>3.0</v>
      </c>
      <c r="M2360" s="34" t="s">
        <v>1325</v>
      </c>
      <c r="N2360" s="38" t="s">
        <v>7190</v>
      </c>
      <c r="O2360" s="39" t="s">
        <v>7191</v>
      </c>
    </row>
    <row r="2361">
      <c r="A2361" s="32">
        <v>2736.0</v>
      </c>
      <c r="B2361" s="33">
        <v>46175.87535128472</v>
      </c>
      <c r="C2361" s="34" t="s">
        <v>760</v>
      </c>
      <c r="D2361" s="35" t="s">
        <v>3406</v>
      </c>
      <c r="E2361" s="35" t="s">
        <v>134</v>
      </c>
      <c r="F2361" s="34" t="s">
        <v>3407</v>
      </c>
      <c r="G2361" s="36" t="s">
        <v>181</v>
      </c>
      <c r="H2361" s="34" t="s">
        <v>5432</v>
      </c>
      <c r="I2361" s="34" t="s">
        <v>7192</v>
      </c>
      <c r="J2361" s="37">
        <v>46139.0</v>
      </c>
      <c r="K2361" s="35" t="s">
        <v>962</v>
      </c>
      <c r="L2361" s="34">
        <v>4.0</v>
      </c>
      <c r="M2361" s="34" t="s">
        <v>33</v>
      </c>
      <c r="N2361" s="38" t="s">
        <v>7193</v>
      </c>
      <c r="O2361" s="39" t="s">
        <v>7194</v>
      </c>
    </row>
    <row r="2362">
      <c r="A2362" s="32">
        <v>2737.0</v>
      </c>
      <c r="B2362" s="33">
        <v>46175.88513333333</v>
      </c>
      <c r="C2362" s="34" t="s">
        <v>760</v>
      </c>
      <c r="D2362" s="35" t="s">
        <v>3406</v>
      </c>
      <c r="E2362" s="35" t="s">
        <v>134</v>
      </c>
      <c r="F2362" s="34" t="s">
        <v>3407</v>
      </c>
      <c r="G2362" s="36" t="s">
        <v>181</v>
      </c>
      <c r="H2362" s="34" t="s">
        <v>6347</v>
      </c>
      <c r="I2362" s="34" t="s">
        <v>231</v>
      </c>
      <c r="J2362" s="37">
        <v>46195.0</v>
      </c>
      <c r="K2362" s="35" t="s">
        <v>753</v>
      </c>
      <c r="L2362" s="34">
        <v>2.0</v>
      </c>
      <c r="M2362" s="34" t="s">
        <v>3607</v>
      </c>
      <c r="N2362" s="38" t="s">
        <v>7195</v>
      </c>
      <c r="O2362" s="39" t="s">
        <v>7196</v>
      </c>
    </row>
    <row r="2363">
      <c r="A2363" s="32">
        <v>2739.0</v>
      </c>
      <c r="B2363" s="33">
        <v>46175.88983047454</v>
      </c>
      <c r="C2363" s="34" t="s">
        <v>760</v>
      </c>
      <c r="D2363" s="35" t="s">
        <v>829</v>
      </c>
      <c r="E2363" s="35" t="s">
        <v>830</v>
      </c>
      <c r="F2363" s="34" t="s">
        <v>831</v>
      </c>
      <c r="G2363" s="36" t="s">
        <v>3171</v>
      </c>
      <c r="H2363" s="34" t="s">
        <v>7197</v>
      </c>
      <c r="I2363" s="34" t="s">
        <v>825</v>
      </c>
      <c r="J2363" s="37">
        <v>46157.0</v>
      </c>
      <c r="K2363" s="35" t="s">
        <v>7198</v>
      </c>
      <c r="L2363" s="34">
        <v>2.0</v>
      </c>
      <c r="M2363" s="34" t="s">
        <v>6658</v>
      </c>
      <c r="N2363" s="38" t="s">
        <v>7199</v>
      </c>
      <c r="O2363" s="39" t="s">
        <v>7200</v>
      </c>
    </row>
    <row r="2364">
      <c r="A2364" s="32">
        <v>2740.0</v>
      </c>
      <c r="B2364" s="33">
        <v>46175.91403528935</v>
      </c>
      <c r="C2364" s="34" t="s">
        <v>15</v>
      </c>
      <c r="D2364" s="35" t="s">
        <v>2114</v>
      </c>
      <c r="E2364" s="35" t="s">
        <v>319</v>
      </c>
      <c r="F2364" s="34" t="s">
        <v>2115</v>
      </c>
      <c r="G2364" s="36" t="s">
        <v>84</v>
      </c>
      <c r="H2364" s="34" t="s">
        <v>85</v>
      </c>
      <c r="I2364" s="34" t="s">
        <v>456</v>
      </c>
      <c r="J2364" s="37">
        <v>46175.0</v>
      </c>
      <c r="K2364" s="35" t="s">
        <v>2053</v>
      </c>
      <c r="L2364" s="34">
        <v>8.0</v>
      </c>
      <c r="M2364" s="34" t="s">
        <v>23</v>
      </c>
      <c r="N2364" s="38" t="s">
        <v>7201</v>
      </c>
      <c r="O2364" s="39" t="s">
        <v>7202</v>
      </c>
    </row>
    <row r="2365">
      <c r="A2365" s="32">
        <v>2741.0</v>
      </c>
      <c r="B2365" s="33">
        <v>46175.936810486106</v>
      </c>
      <c r="C2365" s="34" t="s">
        <v>760</v>
      </c>
      <c r="D2365" s="35" t="s">
        <v>2745</v>
      </c>
      <c r="E2365" s="35" t="s">
        <v>214</v>
      </c>
      <c r="F2365" s="34" t="s">
        <v>2746</v>
      </c>
      <c r="G2365" s="36" t="s">
        <v>181</v>
      </c>
      <c r="H2365" s="34" t="s">
        <v>5432</v>
      </c>
      <c r="I2365" s="34" t="s">
        <v>231</v>
      </c>
      <c r="J2365" s="37">
        <v>46138.0</v>
      </c>
      <c r="K2365" s="35" t="s">
        <v>3737</v>
      </c>
      <c r="L2365" s="34">
        <v>8.0</v>
      </c>
      <c r="M2365" s="34" t="s">
        <v>33</v>
      </c>
      <c r="N2365" s="38" t="s">
        <v>7203</v>
      </c>
      <c r="O2365" s="39" t="s">
        <v>7204</v>
      </c>
    </row>
    <row r="2366">
      <c r="A2366" s="32">
        <v>2742.0</v>
      </c>
      <c r="B2366" s="33">
        <v>46175.938700694445</v>
      </c>
      <c r="C2366" s="34" t="s">
        <v>760</v>
      </c>
      <c r="D2366" s="35" t="s">
        <v>2745</v>
      </c>
      <c r="E2366" s="35" t="s">
        <v>214</v>
      </c>
      <c r="F2366" s="34" t="s">
        <v>2746</v>
      </c>
      <c r="G2366" s="36" t="s">
        <v>181</v>
      </c>
      <c r="H2366" s="34" t="s">
        <v>5432</v>
      </c>
      <c r="I2366" s="34" t="s">
        <v>5437</v>
      </c>
      <c r="J2366" s="37">
        <v>46139.0</v>
      </c>
      <c r="K2366" s="35" t="s">
        <v>962</v>
      </c>
      <c r="L2366" s="34">
        <v>4.0</v>
      </c>
      <c r="M2366" s="34" t="s">
        <v>33</v>
      </c>
      <c r="N2366" s="38" t="s">
        <v>7205</v>
      </c>
      <c r="O2366" s="39" t="s">
        <v>7206</v>
      </c>
    </row>
    <row r="2367">
      <c r="A2367" s="32">
        <v>2743.0</v>
      </c>
      <c r="B2367" s="33">
        <v>46175.94189368056</v>
      </c>
      <c r="C2367" s="34" t="s">
        <v>760</v>
      </c>
      <c r="D2367" s="35" t="s">
        <v>2745</v>
      </c>
      <c r="E2367" s="35" t="s">
        <v>214</v>
      </c>
      <c r="F2367" s="34" t="s">
        <v>2746</v>
      </c>
      <c r="G2367" s="36" t="s">
        <v>181</v>
      </c>
      <c r="H2367" s="34" t="s">
        <v>6347</v>
      </c>
      <c r="I2367" s="34" t="s">
        <v>6356</v>
      </c>
      <c r="J2367" s="37">
        <v>46164.0</v>
      </c>
      <c r="K2367" s="35" t="s">
        <v>753</v>
      </c>
      <c r="L2367" s="34">
        <v>2.0</v>
      </c>
      <c r="M2367" s="34" t="s">
        <v>3607</v>
      </c>
      <c r="N2367" s="38" t="s">
        <v>7207</v>
      </c>
      <c r="O2367" s="39" t="s">
        <v>7208</v>
      </c>
    </row>
    <row r="2368">
      <c r="A2368" s="32">
        <v>2744.0</v>
      </c>
      <c r="B2368" s="33">
        <v>46175.943842395835</v>
      </c>
      <c r="C2368" s="34" t="s">
        <v>760</v>
      </c>
      <c r="D2368" s="35" t="s">
        <v>2745</v>
      </c>
      <c r="E2368" s="35" t="s">
        <v>214</v>
      </c>
      <c r="F2368" s="34" t="s">
        <v>2746</v>
      </c>
      <c r="G2368" s="36" t="s">
        <v>181</v>
      </c>
      <c r="H2368" s="34" t="s">
        <v>6022</v>
      </c>
      <c r="I2368" s="34" t="s">
        <v>6026</v>
      </c>
      <c r="J2368" s="37">
        <v>46147.0</v>
      </c>
      <c r="K2368" s="35" t="s">
        <v>3287</v>
      </c>
      <c r="L2368" s="34">
        <v>3.0</v>
      </c>
      <c r="M2368" s="34" t="s">
        <v>1325</v>
      </c>
      <c r="N2368" s="38" t="s">
        <v>7209</v>
      </c>
      <c r="O2368" s="39" t="s">
        <v>7210</v>
      </c>
    </row>
    <row r="2369">
      <c r="A2369" s="32">
        <v>2745.0</v>
      </c>
      <c r="B2369" s="33">
        <v>46175.9466175</v>
      </c>
      <c r="C2369" s="34" t="s">
        <v>760</v>
      </c>
      <c r="D2369" s="35" t="s">
        <v>2745</v>
      </c>
      <c r="E2369" s="35" t="s">
        <v>214</v>
      </c>
      <c r="F2369" s="34" t="s">
        <v>2746</v>
      </c>
      <c r="G2369" s="36" t="s">
        <v>19</v>
      </c>
      <c r="H2369" s="34" t="s">
        <v>7211</v>
      </c>
      <c r="I2369" s="34" t="s">
        <v>4741</v>
      </c>
      <c r="J2369" s="37">
        <v>46121.0</v>
      </c>
      <c r="K2369" s="35" t="s">
        <v>283</v>
      </c>
      <c r="L2369" s="34">
        <v>2.0</v>
      </c>
      <c r="M2369" s="34" t="s">
        <v>6109</v>
      </c>
      <c r="N2369" s="38" t="s">
        <v>7212</v>
      </c>
      <c r="O2369" s="39" t="s">
        <v>7213</v>
      </c>
    </row>
    <row r="2370">
      <c r="A2370" s="32">
        <v>2746.0</v>
      </c>
      <c r="B2370" s="33">
        <v>46176.34873238426</v>
      </c>
      <c r="C2370" s="34" t="s">
        <v>760</v>
      </c>
      <c r="D2370" s="35" t="s">
        <v>2560</v>
      </c>
      <c r="E2370" s="35" t="s">
        <v>1023</v>
      </c>
      <c r="F2370" s="34" t="s">
        <v>2561</v>
      </c>
      <c r="G2370" s="36" t="s">
        <v>19</v>
      </c>
      <c r="H2370" s="34" t="s">
        <v>7214</v>
      </c>
      <c r="I2370" s="34" t="s">
        <v>4741</v>
      </c>
      <c r="J2370" s="37">
        <v>46121.0</v>
      </c>
      <c r="K2370" s="35" t="s">
        <v>2328</v>
      </c>
      <c r="L2370" s="34">
        <v>8.0</v>
      </c>
      <c r="M2370" s="34" t="s">
        <v>6109</v>
      </c>
      <c r="N2370" s="38" t="s">
        <v>7215</v>
      </c>
      <c r="O2370" s="39" t="s">
        <v>7216</v>
      </c>
    </row>
    <row r="2371">
      <c r="A2371" s="32">
        <v>2747.0</v>
      </c>
      <c r="B2371" s="33">
        <v>46176.3499821875</v>
      </c>
      <c r="C2371" s="34" t="s">
        <v>15</v>
      </c>
      <c r="D2371" s="35" t="s">
        <v>2044</v>
      </c>
      <c r="E2371" s="35" t="s">
        <v>134</v>
      </c>
      <c r="F2371" s="34" t="s">
        <v>2045</v>
      </c>
      <c r="G2371" s="36" t="s">
        <v>181</v>
      </c>
      <c r="H2371" s="34" t="s">
        <v>7217</v>
      </c>
      <c r="I2371" s="34" t="s">
        <v>231</v>
      </c>
      <c r="J2371" s="37">
        <v>46147.0</v>
      </c>
      <c r="K2371" s="35" t="s">
        <v>315</v>
      </c>
      <c r="L2371" s="34">
        <v>8.0</v>
      </c>
      <c r="M2371" s="34" t="s">
        <v>244</v>
      </c>
      <c r="N2371" s="38" t="s">
        <v>7218</v>
      </c>
      <c r="O2371" s="39" t="s">
        <v>7219</v>
      </c>
    </row>
    <row r="2372">
      <c r="A2372" s="32">
        <v>2749.0</v>
      </c>
      <c r="B2372" s="33">
        <v>46176.35701334491</v>
      </c>
      <c r="C2372" s="34" t="s">
        <v>760</v>
      </c>
      <c r="D2372" s="35" t="s">
        <v>1334</v>
      </c>
      <c r="E2372" s="35" t="s">
        <v>404</v>
      </c>
      <c r="F2372" s="34" t="s">
        <v>7220</v>
      </c>
      <c r="G2372" s="36" t="s">
        <v>19</v>
      </c>
      <c r="H2372" s="34" t="s">
        <v>5326</v>
      </c>
      <c r="I2372" s="34" t="s">
        <v>2984</v>
      </c>
      <c r="J2372" s="37">
        <v>46039.0</v>
      </c>
      <c r="K2372" s="35" t="s">
        <v>49</v>
      </c>
      <c r="L2372" s="34">
        <v>8.0</v>
      </c>
      <c r="M2372" s="34" t="s">
        <v>33</v>
      </c>
      <c r="N2372" s="38" t="s">
        <v>7221</v>
      </c>
      <c r="O2372" s="39" t="s">
        <v>7222</v>
      </c>
    </row>
    <row r="2373">
      <c r="A2373" s="32">
        <v>2750.0</v>
      </c>
      <c r="B2373" s="33">
        <v>46176.35797880787</v>
      </c>
      <c r="C2373" s="34" t="s">
        <v>15</v>
      </c>
      <c r="D2373" s="35" t="s">
        <v>2044</v>
      </c>
      <c r="E2373" s="35" t="s">
        <v>134</v>
      </c>
      <c r="F2373" s="34" t="s">
        <v>2045</v>
      </c>
      <c r="G2373" s="36" t="s">
        <v>181</v>
      </c>
      <c r="H2373" s="34" t="s">
        <v>7223</v>
      </c>
      <c r="I2373" s="34" t="s">
        <v>5342</v>
      </c>
      <c r="J2373" s="37">
        <v>46094.0</v>
      </c>
      <c r="K2373" s="35" t="s">
        <v>2659</v>
      </c>
      <c r="L2373" s="34">
        <v>1.0</v>
      </c>
      <c r="M2373" s="34" t="s">
        <v>219</v>
      </c>
      <c r="N2373" s="38" t="s">
        <v>7224</v>
      </c>
      <c r="O2373" s="39" t="s">
        <v>7225</v>
      </c>
    </row>
    <row r="2374">
      <c r="A2374" s="32">
        <v>2751.0</v>
      </c>
      <c r="B2374" s="33">
        <v>46176.359695798616</v>
      </c>
      <c r="C2374" s="34" t="s">
        <v>760</v>
      </c>
      <c r="D2374" s="35" t="s">
        <v>1334</v>
      </c>
      <c r="E2374" s="35" t="s">
        <v>404</v>
      </c>
      <c r="F2374" s="34" t="s">
        <v>7220</v>
      </c>
      <c r="G2374" s="36" t="s">
        <v>181</v>
      </c>
      <c r="H2374" s="34" t="s">
        <v>6583</v>
      </c>
      <c r="I2374" s="34" t="s">
        <v>231</v>
      </c>
      <c r="J2374" s="37">
        <v>46031.0</v>
      </c>
      <c r="K2374" s="35" t="s">
        <v>457</v>
      </c>
      <c r="L2374" s="34">
        <v>4.0</v>
      </c>
      <c r="M2374" s="34" t="s">
        <v>87</v>
      </c>
      <c r="N2374" s="38" t="s">
        <v>7226</v>
      </c>
      <c r="O2374" s="39" t="s">
        <v>7227</v>
      </c>
    </row>
    <row r="2375">
      <c r="A2375" s="32">
        <v>2752.0</v>
      </c>
      <c r="B2375" s="33">
        <v>46176.36164741898</v>
      </c>
      <c r="C2375" s="34" t="s">
        <v>760</v>
      </c>
      <c r="D2375" s="35" t="s">
        <v>1334</v>
      </c>
      <c r="E2375" s="35" t="s">
        <v>404</v>
      </c>
      <c r="F2375" s="34" t="s">
        <v>7220</v>
      </c>
      <c r="G2375" s="36" t="s">
        <v>19</v>
      </c>
      <c r="H2375" s="34" t="s">
        <v>5369</v>
      </c>
      <c r="I2375" s="34" t="s">
        <v>5370</v>
      </c>
      <c r="J2375" s="37">
        <v>46032.0</v>
      </c>
      <c r="K2375" s="35" t="s">
        <v>2328</v>
      </c>
      <c r="L2375" s="34">
        <v>8.0</v>
      </c>
      <c r="M2375" s="34" t="s">
        <v>87</v>
      </c>
      <c r="N2375" s="38" t="s">
        <v>7228</v>
      </c>
      <c r="O2375" s="39" t="s">
        <v>7229</v>
      </c>
    </row>
    <row r="2376">
      <c r="A2376" s="32">
        <v>2753.0</v>
      </c>
      <c r="B2376" s="33">
        <v>46176.36290069444</v>
      </c>
      <c r="C2376" s="34" t="s">
        <v>760</v>
      </c>
      <c r="D2376" s="35" t="s">
        <v>1184</v>
      </c>
      <c r="E2376" s="35" t="s">
        <v>1185</v>
      </c>
      <c r="F2376" s="34" t="s">
        <v>7230</v>
      </c>
      <c r="G2376" s="36" t="s">
        <v>181</v>
      </c>
      <c r="H2376" s="34" t="s">
        <v>5432</v>
      </c>
      <c r="I2376" s="34" t="s">
        <v>231</v>
      </c>
      <c r="J2376" s="37">
        <v>46133.0</v>
      </c>
      <c r="K2376" s="35" t="s">
        <v>6414</v>
      </c>
      <c r="L2376" s="34">
        <v>4.0</v>
      </c>
      <c r="M2376" s="34" t="s">
        <v>33</v>
      </c>
      <c r="N2376" s="38" t="s">
        <v>7231</v>
      </c>
      <c r="O2376" s="39" t="s">
        <v>7232</v>
      </c>
    </row>
    <row r="2377">
      <c r="A2377" s="32">
        <v>2754.0</v>
      </c>
      <c r="B2377" s="33">
        <v>46176.36386967593</v>
      </c>
      <c r="C2377" s="34" t="s">
        <v>760</v>
      </c>
      <c r="D2377" s="35" t="s">
        <v>1184</v>
      </c>
      <c r="E2377" s="35" t="s">
        <v>1185</v>
      </c>
      <c r="F2377" s="34" t="s">
        <v>7233</v>
      </c>
      <c r="G2377" s="36" t="s">
        <v>181</v>
      </c>
      <c r="H2377" s="34" t="s">
        <v>5432</v>
      </c>
      <c r="I2377" s="34" t="s">
        <v>231</v>
      </c>
      <c r="J2377" s="37">
        <v>46134.0</v>
      </c>
      <c r="K2377" s="35" t="s">
        <v>6414</v>
      </c>
      <c r="L2377" s="34">
        <v>4.0</v>
      </c>
      <c r="M2377" s="34" t="s">
        <v>33</v>
      </c>
      <c r="N2377" s="38" t="s">
        <v>7234</v>
      </c>
      <c r="O2377" s="39" t="s">
        <v>7235</v>
      </c>
    </row>
    <row r="2378">
      <c r="A2378" s="32">
        <v>2755.0</v>
      </c>
      <c r="B2378" s="33">
        <v>46176.365050312495</v>
      </c>
      <c r="C2378" s="34" t="s">
        <v>760</v>
      </c>
      <c r="D2378" s="35" t="s">
        <v>1184</v>
      </c>
      <c r="E2378" s="35" t="s">
        <v>1185</v>
      </c>
      <c r="F2378" s="34" t="s">
        <v>7233</v>
      </c>
      <c r="G2378" s="36" t="s">
        <v>181</v>
      </c>
      <c r="H2378" s="34" t="s">
        <v>5432</v>
      </c>
      <c r="I2378" s="34" t="s">
        <v>231</v>
      </c>
      <c r="J2378" s="37">
        <v>46135.0</v>
      </c>
      <c r="K2378" s="35" t="s">
        <v>6414</v>
      </c>
      <c r="L2378" s="34">
        <v>4.0</v>
      </c>
      <c r="M2378" s="34" t="s">
        <v>33</v>
      </c>
      <c r="N2378" s="38" t="s">
        <v>7236</v>
      </c>
      <c r="O2378" s="39" t="s">
        <v>7237</v>
      </c>
    </row>
    <row r="2379">
      <c r="A2379" s="32">
        <v>2757.0</v>
      </c>
      <c r="B2379" s="33">
        <v>46176.36938792824</v>
      </c>
      <c r="C2379" s="34" t="s">
        <v>760</v>
      </c>
      <c r="D2379" s="35" t="s">
        <v>1763</v>
      </c>
      <c r="E2379" s="35" t="s">
        <v>1764</v>
      </c>
      <c r="F2379" s="34" t="s">
        <v>1765</v>
      </c>
      <c r="G2379" s="36" t="s">
        <v>181</v>
      </c>
      <c r="H2379" s="34" t="s">
        <v>6583</v>
      </c>
      <c r="I2379" s="34" t="s">
        <v>1211</v>
      </c>
      <c r="J2379" s="37">
        <v>46031.0</v>
      </c>
      <c r="K2379" s="35" t="s">
        <v>457</v>
      </c>
      <c r="L2379" s="34">
        <v>4.0</v>
      </c>
      <c r="M2379" s="34" t="s">
        <v>87</v>
      </c>
      <c r="N2379" s="38" t="s">
        <v>7238</v>
      </c>
      <c r="O2379" s="39" t="s">
        <v>7239</v>
      </c>
    </row>
    <row r="2380">
      <c r="A2380" s="32">
        <v>2758.0</v>
      </c>
      <c r="B2380" s="33">
        <v>46176.3714687037</v>
      </c>
      <c r="C2380" s="34" t="s">
        <v>760</v>
      </c>
      <c r="D2380" s="35" t="s">
        <v>1334</v>
      </c>
      <c r="E2380" s="35" t="s">
        <v>404</v>
      </c>
      <c r="F2380" s="34" t="s">
        <v>7220</v>
      </c>
      <c r="G2380" s="36" t="s">
        <v>181</v>
      </c>
      <c r="H2380" s="34" t="s">
        <v>5432</v>
      </c>
      <c r="I2380" s="34" t="s">
        <v>231</v>
      </c>
      <c r="J2380" s="37">
        <v>46133.0</v>
      </c>
      <c r="K2380" s="35" t="s">
        <v>962</v>
      </c>
      <c r="L2380" s="34">
        <v>4.0</v>
      </c>
      <c r="M2380" s="34" t="s">
        <v>33</v>
      </c>
      <c r="N2380" s="38" t="s">
        <v>7240</v>
      </c>
      <c r="O2380" s="39" t="s">
        <v>7241</v>
      </c>
    </row>
    <row r="2381">
      <c r="A2381" s="32">
        <v>2759.0</v>
      </c>
      <c r="B2381" s="33">
        <v>46176.37190824074</v>
      </c>
      <c r="C2381" s="34" t="s">
        <v>760</v>
      </c>
      <c r="D2381" s="35" t="s">
        <v>1763</v>
      </c>
      <c r="E2381" s="35" t="s">
        <v>1764</v>
      </c>
      <c r="F2381" s="34" t="s">
        <v>1765</v>
      </c>
      <c r="G2381" s="36" t="s">
        <v>19</v>
      </c>
      <c r="H2381" s="34" t="s">
        <v>7242</v>
      </c>
      <c r="I2381" s="34" t="s">
        <v>2029</v>
      </c>
      <c r="J2381" s="37">
        <v>46078.0</v>
      </c>
      <c r="K2381" s="35" t="s">
        <v>2179</v>
      </c>
      <c r="L2381" s="34">
        <v>8.0</v>
      </c>
      <c r="M2381" s="34" t="s">
        <v>87</v>
      </c>
      <c r="N2381" s="38" t="s">
        <v>7243</v>
      </c>
      <c r="O2381" s="39" t="s">
        <v>7244</v>
      </c>
    </row>
    <row r="2382">
      <c r="A2382" s="32">
        <v>2760.0</v>
      </c>
      <c r="B2382" s="33">
        <v>46176.37569987269</v>
      </c>
      <c r="C2382" s="34" t="s">
        <v>760</v>
      </c>
      <c r="D2382" s="35" t="s">
        <v>1184</v>
      </c>
      <c r="E2382" s="35" t="s">
        <v>1185</v>
      </c>
      <c r="F2382" s="34" t="s">
        <v>7233</v>
      </c>
      <c r="G2382" s="36" t="s">
        <v>181</v>
      </c>
      <c r="H2382" s="34" t="s">
        <v>5456</v>
      </c>
      <c r="I2382" s="34" t="s">
        <v>1211</v>
      </c>
      <c r="J2382" s="37">
        <v>46138.0</v>
      </c>
      <c r="K2382" s="35" t="s">
        <v>6460</v>
      </c>
      <c r="L2382" s="34">
        <v>6.0</v>
      </c>
      <c r="M2382" s="34" t="s">
        <v>33</v>
      </c>
      <c r="N2382" s="38" t="s">
        <v>7245</v>
      </c>
      <c r="O2382" s="39" t="s">
        <v>7246</v>
      </c>
    </row>
    <row r="2383">
      <c r="A2383" s="32">
        <v>2761.0</v>
      </c>
      <c r="B2383" s="33">
        <v>46176.37591836805</v>
      </c>
      <c r="C2383" s="34" t="s">
        <v>760</v>
      </c>
      <c r="D2383" s="35" t="s">
        <v>1763</v>
      </c>
      <c r="E2383" s="35" t="s">
        <v>1764</v>
      </c>
      <c r="F2383" s="34" t="s">
        <v>1765</v>
      </c>
      <c r="G2383" s="36" t="s">
        <v>19</v>
      </c>
      <c r="H2383" s="34" t="s">
        <v>5369</v>
      </c>
      <c r="I2383" s="34" t="s">
        <v>5370</v>
      </c>
      <c r="J2383" s="37">
        <v>46122.0</v>
      </c>
      <c r="K2383" s="35" t="s">
        <v>2328</v>
      </c>
      <c r="L2383" s="34">
        <v>8.0</v>
      </c>
      <c r="M2383" s="34" t="s">
        <v>87</v>
      </c>
      <c r="N2383" s="38" t="s">
        <v>7247</v>
      </c>
      <c r="O2383" s="39" t="s">
        <v>7248</v>
      </c>
    </row>
    <row r="2384">
      <c r="A2384" s="32">
        <v>2762.0</v>
      </c>
      <c r="B2384" s="33">
        <v>46176.37615622685</v>
      </c>
      <c r="C2384" s="34" t="s">
        <v>760</v>
      </c>
      <c r="D2384" s="35" t="s">
        <v>1334</v>
      </c>
      <c r="E2384" s="35" t="s">
        <v>404</v>
      </c>
      <c r="F2384" s="34" t="s">
        <v>7220</v>
      </c>
      <c r="G2384" s="36" t="s">
        <v>181</v>
      </c>
      <c r="H2384" s="34" t="s">
        <v>7249</v>
      </c>
      <c r="I2384" s="34" t="s">
        <v>231</v>
      </c>
      <c r="J2384" s="37">
        <v>46134.0</v>
      </c>
      <c r="K2384" s="35" t="s">
        <v>962</v>
      </c>
      <c r="L2384" s="34">
        <v>4.0</v>
      </c>
      <c r="M2384" s="34" t="s">
        <v>7250</v>
      </c>
      <c r="N2384" s="38" t="s">
        <v>7251</v>
      </c>
      <c r="O2384" s="39" t="s">
        <v>7252</v>
      </c>
    </row>
    <row r="2385">
      <c r="A2385" s="32">
        <v>2763.0</v>
      </c>
      <c r="B2385" s="33">
        <v>46176.37693658565</v>
      </c>
      <c r="C2385" s="34" t="s">
        <v>760</v>
      </c>
      <c r="D2385" s="35" t="s">
        <v>1184</v>
      </c>
      <c r="E2385" s="35" t="s">
        <v>1185</v>
      </c>
      <c r="F2385" s="34" t="s">
        <v>7233</v>
      </c>
      <c r="G2385" s="36" t="s">
        <v>181</v>
      </c>
      <c r="H2385" s="34" t="s">
        <v>5456</v>
      </c>
      <c r="I2385" s="34" t="s">
        <v>5437</v>
      </c>
      <c r="J2385" s="37">
        <v>46139.0</v>
      </c>
      <c r="K2385" s="35" t="s">
        <v>7253</v>
      </c>
      <c r="L2385" s="34">
        <v>4.0</v>
      </c>
      <c r="M2385" s="34" t="s">
        <v>33</v>
      </c>
      <c r="N2385" s="38" t="s">
        <v>7254</v>
      </c>
      <c r="O2385" s="39" t="s">
        <v>7255</v>
      </c>
    </row>
    <row r="2386">
      <c r="A2386" s="32">
        <v>2764.0</v>
      </c>
      <c r="B2386" s="33">
        <v>46176.37746870371</v>
      </c>
      <c r="C2386" s="34" t="s">
        <v>760</v>
      </c>
      <c r="D2386" s="35" t="s">
        <v>1763</v>
      </c>
      <c r="E2386" s="35" t="s">
        <v>1764</v>
      </c>
      <c r="F2386" s="34" t="s">
        <v>1765</v>
      </c>
      <c r="G2386" s="36" t="s">
        <v>181</v>
      </c>
      <c r="H2386" s="34" t="s">
        <v>6022</v>
      </c>
      <c r="I2386" s="34" t="s">
        <v>6026</v>
      </c>
      <c r="J2386" s="37">
        <v>46147.0</v>
      </c>
      <c r="K2386" s="35" t="s">
        <v>3287</v>
      </c>
      <c r="L2386" s="34">
        <v>3.0</v>
      </c>
      <c r="M2386" s="34" t="s">
        <v>1325</v>
      </c>
      <c r="N2386" s="38" t="s">
        <v>7256</v>
      </c>
      <c r="O2386" s="39" t="s">
        <v>7257</v>
      </c>
    </row>
    <row r="2387">
      <c r="A2387" s="32">
        <v>2765.0</v>
      </c>
      <c r="B2387" s="33">
        <v>46176.37777803241</v>
      </c>
      <c r="C2387" s="34" t="s">
        <v>760</v>
      </c>
      <c r="D2387" s="35" t="s">
        <v>1334</v>
      </c>
      <c r="E2387" s="35" t="s">
        <v>404</v>
      </c>
      <c r="F2387" s="34" t="s">
        <v>7220</v>
      </c>
      <c r="G2387" s="36" t="s">
        <v>181</v>
      </c>
      <c r="H2387" s="34" t="s">
        <v>5432</v>
      </c>
      <c r="I2387" s="34" t="s">
        <v>231</v>
      </c>
      <c r="J2387" s="37">
        <v>46135.0</v>
      </c>
      <c r="K2387" s="35" t="s">
        <v>962</v>
      </c>
      <c r="L2387" s="34">
        <v>4.0</v>
      </c>
      <c r="M2387" s="34" t="s">
        <v>33</v>
      </c>
      <c r="N2387" s="38" t="s">
        <v>7258</v>
      </c>
      <c r="O2387" s="39" t="s">
        <v>7259</v>
      </c>
    </row>
    <row r="2388">
      <c r="A2388" s="32">
        <v>2766.0</v>
      </c>
      <c r="B2388" s="33">
        <v>46176.378777418984</v>
      </c>
      <c r="C2388" s="34" t="s">
        <v>760</v>
      </c>
      <c r="D2388" s="35" t="s">
        <v>1763</v>
      </c>
      <c r="E2388" s="35" t="s">
        <v>1764</v>
      </c>
      <c r="F2388" s="34" t="s">
        <v>1765</v>
      </c>
      <c r="G2388" s="36" t="s">
        <v>181</v>
      </c>
      <c r="H2388" s="34" t="s">
        <v>6347</v>
      </c>
      <c r="I2388" s="34" t="s">
        <v>6356</v>
      </c>
      <c r="J2388" s="37">
        <v>46164.0</v>
      </c>
      <c r="K2388" s="35" t="s">
        <v>753</v>
      </c>
      <c r="L2388" s="34">
        <v>2.0</v>
      </c>
      <c r="M2388" s="34" t="s">
        <v>3607</v>
      </c>
      <c r="N2388" s="38" t="s">
        <v>7260</v>
      </c>
      <c r="O2388" s="39" t="s">
        <v>7261</v>
      </c>
    </row>
    <row r="2389">
      <c r="A2389" s="32">
        <v>2767.0</v>
      </c>
      <c r="B2389" s="33">
        <v>46176.37963005787</v>
      </c>
      <c r="C2389" s="34" t="s">
        <v>760</v>
      </c>
      <c r="D2389" s="35" t="s">
        <v>1334</v>
      </c>
      <c r="E2389" s="35" t="s">
        <v>404</v>
      </c>
      <c r="F2389" s="34" t="s">
        <v>7220</v>
      </c>
      <c r="G2389" s="36" t="s">
        <v>181</v>
      </c>
      <c r="H2389" s="34" t="s">
        <v>5432</v>
      </c>
      <c r="I2389" s="34" t="s">
        <v>231</v>
      </c>
      <c r="J2389" s="37">
        <v>46138.0</v>
      </c>
      <c r="K2389" s="35" t="s">
        <v>3737</v>
      </c>
      <c r="L2389" s="34">
        <v>8.0</v>
      </c>
      <c r="M2389" s="34" t="s">
        <v>33</v>
      </c>
      <c r="N2389" s="38" t="s">
        <v>7262</v>
      </c>
      <c r="O2389" s="39" t="s">
        <v>7263</v>
      </c>
    </row>
    <row r="2390">
      <c r="A2390" s="32">
        <v>2768.0</v>
      </c>
      <c r="B2390" s="33">
        <v>46176.380738125</v>
      </c>
      <c r="C2390" s="34" t="s">
        <v>760</v>
      </c>
      <c r="D2390" s="35" t="s">
        <v>3848</v>
      </c>
      <c r="E2390" s="35" t="s">
        <v>574</v>
      </c>
      <c r="F2390" s="34" t="s">
        <v>3849</v>
      </c>
      <c r="G2390" s="36" t="s">
        <v>181</v>
      </c>
      <c r="H2390" s="34" t="s">
        <v>6022</v>
      </c>
      <c r="I2390" s="34" t="s">
        <v>6023</v>
      </c>
      <c r="J2390" s="37">
        <v>46147.0</v>
      </c>
      <c r="K2390" s="35" t="s">
        <v>3287</v>
      </c>
      <c r="L2390" s="34">
        <v>3.0</v>
      </c>
      <c r="M2390" s="34" t="s">
        <v>1325</v>
      </c>
      <c r="N2390" s="38" t="s">
        <v>7264</v>
      </c>
      <c r="O2390" s="39" t="s">
        <v>7265</v>
      </c>
    </row>
    <row r="2391">
      <c r="A2391" s="32">
        <v>2769.0</v>
      </c>
      <c r="B2391" s="33">
        <v>46176.382593912036</v>
      </c>
      <c r="C2391" s="34" t="s">
        <v>760</v>
      </c>
      <c r="D2391" s="35" t="s">
        <v>1443</v>
      </c>
      <c r="E2391" s="35" t="s">
        <v>1116</v>
      </c>
      <c r="F2391" s="34" t="s">
        <v>1444</v>
      </c>
      <c r="G2391" s="36" t="s">
        <v>209</v>
      </c>
      <c r="H2391" s="34" t="s">
        <v>7266</v>
      </c>
      <c r="I2391" s="34" t="s">
        <v>825</v>
      </c>
      <c r="J2391" s="37">
        <v>46145.0</v>
      </c>
      <c r="K2391" s="35" t="s">
        <v>3117</v>
      </c>
      <c r="L2391" s="34">
        <v>1.0</v>
      </c>
      <c r="M2391" s="34" t="s">
        <v>1492</v>
      </c>
      <c r="N2391" s="38" t="s">
        <v>7267</v>
      </c>
      <c r="O2391" s="39" t="s">
        <v>7268</v>
      </c>
    </row>
    <row r="2392">
      <c r="A2392" s="32">
        <v>2771.0</v>
      </c>
      <c r="B2392" s="33">
        <v>46176.40242481482</v>
      </c>
      <c r="C2392" s="34" t="s">
        <v>760</v>
      </c>
      <c r="D2392" s="35" t="s">
        <v>2071</v>
      </c>
      <c r="E2392" s="35" t="s">
        <v>319</v>
      </c>
      <c r="F2392" s="34" t="s">
        <v>7269</v>
      </c>
      <c r="G2392" s="36" t="s">
        <v>181</v>
      </c>
      <c r="H2392" s="34" t="s">
        <v>6284</v>
      </c>
      <c r="I2392" s="34" t="s">
        <v>279</v>
      </c>
      <c r="J2392" s="37">
        <v>46164.0</v>
      </c>
      <c r="K2392" s="35" t="s">
        <v>753</v>
      </c>
      <c r="L2392" s="34">
        <v>2.0</v>
      </c>
      <c r="M2392" s="34" t="s">
        <v>3607</v>
      </c>
      <c r="N2392" s="38" t="s">
        <v>7270</v>
      </c>
      <c r="O2392" s="39" t="s">
        <v>7271</v>
      </c>
    </row>
    <row r="2393">
      <c r="A2393" s="32">
        <v>2773.0</v>
      </c>
      <c r="B2393" s="33">
        <v>46176.40845659722</v>
      </c>
      <c r="C2393" s="34" t="s">
        <v>760</v>
      </c>
      <c r="D2393" s="35" t="s">
        <v>791</v>
      </c>
      <c r="E2393" s="35" t="s">
        <v>164</v>
      </c>
      <c r="F2393" s="34" t="s">
        <v>792</v>
      </c>
      <c r="G2393" s="36" t="s">
        <v>209</v>
      </c>
      <c r="H2393" s="34" t="s">
        <v>7272</v>
      </c>
      <c r="I2393" s="34" t="s">
        <v>7273</v>
      </c>
      <c r="J2393" s="37">
        <v>46124.0</v>
      </c>
      <c r="K2393" s="35" t="s">
        <v>283</v>
      </c>
      <c r="L2393" s="34">
        <v>2.0</v>
      </c>
      <c r="M2393" s="34" t="s">
        <v>7274</v>
      </c>
      <c r="N2393" s="38" t="s">
        <v>7275</v>
      </c>
      <c r="O2393" s="39" t="s">
        <v>7276</v>
      </c>
    </row>
    <row r="2394">
      <c r="A2394" s="32">
        <v>2774.0</v>
      </c>
      <c r="B2394" s="33">
        <v>46176.40940322916</v>
      </c>
      <c r="C2394" s="34" t="s">
        <v>760</v>
      </c>
      <c r="D2394" s="35" t="s">
        <v>2071</v>
      </c>
      <c r="E2394" s="35" t="s">
        <v>319</v>
      </c>
      <c r="F2394" s="34" t="s">
        <v>2072</v>
      </c>
      <c r="G2394" s="36" t="s">
        <v>19</v>
      </c>
      <c r="H2394" s="34" t="s">
        <v>7277</v>
      </c>
      <c r="I2394" s="34" t="s">
        <v>7278</v>
      </c>
      <c r="J2394" s="37">
        <v>46032.0</v>
      </c>
      <c r="K2394" s="35" t="s">
        <v>2328</v>
      </c>
      <c r="L2394" s="34">
        <v>8.0</v>
      </c>
      <c r="M2394" s="34" t="s">
        <v>87</v>
      </c>
      <c r="N2394" s="38" t="s">
        <v>7279</v>
      </c>
      <c r="O2394" s="39" t="s">
        <v>7280</v>
      </c>
    </row>
    <row r="2395">
      <c r="A2395" s="32">
        <v>2775.0</v>
      </c>
      <c r="B2395" s="33">
        <v>46176.40947734954</v>
      </c>
      <c r="C2395" s="34" t="s">
        <v>760</v>
      </c>
      <c r="D2395" s="35" t="s">
        <v>3968</v>
      </c>
      <c r="E2395" s="35" t="s">
        <v>1253</v>
      </c>
      <c r="F2395" s="34" t="s">
        <v>3969</v>
      </c>
      <c r="G2395" s="36" t="s">
        <v>19</v>
      </c>
      <c r="H2395" s="34" t="s">
        <v>7185</v>
      </c>
      <c r="I2395" s="34" t="s">
        <v>7186</v>
      </c>
      <c r="J2395" s="37">
        <v>46078.0</v>
      </c>
      <c r="K2395" s="35" t="s">
        <v>7281</v>
      </c>
      <c r="L2395" s="34">
        <v>8.0</v>
      </c>
      <c r="M2395" s="34" t="s">
        <v>87</v>
      </c>
      <c r="N2395" s="38" t="s">
        <v>7282</v>
      </c>
      <c r="O2395" s="39" t="s">
        <v>7283</v>
      </c>
    </row>
    <row r="2396">
      <c r="A2396" s="32">
        <v>2776.0</v>
      </c>
      <c r="B2396" s="33">
        <v>46176.41035634259</v>
      </c>
      <c r="C2396" s="34" t="s">
        <v>15</v>
      </c>
      <c r="D2396" s="35" t="s">
        <v>2050</v>
      </c>
      <c r="E2396" s="35" t="s">
        <v>179</v>
      </c>
      <c r="F2396" s="34" t="s">
        <v>2051</v>
      </c>
      <c r="G2396" s="36" t="s">
        <v>84</v>
      </c>
      <c r="H2396" s="34" t="s">
        <v>85</v>
      </c>
      <c r="I2396" s="34" t="s">
        <v>7284</v>
      </c>
      <c r="J2396" s="37">
        <v>46053.0</v>
      </c>
      <c r="K2396" s="35" t="s">
        <v>2266</v>
      </c>
      <c r="L2396" s="34">
        <v>8.0</v>
      </c>
      <c r="M2396" s="34" t="s">
        <v>7285</v>
      </c>
      <c r="N2396" s="38" t="s">
        <v>7286</v>
      </c>
      <c r="O2396" s="39" t="s">
        <v>7287</v>
      </c>
    </row>
    <row r="2397">
      <c r="A2397" s="32">
        <v>2777.0</v>
      </c>
      <c r="B2397" s="33">
        <v>46176.411662893515</v>
      </c>
      <c r="C2397" s="34" t="s">
        <v>760</v>
      </c>
      <c r="D2397" s="35" t="s">
        <v>3968</v>
      </c>
      <c r="E2397" s="35" t="s">
        <v>1253</v>
      </c>
      <c r="F2397" s="34" t="s">
        <v>3969</v>
      </c>
      <c r="G2397" s="36" t="s">
        <v>181</v>
      </c>
      <c r="H2397" s="34" t="s">
        <v>6022</v>
      </c>
      <c r="I2397" s="34" t="s">
        <v>6026</v>
      </c>
      <c r="J2397" s="37">
        <v>46147.0</v>
      </c>
      <c r="K2397" s="35" t="s">
        <v>6070</v>
      </c>
      <c r="L2397" s="34">
        <v>3.0</v>
      </c>
      <c r="M2397" s="34" t="s">
        <v>1325</v>
      </c>
      <c r="N2397" s="38" t="s">
        <v>7288</v>
      </c>
      <c r="O2397" s="39" t="s">
        <v>7289</v>
      </c>
    </row>
    <row r="2398">
      <c r="A2398" s="32">
        <v>2778.0</v>
      </c>
      <c r="B2398" s="33">
        <v>46176.41198226852</v>
      </c>
      <c r="C2398" s="34" t="s">
        <v>760</v>
      </c>
      <c r="D2398" s="35" t="s">
        <v>2799</v>
      </c>
      <c r="E2398" s="35" t="s">
        <v>171</v>
      </c>
      <c r="F2398" s="34" t="s">
        <v>2800</v>
      </c>
      <c r="G2398" s="36" t="s">
        <v>144</v>
      </c>
      <c r="H2398" s="34" t="s">
        <v>7290</v>
      </c>
      <c r="I2398" s="34" t="s">
        <v>7291</v>
      </c>
      <c r="J2398" s="37">
        <v>46173.0</v>
      </c>
      <c r="K2398" s="35" t="s">
        <v>2275</v>
      </c>
      <c r="L2398" s="34">
        <v>2.0</v>
      </c>
      <c r="M2398" s="34" t="s">
        <v>6562</v>
      </c>
      <c r="N2398" s="38" t="s">
        <v>7292</v>
      </c>
      <c r="O2398" s="39" t="s">
        <v>7293</v>
      </c>
    </row>
    <row r="2399">
      <c r="A2399" s="32">
        <v>2780.0</v>
      </c>
      <c r="B2399" s="33">
        <v>46176.415102280094</v>
      </c>
      <c r="C2399" s="34" t="s">
        <v>760</v>
      </c>
      <c r="D2399" s="35" t="s">
        <v>2799</v>
      </c>
      <c r="E2399" s="35" t="s">
        <v>171</v>
      </c>
      <c r="F2399" s="34" t="s">
        <v>2800</v>
      </c>
      <c r="G2399" s="36" t="s">
        <v>144</v>
      </c>
      <c r="H2399" s="34" t="s">
        <v>7294</v>
      </c>
      <c r="I2399" s="34" t="s">
        <v>7295</v>
      </c>
      <c r="J2399" s="37">
        <v>46023.0</v>
      </c>
      <c r="K2399" s="35" t="s">
        <v>283</v>
      </c>
      <c r="L2399" s="34">
        <v>2.0</v>
      </c>
      <c r="M2399" s="34" t="s">
        <v>6508</v>
      </c>
      <c r="N2399" s="38" t="s">
        <v>7296</v>
      </c>
      <c r="O2399" s="39" t="s">
        <v>7297</v>
      </c>
    </row>
    <row r="2400">
      <c r="A2400" s="32">
        <v>2781.0</v>
      </c>
      <c r="B2400" s="33">
        <v>46176.41513393518</v>
      </c>
      <c r="C2400" s="34" t="s">
        <v>15</v>
      </c>
      <c r="D2400" s="35" t="s">
        <v>2050</v>
      </c>
      <c r="E2400" s="35" t="s">
        <v>179</v>
      </c>
      <c r="F2400" s="34" t="s">
        <v>2051</v>
      </c>
      <c r="G2400" s="36" t="s">
        <v>84</v>
      </c>
      <c r="H2400" s="34" t="s">
        <v>85</v>
      </c>
      <c r="I2400" s="34" t="s">
        <v>5419</v>
      </c>
      <c r="J2400" s="37">
        <v>46175.0</v>
      </c>
      <c r="K2400" s="35" t="s">
        <v>7298</v>
      </c>
      <c r="L2400" s="34">
        <v>8.0</v>
      </c>
      <c r="M2400" s="34" t="s">
        <v>7299</v>
      </c>
      <c r="N2400" s="38" t="s">
        <v>7300</v>
      </c>
      <c r="O2400" s="39" t="s">
        <v>7301</v>
      </c>
    </row>
    <row r="2401">
      <c r="A2401" s="32">
        <v>2782.0</v>
      </c>
      <c r="B2401" s="33">
        <v>46176.41663424768</v>
      </c>
      <c r="C2401" s="34" t="s">
        <v>760</v>
      </c>
      <c r="D2401" s="35" t="s">
        <v>3968</v>
      </c>
      <c r="E2401" s="35" t="s">
        <v>1253</v>
      </c>
      <c r="F2401" s="34" t="s">
        <v>3969</v>
      </c>
      <c r="G2401" s="36" t="s">
        <v>181</v>
      </c>
      <c r="H2401" s="34" t="s">
        <v>7302</v>
      </c>
      <c r="I2401" s="34" t="s">
        <v>1707</v>
      </c>
      <c r="J2401" s="37">
        <v>46131.0</v>
      </c>
      <c r="K2401" s="35" t="s">
        <v>7303</v>
      </c>
      <c r="L2401" s="34">
        <v>3.0</v>
      </c>
      <c r="M2401" s="34" t="s">
        <v>33</v>
      </c>
      <c r="N2401" s="38" t="s">
        <v>7304</v>
      </c>
      <c r="O2401" s="39" t="s">
        <v>7305</v>
      </c>
    </row>
    <row r="2402">
      <c r="A2402" s="32">
        <v>2784.0</v>
      </c>
      <c r="B2402" s="33">
        <v>46176.41975472222</v>
      </c>
      <c r="C2402" s="34" t="s">
        <v>15</v>
      </c>
      <c r="D2402" s="35" t="s">
        <v>2050</v>
      </c>
      <c r="E2402" s="35" t="s">
        <v>179</v>
      </c>
      <c r="F2402" s="34" t="s">
        <v>2051</v>
      </c>
      <c r="G2402" s="36" t="s">
        <v>144</v>
      </c>
      <c r="H2402" s="34" t="s">
        <v>730</v>
      </c>
      <c r="I2402" s="34" t="s">
        <v>7306</v>
      </c>
      <c r="J2402" s="37">
        <v>46125.0</v>
      </c>
      <c r="K2402" s="35" t="s">
        <v>418</v>
      </c>
      <c r="L2402" s="34">
        <v>1.0</v>
      </c>
      <c r="M2402" s="34" t="s">
        <v>7307</v>
      </c>
      <c r="N2402" s="38" t="s">
        <v>7308</v>
      </c>
      <c r="O2402" s="39" t="s">
        <v>7309</v>
      </c>
    </row>
    <row r="2403">
      <c r="A2403" s="32">
        <v>2785.0</v>
      </c>
      <c r="B2403" s="33">
        <v>46176.42049284722</v>
      </c>
      <c r="C2403" s="34" t="s">
        <v>760</v>
      </c>
      <c r="D2403" s="35" t="s">
        <v>3968</v>
      </c>
      <c r="E2403" s="35" t="s">
        <v>1253</v>
      </c>
      <c r="F2403" s="34" t="s">
        <v>3969</v>
      </c>
      <c r="G2403" s="36" t="s">
        <v>209</v>
      </c>
      <c r="H2403" s="34" t="s">
        <v>7310</v>
      </c>
      <c r="I2403" s="34" t="s">
        <v>7311</v>
      </c>
      <c r="J2403" s="37">
        <v>46152.0</v>
      </c>
      <c r="K2403" s="35" t="s">
        <v>7312</v>
      </c>
      <c r="L2403" s="34">
        <v>2.0</v>
      </c>
      <c r="M2403" s="34" t="s">
        <v>7313</v>
      </c>
      <c r="N2403" s="38" t="s">
        <v>7314</v>
      </c>
      <c r="O2403" s="39" t="s">
        <v>7315</v>
      </c>
    </row>
    <row r="2404">
      <c r="A2404" s="32">
        <v>2787.0</v>
      </c>
      <c r="B2404" s="33">
        <v>46176.42398344907</v>
      </c>
      <c r="C2404" s="34" t="s">
        <v>760</v>
      </c>
      <c r="D2404" s="35" t="s">
        <v>3968</v>
      </c>
      <c r="E2404" s="35" t="s">
        <v>1253</v>
      </c>
      <c r="F2404" s="34" t="s">
        <v>3969</v>
      </c>
      <c r="G2404" s="36" t="s">
        <v>209</v>
      </c>
      <c r="H2404" s="34" t="s">
        <v>7316</v>
      </c>
      <c r="I2404" s="34" t="s">
        <v>7317</v>
      </c>
      <c r="J2404" s="37">
        <v>46125.0</v>
      </c>
      <c r="K2404" s="35" t="s">
        <v>4834</v>
      </c>
      <c r="L2404" s="34">
        <v>2.0</v>
      </c>
      <c r="M2404" s="34" t="s">
        <v>7313</v>
      </c>
      <c r="N2404" s="38" t="s">
        <v>7318</v>
      </c>
      <c r="O2404" s="39" t="s">
        <v>7319</v>
      </c>
    </row>
    <row r="2405">
      <c r="A2405" s="32">
        <v>2788.0</v>
      </c>
      <c r="B2405" s="33">
        <v>46176.42481680556</v>
      </c>
      <c r="C2405" s="34" t="s">
        <v>15</v>
      </c>
      <c r="D2405" s="35" t="s">
        <v>2050</v>
      </c>
      <c r="E2405" s="35" t="s">
        <v>179</v>
      </c>
      <c r="F2405" s="34" t="s">
        <v>2051</v>
      </c>
      <c r="G2405" s="36" t="s">
        <v>19</v>
      </c>
      <c r="H2405" s="34" t="s">
        <v>7320</v>
      </c>
      <c r="I2405" s="34" t="s">
        <v>314</v>
      </c>
      <c r="J2405" s="37">
        <v>46135.0</v>
      </c>
      <c r="K2405" s="35" t="s">
        <v>962</v>
      </c>
      <c r="L2405" s="34">
        <v>4.0</v>
      </c>
      <c r="M2405" s="34" t="s">
        <v>33</v>
      </c>
      <c r="N2405" s="38" t="s">
        <v>7321</v>
      </c>
      <c r="O2405" s="39" t="s">
        <v>7322</v>
      </c>
    </row>
    <row r="2406">
      <c r="A2406" s="32">
        <v>2789.0</v>
      </c>
      <c r="B2406" s="33">
        <v>46176.42659756944</v>
      </c>
      <c r="C2406" s="34" t="s">
        <v>15</v>
      </c>
      <c r="D2406" s="35" t="s">
        <v>2050</v>
      </c>
      <c r="E2406" s="35" t="s">
        <v>179</v>
      </c>
      <c r="F2406" s="34" t="s">
        <v>2051</v>
      </c>
      <c r="G2406" s="36" t="s">
        <v>19</v>
      </c>
      <c r="H2406" s="34" t="s">
        <v>7320</v>
      </c>
      <c r="I2406" s="34" t="s">
        <v>231</v>
      </c>
      <c r="J2406" s="37">
        <v>46138.0</v>
      </c>
      <c r="K2406" s="35" t="s">
        <v>3192</v>
      </c>
      <c r="L2406" s="34">
        <v>6.0</v>
      </c>
      <c r="M2406" s="34" t="s">
        <v>33</v>
      </c>
      <c r="N2406" s="38" t="s">
        <v>7323</v>
      </c>
      <c r="O2406" s="39" t="s">
        <v>7324</v>
      </c>
    </row>
    <row r="2407">
      <c r="A2407" s="32">
        <v>2790.0</v>
      </c>
      <c r="B2407" s="33">
        <v>46176.42744167824</v>
      </c>
      <c r="C2407" s="34" t="s">
        <v>760</v>
      </c>
      <c r="D2407" s="35" t="s">
        <v>3968</v>
      </c>
      <c r="E2407" s="35" t="s">
        <v>1253</v>
      </c>
      <c r="F2407" s="34" t="s">
        <v>3969</v>
      </c>
      <c r="G2407" s="36" t="s">
        <v>19</v>
      </c>
      <c r="H2407" s="34" t="s">
        <v>3735</v>
      </c>
      <c r="I2407" s="34" t="s">
        <v>3736</v>
      </c>
      <c r="J2407" s="37">
        <v>46003.0</v>
      </c>
      <c r="K2407" s="35" t="s">
        <v>4481</v>
      </c>
      <c r="L2407" s="34">
        <v>8.0</v>
      </c>
      <c r="M2407" s="34" t="s">
        <v>1325</v>
      </c>
      <c r="N2407" s="38" t="s">
        <v>7325</v>
      </c>
      <c r="O2407" s="39" t="s">
        <v>7326</v>
      </c>
    </row>
    <row r="2408">
      <c r="A2408" s="32">
        <v>2791.0</v>
      </c>
      <c r="B2408" s="33">
        <v>46176.42816984953</v>
      </c>
      <c r="C2408" s="34" t="s">
        <v>15</v>
      </c>
      <c r="D2408" s="35" t="s">
        <v>2050</v>
      </c>
      <c r="E2408" s="35" t="s">
        <v>179</v>
      </c>
      <c r="F2408" s="34" t="s">
        <v>2051</v>
      </c>
      <c r="G2408" s="36" t="s">
        <v>19</v>
      </c>
      <c r="H2408" s="34" t="s">
        <v>7320</v>
      </c>
      <c r="I2408" s="34" t="s">
        <v>7327</v>
      </c>
      <c r="J2408" s="37">
        <v>46139.0</v>
      </c>
      <c r="K2408" s="35" t="s">
        <v>962</v>
      </c>
      <c r="L2408" s="34">
        <v>4.0</v>
      </c>
      <c r="M2408" s="34" t="s">
        <v>33</v>
      </c>
      <c r="N2408" s="38" t="s">
        <v>7328</v>
      </c>
      <c r="O2408" s="39" t="s">
        <v>7329</v>
      </c>
    </row>
    <row r="2409">
      <c r="A2409" s="32">
        <v>2792.0</v>
      </c>
      <c r="B2409" s="33">
        <v>46176.429952708335</v>
      </c>
      <c r="C2409" s="34" t="s">
        <v>760</v>
      </c>
      <c r="D2409" s="35" t="s">
        <v>3968</v>
      </c>
      <c r="E2409" s="35" t="s">
        <v>1253</v>
      </c>
      <c r="F2409" s="34" t="s">
        <v>3969</v>
      </c>
      <c r="G2409" s="36" t="s">
        <v>181</v>
      </c>
      <c r="H2409" s="34" t="s">
        <v>7330</v>
      </c>
      <c r="I2409" s="34" t="s">
        <v>231</v>
      </c>
      <c r="J2409" s="37">
        <v>46164.0</v>
      </c>
      <c r="K2409" s="35" t="s">
        <v>753</v>
      </c>
      <c r="L2409" s="34">
        <v>2.0</v>
      </c>
      <c r="M2409" s="34" t="s">
        <v>3607</v>
      </c>
      <c r="N2409" s="38" t="s">
        <v>7331</v>
      </c>
      <c r="O2409" s="39" t="s">
        <v>7332</v>
      </c>
    </row>
    <row r="2410">
      <c r="A2410" s="32">
        <v>2794.0</v>
      </c>
      <c r="B2410" s="33">
        <v>46176.43783068287</v>
      </c>
      <c r="C2410" s="34" t="s">
        <v>760</v>
      </c>
      <c r="D2410" s="35" t="s">
        <v>3968</v>
      </c>
      <c r="E2410" s="35" t="s">
        <v>1253</v>
      </c>
      <c r="F2410" s="34" t="s">
        <v>3969</v>
      </c>
      <c r="G2410" s="36" t="s">
        <v>144</v>
      </c>
      <c r="H2410" s="34" t="s">
        <v>7333</v>
      </c>
      <c r="I2410" s="34" t="s">
        <v>7334</v>
      </c>
      <c r="J2410" s="37">
        <v>46124.0</v>
      </c>
      <c r="K2410" s="35" t="s">
        <v>22</v>
      </c>
      <c r="L2410" s="34">
        <v>4.0</v>
      </c>
      <c r="M2410" s="34" t="s">
        <v>7313</v>
      </c>
      <c r="N2410" s="38" t="s">
        <v>7335</v>
      </c>
      <c r="O2410" s="39" t="s">
        <v>7336</v>
      </c>
    </row>
    <row r="2411">
      <c r="A2411" s="32">
        <v>2795.0</v>
      </c>
      <c r="B2411" s="33">
        <v>46176.43819380787</v>
      </c>
      <c r="C2411" s="34" t="s">
        <v>760</v>
      </c>
      <c r="D2411" s="35" t="s">
        <v>1220</v>
      </c>
      <c r="E2411" s="35" t="s">
        <v>951</v>
      </c>
      <c r="F2411" s="34" t="s">
        <v>7337</v>
      </c>
      <c r="G2411" s="36" t="s">
        <v>19</v>
      </c>
      <c r="H2411" s="34" t="s">
        <v>6120</v>
      </c>
      <c r="I2411" s="34" t="s">
        <v>6093</v>
      </c>
      <c r="J2411" s="37">
        <v>46135.0</v>
      </c>
      <c r="K2411" s="35" t="s">
        <v>1647</v>
      </c>
      <c r="L2411" s="34">
        <v>8.0</v>
      </c>
      <c r="M2411" s="34" t="s">
        <v>1564</v>
      </c>
      <c r="N2411" s="38" t="s">
        <v>7338</v>
      </c>
      <c r="O2411" s="39" t="s">
        <v>7339</v>
      </c>
    </row>
    <row r="2412">
      <c r="A2412" s="32">
        <v>2796.0</v>
      </c>
      <c r="B2412" s="33">
        <v>46176.44263527778</v>
      </c>
      <c r="C2412" s="34" t="s">
        <v>760</v>
      </c>
      <c r="D2412" s="35" t="s">
        <v>1220</v>
      </c>
      <c r="E2412" s="35" t="s">
        <v>951</v>
      </c>
      <c r="F2412" s="34" t="s">
        <v>7337</v>
      </c>
      <c r="G2412" s="36" t="s">
        <v>181</v>
      </c>
      <c r="H2412" s="34" t="s">
        <v>7340</v>
      </c>
      <c r="I2412" s="34" t="s">
        <v>231</v>
      </c>
      <c r="J2412" s="37">
        <v>46133.0</v>
      </c>
      <c r="K2412" s="35" t="s">
        <v>962</v>
      </c>
      <c r="L2412" s="34">
        <v>4.0</v>
      </c>
      <c r="M2412" s="34" t="s">
        <v>33</v>
      </c>
      <c r="N2412" s="38" t="s">
        <v>7341</v>
      </c>
      <c r="O2412" s="39" t="s">
        <v>7342</v>
      </c>
    </row>
    <row r="2413">
      <c r="A2413" s="32">
        <v>2797.0</v>
      </c>
      <c r="B2413" s="33">
        <v>46176.44394199074</v>
      </c>
      <c r="C2413" s="34" t="s">
        <v>760</v>
      </c>
      <c r="D2413" s="35" t="s">
        <v>1220</v>
      </c>
      <c r="E2413" s="35" t="s">
        <v>951</v>
      </c>
      <c r="F2413" s="34" t="s">
        <v>7337</v>
      </c>
      <c r="G2413" s="36" t="s">
        <v>181</v>
      </c>
      <c r="H2413" s="34" t="s">
        <v>5432</v>
      </c>
      <c r="I2413" s="34" t="s">
        <v>231</v>
      </c>
      <c r="J2413" s="37">
        <v>46134.0</v>
      </c>
      <c r="K2413" s="35" t="s">
        <v>962</v>
      </c>
      <c r="L2413" s="34">
        <v>4.0</v>
      </c>
      <c r="M2413" s="34" t="s">
        <v>33</v>
      </c>
      <c r="N2413" s="38" t="s">
        <v>7343</v>
      </c>
      <c r="O2413" s="39" t="s">
        <v>7344</v>
      </c>
    </row>
    <row r="2414">
      <c r="A2414" s="32">
        <v>2798.0</v>
      </c>
      <c r="B2414" s="33">
        <v>46176.444085613424</v>
      </c>
      <c r="C2414" s="34" t="s">
        <v>760</v>
      </c>
      <c r="D2414" s="35" t="s">
        <v>3979</v>
      </c>
      <c r="E2414" s="35" t="s">
        <v>236</v>
      </c>
      <c r="F2414" s="34" t="s">
        <v>3980</v>
      </c>
      <c r="G2414" s="36" t="s">
        <v>144</v>
      </c>
      <c r="H2414" s="34" t="s">
        <v>730</v>
      </c>
      <c r="I2414" s="34" t="s">
        <v>7345</v>
      </c>
      <c r="J2414" s="37">
        <v>46173.0</v>
      </c>
      <c r="K2414" s="35" t="s">
        <v>1421</v>
      </c>
      <c r="L2414" s="34">
        <v>2.0</v>
      </c>
      <c r="M2414" s="34" t="s">
        <v>7346</v>
      </c>
      <c r="N2414" s="38" t="s">
        <v>7347</v>
      </c>
      <c r="O2414" s="39" t="s">
        <v>7348</v>
      </c>
    </row>
    <row r="2415">
      <c r="A2415" s="32">
        <v>2799.0</v>
      </c>
      <c r="B2415" s="33">
        <v>46176.44506572917</v>
      </c>
      <c r="C2415" s="34" t="s">
        <v>760</v>
      </c>
      <c r="D2415" s="35" t="s">
        <v>1220</v>
      </c>
      <c r="E2415" s="35" t="s">
        <v>951</v>
      </c>
      <c r="F2415" s="34" t="s">
        <v>7337</v>
      </c>
      <c r="G2415" s="36" t="s">
        <v>181</v>
      </c>
      <c r="H2415" s="34" t="s">
        <v>5432</v>
      </c>
      <c r="I2415" s="34" t="s">
        <v>231</v>
      </c>
      <c r="J2415" s="37">
        <v>46135.0</v>
      </c>
      <c r="K2415" s="35" t="s">
        <v>962</v>
      </c>
      <c r="L2415" s="34">
        <v>4.0</v>
      </c>
      <c r="M2415" s="34" t="s">
        <v>33</v>
      </c>
      <c r="N2415" s="38" t="s">
        <v>7349</v>
      </c>
      <c r="O2415" s="39" t="s">
        <v>7350</v>
      </c>
    </row>
    <row r="2416">
      <c r="A2416" s="32">
        <v>2800.0</v>
      </c>
      <c r="B2416" s="33">
        <v>46176.44556994213</v>
      </c>
      <c r="C2416" s="34" t="s">
        <v>760</v>
      </c>
      <c r="D2416" s="35" t="s">
        <v>3979</v>
      </c>
      <c r="E2416" s="35" t="s">
        <v>236</v>
      </c>
      <c r="F2416" s="34" t="s">
        <v>3980</v>
      </c>
      <c r="G2416" s="36" t="s">
        <v>144</v>
      </c>
      <c r="H2416" s="34" t="s">
        <v>7351</v>
      </c>
      <c r="I2416" s="34" t="s">
        <v>7345</v>
      </c>
      <c r="J2416" s="37">
        <v>46173.0</v>
      </c>
      <c r="K2416" s="35" t="s">
        <v>1922</v>
      </c>
      <c r="L2416" s="34">
        <v>2.0</v>
      </c>
      <c r="M2416" s="34" t="s">
        <v>7346</v>
      </c>
      <c r="N2416" s="38" t="s">
        <v>7352</v>
      </c>
      <c r="O2416" s="39" t="s">
        <v>7353</v>
      </c>
    </row>
    <row r="2417">
      <c r="A2417" s="32">
        <v>2801.0</v>
      </c>
      <c r="B2417" s="33">
        <v>46176.44601314815</v>
      </c>
      <c r="C2417" s="34" t="s">
        <v>760</v>
      </c>
      <c r="D2417" s="35" t="s">
        <v>1220</v>
      </c>
      <c r="E2417" s="35" t="s">
        <v>951</v>
      </c>
      <c r="F2417" s="34" t="s">
        <v>7337</v>
      </c>
      <c r="G2417" s="36" t="s">
        <v>181</v>
      </c>
      <c r="H2417" s="34" t="s">
        <v>5432</v>
      </c>
      <c r="I2417" s="34" t="s">
        <v>231</v>
      </c>
      <c r="J2417" s="37">
        <v>46138.0</v>
      </c>
      <c r="K2417" s="35" t="s">
        <v>3737</v>
      </c>
      <c r="L2417" s="34">
        <v>8.0</v>
      </c>
      <c r="M2417" s="34" t="s">
        <v>33</v>
      </c>
      <c r="N2417" s="38" t="s">
        <v>7354</v>
      </c>
      <c r="O2417" s="39" t="s">
        <v>7355</v>
      </c>
    </row>
    <row r="2418">
      <c r="A2418" s="32">
        <v>2802.0</v>
      </c>
      <c r="B2418" s="33">
        <v>46176.44628563657</v>
      </c>
      <c r="C2418" s="34" t="s">
        <v>760</v>
      </c>
      <c r="D2418" s="35" t="s">
        <v>3968</v>
      </c>
      <c r="E2418" s="35" t="s">
        <v>1253</v>
      </c>
      <c r="F2418" s="34" t="s">
        <v>3969</v>
      </c>
      <c r="G2418" s="36" t="s">
        <v>3171</v>
      </c>
      <c r="H2418" s="34" t="s">
        <v>7356</v>
      </c>
      <c r="I2418" s="34" t="s">
        <v>7357</v>
      </c>
      <c r="J2418" s="37">
        <v>46025.0</v>
      </c>
      <c r="K2418" s="35" t="s">
        <v>5245</v>
      </c>
      <c r="L2418" s="34">
        <v>6.0</v>
      </c>
      <c r="M2418" s="34" t="s">
        <v>7313</v>
      </c>
      <c r="N2418" s="38" t="s">
        <v>7358</v>
      </c>
      <c r="O2418" s="39" t="s">
        <v>7359</v>
      </c>
    </row>
    <row r="2419">
      <c r="A2419" s="32">
        <v>2803.0</v>
      </c>
      <c r="B2419" s="33">
        <v>46176.44776190972</v>
      </c>
      <c r="C2419" s="34" t="s">
        <v>760</v>
      </c>
      <c r="D2419" s="35" t="s">
        <v>1220</v>
      </c>
      <c r="E2419" s="35" t="s">
        <v>951</v>
      </c>
      <c r="F2419" s="34" t="s">
        <v>7337</v>
      </c>
      <c r="G2419" s="36" t="s">
        <v>181</v>
      </c>
      <c r="H2419" s="34" t="s">
        <v>5432</v>
      </c>
      <c r="I2419" s="34" t="s">
        <v>5437</v>
      </c>
      <c r="J2419" s="37">
        <v>46139.0</v>
      </c>
      <c r="K2419" s="35" t="s">
        <v>962</v>
      </c>
      <c r="L2419" s="34">
        <v>4.0</v>
      </c>
      <c r="M2419" s="34" t="s">
        <v>33</v>
      </c>
      <c r="N2419" s="38" t="s">
        <v>7360</v>
      </c>
      <c r="O2419" s="39" t="s">
        <v>7361</v>
      </c>
    </row>
    <row r="2420">
      <c r="A2420" s="32">
        <v>2804.0</v>
      </c>
      <c r="B2420" s="33">
        <v>46176.450701875</v>
      </c>
      <c r="C2420" s="34" t="s">
        <v>760</v>
      </c>
      <c r="D2420" s="35" t="s">
        <v>1220</v>
      </c>
      <c r="E2420" s="35" t="s">
        <v>951</v>
      </c>
      <c r="F2420" s="34" t="s">
        <v>7337</v>
      </c>
      <c r="G2420" s="36" t="s">
        <v>19</v>
      </c>
      <c r="H2420" s="34" t="s">
        <v>5653</v>
      </c>
      <c r="I2420" s="34" t="s">
        <v>5931</v>
      </c>
      <c r="J2420" s="37">
        <v>46078.0</v>
      </c>
      <c r="K2420" s="35" t="s">
        <v>2179</v>
      </c>
      <c r="L2420" s="34">
        <v>8.0</v>
      </c>
      <c r="M2420" s="34" t="s">
        <v>87</v>
      </c>
      <c r="N2420" s="38" t="s">
        <v>7362</v>
      </c>
      <c r="O2420" s="39" t="s">
        <v>7363</v>
      </c>
    </row>
    <row r="2421">
      <c r="A2421" s="32">
        <v>2805.0</v>
      </c>
      <c r="B2421" s="33">
        <v>46176.452164629634</v>
      </c>
      <c r="C2421" s="34" t="s">
        <v>760</v>
      </c>
      <c r="D2421" s="35" t="s">
        <v>3968</v>
      </c>
      <c r="E2421" s="35" t="s">
        <v>1253</v>
      </c>
      <c r="F2421" s="34" t="s">
        <v>3969</v>
      </c>
      <c r="G2421" s="36" t="s">
        <v>144</v>
      </c>
      <c r="H2421" s="34" t="s">
        <v>7364</v>
      </c>
      <c r="I2421" s="34" t="s">
        <v>7334</v>
      </c>
      <c r="J2421" s="37">
        <v>46187.0</v>
      </c>
      <c r="K2421" s="35" t="s">
        <v>22</v>
      </c>
      <c r="L2421" s="34">
        <v>4.0</v>
      </c>
      <c r="M2421" s="34" t="s">
        <v>7313</v>
      </c>
      <c r="N2421" s="38" t="s">
        <v>7365</v>
      </c>
      <c r="O2421" s="39" t="s">
        <v>7366</v>
      </c>
    </row>
    <row r="2422">
      <c r="A2422" s="32">
        <v>2806.0</v>
      </c>
      <c r="B2422" s="33">
        <v>46176.45401523148</v>
      </c>
      <c r="C2422" s="34" t="s">
        <v>760</v>
      </c>
      <c r="D2422" s="35" t="s">
        <v>1220</v>
      </c>
      <c r="E2422" s="35" t="s">
        <v>951</v>
      </c>
      <c r="F2422" s="34" t="s">
        <v>7337</v>
      </c>
      <c r="G2422" s="36" t="s">
        <v>181</v>
      </c>
      <c r="H2422" s="34" t="s">
        <v>1222</v>
      </c>
      <c r="I2422" s="34" t="s">
        <v>7367</v>
      </c>
      <c r="J2422" s="37">
        <v>46128.0</v>
      </c>
      <c r="K2422" s="35" t="s">
        <v>7368</v>
      </c>
      <c r="L2422" s="34">
        <v>1.0</v>
      </c>
      <c r="M2422" s="34" t="s">
        <v>33</v>
      </c>
      <c r="N2422" s="38" t="s">
        <v>7369</v>
      </c>
      <c r="O2422" s="39" t="s">
        <v>7370</v>
      </c>
    </row>
    <row r="2423">
      <c r="A2423" s="32">
        <v>2807.0</v>
      </c>
      <c r="B2423" s="33">
        <v>46176.455706458335</v>
      </c>
      <c r="C2423" s="34" t="s">
        <v>760</v>
      </c>
      <c r="D2423" s="35" t="s">
        <v>1220</v>
      </c>
      <c r="E2423" s="35" t="s">
        <v>951</v>
      </c>
      <c r="F2423" s="34" t="s">
        <v>7337</v>
      </c>
      <c r="G2423" s="36" t="s">
        <v>181</v>
      </c>
      <c r="H2423" s="34" t="s">
        <v>1222</v>
      </c>
      <c r="I2423" s="34" t="s">
        <v>7367</v>
      </c>
      <c r="J2423" s="37">
        <v>46129.0</v>
      </c>
      <c r="K2423" s="35" t="s">
        <v>7368</v>
      </c>
      <c r="L2423" s="34">
        <v>1.0</v>
      </c>
      <c r="M2423" s="34" t="s">
        <v>33</v>
      </c>
      <c r="N2423" s="38" t="s">
        <v>7371</v>
      </c>
      <c r="O2423" s="39" t="s">
        <v>7372</v>
      </c>
    </row>
    <row r="2424">
      <c r="A2424" s="32">
        <v>2808.0</v>
      </c>
      <c r="B2424" s="33">
        <v>46176.45685337963</v>
      </c>
      <c r="C2424" s="34" t="s">
        <v>760</v>
      </c>
      <c r="D2424" s="35" t="s">
        <v>1220</v>
      </c>
      <c r="E2424" s="35" t="s">
        <v>951</v>
      </c>
      <c r="F2424" s="34" t="s">
        <v>7337</v>
      </c>
      <c r="G2424" s="36" t="s">
        <v>181</v>
      </c>
      <c r="H2424" s="34" t="s">
        <v>1222</v>
      </c>
      <c r="I2424" s="34" t="s">
        <v>7367</v>
      </c>
      <c r="J2424" s="37">
        <v>46142.0</v>
      </c>
      <c r="K2424" s="35" t="s">
        <v>7368</v>
      </c>
      <c r="L2424" s="34">
        <v>1.0</v>
      </c>
      <c r="M2424" s="34" t="s">
        <v>33</v>
      </c>
      <c r="N2424" s="38" t="s">
        <v>7373</v>
      </c>
      <c r="O2424" s="39" t="s">
        <v>7374</v>
      </c>
    </row>
    <row r="2425">
      <c r="A2425" s="32">
        <v>2809.0</v>
      </c>
      <c r="B2425" s="33">
        <v>46176.45748734954</v>
      </c>
      <c r="C2425" s="34" t="s">
        <v>760</v>
      </c>
      <c r="D2425" s="35" t="s">
        <v>798</v>
      </c>
      <c r="E2425" s="35" t="s">
        <v>799</v>
      </c>
      <c r="F2425" s="34" t="s">
        <v>800</v>
      </c>
      <c r="G2425" s="36" t="s">
        <v>209</v>
      </c>
      <c r="H2425" s="34" t="s">
        <v>851</v>
      </c>
      <c r="I2425" s="34" t="s">
        <v>825</v>
      </c>
      <c r="J2425" s="37">
        <v>46173.0</v>
      </c>
      <c r="K2425" s="35" t="s">
        <v>1922</v>
      </c>
      <c r="L2425" s="34">
        <v>2.0</v>
      </c>
      <c r="M2425" s="34" t="s">
        <v>6739</v>
      </c>
      <c r="N2425" s="38" t="s">
        <v>7375</v>
      </c>
      <c r="O2425" s="39" t="s">
        <v>7376</v>
      </c>
    </row>
    <row r="2426">
      <c r="A2426" s="32">
        <v>2810.0</v>
      </c>
      <c r="B2426" s="33">
        <v>46176.45800061343</v>
      </c>
      <c r="C2426" s="34" t="s">
        <v>760</v>
      </c>
      <c r="D2426" s="35" t="s">
        <v>1424</v>
      </c>
      <c r="E2426" s="35" t="s">
        <v>110</v>
      </c>
      <c r="F2426" s="34" t="s">
        <v>1425</v>
      </c>
      <c r="G2426" s="36" t="s">
        <v>181</v>
      </c>
      <c r="H2426" s="34" t="s">
        <v>7377</v>
      </c>
      <c r="I2426" s="34" t="s">
        <v>231</v>
      </c>
      <c r="J2426" s="37">
        <v>46031.0</v>
      </c>
      <c r="K2426" s="35" t="s">
        <v>457</v>
      </c>
      <c r="L2426" s="34">
        <v>4.0</v>
      </c>
      <c r="M2426" s="34" t="s">
        <v>2391</v>
      </c>
      <c r="N2426" s="38" t="s">
        <v>7378</v>
      </c>
      <c r="O2426" s="39" t="s">
        <v>7379</v>
      </c>
    </row>
    <row r="2427">
      <c r="A2427" s="32">
        <v>2811.0</v>
      </c>
      <c r="B2427" s="33">
        <v>46176.45808324074</v>
      </c>
      <c r="C2427" s="34" t="s">
        <v>760</v>
      </c>
      <c r="D2427" s="35" t="s">
        <v>1220</v>
      </c>
      <c r="E2427" s="35" t="s">
        <v>951</v>
      </c>
      <c r="F2427" s="34" t="s">
        <v>7337</v>
      </c>
      <c r="G2427" s="36" t="s">
        <v>181</v>
      </c>
      <c r="H2427" s="34" t="s">
        <v>1222</v>
      </c>
      <c r="I2427" s="34" t="s">
        <v>7367</v>
      </c>
      <c r="J2427" s="37">
        <v>46116.0</v>
      </c>
      <c r="K2427" s="35" t="s">
        <v>7368</v>
      </c>
      <c r="L2427" s="34">
        <v>1.0</v>
      </c>
      <c r="M2427" s="34" t="s">
        <v>33</v>
      </c>
      <c r="N2427" s="38" t="s">
        <v>7380</v>
      </c>
      <c r="O2427" s="39" t="s">
        <v>7381</v>
      </c>
    </row>
    <row r="2428">
      <c r="A2428" s="32">
        <v>2812.0</v>
      </c>
      <c r="B2428" s="33">
        <v>46176.45838008102</v>
      </c>
      <c r="C2428" s="34" t="s">
        <v>760</v>
      </c>
      <c r="D2428" s="35" t="s">
        <v>798</v>
      </c>
      <c r="E2428" s="35" t="s">
        <v>799</v>
      </c>
      <c r="F2428" s="34" t="s">
        <v>800</v>
      </c>
      <c r="G2428" s="36" t="s">
        <v>209</v>
      </c>
      <c r="H2428" s="34" t="s">
        <v>7382</v>
      </c>
      <c r="I2428" s="34" t="s">
        <v>825</v>
      </c>
      <c r="J2428" s="37">
        <v>46173.0</v>
      </c>
      <c r="K2428" s="35" t="s">
        <v>232</v>
      </c>
      <c r="L2428" s="34">
        <v>1.0</v>
      </c>
      <c r="M2428" s="34" t="s">
        <v>6331</v>
      </c>
      <c r="N2428" s="38" t="s">
        <v>7383</v>
      </c>
      <c r="O2428" s="39" t="s">
        <v>7384</v>
      </c>
    </row>
    <row r="2429">
      <c r="A2429" s="32">
        <v>2813.0</v>
      </c>
      <c r="B2429" s="33">
        <v>46176.46075758102</v>
      </c>
      <c r="C2429" s="34" t="s">
        <v>760</v>
      </c>
      <c r="D2429" s="35" t="s">
        <v>1220</v>
      </c>
      <c r="E2429" s="35" t="s">
        <v>951</v>
      </c>
      <c r="F2429" s="34" t="s">
        <v>7337</v>
      </c>
      <c r="G2429" s="36" t="s">
        <v>181</v>
      </c>
      <c r="H2429" s="34" t="s">
        <v>1222</v>
      </c>
      <c r="I2429" s="34" t="s">
        <v>7385</v>
      </c>
      <c r="J2429" s="37">
        <v>46170.0</v>
      </c>
      <c r="K2429" s="35" t="s">
        <v>7368</v>
      </c>
      <c r="L2429" s="34">
        <v>1.0</v>
      </c>
      <c r="M2429" s="34" t="s">
        <v>33</v>
      </c>
      <c r="N2429" s="38" t="s">
        <v>7386</v>
      </c>
      <c r="O2429" s="39" t="s">
        <v>7387</v>
      </c>
    </row>
    <row r="2430">
      <c r="A2430" s="32">
        <v>2814.0</v>
      </c>
      <c r="B2430" s="33">
        <v>46176.46181915509</v>
      </c>
      <c r="C2430" s="34" t="s">
        <v>760</v>
      </c>
      <c r="D2430" s="35" t="s">
        <v>3979</v>
      </c>
      <c r="E2430" s="35" t="s">
        <v>236</v>
      </c>
      <c r="F2430" s="34" t="s">
        <v>3980</v>
      </c>
      <c r="G2430" s="36" t="s">
        <v>181</v>
      </c>
      <c r="H2430" s="34" t="s">
        <v>1222</v>
      </c>
      <c r="I2430" s="34" t="s">
        <v>231</v>
      </c>
      <c r="J2430" s="37">
        <v>46031.0</v>
      </c>
      <c r="K2430" s="35" t="s">
        <v>310</v>
      </c>
      <c r="L2430" s="34">
        <v>1.0</v>
      </c>
      <c r="M2430" s="34" t="s">
        <v>33</v>
      </c>
      <c r="N2430" s="38" t="s">
        <v>7388</v>
      </c>
      <c r="O2430" s="39" t="s">
        <v>7389</v>
      </c>
    </row>
    <row r="2431">
      <c r="A2431" s="32">
        <v>2815.0</v>
      </c>
      <c r="B2431" s="33">
        <v>46176.46225321759</v>
      </c>
      <c r="C2431" s="34" t="s">
        <v>760</v>
      </c>
      <c r="D2431" s="35" t="s">
        <v>1220</v>
      </c>
      <c r="E2431" s="35" t="s">
        <v>951</v>
      </c>
      <c r="F2431" s="34" t="s">
        <v>7337</v>
      </c>
      <c r="G2431" s="36" t="s">
        <v>181</v>
      </c>
      <c r="H2431" s="34" t="s">
        <v>1222</v>
      </c>
      <c r="I2431" s="34" t="s">
        <v>7367</v>
      </c>
      <c r="J2431" s="37">
        <v>46107.0</v>
      </c>
      <c r="K2431" s="35" t="s">
        <v>7368</v>
      </c>
      <c r="L2431" s="34">
        <v>1.0</v>
      </c>
      <c r="M2431" s="34" t="s">
        <v>33</v>
      </c>
      <c r="N2431" s="38" t="s">
        <v>7390</v>
      </c>
      <c r="O2431" s="39" t="s">
        <v>7391</v>
      </c>
    </row>
    <row r="2432">
      <c r="A2432" s="32">
        <v>2816.0</v>
      </c>
      <c r="B2432" s="33">
        <v>46176.46301782408</v>
      </c>
      <c r="C2432" s="34" t="s">
        <v>760</v>
      </c>
      <c r="D2432" s="35" t="s">
        <v>3979</v>
      </c>
      <c r="E2432" s="35" t="s">
        <v>236</v>
      </c>
      <c r="F2432" s="34" t="s">
        <v>3980</v>
      </c>
      <c r="G2432" s="36" t="s">
        <v>181</v>
      </c>
      <c r="H2432" s="34" t="s">
        <v>1222</v>
      </c>
      <c r="I2432" s="34" t="s">
        <v>231</v>
      </c>
      <c r="J2432" s="37">
        <v>46092.0</v>
      </c>
      <c r="K2432" s="35" t="s">
        <v>310</v>
      </c>
      <c r="L2432" s="34">
        <v>1.0</v>
      </c>
      <c r="M2432" s="34" t="s">
        <v>33</v>
      </c>
      <c r="N2432" s="38" t="s">
        <v>7392</v>
      </c>
      <c r="O2432" s="39" t="s">
        <v>7393</v>
      </c>
    </row>
    <row r="2433">
      <c r="A2433" s="32">
        <v>2817.0</v>
      </c>
      <c r="B2433" s="33">
        <v>46176.46498780092</v>
      </c>
      <c r="C2433" s="34" t="s">
        <v>760</v>
      </c>
      <c r="D2433" s="35" t="s">
        <v>798</v>
      </c>
      <c r="E2433" s="35" t="s">
        <v>799</v>
      </c>
      <c r="F2433" s="34" t="s">
        <v>800</v>
      </c>
      <c r="G2433" s="36" t="s">
        <v>144</v>
      </c>
      <c r="H2433" s="34" t="s">
        <v>145</v>
      </c>
      <c r="I2433" s="34" t="s">
        <v>7394</v>
      </c>
      <c r="J2433" s="37">
        <v>46022.0</v>
      </c>
      <c r="K2433" s="35" t="s">
        <v>418</v>
      </c>
      <c r="L2433" s="34">
        <v>1.0</v>
      </c>
      <c r="M2433" s="34" t="s">
        <v>6331</v>
      </c>
      <c r="N2433" s="38" t="s">
        <v>7395</v>
      </c>
      <c r="O2433" s="39" t="s">
        <v>7396</v>
      </c>
    </row>
    <row r="2434">
      <c r="A2434" s="32">
        <v>2818.0</v>
      </c>
      <c r="B2434" s="33">
        <v>46176.46742055556</v>
      </c>
      <c r="C2434" s="34" t="s">
        <v>760</v>
      </c>
      <c r="D2434" s="35" t="s">
        <v>791</v>
      </c>
      <c r="E2434" s="35" t="s">
        <v>164</v>
      </c>
      <c r="F2434" s="34" t="s">
        <v>792</v>
      </c>
      <c r="G2434" s="36" t="s">
        <v>19</v>
      </c>
      <c r="H2434" s="34" t="s">
        <v>7397</v>
      </c>
      <c r="I2434" s="34" t="s">
        <v>6735</v>
      </c>
      <c r="J2434" s="37">
        <v>46134.0</v>
      </c>
      <c r="K2434" s="35" t="s">
        <v>49</v>
      </c>
      <c r="L2434" s="34">
        <v>8.0</v>
      </c>
      <c r="M2434" s="34" t="s">
        <v>1325</v>
      </c>
      <c r="N2434" s="38" t="s">
        <v>7398</v>
      </c>
      <c r="O2434" s="39" t="s">
        <v>7399</v>
      </c>
    </row>
    <row r="2435">
      <c r="A2435" s="32">
        <v>2819.0</v>
      </c>
      <c r="B2435" s="33">
        <v>46176.47970565972</v>
      </c>
      <c r="C2435" s="34" t="s">
        <v>760</v>
      </c>
      <c r="D2435" s="35" t="s">
        <v>3979</v>
      </c>
      <c r="E2435" s="35" t="s">
        <v>236</v>
      </c>
      <c r="F2435" s="34" t="s">
        <v>3980</v>
      </c>
      <c r="G2435" s="36" t="s">
        <v>209</v>
      </c>
      <c r="H2435" s="34" t="s">
        <v>824</v>
      </c>
      <c r="I2435" s="34" t="s">
        <v>825</v>
      </c>
      <c r="J2435" s="37">
        <v>46172.0</v>
      </c>
      <c r="K2435" s="35" t="s">
        <v>232</v>
      </c>
      <c r="L2435" s="34">
        <v>1.0</v>
      </c>
      <c r="M2435" s="34" t="s">
        <v>4062</v>
      </c>
      <c r="N2435" s="38" t="s">
        <v>7400</v>
      </c>
      <c r="O2435" s="39" t="s">
        <v>7401</v>
      </c>
    </row>
    <row r="2436">
      <c r="A2436" s="32">
        <v>2820.0</v>
      </c>
      <c r="B2436" s="33">
        <v>46176.519331435185</v>
      </c>
      <c r="C2436" s="34" t="s">
        <v>760</v>
      </c>
      <c r="D2436" s="35" t="s">
        <v>1184</v>
      </c>
      <c r="E2436" s="35" t="s">
        <v>1185</v>
      </c>
      <c r="F2436" s="34" t="s">
        <v>7233</v>
      </c>
      <c r="G2436" s="36" t="s">
        <v>181</v>
      </c>
      <c r="H2436" s="34" t="s">
        <v>7402</v>
      </c>
      <c r="I2436" s="34" t="s">
        <v>6356</v>
      </c>
      <c r="J2436" s="37">
        <v>46164.0</v>
      </c>
      <c r="K2436" s="35" t="s">
        <v>7403</v>
      </c>
      <c r="L2436" s="34">
        <v>2.0</v>
      </c>
      <c r="M2436" s="34" t="s">
        <v>3607</v>
      </c>
      <c r="N2436" s="38" t="s">
        <v>7404</v>
      </c>
      <c r="O2436" s="39" t="s">
        <v>7405</v>
      </c>
    </row>
    <row r="2437">
      <c r="A2437" s="32">
        <v>2821.0</v>
      </c>
      <c r="B2437" s="33">
        <v>46176.52124971065</v>
      </c>
      <c r="C2437" s="34" t="s">
        <v>760</v>
      </c>
      <c r="D2437" s="35" t="s">
        <v>1334</v>
      </c>
      <c r="E2437" s="35" t="s">
        <v>404</v>
      </c>
      <c r="F2437" s="34" t="s">
        <v>7220</v>
      </c>
      <c r="G2437" s="36" t="s">
        <v>181</v>
      </c>
      <c r="H2437" s="34" t="s">
        <v>5432</v>
      </c>
      <c r="I2437" s="34" t="s">
        <v>5437</v>
      </c>
      <c r="J2437" s="37">
        <v>46139.0</v>
      </c>
      <c r="K2437" s="35" t="s">
        <v>5495</v>
      </c>
      <c r="L2437" s="34">
        <v>4.0</v>
      </c>
      <c r="M2437" s="34" t="s">
        <v>33</v>
      </c>
      <c r="N2437" s="38" t="s">
        <v>7406</v>
      </c>
      <c r="O2437" s="39" t="s">
        <v>7407</v>
      </c>
    </row>
    <row r="2438">
      <c r="A2438" s="32">
        <v>2823.0</v>
      </c>
      <c r="B2438" s="33">
        <v>46176.52321708333</v>
      </c>
      <c r="C2438" s="34" t="s">
        <v>760</v>
      </c>
      <c r="D2438" s="35" t="s">
        <v>780</v>
      </c>
      <c r="E2438" s="35" t="s">
        <v>781</v>
      </c>
      <c r="F2438" s="34" t="s">
        <v>782</v>
      </c>
      <c r="G2438" s="36" t="s">
        <v>19</v>
      </c>
      <c r="H2438" s="34" t="s">
        <v>5410</v>
      </c>
      <c r="I2438" s="34" t="s">
        <v>5411</v>
      </c>
      <c r="J2438" s="37">
        <v>46136.0</v>
      </c>
      <c r="K2438" s="35" t="s">
        <v>5412</v>
      </c>
      <c r="L2438" s="34">
        <v>8.0</v>
      </c>
      <c r="M2438" s="34" t="s">
        <v>87</v>
      </c>
      <c r="N2438" s="38" t="s">
        <v>7408</v>
      </c>
      <c r="O2438" s="39" t="s">
        <v>7409</v>
      </c>
    </row>
    <row r="2439">
      <c r="A2439" s="32">
        <v>2824.0</v>
      </c>
      <c r="B2439" s="33">
        <v>46176.52815322917</v>
      </c>
      <c r="C2439" s="34" t="s">
        <v>760</v>
      </c>
      <c r="D2439" s="35" t="s">
        <v>780</v>
      </c>
      <c r="E2439" s="35" t="s">
        <v>781</v>
      </c>
      <c r="F2439" s="34" t="s">
        <v>782</v>
      </c>
      <c r="G2439" s="36" t="s">
        <v>19</v>
      </c>
      <c r="H2439" s="34" t="s">
        <v>5410</v>
      </c>
      <c r="I2439" s="34" t="s">
        <v>5411</v>
      </c>
      <c r="J2439" s="37">
        <v>46137.0</v>
      </c>
      <c r="K2439" s="35" t="s">
        <v>49</v>
      </c>
      <c r="L2439" s="34">
        <v>8.0</v>
      </c>
      <c r="M2439" s="34" t="s">
        <v>87</v>
      </c>
      <c r="N2439" s="38" t="s">
        <v>7410</v>
      </c>
      <c r="O2439" s="39" t="s">
        <v>7411</v>
      </c>
    </row>
    <row r="2440">
      <c r="A2440" s="32">
        <v>2825.0</v>
      </c>
      <c r="B2440" s="33">
        <v>46176.52942839121</v>
      </c>
      <c r="C2440" s="34" t="s">
        <v>760</v>
      </c>
      <c r="D2440" s="35" t="s">
        <v>780</v>
      </c>
      <c r="E2440" s="35" t="s">
        <v>781</v>
      </c>
      <c r="F2440" s="34" t="s">
        <v>782</v>
      </c>
      <c r="G2440" s="36" t="s">
        <v>19</v>
      </c>
      <c r="H2440" s="34" t="s">
        <v>5410</v>
      </c>
      <c r="I2440" s="34" t="s">
        <v>5411</v>
      </c>
      <c r="J2440" s="37">
        <v>46138.0</v>
      </c>
      <c r="K2440" s="35" t="s">
        <v>49</v>
      </c>
      <c r="L2440" s="34">
        <v>8.0</v>
      </c>
      <c r="M2440" s="34" t="s">
        <v>87</v>
      </c>
      <c r="N2440" s="38" t="s">
        <v>7412</v>
      </c>
      <c r="O2440" s="39" t="s">
        <v>7413</v>
      </c>
    </row>
    <row r="2441">
      <c r="A2441" s="32">
        <v>2826.0</v>
      </c>
      <c r="B2441" s="33">
        <v>46176.530806400464</v>
      </c>
      <c r="C2441" s="34" t="s">
        <v>760</v>
      </c>
      <c r="D2441" s="35" t="s">
        <v>780</v>
      </c>
      <c r="E2441" s="35" t="s">
        <v>781</v>
      </c>
      <c r="F2441" s="34" t="s">
        <v>782</v>
      </c>
      <c r="G2441" s="36" t="s">
        <v>181</v>
      </c>
      <c r="H2441" s="34" t="s">
        <v>5432</v>
      </c>
      <c r="I2441" s="34" t="s">
        <v>231</v>
      </c>
      <c r="J2441" s="37">
        <v>46133.0</v>
      </c>
      <c r="K2441" s="35" t="s">
        <v>962</v>
      </c>
      <c r="L2441" s="34">
        <v>4.0</v>
      </c>
      <c r="M2441" s="34" t="s">
        <v>33</v>
      </c>
      <c r="N2441" s="38" t="s">
        <v>7414</v>
      </c>
      <c r="O2441" s="39" t="s">
        <v>7415</v>
      </c>
    </row>
    <row r="2442">
      <c r="A2442" s="32">
        <v>2827.0</v>
      </c>
      <c r="B2442" s="33">
        <v>46176.53168260417</v>
      </c>
      <c r="C2442" s="34" t="s">
        <v>760</v>
      </c>
      <c r="D2442" s="35" t="s">
        <v>780</v>
      </c>
      <c r="E2442" s="35" t="s">
        <v>781</v>
      </c>
      <c r="F2442" s="34" t="s">
        <v>782</v>
      </c>
      <c r="G2442" s="36" t="s">
        <v>181</v>
      </c>
      <c r="H2442" s="34" t="s">
        <v>5432</v>
      </c>
      <c r="I2442" s="34" t="s">
        <v>231</v>
      </c>
      <c r="J2442" s="37">
        <v>46134.0</v>
      </c>
      <c r="K2442" s="35" t="s">
        <v>962</v>
      </c>
      <c r="L2442" s="34">
        <v>4.0</v>
      </c>
      <c r="M2442" s="34" t="s">
        <v>33</v>
      </c>
      <c r="N2442" s="38" t="s">
        <v>7416</v>
      </c>
      <c r="O2442" s="39" t="s">
        <v>7417</v>
      </c>
    </row>
    <row r="2443">
      <c r="A2443" s="32">
        <v>2828.0</v>
      </c>
      <c r="B2443" s="33">
        <v>46176.532572199074</v>
      </c>
      <c r="C2443" s="34" t="s">
        <v>760</v>
      </c>
      <c r="D2443" s="35" t="s">
        <v>780</v>
      </c>
      <c r="E2443" s="35" t="s">
        <v>781</v>
      </c>
      <c r="F2443" s="34" t="s">
        <v>782</v>
      </c>
      <c r="G2443" s="36" t="s">
        <v>181</v>
      </c>
      <c r="H2443" s="34" t="s">
        <v>5432</v>
      </c>
      <c r="I2443" s="34" t="s">
        <v>231</v>
      </c>
      <c r="J2443" s="37">
        <v>46135.0</v>
      </c>
      <c r="K2443" s="35" t="s">
        <v>962</v>
      </c>
      <c r="L2443" s="34">
        <v>4.0</v>
      </c>
      <c r="M2443" s="34" t="s">
        <v>33</v>
      </c>
      <c r="N2443" s="38" t="s">
        <v>7418</v>
      </c>
      <c r="O2443" s="39" t="s">
        <v>7419</v>
      </c>
    </row>
    <row r="2444">
      <c r="A2444" s="32">
        <v>2829.0</v>
      </c>
      <c r="B2444" s="33">
        <v>46176.53361760417</v>
      </c>
      <c r="C2444" s="34" t="s">
        <v>760</v>
      </c>
      <c r="D2444" s="35" t="s">
        <v>780</v>
      </c>
      <c r="E2444" s="35" t="s">
        <v>781</v>
      </c>
      <c r="F2444" s="34" t="s">
        <v>782</v>
      </c>
      <c r="G2444" s="36" t="s">
        <v>181</v>
      </c>
      <c r="H2444" s="34" t="s">
        <v>5432</v>
      </c>
      <c r="I2444" s="34" t="s">
        <v>5437</v>
      </c>
      <c r="J2444" s="37">
        <v>46139.0</v>
      </c>
      <c r="K2444" s="35" t="s">
        <v>962</v>
      </c>
      <c r="L2444" s="34">
        <v>4.0</v>
      </c>
      <c r="M2444" s="34" t="s">
        <v>33</v>
      </c>
      <c r="N2444" s="38" t="s">
        <v>7420</v>
      </c>
      <c r="O2444" s="39" t="s">
        <v>7421</v>
      </c>
    </row>
    <row r="2445">
      <c r="A2445" s="32">
        <v>2830.0</v>
      </c>
      <c r="B2445" s="33">
        <v>46176.535631238425</v>
      </c>
      <c r="C2445" s="34" t="s">
        <v>760</v>
      </c>
      <c r="D2445" s="35" t="s">
        <v>2364</v>
      </c>
      <c r="E2445" s="35" t="s">
        <v>1596</v>
      </c>
      <c r="F2445" s="34" t="s">
        <v>2365</v>
      </c>
      <c r="G2445" s="36" t="s">
        <v>19</v>
      </c>
      <c r="H2445" s="34" t="s">
        <v>5410</v>
      </c>
      <c r="I2445" s="34" t="s">
        <v>5411</v>
      </c>
      <c r="J2445" s="37">
        <v>46136.0</v>
      </c>
      <c r="K2445" s="35" t="s">
        <v>5412</v>
      </c>
      <c r="L2445" s="34">
        <v>8.0</v>
      </c>
      <c r="M2445" s="34" t="s">
        <v>87</v>
      </c>
      <c r="N2445" s="38" t="s">
        <v>7422</v>
      </c>
      <c r="O2445" s="39" t="s">
        <v>7423</v>
      </c>
    </row>
    <row r="2446">
      <c r="A2446" s="32">
        <v>2831.0</v>
      </c>
      <c r="B2446" s="33">
        <v>46176.538177256945</v>
      </c>
      <c r="C2446" s="34" t="s">
        <v>760</v>
      </c>
      <c r="D2446" s="35" t="s">
        <v>2364</v>
      </c>
      <c r="E2446" s="35" t="s">
        <v>1596</v>
      </c>
      <c r="F2446" s="34" t="s">
        <v>2365</v>
      </c>
      <c r="G2446" s="36" t="s">
        <v>19</v>
      </c>
      <c r="H2446" s="34" t="s">
        <v>5410</v>
      </c>
      <c r="I2446" s="34" t="s">
        <v>5411</v>
      </c>
      <c r="J2446" s="37">
        <v>46137.0</v>
      </c>
      <c r="K2446" s="35" t="s">
        <v>49</v>
      </c>
      <c r="L2446" s="34">
        <v>8.0</v>
      </c>
      <c r="M2446" s="34" t="s">
        <v>87</v>
      </c>
      <c r="N2446" s="38" t="s">
        <v>7424</v>
      </c>
      <c r="O2446" s="39" t="s">
        <v>7425</v>
      </c>
    </row>
    <row r="2447">
      <c r="A2447" s="32">
        <v>2832.0</v>
      </c>
      <c r="B2447" s="33">
        <v>46176.53992846065</v>
      </c>
      <c r="C2447" s="34" t="s">
        <v>760</v>
      </c>
      <c r="D2447" s="35" t="s">
        <v>2364</v>
      </c>
      <c r="E2447" s="35" t="s">
        <v>1596</v>
      </c>
      <c r="F2447" s="34" t="s">
        <v>2365</v>
      </c>
      <c r="G2447" s="36" t="s">
        <v>19</v>
      </c>
      <c r="H2447" s="34" t="s">
        <v>5410</v>
      </c>
      <c r="I2447" s="34" t="s">
        <v>5411</v>
      </c>
      <c r="J2447" s="37">
        <v>46138.0</v>
      </c>
      <c r="K2447" s="35" t="s">
        <v>49</v>
      </c>
      <c r="L2447" s="34">
        <v>8.0</v>
      </c>
      <c r="M2447" s="34" t="s">
        <v>87</v>
      </c>
      <c r="N2447" s="38" t="s">
        <v>7426</v>
      </c>
      <c r="O2447" s="39" t="s">
        <v>7427</v>
      </c>
    </row>
    <row r="2448">
      <c r="A2448" s="32">
        <v>2833.0</v>
      </c>
      <c r="B2448" s="33">
        <v>46176.54283924769</v>
      </c>
      <c r="C2448" s="34" t="s">
        <v>760</v>
      </c>
      <c r="D2448" s="35" t="s">
        <v>2364</v>
      </c>
      <c r="E2448" s="35" t="s">
        <v>1596</v>
      </c>
      <c r="F2448" s="34" t="s">
        <v>2365</v>
      </c>
      <c r="G2448" s="36" t="s">
        <v>181</v>
      </c>
      <c r="H2448" s="34" t="s">
        <v>5432</v>
      </c>
      <c r="I2448" s="34" t="s">
        <v>231</v>
      </c>
      <c r="J2448" s="37">
        <v>46133.0</v>
      </c>
      <c r="K2448" s="35" t="s">
        <v>962</v>
      </c>
      <c r="L2448" s="34">
        <v>4.0</v>
      </c>
      <c r="M2448" s="34" t="s">
        <v>33</v>
      </c>
      <c r="N2448" s="38" t="s">
        <v>7428</v>
      </c>
      <c r="O2448" s="39" t="s">
        <v>7429</v>
      </c>
    </row>
    <row r="2449">
      <c r="A2449" s="32">
        <v>2838.0</v>
      </c>
      <c r="B2449" s="33">
        <v>46176.55786071759</v>
      </c>
      <c r="C2449" s="34" t="s">
        <v>760</v>
      </c>
      <c r="D2449" s="35" t="s">
        <v>2364</v>
      </c>
      <c r="E2449" s="35" t="s">
        <v>1596</v>
      </c>
      <c r="F2449" s="34">
        <v>6803918.0</v>
      </c>
      <c r="G2449" s="36" t="s">
        <v>19</v>
      </c>
      <c r="H2449" s="34" t="s">
        <v>5653</v>
      </c>
      <c r="I2449" s="34" t="s">
        <v>5848</v>
      </c>
      <c r="J2449" s="37">
        <v>46078.0</v>
      </c>
      <c r="K2449" s="35" t="s">
        <v>2179</v>
      </c>
      <c r="L2449" s="34">
        <v>8.0</v>
      </c>
      <c r="M2449" s="34" t="s">
        <v>87</v>
      </c>
      <c r="N2449" s="38" t="s">
        <v>7430</v>
      </c>
      <c r="O2449" s="39" t="s">
        <v>7431</v>
      </c>
    </row>
    <row r="2450">
      <c r="A2450" s="32">
        <v>2839.0</v>
      </c>
      <c r="B2450" s="33">
        <v>46176.56014825232</v>
      </c>
      <c r="C2450" s="34" t="s">
        <v>760</v>
      </c>
      <c r="D2450" s="35" t="s">
        <v>2364</v>
      </c>
      <c r="E2450" s="35" t="s">
        <v>1596</v>
      </c>
      <c r="F2450" s="34" t="s">
        <v>2365</v>
      </c>
      <c r="G2450" s="36" t="s">
        <v>181</v>
      </c>
      <c r="H2450" s="34" t="s">
        <v>7340</v>
      </c>
      <c r="I2450" s="34" t="s">
        <v>231</v>
      </c>
      <c r="J2450" s="37">
        <v>46139.0</v>
      </c>
      <c r="K2450" s="35" t="s">
        <v>962</v>
      </c>
      <c r="L2450" s="34">
        <v>4.0</v>
      </c>
      <c r="M2450" s="34" t="s">
        <v>33</v>
      </c>
      <c r="N2450" s="38" t="s">
        <v>7432</v>
      </c>
      <c r="O2450" s="39" t="s">
        <v>7433</v>
      </c>
    </row>
    <row r="2451">
      <c r="A2451" s="32">
        <v>2840.0</v>
      </c>
      <c r="B2451" s="33">
        <v>46176.62626421296</v>
      </c>
      <c r="C2451" s="34" t="s">
        <v>760</v>
      </c>
      <c r="D2451" s="35" t="s">
        <v>2364</v>
      </c>
      <c r="E2451" s="35" t="s">
        <v>1596</v>
      </c>
      <c r="F2451" s="34" t="s">
        <v>2365</v>
      </c>
      <c r="G2451" s="36" t="s">
        <v>181</v>
      </c>
      <c r="H2451" s="34" t="s">
        <v>7434</v>
      </c>
      <c r="I2451" s="34" t="s">
        <v>231</v>
      </c>
      <c r="J2451" s="37">
        <v>46134.0</v>
      </c>
      <c r="K2451" s="35" t="s">
        <v>962</v>
      </c>
      <c r="L2451" s="34">
        <v>4.0</v>
      </c>
      <c r="M2451" s="34" t="s">
        <v>33</v>
      </c>
      <c r="N2451" s="38" t="s">
        <v>7435</v>
      </c>
      <c r="O2451" s="39" t="s">
        <v>7436</v>
      </c>
    </row>
    <row r="2452">
      <c r="A2452" s="32">
        <v>2841.0</v>
      </c>
      <c r="B2452" s="33">
        <v>46176.630898125004</v>
      </c>
      <c r="C2452" s="34" t="s">
        <v>760</v>
      </c>
      <c r="D2452" s="35" t="s">
        <v>2364</v>
      </c>
      <c r="E2452" s="35" t="s">
        <v>1596</v>
      </c>
      <c r="F2452" s="34" t="s">
        <v>2365</v>
      </c>
      <c r="G2452" s="36" t="s">
        <v>181</v>
      </c>
      <c r="H2452" s="34" t="s">
        <v>6887</v>
      </c>
      <c r="I2452" s="34" t="s">
        <v>231</v>
      </c>
      <c r="J2452" s="37">
        <v>46135.0</v>
      </c>
      <c r="K2452" s="35" t="s">
        <v>5495</v>
      </c>
      <c r="L2452" s="34">
        <v>4.0</v>
      </c>
      <c r="M2452" s="34" t="s">
        <v>33</v>
      </c>
      <c r="N2452" s="38" t="s">
        <v>7437</v>
      </c>
      <c r="O2452" s="39" t="s">
        <v>7438</v>
      </c>
    </row>
    <row r="2453">
      <c r="A2453" s="32">
        <v>2842.0</v>
      </c>
      <c r="B2453" s="33">
        <v>46176.63170931713</v>
      </c>
      <c r="C2453" s="34" t="s">
        <v>760</v>
      </c>
      <c r="D2453" s="35" t="s">
        <v>902</v>
      </c>
      <c r="E2453" s="35" t="s">
        <v>28</v>
      </c>
      <c r="F2453" s="34" t="s">
        <v>6069</v>
      </c>
      <c r="G2453" s="36" t="s">
        <v>181</v>
      </c>
      <c r="H2453" s="34" t="s">
        <v>895</v>
      </c>
      <c r="I2453" s="34" t="s">
        <v>231</v>
      </c>
      <c r="J2453" s="37">
        <v>46079.0</v>
      </c>
      <c r="K2453" s="35" t="s">
        <v>766</v>
      </c>
      <c r="L2453" s="34">
        <v>1.0</v>
      </c>
      <c r="M2453" s="34" t="s">
        <v>907</v>
      </c>
      <c r="N2453" s="38" t="s">
        <v>7439</v>
      </c>
      <c r="O2453" s="39" t="s">
        <v>7440</v>
      </c>
    </row>
    <row r="2454">
      <c r="A2454" s="32">
        <v>2843.0</v>
      </c>
      <c r="B2454" s="33">
        <v>46176.632175300925</v>
      </c>
      <c r="C2454" s="34" t="s">
        <v>760</v>
      </c>
      <c r="D2454" s="35" t="s">
        <v>2364</v>
      </c>
      <c r="E2454" s="35" t="s">
        <v>1596</v>
      </c>
      <c r="F2454" s="34" t="s">
        <v>2365</v>
      </c>
      <c r="G2454" s="36" t="s">
        <v>181</v>
      </c>
      <c r="H2454" s="34" t="s">
        <v>6887</v>
      </c>
      <c r="I2454" s="34" t="s">
        <v>231</v>
      </c>
      <c r="J2454" s="37">
        <v>46138.0</v>
      </c>
      <c r="K2454" s="35" t="s">
        <v>7441</v>
      </c>
      <c r="L2454" s="34">
        <v>8.0</v>
      </c>
      <c r="M2454" s="34" t="s">
        <v>33</v>
      </c>
      <c r="N2454" s="38" t="s">
        <v>7442</v>
      </c>
      <c r="O2454" s="39" t="s">
        <v>7443</v>
      </c>
    </row>
    <row r="2455">
      <c r="A2455" s="32">
        <v>2844.0</v>
      </c>
      <c r="B2455" s="33">
        <v>46176.63326549769</v>
      </c>
      <c r="C2455" s="34" t="s">
        <v>760</v>
      </c>
      <c r="D2455" s="35" t="s">
        <v>902</v>
      </c>
      <c r="E2455" s="35" t="s">
        <v>28</v>
      </c>
      <c r="F2455" s="34" t="s">
        <v>5296</v>
      </c>
      <c r="G2455" s="36" t="s">
        <v>181</v>
      </c>
      <c r="H2455" s="34" t="s">
        <v>895</v>
      </c>
      <c r="I2455" s="34" t="s">
        <v>231</v>
      </c>
      <c r="J2455" s="37">
        <v>46035.0</v>
      </c>
      <c r="K2455" s="35" t="s">
        <v>766</v>
      </c>
      <c r="L2455" s="34">
        <v>1.0</v>
      </c>
      <c r="M2455" s="34" t="s">
        <v>1016</v>
      </c>
      <c r="N2455" s="38" t="s">
        <v>7444</v>
      </c>
      <c r="O2455" s="39" t="s">
        <v>7445</v>
      </c>
    </row>
    <row r="2456">
      <c r="A2456" s="32">
        <v>2845.0</v>
      </c>
      <c r="B2456" s="33">
        <v>46176.63458695602</v>
      </c>
      <c r="C2456" s="34" t="s">
        <v>760</v>
      </c>
      <c r="D2456" s="35" t="s">
        <v>902</v>
      </c>
      <c r="E2456" s="35" t="s">
        <v>28</v>
      </c>
      <c r="F2456" s="34" t="s">
        <v>5296</v>
      </c>
      <c r="G2456" s="36" t="s">
        <v>181</v>
      </c>
      <c r="H2456" s="34" t="s">
        <v>895</v>
      </c>
      <c r="I2456" s="34" t="s">
        <v>231</v>
      </c>
      <c r="J2456" s="37">
        <v>46028.0</v>
      </c>
      <c r="K2456" s="35" t="s">
        <v>766</v>
      </c>
      <c r="L2456" s="34">
        <v>1.0</v>
      </c>
      <c r="M2456" s="34" t="s">
        <v>1016</v>
      </c>
      <c r="N2456" s="38" t="s">
        <v>7446</v>
      </c>
      <c r="O2456" s="39" t="s">
        <v>7447</v>
      </c>
    </row>
    <row r="2457">
      <c r="A2457" s="32">
        <v>2846.0</v>
      </c>
      <c r="B2457" s="33">
        <v>46176.63591070602</v>
      </c>
      <c r="C2457" s="34" t="s">
        <v>760</v>
      </c>
      <c r="D2457" s="35" t="s">
        <v>902</v>
      </c>
      <c r="E2457" s="35" t="s">
        <v>28</v>
      </c>
      <c r="F2457" s="34" t="s">
        <v>6069</v>
      </c>
      <c r="G2457" s="36" t="s">
        <v>181</v>
      </c>
      <c r="H2457" s="34" t="s">
        <v>895</v>
      </c>
      <c r="I2457" s="34" t="s">
        <v>231</v>
      </c>
      <c r="J2457" s="37">
        <v>46107.0</v>
      </c>
      <c r="K2457" s="35" t="s">
        <v>766</v>
      </c>
      <c r="L2457" s="34">
        <v>1.0</v>
      </c>
      <c r="M2457" s="34" t="s">
        <v>1016</v>
      </c>
      <c r="N2457" s="38" t="s">
        <v>7448</v>
      </c>
      <c r="O2457" s="39" t="s">
        <v>7449</v>
      </c>
    </row>
    <row r="2458">
      <c r="A2458" s="32">
        <v>2847.0</v>
      </c>
      <c r="B2458" s="33">
        <v>46176.63735414352</v>
      </c>
      <c r="C2458" s="34" t="s">
        <v>760</v>
      </c>
      <c r="D2458" s="35" t="s">
        <v>902</v>
      </c>
      <c r="E2458" s="35" t="s">
        <v>28</v>
      </c>
      <c r="F2458" s="34" t="s">
        <v>5296</v>
      </c>
      <c r="G2458" s="36" t="s">
        <v>181</v>
      </c>
      <c r="H2458" s="34" t="s">
        <v>895</v>
      </c>
      <c r="I2458" s="34" t="s">
        <v>231</v>
      </c>
      <c r="J2458" s="37">
        <v>46106.0</v>
      </c>
      <c r="K2458" s="35" t="s">
        <v>766</v>
      </c>
      <c r="L2458" s="34">
        <v>1.0</v>
      </c>
      <c r="M2458" s="34" t="s">
        <v>1016</v>
      </c>
      <c r="N2458" s="38" t="s">
        <v>7450</v>
      </c>
      <c r="O2458" s="39" t="s">
        <v>7451</v>
      </c>
    </row>
    <row r="2459">
      <c r="A2459" s="32">
        <v>2848.0</v>
      </c>
      <c r="B2459" s="33">
        <v>46176.63853488426</v>
      </c>
      <c r="C2459" s="34" t="s">
        <v>760</v>
      </c>
      <c r="D2459" s="35" t="s">
        <v>902</v>
      </c>
      <c r="E2459" s="35" t="s">
        <v>28</v>
      </c>
      <c r="F2459" s="34" t="s">
        <v>6069</v>
      </c>
      <c r="G2459" s="36" t="s">
        <v>181</v>
      </c>
      <c r="H2459" s="34" t="s">
        <v>895</v>
      </c>
      <c r="I2459" s="34" t="s">
        <v>231</v>
      </c>
      <c r="J2459" s="37">
        <v>46111.0</v>
      </c>
      <c r="K2459" s="35" t="s">
        <v>766</v>
      </c>
      <c r="L2459" s="34">
        <v>1.0</v>
      </c>
      <c r="M2459" s="34" t="s">
        <v>33</v>
      </c>
      <c r="N2459" s="38" t="s">
        <v>7452</v>
      </c>
      <c r="O2459" s="39" t="s">
        <v>7453</v>
      </c>
    </row>
    <row r="2460">
      <c r="A2460" s="32">
        <v>2849.0</v>
      </c>
      <c r="B2460" s="33">
        <v>46176.63979371528</v>
      </c>
      <c r="C2460" s="34" t="s">
        <v>760</v>
      </c>
      <c r="D2460" s="35" t="s">
        <v>902</v>
      </c>
      <c r="E2460" s="35" t="s">
        <v>28</v>
      </c>
      <c r="F2460" s="34" t="s">
        <v>6069</v>
      </c>
      <c r="G2460" s="36" t="s">
        <v>181</v>
      </c>
      <c r="H2460" s="34" t="s">
        <v>895</v>
      </c>
      <c r="I2460" s="34" t="s">
        <v>231</v>
      </c>
      <c r="J2460" s="37">
        <v>46057.0</v>
      </c>
      <c r="K2460" s="35" t="s">
        <v>766</v>
      </c>
      <c r="L2460" s="34">
        <v>1.0</v>
      </c>
      <c r="M2460" s="34" t="s">
        <v>1016</v>
      </c>
      <c r="N2460" s="38" t="s">
        <v>7454</v>
      </c>
      <c r="O2460" s="39" t="s">
        <v>7455</v>
      </c>
    </row>
    <row r="2461">
      <c r="A2461" s="32">
        <v>2850.0</v>
      </c>
      <c r="B2461" s="33">
        <v>46176.64109831018</v>
      </c>
      <c r="C2461" s="34" t="s">
        <v>760</v>
      </c>
      <c r="D2461" s="35" t="s">
        <v>902</v>
      </c>
      <c r="E2461" s="35" t="s">
        <v>28</v>
      </c>
      <c r="F2461" s="34" t="s">
        <v>6069</v>
      </c>
      <c r="G2461" s="36" t="s">
        <v>181</v>
      </c>
      <c r="H2461" s="34" t="s">
        <v>895</v>
      </c>
      <c r="I2461" s="34" t="s">
        <v>1211</v>
      </c>
      <c r="J2461" s="37">
        <v>46143.0</v>
      </c>
      <c r="K2461" s="35" t="s">
        <v>766</v>
      </c>
      <c r="L2461" s="34">
        <v>1.0</v>
      </c>
      <c r="M2461" s="34" t="s">
        <v>1016</v>
      </c>
      <c r="N2461" s="38" t="s">
        <v>7456</v>
      </c>
      <c r="O2461" s="39" t="s">
        <v>7457</v>
      </c>
    </row>
    <row r="2462">
      <c r="A2462" s="32">
        <v>2853.0</v>
      </c>
      <c r="B2462" s="33">
        <v>46176.66840034722</v>
      </c>
      <c r="C2462" s="34" t="s">
        <v>760</v>
      </c>
      <c r="D2462" s="35" t="s">
        <v>1184</v>
      </c>
      <c r="E2462" s="35" t="s">
        <v>1185</v>
      </c>
      <c r="F2462" s="34" t="s">
        <v>7233</v>
      </c>
      <c r="G2462" s="36" t="s">
        <v>181</v>
      </c>
      <c r="H2462" s="34" t="s">
        <v>6022</v>
      </c>
      <c r="I2462" s="34" t="s">
        <v>6023</v>
      </c>
      <c r="J2462" s="37">
        <v>46147.0</v>
      </c>
      <c r="K2462" s="35" t="s">
        <v>6083</v>
      </c>
      <c r="L2462" s="34">
        <v>3.0</v>
      </c>
      <c r="M2462" s="34" t="s">
        <v>1325</v>
      </c>
      <c r="N2462" s="38" t="s">
        <v>7458</v>
      </c>
      <c r="O2462" s="39" t="s">
        <v>7459</v>
      </c>
    </row>
    <row r="2463">
      <c r="A2463" s="32">
        <v>2854.0</v>
      </c>
      <c r="B2463" s="33">
        <v>46176.710765138894</v>
      </c>
      <c r="C2463" s="34" t="s">
        <v>760</v>
      </c>
      <c r="D2463" s="35" t="s">
        <v>3848</v>
      </c>
      <c r="E2463" s="35" t="s">
        <v>574</v>
      </c>
      <c r="F2463" s="34" t="s">
        <v>3849</v>
      </c>
      <c r="G2463" s="36" t="s">
        <v>181</v>
      </c>
      <c r="H2463" s="34" t="s">
        <v>6347</v>
      </c>
      <c r="I2463" s="34" t="s">
        <v>6356</v>
      </c>
      <c r="J2463" s="37">
        <v>46164.0</v>
      </c>
      <c r="K2463" s="35" t="s">
        <v>753</v>
      </c>
      <c r="L2463" s="34">
        <v>2.0</v>
      </c>
      <c r="M2463" s="34" t="s">
        <v>6279</v>
      </c>
      <c r="N2463" s="38" t="s">
        <v>7460</v>
      </c>
      <c r="O2463" s="39" t="s">
        <v>7461</v>
      </c>
    </row>
    <row r="2464">
      <c r="A2464" s="32">
        <v>2855.0</v>
      </c>
      <c r="B2464" s="33">
        <v>46176.898293182865</v>
      </c>
      <c r="C2464" s="34" t="s">
        <v>15</v>
      </c>
      <c r="D2464" s="35" t="s">
        <v>5042</v>
      </c>
      <c r="E2464" s="35" t="s">
        <v>2061</v>
      </c>
      <c r="F2464" s="34" t="s">
        <v>5043</v>
      </c>
      <c r="G2464" s="36" t="s">
        <v>181</v>
      </c>
      <c r="H2464" s="34" t="s">
        <v>5432</v>
      </c>
      <c r="I2464" s="34" t="s">
        <v>231</v>
      </c>
      <c r="J2464" s="37">
        <v>46133.0</v>
      </c>
      <c r="K2464" s="35" t="s">
        <v>962</v>
      </c>
      <c r="L2464" s="34">
        <v>4.0</v>
      </c>
      <c r="M2464" s="34" t="s">
        <v>33</v>
      </c>
      <c r="N2464" s="38" t="s">
        <v>7462</v>
      </c>
      <c r="O2464" s="39" t="s">
        <v>7463</v>
      </c>
    </row>
    <row r="2465">
      <c r="A2465" s="32">
        <v>2856.0</v>
      </c>
      <c r="B2465" s="33">
        <v>46176.8997984375</v>
      </c>
      <c r="C2465" s="34" t="s">
        <v>15</v>
      </c>
      <c r="D2465" s="35" t="s">
        <v>5042</v>
      </c>
      <c r="E2465" s="35" t="s">
        <v>2061</v>
      </c>
      <c r="F2465" s="34" t="s">
        <v>5043</v>
      </c>
      <c r="G2465" s="36" t="s">
        <v>181</v>
      </c>
      <c r="H2465" s="34" t="s">
        <v>5432</v>
      </c>
      <c r="I2465" s="34" t="s">
        <v>231</v>
      </c>
      <c r="J2465" s="37">
        <v>46134.0</v>
      </c>
      <c r="K2465" s="35" t="s">
        <v>962</v>
      </c>
      <c r="L2465" s="34">
        <v>4.0</v>
      </c>
      <c r="M2465" s="34" t="s">
        <v>33</v>
      </c>
      <c r="N2465" s="38" t="s">
        <v>7464</v>
      </c>
      <c r="O2465" s="39" t="s">
        <v>7465</v>
      </c>
    </row>
    <row r="2466">
      <c r="A2466" s="32">
        <v>2857.0</v>
      </c>
      <c r="B2466" s="33">
        <v>46176.90182568287</v>
      </c>
      <c r="C2466" s="34" t="s">
        <v>15</v>
      </c>
      <c r="D2466" s="35" t="s">
        <v>5042</v>
      </c>
      <c r="E2466" s="35" t="s">
        <v>2061</v>
      </c>
      <c r="F2466" s="34" t="s">
        <v>5043</v>
      </c>
      <c r="G2466" s="36" t="s">
        <v>181</v>
      </c>
      <c r="H2466" s="34" t="s">
        <v>5432</v>
      </c>
      <c r="I2466" s="34" t="s">
        <v>231</v>
      </c>
      <c r="J2466" s="37">
        <v>46135.0</v>
      </c>
      <c r="K2466" s="35" t="s">
        <v>962</v>
      </c>
      <c r="L2466" s="34">
        <v>4.0</v>
      </c>
      <c r="M2466" s="34" t="s">
        <v>33</v>
      </c>
      <c r="N2466" s="38" t="s">
        <v>7466</v>
      </c>
      <c r="O2466" s="39" t="s">
        <v>7467</v>
      </c>
    </row>
    <row r="2467">
      <c r="A2467" s="32">
        <v>2858.0</v>
      </c>
      <c r="B2467" s="33">
        <v>46176.903477824075</v>
      </c>
      <c r="C2467" s="34" t="s">
        <v>15</v>
      </c>
      <c r="D2467" s="35" t="s">
        <v>5042</v>
      </c>
      <c r="E2467" s="35" t="s">
        <v>2061</v>
      </c>
      <c r="F2467" s="34" t="s">
        <v>5043</v>
      </c>
      <c r="G2467" s="36" t="s">
        <v>181</v>
      </c>
      <c r="H2467" s="34" t="s">
        <v>5432</v>
      </c>
      <c r="I2467" s="34" t="s">
        <v>231</v>
      </c>
      <c r="J2467" s="37">
        <v>46138.0</v>
      </c>
      <c r="K2467" s="35" t="s">
        <v>3192</v>
      </c>
      <c r="L2467" s="34">
        <v>6.0</v>
      </c>
      <c r="M2467" s="34" t="s">
        <v>33</v>
      </c>
      <c r="N2467" s="38" t="s">
        <v>7468</v>
      </c>
      <c r="O2467" s="39" t="s">
        <v>7469</v>
      </c>
    </row>
    <row r="2468">
      <c r="A2468" s="32">
        <v>2859.0</v>
      </c>
      <c r="B2468" s="33">
        <v>46176.90530078704</v>
      </c>
      <c r="C2468" s="34" t="s">
        <v>15</v>
      </c>
      <c r="D2468" s="35" t="s">
        <v>5042</v>
      </c>
      <c r="E2468" s="35" t="s">
        <v>2061</v>
      </c>
      <c r="F2468" s="34" t="s">
        <v>5043</v>
      </c>
      <c r="G2468" s="36" t="s">
        <v>181</v>
      </c>
      <c r="H2468" s="34" t="s">
        <v>5432</v>
      </c>
      <c r="I2468" s="34" t="s">
        <v>5465</v>
      </c>
      <c r="J2468" s="37">
        <v>46139.0</v>
      </c>
      <c r="K2468" s="35" t="s">
        <v>962</v>
      </c>
      <c r="L2468" s="34">
        <v>4.0</v>
      </c>
      <c r="M2468" s="34" t="s">
        <v>33</v>
      </c>
      <c r="N2468" s="38" t="s">
        <v>7470</v>
      </c>
      <c r="O2468" s="39" t="s">
        <v>7471</v>
      </c>
    </row>
    <row r="2469">
      <c r="A2469" s="32">
        <v>2860.0</v>
      </c>
      <c r="B2469" s="33">
        <v>46176.9486174537</v>
      </c>
      <c r="C2469" s="34" t="s">
        <v>26</v>
      </c>
      <c r="D2469" s="35" t="s">
        <v>1230</v>
      </c>
      <c r="E2469" s="35" t="s">
        <v>91</v>
      </c>
      <c r="F2469" s="34" t="s">
        <v>1231</v>
      </c>
      <c r="G2469" s="36" t="s">
        <v>181</v>
      </c>
      <c r="H2469" s="34" t="s">
        <v>6022</v>
      </c>
      <c r="I2469" s="34" t="s">
        <v>6023</v>
      </c>
      <c r="J2469" s="37">
        <v>46147.0</v>
      </c>
      <c r="K2469" s="35" t="s">
        <v>3287</v>
      </c>
      <c r="L2469" s="34">
        <v>3.0</v>
      </c>
      <c r="M2469" s="34" t="s">
        <v>1325</v>
      </c>
      <c r="N2469" s="38" t="s">
        <v>7472</v>
      </c>
      <c r="O2469" s="39" t="s">
        <v>7473</v>
      </c>
    </row>
    <row r="2470">
      <c r="A2470" s="32">
        <v>2861.0</v>
      </c>
      <c r="B2470" s="33">
        <v>46176.94940575231</v>
      </c>
      <c r="C2470" s="34" t="s">
        <v>15</v>
      </c>
      <c r="D2470" s="35" t="s">
        <v>2849</v>
      </c>
      <c r="E2470" s="35" t="s">
        <v>2338</v>
      </c>
      <c r="F2470" s="34" t="s">
        <v>2850</v>
      </c>
      <c r="G2470" s="36" t="s">
        <v>181</v>
      </c>
      <c r="H2470" s="34" t="s">
        <v>5432</v>
      </c>
      <c r="I2470" s="34" t="s">
        <v>231</v>
      </c>
      <c r="J2470" s="37">
        <v>46133.0</v>
      </c>
      <c r="K2470" s="35" t="s">
        <v>962</v>
      </c>
      <c r="L2470" s="34">
        <v>4.0</v>
      </c>
      <c r="M2470" s="34" t="s">
        <v>553</v>
      </c>
      <c r="N2470" s="38" t="s">
        <v>7474</v>
      </c>
      <c r="O2470" s="39" t="s">
        <v>7475</v>
      </c>
    </row>
    <row r="2471">
      <c r="A2471" s="32">
        <v>2862.0</v>
      </c>
      <c r="B2471" s="33">
        <v>46176.95079200232</v>
      </c>
      <c r="C2471" s="34" t="s">
        <v>15</v>
      </c>
      <c r="D2471" s="35" t="s">
        <v>2849</v>
      </c>
      <c r="E2471" s="35" t="s">
        <v>2338</v>
      </c>
      <c r="F2471" s="34" t="s">
        <v>2850</v>
      </c>
      <c r="G2471" s="36" t="s">
        <v>181</v>
      </c>
      <c r="H2471" s="34" t="s">
        <v>5432</v>
      </c>
      <c r="I2471" s="34" t="s">
        <v>231</v>
      </c>
      <c r="J2471" s="37">
        <v>46134.0</v>
      </c>
      <c r="K2471" s="35" t="s">
        <v>962</v>
      </c>
      <c r="L2471" s="34">
        <v>4.0</v>
      </c>
      <c r="M2471" s="34" t="s">
        <v>553</v>
      </c>
      <c r="N2471" s="38" t="s">
        <v>7476</v>
      </c>
      <c r="O2471" s="39" t="s">
        <v>7477</v>
      </c>
    </row>
    <row r="2472">
      <c r="A2472" s="32">
        <v>2863.0</v>
      </c>
      <c r="B2472" s="33">
        <v>46176.95251681713</v>
      </c>
      <c r="C2472" s="34" t="s">
        <v>26</v>
      </c>
      <c r="D2472" s="35" t="s">
        <v>1230</v>
      </c>
      <c r="E2472" s="35" t="s">
        <v>91</v>
      </c>
      <c r="F2472" s="34" t="s">
        <v>1231</v>
      </c>
      <c r="G2472" s="36" t="s">
        <v>19</v>
      </c>
      <c r="H2472" s="34" t="s">
        <v>5653</v>
      </c>
      <c r="I2472" s="34" t="s">
        <v>7186</v>
      </c>
      <c r="J2472" s="37">
        <v>46078.0</v>
      </c>
      <c r="K2472" s="35" t="s">
        <v>2179</v>
      </c>
      <c r="L2472" s="34">
        <v>8.0</v>
      </c>
      <c r="M2472" s="34" t="s">
        <v>5550</v>
      </c>
      <c r="N2472" s="38" t="s">
        <v>7478</v>
      </c>
      <c r="O2472" s="39" t="s">
        <v>7479</v>
      </c>
    </row>
    <row r="2473">
      <c r="A2473" s="32">
        <v>2864.0</v>
      </c>
      <c r="B2473" s="33">
        <v>46176.953533368054</v>
      </c>
      <c r="C2473" s="34" t="s">
        <v>15</v>
      </c>
      <c r="D2473" s="35" t="s">
        <v>2849</v>
      </c>
      <c r="E2473" s="35" t="s">
        <v>2338</v>
      </c>
      <c r="F2473" s="34" t="s">
        <v>2850</v>
      </c>
      <c r="G2473" s="36" t="s">
        <v>181</v>
      </c>
      <c r="H2473" s="34" t="s">
        <v>5432</v>
      </c>
      <c r="I2473" s="34">
        <v>4.0</v>
      </c>
      <c r="J2473" s="37">
        <v>46135.0</v>
      </c>
      <c r="K2473" s="35" t="s">
        <v>962</v>
      </c>
      <c r="L2473" s="34">
        <v>4.0</v>
      </c>
      <c r="M2473" s="34" t="s">
        <v>7480</v>
      </c>
      <c r="N2473" s="38" t="s">
        <v>7481</v>
      </c>
      <c r="O2473" s="39" t="s">
        <v>7482</v>
      </c>
    </row>
    <row r="2474">
      <c r="A2474" s="32">
        <v>2865.0</v>
      </c>
      <c r="B2474" s="33">
        <v>46176.954924571764</v>
      </c>
      <c r="C2474" s="34" t="s">
        <v>15</v>
      </c>
      <c r="D2474" s="35" t="s">
        <v>2849</v>
      </c>
      <c r="E2474" s="35" t="s">
        <v>2338</v>
      </c>
      <c r="F2474" s="34" t="s">
        <v>2850</v>
      </c>
      <c r="G2474" s="36" t="s">
        <v>181</v>
      </c>
      <c r="H2474" s="34" t="s">
        <v>5432</v>
      </c>
      <c r="I2474" s="34" t="s">
        <v>231</v>
      </c>
      <c r="J2474" s="37">
        <v>46138.0</v>
      </c>
      <c r="K2474" s="35" t="s">
        <v>3192</v>
      </c>
      <c r="L2474" s="34">
        <v>6.0</v>
      </c>
      <c r="M2474" s="34" t="s">
        <v>553</v>
      </c>
      <c r="N2474" s="38" t="s">
        <v>7483</v>
      </c>
      <c r="O2474" s="39" t="s">
        <v>7484</v>
      </c>
    </row>
    <row r="2475">
      <c r="A2475" s="32">
        <v>2866.0</v>
      </c>
      <c r="B2475" s="33">
        <v>46176.95499378472</v>
      </c>
      <c r="C2475" s="34" t="s">
        <v>15</v>
      </c>
      <c r="D2475" s="35" t="s">
        <v>1808</v>
      </c>
      <c r="E2475" s="35" t="s">
        <v>830</v>
      </c>
      <c r="F2475" s="34" t="s">
        <v>1809</v>
      </c>
      <c r="G2475" s="36" t="s">
        <v>181</v>
      </c>
      <c r="H2475" s="34" t="s">
        <v>5739</v>
      </c>
      <c r="I2475" s="34" t="s">
        <v>231</v>
      </c>
      <c r="J2475" s="37">
        <v>46134.0</v>
      </c>
      <c r="K2475" s="35" t="s">
        <v>962</v>
      </c>
      <c r="L2475" s="34">
        <v>4.0</v>
      </c>
      <c r="M2475" s="34" t="s">
        <v>33</v>
      </c>
      <c r="N2475" s="38" t="s">
        <v>7485</v>
      </c>
      <c r="O2475" s="39" t="s">
        <v>7486</v>
      </c>
    </row>
    <row r="2476">
      <c r="A2476" s="32">
        <v>2867.0</v>
      </c>
      <c r="B2476" s="33">
        <v>46176.956898206015</v>
      </c>
      <c r="C2476" s="34" t="s">
        <v>15</v>
      </c>
      <c r="D2476" s="35" t="s">
        <v>1808</v>
      </c>
      <c r="E2476" s="35" t="s">
        <v>830</v>
      </c>
      <c r="F2476" s="34" t="s">
        <v>1809</v>
      </c>
      <c r="G2476" s="36" t="s">
        <v>181</v>
      </c>
      <c r="H2476" s="34" t="s">
        <v>5796</v>
      </c>
      <c r="I2476" s="34" t="s">
        <v>231</v>
      </c>
      <c r="J2476" s="37">
        <v>46133.0</v>
      </c>
      <c r="K2476" s="35" t="s">
        <v>962</v>
      </c>
      <c r="L2476" s="34">
        <v>4.0</v>
      </c>
      <c r="M2476" s="34" t="s">
        <v>33</v>
      </c>
      <c r="N2476" s="38" t="s">
        <v>7487</v>
      </c>
      <c r="O2476" s="39" t="s">
        <v>7488</v>
      </c>
    </row>
    <row r="2477">
      <c r="A2477" s="32">
        <v>2868.0</v>
      </c>
      <c r="B2477" s="33">
        <v>46176.95911019676</v>
      </c>
      <c r="C2477" s="34" t="s">
        <v>15</v>
      </c>
      <c r="D2477" s="35" t="s">
        <v>1808</v>
      </c>
      <c r="E2477" s="35" t="s">
        <v>830</v>
      </c>
      <c r="F2477" s="34" t="s">
        <v>1809</v>
      </c>
      <c r="G2477" s="36" t="s">
        <v>181</v>
      </c>
      <c r="H2477" s="34" t="s">
        <v>5432</v>
      </c>
      <c r="I2477" s="34" t="s">
        <v>231</v>
      </c>
      <c r="J2477" s="37">
        <v>46135.0</v>
      </c>
      <c r="K2477" s="35" t="s">
        <v>962</v>
      </c>
      <c r="L2477" s="34">
        <v>4.0</v>
      </c>
      <c r="M2477" s="34" t="s">
        <v>33</v>
      </c>
      <c r="N2477" s="38" t="s">
        <v>7489</v>
      </c>
      <c r="O2477" s="39" t="s">
        <v>7490</v>
      </c>
    </row>
    <row r="2478">
      <c r="A2478" s="32">
        <v>2869.0</v>
      </c>
      <c r="B2478" s="33">
        <v>46176.960540625005</v>
      </c>
      <c r="C2478" s="34" t="s">
        <v>26</v>
      </c>
      <c r="D2478" s="35" t="s">
        <v>1230</v>
      </c>
      <c r="E2478" s="35" t="s">
        <v>91</v>
      </c>
      <c r="F2478" s="34" t="s">
        <v>1231</v>
      </c>
      <c r="G2478" s="36" t="s">
        <v>19</v>
      </c>
      <c r="H2478" s="34" t="s">
        <v>5549</v>
      </c>
      <c r="I2478" s="34" t="s">
        <v>5978</v>
      </c>
      <c r="J2478" s="37">
        <v>46032.0</v>
      </c>
      <c r="K2478" s="35" t="s">
        <v>2328</v>
      </c>
      <c r="L2478" s="34">
        <v>8.0</v>
      </c>
      <c r="M2478" s="34" t="s">
        <v>5550</v>
      </c>
      <c r="N2478" s="38" t="s">
        <v>7491</v>
      </c>
      <c r="O2478" s="39" t="s">
        <v>7492</v>
      </c>
    </row>
    <row r="2479">
      <c r="A2479" s="32">
        <v>2870.0</v>
      </c>
      <c r="B2479" s="33">
        <v>46176.961402835645</v>
      </c>
      <c r="C2479" s="34" t="s">
        <v>15</v>
      </c>
      <c r="D2479" s="35" t="s">
        <v>1808</v>
      </c>
      <c r="E2479" s="35" t="s">
        <v>830</v>
      </c>
      <c r="F2479" s="34" t="s">
        <v>1809</v>
      </c>
      <c r="G2479" s="36" t="s">
        <v>181</v>
      </c>
      <c r="H2479" s="34" t="s">
        <v>6263</v>
      </c>
      <c r="I2479" s="34" t="s">
        <v>231</v>
      </c>
      <c r="J2479" s="37">
        <v>46138.0</v>
      </c>
      <c r="K2479" s="35" t="s">
        <v>3192</v>
      </c>
      <c r="L2479" s="34">
        <v>6.0</v>
      </c>
      <c r="M2479" s="34" t="s">
        <v>33</v>
      </c>
      <c r="N2479" s="38" t="s">
        <v>7493</v>
      </c>
      <c r="O2479" s="39" t="s">
        <v>7494</v>
      </c>
    </row>
    <row r="2480">
      <c r="A2480" s="32">
        <v>2871.0</v>
      </c>
      <c r="B2480" s="33">
        <v>46176.963736018515</v>
      </c>
      <c r="C2480" s="34" t="s">
        <v>15</v>
      </c>
      <c r="D2480" s="35" t="s">
        <v>1808</v>
      </c>
      <c r="E2480" s="35" t="s">
        <v>830</v>
      </c>
      <c r="F2480" s="34" t="s">
        <v>1809</v>
      </c>
      <c r="G2480" s="36" t="s">
        <v>181</v>
      </c>
      <c r="H2480" s="34" t="s">
        <v>6263</v>
      </c>
      <c r="I2480" s="34" t="s">
        <v>231</v>
      </c>
      <c r="J2480" s="37">
        <v>46139.0</v>
      </c>
      <c r="K2480" s="35" t="s">
        <v>962</v>
      </c>
      <c r="L2480" s="34">
        <v>4.0</v>
      </c>
      <c r="M2480" s="34" t="s">
        <v>33</v>
      </c>
      <c r="N2480" s="38" t="s">
        <v>7495</v>
      </c>
      <c r="O2480" s="39" t="s">
        <v>7496</v>
      </c>
    </row>
    <row r="2481">
      <c r="A2481" s="32">
        <v>2873.0</v>
      </c>
      <c r="B2481" s="33">
        <v>46176.96611311343</v>
      </c>
      <c r="C2481" s="34" t="s">
        <v>15</v>
      </c>
      <c r="D2481" s="35" t="s">
        <v>2849</v>
      </c>
      <c r="E2481" s="35" t="s">
        <v>2338</v>
      </c>
      <c r="F2481" s="34" t="s">
        <v>2850</v>
      </c>
      <c r="G2481" s="36" t="s">
        <v>181</v>
      </c>
      <c r="H2481" s="34" t="s">
        <v>5432</v>
      </c>
      <c r="I2481" s="34" t="s">
        <v>5465</v>
      </c>
      <c r="J2481" s="37">
        <v>46139.0</v>
      </c>
      <c r="K2481" s="35" t="s">
        <v>962</v>
      </c>
      <c r="L2481" s="34">
        <v>4.0</v>
      </c>
      <c r="M2481" s="34" t="s">
        <v>553</v>
      </c>
      <c r="N2481" s="38" t="s">
        <v>7497</v>
      </c>
      <c r="O2481" s="39" t="s">
        <v>7498</v>
      </c>
    </row>
    <row r="2482">
      <c r="A2482" s="32">
        <v>2874.0</v>
      </c>
      <c r="B2482" s="33">
        <v>46176.967929861115</v>
      </c>
      <c r="C2482" s="34" t="s">
        <v>15</v>
      </c>
      <c r="D2482" s="35" t="s">
        <v>1808</v>
      </c>
      <c r="E2482" s="35" t="s">
        <v>830</v>
      </c>
      <c r="F2482" s="34" t="s">
        <v>1809</v>
      </c>
      <c r="G2482" s="36" t="s">
        <v>181</v>
      </c>
      <c r="H2482" s="34" t="s">
        <v>2812</v>
      </c>
      <c r="I2482" s="34" t="s">
        <v>231</v>
      </c>
      <c r="J2482" s="37">
        <v>46097.0</v>
      </c>
      <c r="K2482" s="35" t="s">
        <v>49</v>
      </c>
      <c r="L2482" s="34">
        <v>8.0</v>
      </c>
      <c r="M2482" s="34" t="s">
        <v>33</v>
      </c>
      <c r="N2482" s="38" t="s">
        <v>7499</v>
      </c>
      <c r="O2482" s="39" t="s">
        <v>7500</v>
      </c>
    </row>
    <row r="2483">
      <c r="A2483" s="32">
        <v>2875.0</v>
      </c>
      <c r="B2483" s="33">
        <v>46176.970093125</v>
      </c>
      <c r="C2483" s="34" t="s">
        <v>15</v>
      </c>
      <c r="D2483" s="35" t="s">
        <v>1808</v>
      </c>
      <c r="E2483" s="35" t="s">
        <v>830</v>
      </c>
      <c r="F2483" s="34" t="s">
        <v>1809</v>
      </c>
      <c r="G2483" s="36" t="s">
        <v>181</v>
      </c>
      <c r="H2483" s="34" t="s">
        <v>2812</v>
      </c>
      <c r="I2483" s="34" t="s">
        <v>231</v>
      </c>
      <c r="J2483" s="37">
        <v>46122.0</v>
      </c>
      <c r="K2483" s="35" t="s">
        <v>49</v>
      </c>
      <c r="L2483" s="34">
        <v>8.0</v>
      </c>
      <c r="M2483" s="34" t="s">
        <v>33</v>
      </c>
      <c r="N2483" s="38" t="s">
        <v>7501</v>
      </c>
      <c r="O2483" s="39" t="s">
        <v>7502</v>
      </c>
    </row>
    <row r="2484">
      <c r="A2484" s="32">
        <v>2876.0</v>
      </c>
      <c r="B2484" s="33">
        <v>46176.97122644676</v>
      </c>
      <c r="C2484" s="34" t="s">
        <v>15</v>
      </c>
      <c r="D2484" s="35" t="s">
        <v>1808</v>
      </c>
      <c r="E2484" s="35" t="s">
        <v>830</v>
      </c>
      <c r="F2484" s="34" t="s">
        <v>1809</v>
      </c>
      <c r="G2484" s="36" t="s">
        <v>181</v>
      </c>
      <c r="H2484" s="34" t="s">
        <v>2812</v>
      </c>
      <c r="I2484" s="34" t="s">
        <v>231</v>
      </c>
      <c r="J2484" s="37">
        <v>46133.0</v>
      </c>
      <c r="K2484" s="35" t="s">
        <v>22</v>
      </c>
      <c r="L2484" s="34">
        <v>4.0</v>
      </c>
      <c r="M2484" s="34" t="s">
        <v>33</v>
      </c>
      <c r="N2484" s="38" t="s">
        <v>7503</v>
      </c>
      <c r="O2484" s="39" t="s">
        <v>7504</v>
      </c>
    </row>
    <row r="2485">
      <c r="A2485" s="32">
        <v>2877.0</v>
      </c>
      <c r="B2485" s="33">
        <v>46176.973258819446</v>
      </c>
      <c r="C2485" s="34" t="s">
        <v>15</v>
      </c>
      <c r="D2485" s="35" t="s">
        <v>1808</v>
      </c>
      <c r="E2485" s="35" t="s">
        <v>830</v>
      </c>
      <c r="F2485" s="34" t="s">
        <v>1809</v>
      </c>
      <c r="G2485" s="36" t="s">
        <v>181</v>
      </c>
      <c r="H2485" s="34" t="s">
        <v>6795</v>
      </c>
      <c r="I2485" s="34" t="s">
        <v>231</v>
      </c>
      <c r="J2485" s="37">
        <v>46147.0</v>
      </c>
      <c r="K2485" s="35" t="s">
        <v>49</v>
      </c>
      <c r="L2485" s="34">
        <v>8.0</v>
      </c>
      <c r="M2485" s="34" t="s">
        <v>6796</v>
      </c>
      <c r="N2485" s="38" t="s">
        <v>7505</v>
      </c>
      <c r="O2485" s="39" t="s">
        <v>7506</v>
      </c>
    </row>
    <row r="2486">
      <c r="A2486" s="32">
        <v>2878.0</v>
      </c>
      <c r="B2486" s="33">
        <v>46176.976155543976</v>
      </c>
      <c r="C2486" s="34" t="s">
        <v>15</v>
      </c>
      <c r="D2486" s="35" t="s">
        <v>1808</v>
      </c>
      <c r="E2486" s="35" t="s">
        <v>830</v>
      </c>
      <c r="F2486" s="34" t="s">
        <v>1809</v>
      </c>
      <c r="G2486" s="36" t="s">
        <v>19</v>
      </c>
      <c r="H2486" s="34" t="s">
        <v>7507</v>
      </c>
      <c r="I2486" s="34" t="s">
        <v>5715</v>
      </c>
      <c r="J2486" s="37">
        <v>46032.0</v>
      </c>
      <c r="K2486" s="35" t="s">
        <v>2328</v>
      </c>
      <c r="L2486" s="34">
        <v>8.0</v>
      </c>
      <c r="M2486" s="34" t="s">
        <v>87</v>
      </c>
      <c r="N2486" s="38" t="s">
        <v>7508</v>
      </c>
      <c r="O2486" s="39" t="s">
        <v>7509</v>
      </c>
    </row>
    <row r="2487">
      <c r="A2487" s="32">
        <v>2879.0</v>
      </c>
      <c r="B2487" s="33">
        <v>46176.99690575231</v>
      </c>
      <c r="C2487" s="34" t="s">
        <v>760</v>
      </c>
      <c r="D2487" s="35" t="s">
        <v>2670</v>
      </c>
      <c r="E2487" s="35" t="s">
        <v>1725</v>
      </c>
      <c r="F2487" s="34" t="s">
        <v>3956</v>
      </c>
      <c r="G2487" s="36" t="s">
        <v>19</v>
      </c>
      <c r="H2487" s="34" t="s">
        <v>5369</v>
      </c>
      <c r="I2487" s="34" t="s">
        <v>5978</v>
      </c>
      <c r="J2487" s="37">
        <v>46032.0</v>
      </c>
      <c r="K2487" s="35" t="s">
        <v>2328</v>
      </c>
      <c r="L2487" s="34">
        <v>8.0</v>
      </c>
      <c r="M2487" s="34" t="s">
        <v>87</v>
      </c>
      <c r="N2487" s="38" t="s">
        <v>7510</v>
      </c>
      <c r="O2487" s="39" t="s">
        <v>7511</v>
      </c>
    </row>
    <row r="2488">
      <c r="A2488" s="32">
        <v>2880.0</v>
      </c>
      <c r="B2488" s="33">
        <v>46177.07634760417</v>
      </c>
      <c r="C2488" s="34" t="s">
        <v>760</v>
      </c>
      <c r="D2488" s="35" t="s">
        <v>2364</v>
      </c>
      <c r="E2488" s="35" t="s">
        <v>1596</v>
      </c>
      <c r="F2488" s="34" t="s">
        <v>2365</v>
      </c>
      <c r="G2488" s="36" t="s">
        <v>181</v>
      </c>
      <c r="H2488" s="34" t="s">
        <v>6022</v>
      </c>
      <c r="I2488" s="34" t="s">
        <v>231</v>
      </c>
      <c r="J2488" s="37">
        <v>46147.0</v>
      </c>
      <c r="K2488" s="35" t="s">
        <v>3287</v>
      </c>
      <c r="L2488" s="34">
        <v>3.0</v>
      </c>
      <c r="M2488" s="34" t="s">
        <v>1325</v>
      </c>
      <c r="N2488" s="38" t="s">
        <v>7512</v>
      </c>
      <c r="O2488" s="39" t="s">
        <v>7513</v>
      </c>
    </row>
    <row r="2489">
      <c r="A2489" s="32">
        <v>2887.0</v>
      </c>
      <c r="B2489" s="33">
        <v>46177.46137877315</v>
      </c>
      <c r="C2489" s="34" t="s">
        <v>15</v>
      </c>
      <c r="D2489" s="35" t="s">
        <v>2849</v>
      </c>
      <c r="E2489" s="35" t="s">
        <v>2338</v>
      </c>
      <c r="F2489" s="34" t="s">
        <v>2850</v>
      </c>
      <c r="G2489" s="36" t="s">
        <v>181</v>
      </c>
      <c r="H2489" s="34" t="s">
        <v>2812</v>
      </c>
      <c r="I2489" s="34" t="s">
        <v>1211</v>
      </c>
      <c r="J2489" s="37">
        <v>46097.0</v>
      </c>
      <c r="K2489" s="35" t="s">
        <v>49</v>
      </c>
      <c r="L2489" s="34">
        <v>8.0</v>
      </c>
      <c r="M2489" s="34" t="s">
        <v>553</v>
      </c>
      <c r="N2489" s="38" t="s">
        <v>7514</v>
      </c>
      <c r="O2489" s="39" t="s">
        <v>7515</v>
      </c>
    </row>
    <row r="2490">
      <c r="A2490" s="32">
        <v>2888.0</v>
      </c>
      <c r="B2490" s="33">
        <v>46177.46314390046</v>
      </c>
      <c r="C2490" s="34" t="s">
        <v>15</v>
      </c>
      <c r="D2490" s="35" t="s">
        <v>2849</v>
      </c>
      <c r="E2490" s="35" t="s">
        <v>2338</v>
      </c>
      <c r="F2490" s="34" t="s">
        <v>2850</v>
      </c>
      <c r="G2490" s="36" t="s">
        <v>181</v>
      </c>
      <c r="H2490" s="34" t="s">
        <v>2812</v>
      </c>
      <c r="I2490" s="34" t="s">
        <v>231</v>
      </c>
      <c r="J2490" s="37">
        <v>46133.0</v>
      </c>
      <c r="K2490" s="35" t="s">
        <v>22</v>
      </c>
      <c r="L2490" s="34">
        <v>4.0</v>
      </c>
      <c r="M2490" s="34" t="s">
        <v>553</v>
      </c>
      <c r="N2490" s="38" t="s">
        <v>7516</v>
      </c>
      <c r="O2490" s="39" t="s">
        <v>7517</v>
      </c>
    </row>
    <row r="2491">
      <c r="A2491" s="32">
        <v>2889.0</v>
      </c>
      <c r="B2491" s="33">
        <v>46177.464263333335</v>
      </c>
      <c r="C2491" s="34" t="s">
        <v>15</v>
      </c>
      <c r="D2491" s="35" t="s">
        <v>2849</v>
      </c>
      <c r="E2491" s="35" t="s">
        <v>2338</v>
      </c>
      <c r="F2491" s="34" t="s">
        <v>2850</v>
      </c>
      <c r="G2491" s="36" t="s">
        <v>181</v>
      </c>
      <c r="H2491" s="34" t="s">
        <v>2812</v>
      </c>
      <c r="I2491" s="34" t="s">
        <v>231</v>
      </c>
      <c r="J2491" s="37">
        <v>46121.0</v>
      </c>
      <c r="K2491" s="35" t="s">
        <v>49</v>
      </c>
      <c r="L2491" s="34">
        <v>8.0</v>
      </c>
      <c r="M2491" s="34" t="s">
        <v>33</v>
      </c>
      <c r="N2491" s="38" t="s">
        <v>7518</v>
      </c>
      <c r="O2491" s="39" t="s">
        <v>7519</v>
      </c>
    </row>
    <row r="2492">
      <c r="A2492" s="32">
        <v>2890.0</v>
      </c>
      <c r="B2492" s="33">
        <v>46177.466838645836</v>
      </c>
      <c r="C2492" s="34" t="s">
        <v>15</v>
      </c>
      <c r="D2492" s="35" t="s">
        <v>2849</v>
      </c>
      <c r="E2492" s="35" t="s">
        <v>2338</v>
      </c>
      <c r="F2492" s="34" t="s">
        <v>2850</v>
      </c>
      <c r="G2492" s="36" t="s">
        <v>181</v>
      </c>
      <c r="H2492" s="34" t="s">
        <v>7520</v>
      </c>
      <c r="I2492" s="34" t="s">
        <v>1211</v>
      </c>
      <c r="J2492" s="37">
        <v>46147.0</v>
      </c>
      <c r="K2492" s="35" t="s">
        <v>49</v>
      </c>
      <c r="L2492" s="34">
        <v>8.0</v>
      </c>
      <c r="M2492" s="34" t="s">
        <v>7521</v>
      </c>
      <c r="N2492" s="38" t="s">
        <v>7522</v>
      </c>
      <c r="O2492" s="39" t="s">
        <v>7523</v>
      </c>
    </row>
    <row r="2493">
      <c r="A2493" s="32">
        <v>2891.0</v>
      </c>
      <c r="B2493" s="33">
        <v>46177.536996423616</v>
      </c>
      <c r="C2493" s="34" t="s">
        <v>15</v>
      </c>
      <c r="D2493" s="35" t="s">
        <v>76</v>
      </c>
      <c r="E2493" s="35" t="s">
        <v>28</v>
      </c>
      <c r="F2493" s="34" t="s">
        <v>77</v>
      </c>
      <c r="G2493" s="36" t="s">
        <v>181</v>
      </c>
      <c r="H2493" s="34" t="s">
        <v>6947</v>
      </c>
      <c r="I2493" s="34" t="s">
        <v>231</v>
      </c>
      <c r="J2493" s="37">
        <v>46147.0</v>
      </c>
      <c r="K2493" s="35" t="s">
        <v>315</v>
      </c>
      <c r="L2493" s="34">
        <v>8.0</v>
      </c>
      <c r="M2493" s="34" t="s">
        <v>7524</v>
      </c>
      <c r="N2493" s="38" t="s">
        <v>7525</v>
      </c>
      <c r="O2493" s="39" t="s">
        <v>7526</v>
      </c>
    </row>
    <row r="2494">
      <c r="A2494" s="32">
        <v>2896.0</v>
      </c>
      <c r="B2494" s="33">
        <v>46177.590106539355</v>
      </c>
      <c r="C2494" s="34" t="s">
        <v>15</v>
      </c>
      <c r="D2494" s="35" t="s">
        <v>3002</v>
      </c>
      <c r="E2494" s="35" t="s">
        <v>1097</v>
      </c>
      <c r="F2494" s="34" t="s">
        <v>3003</v>
      </c>
      <c r="G2494" s="36" t="s">
        <v>181</v>
      </c>
      <c r="H2494" s="34" t="s">
        <v>7527</v>
      </c>
      <c r="I2494" s="34" t="s">
        <v>231</v>
      </c>
      <c r="J2494" s="37">
        <v>46147.0</v>
      </c>
      <c r="K2494" s="35" t="s">
        <v>22</v>
      </c>
      <c r="L2494" s="34">
        <v>4.0</v>
      </c>
      <c r="M2494" s="34" t="s">
        <v>6871</v>
      </c>
      <c r="N2494" s="38" t="s">
        <v>7528</v>
      </c>
      <c r="O2494" s="39" t="s">
        <v>7529</v>
      </c>
    </row>
    <row r="2495">
      <c r="A2495" s="32">
        <v>2897.0</v>
      </c>
      <c r="B2495" s="33">
        <v>46177.59758590278</v>
      </c>
      <c r="C2495" s="34" t="s">
        <v>15</v>
      </c>
      <c r="D2495" s="35" t="s">
        <v>3002</v>
      </c>
      <c r="E2495" s="35" t="s">
        <v>1097</v>
      </c>
      <c r="F2495" s="34" t="s">
        <v>3003</v>
      </c>
      <c r="G2495" s="36" t="s">
        <v>19</v>
      </c>
      <c r="H2495" s="34" t="s">
        <v>7530</v>
      </c>
      <c r="I2495" s="34" t="s">
        <v>231</v>
      </c>
      <c r="J2495" s="37">
        <v>46147.0</v>
      </c>
      <c r="K2495" s="35" t="s">
        <v>49</v>
      </c>
      <c r="L2495" s="34">
        <v>8.0</v>
      </c>
      <c r="M2495" s="34" t="s">
        <v>244</v>
      </c>
      <c r="N2495" s="38" t="s">
        <v>7531</v>
      </c>
      <c r="O2495" s="39" t="s">
        <v>7532</v>
      </c>
    </row>
    <row r="2496">
      <c r="A2496" s="32">
        <v>2898.0</v>
      </c>
      <c r="B2496" s="33">
        <v>46177.839131562505</v>
      </c>
      <c r="C2496" s="34" t="s">
        <v>760</v>
      </c>
      <c r="D2496" s="35" t="s">
        <v>2060</v>
      </c>
      <c r="E2496" s="35" t="s">
        <v>2061</v>
      </c>
      <c r="F2496" s="34" t="s">
        <v>2062</v>
      </c>
      <c r="G2496" s="36" t="s">
        <v>181</v>
      </c>
      <c r="H2496" s="34" t="s">
        <v>6583</v>
      </c>
      <c r="I2496" s="34" t="s">
        <v>1211</v>
      </c>
      <c r="J2496" s="37">
        <v>46031.0</v>
      </c>
      <c r="K2496" s="35" t="s">
        <v>457</v>
      </c>
      <c r="L2496" s="34">
        <v>4.0</v>
      </c>
      <c r="M2496" s="34" t="s">
        <v>87</v>
      </c>
      <c r="N2496" s="38" t="s">
        <v>7533</v>
      </c>
      <c r="O2496" s="39" t="s">
        <v>7534</v>
      </c>
    </row>
    <row r="2497">
      <c r="A2497" s="32">
        <v>2899.0</v>
      </c>
      <c r="B2497" s="33">
        <v>46177.84032113426</v>
      </c>
      <c r="C2497" s="34" t="s">
        <v>760</v>
      </c>
      <c r="D2497" s="35" t="s">
        <v>2466</v>
      </c>
      <c r="E2497" s="35" t="s">
        <v>411</v>
      </c>
      <c r="F2497" s="34" t="s">
        <v>2467</v>
      </c>
      <c r="G2497" s="36" t="s">
        <v>3171</v>
      </c>
      <c r="H2497" s="34" t="s">
        <v>7535</v>
      </c>
      <c r="I2497" s="34" t="s">
        <v>825</v>
      </c>
      <c r="J2497" s="37">
        <v>46172.0</v>
      </c>
      <c r="K2497" s="35" t="s">
        <v>3715</v>
      </c>
      <c r="L2497" s="34">
        <v>2.0</v>
      </c>
      <c r="M2497" s="34" t="s">
        <v>7536</v>
      </c>
      <c r="N2497" s="38" t="s">
        <v>7537</v>
      </c>
      <c r="O2497" s="39" t="s">
        <v>7538</v>
      </c>
    </row>
    <row r="2498">
      <c r="A2498" s="32">
        <v>2901.0</v>
      </c>
      <c r="B2498" s="33">
        <v>46177.84270006944</v>
      </c>
      <c r="C2498" s="34" t="s">
        <v>760</v>
      </c>
      <c r="D2498" s="35" t="s">
        <v>2466</v>
      </c>
      <c r="E2498" s="35" t="s">
        <v>411</v>
      </c>
      <c r="F2498" s="34" t="s">
        <v>2467</v>
      </c>
      <c r="G2498" s="36" t="s">
        <v>3171</v>
      </c>
      <c r="H2498" s="34" t="s">
        <v>824</v>
      </c>
      <c r="I2498" s="34" t="s">
        <v>825</v>
      </c>
      <c r="J2498" s="37">
        <v>46165.0</v>
      </c>
      <c r="K2498" s="35" t="s">
        <v>7539</v>
      </c>
      <c r="L2498" s="34">
        <v>2.0</v>
      </c>
      <c r="M2498" s="34" t="s">
        <v>7536</v>
      </c>
      <c r="N2498" s="38" t="s">
        <v>7540</v>
      </c>
      <c r="O2498" s="39" t="s">
        <v>7541</v>
      </c>
    </row>
    <row r="2499">
      <c r="A2499" s="32">
        <v>2902.0</v>
      </c>
      <c r="B2499" s="33">
        <v>46177.84558112269</v>
      </c>
      <c r="C2499" s="34" t="s">
        <v>760</v>
      </c>
      <c r="D2499" s="35" t="s">
        <v>2466</v>
      </c>
      <c r="E2499" s="35" t="s">
        <v>411</v>
      </c>
      <c r="F2499" s="34" t="s">
        <v>2467</v>
      </c>
      <c r="G2499" s="36" t="s">
        <v>3171</v>
      </c>
      <c r="H2499" s="34" t="s">
        <v>851</v>
      </c>
      <c r="I2499" s="34" t="s">
        <v>825</v>
      </c>
      <c r="J2499" s="37">
        <v>46151.0</v>
      </c>
      <c r="K2499" s="35" t="s">
        <v>1421</v>
      </c>
      <c r="L2499" s="34">
        <v>2.0</v>
      </c>
      <c r="M2499" s="34" t="s">
        <v>7536</v>
      </c>
      <c r="N2499" s="38" t="s">
        <v>7542</v>
      </c>
      <c r="O2499" s="39" t="s">
        <v>7543</v>
      </c>
    </row>
    <row r="2500">
      <c r="A2500" s="32">
        <v>2903.0</v>
      </c>
      <c r="B2500" s="33">
        <v>46177.846178356485</v>
      </c>
      <c r="C2500" s="34" t="s">
        <v>760</v>
      </c>
      <c r="D2500" s="35" t="s">
        <v>2060</v>
      </c>
      <c r="E2500" s="35" t="s">
        <v>2061</v>
      </c>
      <c r="F2500" s="34" t="s">
        <v>2062</v>
      </c>
      <c r="G2500" s="36" t="s">
        <v>19</v>
      </c>
      <c r="H2500" s="34" t="s">
        <v>7544</v>
      </c>
      <c r="I2500" s="34" t="s">
        <v>7545</v>
      </c>
      <c r="J2500" s="37">
        <v>46135.0</v>
      </c>
      <c r="K2500" s="35" t="s">
        <v>315</v>
      </c>
      <c r="L2500" s="34">
        <v>8.0</v>
      </c>
      <c r="M2500" s="34" t="s">
        <v>1564</v>
      </c>
      <c r="N2500" s="38" t="s">
        <v>7546</v>
      </c>
      <c r="O2500" s="39" t="s">
        <v>7547</v>
      </c>
    </row>
    <row r="2501">
      <c r="A2501" s="32">
        <v>2904.0</v>
      </c>
      <c r="B2501" s="33">
        <v>46177.8467574074</v>
      </c>
      <c r="C2501" s="34" t="s">
        <v>760</v>
      </c>
      <c r="D2501" s="35" t="s">
        <v>3369</v>
      </c>
      <c r="E2501" s="35" t="s">
        <v>1948</v>
      </c>
      <c r="F2501" s="34" t="s">
        <v>3370</v>
      </c>
      <c r="G2501" s="36" t="s">
        <v>181</v>
      </c>
      <c r="H2501" s="34" t="s">
        <v>7548</v>
      </c>
      <c r="I2501" s="34" t="s">
        <v>7549</v>
      </c>
      <c r="J2501" s="37">
        <v>46135.0</v>
      </c>
      <c r="K2501" s="35" t="s">
        <v>1647</v>
      </c>
      <c r="L2501" s="34">
        <v>8.0</v>
      </c>
      <c r="M2501" s="34" t="s">
        <v>1564</v>
      </c>
      <c r="N2501" s="38" t="s">
        <v>7550</v>
      </c>
      <c r="O2501" s="39" t="s">
        <v>7551</v>
      </c>
    </row>
    <row r="2502">
      <c r="A2502" s="32">
        <v>2905.0</v>
      </c>
      <c r="B2502" s="33">
        <v>46177.850397939816</v>
      </c>
      <c r="C2502" s="34" t="s">
        <v>760</v>
      </c>
      <c r="D2502" s="35" t="s">
        <v>2060</v>
      </c>
      <c r="E2502" s="35" t="s">
        <v>2061</v>
      </c>
      <c r="F2502" s="34" t="s">
        <v>2062</v>
      </c>
      <c r="G2502" s="36" t="s">
        <v>181</v>
      </c>
      <c r="H2502" s="34" t="s">
        <v>6347</v>
      </c>
      <c r="I2502" s="34" t="s">
        <v>6356</v>
      </c>
      <c r="J2502" s="37">
        <v>46164.0</v>
      </c>
      <c r="K2502" s="35" t="s">
        <v>753</v>
      </c>
      <c r="L2502" s="34">
        <v>2.0</v>
      </c>
      <c r="M2502" s="34" t="s">
        <v>3607</v>
      </c>
      <c r="N2502" s="38" t="s">
        <v>7552</v>
      </c>
      <c r="O2502" s="39" t="s">
        <v>7553</v>
      </c>
    </row>
    <row r="2503">
      <c r="A2503" s="32">
        <v>2907.0</v>
      </c>
      <c r="B2503" s="33">
        <v>46177.853130625</v>
      </c>
      <c r="C2503" s="34" t="s">
        <v>760</v>
      </c>
      <c r="D2503" s="35" t="s">
        <v>2364</v>
      </c>
      <c r="E2503" s="35" t="s">
        <v>1596</v>
      </c>
      <c r="F2503" s="34" t="s">
        <v>2365</v>
      </c>
      <c r="G2503" s="36" t="s">
        <v>181</v>
      </c>
      <c r="H2503" s="34" t="s">
        <v>6583</v>
      </c>
      <c r="I2503" s="34" t="s">
        <v>231</v>
      </c>
      <c r="J2503" s="37">
        <v>46031.0</v>
      </c>
      <c r="K2503" s="35" t="s">
        <v>457</v>
      </c>
      <c r="L2503" s="34">
        <v>4.0</v>
      </c>
      <c r="M2503" s="34" t="s">
        <v>87</v>
      </c>
      <c r="N2503" s="38" t="s">
        <v>7554</v>
      </c>
      <c r="O2503" s="39" t="s">
        <v>7555</v>
      </c>
    </row>
    <row r="2504">
      <c r="A2504" s="32">
        <v>2908.0</v>
      </c>
      <c r="B2504" s="33">
        <v>46177.85446538194</v>
      </c>
      <c r="C2504" s="34" t="s">
        <v>760</v>
      </c>
      <c r="D2504" s="35" t="s">
        <v>1350</v>
      </c>
      <c r="E2504" s="35" t="s">
        <v>199</v>
      </c>
      <c r="F2504" s="34" t="s">
        <v>1351</v>
      </c>
      <c r="G2504" s="36" t="s">
        <v>84</v>
      </c>
      <c r="H2504" s="34" t="s">
        <v>85</v>
      </c>
      <c r="I2504" s="34" t="s">
        <v>4790</v>
      </c>
      <c r="J2504" s="37">
        <v>46124.0</v>
      </c>
      <c r="K2504" s="35" t="s">
        <v>1421</v>
      </c>
      <c r="L2504" s="34">
        <v>8.0</v>
      </c>
      <c r="M2504" s="34" t="s">
        <v>4792</v>
      </c>
      <c r="N2504" s="38" t="s">
        <v>7556</v>
      </c>
      <c r="O2504" s="39" t="s">
        <v>7557</v>
      </c>
    </row>
    <row r="2505">
      <c r="A2505" s="32">
        <v>2909.0</v>
      </c>
      <c r="B2505" s="33">
        <v>46177.857032291664</v>
      </c>
      <c r="C2505" s="34" t="s">
        <v>760</v>
      </c>
      <c r="D2505" s="35" t="s">
        <v>1432</v>
      </c>
      <c r="E2505" s="35" t="s">
        <v>1152</v>
      </c>
      <c r="F2505" s="34" t="s">
        <v>1433</v>
      </c>
      <c r="G2505" s="36" t="s">
        <v>19</v>
      </c>
      <c r="H2505" s="34" t="s">
        <v>5410</v>
      </c>
      <c r="I2505" s="34" t="s">
        <v>5411</v>
      </c>
      <c r="J2505" s="37">
        <v>46136.0</v>
      </c>
      <c r="K2505" s="35" t="s">
        <v>5412</v>
      </c>
      <c r="L2505" s="34">
        <v>8.0</v>
      </c>
      <c r="M2505" s="34" t="s">
        <v>2391</v>
      </c>
      <c r="N2505" s="38" t="s">
        <v>7558</v>
      </c>
      <c r="O2505" s="39" t="s">
        <v>7559</v>
      </c>
    </row>
    <row r="2506">
      <c r="A2506" s="32">
        <v>2910.0</v>
      </c>
      <c r="B2506" s="33">
        <v>46177.858548819444</v>
      </c>
      <c r="C2506" s="34" t="s">
        <v>760</v>
      </c>
      <c r="D2506" s="35" t="s">
        <v>2466</v>
      </c>
      <c r="E2506" s="35" t="s">
        <v>411</v>
      </c>
      <c r="F2506" s="34" t="s">
        <v>2467</v>
      </c>
      <c r="G2506" s="36" t="s">
        <v>3171</v>
      </c>
      <c r="H2506" s="34" t="s">
        <v>7560</v>
      </c>
      <c r="I2506" s="34" t="s">
        <v>7561</v>
      </c>
      <c r="J2506" s="37">
        <v>46137.0</v>
      </c>
      <c r="K2506" s="35" t="s">
        <v>3715</v>
      </c>
      <c r="L2506" s="34">
        <v>2.0</v>
      </c>
      <c r="M2506" s="34" t="s">
        <v>7562</v>
      </c>
      <c r="N2506" s="38" t="s">
        <v>7563</v>
      </c>
      <c r="O2506" s="39" t="s">
        <v>7564</v>
      </c>
    </row>
    <row r="2507">
      <c r="A2507" s="32">
        <v>2911.0</v>
      </c>
      <c r="B2507" s="33">
        <v>46177.85946695602</v>
      </c>
      <c r="C2507" s="34" t="s">
        <v>760</v>
      </c>
      <c r="D2507" s="35" t="s">
        <v>1432</v>
      </c>
      <c r="E2507" s="35" t="s">
        <v>1152</v>
      </c>
      <c r="F2507" s="34" t="s">
        <v>1433</v>
      </c>
      <c r="G2507" s="36" t="s">
        <v>19</v>
      </c>
      <c r="H2507" s="34" t="s">
        <v>5410</v>
      </c>
      <c r="I2507" s="34" t="s">
        <v>5411</v>
      </c>
      <c r="J2507" s="37">
        <v>46137.0</v>
      </c>
      <c r="K2507" s="35" t="s">
        <v>49</v>
      </c>
      <c r="L2507" s="34">
        <v>8.0</v>
      </c>
      <c r="M2507" s="34" t="s">
        <v>2391</v>
      </c>
      <c r="N2507" s="38" t="s">
        <v>7565</v>
      </c>
      <c r="O2507" s="39" t="s">
        <v>7566</v>
      </c>
    </row>
    <row r="2508">
      <c r="A2508" s="32">
        <v>2912.0</v>
      </c>
      <c r="B2508" s="33">
        <v>46177.861126296295</v>
      </c>
      <c r="C2508" s="34" t="s">
        <v>760</v>
      </c>
      <c r="D2508" s="35" t="s">
        <v>1350</v>
      </c>
      <c r="E2508" s="35" t="s">
        <v>199</v>
      </c>
      <c r="F2508" s="34" t="s">
        <v>1351</v>
      </c>
      <c r="G2508" s="36" t="s">
        <v>19</v>
      </c>
      <c r="H2508" s="34" t="s">
        <v>7567</v>
      </c>
      <c r="I2508" s="34" t="s">
        <v>5978</v>
      </c>
      <c r="J2508" s="37">
        <v>46032.0</v>
      </c>
      <c r="K2508" s="35" t="s">
        <v>2328</v>
      </c>
      <c r="L2508" s="34">
        <v>8.0</v>
      </c>
      <c r="M2508" s="34" t="s">
        <v>2839</v>
      </c>
      <c r="N2508" s="38" t="s">
        <v>7568</v>
      </c>
      <c r="O2508" s="39" t="s">
        <v>7569</v>
      </c>
    </row>
    <row r="2509">
      <c r="A2509" s="32">
        <v>2913.0</v>
      </c>
      <c r="B2509" s="33">
        <v>46177.86166443287</v>
      </c>
      <c r="C2509" s="34" t="s">
        <v>760</v>
      </c>
      <c r="D2509" s="35" t="s">
        <v>1432</v>
      </c>
      <c r="E2509" s="35" t="s">
        <v>1152</v>
      </c>
      <c r="F2509" s="34" t="s">
        <v>1433</v>
      </c>
      <c r="G2509" s="36" t="s">
        <v>19</v>
      </c>
      <c r="H2509" s="34" t="s">
        <v>7570</v>
      </c>
      <c r="I2509" s="34" t="s">
        <v>5411</v>
      </c>
      <c r="J2509" s="37">
        <v>46138.0</v>
      </c>
      <c r="K2509" s="35" t="s">
        <v>49</v>
      </c>
      <c r="L2509" s="34">
        <v>8.0</v>
      </c>
      <c r="M2509" s="34" t="s">
        <v>2391</v>
      </c>
      <c r="N2509" s="38" t="s">
        <v>7571</v>
      </c>
      <c r="O2509" s="39" t="s">
        <v>7572</v>
      </c>
    </row>
    <row r="2510">
      <c r="A2510" s="32">
        <v>2914.0</v>
      </c>
      <c r="B2510" s="33">
        <v>46177.863566099535</v>
      </c>
      <c r="C2510" s="34" t="s">
        <v>760</v>
      </c>
      <c r="D2510" s="35" t="s">
        <v>2817</v>
      </c>
      <c r="E2510" s="35" t="s">
        <v>287</v>
      </c>
      <c r="F2510" s="34" t="s">
        <v>2818</v>
      </c>
      <c r="G2510" s="36" t="s">
        <v>181</v>
      </c>
      <c r="H2510" s="34" t="s">
        <v>7573</v>
      </c>
      <c r="I2510" s="34" t="s">
        <v>231</v>
      </c>
      <c r="J2510" s="37">
        <v>46133.0</v>
      </c>
      <c r="K2510" s="35" t="s">
        <v>962</v>
      </c>
      <c r="L2510" s="34">
        <v>4.0</v>
      </c>
      <c r="M2510" s="34" t="s">
        <v>33</v>
      </c>
      <c r="N2510" s="38" t="s">
        <v>7574</v>
      </c>
      <c r="O2510" s="39" t="s">
        <v>7575</v>
      </c>
    </row>
    <row r="2511">
      <c r="A2511" s="32">
        <v>2916.0</v>
      </c>
      <c r="B2511" s="33">
        <v>46177.86535201389</v>
      </c>
      <c r="C2511" s="34" t="s">
        <v>760</v>
      </c>
      <c r="D2511" s="35" t="s">
        <v>2817</v>
      </c>
      <c r="E2511" s="35" t="s">
        <v>287</v>
      </c>
      <c r="F2511" s="34" t="s">
        <v>2818</v>
      </c>
      <c r="G2511" s="36" t="s">
        <v>181</v>
      </c>
      <c r="H2511" s="34" t="s">
        <v>5456</v>
      </c>
      <c r="I2511" s="34" t="s">
        <v>231</v>
      </c>
      <c r="J2511" s="37">
        <v>46134.0</v>
      </c>
      <c r="K2511" s="35" t="s">
        <v>962</v>
      </c>
      <c r="L2511" s="34">
        <v>4.0</v>
      </c>
      <c r="M2511" s="34" t="s">
        <v>33</v>
      </c>
      <c r="N2511" s="38" t="s">
        <v>7576</v>
      </c>
      <c r="O2511" s="39" t="s">
        <v>7577</v>
      </c>
    </row>
    <row r="2512">
      <c r="A2512" s="32">
        <v>2917.0</v>
      </c>
      <c r="B2512" s="33">
        <v>46177.865369085644</v>
      </c>
      <c r="C2512" s="34" t="s">
        <v>760</v>
      </c>
      <c r="D2512" s="35" t="s">
        <v>770</v>
      </c>
      <c r="E2512" s="35" t="s">
        <v>142</v>
      </c>
      <c r="F2512" s="34" t="s">
        <v>771</v>
      </c>
      <c r="G2512" s="36" t="s">
        <v>181</v>
      </c>
      <c r="H2512" s="34" t="s">
        <v>6347</v>
      </c>
      <c r="I2512" s="34" t="s">
        <v>6356</v>
      </c>
      <c r="J2512" s="37">
        <v>46164.0</v>
      </c>
      <c r="K2512" s="35" t="s">
        <v>753</v>
      </c>
      <c r="L2512" s="34">
        <v>2.0</v>
      </c>
      <c r="M2512" s="34" t="s">
        <v>6499</v>
      </c>
      <c r="N2512" s="38" t="s">
        <v>7578</v>
      </c>
      <c r="O2512" s="39" t="s">
        <v>7579</v>
      </c>
    </row>
    <row r="2513">
      <c r="A2513" s="32">
        <v>2918.0</v>
      </c>
      <c r="B2513" s="33">
        <v>46177.86543373842</v>
      </c>
      <c r="C2513" s="34" t="s">
        <v>760</v>
      </c>
      <c r="D2513" s="35" t="s">
        <v>2718</v>
      </c>
      <c r="E2513" s="35" t="s">
        <v>91</v>
      </c>
      <c r="F2513" s="34" t="s">
        <v>2719</v>
      </c>
      <c r="G2513" s="36" t="s">
        <v>181</v>
      </c>
      <c r="H2513" s="34" t="s">
        <v>7580</v>
      </c>
      <c r="I2513" s="34" t="s">
        <v>1211</v>
      </c>
      <c r="J2513" s="37">
        <v>46122.0</v>
      </c>
      <c r="K2513" s="35" t="s">
        <v>957</v>
      </c>
      <c r="L2513" s="34">
        <v>4.0</v>
      </c>
      <c r="M2513" s="34" t="s">
        <v>1064</v>
      </c>
      <c r="N2513" s="38" t="s">
        <v>7581</v>
      </c>
      <c r="O2513" s="39" t="s">
        <v>7582</v>
      </c>
    </row>
    <row r="2514">
      <c r="A2514" s="32">
        <v>2920.0</v>
      </c>
      <c r="B2514" s="33">
        <v>46177.86680166666</v>
      </c>
      <c r="C2514" s="34" t="s">
        <v>760</v>
      </c>
      <c r="D2514" s="35" t="s">
        <v>2817</v>
      </c>
      <c r="E2514" s="35" t="s">
        <v>287</v>
      </c>
      <c r="F2514" s="34" t="s">
        <v>2818</v>
      </c>
      <c r="G2514" s="36" t="s">
        <v>181</v>
      </c>
      <c r="H2514" s="34" t="s">
        <v>5456</v>
      </c>
      <c r="I2514" s="34" t="s">
        <v>231</v>
      </c>
      <c r="J2514" s="37">
        <v>46135.0</v>
      </c>
      <c r="K2514" s="35" t="s">
        <v>962</v>
      </c>
      <c r="L2514" s="34">
        <v>4.0</v>
      </c>
      <c r="M2514" s="34" t="s">
        <v>33</v>
      </c>
      <c r="N2514" s="38" t="s">
        <v>7583</v>
      </c>
      <c r="O2514" s="39" t="s">
        <v>7584</v>
      </c>
    </row>
    <row r="2515">
      <c r="A2515" s="32">
        <v>2921.0</v>
      </c>
      <c r="B2515" s="33">
        <v>46177.86683271991</v>
      </c>
      <c r="C2515" s="34" t="s">
        <v>760</v>
      </c>
      <c r="D2515" s="35" t="s">
        <v>2692</v>
      </c>
      <c r="E2515" s="35" t="s">
        <v>1248</v>
      </c>
      <c r="F2515" s="34" t="s">
        <v>2693</v>
      </c>
      <c r="G2515" s="36" t="s">
        <v>181</v>
      </c>
      <c r="H2515" s="34" t="s">
        <v>7580</v>
      </c>
      <c r="I2515" s="34" t="s">
        <v>231</v>
      </c>
      <c r="J2515" s="37">
        <v>46122.0</v>
      </c>
      <c r="K2515" s="35" t="s">
        <v>957</v>
      </c>
      <c r="L2515" s="34">
        <v>4.0</v>
      </c>
      <c r="M2515" s="34" t="s">
        <v>1064</v>
      </c>
      <c r="N2515" s="38" t="s">
        <v>7585</v>
      </c>
      <c r="O2515" s="39" t="s">
        <v>7586</v>
      </c>
    </row>
    <row r="2516">
      <c r="A2516" s="32">
        <v>2922.0</v>
      </c>
      <c r="B2516" s="33">
        <v>46177.867861446764</v>
      </c>
      <c r="C2516" s="34" t="s">
        <v>760</v>
      </c>
      <c r="D2516" s="35" t="s">
        <v>3603</v>
      </c>
      <c r="E2516" s="35" t="s">
        <v>2919</v>
      </c>
      <c r="F2516" s="34" t="s">
        <v>3604</v>
      </c>
      <c r="G2516" s="36" t="s">
        <v>19</v>
      </c>
      <c r="H2516" s="34" t="s">
        <v>7185</v>
      </c>
      <c r="I2516" s="34" t="s">
        <v>5654</v>
      </c>
      <c r="J2516" s="37">
        <v>46078.0</v>
      </c>
      <c r="K2516" s="35" t="s">
        <v>6181</v>
      </c>
      <c r="L2516" s="34">
        <v>8.0</v>
      </c>
      <c r="M2516" s="34" t="s">
        <v>2839</v>
      </c>
      <c r="N2516" s="38" t="s">
        <v>7587</v>
      </c>
      <c r="O2516" s="39" t="s">
        <v>7588</v>
      </c>
    </row>
    <row r="2517">
      <c r="A2517" s="32">
        <v>2923.0</v>
      </c>
      <c r="B2517" s="33">
        <v>46177.86812142361</v>
      </c>
      <c r="C2517" s="34" t="s">
        <v>760</v>
      </c>
      <c r="D2517" s="35" t="s">
        <v>2817</v>
      </c>
      <c r="E2517" s="35" t="s">
        <v>287</v>
      </c>
      <c r="F2517" s="34" t="s">
        <v>2818</v>
      </c>
      <c r="G2517" s="36" t="s">
        <v>181</v>
      </c>
      <c r="H2517" s="34" t="s">
        <v>5456</v>
      </c>
      <c r="I2517" s="34" t="s">
        <v>231</v>
      </c>
      <c r="J2517" s="37">
        <v>46138.0</v>
      </c>
      <c r="K2517" s="35" t="s">
        <v>3192</v>
      </c>
      <c r="L2517" s="34">
        <v>6.0</v>
      </c>
      <c r="M2517" s="34" t="s">
        <v>33</v>
      </c>
      <c r="N2517" s="38" t="s">
        <v>7589</v>
      </c>
      <c r="O2517" s="39" t="s">
        <v>7590</v>
      </c>
    </row>
    <row r="2518">
      <c r="A2518" s="32">
        <v>2924.0</v>
      </c>
      <c r="B2518" s="33">
        <v>46177.868908715274</v>
      </c>
      <c r="C2518" s="34" t="s">
        <v>760</v>
      </c>
      <c r="D2518" s="35" t="s">
        <v>1432</v>
      </c>
      <c r="E2518" s="35" t="s">
        <v>1152</v>
      </c>
      <c r="F2518" s="34" t="s">
        <v>1433</v>
      </c>
      <c r="G2518" s="36" t="s">
        <v>19</v>
      </c>
      <c r="H2518" s="34" t="s">
        <v>6120</v>
      </c>
      <c r="I2518" s="34" t="s">
        <v>1563</v>
      </c>
      <c r="J2518" s="37">
        <v>46164.0</v>
      </c>
      <c r="K2518" s="35" t="s">
        <v>49</v>
      </c>
      <c r="L2518" s="34">
        <v>8.0</v>
      </c>
      <c r="M2518" s="34" t="s">
        <v>1564</v>
      </c>
      <c r="N2518" s="38" t="s">
        <v>7591</v>
      </c>
      <c r="O2518" s="39" t="s">
        <v>7592</v>
      </c>
    </row>
    <row r="2519">
      <c r="A2519" s="32">
        <v>2925.0</v>
      </c>
      <c r="B2519" s="33">
        <v>46177.86904278935</v>
      </c>
      <c r="C2519" s="34" t="s">
        <v>760</v>
      </c>
      <c r="D2519" s="35" t="s">
        <v>770</v>
      </c>
      <c r="E2519" s="35" t="s">
        <v>142</v>
      </c>
      <c r="F2519" s="34" t="s">
        <v>771</v>
      </c>
      <c r="G2519" s="36" t="s">
        <v>181</v>
      </c>
      <c r="H2519" s="34" t="s">
        <v>7580</v>
      </c>
      <c r="I2519" s="34" t="s">
        <v>231</v>
      </c>
      <c r="J2519" s="37">
        <v>46122.0</v>
      </c>
      <c r="K2519" s="35" t="s">
        <v>957</v>
      </c>
      <c r="L2519" s="34">
        <v>4.0</v>
      </c>
      <c r="M2519" s="34" t="s">
        <v>7593</v>
      </c>
      <c r="N2519" s="38" t="s">
        <v>7594</v>
      </c>
      <c r="O2519" s="39" t="s">
        <v>7595</v>
      </c>
    </row>
    <row r="2520">
      <c r="A2520" s="32">
        <v>2926.0</v>
      </c>
      <c r="B2520" s="33">
        <v>46177.87114171297</v>
      </c>
      <c r="C2520" s="34" t="s">
        <v>760</v>
      </c>
      <c r="D2520" s="35" t="s">
        <v>3968</v>
      </c>
      <c r="E2520" s="35" t="s">
        <v>1253</v>
      </c>
      <c r="F2520" s="34" t="s">
        <v>3969</v>
      </c>
      <c r="G2520" s="36" t="s">
        <v>84</v>
      </c>
      <c r="H2520" s="34" t="s">
        <v>85</v>
      </c>
      <c r="I2520" s="34" t="s">
        <v>7596</v>
      </c>
      <c r="J2520" s="37">
        <v>46102.0</v>
      </c>
      <c r="K2520" s="35" t="s">
        <v>49</v>
      </c>
      <c r="L2520" s="34">
        <v>8.0</v>
      </c>
      <c r="M2520" s="34" t="s">
        <v>7597</v>
      </c>
      <c r="N2520" s="38" t="s">
        <v>7598</v>
      </c>
      <c r="O2520" s="39" t="s">
        <v>7599</v>
      </c>
    </row>
    <row r="2521">
      <c r="A2521" s="32">
        <v>2927.0</v>
      </c>
      <c r="B2521" s="33">
        <v>46177.871560405096</v>
      </c>
      <c r="C2521" s="34" t="s">
        <v>760</v>
      </c>
      <c r="D2521" s="35" t="s">
        <v>2817</v>
      </c>
      <c r="E2521" s="35" t="s">
        <v>287</v>
      </c>
      <c r="F2521" s="34" t="s">
        <v>2818</v>
      </c>
      <c r="G2521" s="36" t="s">
        <v>181</v>
      </c>
      <c r="H2521" s="34" t="s">
        <v>5456</v>
      </c>
      <c r="I2521" s="34" t="s">
        <v>7600</v>
      </c>
      <c r="J2521" s="37">
        <v>46139.0</v>
      </c>
      <c r="K2521" s="35" t="s">
        <v>962</v>
      </c>
      <c r="L2521" s="34">
        <v>4.0</v>
      </c>
      <c r="M2521" s="34" t="s">
        <v>33</v>
      </c>
      <c r="N2521" s="38" t="s">
        <v>7601</v>
      </c>
      <c r="O2521" s="39" t="s">
        <v>7602</v>
      </c>
    </row>
    <row r="2522">
      <c r="A2522" s="32">
        <v>2928.0</v>
      </c>
      <c r="B2522" s="33">
        <v>46177.871826296294</v>
      </c>
      <c r="C2522" s="34" t="s">
        <v>760</v>
      </c>
      <c r="D2522" s="35" t="s">
        <v>2466</v>
      </c>
      <c r="E2522" s="35" t="s">
        <v>411</v>
      </c>
      <c r="F2522" s="34" t="s">
        <v>2467</v>
      </c>
      <c r="G2522" s="36" t="s">
        <v>181</v>
      </c>
      <c r="H2522" s="34" t="s">
        <v>7603</v>
      </c>
      <c r="I2522" s="34" t="s">
        <v>231</v>
      </c>
      <c r="J2522" s="37">
        <v>46122.0</v>
      </c>
      <c r="K2522" s="35" t="s">
        <v>957</v>
      </c>
      <c r="L2522" s="34">
        <v>4.0</v>
      </c>
      <c r="M2522" s="34" t="s">
        <v>1064</v>
      </c>
      <c r="N2522" s="38" t="s">
        <v>7604</v>
      </c>
      <c r="O2522" s="39" t="s">
        <v>7605</v>
      </c>
    </row>
    <row r="2523">
      <c r="A2523" s="32">
        <v>2930.0</v>
      </c>
      <c r="B2523" s="33">
        <v>46177.87793077546</v>
      </c>
      <c r="C2523" s="34" t="s">
        <v>760</v>
      </c>
      <c r="D2523" s="35" t="s">
        <v>2817</v>
      </c>
      <c r="E2523" s="35" t="s">
        <v>287</v>
      </c>
      <c r="F2523" s="34" t="s">
        <v>2818</v>
      </c>
      <c r="G2523" s="36" t="s">
        <v>181</v>
      </c>
      <c r="H2523" s="34" t="s">
        <v>7330</v>
      </c>
      <c r="I2523" s="34" t="s">
        <v>6356</v>
      </c>
      <c r="J2523" s="37">
        <v>46164.0</v>
      </c>
      <c r="K2523" s="35" t="s">
        <v>3287</v>
      </c>
      <c r="L2523" s="34">
        <v>3.0</v>
      </c>
      <c r="M2523" s="34" t="s">
        <v>3607</v>
      </c>
      <c r="N2523" s="38" t="s">
        <v>7606</v>
      </c>
      <c r="O2523" s="39" t="s">
        <v>7607</v>
      </c>
    </row>
    <row r="2524">
      <c r="A2524" s="32">
        <v>2931.0</v>
      </c>
      <c r="B2524" s="33">
        <v>46177.88514844907</v>
      </c>
      <c r="C2524" s="34" t="s">
        <v>760</v>
      </c>
      <c r="D2524" s="35" t="s">
        <v>1384</v>
      </c>
      <c r="E2524" s="35" t="s">
        <v>1385</v>
      </c>
      <c r="F2524" s="34" t="s">
        <v>1386</v>
      </c>
      <c r="G2524" s="36" t="s">
        <v>19</v>
      </c>
      <c r="H2524" s="34" t="s">
        <v>5653</v>
      </c>
      <c r="I2524" s="34" t="s">
        <v>5654</v>
      </c>
      <c r="J2524" s="37">
        <v>46078.0</v>
      </c>
      <c r="K2524" s="35" t="s">
        <v>2179</v>
      </c>
      <c r="L2524" s="34">
        <v>8.0</v>
      </c>
      <c r="M2524" s="34" t="s">
        <v>5975</v>
      </c>
      <c r="N2524" s="38" t="s">
        <v>7608</v>
      </c>
      <c r="O2524" s="39" t="s">
        <v>7609</v>
      </c>
    </row>
    <row r="2525">
      <c r="A2525" s="32">
        <v>2934.0</v>
      </c>
      <c r="B2525" s="33">
        <v>46177.93002892361</v>
      </c>
      <c r="C2525" s="34" t="s">
        <v>760</v>
      </c>
      <c r="D2525" s="35" t="s">
        <v>892</v>
      </c>
      <c r="E2525" s="35" t="s">
        <v>893</v>
      </c>
      <c r="F2525" s="34" t="s">
        <v>899</v>
      </c>
      <c r="G2525" s="36" t="s">
        <v>19</v>
      </c>
      <c r="H2525" s="34" t="s">
        <v>6120</v>
      </c>
      <c r="I2525" s="34" t="s">
        <v>7545</v>
      </c>
      <c r="J2525" s="37">
        <v>46134.0</v>
      </c>
      <c r="K2525" s="34" t="s">
        <v>1564</v>
      </c>
      <c r="L2525" s="38" t="s">
        <v>7610</v>
      </c>
      <c r="M2525" s="34" t="s">
        <v>1564</v>
      </c>
      <c r="N2525" s="38" t="s">
        <v>7610</v>
      </c>
      <c r="O2525" s="39" t="s">
        <v>7611</v>
      </c>
    </row>
    <row r="2526">
      <c r="A2526" s="32">
        <v>2935.0</v>
      </c>
      <c r="B2526" s="33">
        <v>46177.895982685186</v>
      </c>
      <c r="C2526" s="34" t="s">
        <v>760</v>
      </c>
      <c r="D2526" s="35" t="s">
        <v>1350</v>
      </c>
      <c r="E2526" s="35" t="s">
        <v>199</v>
      </c>
      <c r="F2526" s="34" t="s">
        <v>1351</v>
      </c>
      <c r="G2526" s="36" t="s">
        <v>181</v>
      </c>
      <c r="H2526" s="34" t="s">
        <v>7612</v>
      </c>
      <c r="I2526" s="34" t="s">
        <v>231</v>
      </c>
      <c r="J2526" s="37">
        <v>46009.0</v>
      </c>
      <c r="K2526" s="35" t="s">
        <v>7613</v>
      </c>
      <c r="L2526" s="34">
        <v>4.0</v>
      </c>
      <c r="M2526" s="34" t="s">
        <v>5911</v>
      </c>
      <c r="N2526" s="38" t="s">
        <v>7614</v>
      </c>
      <c r="O2526" s="39" t="s">
        <v>7615</v>
      </c>
    </row>
    <row r="2527">
      <c r="A2527" s="32">
        <v>2936.0</v>
      </c>
      <c r="B2527" s="33">
        <v>46177.93079732639</v>
      </c>
      <c r="C2527" s="34" t="s">
        <v>760</v>
      </c>
      <c r="D2527" s="35" t="s">
        <v>892</v>
      </c>
      <c r="E2527" s="35" t="s">
        <v>893</v>
      </c>
      <c r="F2527" s="34" t="s">
        <v>899</v>
      </c>
      <c r="G2527" s="36" t="s">
        <v>181</v>
      </c>
      <c r="H2527" s="34" t="s">
        <v>895</v>
      </c>
      <c r="I2527" s="34" t="s">
        <v>231</v>
      </c>
      <c r="J2527" s="37">
        <v>46154.0</v>
      </c>
      <c r="K2527" s="34" t="s">
        <v>33</v>
      </c>
      <c r="L2527" s="38" t="s">
        <v>7616</v>
      </c>
      <c r="M2527" s="34" t="s">
        <v>33</v>
      </c>
      <c r="N2527" s="38" t="s">
        <v>7616</v>
      </c>
      <c r="O2527" s="39" t="s">
        <v>7617</v>
      </c>
    </row>
    <row r="2528">
      <c r="A2528" s="32">
        <v>2937.0</v>
      </c>
      <c r="B2528" s="33">
        <v>46177.89911233797</v>
      </c>
      <c r="C2528" s="34" t="s">
        <v>760</v>
      </c>
      <c r="D2528" s="35" t="s">
        <v>3937</v>
      </c>
      <c r="E2528" s="35" t="s">
        <v>484</v>
      </c>
      <c r="F2528" s="34" t="s">
        <v>3938</v>
      </c>
      <c r="G2528" s="36" t="s">
        <v>181</v>
      </c>
      <c r="H2528" s="34" t="s">
        <v>7580</v>
      </c>
      <c r="I2528" s="34" t="s">
        <v>231</v>
      </c>
      <c r="J2528" s="37">
        <v>46122.0</v>
      </c>
      <c r="K2528" s="35" t="s">
        <v>957</v>
      </c>
      <c r="L2528" s="34">
        <v>4.0</v>
      </c>
      <c r="M2528" s="34" t="s">
        <v>7593</v>
      </c>
      <c r="N2528" s="38" t="s">
        <v>7618</v>
      </c>
      <c r="O2528" s="39" t="s">
        <v>7619</v>
      </c>
    </row>
    <row r="2529">
      <c r="A2529" s="32">
        <v>2938.0</v>
      </c>
      <c r="B2529" s="33">
        <v>46177.900089456016</v>
      </c>
      <c r="C2529" s="34" t="s">
        <v>760</v>
      </c>
      <c r="D2529" s="35" t="s">
        <v>1350</v>
      </c>
      <c r="E2529" s="35" t="s">
        <v>199</v>
      </c>
      <c r="F2529" s="34" t="s">
        <v>1351</v>
      </c>
      <c r="G2529" s="36" t="s">
        <v>181</v>
      </c>
      <c r="H2529" s="34" t="s">
        <v>6347</v>
      </c>
      <c r="I2529" s="34" t="s">
        <v>6356</v>
      </c>
      <c r="J2529" s="37">
        <v>46164.0</v>
      </c>
      <c r="K2529" s="35" t="s">
        <v>753</v>
      </c>
      <c r="L2529" s="34">
        <v>2.0</v>
      </c>
      <c r="M2529" s="34" t="s">
        <v>3607</v>
      </c>
      <c r="N2529" s="38" t="s">
        <v>7620</v>
      </c>
      <c r="O2529" s="39" t="s">
        <v>7621</v>
      </c>
    </row>
    <row r="2530">
      <c r="A2530" s="32">
        <v>2940.0</v>
      </c>
      <c r="B2530" s="33">
        <v>46177.903981932875</v>
      </c>
      <c r="C2530" s="34" t="s">
        <v>760</v>
      </c>
      <c r="D2530" s="35" t="s">
        <v>1350</v>
      </c>
      <c r="E2530" s="35" t="s">
        <v>199</v>
      </c>
      <c r="F2530" s="34" t="s">
        <v>1351</v>
      </c>
      <c r="G2530" s="36" t="s">
        <v>209</v>
      </c>
      <c r="H2530" s="34" t="s">
        <v>2900</v>
      </c>
      <c r="I2530" s="34" t="s">
        <v>825</v>
      </c>
      <c r="J2530" s="37">
        <v>46165.0</v>
      </c>
      <c r="K2530" s="35" t="s">
        <v>2291</v>
      </c>
      <c r="L2530" s="34">
        <v>1.0</v>
      </c>
      <c r="M2530" s="34" t="s">
        <v>3953</v>
      </c>
      <c r="N2530" s="38" t="s">
        <v>7622</v>
      </c>
      <c r="O2530" s="39" t="s">
        <v>7623</v>
      </c>
    </row>
    <row r="2531">
      <c r="A2531" s="32">
        <v>2942.0</v>
      </c>
      <c r="B2531" s="33">
        <v>46177.90728392361</v>
      </c>
      <c r="C2531" s="34" t="s">
        <v>760</v>
      </c>
      <c r="D2531" s="35" t="s">
        <v>1350</v>
      </c>
      <c r="E2531" s="35" t="s">
        <v>199</v>
      </c>
      <c r="F2531" s="34" t="s">
        <v>1351</v>
      </c>
      <c r="G2531" s="36" t="s">
        <v>209</v>
      </c>
      <c r="H2531" s="34" t="s">
        <v>6388</v>
      </c>
      <c r="I2531" s="34" t="s">
        <v>825</v>
      </c>
      <c r="J2531" s="37">
        <v>46172.0</v>
      </c>
      <c r="K2531" s="35" t="s">
        <v>753</v>
      </c>
      <c r="L2531" s="34">
        <v>2.0</v>
      </c>
      <c r="M2531" s="34" t="s">
        <v>3953</v>
      </c>
      <c r="N2531" s="38" t="s">
        <v>7624</v>
      </c>
      <c r="O2531" s="39" t="s">
        <v>7625</v>
      </c>
    </row>
    <row r="2532">
      <c r="A2532" s="32">
        <v>2943.0</v>
      </c>
      <c r="B2532" s="33">
        <v>46177.953799780094</v>
      </c>
      <c r="C2532" s="34" t="s">
        <v>760</v>
      </c>
      <c r="D2532" s="35" t="s">
        <v>892</v>
      </c>
      <c r="E2532" s="35" t="s">
        <v>893</v>
      </c>
      <c r="F2532" s="34" t="s">
        <v>899</v>
      </c>
      <c r="G2532" s="36" t="s">
        <v>181</v>
      </c>
      <c r="H2532" s="34" t="s">
        <v>895</v>
      </c>
      <c r="I2532" s="34" t="s">
        <v>231</v>
      </c>
      <c r="J2532" s="37">
        <v>46119.0</v>
      </c>
      <c r="K2532" s="34" t="s">
        <v>33</v>
      </c>
      <c r="L2532" s="38" t="s">
        <v>7626</v>
      </c>
      <c r="M2532" s="34" t="s">
        <v>33</v>
      </c>
      <c r="N2532" s="38" t="s">
        <v>7626</v>
      </c>
      <c r="O2532" s="39" t="s">
        <v>7627</v>
      </c>
    </row>
    <row r="2533">
      <c r="A2533" s="32">
        <v>2944.0</v>
      </c>
      <c r="B2533" s="33">
        <v>46177.95445650463</v>
      </c>
      <c r="C2533" s="34" t="s">
        <v>760</v>
      </c>
      <c r="D2533" s="35" t="s">
        <v>892</v>
      </c>
      <c r="E2533" s="35" t="s">
        <v>893</v>
      </c>
      <c r="F2533" s="34" t="s">
        <v>899</v>
      </c>
      <c r="G2533" s="36" t="s">
        <v>181</v>
      </c>
      <c r="H2533" s="34" t="s">
        <v>6022</v>
      </c>
      <c r="I2533" s="34" t="s">
        <v>6023</v>
      </c>
      <c r="J2533" s="37">
        <v>46147.0</v>
      </c>
      <c r="K2533" s="34" t="s">
        <v>1325</v>
      </c>
      <c r="L2533" s="38" t="s">
        <v>7628</v>
      </c>
      <c r="M2533" s="34" t="s">
        <v>1325</v>
      </c>
      <c r="N2533" s="38" t="s">
        <v>7628</v>
      </c>
      <c r="O2533" s="39" t="s">
        <v>7629</v>
      </c>
    </row>
    <row r="2534">
      <c r="A2534" s="32">
        <v>2945.0</v>
      </c>
      <c r="B2534" s="33">
        <v>46177.9196953125</v>
      </c>
      <c r="C2534" s="34" t="s">
        <v>760</v>
      </c>
      <c r="D2534" s="35" t="s">
        <v>3937</v>
      </c>
      <c r="E2534" s="35" t="s">
        <v>484</v>
      </c>
      <c r="F2534" s="34" t="s">
        <v>3938</v>
      </c>
      <c r="G2534" s="36" t="s">
        <v>209</v>
      </c>
      <c r="H2534" s="34" t="s">
        <v>7630</v>
      </c>
      <c r="I2534" s="34" t="s">
        <v>4159</v>
      </c>
      <c r="J2534" s="37">
        <v>46125.0</v>
      </c>
      <c r="K2534" s="35" t="s">
        <v>694</v>
      </c>
      <c r="L2534" s="34">
        <v>3.0</v>
      </c>
      <c r="M2534" s="34" t="s">
        <v>4206</v>
      </c>
      <c r="N2534" s="38" t="s">
        <v>7631</v>
      </c>
      <c r="O2534" s="39" t="s">
        <v>7632</v>
      </c>
    </row>
    <row r="2535">
      <c r="A2535" s="32">
        <v>2946.0</v>
      </c>
      <c r="B2535" s="33">
        <v>46177.940314039355</v>
      </c>
      <c r="C2535" s="34" t="s">
        <v>760</v>
      </c>
      <c r="D2535" s="35" t="s">
        <v>3979</v>
      </c>
      <c r="E2535" s="35" t="s">
        <v>236</v>
      </c>
      <c r="F2535" s="34" t="s">
        <v>3980</v>
      </c>
      <c r="G2535" s="36" t="s">
        <v>181</v>
      </c>
      <c r="H2535" s="34" t="s">
        <v>1222</v>
      </c>
      <c r="I2535" s="34" t="s">
        <v>231</v>
      </c>
      <c r="J2535" s="37">
        <v>46143.0</v>
      </c>
      <c r="K2535" s="35" t="s">
        <v>310</v>
      </c>
      <c r="L2535" s="34">
        <v>1.0</v>
      </c>
      <c r="M2535" s="34" t="s">
        <v>33</v>
      </c>
      <c r="N2535" s="38" t="s">
        <v>7633</v>
      </c>
      <c r="O2535" s="39" t="s">
        <v>7634</v>
      </c>
    </row>
    <row r="2536">
      <c r="A2536" s="32">
        <v>2947.0</v>
      </c>
      <c r="B2536" s="33">
        <v>46177.94114079861</v>
      </c>
      <c r="C2536" s="34" t="s">
        <v>760</v>
      </c>
      <c r="D2536" s="35" t="s">
        <v>4976</v>
      </c>
      <c r="E2536" s="35" t="s">
        <v>2338</v>
      </c>
      <c r="F2536" s="34" t="s">
        <v>4977</v>
      </c>
      <c r="G2536" s="36" t="s">
        <v>181</v>
      </c>
      <c r="H2536" s="34" t="s">
        <v>7580</v>
      </c>
      <c r="I2536" s="34" t="s">
        <v>7635</v>
      </c>
      <c r="J2536" s="37">
        <v>46122.0</v>
      </c>
      <c r="K2536" s="35" t="s">
        <v>957</v>
      </c>
      <c r="L2536" s="34">
        <v>4.0</v>
      </c>
      <c r="M2536" s="34" t="s">
        <v>7636</v>
      </c>
      <c r="N2536" s="38" t="s">
        <v>7637</v>
      </c>
      <c r="O2536" s="39" t="s">
        <v>7638</v>
      </c>
    </row>
    <row r="2537">
      <c r="A2537" s="32">
        <v>2949.0</v>
      </c>
      <c r="B2537" s="33">
        <v>46177.94168293981</v>
      </c>
      <c r="C2537" s="34" t="s">
        <v>760</v>
      </c>
      <c r="D2537" s="35" t="s">
        <v>3979</v>
      </c>
      <c r="E2537" s="35" t="s">
        <v>236</v>
      </c>
      <c r="F2537" s="34" t="s">
        <v>3980</v>
      </c>
      <c r="G2537" s="36" t="s">
        <v>181</v>
      </c>
      <c r="H2537" s="34" t="s">
        <v>1222</v>
      </c>
      <c r="I2537" s="34" t="s">
        <v>231</v>
      </c>
      <c r="J2537" s="37">
        <v>46114.0</v>
      </c>
      <c r="K2537" s="35" t="s">
        <v>310</v>
      </c>
      <c r="L2537" s="34">
        <v>1.0</v>
      </c>
      <c r="M2537" s="34" t="s">
        <v>33</v>
      </c>
      <c r="N2537" s="38" t="s">
        <v>7639</v>
      </c>
      <c r="O2537" s="39" t="s">
        <v>7640</v>
      </c>
    </row>
    <row r="2538">
      <c r="A2538" s="32">
        <v>2950.0</v>
      </c>
      <c r="B2538" s="33">
        <v>46177.94291149305</v>
      </c>
      <c r="C2538" s="34" t="s">
        <v>760</v>
      </c>
      <c r="D2538" s="35" t="s">
        <v>3979</v>
      </c>
      <c r="E2538" s="35" t="s">
        <v>236</v>
      </c>
      <c r="F2538" s="34" t="s">
        <v>3980</v>
      </c>
      <c r="G2538" s="36" t="s">
        <v>181</v>
      </c>
      <c r="H2538" s="34" t="s">
        <v>1222</v>
      </c>
      <c r="I2538" s="34" t="s">
        <v>231</v>
      </c>
      <c r="J2538" s="37">
        <v>46107.0</v>
      </c>
      <c r="K2538" s="35" t="s">
        <v>310</v>
      </c>
      <c r="L2538" s="34">
        <v>1.0</v>
      </c>
      <c r="M2538" s="34" t="s">
        <v>33</v>
      </c>
      <c r="N2538" s="38" t="s">
        <v>7641</v>
      </c>
      <c r="O2538" s="39" t="s">
        <v>7642</v>
      </c>
    </row>
    <row r="2539">
      <c r="A2539" s="32">
        <v>2957.0</v>
      </c>
      <c r="B2539" s="33">
        <v>46177.95451322917</v>
      </c>
      <c r="C2539" s="34" t="s">
        <v>760</v>
      </c>
      <c r="D2539" s="35" t="s">
        <v>4976</v>
      </c>
      <c r="E2539" s="35" t="s">
        <v>2338</v>
      </c>
      <c r="F2539" s="34" t="s">
        <v>4977</v>
      </c>
      <c r="G2539" s="36" t="s">
        <v>181</v>
      </c>
      <c r="H2539" s="34" t="s">
        <v>6022</v>
      </c>
      <c r="I2539" s="34" t="s">
        <v>6026</v>
      </c>
      <c r="J2539" s="37">
        <v>46147.0</v>
      </c>
      <c r="K2539" s="35" t="s">
        <v>3287</v>
      </c>
      <c r="L2539" s="34">
        <v>3.0</v>
      </c>
      <c r="M2539" s="34" t="s">
        <v>6080</v>
      </c>
      <c r="N2539" s="38" t="s">
        <v>7643</v>
      </c>
      <c r="O2539" s="39" t="s">
        <v>7644</v>
      </c>
    </row>
    <row r="2540">
      <c r="A2540" s="32">
        <v>2958.0</v>
      </c>
      <c r="B2540" s="33">
        <v>46177.95583695602</v>
      </c>
      <c r="C2540" s="34" t="s">
        <v>760</v>
      </c>
      <c r="D2540" s="35" t="s">
        <v>2799</v>
      </c>
      <c r="E2540" s="35" t="s">
        <v>171</v>
      </c>
      <c r="F2540" s="34" t="s">
        <v>2800</v>
      </c>
      <c r="G2540" s="36" t="s">
        <v>19</v>
      </c>
      <c r="H2540" s="34" t="s">
        <v>3735</v>
      </c>
      <c r="I2540" s="34" t="s">
        <v>3736</v>
      </c>
      <c r="J2540" s="37">
        <v>46012.0</v>
      </c>
      <c r="K2540" s="35" t="s">
        <v>2179</v>
      </c>
      <c r="L2540" s="34">
        <v>8.0</v>
      </c>
      <c r="M2540" s="34" t="s">
        <v>87</v>
      </c>
      <c r="N2540" s="38" t="s">
        <v>7645</v>
      </c>
      <c r="O2540" s="39" t="s">
        <v>7646</v>
      </c>
    </row>
    <row r="2541">
      <c r="A2541" s="32">
        <v>2959.0</v>
      </c>
      <c r="B2541" s="33">
        <v>46177.95647978009</v>
      </c>
      <c r="C2541" s="34" t="s">
        <v>760</v>
      </c>
      <c r="D2541" s="35" t="s">
        <v>3687</v>
      </c>
      <c r="E2541" s="35" t="s">
        <v>737</v>
      </c>
      <c r="F2541" s="34" t="s">
        <v>3688</v>
      </c>
      <c r="G2541" s="36" t="s">
        <v>19</v>
      </c>
      <c r="H2541" s="34" t="s">
        <v>6054</v>
      </c>
      <c r="I2541" s="34" t="s">
        <v>6055</v>
      </c>
      <c r="J2541" s="37">
        <v>46138.0</v>
      </c>
      <c r="K2541" s="35" t="s">
        <v>49</v>
      </c>
      <c r="L2541" s="34">
        <v>8.0</v>
      </c>
      <c r="M2541" s="34" t="s">
        <v>87</v>
      </c>
      <c r="N2541" s="38" t="s">
        <v>7647</v>
      </c>
      <c r="O2541" s="39" t="s">
        <v>7648</v>
      </c>
    </row>
    <row r="2542">
      <c r="A2542" s="32">
        <v>2960.0</v>
      </c>
      <c r="B2542" s="33">
        <v>46177.95884976852</v>
      </c>
      <c r="C2542" s="34" t="s">
        <v>760</v>
      </c>
      <c r="D2542" s="35" t="s">
        <v>3395</v>
      </c>
      <c r="E2542" s="35" t="s">
        <v>1097</v>
      </c>
      <c r="F2542" s="34" t="s">
        <v>3396</v>
      </c>
      <c r="G2542" s="36" t="s">
        <v>19</v>
      </c>
      <c r="H2542" s="34" t="s">
        <v>5410</v>
      </c>
      <c r="I2542" s="34" t="s">
        <v>5411</v>
      </c>
      <c r="J2542" s="37">
        <v>46136.0</v>
      </c>
      <c r="K2542" s="35" t="s">
        <v>5412</v>
      </c>
      <c r="L2542" s="34">
        <v>8.0</v>
      </c>
      <c r="M2542" s="34" t="s">
        <v>7649</v>
      </c>
      <c r="N2542" s="38" t="s">
        <v>7650</v>
      </c>
      <c r="O2542" s="39" t="s">
        <v>7651</v>
      </c>
    </row>
    <row r="2543">
      <c r="A2543" s="32">
        <v>2961.0</v>
      </c>
      <c r="B2543" s="33">
        <v>46177.95955519676</v>
      </c>
      <c r="C2543" s="34" t="s">
        <v>760</v>
      </c>
      <c r="D2543" s="35" t="s">
        <v>892</v>
      </c>
      <c r="E2543" s="35" t="s">
        <v>893</v>
      </c>
      <c r="F2543" s="34" t="s">
        <v>899</v>
      </c>
      <c r="G2543" s="36" t="s">
        <v>181</v>
      </c>
      <c r="H2543" s="34" t="s">
        <v>895</v>
      </c>
      <c r="I2543" s="34" t="s">
        <v>231</v>
      </c>
      <c r="J2543" s="37">
        <v>46105.0</v>
      </c>
      <c r="K2543" s="34" t="s">
        <v>33</v>
      </c>
      <c r="L2543" s="38" t="s">
        <v>7652</v>
      </c>
      <c r="M2543" s="34" t="s">
        <v>33</v>
      </c>
      <c r="N2543" s="38" t="s">
        <v>7652</v>
      </c>
      <c r="O2543" s="39" t="s">
        <v>7653</v>
      </c>
    </row>
    <row r="2544">
      <c r="A2544" s="32">
        <v>2962.0</v>
      </c>
      <c r="B2544" s="33">
        <v>46177.96043446759</v>
      </c>
      <c r="C2544" s="34" t="s">
        <v>760</v>
      </c>
      <c r="D2544" s="35" t="s">
        <v>3687</v>
      </c>
      <c r="E2544" s="35" t="s">
        <v>737</v>
      </c>
      <c r="F2544" s="34" t="s">
        <v>3688</v>
      </c>
      <c r="G2544" s="36" t="s">
        <v>19</v>
      </c>
      <c r="H2544" s="34" t="s">
        <v>5653</v>
      </c>
      <c r="I2544" s="34" t="s">
        <v>5654</v>
      </c>
      <c r="J2544" s="37">
        <v>46078.0</v>
      </c>
      <c r="K2544" s="35" t="s">
        <v>2179</v>
      </c>
      <c r="L2544" s="34">
        <v>8.0</v>
      </c>
      <c r="M2544" s="34" t="s">
        <v>87</v>
      </c>
      <c r="N2544" s="38" t="s">
        <v>7654</v>
      </c>
      <c r="O2544" s="39" t="s">
        <v>7655</v>
      </c>
    </row>
    <row r="2545">
      <c r="A2545" s="32">
        <v>2963.0</v>
      </c>
      <c r="B2545" s="33">
        <v>46177.962615937504</v>
      </c>
      <c r="C2545" s="34" t="s">
        <v>760</v>
      </c>
      <c r="D2545" s="35" t="s">
        <v>4976</v>
      </c>
      <c r="E2545" s="35" t="s">
        <v>2338</v>
      </c>
      <c r="F2545" s="34" t="s">
        <v>4977</v>
      </c>
      <c r="G2545" s="36" t="s">
        <v>181</v>
      </c>
      <c r="H2545" s="34" t="s">
        <v>6347</v>
      </c>
      <c r="I2545" s="34" t="s">
        <v>6356</v>
      </c>
      <c r="J2545" s="37">
        <v>46164.0</v>
      </c>
      <c r="K2545" s="35" t="s">
        <v>753</v>
      </c>
      <c r="L2545" s="34">
        <v>2.0</v>
      </c>
      <c r="M2545" s="34" t="s">
        <v>3607</v>
      </c>
      <c r="N2545" s="38" t="s">
        <v>7656</v>
      </c>
      <c r="O2545" s="39" t="s">
        <v>7657</v>
      </c>
    </row>
    <row r="2546">
      <c r="A2546" s="32">
        <v>2964.0</v>
      </c>
      <c r="B2546" s="33">
        <v>46177.963227615735</v>
      </c>
      <c r="C2546" s="34" t="s">
        <v>760</v>
      </c>
      <c r="D2546" s="35" t="s">
        <v>3687</v>
      </c>
      <c r="E2546" s="35" t="s">
        <v>737</v>
      </c>
      <c r="F2546" s="34" t="s">
        <v>3688</v>
      </c>
      <c r="G2546" s="36" t="s">
        <v>181</v>
      </c>
      <c r="H2546" s="34" t="s">
        <v>6347</v>
      </c>
      <c r="I2546" s="34" t="s">
        <v>6356</v>
      </c>
      <c r="J2546" s="37">
        <v>46164.0</v>
      </c>
      <c r="K2546" s="35" t="s">
        <v>753</v>
      </c>
      <c r="L2546" s="34">
        <v>2.0</v>
      </c>
      <c r="M2546" s="34" t="s">
        <v>3607</v>
      </c>
      <c r="N2546" s="38" t="s">
        <v>7658</v>
      </c>
      <c r="O2546" s="39" t="s">
        <v>7659</v>
      </c>
    </row>
    <row r="2547">
      <c r="A2547" s="32">
        <v>2965.0</v>
      </c>
      <c r="B2547" s="33">
        <v>46177.965023136574</v>
      </c>
      <c r="C2547" s="34" t="s">
        <v>15</v>
      </c>
      <c r="D2547" s="35" t="s">
        <v>4303</v>
      </c>
      <c r="E2547" s="35" t="s">
        <v>1596</v>
      </c>
      <c r="F2547" s="34" t="s">
        <v>4304</v>
      </c>
      <c r="G2547" s="36" t="s">
        <v>84</v>
      </c>
      <c r="H2547" s="34" t="s">
        <v>7660</v>
      </c>
      <c r="I2547" s="34" t="s">
        <v>7661</v>
      </c>
      <c r="J2547" s="37">
        <v>46060.0</v>
      </c>
      <c r="K2547" s="35" t="s">
        <v>1421</v>
      </c>
      <c r="L2547" s="34">
        <v>8.0</v>
      </c>
      <c r="M2547" s="34" t="s">
        <v>907</v>
      </c>
      <c r="N2547" s="38" t="s">
        <v>7662</v>
      </c>
      <c r="O2547" s="39" t="s">
        <v>7663</v>
      </c>
    </row>
    <row r="2548">
      <c r="A2548" s="32">
        <v>2966.0</v>
      </c>
      <c r="B2548" s="33">
        <v>46177.96543497685</v>
      </c>
      <c r="C2548" s="34" t="s">
        <v>760</v>
      </c>
      <c r="D2548" s="35" t="s">
        <v>3395</v>
      </c>
      <c r="E2548" s="35" t="s">
        <v>1097</v>
      </c>
      <c r="F2548" s="34" t="s">
        <v>7664</v>
      </c>
      <c r="G2548" s="36" t="s">
        <v>19</v>
      </c>
      <c r="H2548" s="34" t="s">
        <v>5410</v>
      </c>
      <c r="I2548" s="34" t="s">
        <v>5411</v>
      </c>
      <c r="J2548" s="37">
        <v>46137.0</v>
      </c>
      <c r="K2548" s="35" t="s">
        <v>49</v>
      </c>
      <c r="L2548" s="34">
        <v>8.0</v>
      </c>
      <c r="M2548" s="34" t="s">
        <v>87</v>
      </c>
      <c r="N2548" s="38" t="s">
        <v>7665</v>
      </c>
      <c r="O2548" s="39" t="s">
        <v>7666</v>
      </c>
    </row>
    <row r="2549">
      <c r="A2549" s="32">
        <v>2967.0</v>
      </c>
      <c r="B2549" s="33">
        <v>46177.9667912963</v>
      </c>
      <c r="C2549" s="34" t="s">
        <v>760</v>
      </c>
      <c r="D2549" s="35" t="s">
        <v>3395</v>
      </c>
      <c r="E2549" s="35" t="s">
        <v>1097</v>
      </c>
      <c r="F2549" s="34" t="s">
        <v>3396</v>
      </c>
      <c r="G2549" s="36" t="s">
        <v>19</v>
      </c>
      <c r="H2549" s="34" t="s">
        <v>5410</v>
      </c>
      <c r="I2549" s="34" t="s">
        <v>5411</v>
      </c>
      <c r="J2549" s="37">
        <v>46138.0</v>
      </c>
      <c r="K2549" s="35" t="s">
        <v>49</v>
      </c>
      <c r="L2549" s="34">
        <v>8.0</v>
      </c>
      <c r="M2549" s="34" t="s">
        <v>87</v>
      </c>
      <c r="N2549" s="38" t="s">
        <v>7667</v>
      </c>
      <c r="O2549" s="39" t="s">
        <v>7668</v>
      </c>
    </row>
    <row r="2550">
      <c r="A2550" s="32">
        <v>2968.0</v>
      </c>
      <c r="B2550" s="33">
        <v>46177.96816956019</v>
      </c>
      <c r="C2550" s="34" t="s">
        <v>760</v>
      </c>
      <c r="D2550" s="35" t="s">
        <v>3498</v>
      </c>
      <c r="E2550" s="35" t="s">
        <v>679</v>
      </c>
      <c r="F2550" s="34" t="s">
        <v>3499</v>
      </c>
      <c r="G2550" s="36" t="s">
        <v>181</v>
      </c>
      <c r="H2550" s="34" t="s">
        <v>7580</v>
      </c>
      <c r="I2550" s="34" t="s">
        <v>231</v>
      </c>
      <c r="J2550" s="37">
        <v>46122.0</v>
      </c>
      <c r="K2550" s="35" t="s">
        <v>957</v>
      </c>
      <c r="L2550" s="34">
        <v>4.0</v>
      </c>
      <c r="M2550" s="34" t="s">
        <v>1064</v>
      </c>
      <c r="N2550" s="38" t="s">
        <v>7669</v>
      </c>
      <c r="O2550" s="39" t="s">
        <v>7670</v>
      </c>
    </row>
    <row r="2551">
      <c r="A2551" s="32">
        <v>2969.0</v>
      </c>
      <c r="B2551" s="33">
        <v>46177.96866434028</v>
      </c>
      <c r="C2551" s="34" t="s">
        <v>15</v>
      </c>
      <c r="D2551" s="35" t="s">
        <v>4303</v>
      </c>
      <c r="E2551" s="35" t="s">
        <v>1596</v>
      </c>
      <c r="F2551" s="34" t="s">
        <v>4319</v>
      </c>
      <c r="G2551" s="36" t="s">
        <v>415</v>
      </c>
      <c r="H2551" s="34" t="s">
        <v>7671</v>
      </c>
      <c r="I2551" s="34" t="s">
        <v>7672</v>
      </c>
      <c r="J2551" s="37">
        <v>46023.0</v>
      </c>
      <c r="K2551" s="35" t="s">
        <v>7673</v>
      </c>
      <c r="L2551" s="34">
        <v>4.0</v>
      </c>
      <c r="M2551" s="34" t="s">
        <v>1016</v>
      </c>
      <c r="N2551" s="38" t="s">
        <v>7674</v>
      </c>
      <c r="O2551" s="39" t="s">
        <v>7675</v>
      </c>
    </row>
    <row r="2552">
      <c r="A2552" s="32">
        <v>2970.0</v>
      </c>
      <c r="B2552" s="33">
        <v>46177.96971635417</v>
      </c>
      <c r="C2552" s="34" t="s">
        <v>760</v>
      </c>
      <c r="D2552" s="35" t="s">
        <v>3687</v>
      </c>
      <c r="E2552" s="35" t="s">
        <v>737</v>
      </c>
      <c r="F2552" s="34" t="s">
        <v>3688</v>
      </c>
      <c r="G2552" s="36" t="s">
        <v>181</v>
      </c>
      <c r="H2552" s="34" t="s">
        <v>6022</v>
      </c>
      <c r="I2552" s="34" t="s">
        <v>7676</v>
      </c>
      <c r="J2552" s="37">
        <v>46147.0</v>
      </c>
      <c r="K2552" s="35" t="s">
        <v>930</v>
      </c>
      <c r="L2552" s="34">
        <v>3.0</v>
      </c>
      <c r="M2552" s="34" t="s">
        <v>1325</v>
      </c>
      <c r="N2552" s="38" t="s">
        <v>7677</v>
      </c>
      <c r="O2552" s="39" t="s">
        <v>7678</v>
      </c>
    </row>
    <row r="2553">
      <c r="A2553" s="32">
        <v>2971.0</v>
      </c>
      <c r="B2553" s="33">
        <v>46177.971670405095</v>
      </c>
      <c r="C2553" s="34" t="s">
        <v>15</v>
      </c>
      <c r="D2553" s="35" t="s">
        <v>4303</v>
      </c>
      <c r="E2553" s="35" t="s">
        <v>1596</v>
      </c>
      <c r="F2553" s="34" t="s">
        <v>4319</v>
      </c>
      <c r="G2553" s="36" t="s">
        <v>144</v>
      </c>
      <c r="H2553" s="34" t="s">
        <v>7679</v>
      </c>
      <c r="I2553" s="34" t="s">
        <v>7680</v>
      </c>
      <c r="J2553" s="37">
        <v>46126.0</v>
      </c>
      <c r="K2553" s="35" t="s">
        <v>2275</v>
      </c>
      <c r="L2553" s="34">
        <v>2.0</v>
      </c>
      <c r="M2553" s="34" t="s">
        <v>907</v>
      </c>
      <c r="N2553" s="38" t="s">
        <v>7681</v>
      </c>
      <c r="O2553" s="39" t="s">
        <v>7682</v>
      </c>
    </row>
    <row r="2554">
      <c r="A2554" s="32">
        <v>2972.0</v>
      </c>
      <c r="B2554" s="33">
        <v>46177.976340891204</v>
      </c>
      <c r="C2554" s="34" t="s">
        <v>760</v>
      </c>
      <c r="D2554" s="35" t="s">
        <v>3687</v>
      </c>
      <c r="E2554" s="35" t="s">
        <v>737</v>
      </c>
      <c r="F2554" s="34" t="s">
        <v>3688</v>
      </c>
      <c r="G2554" s="36" t="s">
        <v>144</v>
      </c>
      <c r="H2554" s="34" t="s">
        <v>7683</v>
      </c>
      <c r="I2554" s="34" t="s">
        <v>731</v>
      </c>
      <c r="J2554" s="37">
        <v>46172.0</v>
      </c>
      <c r="K2554" s="35" t="s">
        <v>1922</v>
      </c>
      <c r="L2554" s="34">
        <v>2.0</v>
      </c>
      <c r="M2554" s="34" t="s">
        <v>7684</v>
      </c>
      <c r="N2554" s="38" t="s">
        <v>7685</v>
      </c>
      <c r="O2554" s="39" t="s">
        <v>7686</v>
      </c>
    </row>
    <row r="2555">
      <c r="A2555" s="32">
        <v>2973.0</v>
      </c>
      <c r="B2555" s="33">
        <v>46177.978938518514</v>
      </c>
      <c r="C2555" s="34" t="s">
        <v>760</v>
      </c>
      <c r="D2555" s="35" t="s">
        <v>3687</v>
      </c>
      <c r="E2555" s="35" t="s">
        <v>737</v>
      </c>
      <c r="F2555" s="34" t="s">
        <v>3688</v>
      </c>
      <c r="G2555" s="36" t="s">
        <v>181</v>
      </c>
      <c r="H2555" s="34" t="s">
        <v>895</v>
      </c>
      <c r="I2555" s="34" t="s">
        <v>314</v>
      </c>
      <c r="J2555" s="37">
        <v>46114.0</v>
      </c>
      <c r="K2555" s="35" t="s">
        <v>310</v>
      </c>
      <c r="L2555" s="34">
        <v>1.0</v>
      </c>
      <c r="M2555" s="34" t="s">
        <v>33</v>
      </c>
      <c r="N2555" s="38" t="s">
        <v>7687</v>
      </c>
      <c r="O2555" s="39" t="s">
        <v>7688</v>
      </c>
    </row>
    <row r="2556">
      <c r="A2556" s="32">
        <v>2974.0</v>
      </c>
      <c r="B2556" s="33">
        <v>46177.980239004624</v>
      </c>
      <c r="C2556" s="34" t="s">
        <v>760</v>
      </c>
      <c r="D2556" s="35" t="s">
        <v>3687</v>
      </c>
      <c r="E2556" s="35" t="s">
        <v>737</v>
      </c>
      <c r="F2556" s="34" t="s">
        <v>3688</v>
      </c>
      <c r="G2556" s="36" t="s">
        <v>181</v>
      </c>
      <c r="H2556" s="34" t="s">
        <v>895</v>
      </c>
      <c r="I2556" s="34" t="s">
        <v>314</v>
      </c>
      <c r="J2556" s="37">
        <v>46135.0</v>
      </c>
      <c r="K2556" s="35" t="s">
        <v>310</v>
      </c>
      <c r="L2556" s="34">
        <v>1.0</v>
      </c>
      <c r="M2556" s="34" t="s">
        <v>33</v>
      </c>
      <c r="N2556" s="38" t="s">
        <v>7689</v>
      </c>
      <c r="O2556" s="39" t="s">
        <v>7690</v>
      </c>
    </row>
    <row r="2557">
      <c r="A2557" s="32">
        <v>2975.0</v>
      </c>
      <c r="B2557" s="33">
        <v>46177.98234047454</v>
      </c>
      <c r="C2557" s="34" t="s">
        <v>760</v>
      </c>
      <c r="D2557" s="35" t="s">
        <v>3395</v>
      </c>
      <c r="E2557" s="35" t="s">
        <v>1097</v>
      </c>
      <c r="F2557" s="34" t="s">
        <v>3396</v>
      </c>
      <c r="G2557" s="36" t="s">
        <v>19</v>
      </c>
      <c r="H2557" s="34" t="s">
        <v>6241</v>
      </c>
      <c r="I2557" s="34" t="s">
        <v>7691</v>
      </c>
      <c r="J2557" s="37">
        <v>46101.0</v>
      </c>
      <c r="K2557" s="35" t="s">
        <v>753</v>
      </c>
      <c r="L2557" s="34">
        <v>3.0</v>
      </c>
      <c r="M2557" s="34" t="s">
        <v>1064</v>
      </c>
      <c r="N2557" s="38" t="s">
        <v>7692</v>
      </c>
      <c r="O2557" s="39" t="s">
        <v>7693</v>
      </c>
    </row>
    <row r="2558">
      <c r="A2558" s="32">
        <v>2976.0</v>
      </c>
      <c r="B2558" s="33">
        <v>46177.98260581019</v>
      </c>
      <c r="C2558" s="34" t="s">
        <v>760</v>
      </c>
      <c r="D2558" s="35" t="s">
        <v>3687</v>
      </c>
      <c r="E2558" s="35" t="s">
        <v>737</v>
      </c>
      <c r="F2558" s="34" t="s">
        <v>3688</v>
      </c>
      <c r="G2558" s="36" t="s">
        <v>181</v>
      </c>
      <c r="H2558" s="34" t="s">
        <v>895</v>
      </c>
      <c r="I2558" s="34" t="s">
        <v>314</v>
      </c>
      <c r="J2558" s="37">
        <v>46154.0</v>
      </c>
      <c r="K2558" s="35" t="s">
        <v>310</v>
      </c>
      <c r="L2558" s="34">
        <v>1.0</v>
      </c>
      <c r="M2558" s="34" t="s">
        <v>33</v>
      </c>
      <c r="N2558" s="38" t="s">
        <v>7694</v>
      </c>
      <c r="O2558" s="39" t="s">
        <v>7695</v>
      </c>
    </row>
    <row r="2559">
      <c r="A2559" s="32">
        <v>2977.0</v>
      </c>
      <c r="B2559" s="33">
        <v>46177.983550000004</v>
      </c>
      <c r="C2559" s="34" t="s">
        <v>760</v>
      </c>
      <c r="D2559" s="35" t="s">
        <v>3395</v>
      </c>
      <c r="E2559" s="35" t="s">
        <v>1097</v>
      </c>
      <c r="F2559" s="34" t="s">
        <v>3396</v>
      </c>
      <c r="G2559" s="36" t="s">
        <v>19</v>
      </c>
      <c r="H2559" s="34" t="s">
        <v>6241</v>
      </c>
      <c r="I2559" s="34" t="s">
        <v>7691</v>
      </c>
      <c r="J2559" s="37">
        <v>46108.0</v>
      </c>
      <c r="K2559" s="35" t="s">
        <v>753</v>
      </c>
      <c r="L2559" s="34">
        <v>3.0</v>
      </c>
      <c r="M2559" s="34" t="s">
        <v>1064</v>
      </c>
      <c r="N2559" s="38" t="s">
        <v>7696</v>
      </c>
      <c r="O2559" s="39" t="s">
        <v>7697</v>
      </c>
    </row>
    <row r="2560">
      <c r="A2560" s="32">
        <v>2978.0</v>
      </c>
      <c r="B2560" s="33">
        <v>46177.98629641204</v>
      </c>
      <c r="C2560" s="34" t="s">
        <v>760</v>
      </c>
      <c r="D2560" s="35" t="s">
        <v>3395</v>
      </c>
      <c r="E2560" s="35" t="s">
        <v>1097</v>
      </c>
      <c r="F2560" s="34" t="s">
        <v>3396</v>
      </c>
      <c r="G2560" s="36" t="s">
        <v>19</v>
      </c>
      <c r="H2560" s="34" t="s">
        <v>6241</v>
      </c>
      <c r="I2560" s="34" t="s">
        <v>7691</v>
      </c>
      <c r="J2560" s="37">
        <v>46115.0</v>
      </c>
      <c r="K2560" s="35" t="s">
        <v>753</v>
      </c>
      <c r="L2560" s="34">
        <v>3.0</v>
      </c>
      <c r="M2560" s="34" t="s">
        <v>1533</v>
      </c>
      <c r="N2560" s="38" t="s">
        <v>7698</v>
      </c>
      <c r="O2560" s="39" t="s">
        <v>7699</v>
      </c>
    </row>
    <row r="2561">
      <c r="A2561" s="32">
        <v>2979.0</v>
      </c>
      <c r="B2561" s="33">
        <v>46177.98770744213</v>
      </c>
      <c r="C2561" s="34" t="s">
        <v>760</v>
      </c>
      <c r="D2561" s="35" t="s">
        <v>4976</v>
      </c>
      <c r="E2561" s="35" t="s">
        <v>2338</v>
      </c>
      <c r="F2561" s="34" t="s">
        <v>4977</v>
      </c>
      <c r="G2561" s="36" t="s">
        <v>209</v>
      </c>
      <c r="H2561" s="34" t="s">
        <v>145</v>
      </c>
      <c r="I2561" s="34" t="s">
        <v>7700</v>
      </c>
      <c r="J2561" s="37">
        <v>46027.0</v>
      </c>
      <c r="K2561" s="35" t="s">
        <v>2102</v>
      </c>
      <c r="L2561" s="34">
        <v>2.0</v>
      </c>
      <c r="M2561" s="34" t="s">
        <v>7701</v>
      </c>
      <c r="N2561" s="38" t="s">
        <v>7702</v>
      </c>
      <c r="O2561" s="39" t="s">
        <v>7703</v>
      </c>
    </row>
    <row r="2562">
      <c r="A2562" s="32">
        <v>2981.0</v>
      </c>
      <c r="B2562" s="33">
        <v>46177.99031597222</v>
      </c>
      <c r="C2562" s="34" t="s">
        <v>760</v>
      </c>
      <c r="D2562" s="35" t="s">
        <v>3395</v>
      </c>
      <c r="E2562" s="35" t="s">
        <v>1097</v>
      </c>
      <c r="F2562" s="34" t="s">
        <v>3396</v>
      </c>
      <c r="G2562" s="36" t="s">
        <v>19</v>
      </c>
      <c r="H2562" s="34" t="s">
        <v>6241</v>
      </c>
      <c r="I2562" s="34" t="s">
        <v>7691</v>
      </c>
      <c r="J2562" s="37">
        <v>46119.0</v>
      </c>
      <c r="K2562" s="35" t="s">
        <v>6223</v>
      </c>
      <c r="L2562" s="34">
        <v>6.0</v>
      </c>
      <c r="M2562" s="34" t="s">
        <v>1064</v>
      </c>
      <c r="N2562" s="38" t="s">
        <v>7704</v>
      </c>
      <c r="O2562" s="39" t="s">
        <v>7705</v>
      </c>
    </row>
    <row r="2563">
      <c r="A2563" s="32">
        <v>2982.0</v>
      </c>
      <c r="B2563" s="33">
        <v>46177.99152099537</v>
      </c>
      <c r="C2563" s="34" t="s">
        <v>760</v>
      </c>
      <c r="D2563" s="35" t="s">
        <v>3395</v>
      </c>
      <c r="E2563" s="35" t="s">
        <v>1097</v>
      </c>
      <c r="F2563" s="34" t="s">
        <v>3396</v>
      </c>
      <c r="G2563" s="36" t="s">
        <v>19</v>
      </c>
      <c r="H2563" s="34" t="s">
        <v>6241</v>
      </c>
      <c r="I2563" s="34" t="s">
        <v>7691</v>
      </c>
      <c r="J2563" s="37">
        <v>46120.0</v>
      </c>
      <c r="K2563" s="35" t="s">
        <v>3318</v>
      </c>
      <c r="L2563" s="34">
        <v>6.0</v>
      </c>
      <c r="M2563" s="34" t="s">
        <v>1064</v>
      </c>
      <c r="N2563" s="38" t="s">
        <v>7706</v>
      </c>
      <c r="O2563" s="39" t="s">
        <v>7707</v>
      </c>
    </row>
    <row r="2564">
      <c r="A2564" s="32">
        <v>2983.0</v>
      </c>
      <c r="B2564" s="33">
        <v>46177.99291164352</v>
      </c>
      <c r="C2564" s="34" t="s">
        <v>760</v>
      </c>
      <c r="D2564" s="35" t="s">
        <v>3395</v>
      </c>
      <c r="E2564" s="35" t="s">
        <v>1097</v>
      </c>
      <c r="F2564" s="34" t="s">
        <v>3396</v>
      </c>
      <c r="G2564" s="36" t="s">
        <v>19</v>
      </c>
      <c r="H2564" s="34" t="s">
        <v>7708</v>
      </c>
      <c r="I2564" s="34" t="s">
        <v>7691</v>
      </c>
      <c r="J2564" s="37">
        <v>46121.0</v>
      </c>
      <c r="K2564" s="35" t="s">
        <v>6234</v>
      </c>
      <c r="L2564" s="34">
        <v>8.0</v>
      </c>
      <c r="M2564" s="34" t="s">
        <v>1064</v>
      </c>
      <c r="N2564" s="38" t="s">
        <v>7709</v>
      </c>
      <c r="O2564" s="39" t="s">
        <v>7710</v>
      </c>
    </row>
    <row r="2565">
      <c r="A2565" s="32">
        <v>2984.0</v>
      </c>
      <c r="B2565" s="33">
        <v>46177.99452228009</v>
      </c>
      <c r="C2565" s="34" t="s">
        <v>760</v>
      </c>
      <c r="D2565" s="35" t="s">
        <v>3395</v>
      </c>
      <c r="E2565" s="35" t="s">
        <v>1097</v>
      </c>
      <c r="F2565" s="34" t="s">
        <v>3396</v>
      </c>
      <c r="G2565" s="36" t="s">
        <v>19</v>
      </c>
      <c r="H2565" s="34" t="s">
        <v>7711</v>
      </c>
      <c r="I2565" s="34" t="s">
        <v>5715</v>
      </c>
      <c r="J2565" s="37">
        <v>46032.0</v>
      </c>
      <c r="K2565" s="35" t="s">
        <v>2328</v>
      </c>
      <c r="L2565" s="34">
        <v>8.0</v>
      </c>
      <c r="M2565" s="34" t="s">
        <v>87</v>
      </c>
      <c r="N2565" s="38" t="s">
        <v>7712</v>
      </c>
      <c r="O2565" s="39" t="s">
        <v>7713</v>
      </c>
    </row>
    <row r="2566">
      <c r="A2566" s="32">
        <v>2985.0</v>
      </c>
      <c r="B2566" s="33">
        <v>46177.99642821759</v>
      </c>
      <c r="C2566" s="34" t="s">
        <v>760</v>
      </c>
      <c r="D2566" s="35" t="s">
        <v>3687</v>
      </c>
      <c r="E2566" s="35" t="s">
        <v>737</v>
      </c>
      <c r="F2566" s="34" t="s">
        <v>3688</v>
      </c>
      <c r="G2566" s="36" t="s">
        <v>181</v>
      </c>
      <c r="H2566" s="34" t="s">
        <v>895</v>
      </c>
      <c r="I2566" s="34" t="s">
        <v>314</v>
      </c>
      <c r="J2566" s="37">
        <v>46175.0</v>
      </c>
      <c r="K2566" s="35" t="s">
        <v>310</v>
      </c>
      <c r="L2566" s="34">
        <v>1.0</v>
      </c>
      <c r="M2566" s="34" t="s">
        <v>33</v>
      </c>
      <c r="N2566" s="38" t="s">
        <v>7714</v>
      </c>
      <c r="O2566" s="39" t="s">
        <v>7715</v>
      </c>
    </row>
    <row r="2567">
      <c r="A2567" s="32">
        <v>2986.0</v>
      </c>
      <c r="B2567" s="33">
        <v>46177.99646071759</v>
      </c>
      <c r="C2567" s="34" t="s">
        <v>760</v>
      </c>
      <c r="D2567" s="35" t="s">
        <v>3395</v>
      </c>
      <c r="E2567" s="35" t="s">
        <v>1097</v>
      </c>
      <c r="F2567" s="34" t="s">
        <v>3396</v>
      </c>
      <c r="G2567" s="36" t="s">
        <v>19</v>
      </c>
      <c r="H2567" s="34" t="s">
        <v>5410</v>
      </c>
      <c r="I2567" s="34" t="s">
        <v>5411</v>
      </c>
      <c r="J2567" s="37">
        <v>46137.0</v>
      </c>
      <c r="K2567" s="35" t="s">
        <v>49</v>
      </c>
      <c r="L2567" s="34">
        <v>8.0</v>
      </c>
      <c r="M2567" s="34" t="s">
        <v>87</v>
      </c>
      <c r="N2567" s="38" t="s">
        <v>7716</v>
      </c>
      <c r="O2567" s="39" t="s">
        <v>7717</v>
      </c>
    </row>
    <row r="2568">
      <c r="A2568" s="32">
        <v>2987.0</v>
      </c>
      <c r="B2568" s="33">
        <v>46178.23123913194</v>
      </c>
      <c r="C2568" s="34" t="s">
        <v>760</v>
      </c>
      <c r="D2568" s="35" t="s">
        <v>4180</v>
      </c>
      <c r="E2568" s="35" t="s">
        <v>1827</v>
      </c>
      <c r="F2568" s="34" t="s">
        <v>4181</v>
      </c>
      <c r="G2568" s="36" t="s">
        <v>181</v>
      </c>
      <c r="H2568" s="34" t="s">
        <v>6022</v>
      </c>
      <c r="I2568" s="34" t="s">
        <v>7718</v>
      </c>
      <c r="J2568" s="37">
        <v>46147.0</v>
      </c>
      <c r="K2568" s="35" t="s">
        <v>3287</v>
      </c>
      <c r="L2568" s="34">
        <v>3.0</v>
      </c>
      <c r="M2568" s="34" t="s">
        <v>1325</v>
      </c>
      <c r="N2568" s="38" t="s">
        <v>7719</v>
      </c>
      <c r="O2568" s="39" t="s">
        <v>7720</v>
      </c>
    </row>
    <row r="2569">
      <c r="A2569" s="32">
        <v>2988.0</v>
      </c>
      <c r="B2569" s="33">
        <v>46178.3296583912</v>
      </c>
      <c r="C2569" s="34" t="s">
        <v>760</v>
      </c>
      <c r="D2569" s="35" t="s">
        <v>863</v>
      </c>
      <c r="E2569" s="35" t="s">
        <v>63</v>
      </c>
      <c r="F2569" s="34" t="s">
        <v>864</v>
      </c>
      <c r="G2569" s="36" t="s">
        <v>19</v>
      </c>
      <c r="H2569" s="34" t="s">
        <v>5369</v>
      </c>
      <c r="I2569" s="34" t="s">
        <v>5335</v>
      </c>
      <c r="J2569" s="37">
        <v>46032.0</v>
      </c>
      <c r="K2569" s="35" t="s">
        <v>2328</v>
      </c>
      <c r="L2569" s="34">
        <v>8.0</v>
      </c>
      <c r="M2569" s="34" t="s">
        <v>2391</v>
      </c>
      <c r="N2569" s="38" t="s">
        <v>7721</v>
      </c>
      <c r="O2569" s="39" t="s">
        <v>7722</v>
      </c>
    </row>
    <row r="2570">
      <c r="A2570" s="32">
        <v>2989.0</v>
      </c>
      <c r="B2570" s="33">
        <v>46178.33108351852</v>
      </c>
      <c r="C2570" s="34" t="s">
        <v>760</v>
      </c>
      <c r="D2570" s="35" t="s">
        <v>1672</v>
      </c>
      <c r="E2570" s="35" t="s">
        <v>881</v>
      </c>
      <c r="F2570" s="34" t="s">
        <v>1673</v>
      </c>
      <c r="G2570" s="36" t="s">
        <v>181</v>
      </c>
      <c r="H2570" s="34" t="s">
        <v>6583</v>
      </c>
      <c r="I2570" s="34" t="s">
        <v>231</v>
      </c>
      <c r="J2570" s="37">
        <v>46031.0</v>
      </c>
      <c r="K2570" s="35" t="s">
        <v>457</v>
      </c>
      <c r="L2570" s="34">
        <v>4.0</v>
      </c>
      <c r="M2570" s="34" t="s">
        <v>87</v>
      </c>
      <c r="N2570" s="38" t="s">
        <v>7723</v>
      </c>
      <c r="O2570" s="39" t="s">
        <v>7724</v>
      </c>
    </row>
    <row r="2571">
      <c r="A2571" s="32">
        <v>2990.0</v>
      </c>
      <c r="B2571" s="33">
        <v>46178.33178512732</v>
      </c>
      <c r="C2571" s="34" t="s">
        <v>760</v>
      </c>
      <c r="D2571" s="35" t="s">
        <v>816</v>
      </c>
      <c r="E2571" s="35" t="s">
        <v>817</v>
      </c>
      <c r="F2571" s="34" t="s">
        <v>818</v>
      </c>
      <c r="G2571" s="36" t="s">
        <v>181</v>
      </c>
      <c r="H2571" s="34" t="s">
        <v>6583</v>
      </c>
      <c r="I2571" s="34" t="s">
        <v>7725</v>
      </c>
      <c r="J2571" s="37">
        <v>46031.0</v>
      </c>
      <c r="K2571" s="35" t="s">
        <v>457</v>
      </c>
      <c r="L2571" s="34">
        <v>4.0</v>
      </c>
      <c r="M2571" s="34" t="s">
        <v>87</v>
      </c>
      <c r="N2571" s="38" t="s">
        <v>7726</v>
      </c>
      <c r="O2571" s="39" t="s">
        <v>7727</v>
      </c>
    </row>
    <row r="2572">
      <c r="A2572" s="32">
        <v>2991.0</v>
      </c>
      <c r="B2572" s="33">
        <v>46178.3322600463</v>
      </c>
      <c r="C2572" s="34" t="s">
        <v>760</v>
      </c>
      <c r="D2572" s="35" t="s">
        <v>863</v>
      </c>
      <c r="E2572" s="35" t="s">
        <v>63</v>
      </c>
      <c r="F2572" s="34" t="s">
        <v>864</v>
      </c>
      <c r="G2572" s="36" t="s">
        <v>181</v>
      </c>
      <c r="H2572" s="34" t="s">
        <v>6583</v>
      </c>
      <c r="I2572" s="34" t="s">
        <v>1211</v>
      </c>
      <c r="J2572" s="37">
        <v>46031.0</v>
      </c>
      <c r="K2572" s="35" t="s">
        <v>22</v>
      </c>
      <c r="L2572" s="34">
        <v>4.0</v>
      </c>
      <c r="M2572" s="34" t="s">
        <v>2391</v>
      </c>
      <c r="N2572" s="38" t="s">
        <v>7728</v>
      </c>
      <c r="O2572" s="39" t="s">
        <v>7729</v>
      </c>
    </row>
    <row r="2573">
      <c r="A2573" s="32">
        <v>2992.0</v>
      </c>
      <c r="B2573" s="33">
        <v>46178.33316981481</v>
      </c>
      <c r="C2573" s="34" t="s">
        <v>760</v>
      </c>
      <c r="D2573" s="35" t="s">
        <v>2364</v>
      </c>
      <c r="E2573" s="35" t="s">
        <v>1596</v>
      </c>
      <c r="F2573" s="34" t="s">
        <v>2365</v>
      </c>
      <c r="G2573" s="36" t="s">
        <v>181</v>
      </c>
      <c r="H2573" s="34" t="s">
        <v>6347</v>
      </c>
      <c r="I2573" s="34" t="s">
        <v>231</v>
      </c>
      <c r="J2573" s="37">
        <v>46164.0</v>
      </c>
      <c r="K2573" s="35" t="s">
        <v>753</v>
      </c>
      <c r="L2573" s="34">
        <v>2.0</v>
      </c>
      <c r="M2573" s="34" t="s">
        <v>7730</v>
      </c>
      <c r="N2573" s="38" t="s">
        <v>7731</v>
      </c>
      <c r="O2573" s="39" t="s">
        <v>7732</v>
      </c>
    </row>
    <row r="2574">
      <c r="A2574" s="32">
        <v>2993.0</v>
      </c>
      <c r="B2574" s="33">
        <v>46178.33428439815</v>
      </c>
      <c r="C2574" s="34" t="s">
        <v>760</v>
      </c>
      <c r="D2574" s="35" t="s">
        <v>816</v>
      </c>
      <c r="E2574" s="35" t="s">
        <v>817</v>
      </c>
      <c r="F2574" s="34" t="s">
        <v>818</v>
      </c>
      <c r="G2574" s="36" t="s">
        <v>181</v>
      </c>
      <c r="H2574" s="34" t="s">
        <v>7733</v>
      </c>
      <c r="I2574" s="34" t="s">
        <v>7725</v>
      </c>
      <c r="J2574" s="37">
        <v>46009.0</v>
      </c>
      <c r="K2574" s="35" t="s">
        <v>7613</v>
      </c>
      <c r="L2574" s="34">
        <v>4.0</v>
      </c>
      <c r="M2574" s="34" t="s">
        <v>87</v>
      </c>
      <c r="N2574" s="38" t="s">
        <v>7734</v>
      </c>
      <c r="O2574" s="39" t="s">
        <v>7735</v>
      </c>
    </row>
    <row r="2575">
      <c r="A2575" s="32">
        <v>2996.0</v>
      </c>
      <c r="B2575" s="33">
        <v>46178.335385300925</v>
      </c>
      <c r="C2575" s="34" t="s">
        <v>760</v>
      </c>
      <c r="D2575" s="35" t="s">
        <v>4645</v>
      </c>
      <c r="E2575" s="35" t="s">
        <v>1259</v>
      </c>
      <c r="F2575" s="34" t="s">
        <v>4646</v>
      </c>
      <c r="G2575" s="36" t="s">
        <v>181</v>
      </c>
      <c r="H2575" s="34" t="s">
        <v>6583</v>
      </c>
      <c r="I2575" s="34" t="s">
        <v>7725</v>
      </c>
      <c r="J2575" s="37">
        <v>46031.0</v>
      </c>
      <c r="K2575" s="35" t="s">
        <v>22</v>
      </c>
      <c r="L2575" s="34">
        <v>4.0</v>
      </c>
      <c r="M2575" s="34" t="s">
        <v>87</v>
      </c>
      <c r="N2575" s="38" t="s">
        <v>7736</v>
      </c>
      <c r="O2575" s="39" t="s">
        <v>7737</v>
      </c>
    </row>
    <row r="2576">
      <c r="A2576" s="32">
        <v>2997.0</v>
      </c>
      <c r="B2576" s="33">
        <v>46178.335679814816</v>
      </c>
      <c r="C2576" s="34" t="s">
        <v>760</v>
      </c>
      <c r="D2576" s="35" t="s">
        <v>5233</v>
      </c>
      <c r="E2576" s="35" t="s">
        <v>479</v>
      </c>
      <c r="F2576" s="34" t="s">
        <v>5234</v>
      </c>
      <c r="G2576" s="36" t="s">
        <v>181</v>
      </c>
      <c r="H2576" s="34" t="s">
        <v>6347</v>
      </c>
      <c r="I2576" s="34" t="s">
        <v>231</v>
      </c>
      <c r="J2576" s="37">
        <v>46164.0</v>
      </c>
      <c r="K2576" s="35" t="s">
        <v>753</v>
      </c>
      <c r="L2576" s="34">
        <v>2.0</v>
      </c>
      <c r="M2576" s="34" t="s">
        <v>3607</v>
      </c>
      <c r="N2576" s="38" t="s">
        <v>7738</v>
      </c>
      <c r="O2576" s="39" t="s">
        <v>7739</v>
      </c>
    </row>
    <row r="2577">
      <c r="A2577" s="32">
        <v>2999.0</v>
      </c>
      <c r="B2577" s="33">
        <v>46178.33730958334</v>
      </c>
      <c r="C2577" s="34" t="s">
        <v>760</v>
      </c>
      <c r="D2577" s="35" t="s">
        <v>5233</v>
      </c>
      <c r="E2577" s="35" t="s">
        <v>479</v>
      </c>
      <c r="F2577" s="34" t="s">
        <v>5234</v>
      </c>
      <c r="G2577" s="36" t="s">
        <v>19</v>
      </c>
      <c r="H2577" s="34" t="s">
        <v>5653</v>
      </c>
      <c r="I2577" s="34" t="s">
        <v>5862</v>
      </c>
      <c r="J2577" s="37">
        <v>46078.0</v>
      </c>
      <c r="K2577" s="35" t="s">
        <v>2179</v>
      </c>
      <c r="L2577" s="34">
        <v>8.0</v>
      </c>
      <c r="M2577" s="34" t="s">
        <v>87</v>
      </c>
      <c r="N2577" s="38" t="s">
        <v>7740</v>
      </c>
      <c r="O2577" s="39" t="s">
        <v>7741</v>
      </c>
    </row>
    <row r="2578">
      <c r="A2578" s="32">
        <v>3000.0</v>
      </c>
      <c r="B2578" s="33">
        <v>46178.337928043984</v>
      </c>
      <c r="C2578" s="34" t="s">
        <v>760</v>
      </c>
      <c r="D2578" s="35" t="s">
        <v>3937</v>
      </c>
      <c r="E2578" s="35" t="s">
        <v>484</v>
      </c>
      <c r="F2578" s="34" t="s">
        <v>3938</v>
      </c>
      <c r="G2578" s="36" t="s">
        <v>209</v>
      </c>
      <c r="H2578" s="34" t="s">
        <v>7742</v>
      </c>
      <c r="I2578" s="34" t="s">
        <v>7743</v>
      </c>
      <c r="J2578" s="37">
        <v>46151.0</v>
      </c>
      <c r="K2578" s="35" t="s">
        <v>418</v>
      </c>
      <c r="L2578" s="34">
        <v>1.0</v>
      </c>
      <c r="M2578" s="34" t="s">
        <v>4160</v>
      </c>
      <c r="N2578" s="38" t="s">
        <v>7744</v>
      </c>
      <c r="O2578" s="39" t="s">
        <v>7745</v>
      </c>
    </row>
    <row r="2579">
      <c r="A2579" s="32">
        <v>3002.0</v>
      </c>
      <c r="B2579" s="33">
        <v>46178.33849524306</v>
      </c>
      <c r="C2579" s="34" t="s">
        <v>760</v>
      </c>
      <c r="D2579" s="35" t="s">
        <v>5233</v>
      </c>
      <c r="E2579" s="35" t="s">
        <v>479</v>
      </c>
      <c r="F2579" s="34" t="s">
        <v>5234</v>
      </c>
      <c r="G2579" s="36" t="s">
        <v>181</v>
      </c>
      <c r="H2579" s="34" t="s">
        <v>7580</v>
      </c>
      <c r="I2579" s="34" t="s">
        <v>231</v>
      </c>
      <c r="J2579" s="37">
        <v>46122.0</v>
      </c>
      <c r="K2579" s="35" t="s">
        <v>957</v>
      </c>
      <c r="L2579" s="34">
        <v>4.0</v>
      </c>
      <c r="M2579" s="34" t="s">
        <v>1064</v>
      </c>
      <c r="N2579" s="38" t="s">
        <v>7746</v>
      </c>
      <c r="O2579" s="39" t="s">
        <v>7747</v>
      </c>
    </row>
    <row r="2580">
      <c r="A2580" s="32">
        <v>3004.0</v>
      </c>
      <c r="B2580" s="33">
        <v>46178.33986709491</v>
      </c>
      <c r="C2580" s="34" t="s">
        <v>760</v>
      </c>
      <c r="D2580" s="35" t="s">
        <v>1350</v>
      </c>
      <c r="E2580" s="35" t="s">
        <v>199</v>
      </c>
      <c r="F2580" s="34" t="s">
        <v>1351</v>
      </c>
      <c r="G2580" s="36" t="s">
        <v>181</v>
      </c>
      <c r="H2580" s="34" t="s">
        <v>6022</v>
      </c>
      <c r="I2580" s="34" t="s">
        <v>7676</v>
      </c>
      <c r="J2580" s="37">
        <v>46147.0</v>
      </c>
      <c r="K2580" s="35" t="s">
        <v>3148</v>
      </c>
      <c r="L2580" s="34">
        <v>3.0</v>
      </c>
      <c r="M2580" s="34" t="s">
        <v>1325</v>
      </c>
      <c r="N2580" s="38" t="s">
        <v>7748</v>
      </c>
      <c r="O2580" s="40"/>
    </row>
    <row r="2581">
      <c r="A2581" s="32">
        <v>3006.0</v>
      </c>
      <c r="B2581" s="33">
        <v>46178.34186475695</v>
      </c>
      <c r="C2581" s="34" t="s">
        <v>760</v>
      </c>
      <c r="D2581" s="35" t="s">
        <v>1350</v>
      </c>
      <c r="E2581" s="35" t="s">
        <v>199</v>
      </c>
      <c r="F2581" s="34" t="s">
        <v>1351</v>
      </c>
      <c r="G2581" s="36" t="s">
        <v>181</v>
      </c>
      <c r="H2581" s="34" t="s">
        <v>6022</v>
      </c>
      <c r="I2581" s="34" t="s">
        <v>7676</v>
      </c>
      <c r="J2581" s="37">
        <v>46147.0</v>
      </c>
      <c r="K2581" s="35" t="s">
        <v>3148</v>
      </c>
      <c r="L2581" s="34">
        <v>3.0</v>
      </c>
      <c r="M2581" s="34" t="s">
        <v>1325</v>
      </c>
      <c r="N2581" s="38" t="s">
        <v>7749</v>
      </c>
      <c r="O2581" s="39" t="s">
        <v>7750</v>
      </c>
    </row>
    <row r="2582">
      <c r="A2582" s="32">
        <v>3008.0</v>
      </c>
      <c r="B2582" s="33">
        <v>46178.342145902774</v>
      </c>
      <c r="C2582" s="34" t="s">
        <v>760</v>
      </c>
      <c r="D2582" s="35" t="s">
        <v>2670</v>
      </c>
      <c r="E2582" s="35" t="s">
        <v>1725</v>
      </c>
      <c r="F2582" s="34" t="s">
        <v>3956</v>
      </c>
      <c r="G2582" s="36" t="s">
        <v>181</v>
      </c>
      <c r="H2582" s="34" t="s">
        <v>1222</v>
      </c>
      <c r="I2582" s="34" t="s">
        <v>231</v>
      </c>
      <c r="J2582" s="37">
        <v>46143.0</v>
      </c>
      <c r="K2582" s="35" t="s">
        <v>4065</v>
      </c>
      <c r="L2582" s="34">
        <v>1.0</v>
      </c>
      <c r="M2582" s="34" t="s">
        <v>33</v>
      </c>
      <c r="N2582" s="38" t="s">
        <v>7751</v>
      </c>
      <c r="O2582" s="39" t="s">
        <v>7752</v>
      </c>
    </row>
    <row r="2583">
      <c r="A2583" s="32">
        <v>3009.0</v>
      </c>
      <c r="B2583" s="33">
        <v>46178.34233225694</v>
      </c>
      <c r="C2583" s="34" t="s">
        <v>760</v>
      </c>
      <c r="D2583" s="35" t="s">
        <v>1350</v>
      </c>
      <c r="E2583" s="35" t="s">
        <v>199</v>
      </c>
      <c r="F2583" s="34" t="s">
        <v>1351</v>
      </c>
      <c r="G2583" s="36" t="s">
        <v>181</v>
      </c>
      <c r="H2583" s="34" t="s">
        <v>6022</v>
      </c>
      <c r="I2583" s="34" t="s">
        <v>7676</v>
      </c>
      <c r="J2583" s="37">
        <v>46147.0</v>
      </c>
      <c r="K2583" s="35" t="s">
        <v>3148</v>
      </c>
      <c r="L2583" s="34">
        <v>3.0</v>
      </c>
      <c r="M2583" s="34" t="s">
        <v>1325</v>
      </c>
      <c r="N2583" s="38" t="s">
        <v>7753</v>
      </c>
      <c r="O2583" s="39" t="s">
        <v>7754</v>
      </c>
    </row>
    <row r="2584">
      <c r="A2584" s="32">
        <v>3010.0</v>
      </c>
      <c r="B2584" s="33">
        <v>46178.342732743055</v>
      </c>
      <c r="C2584" s="34" t="s">
        <v>760</v>
      </c>
      <c r="D2584" s="35" t="s">
        <v>4831</v>
      </c>
      <c r="E2584" s="35" t="s">
        <v>248</v>
      </c>
      <c r="F2584" s="34" t="s">
        <v>4832</v>
      </c>
      <c r="G2584" s="36" t="s">
        <v>84</v>
      </c>
      <c r="H2584" s="34" t="s">
        <v>85</v>
      </c>
      <c r="I2584" s="34" t="s">
        <v>1192</v>
      </c>
      <c r="J2584" s="37">
        <v>46130.0</v>
      </c>
      <c r="K2584" s="35" t="s">
        <v>418</v>
      </c>
      <c r="L2584" s="34">
        <v>8.0</v>
      </c>
      <c r="M2584" s="34" t="s">
        <v>4701</v>
      </c>
      <c r="N2584" s="38" t="s">
        <v>7755</v>
      </c>
      <c r="O2584" s="39" t="s">
        <v>7756</v>
      </c>
    </row>
    <row r="2585">
      <c r="A2585" s="32">
        <v>3011.0</v>
      </c>
      <c r="B2585" s="33">
        <v>46178.3430530787</v>
      </c>
      <c r="C2585" s="34" t="s">
        <v>760</v>
      </c>
      <c r="D2585" s="35" t="s">
        <v>829</v>
      </c>
      <c r="E2585" s="35" t="s">
        <v>830</v>
      </c>
      <c r="F2585" s="34" t="s">
        <v>831</v>
      </c>
      <c r="G2585" s="36" t="s">
        <v>144</v>
      </c>
      <c r="H2585" s="34" t="s">
        <v>7757</v>
      </c>
      <c r="I2585" s="34" t="s">
        <v>7758</v>
      </c>
      <c r="J2585" s="37">
        <v>46126.0</v>
      </c>
      <c r="K2585" s="35" t="s">
        <v>129</v>
      </c>
      <c r="L2585" s="34">
        <v>2.0</v>
      </c>
      <c r="M2585" s="34" t="s">
        <v>6658</v>
      </c>
      <c r="N2585" s="38" t="s">
        <v>7759</v>
      </c>
      <c r="O2585" s="39" t="s">
        <v>7760</v>
      </c>
    </row>
    <row r="2586">
      <c r="A2586" s="32">
        <v>3012.0</v>
      </c>
      <c r="B2586" s="33">
        <v>46178.3443733912</v>
      </c>
      <c r="C2586" s="34" t="s">
        <v>760</v>
      </c>
      <c r="D2586" s="35" t="s">
        <v>1672</v>
      </c>
      <c r="E2586" s="35" t="s">
        <v>881</v>
      </c>
      <c r="F2586" s="34" t="s">
        <v>1673</v>
      </c>
      <c r="G2586" s="36" t="s">
        <v>181</v>
      </c>
      <c r="H2586" s="34" t="s">
        <v>6347</v>
      </c>
      <c r="I2586" s="34" t="s">
        <v>6356</v>
      </c>
      <c r="J2586" s="37">
        <v>46164.0</v>
      </c>
      <c r="K2586" s="35" t="s">
        <v>753</v>
      </c>
      <c r="L2586" s="34">
        <v>2.0</v>
      </c>
      <c r="M2586" s="34" t="s">
        <v>3607</v>
      </c>
      <c r="N2586" s="38" t="s">
        <v>7761</v>
      </c>
      <c r="O2586" s="39" t="s">
        <v>7762</v>
      </c>
    </row>
    <row r="2587">
      <c r="A2587" s="32">
        <v>3013.0</v>
      </c>
      <c r="B2587" s="33">
        <v>46178.34465130787</v>
      </c>
      <c r="C2587" s="34" t="s">
        <v>760</v>
      </c>
      <c r="D2587" s="35" t="s">
        <v>2670</v>
      </c>
      <c r="E2587" s="35" t="s">
        <v>1725</v>
      </c>
      <c r="F2587" s="34" t="s">
        <v>3956</v>
      </c>
      <c r="G2587" s="36" t="s">
        <v>181</v>
      </c>
      <c r="H2587" s="34" t="s">
        <v>1222</v>
      </c>
      <c r="I2587" s="34" t="s">
        <v>231</v>
      </c>
      <c r="J2587" s="37">
        <v>46028.0</v>
      </c>
      <c r="K2587" s="35" t="s">
        <v>4065</v>
      </c>
      <c r="L2587" s="34">
        <v>1.0</v>
      </c>
      <c r="M2587" s="34" t="s">
        <v>33</v>
      </c>
      <c r="N2587" s="38" t="s">
        <v>7763</v>
      </c>
      <c r="O2587" s="39" t="s">
        <v>7764</v>
      </c>
    </row>
    <row r="2588">
      <c r="A2588" s="32">
        <v>3016.0</v>
      </c>
      <c r="B2588" s="33">
        <v>46178.34620209491</v>
      </c>
      <c r="C2588" s="34" t="s">
        <v>760</v>
      </c>
      <c r="D2588" s="35" t="s">
        <v>4379</v>
      </c>
      <c r="E2588" s="35" t="s">
        <v>118</v>
      </c>
      <c r="F2588" s="34" t="s">
        <v>4380</v>
      </c>
      <c r="G2588" s="36" t="s">
        <v>181</v>
      </c>
      <c r="H2588" s="34" t="s">
        <v>5432</v>
      </c>
      <c r="I2588" s="34" t="s">
        <v>231</v>
      </c>
      <c r="J2588" s="37">
        <v>46138.0</v>
      </c>
      <c r="K2588" s="35" t="s">
        <v>3192</v>
      </c>
      <c r="L2588" s="34">
        <v>8.0</v>
      </c>
      <c r="M2588" s="34" t="s">
        <v>33</v>
      </c>
      <c r="N2588" s="38" t="s">
        <v>7765</v>
      </c>
      <c r="O2588" s="39" t="s">
        <v>7766</v>
      </c>
    </row>
    <row r="2589">
      <c r="A2589" s="32">
        <v>3017.0</v>
      </c>
      <c r="B2589" s="33">
        <v>46178.34626019676</v>
      </c>
      <c r="C2589" s="34" t="s">
        <v>760</v>
      </c>
      <c r="D2589" s="35" t="s">
        <v>2670</v>
      </c>
      <c r="E2589" s="35" t="s">
        <v>1725</v>
      </c>
      <c r="F2589" s="34" t="s">
        <v>3956</v>
      </c>
      <c r="G2589" s="36" t="s">
        <v>181</v>
      </c>
      <c r="H2589" s="34" t="s">
        <v>1222</v>
      </c>
      <c r="I2589" s="34" t="s">
        <v>231</v>
      </c>
      <c r="J2589" s="37">
        <v>46114.0</v>
      </c>
      <c r="K2589" s="35" t="s">
        <v>4065</v>
      </c>
      <c r="L2589" s="34">
        <v>1.0</v>
      </c>
      <c r="M2589" s="34" t="s">
        <v>33</v>
      </c>
      <c r="N2589" s="38" t="s">
        <v>7767</v>
      </c>
      <c r="O2589" s="39" t="s">
        <v>7768</v>
      </c>
    </row>
    <row r="2590">
      <c r="A2590" s="32">
        <v>3018.0</v>
      </c>
      <c r="B2590" s="33">
        <v>46178.34921028935</v>
      </c>
      <c r="C2590" s="34" t="s">
        <v>760</v>
      </c>
      <c r="D2590" s="35" t="s">
        <v>863</v>
      </c>
      <c r="E2590" s="35" t="s">
        <v>63</v>
      </c>
      <c r="F2590" s="34" t="s">
        <v>864</v>
      </c>
      <c r="G2590" s="36" t="s">
        <v>181</v>
      </c>
      <c r="H2590" s="34" t="s">
        <v>6347</v>
      </c>
      <c r="I2590" s="34" t="s">
        <v>6356</v>
      </c>
      <c r="J2590" s="37">
        <v>46164.0</v>
      </c>
      <c r="K2590" s="35" t="s">
        <v>753</v>
      </c>
      <c r="L2590" s="34">
        <v>2.0</v>
      </c>
      <c r="M2590" s="34" t="s">
        <v>6279</v>
      </c>
      <c r="N2590" s="38" t="s">
        <v>7769</v>
      </c>
      <c r="O2590" s="39" t="s">
        <v>7770</v>
      </c>
    </row>
    <row r="2591">
      <c r="A2591" s="32">
        <v>3019.0</v>
      </c>
      <c r="B2591" s="33">
        <v>46178.34941587963</v>
      </c>
      <c r="C2591" s="34" t="s">
        <v>760</v>
      </c>
      <c r="D2591" s="35" t="s">
        <v>4831</v>
      </c>
      <c r="E2591" s="35" t="s">
        <v>248</v>
      </c>
      <c r="F2591" s="34" t="s">
        <v>4832</v>
      </c>
      <c r="G2591" s="36" t="s">
        <v>19</v>
      </c>
      <c r="H2591" s="34" t="s">
        <v>7771</v>
      </c>
      <c r="I2591" s="34" t="s">
        <v>6093</v>
      </c>
      <c r="J2591" s="37">
        <v>46134.0</v>
      </c>
      <c r="K2591" s="35" t="s">
        <v>1647</v>
      </c>
      <c r="L2591" s="34">
        <v>8.0</v>
      </c>
      <c r="M2591" s="34" t="s">
        <v>1564</v>
      </c>
      <c r="N2591" s="38" t="s">
        <v>7772</v>
      </c>
      <c r="O2591" s="39" t="s">
        <v>7773</v>
      </c>
    </row>
    <row r="2592">
      <c r="A2592" s="32">
        <v>3020.0</v>
      </c>
      <c r="B2592" s="33">
        <v>46178.3501415162</v>
      </c>
      <c r="C2592" s="34" t="s">
        <v>760</v>
      </c>
      <c r="D2592" s="35" t="s">
        <v>829</v>
      </c>
      <c r="E2592" s="35" t="s">
        <v>830</v>
      </c>
      <c r="F2592" s="34" t="s">
        <v>831</v>
      </c>
      <c r="G2592" s="36" t="s">
        <v>181</v>
      </c>
      <c r="H2592" s="34" t="s">
        <v>2116</v>
      </c>
      <c r="I2592" s="34" t="s">
        <v>231</v>
      </c>
      <c r="J2592" s="37">
        <v>46171.0</v>
      </c>
      <c r="K2592" s="35" t="s">
        <v>7774</v>
      </c>
      <c r="L2592" s="34">
        <v>2.0</v>
      </c>
      <c r="M2592" s="34" t="s">
        <v>1325</v>
      </c>
      <c r="N2592" s="38" t="s">
        <v>7775</v>
      </c>
      <c r="O2592" s="39" t="s">
        <v>7776</v>
      </c>
    </row>
    <row r="2593">
      <c r="A2593" s="32">
        <v>3021.0</v>
      </c>
      <c r="B2593" s="33">
        <v>46178.35072268518</v>
      </c>
      <c r="C2593" s="34" t="s">
        <v>760</v>
      </c>
      <c r="D2593" s="35" t="s">
        <v>863</v>
      </c>
      <c r="E2593" s="35" t="s">
        <v>63</v>
      </c>
      <c r="F2593" s="34" t="s">
        <v>864</v>
      </c>
      <c r="G2593" s="36" t="s">
        <v>181</v>
      </c>
      <c r="H2593" s="34" t="s">
        <v>6022</v>
      </c>
      <c r="I2593" s="34" t="s">
        <v>6026</v>
      </c>
      <c r="J2593" s="37">
        <v>46147.0</v>
      </c>
      <c r="K2593" s="35" t="s">
        <v>3287</v>
      </c>
      <c r="L2593" s="34">
        <v>3.0</v>
      </c>
      <c r="M2593" s="34" t="s">
        <v>1325</v>
      </c>
      <c r="N2593" s="38" t="s">
        <v>7777</v>
      </c>
      <c r="O2593" s="39" t="s">
        <v>7778</v>
      </c>
    </row>
    <row r="2594">
      <c r="A2594" s="32">
        <v>3022.0</v>
      </c>
      <c r="B2594" s="33">
        <v>46178.35094539352</v>
      </c>
      <c r="C2594" s="34" t="s">
        <v>760</v>
      </c>
      <c r="D2594" s="35" t="s">
        <v>4831</v>
      </c>
      <c r="E2594" s="35" t="s">
        <v>248</v>
      </c>
      <c r="F2594" s="34" t="s">
        <v>4832</v>
      </c>
      <c r="G2594" s="36" t="s">
        <v>181</v>
      </c>
      <c r="H2594" s="34" t="s">
        <v>6022</v>
      </c>
      <c r="I2594" s="34" t="s">
        <v>7779</v>
      </c>
      <c r="J2594" s="37">
        <v>46147.0</v>
      </c>
      <c r="K2594" s="35" t="s">
        <v>3287</v>
      </c>
      <c r="L2594" s="34">
        <v>3.0</v>
      </c>
      <c r="M2594" s="34" t="s">
        <v>1325</v>
      </c>
      <c r="N2594" s="38" t="s">
        <v>7780</v>
      </c>
      <c r="O2594" s="39" t="s">
        <v>7781</v>
      </c>
    </row>
    <row r="2595">
      <c r="A2595" s="32">
        <v>3024.0</v>
      </c>
      <c r="B2595" s="33">
        <v>46178.35288658565</v>
      </c>
      <c r="C2595" s="34" t="s">
        <v>760</v>
      </c>
      <c r="D2595" s="35" t="s">
        <v>829</v>
      </c>
      <c r="E2595" s="35" t="s">
        <v>830</v>
      </c>
      <c r="F2595" s="34" t="s">
        <v>831</v>
      </c>
      <c r="G2595" s="36" t="s">
        <v>181</v>
      </c>
      <c r="H2595" s="34" t="s">
        <v>6022</v>
      </c>
      <c r="I2595" s="34" t="s">
        <v>231</v>
      </c>
      <c r="J2595" s="37">
        <v>46147.0</v>
      </c>
      <c r="K2595" s="35" t="s">
        <v>3287</v>
      </c>
      <c r="L2595" s="34">
        <v>3.0</v>
      </c>
      <c r="M2595" s="34" t="s">
        <v>1325</v>
      </c>
      <c r="N2595" s="38" t="s">
        <v>7782</v>
      </c>
      <c r="O2595" s="39" t="s">
        <v>7783</v>
      </c>
    </row>
    <row r="2596">
      <c r="A2596" s="32">
        <v>3026.0</v>
      </c>
      <c r="B2596" s="33">
        <v>46178.35319689815</v>
      </c>
      <c r="C2596" s="34" t="s">
        <v>760</v>
      </c>
      <c r="D2596" s="35" t="s">
        <v>4379</v>
      </c>
      <c r="E2596" s="35" t="s">
        <v>118</v>
      </c>
      <c r="F2596" s="34" t="s">
        <v>4380</v>
      </c>
      <c r="G2596" s="36" t="s">
        <v>181</v>
      </c>
      <c r="H2596" s="34" t="s">
        <v>7784</v>
      </c>
      <c r="I2596" s="34" t="s">
        <v>231</v>
      </c>
      <c r="J2596" s="37">
        <v>46138.0</v>
      </c>
      <c r="K2596" s="35" t="s">
        <v>3192</v>
      </c>
      <c r="L2596" s="34">
        <v>8.0</v>
      </c>
      <c r="M2596" s="34" t="s">
        <v>33</v>
      </c>
      <c r="N2596" s="38" t="s">
        <v>7785</v>
      </c>
      <c r="O2596" s="39" t="s">
        <v>7786</v>
      </c>
    </row>
    <row r="2597">
      <c r="A2597" s="32">
        <v>3027.0</v>
      </c>
      <c r="B2597" s="33">
        <v>46178.35424965278</v>
      </c>
      <c r="C2597" s="34" t="s">
        <v>760</v>
      </c>
      <c r="D2597" s="35" t="s">
        <v>863</v>
      </c>
      <c r="E2597" s="35" t="s">
        <v>63</v>
      </c>
      <c r="F2597" s="34" t="s">
        <v>864</v>
      </c>
      <c r="G2597" s="36" t="s">
        <v>3171</v>
      </c>
      <c r="H2597" s="34" t="s">
        <v>7787</v>
      </c>
      <c r="I2597" s="34" t="s">
        <v>825</v>
      </c>
      <c r="J2597" s="37">
        <v>46165.0</v>
      </c>
      <c r="K2597" s="35" t="s">
        <v>7539</v>
      </c>
      <c r="L2597" s="34">
        <v>2.0</v>
      </c>
      <c r="M2597" s="34" t="s">
        <v>7788</v>
      </c>
      <c r="N2597" s="38" t="s">
        <v>7789</v>
      </c>
      <c r="O2597" s="39" t="s">
        <v>7790</v>
      </c>
    </row>
    <row r="2598">
      <c r="A2598" s="32">
        <v>3028.0</v>
      </c>
      <c r="B2598" s="33">
        <v>46178.354958553246</v>
      </c>
      <c r="C2598" s="34" t="s">
        <v>760</v>
      </c>
      <c r="D2598" s="35" t="s">
        <v>892</v>
      </c>
      <c r="E2598" s="35" t="s">
        <v>893</v>
      </c>
      <c r="F2598" s="34" t="s">
        <v>899</v>
      </c>
      <c r="G2598" s="36" t="s">
        <v>181</v>
      </c>
      <c r="H2598" s="34" t="s">
        <v>895</v>
      </c>
      <c r="I2598" s="34" t="s">
        <v>231</v>
      </c>
      <c r="J2598" s="37">
        <v>46121.0</v>
      </c>
      <c r="K2598" s="34" t="s">
        <v>33</v>
      </c>
      <c r="L2598" s="38" t="s">
        <v>7791</v>
      </c>
      <c r="M2598" s="34" t="s">
        <v>33</v>
      </c>
      <c r="N2598" s="38" t="s">
        <v>7791</v>
      </c>
      <c r="O2598" s="39" t="s">
        <v>7792</v>
      </c>
    </row>
    <row r="2599">
      <c r="A2599" s="32">
        <v>3029.0</v>
      </c>
      <c r="B2599" s="33">
        <v>46178.35509748843</v>
      </c>
      <c r="C2599" s="34" t="s">
        <v>760</v>
      </c>
      <c r="D2599" s="35" t="s">
        <v>4831</v>
      </c>
      <c r="E2599" s="35" t="s">
        <v>248</v>
      </c>
      <c r="F2599" s="34" t="s">
        <v>4832</v>
      </c>
      <c r="G2599" s="36" t="s">
        <v>181</v>
      </c>
      <c r="H2599" s="34" t="s">
        <v>895</v>
      </c>
      <c r="I2599" s="34" t="s">
        <v>231</v>
      </c>
      <c r="J2599" s="37">
        <v>46114.0</v>
      </c>
      <c r="K2599" s="35" t="s">
        <v>310</v>
      </c>
      <c r="L2599" s="34">
        <v>1.0</v>
      </c>
      <c r="M2599" s="34" t="s">
        <v>33</v>
      </c>
      <c r="N2599" s="38" t="s">
        <v>7793</v>
      </c>
      <c r="O2599" s="39" t="s">
        <v>7794</v>
      </c>
    </row>
    <row r="2600">
      <c r="A2600" s="32">
        <v>3030.0</v>
      </c>
      <c r="B2600" s="33">
        <v>46178.35601594907</v>
      </c>
      <c r="C2600" s="34" t="s">
        <v>760</v>
      </c>
      <c r="D2600" s="35" t="s">
        <v>4379</v>
      </c>
      <c r="E2600" s="35" t="s">
        <v>118</v>
      </c>
      <c r="F2600" s="34" t="s">
        <v>4380</v>
      </c>
      <c r="G2600" s="36" t="s">
        <v>181</v>
      </c>
      <c r="H2600" s="34" t="s">
        <v>7795</v>
      </c>
      <c r="I2600" s="34" t="s">
        <v>231</v>
      </c>
      <c r="J2600" s="37">
        <v>46164.0</v>
      </c>
      <c r="K2600" s="35" t="s">
        <v>753</v>
      </c>
      <c r="L2600" s="34">
        <v>2.0</v>
      </c>
      <c r="M2600" s="34" t="s">
        <v>3607</v>
      </c>
      <c r="N2600" s="38" t="s">
        <v>7796</v>
      </c>
      <c r="O2600" s="39" t="s">
        <v>7797</v>
      </c>
    </row>
    <row r="2601">
      <c r="A2601" s="32">
        <v>3031.0</v>
      </c>
      <c r="B2601" s="33">
        <v>46178.356687418986</v>
      </c>
      <c r="C2601" s="34" t="s">
        <v>760</v>
      </c>
      <c r="D2601" s="35" t="s">
        <v>4831</v>
      </c>
      <c r="E2601" s="35" t="s">
        <v>248</v>
      </c>
      <c r="F2601" s="34" t="s">
        <v>4832</v>
      </c>
      <c r="G2601" s="36" t="s">
        <v>181</v>
      </c>
      <c r="H2601" s="34" t="s">
        <v>895</v>
      </c>
      <c r="I2601" s="34" t="s">
        <v>231</v>
      </c>
      <c r="J2601" s="37">
        <v>46028.0</v>
      </c>
      <c r="K2601" s="35" t="s">
        <v>310</v>
      </c>
      <c r="L2601" s="34">
        <v>1.0</v>
      </c>
      <c r="M2601" s="34" t="s">
        <v>33</v>
      </c>
      <c r="N2601" s="38" t="s">
        <v>7798</v>
      </c>
      <c r="O2601" s="39" t="s">
        <v>7799</v>
      </c>
    </row>
    <row r="2602">
      <c r="A2602" s="32">
        <v>3032.0</v>
      </c>
      <c r="B2602" s="33">
        <v>46178.357653796294</v>
      </c>
      <c r="C2602" s="34" t="s">
        <v>760</v>
      </c>
      <c r="D2602" s="35" t="s">
        <v>4379</v>
      </c>
      <c r="E2602" s="35" t="s">
        <v>118</v>
      </c>
      <c r="F2602" s="34" t="s">
        <v>4380</v>
      </c>
      <c r="G2602" s="36" t="s">
        <v>181</v>
      </c>
      <c r="H2602" s="34" t="s">
        <v>5432</v>
      </c>
      <c r="I2602" s="34" t="s">
        <v>7800</v>
      </c>
      <c r="J2602" s="37">
        <v>46139.0</v>
      </c>
      <c r="K2602" s="35" t="s">
        <v>962</v>
      </c>
      <c r="L2602" s="34">
        <v>4.0</v>
      </c>
      <c r="M2602" s="34" t="s">
        <v>33</v>
      </c>
      <c r="N2602" s="38" t="s">
        <v>7801</v>
      </c>
      <c r="O2602" s="39" t="s">
        <v>7802</v>
      </c>
    </row>
    <row r="2603">
      <c r="A2603" s="32">
        <v>3033.0</v>
      </c>
      <c r="B2603" s="33">
        <v>46178.35804849537</v>
      </c>
      <c r="C2603" s="34" t="s">
        <v>15</v>
      </c>
      <c r="D2603" s="35" t="s">
        <v>2127</v>
      </c>
      <c r="E2603" s="35" t="s">
        <v>118</v>
      </c>
      <c r="F2603" s="34" t="s">
        <v>2128</v>
      </c>
      <c r="G2603" s="36" t="s">
        <v>19</v>
      </c>
      <c r="H2603" s="34" t="s">
        <v>5361</v>
      </c>
      <c r="I2603" s="34" t="s">
        <v>5362</v>
      </c>
      <c r="J2603" s="37">
        <v>46121.0</v>
      </c>
      <c r="K2603" s="35" t="s">
        <v>49</v>
      </c>
      <c r="L2603" s="34">
        <v>8.0</v>
      </c>
      <c r="M2603" s="34" t="s">
        <v>5363</v>
      </c>
      <c r="N2603" s="38" t="s">
        <v>7803</v>
      </c>
      <c r="O2603" s="39" t="s">
        <v>7804</v>
      </c>
    </row>
    <row r="2604">
      <c r="A2604" s="32">
        <v>3034.0</v>
      </c>
      <c r="B2604" s="33">
        <v>46178.359311064814</v>
      </c>
      <c r="C2604" s="34" t="s">
        <v>760</v>
      </c>
      <c r="D2604" s="35" t="s">
        <v>4831</v>
      </c>
      <c r="E2604" s="35" t="s">
        <v>248</v>
      </c>
      <c r="F2604" s="34" t="s">
        <v>4832</v>
      </c>
      <c r="G2604" s="36" t="s">
        <v>181</v>
      </c>
      <c r="H2604" s="34" t="s">
        <v>895</v>
      </c>
      <c r="I2604" s="34" t="s">
        <v>231</v>
      </c>
      <c r="J2604" s="37">
        <v>46100.0</v>
      </c>
      <c r="K2604" s="35" t="s">
        <v>310</v>
      </c>
      <c r="L2604" s="34">
        <v>1.0</v>
      </c>
      <c r="M2604" s="34" t="s">
        <v>33</v>
      </c>
      <c r="N2604" s="38" t="s">
        <v>7805</v>
      </c>
      <c r="O2604" s="39" t="s">
        <v>7806</v>
      </c>
    </row>
    <row r="2605">
      <c r="A2605" s="32">
        <v>3035.0</v>
      </c>
      <c r="B2605" s="33">
        <v>46178.359785532404</v>
      </c>
      <c r="C2605" s="34" t="s">
        <v>15</v>
      </c>
      <c r="D2605" s="35" t="s">
        <v>2127</v>
      </c>
      <c r="E2605" s="35" t="s">
        <v>118</v>
      </c>
      <c r="F2605" s="34" t="s">
        <v>2128</v>
      </c>
      <c r="G2605" s="36" t="s">
        <v>181</v>
      </c>
      <c r="H2605" s="34" t="s">
        <v>5500</v>
      </c>
      <c r="I2605" s="34" t="s">
        <v>231</v>
      </c>
      <c r="J2605" s="37">
        <v>46147.0</v>
      </c>
      <c r="K2605" s="35" t="s">
        <v>49</v>
      </c>
      <c r="L2605" s="34">
        <v>8.0</v>
      </c>
      <c r="M2605" s="34" t="s">
        <v>7807</v>
      </c>
      <c r="N2605" s="38" t="s">
        <v>7808</v>
      </c>
      <c r="O2605" s="39" t="s">
        <v>7809</v>
      </c>
    </row>
    <row r="2606">
      <c r="A2606" s="32">
        <v>3036.0</v>
      </c>
      <c r="B2606" s="33">
        <v>46178.36081450232</v>
      </c>
      <c r="C2606" s="34" t="s">
        <v>760</v>
      </c>
      <c r="D2606" s="35" t="s">
        <v>4831</v>
      </c>
      <c r="E2606" s="35" t="s">
        <v>248</v>
      </c>
      <c r="F2606" s="34" t="s">
        <v>4832</v>
      </c>
      <c r="G2606" s="36" t="s">
        <v>181</v>
      </c>
      <c r="H2606" s="34" t="s">
        <v>895</v>
      </c>
      <c r="I2606" s="34" t="s">
        <v>231</v>
      </c>
      <c r="J2606" s="37">
        <v>46163.0</v>
      </c>
      <c r="K2606" s="35" t="s">
        <v>310</v>
      </c>
      <c r="L2606" s="34">
        <v>1.0</v>
      </c>
      <c r="M2606" s="34" t="s">
        <v>33</v>
      </c>
      <c r="N2606" s="38" t="s">
        <v>7810</v>
      </c>
      <c r="O2606" s="39" t="s">
        <v>7811</v>
      </c>
    </row>
    <row r="2607">
      <c r="A2607" s="32">
        <v>3037.0</v>
      </c>
      <c r="B2607" s="33">
        <v>46178.38988271991</v>
      </c>
      <c r="C2607" s="34" t="s">
        <v>760</v>
      </c>
      <c r="D2607" s="35" t="s">
        <v>2670</v>
      </c>
      <c r="E2607" s="35" t="s">
        <v>1725</v>
      </c>
      <c r="F2607" s="34" t="s">
        <v>3956</v>
      </c>
      <c r="G2607" s="36" t="s">
        <v>181</v>
      </c>
      <c r="H2607" s="34" t="s">
        <v>1222</v>
      </c>
      <c r="I2607" s="34" t="s">
        <v>231</v>
      </c>
      <c r="J2607" s="37">
        <v>46035.0</v>
      </c>
      <c r="K2607" s="35" t="s">
        <v>4065</v>
      </c>
      <c r="L2607" s="34">
        <v>1.0</v>
      </c>
      <c r="M2607" s="34" t="s">
        <v>33</v>
      </c>
      <c r="N2607" s="38" t="s">
        <v>7812</v>
      </c>
      <c r="O2607" s="39" t="s">
        <v>7813</v>
      </c>
    </row>
    <row r="2608">
      <c r="A2608" s="32">
        <v>3038.0</v>
      </c>
      <c r="B2608" s="33">
        <v>46178.392070381946</v>
      </c>
      <c r="C2608" s="34" t="s">
        <v>760</v>
      </c>
      <c r="D2608" s="35" t="s">
        <v>2670</v>
      </c>
      <c r="E2608" s="35" t="s">
        <v>1725</v>
      </c>
      <c r="F2608" s="34" t="s">
        <v>3956</v>
      </c>
      <c r="G2608" s="36" t="s">
        <v>181</v>
      </c>
      <c r="H2608" s="34" t="s">
        <v>1222</v>
      </c>
      <c r="I2608" s="34" t="s">
        <v>231</v>
      </c>
      <c r="J2608" s="37">
        <v>46079.0</v>
      </c>
      <c r="K2608" s="35" t="s">
        <v>4065</v>
      </c>
      <c r="L2608" s="34">
        <v>1.0</v>
      </c>
      <c r="M2608" s="34" t="s">
        <v>33</v>
      </c>
      <c r="N2608" s="38" t="s">
        <v>7814</v>
      </c>
      <c r="O2608" s="39" t="s">
        <v>7815</v>
      </c>
    </row>
    <row r="2609">
      <c r="A2609" s="32">
        <v>3039.0</v>
      </c>
      <c r="B2609" s="33">
        <v>46178.39626445602</v>
      </c>
      <c r="C2609" s="34" t="s">
        <v>760</v>
      </c>
      <c r="D2609" s="35" t="s">
        <v>2670</v>
      </c>
      <c r="E2609" s="35" t="s">
        <v>1725</v>
      </c>
      <c r="F2609" s="34" t="s">
        <v>3956</v>
      </c>
      <c r="G2609" s="36" t="s">
        <v>181</v>
      </c>
      <c r="H2609" s="34" t="s">
        <v>1222</v>
      </c>
      <c r="I2609" s="34" t="s">
        <v>231</v>
      </c>
      <c r="J2609" s="37">
        <v>46057.0</v>
      </c>
      <c r="K2609" s="35" t="s">
        <v>4065</v>
      </c>
      <c r="L2609" s="34">
        <v>1.0</v>
      </c>
      <c r="M2609" s="34" t="s">
        <v>33</v>
      </c>
      <c r="N2609" s="38" t="s">
        <v>7816</v>
      </c>
      <c r="O2609" s="39" t="s">
        <v>7817</v>
      </c>
    </row>
    <row r="2610">
      <c r="A2610" s="32">
        <v>3040.0</v>
      </c>
      <c r="B2610" s="33">
        <v>46178.39784553241</v>
      </c>
      <c r="C2610" s="34" t="s">
        <v>760</v>
      </c>
      <c r="D2610" s="35" t="s">
        <v>2670</v>
      </c>
      <c r="E2610" s="35" t="s">
        <v>1725</v>
      </c>
      <c r="F2610" s="34" t="s">
        <v>3956</v>
      </c>
      <c r="G2610" s="36" t="s">
        <v>181</v>
      </c>
      <c r="H2610" s="34" t="s">
        <v>1222</v>
      </c>
      <c r="I2610" s="34" t="s">
        <v>231</v>
      </c>
      <c r="J2610" s="37">
        <v>46111.0</v>
      </c>
      <c r="K2610" s="35" t="s">
        <v>4065</v>
      </c>
      <c r="L2610" s="34">
        <v>1.0</v>
      </c>
      <c r="M2610" s="34" t="s">
        <v>33</v>
      </c>
      <c r="N2610" s="38" t="s">
        <v>7818</v>
      </c>
      <c r="O2610" s="39" t="s">
        <v>7819</v>
      </c>
    </row>
    <row r="2611">
      <c r="A2611" s="32">
        <v>3041.0</v>
      </c>
      <c r="B2611" s="33">
        <v>46178.40017583333</v>
      </c>
      <c r="C2611" s="34" t="s">
        <v>26</v>
      </c>
      <c r="D2611" s="35" t="s">
        <v>3541</v>
      </c>
      <c r="E2611" s="35" t="s">
        <v>1197</v>
      </c>
      <c r="F2611" s="34" t="s">
        <v>3542</v>
      </c>
      <c r="G2611" s="36" t="s">
        <v>84</v>
      </c>
      <c r="H2611" s="34" t="s">
        <v>85</v>
      </c>
      <c r="I2611" s="34" t="s">
        <v>7820</v>
      </c>
      <c r="J2611" s="37">
        <v>46074.0</v>
      </c>
      <c r="K2611" s="35" t="s">
        <v>694</v>
      </c>
      <c r="L2611" s="34">
        <v>8.0</v>
      </c>
      <c r="M2611" s="34" t="s">
        <v>7821</v>
      </c>
      <c r="N2611" s="38" t="s">
        <v>7822</v>
      </c>
      <c r="O2611" s="39" t="s">
        <v>7823</v>
      </c>
    </row>
    <row r="2612">
      <c r="A2612" s="32">
        <v>3042.0</v>
      </c>
      <c r="B2612" s="33">
        <v>46178.40138730324</v>
      </c>
      <c r="C2612" s="34" t="s">
        <v>26</v>
      </c>
      <c r="D2612" s="35" t="s">
        <v>3547</v>
      </c>
      <c r="E2612" s="35" t="s">
        <v>781</v>
      </c>
      <c r="F2612" s="34" t="s">
        <v>3548</v>
      </c>
      <c r="G2612" s="36" t="s">
        <v>19</v>
      </c>
      <c r="H2612" s="34" t="s">
        <v>5410</v>
      </c>
      <c r="I2612" s="34" t="s">
        <v>5411</v>
      </c>
      <c r="J2612" s="37">
        <v>46136.0</v>
      </c>
      <c r="K2612" s="35" t="s">
        <v>5412</v>
      </c>
      <c r="L2612" s="34">
        <v>8.0</v>
      </c>
      <c r="M2612" s="34" t="s">
        <v>87</v>
      </c>
      <c r="N2612" s="38" t="s">
        <v>7824</v>
      </c>
      <c r="O2612" s="39" t="s">
        <v>7825</v>
      </c>
    </row>
    <row r="2613">
      <c r="A2613" s="32">
        <v>3044.0</v>
      </c>
      <c r="B2613" s="33">
        <v>46178.40201991898</v>
      </c>
      <c r="C2613" s="34" t="s">
        <v>26</v>
      </c>
      <c r="D2613" s="35" t="s">
        <v>1780</v>
      </c>
      <c r="E2613" s="35" t="s">
        <v>817</v>
      </c>
      <c r="F2613" s="34" t="s">
        <v>1781</v>
      </c>
      <c r="G2613" s="36" t="s">
        <v>19</v>
      </c>
      <c r="H2613" s="34" t="s">
        <v>5410</v>
      </c>
      <c r="I2613" s="34" t="s">
        <v>5411</v>
      </c>
      <c r="J2613" s="37">
        <v>46138.0</v>
      </c>
      <c r="K2613" s="35" t="s">
        <v>49</v>
      </c>
      <c r="L2613" s="34">
        <v>8.0</v>
      </c>
      <c r="M2613" s="34" t="s">
        <v>87</v>
      </c>
      <c r="N2613" s="38" t="s">
        <v>7826</v>
      </c>
      <c r="O2613" s="39" t="s">
        <v>7827</v>
      </c>
    </row>
    <row r="2614">
      <c r="A2614" s="32">
        <v>3045.0</v>
      </c>
      <c r="B2614" s="33">
        <v>46178.402775891205</v>
      </c>
      <c r="C2614" s="34" t="s">
        <v>26</v>
      </c>
      <c r="D2614" s="35" t="s">
        <v>3547</v>
      </c>
      <c r="E2614" s="35" t="s">
        <v>781</v>
      </c>
      <c r="F2614" s="34" t="s">
        <v>3548</v>
      </c>
      <c r="G2614" s="36" t="s">
        <v>19</v>
      </c>
      <c r="H2614" s="34" t="s">
        <v>5410</v>
      </c>
      <c r="I2614" s="34" t="s">
        <v>5411</v>
      </c>
      <c r="J2614" s="37">
        <v>46137.0</v>
      </c>
      <c r="K2614" s="35" t="s">
        <v>49</v>
      </c>
      <c r="L2614" s="34">
        <v>8.0</v>
      </c>
      <c r="M2614" s="34" t="s">
        <v>87</v>
      </c>
      <c r="N2614" s="38" t="s">
        <v>7828</v>
      </c>
      <c r="O2614" s="39" t="s">
        <v>7829</v>
      </c>
    </row>
    <row r="2615">
      <c r="A2615" s="32">
        <v>3046.0</v>
      </c>
      <c r="B2615" s="33">
        <v>46178.403727372686</v>
      </c>
      <c r="C2615" s="34" t="s">
        <v>26</v>
      </c>
      <c r="D2615" s="35" t="s">
        <v>3547</v>
      </c>
      <c r="E2615" s="35" t="s">
        <v>781</v>
      </c>
      <c r="F2615" s="34" t="s">
        <v>3548</v>
      </c>
      <c r="G2615" s="36" t="s">
        <v>19</v>
      </c>
      <c r="H2615" s="34" t="s">
        <v>5410</v>
      </c>
      <c r="I2615" s="34" t="s">
        <v>5411</v>
      </c>
      <c r="J2615" s="37">
        <v>46138.0</v>
      </c>
      <c r="K2615" s="35" t="s">
        <v>49</v>
      </c>
      <c r="L2615" s="34">
        <v>8.0</v>
      </c>
      <c r="M2615" s="34" t="s">
        <v>87</v>
      </c>
      <c r="N2615" s="38" t="s">
        <v>7830</v>
      </c>
      <c r="O2615" s="39" t="s">
        <v>7831</v>
      </c>
    </row>
    <row r="2616">
      <c r="A2616" s="32">
        <v>3047.0</v>
      </c>
      <c r="B2616" s="33">
        <v>46178.40613765046</v>
      </c>
      <c r="C2616" s="34" t="s">
        <v>26</v>
      </c>
      <c r="D2616" s="35" t="s">
        <v>3547</v>
      </c>
      <c r="E2616" s="35" t="s">
        <v>781</v>
      </c>
      <c r="F2616" s="34" t="s">
        <v>3548</v>
      </c>
      <c r="G2616" s="36" t="s">
        <v>19</v>
      </c>
      <c r="H2616" s="34" t="s">
        <v>7832</v>
      </c>
      <c r="I2616" s="34" t="s">
        <v>2029</v>
      </c>
      <c r="J2616" s="37">
        <v>46078.0</v>
      </c>
      <c r="K2616" s="35" t="s">
        <v>2179</v>
      </c>
      <c r="L2616" s="34">
        <v>8.0</v>
      </c>
      <c r="M2616" s="34" t="s">
        <v>87</v>
      </c>
      <c r="N2616" s="38" t="s">
        <v>7833</v>
      </c>
      <c r="O2616" s="39" t="s">
        <v>7834</v>
      </c>
    </row>
    <row r="2617">
      <c r="A2617" s="32">
        <v>3048.0</v>
      </c>
      <c r="B2617" s="33">
        <v>46178.40758575231</v>
      </c>
      <c r="C2617" s="34" t="s">
        <v>26</v>
      </c>
      <c r="D2617" s="35" t="s">
        <v>1247</v>
      </c>
      <c r="E2617" s="35" t="s">
        <v>1248</v>
      </c>
      <c r="F2617" s="34" t="s">
        <v>1249</v>
      </c>
      <c r="G2617" s="36" t="s">
        <v>19</v>
      </c>
      <c r="H2617" s="34" t="s">
        <v>5410</v>
      </c>
      <c r="I2617" s="34" t="s">
        <v>5411</v>
      </c>
      <c r="J2617" s="37">
        <v>46138.0</v>
      </c>
      <c r="K2617" s="35" t="s">
        <v>49</v>
      </c>
      <c r="L2617" s="34">
        <v>8.0</v>
      </c>
      <c r="M2617" s="34" t="s">
        <v>87</v>
      </c>
      <c r="N2617" s="38" t="s">
        <v>7835</v>
      </c>
      <c r="O2617" s="39" t="s">
        <v>7836</v>
      </c>
    </row>
    <row r="2618">
      <c r="A2618" s="32">
        <v>3049.0</v>
      </c>
      <c r="B2618" s="33">
        <v>46178.40759990741</v>
      </c>
      <c r="C2618" s="34" t="s">
        <v>760</v>
      </c>
      <c r="D2618" s="35" t="s">
        <v>2670</v>
      </c>
      <c r="E2618" s="35" t="s">
        <v>1725</v>
      </c>
      <c r="F2618" s="34" t="s">
        <v>3956</v>
      </c>
      <c r="G2618" s="36" t="s">
        <v>181</v>
      </c>
      <c r="H2618" s="34" t="s">
        <v>1222</v>
      </c>
      <c r="I2618" s="34" t="s">
        <v>231</v>
      </c>
      <c r="J2618" s="37">
        <v>46106.0</v>
      </c>
      <c r="K2618" s="35" t="s">
        <v>4065</v>
      </c>
      <c r="L2618" s="34">
        <v>1.0</v>
      </c>
      <c r="M2618" s="34" t="s">
        <v>33</v>
      </c>
      <c r="N2618" s="38" t="s">
        <v>7837</v>
      </c>
      <c r="O2618" s="39" t="s">
        <v>7838</v>
      </c>
    </row>
    <row r="2619">
      <c r="A2619" s="32">
        <v>3050.0</v>
      </c>
      <c r="B2619" s="33">
        <v>46178.41100315972</v>
      </c>
      <c r="C2619" s="34" t="s">
        <v>760</v>
      </c>
      <c r="D2619" s="35" t="s">
        <v>2670</v>
      </c>
      <c r="E2619" s="35" t="s">
        <v>1725</v>
      </c>
      <c r="F2619" s="34" t="s">
        <v>3956</v>
      </c>
      <c r="G2619" s="36" t="s">
        <v>181</v>
      </c>
      <c r="H2619" s="34" t="s">
        <v>1222</v>
      </c>
      <c r="I2619" s="34" t="s">
        <v>231</v>
      </c>
      <c r="J2619" s="37">
        <v>46128.0</v>
      </c>
      <c r="K2619" s="35" t="s">
        <v>4065</v>
      </c>
      <c r="L2619" s="34">
        <v>1.0</v>
      </c>
      <c r="M2619" s="34" t="s">
        <v>33</v>
      </c>
      <c r="N2619" s="38" t="s">
        <v>7839</v>
      </c>
      <c r="O2619" s="39" t="s">
        <v>7840</v>
      </c>
    </row>
    <row r="2620">
      <c r="A2620" s="32">
        <v>3051.0</v>
      </c>
      <c r="B2620" s="33">
        <v>46178.4128671875</v>
      </c>
      <c r="C2620" s="34" t="s">
        <v>26</v>
      </c>
      <c r="D2620" s="35" t="s">
        <v>2401</v>
      </c>
      <c r="E2620" s="35" t="s">
        <v>799</v>
      </c>
      <c r="F2620" s="34" t="s">
        <v>2402</v>
      </c>
      <c r="G2620" s="36" t="s">
        <v>84</v>
      </c>
      <c r="H2620" s="34" t="s">
        <v>85</v>
      </c>
      <c r="I2620" s="34" t="s">
        <v>5419</v>
      </c>
      <c r="J2620" s="37">
        <v>46177.0</v>
      </c>
      <c r="K2620" s="35" t="s">
        <v>7841</v>
      </c>
      <c r="L2620" s="34">
        <v>8.0</v>
      </c>
      <c r="M2620" s="34" t="s">
        <v>860</v>
      </c>
      <c r="N2620" s="38" t="s">
        <v>7842</v>
      </c>
      <c r="O2620" s="39" t="s">
        <v>7843</v>
      </c>
    </row>
    <row r="2621">
      <c r="A2621" s="32">
        <v>3053.0</v>
      </c>
      <c r="B2621" s="33">
        <v>46178.417301134265</v>
      </c>
      <c r="C2621" s="34" t="s">
        <v>760</v>
      </c>
      <c r="D2621" s="35" t="s">
        <v>2670</v>
      </c>
      <c r="E2621" s="35" t="s">
        <v>1725</v>
      </c>
      <c r="F2621" s="34" t="s">
        <v>3956</v>
      </c>
      <c r="G2621" s="36" t="s">
        <v>181</v>
      </c>
      <c r="H2621" s="34" t="s">
        <v>1222</v>
      </c>
      <c r="I2621" s="34" t="s">
        <v>231</v>
      </c>
      <c r="J2621" s="37">
        <v>46107.0</v>
      </c>
      <c r="K2621" s="35" t="s">
        <v>4065</v>
      </c>
      <c r="L2621" s="34">
        <v>1.0</v>
      </c>
      <c r="M2621" s="34" t="s">
        <v>33</v>
      </c>
      <c r="N2621" s="38" t="s">
        <v>7844</v>
      </c>
      <c r="O2621" s="39" t="s">
        <v>7845</v>
      </c>
    </row>
    <row r="2622">
      <c r="A2622" s="32">
        <v>3054.0</v>
      </c>
      <c r="B2622" s="33">
        <v>46178.41768731481</v>
      </c>
      <c r="C2622" s="34" t="s">
        <v>26</v>
      </c>
      <c r="D2622" s="35" t="s">
        <v>3030</v>
      </c>
      <c r="E2622" s="35" t="s">
        <v>664</v>
      </c>
      <c r="F2622" s="34" t="s">
        <v>3031</v>
      </c>
      <c r="G2622" s="36" t="s">
        <v>84</v>
      </c>
      <c r="H2622" s="34" t="s">
        <v>85</v>
      </c>
      <c r="I2622" s="34" t="s">
        <v>3375</v>
      </c>
      <c r="J2622" s="37">
        <v>46177.0</v>
      </c>
      <c r="K2622" s="35" t="s">
        <v>732</v>
      </c>
      <c r="L2622" s="34">
        <v>8.0</v>
      </c>
      <c r="M2622" s="34" t="s">
        <v>860</v>
      </c>
      <c r="N2622" s="38" t="s">
        <v>7846</v>
      </c>
      <c r="O2622" s="39" t="s">
        <v>7847</v>
      </c>
    </row>
    <row r="2623">
      <c r="A2623" s="32">
        <v>3055.0</v>
      </c>
      <c r="B2623" s="33">
        <v>46178.41981925926</v>
      </c>
      <c r="C2623" s="34" t="s">
        <v>26</v>
      </c>
      <c r="D2623" s="35" t="s">
        <v>1041</v>
      </c>
      <c r="E2623" s="35" t="s">
        <v>1042</v>
      </c>
      <c r="F2623" s="34" t="s">
        <v>1043</v>
      </c>
      <c r="G2623" s="36" t="s">
        <v>84</v>
      </c>
      <c r="H2623" s="34" t="s">
        <v>85</v>
      </c>
      <c r="I2623" s="34" t="s">
        <v>7848</v>
      </c>
      <c r="J2623" s="37">
        <v>46177.0</v>
      </c>
      <c r="K2623" s="35" t="s">
        <v>7298</v>
      </c>
      <c r="L2623" s="34">
        <v>8.0</v>
      </c>
      <c r="M2623" s="34" t="s">
        <v>860</v>
      </c>
      <c r="N2623" s="38" t="s">
        <v>7849</v>
      </c>
      <c r="O2623" s="39" t="s">
        <v>7850</v>
      </c>
    </row>
    <row r="2624">
      <c r="A2624" s="32">
        <v>3056.0</v>
      </c>
      <c r="B2624" s="33">
        <v>46178.41999898148</v>
      </c>
      <c r="C2624" s="34" t="s">
        <v>26</v>
      </c>
      <c r="D2624" s="35" t="s">
        <v>2202</v>
      </c>
      <c r="E2624" s="35" t="s">
        <v>574</v>
      </c>
      <c r="F2624" s="34" t="s">
        <v>2203</v>
      </c>
      <c r="G2624" s="36" t="s">
        <v>84</v>
      </c>
      <c r="H2624" s="34" t="s">
        <v>85</v>
      </c>
      <c r="I2624" s="34" t="s">
        <v>456</v>
      </c>
      <c r="J2624" s="37">
        <v>46175.0</v>
      </c>
      <c r="K2624" s="35" t="s">
        <v>5110</v>
      </c>
      <c r="L2624" s="34">
        <v>8.0</v>
      </c>
      <c r="M2624" s="34" t="s">
        <v>860</v>
      </c>
      <c r="N2624" s="38" t="s">
        <v>7851</v>
      </c>
      <c r="O2624" s="39" t="s">
        <v>7852</v>
      </c>
    </row>
    <row r="2625">
      <c r="A2625" s="32">
        <v>3057.0</v>
      </c>
      <c r="B2625" s="33">
        <v>46178.42030324074</v>
      </c>
      <c r="C2625" s="34" t="s">
        <v>26</v>
      </c>
      <c r="D2625" s="35" t="s">
        <v>918</v>
      </c>
      <c r="E2625" s="35" t="s">
        <v>919</v>
      </c>
      <c r="F2625" s="34" t="s">
        <v>920</v>
      </c>
      <c r="G2625" s="36" t="s">
        <v>181</v>
      </c>
      <c r="H2625" s="34" t="s">
        <v>6010</v>
      </c>
      <c r="I2625" s="34" t="s">
        <v>6011</v>
      </c>
      <c r="J2625" s="37">
        <v>46147.0</v>
      </c>
      <c r="K2625" s="35" t="s">
        <v>6012</v>
      </c>
      <c r="L2625" s="34">
        <v>3.0</v>
      </c>
      <c r="M2625" s="34" t="s">
        <v>1325</v>
      </c>
      <c r="N2625" s="38" t="s">
        <v>7853</v>
      </c>
      <c r="O2625" s="39" t="s">
        <v>7854</v>
      </c>
    </row>
    <row r="2626">
      <c r="A2626" s="32">
        <v>3059.0</v>
      </c>
      <c r="B2626" s="33">
        <v>46178.42228067129</v>
      </c>
      <c r="C2626" s="34" t="s">
        <v>26</v>
      </c>
      <c r="D2626" s="35" t="s">
        <v>918</v>
      </c>
      <c r="E2626" s="35" t="s">
        <v>919</v>
      </c>
      <c r="F2626" s="34" t="s">
        <v>920</v>
      </c>
      <c r="G2626" s="36" t="s">
        <v>19</v>
      </c>
      <c r="H2626" s="34" t="s">
        <v>5653</v>
      </c>
      <c r="I2626" s="34" t="s">
        <v>5848</v>
      </c>
      <c r="J2626" s="37">
        <v>46078.0</v>
      </c>
      <c r="K2626" s="35" t="s">
        <v>2179</v>
      </c>
      <c r="L2626" s="34">
        <v>8.0</v>
      </c>
      <c r="M2626" s="34" t="s">
        <v>87</v>
      </c>
      <c r="N2626" s="38" t="s">
        <v>7855</v>
      </c>
      <c r="O2626" s="39" t="s">
        <v>7856</v>
      </c>
    </row>
    <row r="2627">
      <c r="A2627" s="32">
        <v>3060.0</v>
      </c>
      <c r="B2627" s="33">
        <v>46178.423861655094</v>
      </c>
      <c r="C2627" s="34" t="s">
        <v>26</v>
      </c>
      <c r="D2627" s="35" t="s">
        <v>3077</v>
      </c>
      <c r="E2627" s="35" t="s">
        <v>396</v>
      </c>
      <c r="F2627" s="34" t="s">
        <v>3078</v>
      </c>
      <c r="G2627" s="36" t="s">
        <v>181</v>
      </c>
      <c r="H2627" s="34" t="s">
        <v>5432</v>
      </c>
      <c r="I2627" s="34" t="s">
        <v>1211</v>
      </c>
      <c r="J2627" s="37">
        <v>46135.0</v>
      </c>
      <c r="K2627" s="35" t="s">
        <v>962</v>
      </c>
      <c r="L2627" s="34">
        <v>4.0</v>
      </c>
      <c r="M2627" s="34" t="s">
        <v>33</v>
      </c>
      <c r="N2627" s="38" t="s">
        <v>7857</v>
      </c>
      <c r="O2627" s="39" t="s">
        <v>7858</v>
      </c>
    </row>
    <row r="2628">
      <c r="A2628" s="32">
        <v>3061.0</v>
      </c>
      <c r="B2628" s="33">
        <v>46178.42491420139</v>
      </c>
      <c r="C2628" s="34" t="s">
        <v>26</v>
      </c>
      <c r="D2628" s="35" t="s">
        <v>1247</v>
      </c>
      <c r="E2628" s="35" t="s">
        <v>1248</v>
      </c>
      <c r="F2628" s="34" t="s">
        <v>1249</v>
      </c>
      <c r="G2628" s="36" t="s">
        <v>19</v>
      </c>
      <c r="H2628" s="34" t="s">
        <v>5410</v>
      </c>
      <c r="I2628" s="34" t="s">
        <v>5411</v>
      </c>
      <c r="J2628" s="37">
        <v>46138.0</v>
      </c>
      <c r="K2628" s="35" t="s">
        <v>49</v>
      </c>
      <c r="L2628" s="34">
        <v>8.0</v>
      </c>
      <c r="M2628" s="34" t="s">
        <v>87</v>
      </c>
      <c r="N2628" s="38" t="s">
        <v>7859</v>
      </c>
      <c r="O2628" s="39" t="s">
        <v>7860</v>
      </c>
    </row>
    <row r="2629">
      <c r="A2629" s="32">
        <v>3062.0</v>
      </c>
      <c r="B2629" s="33">
        <v>46178.42540356482</v>
      </c>
      <c r="C2629" s="34" t="s">
        <v>26</v>
      </c>
      <c r="D2629" s="35" t="s">
        <v>2202</v>
      </c>
      <c r="E2629" s="35" t="s">
        <v>574</v>
      </c>
      <c r="F2629" s="34" t="s">
        <v>2203</v>
      </c>
      <c r="G2629" s="36" t="s">
        <v>19</v>
      </c>
      <c r="H2629" s="34" t="s">
        <v>5653</v>
      </c>
      <c r="I2629" s="34" t="s">
        <v>5862</v>
      </c>
      <c r="J2629" s="37">
        <v>46078.0</v>
      </c>
      <c r="K2629" s="35" t="s">
        <v>2179</v>
      </c>
      <c r="L2629" s="34">
        <v>8.0</v>
      </c>
      <c r="M2629" s="34" t="s">
        <v>87</v>
      </c>
      <c r="N2629" s="38" t="s">
        <v>7861</v>
      </c>
      <c r="O2629" s="39" t="s">
        <v>7862</v>
      </c>
    </row>
    <row r="2630">
      <c r="A2630" s="32">
        <v>3064.0</v>
      </c>
      <c r="B2630" s="33">
        <v>46178.428304166664</v>
      </c>
      <c r="C2630" s="34" t="s">
        <v>760</v>
      </c>
      <c r="D2630" s="35" t="s">
        <v>5157</v>
      </c>
      <c r="E2630" s="35" t="s">
        <v>5158</v>
      </c>
      <c r="F2630" s="34" t="s">
        <v>6670</v>
      </c>
      <c r="G2630" s="36" t="s">
        <v>181</v>
      </c>
      <c r="H2630" s="34" t="s">
        <v>7863</v>
      </c>
      <c r="I2630" s="34" t="s">
        <v>7864</v>
      </c>
      <c r="J2630" s="37">
        <v>46177.0</v>
      </c>
      <c r="K2630" s="35" t="s">
        <v>7865</v>
      </c>
      <c r="L2630" s="34">
        <v>2.0</v>
      </c>
      <c r="M2630" s="34" t="s">
        <v>6279</v>
      </c>
      <c r="N2630" s="38" t="s">
        <v>7866</v>
      </c>
      <c r="O2630" s="39" t="s">
        <v>7867</v>
      </c>
    </row>
    <row r="2631">
      <c r="A2631" s="32">
        <v>3066.0</v>
      </c>
      <c r="B2631" s="33">
        <v>46178.43002799769</v>
      </c>
      <c r="C2631" s="34" t="s">
        <v>26</v>
      </c>
      <c r="D2631" s="35" t="s">
        <v>1542</v>
      </c>
      <c r="E2631" s="35" t="s">
        <v>737</v>
      </c>
      <c r="F2631" s="34" t="s">
        <v>1543</v>
      </c>
      <c r="G2631" s="36" t="s">
        <v>181</v>
      </c>
      <c r="H2631" s="34" t="s">
        <v>7868</v>
      </c>
      <c r="I2631" s="34" t="s">
        <v>6026</v>
      </c>
      <c r="J2631" s="37">
        <v>46147.0</v>
      </c>
      <c r="K2631" s="35" t="s">
        <v>3287</v>
      </c>
      <c r="L2631" s="34">
        <v>3.0</v>
      </c>
      <c r="M2631" s="34" t="s">
        <v>931</v>
      </c>
      <c r="N2631" s="38" t="s">
        <v>7869</v>
      </c>
      <c r="O2631" s="39" t="s">
        <v>7870</v>
      </c>
    </row>
    <row r="2632">
      <c r="A2632" s="32">
        <v>3067.0</v>
      </c>
      <c r="B2632" s="33">
        <v>46178.43173237269</v>
      </c>
      <c r="C2632" s="34" t="s">
        <v>26</v>
      </c>
      <c r="D2632" s="35" t="s">
        <v>1007</v>
      </c>
      <c r="E2632" s="35" t="s">
        <v>479</v>
      </c>
      <c r="F2632" s="34" t="s">
        <v>480</v>
      </c>
      <c r="G2632" s="36" t="s">
        <v>84</v>
      </c>
      <c r="H2632" s="34" t="s">
        <v>85</v>
      </c>
      <c r="I2632" s="34" t="s">
        <v>5419</v>
      </c>
      <c r="J2632" s="37">
        <v>46177.0</v>
      </c>
      <c r="K2632" s="35" t="s">
        <v>7871</v>
      </c>
      <c r="L2632" s="34">
        <v>8.0</v>
      </c>
      <c r="M2632" s="34" t="s">
        <v>860</v>
      </c>
      <c r="N2632" s="38" t="s">
        <v>7872</v>
      </c>
      <c r="O2632" s="39" t="s">
        <v>7873</v>
      </c>
    </row>
    <row r="2633">
      <c r="A2633" s="32">
        <v>3068.0</v>
      </c>
      <c r="B2633" s="33">
        <v>46178.43345778935</v>
      </c>
      <c r="C2633" s="34" t="s">
        <v>26</v>
      </c>
      <c r="D2633" s="35" t="s">
        <v>2247</v>
      </c>
      <c r="E2633" s="35" t="s">
        <v>893</v>
      </c>
      <c r="F2633" s="34" t="s">
        <v>2248</v>
      </c>
      <c r="G2633" s="36" t="s">
        <v>181</v>
      </c>
      <c r="H2633" s="34" t="s">
        <v>7874</v>
      </c>
      <c r="I2633" s="34" t="s">
        <v>231</v>
      </c>
      <c r="J2633" s="37">
        <v>46176.0</v>
      </c>
      <c r="K2633" s="35" t="s">
        <v>1458</v>
      </c>
      <c r="L2633" s="34">
        <v>1.0</v>
      </c>
      <c r="M2633" s="34" t="s">
        <v>1559</v>
      </c>
      <c r="N2633" s="38" t="s">
        <v>7875</v>
      </c>
      <c r="O2633" s="39" t="s">
        <v>7876</v>
      </c>
    </row>
    <row r="2634">
      <c r="A2634" s="32">
        <v>3069.0</v>
      </c>
      <c r="B2634" s="33">
        <v>46178.43426898148</v>
      </c>
      <c r="C2634" s="34" t="s">
        <v>26</v>
      </c>
      <c r="D2634" s="35" t="s">
        <v>2389</v>
      </c>
      <c r="E2634" s="35" t="s">
        <v>1764</v>
      </c>
      <c r="F2634" s="34" t="s">
        <v>2390</v>
      </c>
      <c r="G2634" s="36" t="s">
        <v>19</v>
      </c>
      <c r="H2634" s="34" t="s">
        <v>5653</v>
      </c>
      <c r="I2634" s="34" t="s">
        <v>7186</v>
      </c>
      <c r="J2634" s="37">
        <v>46078.0</v>
      </c>
      <c r="K2634" s="35" t="s">
        <v>2179</v>
      </c>
      <c r="L2634" s="34">
        <v>8.0</v>
      </c>
      <c r="M2634" s="34" t="s">
        <v>87</v>
      </c>
      <c r="N2634" s="38" t="s">
        <v>7877</v>
      </c>
      <c r="O2634" s="39" t="s">
        <v>7878</v>
      </c>
    </row>
    <row r="2635">
      <c r="A2635" s="32">
        <v>3070.0</v>
      </c>
      <c r="B2635" s="33">
        <v>46178.434549004625</v>
      </c>
      <c r="C2635" s="34" t="s">
        <v>26</v>
      </c>
      <c r="D2635" s="35" t="s">
        <v>274</v>
      </c>
      <c r="E2635" s="35" t="s">
        <v>228</v>
      </c>
      <c r="F2635" s="34" t="s">
        <v>275</v>
      </c>
      <c r="G2635" s="36" t="s">
        <v>181</v>
      </c>
      <c r="H2635" s="34" t="s">
        <v>7874</v>
      </c>
      <c r="I2635" s="34" t="s">
        <v>1211</v>
      </c>
      <c r="J2635" s="37">
        <v>46177.0</v>
      </c>
      <c r="K2635" s="35" t="s">
        <v>1458</v>
      </c>
      <c r="L2635" s="34">
        <v>1.0</v>
      </c>
      <c r="M2635" s="34" t="s">
        <v>1559</v>
      </c>
      <c r="N2635" s="38" t="s">
        <v>7879</v>
      </c>
      <c r="O2635" s="39" t="s">
        <v>7880</v>
      </c>
    </row>
    <row r="2636">
      <c r="A2636" s="32">
        <v>3071.0</v>
      </c>
      <c r="B2636" s="33">
        <v>46178.434576064814</v>
      </c>
      <c r="C2636" s="34" t="s">
        <v>26</v>
      </c>
      <c r="D2636" s="35" t="s">
        <v>213</v>
      </c>
      <c r="E2636" s="35" t="s">
        <v>214</v>
      </c>
      <c r="F2636" s="34" t="s">
        <v>215</v>
      </c>
      <c r="G2636" s="36" t="s">
        <v>181</v>
      </c>
      <c r="H2636" s="34" t="s">
        <v>7881</v>
      </c>
      <c r="I2636" s="34" t="s">
        <v>231</v>
      </c>
      <c r="J2636" s="37">
        <v>46176.0</v>
      </c>
      <c r="K2636" s="35" t="s">
        <v>1458</v>
      </c>
      <c r="L2636" s="34">
        <v>1.0</v>
      </c>
      <c r="M2636" s="34" t="s">
        <v>7882</v>
      </c>
      <c r="N2636" s="38" t="s">
        <v>7883</v>
      </c>
      <c r="O2636" s="39" t="s">
        <v>7884</v>
      </c>
    </row>
    <row r="2637">
      <c r="A2637" s="32">
        <v>3073.0</v>
      </c>
      <c r="B2637" s="33">
        <v>46178.435430937505</v>
      </c>
      <c r="C2637" s="34" t="s">
        <v>26</v>
      </c>
      <c r="D2637" s="35" t="s">
        <v>1007</v>
      </c>
      <c r="E2637" s="35" t="s">
        <v>479</v>
      </c>
      <c r="F2637" s="34" t="s">
        <v>480</v>
      </c>
      <c r="G2637" s="36" t="s">
        <v>19</v>
      </c>
      <c r="H2637" s="34" t="s">
        <v>5334</v>
      </c>
      <c r="I2637" s="34" t="s">
        <v>5423</v>
      </c>
      <c r="J2637" s="37">
        <v>46032.0</v>
      </c>
      <c r="K2637" s="35" t="s">
        <v>49</v>
      </c>
      <c r="L2637" s="34">
        <v>8.0</v>
      </c>
      <c r="M2637" s="34" t="s">
        <v>7885</v>
      </c>
      <c r="N2637" s="38" t="s">
        <v>7886</v>
      </c>
      <c r="O2637" s="39" t="s">
        <v>7887</v>
      </c>
    </row>
    <row r="2638">
      <c r="A2638" s="32">
        <v>3074.0</v>
      </c>
      <c r="B2638" s="33">
        <v>46178.43560510417</v>
      </c>
      <c r="C2638" s="34" t="s">
        <v>26</v>
      </c>
      <c r="D2638" s="35" t="s">
        <v>213</v>
      </c>
      <c r="E2638" s="35" t="s">
        <v>214</v>
      </c>
      <c r="F2638" s="34" t="s">
        <v>215</v>
      </c>
      <c r="G2638" s="36" t="s">
        <v>181</v>
      </c>
      <c r="H2638" s="34" t="s">
        <v>7881</v>
      </c>
      <c r="I2638" s="34" t="s">
        <v>231</v>
      </c>
      <c r="J2638" s="37">
        <v>46177.0</v>
      </c>
      <c r="K2638" s="35" t="s">
        <v>1458</v>
      </c>
      <c r="L2638" s="34">
        <v>1.0</v>
      </c>
      <c r="M2638" s="34" t="s">
        <v>7882</v>
      </c>
      <c r="N2638" s="38" t="s">
        <v>7888</v>
      </c>
      <c r="O2638" s="39" t="s">
        <v>7889</v>
      </c>
    </row>
    <row r="2639">
      <c r="A2639" s="32">
        <v>3075.0</v>
      </c>
      <c r="B2639" s="33">
        <v>46178.435772337965</v>
      </c>
      <c r="C2639" s="34" t="s">
        <v>26</v>
      </c>
      <c r="D2639" s="35" t="s">
        <v>7890</v>
      </c>
      <c r="E2639" s="35" t="s">
        <v>574</v>
      </c>
      <c r="F2639" s="34" t="s">
        <v>2203</v>
      </c>
      <c r="G2639" s="36" t="s">
        <v>19</v>
      </c>
      <c r="H2639" s="34" t="s">
        <v>5369</v>
      </c>
      <c r="I2639" s="34" t="s">
        <v>1337</v>
      </c>
      <c r="J2639" s="37">
        <v>46032.0</v>
      </c>
      <c r="K2639" s="35" t="s">
        <v>2328</v>
      </c>
      <c r="L2639" s="34">
        <v>8.0</v>
      </c>
      <c r="M2639" s="34" t="s">
        <v>2839</v>
      </c>
      <c r="N2639" s="38" t="s">
        <v>7891</v>
      </c>
      <c r="O2639" s="39" t="s">
        <v>7892</v>
      </c>
    </row>
    <row r="2640">
      <c r="A2640" s="32">
        <v>3076.0</v>
      </c>
      <c r="B2640" s="33">
        <v>46178.43582269676</v>
      </c>
      <c r="C2640" s="34" t="s">
        <v>760</v>
      </c>
      <c r="D2640" s="35" t="s">
        <v>3159</v>
      </c>
      <c r="E2640" s="35" t="s">
        <v>664</v>
      </c>
      <c r="F2640" s="34" t="s">
        <v>6417</v>
      </c>
      <c r="G2640" s="36" t="s">
        <v>181</v>
      </c>
      <c r="H2640" s="34" t="s">
        <v>7038</v>
      </c>
      <c r="I2640" s="34" t="s">
        <v>1211</v>
      </c>
      <c r="J2640" s="37">
        <v>46147.0</v>
      </c>
      <c r="K2640" s="35" t="s">
        <v>3287</v>
      </c>
      <c r="L2640" s="34">
        <v>3.0</v>
      </c>
      <c r="M2640" s="34" t="s">
        <v>1325</v>
      </c>
      <c r="N2640" s="38" t="s">
        <v>7893</v>
      </c>
      <c r="O2640" s="39" t="s">
        <v>7894</v>
      </c>
    </row>
    <row r="2641">
      <c r="A2641" s="32">
        <v>3077.0</v>
      </c>
      <c r="B2641" s="33">
        <v>46178.436085416666</v>
      </c>
      <c r="C2641" s="34" t="s">
        <v>26</v>
      </c>
      <c r="D2641" s="35" t="s">
        <v>2315</v>
      </c>
      <c r="E2641" s="35" t="s">
        <v>404</v>
      </c>
      <c r="F2641" s="34" t="s">
        <v>2316</v>
      </c>
      <c r="G2641" s="36" t="s">
        <v>19</v>
      </c>
      <c r="H2641" s="34" t="s">
        <v>5653</v>
      </c>
      <c r="I2641" s="34" t="s">
        <v>7186</v>
      </c>
      <c r="J2641" s="37">
        <v>46078.0</v>
      </c>
      <c r="K2641" s="35" t="s">
        <v>2179</v>
      </c>
      <c r="L2641" s="34">
        <v>8.0</v>
      </c>
      <c r="M2641" s="34" t="s">
        <v>87</v>
      </c>
      <c r="N2641" s="38" t="s">
        <v>7895</v>
      </c>
      <c r="O2641" s="39" t="s">
        <v>7896</v>
      </c>
    </row>
    <row r="2642">
      <c r="A2642" s="32">
        <v>3078.0</v>
      </c>
      <c r="B2642" s="33">
        <v>46178.43633681713</v>
      </c>
      <c r="C2642" s="34" t="s">
        <v>760</v>
      </c>
      <c r="D2642" s="35" t="s">
        <v>863</v>
      </c>
      <c r="E2642" s="35" t="s">
        <v>63</v>
      </c>
      <c r="F2642" s="34" t="s">
        <v>864</v>
      </c>
      <c r="G2642" s="36" t="s">
        <v>144</v>
      </c>
      <c r="H2642" s="34" t="s">
        <v>1581</v>
      </c>
      <c r="I2642" s="34" t="s">
        <v>7897</v>
      </c>
      <c r="J2642" s="37">
        <v>46061.0</v>
      </c>
      <c r="K2642" s="35" t="s">
        <v>1421</v>
      </c>
      <c r="L2642" s="34">
        <v>2.0</v>
      </c>
      <c r="M2642" s="34" t="s">
        <v>7898</v>
      </c>
      <c r="N2642" s="38" t="s">
        <v>7899</v>
      </c>
      <c r="O2642" s="39" t="s">
        <v>7900</v>
      </c>
    </row>
    <row r="2643">
      <c r="A2643" s="32">
        <v>3079.0</v>
      </c>
      <c r="B2643" s="33">
        <v>46178.43763398148</v>
      </c>
      <c r="C2643" s="34" t="s">
        <v>26</v>
      </c>
      <c r="D2643" s="35" t="s">
        <v>2247</v>
      </c>
      <c r="E2643" s="35" t="s">
        <v>893</v>
      </c>
      <c r="F2643" s="34" t="s">
        <v>2248</v>
      </c>
      <c r="G2643" s="36" t="s">
        <v>181</v>
      </c>
      <c r="H2643" s="34" t="s">
        <v>7874</v>
      </c>
      <c r="I2643" s="34" t="s">
        <v>231</v>
      </c>
      <c r="J2643" s="37">
        <v>46177.0</v>
      </c>
      <c r="K2643" s="35" t="s">
        <v>1458</v>
      </c>
      <c r="L2643" s="34">
        <v>1.0</v>
      </c>
      <c r="M2643" s="34" t="s">
        <v>1559</v>
      </c>
      <c r="N2643" s="38" t="s">
        <v>7901</v>
      </c>
      <c r="O2643" s="39" t="s">
        <v>7902</v>
      </c>
    </row>
    <row r="2644">
      <c r="A2644" s="32">
        <v>3080.0</v>
      </c>
      <c r="B2644" s="33">
        <v>46178.43787450231</v>
      </c>
      <c r="C2644" s="34" t="s">
        <v>760</v>
      </c>
      <c r="D2644" s="35" t="s">
        <v>863</v>
      </c>
      <c r="E2644" s="35" t="s">
        <v>63</v>
      </c>
      <c r="F2644" s="34" t="s">
        <v>864</v>
      </c>
      <c r="G2644" s="36" t="s">
        <v>159</v>
      </c>
      <c r="H2644" s="34" t="s">
        <v>7903</v>
      </c>
      <c r="I2644" s="34" t="s">
        <v>7904</v>
      </c>
      <c r="J2644" s="37">
        <v>46095.0</v>
      </c>
      <c r="K2644" s="35" t="s">
        <v>22</v>
      </c>
      <c r="L2644" s="34">
        <v>4.0</v>
      </c>
      <c r="M2644" s="34" t="s">
        <v>7905</v>
      </c>
      <c r="N2644" s="38" t="s">
        <v>7906</v>
      </c>
      <c r="O2644" s="39" t="s">
        <v>7907</v>
      </c>
    </row>
    <row r="2645">
      <c r="A2645" s="32">
        <v>3081.0</v>
      </c>
      <c r="B2645" s="33">
        <v>46178.43824113426</v>
      </c>
      <c r="C2645" s="34" t="s">
        <v>26</v>
      </c>
      <c r="D2645" s="35" t="s">
        <v>2389</v>
      </c>
      <c r="E2645" s="35" t="s">
        <v>1764</v>
      </c>
      <c r="F2645" s="34" t="s">
        <v>2390</v>
      </c>
      <c r="G2645" s="36" t="s">
        <v>19</v>
      </c>
      <c r="H2645" s="34" t="s">
        <v>7908</v>
      </c>
      <c r="I2645" s="34" t="s">
        <v>5411</v>
      </c>
      <c r="J2645" s="37">
        <v>46136.0</v>
      </c>
      <c r="K2645" s="35" t="s">
        <v>5412</v>
      </c>
      <c r="L2645" s="34">
        <v>8.0</v>
      </c>
      <c r="M2645" s="34" t="s">
        <v>87</v>
      </c>
      <c r="N2645" s="38" t="s">
        <v>7909</v>
      </c>
      <c r="O2645" s="39" t="s">
        <v>7910</v>
      </c>
    </row>
    <row r="2646">
      <c r="A2646" s="32">
        <v>3082.0</v>
      </c>
      <c r="B2646" s="33">
        <v>46178.438871527775</v>
      </c>
      <c r="C2646" s="34" t="s">
        <v>760</v>
      </c>
      <c r="D2646" s="35" t="s">
        <v>3159</v>
      </c>
      <c r="E2646" s="35" t="s">
        <v>664</v>
      </c>
      <c r="F2646" s="34" t="s">
        <v>6417</v>
      </c>
      <c r="G2646" s="36" t="s">
        <v>181</v>
      </c>
      <c r="H2646" s="34" t="s">
        <v>6347</v>
      </c>
      <c r="I2646" s="34" t="s">
        <v>231</v>
      </c>
      <c r="J2646" s="37">
        <v>46164.0</v>
      </c>
      <c r="K2646" s="35" t="s">
        <v>753</v>
      </c>
      <c r="L2646" s="34">
        <v>2.0</v>
      </c>
      <c r="M2646" s="34" t="s">
        <v>3607</v>
      </c>
      <c r="N2646" s="38" t="s">
        <v>7911</v>
      </c>
      <c r="O2646" s="39" t="s">
        <v>7912</v>
      </c>
    </row>
    <row r="2647">
      <c r="A2647" s="32">
        <v>3083.0</v>
      </c>
      <c r="B2647" s="33">
        <v>46178.4391369213</v>
      </c>
      <c r="C2647" s="34" t="s">
        <v>26</v>
      </c>
      <c r="D2647" s="35" t="s">
        <v>2202</v>
      </c>
      <c r="E2647" s="35" t="s">
        <v>574</v>
      </c>
      <c r="F2647" s="34" t="s">
        <v>2203</v>
      </c>
      <c r="G2647" s="36" t="s">
        <v>181</v>
      </c>
      <c r="H2647" s="34" t="s">
        <v>6022</v>
      </c>
      <c r="I2647" s="34" t="s">
        <v>6023</v>
      </c>
      <c r="J2647" s="37">
        <v>46147.0</v>
      </c>
      <c r="K2647" s="35" t="s">
        <v>3287</v>
      </c>
      <c r="L2647" s="34">
        <v>3.0</v>
      </c>
      <c r="M2647" s="34" t="s">
        <v>1325</v>
      </c>
      <c r="N2647" s="38" t="s">
        <v>7913</v>
      </c>
      <c r="O2647" s="39" t="s">
        <v>7914</v>
      </c>
    </row>
    <row r="2648">
      <c r="A2648" s="32">
        <v>3084.0</v>
      </c>
      <c r="B2648" s="33">
        <v>46178.43954388889</v>
      </c>
      <c r="C2648" s="34" t="s">
        <v>26</v>
      </c>
      <c r="D2648" s="35" t="s">
        <v>1007</v>
      </c>
      <c r="E2648" s="35" t="s">
        <v>479</v>
      </c>
      <c r="F2648" s="34" t="s">
        <v>480</v>
      </c>
      <c r="G2648" s="36" t="s">
        <v>19</v>
      </c>
      <c r="H2648" s="34" t="s">
        <v>5653</v>
      </c>
      <c r="I2648" s="34" t="s">
        <v>5654</v>
      </c>
      <c r="J2648" s="37">
        <v>46078.0</v>
      </c>
      <c r="K2648" s="35" t="s">
        <v>2179</v>
      </c>
      <c r="L2648" s="34">
        <v>8.0</v>
      </c>
      <c r="M2648" s="34" t="s">
        <v>87</v>
      </c>
      <c r="N2648" s="38" t="s">
        <v>7915</v>
      </c>
      <c r="O2648" s="39" t="s">
        <v>7916</v>
      </c>
    </row>
    <row r="2649">
      <c r="A2649" s="32">
        <v>3085.0</v>
      </c>
      <c r="B2649" s="33">
        <v>46178.44102131945</v>
      </c>
      <c r="C2649" s="34" t="s">
        <v>26</v>
      </c>
      <c r="D2649" s="35" t="s">
        <v>2389</v>
      </c>
      <c r="E2649" s="35" t="s">
        <v>1764</v>
      </c>
      <c r="F2649" s="34" t="s">
        <v>2390</v>
      </c>
      <c r="G2649" s="36" t="s">
        <v>19</v>
      </c>
      <c r="H2649" s="34" t="s">
        <v>7908</v>
      </c>
      <c r="I2649" s="34" t="s">
        <v>5411</v>
      </c>
      <c r="J2649" s="37">
        <v>46137.0</v>
      </c>
      <c r="K2649" s="35" t="s">
        <v>49</v>
      </c>
      <c r="L2649" s="34">
        <v>8.0</v>
      </c>
      <c r="M2649" s="34" t="s">
        <v>87</v>
      </c>
      <c r="N2649" s="38" t="s">
        <v>7917</v>
      </c>
      <c r="O2649" s="39" t="s">
        <v>7918</v>
      </c>
    </row>
    <row r="2650">
      <c r="A2650" s="32">
        <v>3086.0</v>
      </c>
      <c r="B2650" s="33">
        <v>46178.44210811342</v>
      </c>
      <c r="C2650" s="34" t="s">
        <v>26</v>
      </c>
      <c r="D2650" s="35" t="s">
        <v>2315</v>
      </c>
      <c r="E2650" s="35" t="s">
        <v>404</v>
      </c>
      <c r="F2650" s="34" t="s">
        <v>2316</v>
      </c>
      <c r="G2650" s="36" t="s">
        <v>19</v>
      </c>
      <c r="H2650" s="34" t="s">
        <v>5369</v>
      </c>
      <c r="I2650" s="34" t="s">
        <v>5567</v>
      </c>
      <c r="J2650" s="37">
        <v>46032.0</v>
      </c>
      <c r="K2650" s="35" t="s">
        <v>2328</v>
      </c>
      <c r="L2650" s="34">
        <v>8.0</v>
      </c>
      <c r="M2650" s="34" t="s">
        <v>87</v>
      </c>
      <c r="N2650" s="38" t="s">
        <v>7919</v>
      </c>
      <c r="O2650" s="39" t="s">
        <v>7920</v>
      </c>
    </row>
    <row r="2651">
      <c r="A2651" s="32">
        <v>3087.0</v>
      </c>
      <c r="B2651" s="33">
        <v>46178.44256966435</v>
      </c>
      <c r="C2651" s="34" t="s">
        <v>26</v>
      </c>
      <c r="D2651" s="35" t="s">
        <v>318</v>
      </c>
      <c r="E2651" s="35" t="s">
        <v>411</v>
      </c>
      <c r="F2651" s="34" t="s">
        <v>320</v>
      </c>
      <c r="G2651" s="36" t="s">
        <v>181</v>
      </c>
      <c r="H2651" s="34" t="s">
        <v>7874</v>
      </c>
      <c r="I2651" s="34" t="s">
        <v>231</v>
      </c>
      <c r="J2651" s="37">
        <v>46177.0</v>
      </c>
      <c r="K2651" s="35" t="s">
        <v>1458</v>
      </c>
      <c r="L2651" s="34">
        <v>1.0</v>
      </c>
      <c r="M2651" s="34" t="s">
        <v>1559</v>
      </c>
      <c r="N2651" s="38" t="s">
        <v>7921</v>
      </c>
      <c r="O2651" s="39" t="s">
        <v>7922</v>
      </c>
    </row>
    <row r="2652">
      <c r="A2652" s="32">
        <v>3091.0</v>
      </c>
      <c r="B2652" s="33">
        <v>46178.44309637732</v>
      </c>
      <c r="C2652" s="34" t="s">
        <v>26</v>
      </c>
      <c r="D2652" s="35" t="s">
        <v>2389</v>
      </c>
      <c r="E2652" s="35" t="s">
        <v>1764</v>
      </c>
      <c r="F2652" s="34" t="s">
        <v>2390</v>
      </c>
      <c r="G2652" s="36" t="s">
        <v>19</v>
      </c>
      <c r="H2652" s="34" t="s">
        <v>7908</v>
      </c>
      <c r="I2652" s="34" t="s">
        <v>5411</v>
      </c>
      <c r="J2652" s="37">
        <v>46138.0</v>
      </c>
      <c r="K2652" s="35" t="s">
        <v>49</v>
      </c>
      <c r="L2652" s="34">
        <v>8.0</v>
      </c>
      <c r="M2652" s="34" t="s">
        <v>87</v>
      </c>
      <c r="N2652" s="38" t="s">
        <v>7923</v>
      </c>
      <c r="O2652" s="39" t="s">
        <v>7924</v>
      </c>
    </row>
    <row r="2653">
      <c r="A2653" s="32">
        <v>3092.0</v>
      </c>
      <c r="B2653" s="33">
        <v>46178.443115428236</v>
      </c>
      <c r="C2653" s="34" t="s">
        <v>760</v>
      </c>
      <c r="D2653" s="35" t="s">
        <v>4831</v>
      </c>
      <c r="E2653" s="35" t="s">
        <v>248</v>
      </c>
      <c r="F2653" s="34" t="s">
        <v>4832</v>
      </c>
      <c r="G2653" s="36" t="s">
        <v>181</v>
      </c>
      <c r="H2653" s="34" t="s">
        <v>6347</v>
      </c>
      <c r="I2653" s="34" t="s">
        <v>6356</v>
      </c>
      <c r="J2653" s="37">
        <v>46174.0</v>
      </c>
      <c r="K2653" s="35" t="s">
        <v>753</v>
      </c>
      <c r="L2653" s="34">
        <v>2.0</v>
      </c>
      <c r="M2653" s="34" t="s">
        <v>3607</v>
      </c>
      <c r="N2653" s="38" t="s">
        <v>7925</v>
      </c>
      <c r="O2653" s="39" t="s">
        <v>7926</v>
      </c>
    </row>
    <row r="2654">
      <c r="A2654" s="32">
        <v>3093.0</v>
      </c>
      <c r="B2654" s="33">
        <v>46178.44420878473</v>
      </c>
      <c r="C2654" s="34" t="s">
        <v>26</v>
      </c>
      <c r="D2654" s="35" t="s">
        <v>2315</v>
      </c>
      <c r="E2654" s="35" t="s">
        <v>404</v>
      </c>
      <c r="F2654" s="34" t="s">
        <v>2316</v>
      </c>
      <c r="G2654" s="36" t="s">
        <v>181</v>
      </c>
      <c r="H2654" s="34" t="s">
        <v>6022</v>
      </c>
      <c r="I2654" s="34" t="s">
        <v>6023</v>
      </c>
      <c r="J2654" s="37">
        <v>46147.0</v>
      </c>
      <c r="K2654" s="35" t="s">
        <v>3287</v>
      </c>
      <c r="L2654" s="34">
        <v>3.0</v>
      </c>
      <c r="M2654" s="34" t="s">
        <v>1325</v>
      </c>
      <c r="N2654" s="38" t="s">
        <v>7927</v>
      </c>
      <c r="O2654" s="39" t="s">
        <v>7928</v>
      </c>
    </row>
    <row r="2655">
      <c r="A2655" s="32">
        <v>3094.0</v>
      </c>
      <c r="B2655" s="33">
        <v>46178.44521582176</v>
      </c>
      <c r="C2655" s="34" t="s">
        <v>15</v>
      </c>
      <c r="D2655" s="35" t="s">
        <v>410</v>
      </c>
      <c r="E2655" s="35" t="s">
        <v>411</v>
      </c>
      <c r="F2655" s="34" t="s">
        <v>412</v>
      </c>
      <c r="G2655" s="36" t="s">
        <v>144</v>
      </c>
      <c r="H2655" s="34" t="s">
        <v>730</v>
      </c>
      <c r="I2655" s="34" t="s">
        <v>731</v>
      </c>
      <c r="J2655" s="37">
        <v>46151.0</v>
      </c>
      <c r="K2655" s="35" t="s">
        <v>2659</v>
      </c>
      <c r="L2655" s="34">
        <v>1.0</v>
      </c>
      <c r="M2655" s="34" t="s">
        <v>87</v>
      </c>
      <c r="N2655" s="38" t="s">
        <v>7929</v>
      </c>
      <c r="O2655" s="39" t="s">
        <v>7930</v>
      </c>
    </row>
    <row r="2656">
      <c r="A2656" s="32">
        <v>3095.0</v>
      </c>
      <c r="B2656" s="33">
        <v>46178.44567752315</v>
      </c>
      <c r="C2656" s="34" t="s">
        <v>26</v>
      </c>
      <c r="D2656" s="35" t="s">
        <v>318</v>
      </c>
      <c r="E2656" s="35" t="s">
        <v>411</v>
      </c>
      <c r="F2656" s="34" t="s">
        <v>320</v>
      </c>
      <c r="G2656" s="36" t="s">
        <v>415</v>
      </c>
      <c r="H2656" s="34" t="s">
        <v>7931</v>
      </c>
      <c r="I2656" s="34" t="s">
        <v>3626</v>
      </c>
      <c r="J2656" s="37">
        <v>46176.0</v>
      </c>
      <c r="K2656" s="35" t="s">
        <v>3117</v>
      </c>
      <c r="L2656" s="34">
        <v>1.0</v>
      </c>
      <c r="M2656" s="34" t="s">
        <v>5975</v>
      </c>
      <c r="N2656" s="38" t="s">
        <v>7932</v>
      </c>
      <c r="O2656" s="39" t="s">
        <v>7933</v>
      </c>
    </row>
    <row r="2657">
      <c r="A2657" s="32">
        <v>3096.0</v>
      </c>
      <c r="B2657" s="33">
        <v>46178.4470119676</v>
      </c>
      <c r="C2657" s="34" t="s">
        <v>15</v>
      </c>
      <c r="D2657" s="35" t="s">
        <v>410</v>
      </c>
      <c r="E2657" s="35" t="s">
        <v>411</v>
      </c>
      <c r="F2657" s="34" t="s">
        <v>412</v>
      </c>
      <c r="G2657" s="36" t="s">
        <v>144</v>
      </c>
      <c r="H2657" s="34" t="s">
        <v>730</v>
      </c>
      <c r="I2657" s="34" t="s">
        <v>731</v>
      </c>
      <c r="J2657" s="37">
        <v>46152.0</v>
      </c>
      <c r="K2657" s="35" t="s">
        <v>2102</v>
      </c>
      <c r="L2657" s="34">
        <v>1.0</v>
      </c>
      <c r="M2657" s="34" t="s">
        <v>87</v>
      </c>
      <c r="N2657" s="38" t="s">
        <v>7934</v>
      </c>
      <c r="O2657" s="39" t="s">
        <v>7935</v>
      </c>
    </row>
    <row r="2658">
      <c r="A2658" s="32">
        <v>3097.0</v>
      </c>
      <c r="B2658" s="33">
        <v>46178.44703195602</v>
      </c>
      <c r="C2658" s="34" t="s">
        <v>26</v>
      </c>
      <c r="D2658" s="35" t="s">
        <v>2315</v>
      </c>
      <c r="E2658" s="35" t="s">
        <v>404</v>
      </c>
      <c r="F2658" s="34" t="s">
        <v>2316</v>
      </c>
      <c r="G2658" s="36" t="s">
        <v>19</v>
      </c>
      <c r="H2658" s="34" t="s">
        <v>7908</v>
      </c>
      <c r="I2658" s="34" t="s">
        <v>5411</v>
      </c>
      <c r="J2658" s="37">
        <v>46136.0</v>
      </c>
      <c r="K2658" s="35" t="s">
        <v>5412</v>
      </c>
      <c r="L2658" s="34">
        <v>8.0</v>
      </c>
      <c r="M2658" s="34" t="s">
        <v>87</v>
      </c>
      <c r="N2658" s="38" t="s">
        <v>7936</v>
      </c>
      <c r="O2658" s="39" t="s">
        <v>7937</v>
      </c>
    </row>
    <row r="2659">
      <c r="A2659" s="32">
        <v>3098.0</v>
      </c>
      <c r="B2659" s="33">
        <v>46178.449154155096</v>
      </c>
      <c r="C2659" s="34" t="s">
        <v>26</v>
      </c>
      <c r="D2659" s="35" t="s">
        <v>2315</v>
      </c>
      <c r="E2659" s="35" t="s">
        <v>404</v>
      </c>
      <c r="F2659" s="34" t="s">
        <v>2316</v>
      </c>
      <c r="G2659" s="36" t="s">
        <v>19</v>
      </c>
      <c r="H2659" s="34" t="s">
        <v>7908</v>
      </c>
      <c r="I2659" s="34" t="s">
        <v>5411</v>
      </c>
      <c r="J2659" s="37">
        <v>46137.0</v>
      </c>
      <c r="K2659" s="35" t="s">
        <v>49</v>
      </c>
      <c r="L2659" s="34">
        <v>8.0</v>
      </c>
      <c r="M2659" s="34" t="s">
        <v>87</v>
      </c>
      <c r="N2659" s="38" t="s">
        <v>7938</v>
      </c>
      <c r="O2659" s="39" t="s">
        <v>7939</v>
      </c>
    </row>
    <row r="2660">
      <c r="A2660" s="32">
        <v>3099.0</v>
      </c>
      <c r="B2660" s="33">
        <v>46178.45061655092</v>
      </c>
      <c r="C2660" s="34" t="s">
        <v>26</v>
      </c>
      <c r="D2660" s="35" t="s">
        <v>2315</v>
      </c>
      <c r="E2660" s="35" t="s">
        <v>404</v>
      </c>
      <c r="F2660" s="34" t="s">
        <v>2316</v>
      </c>
      <c r="G2660" s="36" t="s">
        <v>19</v>
      </c>
      <c r="H2660" s="34" t="s">
        <v>7908</v>
      </c>
      <c r="I2660" s="34" t="s">
        <v>5411</v>
      </c>
      <c r="J2660" s="37">
        <v>46138.0</v>
      </c>
      <c r="K2660" s="35" t="s">
        <v>49</v>
      </c>
      <c r="L2660" s="34">
        <v>8.0</v>
      </c>
      <c r="M2660" s="34" t="s">
        <v>87</v>
      </c>
      <c r="N2660" s="38" t="s">
        <v>7940</v>
      </c>
      <c r="O2660" s="39" t="s">
        <v>7941</v>
      </c>
    </row>
    <row r="2661">
      <c r="A2661" s="32">
        <v>3100.0</v>
      </c>
      <c r="B2661" s="33">
        <v>46178.45089108797</v>
      </c>
      <c r="C2661" s="34" t="s">
        <v>15</v>
      </c>
      <c r="D2661" s="35" t="s">
        <v>4303</v>
      </c>
      <c r="E2661" s="35" t="s">
        <v>1596</v>
      </c>
      <c r="F2661" s="34" t="s">
        <v>4319</v>
      </c>
      <c r="G2661" s="36" t="s">
        <v>144</v>
      </c>
      <c r="H2661" s="34" t="s">
        <v>7679</v>
      </c>
      <c r="I2661" s="34" t="s">
        <v>7680</v>
      </c>
      <c r="J2661" s="37">
        <v>46126.0</v>
      </c>
      <c r="K2661" s="35" t="s">
        <v>2275</v>
      </c>
      <c r="L2661" s="34">
        <v>2.0</v>
      </c>
      <c r="M2661" s="34" t="s">
        <v>907</v>
      </c>
      <c r="N2661" s="38" t="s">
        <v>7942</v>
      </c>
      <c r="O2661" s="39" t="s">
        <v>7943</v>
      </c>
    </row>
    <row r="2662">
      <c r="A2662" s="32">
        <v>3101.0</v>
      </c>
      <c r="B2662" s="33">
        <v>46178.45241</v>
      </c>
      <c r="C2662" s="34" t="s">
        <v>15</v>
      </c>
      <c r="D2662" s="35" t="s">
        <v>410</v>
      </c>
      <c r="E2662" s="35" t="s">
        <v>411</v>
      </c>
      <c r="F2662" s="34" t="s">
        <v>412</v>
      </c>
      <c r="G2662" s="36" t="s">
        <v>181</v>
      </c>
      <c r="H2662" s="34" t="s">
        <v>7944</v>
      </c>
      <c r="I2662" s="34" t="s">
        <v>314</v>
      </c>
      <c r="J2662" s="37">
        <v>46150.0</v>
      </c>
      <c r="K2662" s="35" t="s">
        <v>732</v>
      </c>
      <c r="L2662" s="34">
        <v>2.0</v>
      </c>
      <c r="M2662" s="34" t="s">
        <v>3841</v>
      </c>
      <c r="N2662" s="38" t="s">
        <v>7945</v>
      </c>
      <c r="O2662" s="39" t="s">
        <v>7946</v>
      </c>
    </row>
    <row r="2663">
      <c r="A2663" s="32">
        <v>3102.0</v>
      </c>
      <c r="B2663" s="33">
        <v>46178.45271131945</v>
      </c>
      <c r="C2663" s="34" t="s">
        <v>15</v>
      </c>
      <c r="D2663" s="35" t="s">
        <v>90</v>
      </c>
      <c r="E2663" s="35" t="s">
        <v>91</v>
      </c>
      <c r="F2663" s="34" t="s">
        <v>92</v>
      </c>
      <c r="G2663" s="36" t="s">
        <v>181</v>
      </c>
      <c r="H2663" s="34" t="s">
        <v>7947</v>
      </c>
      <c r="I2663" s="34" t="s">
        <v>231</v>
      </c>
      <c r="J2663" s="37">
        <v>46177.0</v>
      </c>
      <c r="K2663" s="35" t="s">
        <v>3263</v>
      </c>
      <c r="L2663" s="34">
        <v>3.0</v>
      </c>
      <c r="M2663" s="34" t="s">
        <v>7948</v>
      </c>
      <c r="N2663" s="38" t="s">
        <v>7949</v>
      </c>
      <c r="O2663" s="39" t="s">
        <v>7950</v>
      </c>
    </row>
    <row r="2664">
      <c r="A2664" s="32">
        <v>3104.0</v>
      </c>
      <c r="B2664" s="33">
        <v>46178.452838032405</v>
      </c>
      <c r="C2664" s="34" t="s">
        <v>15</v>
      </c>
      <c r="D2664" s="35" t="s">
        <v>4303</v>
      </c>
      <c r="E2664" s="35" t="s">
        <v>1596</v>
      </c>
      <c r="F2664" s="34" t="s">
        <v>4319</v>
      </c>
      <c r="G2664" s="36" t="s">
        <v>181</v>
      </c>
      <c r="H2664" s="34" t="s">
        <v>7951</v>
      </c>
      <c r="I2664" s="34" t="s">
        <v>1211</v>
      </c>
      <c r="J2664" s="37">
        <v>46177.0</v>
      </c>
      <c r="K2664" s="35" t="s">
        <v>1241</v>
      </c>
      <c r="L2664" s="34">
        <v>3.0</v>
      </c>
      <c r="M2664" s="34" t="s">
        <v>3607</v>
      </c>
      <c r="N2664" s="38" t="s">
        <v>7952</v>
      </c>
      <c r="O2664" s="39" t="s">
        <v>7953</v>
      </c>
    </row>
    <row r="2665">
      <c r="A2665" s="32">
        <v>3105.0</v>
      </c>
      <c r="B2665" s="33">
        <v>46178.45390658565</v>
      </c>
      <c r="C2665" s="34" t="s">
        <v>760</v>
      </c>
      <c r="D2665" s="35" t="s">
        <v>2718</v>
      </c>
      <c r="E2665" s="35" t="s">
        <v>91</v>
      </c>
      <c r="F2665" s="34" t="s">
        <v>2719</v>
      </c>
      <c r="G2665" s="36" t="s">
        <v>181</v>
      </c>
      <c r="H2665" s="34" t="s">
        <v>6022</v>
      </c>
      <c r="I2665" s="34" t="s">
        <v>6023</v>
      </c>
      <c r="J2665" s="37">
        <v>46147.0</v>
      </c>
      <c r="K2665" s="35" t="s">
        <v>3287</v>
      </c>
      <c r="L2665" s="34">
        <v>3.0</v>
      </c>
      <c r="M2665" s="34" t="s">
        <v>1325</v>
      </c>
      <c r="N2665" s="38" t="s">
        <v>7954</v>
      </c>
      <c r="O2665" s="39" t="s">
        <v>7955</v>
      </c>
    </row>
    <row r="2666">
      <c r="A2666" s="32">
        <v>3106.0</v>
      </c>
      <c r="B2666" s="33">
        <v>46178.455434664356</v>
      </c>
      <c r="C2666" s="34" t="s">
        <v>26</v>
      </c>
      <c r="D2666" s="35" t="s">
        <v>3077</v>
      </c>
      <c r="E2666" s="35" t="s">
        <v>396</v>
      </c>
      <c r="F2666" s="34" t="s">
        <v>3078</v>
      </c>
      <c r="G2666" s="36" t="s">
        <v>181</v>
      </c>
      <c r="H2666" s="34" t="s">
        <v>7340</v>
      </c>
      <c r="I2666" s="34" t="s">
        <v>1211</v>
      </c>
      <c r="J2666" s="37">
        <v>46135.0</v>
      </c>
      <c r="K2666" s="35" t="s">
        <v>962</v>
      </c>
      <c r="L2666" s="34">
        <v>4.0</v>
      </c>
      <c r="M2666" s="34" t="s">
        <v>33</v>
      </c>
      <c r="N2666" s="38" t="s">
        <v>7956</v>
      </c>
      <c r="O2666" s="39" t="s">
        <v>7957</v>
      </c>
    </row>
    <row r="2667">
      <c r="A2667" s="32">
        <v>3107.0</v>
      </c>
      <c r="B2667" s="33">
        <v>46178.45618686343</v>
      </c>
      <c r="C2667" s="34" t="s">
        <v>26</v>
      </c>
      <c r="D2667" s="35" t="s">
        <v>318</v>
      </c>
      <c r="E2667" s="35" t="s">
        <v>411</v>
      </c>
      <c r="F2667" s="34" t="s">
        <v>320</v>
      </c>
      <c r="G2667" s="36" t="s">
        <v>84</v>
      </c>
      <c r="H2667" s="34" t="s">
        <v>85</v>
      </c>
      <c r="I2667" s="34" t="s">
        <v>7958</v>
      </c>
      <c r="J2667" s="37">
        <v>46177.0</v>
      </c>
      <c r="K2667" s="35" t="s">
        <v>7959</v>
      </c>
      <c r="L2667" s="34">
        <v>8.0</v>
      </c>
      <c r="M2667" s="34" t="s">
        <v>860</v>
      </c>
      <c r="N2667" s="38" t="s">
        <v>7960</v>
      </c>
      <c r="O2667" s="39" t="s">
        <v>7961</v>
      </c>
    </row>
    <row r="2668">
      <c r="A2668" s="32">
        <v>3108.0</v>
      </c>
      <c r="B2668" s="33">
        <v>46178.45624421297</v>
      </c>
      <c r="C2668" s="34" t="s">
        <v>760</v>
      </c>
      <c r="D2668" s="35" t="s">
        <v>829</v>
      </c>
      <c r="E2668" s="35" t="s">
        <v>830</v>
      </c>
      <c r="F2668" s="34" t="s">
        <v>831</v>
      </c>
      <c r="G2668" s="36" t="s">
        <v>181</v>
      </c>
      <c r="H2668" s="34" t="s">
        <v>7962</v>
      </c>
      <c r="I2668" s="34" t="s">
        <v>231</v>
      </c>
      <c r="J2668" s="37">
        <v>46177.0</v>
      </c>
      <c r="K2668" s="35" t="s">
        <v>1139</v>
      </c>
      <c r="L2668" s="34">
        <v>3.0</v>
      </c>
      <c r="M2668" s="34" t="s">
        <v>3607</v>
      </c>
      <c r="N2668" s="38" t="s">
        <v>7963</v>
      </c>
      <c r="O2668" s="39" t="s">
        <v>7964</v>
      </c>
    </row>
    <row r="2669">
      <c r="A2669" s="32">
        <v>3110.0</v>
      </c>
      <c r="B2669" s="33">
        <v>46178.45725461806</v>
      </c>
      <c r="C2669" s="34" t="s">
        <v>26</v>
      </c>
      <c r="D2669" s="35" t="s">
        <v>379</v>
      </c>
      <c r="E2669" s="35" t="s">
        <v>1827</v>
      </c>
      <c r="F2669" s="34" t="s">
        <v>381</v>
      </c>
      <c r="G2669" s="36" t="s">
        <v>181</v>
      </c>
      <c r="H2669" s="34" t="s">
        <v>7965</v>
      </c>
      <c r="I2669" s="34" t="s">
        <v>231</v>
      </c>
      <c r="J2669" s="37">
        <v>46177.0</v>
      </c>
      <c r="K2669" s="35" t="s">
        <v>7966</v>
      </c>
      <c r="L2669" s="34">
        <v>3.0</v>
      </c>
      <c r="M2669" s="34" t="s">
        <v>695</v>
      </c>
      <c r="N2669" s="38" t="s">
        <v>7967</v>
      </c>
      <c r="O2669" s="39" t="s">
        <v>7968</v>
      </c>
    </row>
    <row r="2670">
      <c r="A2670" s="32">
        <v>3111.0</v>
      </c>
      <c r="B2670" s="33">
        <v>46178.45768986111</v>
      </c>
      <c r="C2670" s="34" t="s">
        <v>26</v>
      </c>
      <c r="D2670" s="35" t="s">
        <v>27</v>
      </c>
      <c r="E2670" s="35" t="s">
        <v>28</v>
      </c>
      <c r="F2670" s="34" t="s">
        <v>29</v>
      </c>
      <c r="G2670" s="36" t="s">
        <v>181</v>
      </c>
      <c r="H2670" s="34" t="s">
        <v>7965</v>
      </c>
      <c r="I2670" s="34" t="s">
        <v>231</v>
      </c>
      <c r="J2670" s="37">
        <v>46177.0</v>
      </c>
      <c r="K2670" s="35" t="s">
        <v>7966</v>
      </c>
      <c r="L2670" s="34">
        <v>3.0</v>
      </c>
      <c r="M2670" s="34" t="s">
        <v>7969</v>
      </c>
      <c r="N2670" s="38" t="s">
        <v>7970</v>
      </c>
      <c r="O2670" s="39" t="s">
        <v>7971</v>
      </c>
    </row>
    <row r="2671">
      <c r="A2671" s="32">
        <v>3112.0</v>
      </c>
      <c r="B2671" s="33">
        <v>46178.45807104166</v>
      </c>
      <c r="C2671" s="34" t="s">
        <v>26</v>
      </c>
      <c r="D2671" s="35" t="s">
        <v>109</v>
      </c>
      <c r="E2671" s="35" t="s">
        <v>881</v>
      </c>
      <c r="F2671" s="34" t="s">
        <v>111</v>
      </c>
      <c r="G2671" s="36" t="s">
        <v>181</v>
      </c>
      <c r="H2671" s="34" t="s">
        <v>7965</v>
      </c>
      <c r="I2671" s="34" t="s">
        <v>231</v>
      </c>
      <c r="J2671" s="37">
        <v>46177.0</v>
      </c>
      <c r="K2671" s="35" t="s">
        <v>7966</v>
      </c>
      <c r="L2671" s="34">
        <v>3.0</v>
      </c>
      <c r="M2671" s="34" t="s">
        <v>695</v>
      </c>
      <c r="N2671" s="38" t="s">
        <v>7972</v>
      </c>
      <c r="O2671" s="39" t="s">
        <v>7973</v>
      </c>
    </row>
    <row r="2672">
      <c r="A2672" s="32">
        <v>3113.0</v>
      </c>
      <c r="B2672" s="33">
        <v>46178.45813056713</v>
      </c>
      <c r="C2672" s="34" t="s">
        <v>15</v>
      </c>
      <c r="D2672" s="35" t="s">
        <v>90</v>
      </c>
      <c r="E2672" s="35" t="s">
        <v>91</v>
      </c>
      <c r="F2672" s="34" t="s">
        <v>92</v>
      </c>
      <c r="G2672" s="36" t="s">
        <v>181</v>
      </c>
      <c r="H2672" s="34" t="s">
        <v>2812</v>
      </c>
      <c r="I2672" s="34" t="s">
        <v>231</v>
      </c>
      <c r="J2672" s="37">
        <v>46133.0</v>
      </c>
      <c r="K2672" s="35" t="s">
        <v>1468</v>
      </c>
      <c r="L2672" s="34">
        <v>4.0</v>
      </c>
      <c r="M2672" s="34" t="s">
        <v>33</v>
      </c>
      <c r="N2672" s="38" t="s">
        <v>7974</v>
      </c>
      <c r="O2672" s="39" t="s">
        <v>7975</v>
      </c>
    </row>
    <row r="2673">
      <c r="A2673" s="32">
        <v>3114.0</v>
      </c>
      <c r="B2673" s="33">
        <v>46178.45821966435</v>
      </c>
      <c r="C2673" s="34" t="s">
        <v>26</v>
      </c>
      <c r="D2673" s="35" t="s">
        <v>1509</v>
      </c>
      <c r="E2673" s="35" t="s">
        <v>199</v>
      </c>
      <c r="F2673" s="34" t="s">
        <v>1510</v>
      </c>
      <c r="G2673" s="36" t="s">
        <v>181</v>
      </c>
      <c r="H2673" s="34" t="s">
        <v>7965</v>
      </c>
      <c r="I2673" s="34" t="s">
        <v>231</v>
      </c>
      <c r="J2673" s="37">
        <v>46177.0</v>
      </c>
      <c r="K2673" s="35" t="s">
        <v>7966</v>
      </c>
      <c r="L2673" s="34">
        <v>3.0</v>
      </c>
      <c r="M2673" s="34" t="s">
        <v>695</v>
      </c>
      <c r="N2673" s="38" t="s">
        <v>7976</v>
      </c>
      <c r="O2673" s="39" t="s">
        <v>7977</v>
      </c>
    </row>
    <row r="2674">
      <c r="A2674" s="32">
        <v>3117.0</v>
      </c>
      <c r="B2674" s="33">
        <v>46178.45933400463</v>
      </c>
      <c r="C2674" s="34" t="s">
        <v>26</v>
      </c>
      <c r="D2674" s="35" t="s">
        <v>274</v>
      </c>
      <c r="E2674" s="35" t="s">
        <v>228</v>
      </c>
      <c r="F2674" s="34" t="s">
        <v>275</v>
      </c>
      <c r="G2674" s="36" t="s">
        <v>181</v>
      </c>
      <c r="H2674" s="34" t="s">
        <v>7965</v>
      </c>
      <c r="I2674" s="34" t="s">
        <v>231</v>
      </c>
      <c r="J2674" s="37">
        <v>46177.0</v>
      </c>
      <c r="K2674" s="35" t="s">
        <v>7966</v>
      </c>
      <c r="L2674" s="34">
        <v>3.0</v>
      </c>
      <c r="M2674" s="34" t="s">
        <v>7969</v>
      </c>
      <c r="N2674" s="38" t="s">
        <v>7978</v>
      </c>
      <c r="O2674" s="39" t="s">
        <v>7979</v>
      </c>
    </row>
    <row r="2675">
      <c r="A2675" s="32">
        <v>3118.0</v>
      </c>
      <c r="B2675" s="33">
        <v>46178.46005574074</v>
      </c>
      <c r="C2675" s="34" t="s">
        <v>15</v>
      </c>
      <c r="D2675" s="35" t="s">
        <v>3114</v>
      </c>
      <c r="E2675" s="35" t="s">
        <v>142</v>
      </c>
      <c r="F2675" s="34" t="s">
        <v>3115</v>
      </c>
      <c r="G2675" s="36" t="s">
        <v>181</v>
      </c>
      <c r="H2675" s="34" t="s">
        <v>7980</v>
      </c>
      <c r="I2675" s="34" t="s">
        <v>231</v>
      </c>
      <c r="J2675" s="37">
        <v>46176.0</v>
      </c>
      <c r="K2675" s="35" t="s">
        <v>1458</v>
      </c>
      <c r="L2675" s="34">
        <v>1.0</v>
      </c>
      <c r="M2675" s="34" t="s">
        <v>1559</v>
      </c>
      <c r="N2675" s="38" t="s">
        <v>7981</v>
      </c>
      <c r="O2675" s="39" t="s">
        <v>7982</v>
      </c>
    </row>
    <row r="2676">
      <c r="A2676" s="32">
        <v>3121.0</v>
      </c>
      <c r="B2676" s="33">
        <v>46178.461010659725</v>
      </c>
      <c r="C2676" s="34" t="s">
        <v>26</v>
      </c>
      <c r="D2676" s="35" t="s">
        <v>874</v>
      </c>
      <c r="E2676" s="35" t="s">
        <v>171</v>
      </c>
      <c r="F2676" s="34" t="s">
        <v>875</v>
      </c>
      <c r="G2676" s="36" t="s">
        <v>181</v>
      </c>
      <c r="H2676" s="34" t="s">
        <v>5432</v>
      </c>
      <c r="I2676" s="34" t="s">
        <v>231</v>
      </c>
      <c r="J2676" s="37">
        <v>46138.0</v>
      </c>
      <c r="K2676" s="35" t="s">
        <v>3287</v>
      </c>
      <c r="L2676" s="34">
        <v>6.0</v>
      </c>
      <c r="M2676" s="34" t="s">
        <v>33</v>
      </c>
      <c r="N2676" s="38" t="s">
        <v>7983</v>
      </c>
      <c r="O2676" s="39" t="s">
        <v>7984</v>
      </c>
    </row>
    <row r="2677">
      <c r="A2677" s="32">
        <v>3123.0</v>
      </c>
      <c r="B2677" s="33">
        <v>46178.462701446755</v>
      </c>
      <c r="C2677" s="34" t="s">
        <v>26</v>
      </c>
      <c r="D2677" s="35" t="s">
        <v>27</v>
      </c>
      <c r="E2677" s="35" t="s">
        <v>28</v>
      </c>
      <c r="F2677" s="34" t="s">
        <v>29</v>
      </c>
      <c r="G2677" s="36" t="s">
        <v>181</v>
      </c>
      <c r="H2677" s="34" t="s">
        <v>7874</v>
      </c>
      <c r="I2677" s="34" t="s">
        <v>231</v>
      </c>
      <c r="J2677" s="37">
        <v>46176.0</v>
      </c>
      <c r="K2677" s="35" t="s">
        <v>1458</v>
      </c>
      <c r="L2677" s="34">
        <v>1.0</v>
      </c>
      <c r="M2677" s="34" t="s">
        <v>1559</v>
      </c>
      <c r="N2677" s="38" t="s">
        <v>7985</v>
      </c>
      <c r="O2677" s="39" t="s">
        <v>7986</v>
      </c>
    </row>
    <row r="2678">
      <c r="A2678" s="32">
        <v>3124.0</v>
      </c>
      <c r="B2678" s="33">
        <v>46178.46288866898</v>
      </c>
      <c r="C2678" s="34" t="s">
        <v>15</v>
      </c>
      <c r="D2678" s="35" t="s">
        <v>410</v>
      </c>
      <c r="E2678" s="35" t="s">
        <v>411</v>
      </c>
      <c r="F2678" s="34" t="s">
        <v>412</v>
      </c>
      <c r="G2678" s="36" t="s">
        <v>181</v>
      </c>
      <c r="H2678" s="34" t="s">
        <v>7987</v>
      </c>
      <c r="I2678" s="34" t="s">
        <v>314</v>
      </c>
      <c r="J2678" s="37">
        <v>46177.0</v>
      </c>
      <c r="K2678" s="35" t="s">
        <v>3287</v>
      </c>
      <c r="L2678" s="34">
        <v>3.0</v>
      </c>
      <c r="M2678" s="34" t="s">
        <v>7948</v>
      </c>
      <c r="N2678" s="38" t="s">
        <v>7988</v>
      </c>
      <c r="O2678" s="39" t="s">
        <v>7989</v>
      </c>
    </row>
    <row r="2679">
      <c r="A2679" s="32">
        <v>3125.0</v>
      </c>
      <c r="B2679" s="33">
        <v>46178.463753425924</v>
      </c>
      <c r="C2679" s="34" t="s">
        <v>15</v>
      </c>
      <c r="D2679" s="35" t="s">
        <v>3114</v>
      </c>
      <c r="E2679" s="35" t="s">
        <v>142</v>
      </c>
      <c r="F2679" s="34" t="s">
        <v>3115</v>
      </c>
      <c r="G2679" s="36" t="s">
        <v>181</v>
      </c>
      <c r="H2679" s="34" t="s">
        <v>7990</v>
      </c>
      <c r="I2679" s="34" t="s">
        <v>231</v>
      </c>
      <c r="J2679" s="37">
        <v>46177.0</v>
      </c>
      <c r="K2679" s="35" t="s">
        <v>1458</v>
      </c>
      <c r="L2679" s="34">
        <v>1.0</v>
      </c>
      <c r="M2679" s="34" t="s">
        <v>1559</v>
      </c>
      <c r="N2679" s="38" t="s">
        <v>7991</v>
      </c>
      <c r="O2679" s="39" t="s">
        <v>7992</v>
      </c>
    </row>
    <row r="2680">
      <c r="A2680" s="32">
        <v>3126.0</v>
      </c>
      <c r="B2680" s="33">
        <v>46178.46440082176</v>
      </c>
      <c r="C2680" s="34" t="s">
        <v>26</v>
      </c>
      <c r="D2680" s="35" t="s">
        <v>109</v>
      </c>
      <c r="E2680" s="35" t="s">
        <v>881</v>
      </c>
      <c r="F2680" s="34" t="s">
        <v>111</v>
      </c>
      <c r="G2680" s="36" t="s">
        <v>415</v>
      </c>
      <c r="H2680" s="34" t="s">
        <v>7993</v>
      </c>
      <c r="I2680" s="34" t="s">
        <v>3626</v>
      </c>
      <c r="J2680" s="37">
        <v>46176.0</v>
      </c>
      <c r="K2680" s="35" t="s">
        <v>3117</v>
      </c>
      <c r="L2680" s="34">
        <v>1.0</v>
      </c>
      <c r="M2680" s="34" t="s">
        <v>5975</v>
      </c>
      <c r="N2680" s="38" t="s">
        <v>7994</v>
      </c>
      <c r="O2680" s="39" t="s">
        <v>7995</v>
      </c>
    </row>
    <row r="2681">
      <c r="A2681" s="32">
        <v>3127.0</v>
      </c>
      <c r="B2681" s="33">
        <v>46178.46451119213</v>
      </c>
      <c r="C2681" s="34" t="s">
        <v>26</v>
      </c>
      <c r="D2681" s="35" t="s">
        <v>2247</v>
      </c>
      <c r="E2681" s="35" t="s">
        <v>893</v>
      </c>
      <c r="F2681" s="34" t="s">
        <v>2248</v>
      </c>
      <c r="G2681" s="36" t="s">
        <v>181</v>
      </c>
      <c r="H2681" s="34" t="s">
        <v>7965</v>
      </c>
      <c r="I2681" s="34" t="s">
        <v>231</v>
      </c>
      <c r="J2681" s="37">
        <v>46177.0</v>
      </c>
      <c r="K2681" s="35" t="s">
        <v>7966</v>
      </c>
      <c r="L2681" s="34">
        <v>3.0</v>
      </c>
      <c r="M2681" s="34" t="s">
        <v>695</v>
      </c>
      <c r="N2681" s="38" t="s">
        <v>7996</v>
      </c>
      <c r="O2681" s="39" t="s">
        <v>7997</v>
      </c>
    </row>
    <row r="2682">
      <c r="A2682" s="32">
        <v>3128.0</v>
      </c>
      <c r="B2682" s="33">
        <v>46178.46559983796</v>
      </c>
      <c r="C2682" s="34" t="s">
        <v>26</v>
      </c>
      <c r="D2682" s="35" t="s">
        <v>3077</v>
      </c>
      <c r="E2682" s="35" t="s">
        <v>396</v>
      </c>
      <c r="F2682" s="34" t="s">
        <v>3078</v>
      </c>
      <c r="G2682" s="36" t="s">
        <v>181</v>
      </c>
      <c r="H2682" s="34" t="s">
        <v>7340</v>
      </c>
      <c r="I2682" s="34" t="s">
        <v>5437</v>
      </c>
      <c r="J2682" s="37">
        <v>46139.0</v>
      </c>
      <c r="K2682" s="35" t="s">
        <v>962</v>
      </c>
      <c r="L2682" s="34">
        <v>4.0</v>
      </c>
      <c r="M2682" s="34" t="s">
        <v>33</v>
      </c>
      <c r="N2682" s="38" t="s">
        <v>7998</v>
      </c>
      <c r="O2682" s="39" t="s">
        <v>7999</v>
      </c>
    </row>
    <row r="2683">
      <c r="A2683" s="32">
        <v>3129.0</v>
      </c>
      <c r="B2683" s="33">
        <v>46178.46671432871</v>
      </c>
      <c r="C2683" s="34" t="s">
        <v>26</v>
      </c>
      <c r="D2683" s="35" t="s">
        <v>318</v>
      </c>
      <c r="E2683" s="35" t="s">
        <v>411</v>
      </c>
      <c r="F2683" s="34" t="s">
        <v>320</v>
      </c>
      <c r="G2683" s="36" t="s">
        <v>181</v>
      </c>
      <c r="H2683" s="34" t="s">
        <v>6189</v>
      </c>
      <c r="I2683" s="34" t="s">
        <v>8000</v>
      </c>
      <c r="J2683" s="37">
        <v>46147.0</v>
      </c>
      <c r="K2683" s="35" t="s">
        <v>6012</v>
      </c>
      <c r="L2683" s="34">
        <v>3.0</v>
      </c>
      <c r="M2683" s="34" t="s">
        <v>1325</v>
      </c>
      <c r="N2683" s="38" t="s">
        <v>8001</v>
      </c>
      <c r="O2683" s="39" t="s">
        <v>8002</v>
      </c>
    </row>
    <row r="2684">
      <c r="A2684" s="32">
        <v>3130.0</v>
      </c>
      <c r="B2684" s="33">
        <v>46178.467205</v>
      </c>
      <c r="C2684" s="34" t="s">
        <v>26</v>
      </c>
      <c r="D2684" s="35" t="s">
        <v>874</v>
      </c>
      <c r="E2684" s="35" t="s">
        <v>171</v>
      </c>
      <c r="F2684" s="34" t="s">
        <v>875</v>
      </c>
      <c r="G2684" s="36" t="s">
        <v>181</v>
      </c>
      <c r="H2684" s="34" t="s">
        <v>7874</v>
      </c>
      <c r="I2684" s="34" t="s">
        <v>231</v>
      </c>
      <c r="J2684" s="37">
        <v>46176.0</v>
      </c>
      <c r="K2684" s="35" t="s">
        <v>1458</v>
      </c>
      <c r="L2684" s="34">
        <v>1.0</v>
      </c>
      <c r="M2684" s="34" t="s">
        <v>1559</v>
      </c>
      <c r="N2684" s="38" t="s">
        <v>8003</v>
      </c>
      <c r="O2684" s="39" t="s">
        <v>8004</v>
      </c>
    </row>
    <row r="2685">
      <c r="A2685" s="32">
        <v>3131.0</v>
      </c>
      <c r="B2685" s="33">
        <v>46178.46902560185</v>
      </c>
      <c r="C2685" s="34" t="s">
        <v>15</v>
      </c>
      <c r="D2685" s="35" t="s">
        <v>3114</v>
      </c>
      <c r="E2685" s="35" t="s">
        <v>142</v>
      </c>
      <c r="F2685" s="34" t="s">
        <v>3115</v>
      </c>
      <c r="G2685" s="36" t="s">
        <v>19</v>
      </c>
      <c r="H2685" s="34" t="s">
        <v>8005</v>
      </c>
      <c r="I2685" s="34" t="s">
        <v>3156</v>
      </c>
      <c r="J2685" s="37">
        <v>46066.0</v>
      </c>
      <c r="K2685" s="35" t="s">
        <v>22</v>
      </c>
      <c r="L2685" s="34">
        <v>4.0</v>
      </c>
      <c r="M2685" s="34" t="s">
        <v>244</v>
      </c>
      <c r="N2685" s="38" t="s">
        <v>8006</v>
      </c>
      <c r="O2685" s="39" t="s">
        <v>8007</v>
      </c>
    </row>
    <row r="2686">
      <c r="A2686" s="32">
        <v>3132.0</v>
      </c>
      <c r="B2686" s="33">
        <v>46178.46908516204</v>
      </c>
      <c r="C2686" s="34" t="s">
        <v>26</v>
      </c>
      <c r="D2686" s="35" t="s">
        <v>1022</v>
      </c>
      <c r="E2686" s="35" t="s">
        <v>1023</v>
      </c>
      <c r="F2686" s="34" t="s">
        <v>1024</v>
      </c>
      <c r="G2686" s="36" t="s">
        <v>181</v>
      </c>
      <c r="H2686" s="34" t="s">
        <v>7965</v>
      </c>
      <c r="I2686" s="34" t="s">
        <v>231</v>
      </c>
      <c r="J2686" s="37">
        <v>46177.0</v>
      </c>
      <c r="K2686" s="35" t="s">
        <v>7966</v>
      </c>
      <c r="L2686" s="34">
        <v>3.0</v>
      </c>
      <c r="M2686" s="34" t="s">
        <v>695</v>
      </c>
      <c r="N2686" s="38" t="s">
        <v>8008</v>
      </c>
      <c r="O2686" s="39" t="s">
        <v>8009</v>
      </c>
    </row>
    <row r="2687">
      <c r="A2687" s="32">
        <v>3133.0</v>
      </c>
      <c r="B2687" s="33">
        <v>46178.47104454861</v>
      </c>
      <c r="C2687" s="34" t="s">
        <v>26</v>
      </c>
      <c r="D2687" s="35" t="s">
        <v>874</v>
      </c>
      <c r="E2687" s="35" t="s">
        <v>171</v>
      </c>
      <c r="F2687" s="34" t="s">
        <v>875</v>
      </c>
      <c r="G2687" s="36" t="s">
        <v>181</v>
      </c>
      <c r="H2687" s="34" t="s">
        <v>7874</v>
      </c>
      <c r="I2687" s="34" t="s">
        <v>231</v>
      </c>
      <c r="J2687" s="37">
        <v>46177.0</v>
      </c>
      <c r="K2687" s="35" t="s">
        <v>1458</v>
      </c>
      <c r="L2687" s="34">
        <v>1.0</v>
      </c>
      <c r="M2687" s="34" t="s">
        <v>1559</v>
      </c>
      <c r="N2687" s="38" t="s">
        <v>8010</v>
      </c>
      <c r="O2687" s="39" t="s">
        <v>8011</v>
      </c>
    </row>
    <row r="2688">
      <c r="A2688" s="32">
        <v>3134.0</v>
      </c>
      <c r="B2688" s="33">
        <v>46178.473138113426</v>
      </c>
      <c r="C2688" s="34" t="s">
        <v>15</v>
      </c>
      <c r="D2688" s="35" t="s">
        <v>2849</v>
      </c>
      <c r="E2688" s="35" t="s">
        <v>2338</v>
      </c>
      <c r="F2688" s="34" t="s">
        <v>2850</v>
      </c>
      <c r="G2688" s="36" t="s">
        <v>181</v>
      </c>
      <c r="H2688" s="34" t="s">
        <v>8012</v>
      </c>
      <c r="I2688" s="34" t="s">
        <v>231</v>
      </c>
      <c r="J2688" s="37">
        <v>46177.0</v>
      </c>
      <c r="K2688" s="35" t="s">
        <v>6790</v>
      </c>
      <c r="L2688" s="34">
        <v>3.0</v>
      </c>
      <c r="M2688" s="34" t="s">
        <v>695</v>
      </c>
      <c r="N2688" s="38" t="s">
        <v>8013</v>
      </c>
      <c r="O2688" s="39" t="s">
        <v>8014</v>
      </c>
    </row>
    <row r="2689">
      <c r="A2689" s="32">
        <v>3135.0</v>
      </c>
      <c r="B2689" s="33">
        <v>46178.47359550926</v>
      </c>
      <c r="C2689" s="34" t="s">
        <v>15</v>
      </c>
      <c r="D2689" s="35" t="s">
        <v>3114</v>
      </c>
      <c r="E2689" s="35" t="s">
        <v>142</v>
      </c>
      <c r="F2689" s="34" t="s">
        <v>3115</v>
      </c>
      <c r="G2689" s="36" t="s">
        <v>181</v>
      </c>
      <c r="H2689" s="34" t="s">
        <v>8015</v>
      </c>
      <c r="I2689" s="34" t="s">
        <v>231</v>
      </c>
      <c r="J2689" s="37">
        <v>46177.0</v>
      </c>
      <c r="K2689" s="35" t="s">
        <v>3263</v>
      </c>
      <c r="L2689" s="34">
        <v>3.0</v>
      </c>
      <c r="M2689" s="34" t="s">
        <v>695</v>
      </c>
      <c r="N2689" s="38" t="s">
        <v>8016</v>
      </c>
      <c r="O2689" s="39" t="s">
        <v>8017</v>
      </c>
    </row>
    <row r="2690">
      <c r="A2690" s="32">
        <v>3136.0</v>
      </c>
      <c r="B2690" s="33">
        <v>46178.480169814815</v>
      </c>
      <c r="C2690" s="34" t="s">
        <v>26</v>
      </c>
      <c r="D2690" s="35" t="s">
        <v>318</v>
      </c>
      <c r="E2690" s="35" t="s">
        <v>411</v>
      </c>
      <c r="F2690" s="34" t="s">
        <v>320</v>
      </c>
      <c r="G2690" s="36" t="s">
        <v>181</v>
      </c>
      <c r="H2690" s="34" t="s">
        <v>8018</v>
      </c>
      <c r="I2690" s="34" t="s">
        <v>231</v>
      </c>
      <c r="J2690" s="37">
        <v>46177.0</v>
      </c>
      <c r="K2690" s="35" t="s">
        <v>3287</v>
      </c>
      <c r="L2690" s="34">
        <v>3.0</v>
      </c>
      <c r="M2690" s="34" t="s">
        <v>7948</v>
      </c>
      <c r="N2690" s="38" t="s">
        <v>8019</v>
      </c>
      <c r="O2690" s="39" t="s">
        <v>8020</v>
      </c>
    </row>
    <row r="2691">
      <c r="A2691" s="32">
        <v>3138.0</v>
      </c>
      <c r="B2691" s="33">
        <v>46178.48627270834</v>
      </c>
      <c r="C2691" s="34" t="s">
        <v>760</v>
      </c>
      <c r="D2691" s="35" t="s">
        <v>4976</v>
      </c>
      <c r="E2691" s="35" t="s">
        <v>2338</v>
      </c>
      <c r="F2691" s="34" t="s">
        <v>4977</v>
      </c>
      <c r="G2691" s="36" t="s">
        <v>84</v>
      </c>
      <c r="H2691" s="34" t="s">
        <v>85</v>
      </c>
      <c r="I2691" s="34" t="s">
        <v>8021</v>
      </c>
      <c r="J2691" s="37">
        <v>46067.0</v>
      </c>
      <c r="K2691" s="35" t="s">
        <v>49</v>
      </c>
      <c r="L2691" s="34">
        <v>8.0</v>
      </c>
      <c r="M2691" s="34" t="s">
        <v>8022</v>
      </c>
      <c r="N2691" s="38" t="s">
        <v>8023</v>
      </c>
      <c r="O2691" s="39" t="s">
        <v>8024</v>
      </c>
    </row>
    <row r="2692">
      <c r="A2692" s="32">
        <v>3139.0</v>
      </c>
      <c r="B2692" s="33">
        <v>46178.48848130787</v>
      </c>
      <c r="C2692" s="34" t="s">
        <v>15</v>
      </c>
      <c r="D2692" s="35" t="s">
        <v>2547</v>
      </c>
      <c r="E2692" s="35" t="s">
        <v>110</v>
      </c>
      <c r="F2692" s="34" t="s">
        <v>2548</v>
      </c>
      <c r="G2692" s="36" t="s">
        <v>181</v>
      </c>
      <c r="H2692" s="34" t="s">
        <v>8025</v>
      </c>
      <c r="I2692" s="34" t="s">
        <v>231</v>
      </c>
      <c r="J2692" s="37">
        <v>46177.0</v>
      </c>
      <c r="K2692" s="35" t="s">
        <v>1139</v>
      </c>
      <c r="L2692" s="34">
        <v>3.0</v>
      </c>
      <c r="M2692" s="34" t="s">
        <v>7948</v>
      </c>
      <c r="N2692" s="38" t="s">
        <v>8026</v>
      </c>
      <c r="O2692" s="39" t="s">
        <v>8027</v>
      </c>
    </row>
    <row r="2693">
      <c r="A2693" s="32">
        <v>3140.0</v>
      </c>
      <c r="B2693" s="33">
        <v>46178.49239115741</v>
      </c>
      <c r="C2693" s="34" t="s">
        <v>15</v>
      </c>
      <c r="D2693" s="35" t="s">
        <v>2547</v>
      </c>
      <c r="E2693" s="35" t="s">
        <v>110</v>
      </c>
      <c r="F2693" s="34" t="s">
        <v>2548</v>
      </c>
      <c r="G2693" s="36" t="s">
        <v>19</v>
      </c>
      <c r="H2693" s="34" t="s">
        <v>8028</v>
      </c>
      <c r="I2693" s="34" t="s">
        <v>231</v>
      </c>
      <c r="J2693" s="37">
        <v>46135.0</v>
      </c>
      <c r="K2693" s="35" t="s">
        <v>3924</v>
      </c>
      <c r="L2693" s="34">
        <v>4.0</v>
      </c>
      <c r="M2693" s="34" t="s">
        <v>33</v>
      </c>
      <c r="N2693" s="38" t="s">
        <v>8029</v>
      </c>
      <c r="O2693" s="39" t="s">
        <v>8030</v>
      </c>
    </row>
    <row r="2694">
      <c r="A2694" s="32">
        <v>3141.0</v>
      </c>
      <c r="B2694" s="33">
        <v>46178.49252980324</v>
      </c>
      <c r="C2694" s="34" t="s">
        <v>760</v>
      </c>
      <c r="D2694" s="35" t="s">
        <v>4645</v>
      </c>
      <c r="E2694" s="35" t="s">
        <v>1259</v>
      </c>
      <c r="F2694" s="34" t="s">
        <v>4646</v>
      </c>
      <c r="G2694" s="36" t="s">
        <v>181</v>
      </c>
      <c r="H2694" s="34" t="s">
        <v>7580</v>
      </c>
      <c r="I2694" s="34" t="s">
        <v>231</v>
      </c>
      <c r="J2694" s="37">
        <v>46122.0</v>
      </c>
      <c r="K2694" s="35" t="s">
        <v>957</v>
      </c>
      <c r="L2694" s="34">
        <v>4.0</v>
      </c>
      <c r="M2694" s="34" t="s">
        <v>1064</v>
      </c>
      <c r="N2694" s="38" t="s">
        <v>8031</v>
      </c>
      <c r="O2694" s="39" t="s">
        <v>8032</v>
      </c>
    </row>
    <row r="2695">
      <c r="A2695" s="32">
        <v>3143.0</v>
      </c>
      <c r="B2695" s="33">
        <v>46178.494097118055</v>
      </c>
      <c r="C2695" s="34" t="s">
        <v>760</v>
      </c>
      <c r="D2695" s="35" t="s">
        <v>829</v>
      </c>
      <c r="E2695" s="35" t="s">
        <v>830</v>
      </c>
      <c r="F2695" s="34" t="s">
        <v>831</v>
      </c>
      <c r="G2695" s="36" t="s">
        <v>3171</v>
      </c>
      <c r="H2695" s="34" t="s">
        <v>8033</v>
      </c>
      <c r="I2695" s="34" t="s">
        <v>825</v>
      </c>
      <c r="J2695" s="37">
        <v>46124.0</v>
      </c>
      <c r="K2695" s="35" t="s">
        <v>1139</v>
      </c>
      <c r="L2695" s="34">
        <v>2.0</v>
      </c>
      <c r="M2695" s="34" t="s">
        <v>6658</v>
      </c>
      <c r="N2695" s="38" t="s">
        <v>8034</v>
      </c>
      <c r="O2695" s="39" t="s">
        <v>8035</v>
      </c>
    </row>
    <row r="2696">
      <c r="A2696" s="32">
        <v>3144.0</v>
      </c>
      <c r="B2696" s="33">
        <v>46178.49429184028</v>
      </c>
      <c r="C2696" s="34" t="s">
        <v>15</v>
      </c>
      <c r="D2696" s="35" t="s">
        <v>2547</v>
      </c>
      <c r="E2696" s="35" t="s">
        <v>110</v>
      </c>
      <c r="F2696" s="34" t="s">
        <v>2548</v>
      </c>
      <c r="G2696" s="36" t="s">
        <v>19</v>
      </c>
      <c r="H2696" s="34" t="s">
        <v>7320</v>
      </c>
      <c r="I2696" s="34" t="s">
        <v>231</v>
      </c>
      <c r="J2696" s="37">
        <v>46138.0</v>
      </c>
      <c r="K2696" s="35" t="s">
        <v>3924</v>
      </c>
      <c r="L2696" s="34">
        <v>6.0</v>
      </c>
      <c r="M2696" s="34" t="s">
        <v>33</v>
      </c>
      <c r="N2696" s="38" t="s">
        <v>8036</v>
      </c>
      <c r="O2696" s="39" t="s">
        <v>8037</v>
      </c>
    </row>
    <row r="2697">
      <c r="A2697" s="32">
        <v>3145.0</v>
      </c>
      <c r="B2697" s="33">
        <v>46178.4948678125</v>
      </c>
      <c r="C2697" s="34" t="s">
        <v>760</v>
      </c>
      <c r="D2697" s="35" t="s">
        <v>3395</v>
      </c>
      <c r="E2697" s="35" t="s">
        <v>1097</v>
      </c>
      <c r="F2697" s="34" t="s">
        <v>3396</v>
      </c>
      <c r="G2697" s="36" t="s">
        <v>181</v>
      </c>
      <c r="H2697" s="34" t="s">
        <v>6284</v>
      </c>
      <c r="I2697" s="34" t="s">
        <v>231</v>
      </c>
      <c r="J2697" s="37">
        <v>46177.0</v>
      </c>
      <c r="K2697" s="35" t="s">
        <v>3287</v>
      </c>
      <c r="L2697" s="34">
        <v>3.0</v>
      </c>
      <c r="M2697" s="34" t="s">
        <v>7969</v>
      </c>
      <c r="N2697" s="38" t="s">
        <v>8038</v>
      </c>
      <c r="O2697" s="39" t="s">
        <v>8039</v>
      </c>
    </row>
    <row r="2698">
      <c r="A2698" s="32">
        <v>3146.0</v>
      </c>
      <c r="B2698" s="33">
        <v>46178.49568641203</v>
      </c>
      <c r="C2698" s="34" t="s">
        <v>760</v>
      </c>
      <c r="D2698" s="35" t="s">
        <v>4645</v>
      </c>
      <c r="E2698" s="35" t="s">
        <v>1259</v>
      </c>
      <c r="F2698" s="34" t="s">
        <v>4646</v>
      </c>
      <c r="G2698" s="36" t="s">
        <v>19</v>
      </c>
      <c r="H2698" s="34" t="s">
        <v>5653</v>
      </c>
      <c r="I2698" s="34" t="s">
        <v>5654</v>
      </c>
      <c r="J2698" s="37">
        <v>46078.0</v>
      </c>
      <c r="K2698" s="35" t="s">
        <v>2179</v>
      </c>
      <c r="L2698" s="34">
        <v>8.0</v>
      </c>
      <c r="M2698" s="34" t="s">
        <v>87</v>
      </c>
      <c r="N2698" s="38" t="s">
        <v>8040</v>
      </c>
      <c r="O2698" s="39" t="s">
        <v>8041</v>
      </c>
    </row>
    <row r="2699">
      <c r="A2699" s="32">
        <v>3147.0</v>
      </c>
      <c r="B2699" s="33">
        <v>46178.49582494213</v>
      </c>
      <c r="C2699" s="34" t="s">
        <v>760</v>
      </c>
      <c r="D2699" s="35" t="s">
        <v>4976</v>
      </c>
      <c r="E2699" s="35" t="s">
        <v>2338</v>
      </c>
      <c r="F2699" s="34" t="s">
        <v>4977</v>
      </c>
      <c r="G2699" s="36" t="s">
        <v>181</v>
      </c>
      <c r="H2699" s="34" t="s">
        <v>6347</v>
      </c>
      <c r="I2699" s="34" t="s">
        <v>6356</v>
      </c>
      <c r="J2699" s="37">
        <v>46177.0</v>
      </c>
      <c r="K2699" s="35" t="s">
        <v>3287</v>
      </c>
      <c r="L2699" s="34">
        <v>3.0</v>
      </c>
      <c r="M2699" s="34" t="s">
        <v>7948</v>
      </c>
      <c r="N2699" s="38" t="s">
        <v>8042</v>
      </c>
      <c r="O2699" s="39" t="s">
        <v>8043</v>
      </c>
    </row>
    <row r="2700">
      <c r="A2700" s="32">
        <v>3148.0</v>
      </c>
      <c r="B2700" s="33">
        <v>46178.49704023148</v>
      </c>
      <c r="C2700" s="34" t="s">
        <v>15</v>
      </c>
      <c r="D2700" s="35" t="s">
        <v>2547</v>
      </c>
      <c r="E2700" s="35" t="s">
        <v>110</v>
      </c>
      <c r="F2700" s="34" t="s">
        <v>2548</v>
      </c>
      <c r="G2700" s="36" t="s">
        <v>19</v>
      </c>
      <c r="H2700" s="34" t="s">
        <v>7320</v>
      </c>
      <c r="I2700" s="34" t="s">
        <v>231</v>
      </c>
      <c r="J2700" s="37">
        <v>46139.0</v>
      </c>
      <c r="K2700" s="35" t="s">
        <v>3924</v>
      </c>
      <c r="L2700" s="34">
        <v>4.0</v>
      </c>
      <c r="M2700" s="34" t="s">
        <v>33</v>
      </c>
      <c r="N2700" s="38" t="s">
        <v>8044</v>
      </c>
      <c r="O2700" s="39" t="s">
        <v>8045</v>
      </c>
    </row>
    <row r="2701">
      <c r="A2701" s="32">
        <v>3149.0</v>
      </c>
      <c r="B2701" s="33">
        <v>46178.50966473379</v>
      </c>
      <c r="C2701" s="34" t="s">
        <v>760</v>
      </c>
      <c r="D2701" s="35" t="s">
        <v>892</v>
      </c>
      <c r="E2701" s="35" t="s">
        <v>893</v>
      </c>
      <c r="F2701" s="34" t="s">
        <v>899</v>
      </c>
      <c r="G2701" s="36" t="s">
        <v>181</v>
      </c>
      <c r="H2701" s="34" t="s">
        <v>6347</v>
      </c>
      <c r="I2701" s="34" t="s">
        <v>6356</v>
      </c>
      <c r="J2701" s="37">
        <v>46164.0</v>
      </c>
      <c r="K2701" s="34" t="s">
        <v>3607</v>
      </c>
      <c r="L2701" s="38" t="s">
        <v>8046</v>
      </c>
      <c r="M2701" s="34" t="s">
        <v>3607</v>
      </c>
      <c r="N2701" s="38" t="s">
        <v>8046</v>
      </c>
      <c r="O2701" s="39" t="s">
        <v>8047</v>
      </c>
    </row>
    <row r="2702">
      <c r="A2702" s="32">
        <v>3150.0</v>
      </c>
      <c r="B2702" s="33">
        <v>46178.53448760416</v>
      </c>
      <c r="C2702" s="34" t="s">
        <v>760</v>
      </c>
      <c r="D2702" s="35" t="s">
        <v>4976</v>
      </c>
      <c r="E2702" s="35" t="s">
        <v>2338</v>
      </c>
      <c r="F2702" s="34" t="s">
        <v>4977</v>
      </c>
      <c r="G2702" s="36" t="s">
        <v>144</v>
      </c>
      <c r="H2702" s="34" t="s">
        <v>150</v>
      </c>
      <c r="I2702" s="34" t="s">
        <v>8048</v>
      </c>
      <c r="J2702" s="37">
        <v>46088.0</v>
      </c>
      <c r="K2702" s="35" t="s">
        <v>753</v>
      </c>
      <c r="L2702" s="34">
        <v>2.0</v>
      </c>
      <c r="M2702" s="34" t="s">
        <v>7701</v>
      </c>
      <c r="N2702" s="38" t="s">
        <v>8049</v>
      </c>
      <c r="O2702" s="39" t="s">
        <v>8050</v>
      </c>
    </row>
    <row r="2703">
      <c r="A2703" s="32">
        <v>3151.0</v>
      </c>
      <c r="B2703" s="33">
        <v>46178.537119768516</v>
      </c>
      <c r="C2703" s="34" t="s">
        <v>760</v>
      </c>
      <c r="D2703" s="35" t="s">
        <v>4976</v>
      </c>
      <c r="E2703" s="35" t="s">
        <v>2338</v>
      </c>
      <c r="F2703" s="34" t="s">
        <v>4977</v>
      </c>
      <c r="G2703" s="36" t="s">
        <v>209</v>
      </c>
      <c r="H2703" s="34" t="s">
        <v>8051</v>
      </c>
      <c r="I2703" s="34" t="s">
        <v>825</v>
      </c>
      <c r="J2703" s="37">
        <v>46081.0</v>
      </c>
      <c r="K2703" s="35" t="s">
        <v>2102</v>
      </c>
      <c r="L2703" s="34">
        <v>1.0</v>
      </c>
      <c r="M2703" s="34" t="s">
        <v>5240</v>
      </c>
      <c r="N2703" s="38" t="s">
        <v>8052</v>
      </c>
      <c r="O2703" s="39" t="s">
        <v>8053</v>
      </c>
    </row>
    <row r="2704">
      <c r="A2704" s="32">
        <v>3152.0</v>
      </c>
      <c r="B2704" s="33">
        <v>46178.544146851855</v>
      </c>
      <c r="C2704" s="34" t="s">
        <v>26</v>
      </c>
      <c r="D2704" s="35" t="s">
        <v>1252</v>
      </c>
      <c r="E2704" s="35" t="s">
        <v>1253</v>
      </c>
      <c r="F2704" s="34" t="s">
        <v>1254</v>
      </c>
      <c r="G2704" s="36" t="s">
        <v>181</v>
      </c>
      <c r="H2704" s="34" t="s">
        <v>7965</v>
      </c>
      <c r="I2704" s="34" t="s">
        <v>231</v>
      </c>
      <c r="J2704" s="37">
        <v>46177.0</v>
      </c>
      <c r="K2704" s="35" t="s">
        <v>7966</v>
      </c>
      <c r="L2704" s="34">
        <v>3.0</v>
      </c>
      <c r="M2704" s="34" t="s">
        <v>695</v>
      </c>
      <c r="N2704" s="38" t="s">
        <v>8054</v>
      </c>
      <c r="O2704" s="39" t="s">
        <v>8055</v>
      </c>
    </row>
    <row r="2705">
      <c r="A2705" s="32">
        <v>3153.0</v>
      </c>
      <c r="B2705" s="33">
        <v>46178.5627594213</v>
      </c>
      <c r="C2705" s="34" t="s">
        <v>26</v>
      </c>
      <c r="D2705" s="35" t="s">
        <v>117</v>
      </c>
      <c r="E2705" s="35" t="s">
        <v>118</v>
      </c>
      <c r="F2705" s="34" t="s">
        <v>119</v>
      </c>
      <c r="G2705" s="36" t="s">
        <v>181</v>
      </c>
      <c r="H2705" s="34" t="s">
        <v>7874</v>
      </c>
      <c r="I2705" s="34" t="s">
        <v>314</v>
      </c>
      <c r="J2705" s="37">
        <v>46176.0</v>
      </c>
      <c r="K2705" s="35" t="s">
        <v>1458</v>
      </c>
      <c r="L2705" s="34">
        <v>1.0</v>
      </c>
      <c r="M2705" s="34" t="s">
        <v>1559</v>
      </c>
      <c r="N2705" s="38" t="s">
        <v>8056</v>
      </c>
      <c r="O2705" s="39" t="s">
        <v>8057</v>
      </c>
    </row>
    <row r="2706">
      <c r="A2706" s="32">
        <v>3154.0</v>
      </c>
      <c r="B2706" s="33">
        <v>46178.56493342592</v>
      </c>
      <c r="C2706" s="34" t="s">
        <v>26</v>
      </c>
      <c r="D2706" s="35" t="s">
        <v>117</v>
      </c>
      <c r="E2706" s="35" t="s">
        <v>118</v>
      </c>
      <c r="F2706" s="34" t="s">
        <v>119</v>
      </c>
      <c r="G2706" s="36" t="s">
        <v>181</v>
      </c>
      <c r="H2706" s="34" t="s">
        <v>7874</v>
      </c>
      <c r="I2706" s="34" t="s">
        <v>314</v>
      </c>
      <c r="J2706" s="37">
        <v>46177.0</v>
      </c>
      <c r="K2706" s="35" t="s">
        <v>1458</v>
      </c>
      <c r="L2706" s="34">
        <v>1.0</v>
      </c>
      <c r="M2706" s="34" t="s">
        <v>1559</v>
      </c>
      <c r="N2706" s="38" t="s">
        <v>8058</v>
      </c>
      <c r="O2706" s="39" t="s">
        <v>8059</v>
      </c>
    </row>
    <row r="2707">
      <c r="A2707" s="32">
        <v>3155.0</v>
      </c>
      <c r="B2707" s="33">
        <v>46178.568298391205</v>
      </c>
      <c r="C2707" s="34" t="s">
        <v>26</v>
      </c>
      <c r="D2707" s="35" t="s">
        <v>117</v>
      </c>
      <c r="E2707" s="35" t="s">
        <v>118</v>
      </c>
      <c r="F2707" s="34" t="s">
        <v>119</v>
      </c>
      <c r="G2707" s="36" t="s">
        <v>181</v>
      </c>
      <c r="H2707" s="34" t="s">
        <v>7965</v>
      </c>
      <c r="I2707" s="34" t="s">
        <v>314</v>
      </c>
      <c r="J2707" s="37">
        <v>46177.0</v>
      </c>
      <c r="K2707" s="35" t="s">
        <v>7966</v>
      </c>
      <c r="L2707" s="34">
        <v>3.0</v>
      </c>
      <c r="M2707" s="34" t="s">
        <v>695</v>
      </c>
      <c r="N2707" s="38" t="s">
        <v>8060</v>
      </c>
      <c r="O2707" s="39" t="s">
        <v>8061</v>
      </c>
    </row>
    <row r="2708">
      <c r="A2708" s="32">
        <v>3156.0</v>
      </c>
      <c r="B2708" s="33">
        <v>46178.57348825231</v>
      </c>
      <c r="C2708" s="34" t="s">
        <v>26</v>
      </c>
      <c r="D2708" s="35" t="s">
        <v>1007</v>
      </c>
      <c r="E2708" s="35" t="s">
        <v>479</v>
      </c>
      <c r="F2708" s="34" t="s">
        <v>480</v>
      </c>
      <c r="G2708" s="36" t="s">
        <v>181</v>
      </c>
      <c r="H2708" s="34" t="s">
        <v>7965</v>
      </c>
      <c r="I2708" s="34" t="s">
        <v>231</v>
      </c>
      <c r="J2708" s="37">
        <v>46177.0</v>
      </c>
      <c r="K2708" s="35" t="s">
        <v>7966</v>
      </c>
      <c r="L2708" s="34">
        <v>3.0</v>
      </c>
      <c r="M2708" s="34" t="s">
        <v>695</v>
      </c>
      <c r="N2708" s="38" t="s">
        <v>8062</v>
      </c>
      <c r="O2708" s="39" t="s">
        <v>8063</v>
      </c>
    </row>
    <row r="2709">
      <c r="A2709" s="32">
        <v>3157.0</v>
      </c>
      <c r="B2709" s="33">
        <v>46178.58931239584</v>
      </c>
      <c r="C2709" s="34" t="s">
        <v>26</v>
      </c>
      <c r="D2709" s="35" t="s">
        <v>1007</v>
      </c>
      <c r="E2709" s="35" t="s">
        <v>479</v>
      </c>
      <c r="F2709" s="34" t="s">
        <v>480</v>
      </c>
      <c r="G2709" s="36" t="s">
        <v>181</v>
      </c>
      <c r="H2709" s="34" t="s">
        <v>6010</v>
      </c>
      <c r="I2709" s="34" t="s">
        <v>8064</v>
      </c>
      <c r="J2709" s="37">
        <v>46147.0</v>
      </c>
      <c r="K2709" s="35" t="s">
        <v>6012</v>
      </c>
      <c r="L2709" s="34">
        <v>3.0</v>
      </c>
      <c r="M2709" s="34" t="s">
        <v>1325</v>
      </c>
      <c r="N2709" s="38" t="s">
        <v>8065</v>
      </c>
      <c r="O2709" s="39" t="s">
        <v>8066</v>
      </c>
    </row>
    <row r="2710">
      <c r="A2710" s="32">
        <v>3158.0</v>
      </c>
      <c r="B2710" s="33">
        <v>46178.60719648148</v>
      </c>
      <c r="C2710" s="34" t="s">
        <v>26</v>
      </c>
      <c r="D2710" s="35" t="s">
        <v>934</v>
      </c>
      <c r="E2710" s="35" t="s">
        <v>674</v>
      </c>
      <c r="F2710" s="34" t="s">
        <v>935</v>
      </c>
      <c r="G2710" s="36" t="s">
        <v>181</v>
      </c>
      <c r="H2710" s="34" t="s">
        <v>6010</v>
      </c>
      <c r="I2710" s="34" t="s">
        <v>6011</v>
      </c>
      <c r="J2710" s="37">
        <v>46147.0</v>
      </c>
      <c r="K2710" s="35" t="s">
        <v>6012</v>
      </c>
      <c r="L2710" s="34">
        <v>3.0</v>
      </c>
      <c r="M2710" s="34" t="s">
        <v>1325</v>
      </c>
      <c r="N2710" s="38" t="s">
        <v>8067</v>
      </c>
      <c r="O2710" s="39" t="s">
        <v>8068</v>
      </c>
    </row>
    <row r="2711">
      <c r="A2711" s="32">
        <v>3159.0</v>
      </c>
      <c r="B2711" s="33">
        <v>46178.61023394676</v>
      </c>
      <c r="C2711" s="34" t="s">
        <v>26</v>
      </c>
      <c r="D2711" s="35" t="s">
        <v>934</v>
      </c>
      <c r="E2711" s="35" t="s">
        <v>674</v>
      </c>
      <c r="F2711" s="34" t="s">
        <v>935</v>
      </c>
      <c r="G2711" s="36" t="s">
        <v>181</v>
      </c>
      <c r="H2711" s="34" t="s">
        <v>7965</v>
      </c>
      <c r="I2711" s="34" t="s">
        <v>231</v>
      </c>
      <c r="J2711" s="37">
        <v>46177.0</v>
      </c>
      <c r="K2711" s="35" t="s">
        <v>7966</v>
      </c>
      <c r="L2711" s="34">
        <v>3.0</v>
      </c>
      <c r="M2711" s="34" t="s">
        <v>7969</v>
      </c>
      <c r="N2711" s="38" t="s">
        <v>8069</v>
      </c>
      <c r="O2711" s="39" t="s">
        <v>8070</v>
      </c>
    </row>
    <row r="2712">
      <c r="A2712" s="32">
        <v>3160.0</v>
      </c>
      <c r="B2712" s="33">
        <v>46179.52768532408</v>
      </c>
      <c r="C2712" s="34" t="s">
        <v>26</v>
      </c>
      <c r="D2712" s="35" t="s">
        <v>109</v>
      </c>
      <c r="E2712" s="35" t="s">
        <v>881</v>
      </c>
      <c r="F2712" s="34" t="s">
        <v>111</v>
      </c>
      <c r="G2712" s="36" t="s">
        <v>181</v>
      </c>
      <c r="H2712" s="34" t="s">
        <v>8071</v>
      </c>
      <c r="I2712" s="34" t="s">
        <v>1211</v>
      </c>
      <c r="J2712" s="37">
        <v>46113.0</v>
      </c>
      <c r="K2712" s="35" t="s">
        <v>518</v>
      </c>
      <c r="L2712" s="34">
        <v>2.0</v>
      </c>
      <c r="M2712" s="34" t="s">
        <v>1648</v>
      </c>
      <c r="N2712" s="38" t="s">
        <v>8072</v>
      </c>
      <c r="O2712" s="39" t="s">
        <v>8073</v>
      </c>
    </row>
    <row r="2713">
      <c r="A2713" s="32">
        <v>3161.0</v>
      </c>
      <c r="B2713" s="33">
        <v>46179.535915370376</v>
      </c>
      <c r="C2713" s="34" t="s">
        <v>26</v>
      </c>
      <c r="D2713" s="35" t="s">
        <v>1724</v>
      </c>
      <c r="E2713" s="35" t="s">
        <v>1725</v>
      </c>
      <c r="F2713" s="34" t="s">
        <v>1726</v>
      </c>
      <c r="G2713" s="36" t="s">
        <v>181</v>
      </c>
      <c r="H2713" s="34" t="s">
        <v>8071</v>
      </c>
      <c r="I2713" s="34" t="s">
        <v>231</v>
      </c>
      <c r="J2713" s="37">
        <v>46113.0</v>
      </c>
      <c r="K2713" s="35" t="s">
        <v>518</v>
      </c>
      <c r="L2713" s="34">
        <v>2.0</v>
      </c>
      <c r="M2713" s="34" t="s">
        <v>1648</v>
      </c>
      <c r="N2713" s="38" t="s">
        <v>8074</v>
      </c>
      <c r="O2713" s="39" t="s">
        <v>8075</v>
      </c>
    </row>
    <row r="2714">
      <c r="A2714" s="32">
        <v>3162.0</v>
      </c>
      <c r="B2714" s="33">
        <v>46179.53778143518</v>
      </c>
      <c r="C2714" s="34" t="s">
        <v>26</v>
      </c>
      <c r="D2714" s="35" t="s">
        <v>1724</v>
      </c>
      <c r="E2714" s="35" t="s">
        <v>1725</v>
      </c>
      <c r="F2714" s="34" t="s">
        <v>1726</v>
      </c>
      <c r="G2714" s="36" t="s">
        <v>181</v>
      </c>
      <c r="H2714" s="34" t="s">
        <v>8071</v>
      </c>
      <c r="I2714" s="34" t="s">
        <v>231</v>
      </c>
      <c r="J2714" s="37">
        <v>46114.0</v>
      </c>
      <c r="K2714" s="35" t="s">
        <v>518</v>
      </c>
      <c r="L2714" s="34">
        <v>2.0</v>
      </c>
      <c r="M2714" s="34" t="s">
        <v>1648</v>
      </c>
      <c r="N2714" s="38" t="s">
        <v>8076</v>
      </c>
      <c r="O2714" s="39" t="s">
        <v>8077</v>
      </c>
    </row>
    <row r="2715">
      <c r="A2715" s="32">
        <v>3163.0</v>
      </c>
      <c r="B2715" s="33">
        <v>46179.53939466435</v>
      </c>
      <c r="C2715" s="34" t="s">
        <v>26</v>
      </c>
      <c r="D2715" s="35" t="s">
        <v>1724</v>
      </c>
      <c r="E2715" s="35" t="s">
        <v>1725</v>
      </c>
      <c r="F2715" s="34" t="s">
        <v>1726</v>
      </c>
      <c r="G2715" s="36" t="s">
        <v>181</v>
      </c>
      <c r="H2715" s="34" t="s">
        <v>8071</v>
      </c>
      <c r="I2715" s="34" t="s">
        <v>231</v>
      </c>
      <c r="J2715" s="37">
        <v>46120.0</v>
      </c>
      <c r="K2715" s="35" t="s">
        <v>518</v>
      </c>
      <c r="L2715" s="34">
        <v>2.0</v>
      </c>
      <c r="M2715" s="34" t="s">
        <v>1648</v>
      </c>
      <c r="N2715" s="38" t="s">
        <v>8078</v>
      </c>
      <c r="O2715" s="39" t="s">
        <v>8079</v>
      </c>
    </row>
    <row r="2716">
      <c r="A2716" s="32">
        <v>3164.0</v>
      </c>
      <c r="B2716" s="33">
        <v>46179.54200755787</v>
      </c>
      <c r="C2716" s="34" t="s">
        <v>26</v>
      </c>
      <c r="D2716" s="35" t="s">
        <v>1724</v>
      </c>
      <c r="E2716" s="35" t="s">
        <v>1725</v>
      </c>
      <c r="F2716" s="34" t="s">
        <v>1726</v>
      </c>
      <c r="G2716" s="36" t="s">
        <v>181</v>
      </c>
      <c r="H2716" s="34" t="s">
        <v>8080</v>
      </c>
      <c r="I2716" s="34" t="s">
        <v>231</v>
      </c>
      <c r="J2716" s="37">
        <v>46177.0</v>
      </c>
      <c r="K2716" s="35" t="s">
        <v>7966</v>
      </c>
      <c r="L2716" s="34">
        <v>3.0</v>
      </c>
      <c r="M2716" s="34" t="s">
        <v>7969</v>
      </c>
      <c r="N2716" s="38" t="s">
        <v>8081</v>
      </c>
      <c r="O2716" s="39" t="s">
        <v>8082</v>
      </c>
    </row>
    <row r="2717">
      <c r="A2717" s="32">
        <v>3165.0</v>
      </c>
      <c r="B2717" s="33">
        <v>46179.67341928241</v>
      </c>
      <c r="C2717" s="34" t="s">
        <v>760</v>
      </c>
      <c r="D2717" s="35" t="s">
        <v>4976</v>
      </c>
      <c r="E2717" s="35" t="s">
        <v>2338</v>
      </c>
      <c r="F2717" s="34" t="s">
        <v>4977</v>
      </c>
      <c r="G2717" s="36" t="s">
        <v>144</v>
      </c>
      <c r="H2717" s="34" t="s">
        <v>730</v>
      </c>
      <c r="I2717" s="34" t="s">
        <v>8083</v>
      </c>
      <c r="J2717" s="37">
        <v>46025.0</v>
      </c>
      <c r="K2717" s="35" t="s">
        <v>1922</v>
      </c>
      <c r="L2717" s="34">
        <v>2.0</v>
      </c>
      <c r="M2717" s="34" t="s">
        <v>8084</v>
      </c>
      <c r="N2717" s="38" t="s">
        <v>8085</v>
      </c>
      <c r="O2717" s="39" t="s">
        <v>8086</v>
      </c>
    </row>
    <row r="2718">
      <c r="A2718" s="32">
        <v>3166.0</v>
      </c>
      <c r="B2718" s="33">
        <v>46179.67538392361</v>
      </c>
      <c r="C2718" s="34" t="s">
        <v>760</v>
      </c>
      <c r="D2718" s="35" t="s">
        <v>4976</v>
      </c>
      <c r="E2718" s="35" t="s">
        <v>2338</v>
      </c>
      <c r="F2718" s="34" t="s">
        <v>4977</v>
      </c>
      <c r="G2718" s="36" t="s">
        <v>144</v>
      </c>
      <c r="H2718" s="34" t="s">
        <v>150</v>
      </c>
      <c r="I2718" s="34" t="s">
        <v>8048</v>
      </c>
      <c r="J2718" s="37">
        <v>46088.0</v>
      </c>
      <c r="K2718" s="35" t="s">
        <v>753</v>
      </c>
      <c r="L2718" s="34">
        <v>2.0</v>
      </c>
      <c r="M2718" s="34" t="s">
        <v>8084</v>
      </c>
      <c r="N2718" s="38" t="s">
        <v>8087</v>
      </c>
      <c r="O2718" s="39" t="s">
        <v>8088</v>
      </c>
    </row>
    <row r="2719">
      <c r="A2719" s="32">
        <v>3167.0</v>
      </c>
      <c r="B2719" s="33">
        <v>46179.68190649306</v>
      </c>
      <c r="C2719" s="34" t="s">
        <v>760</v>
      </c>
      <c r="D2719" s="35" t="s">
        <v>4976</v>
      </c>
      <c r="E2719" s="35" t="s">
        <v>2338</v>
      </c>
      <c r="F2719" s="34" t="s">
        <v>4977</v>
      </c>
      <c r="G2719" s="36" t="s">
        <v>84</v>
      </c>
      <c r="H2719" s="34" t="s">
        <v>455</v>
      </c>
      <c r="I2719" s="34" t="s">
        <v>8089</v>
      </c>
      <c r="J2719" s="37">
        <v>46095.0</v>
      </c>
      <c r="K2719" s="35" t="s">
        <v>49</v>
      </c>
      <c r="L2719" s="34">
        <v>8.0</v>
      </c>
      <c r="M2719" s="34" t="s">
        <v>8090</v>
      </c>
      <c r="N2719" s="38" t="s">
        <v>8091</v>
      </c>
      <c r="O2719" s="39" t="s">
        <v>8092</v>
      </c>
    </row>
    <row r="2720">
      <c r="A2720" s="32">
        <v>3168.0</v>
      </c>
      <c r="B2720" s="33">
        <v>46179.73174427083</v>
      </c>
      <c r="C2720" s="34" t="s">
        <v>15</v>
      </c>
      <c r="D2720" s="35" t="s">
        <v>2805</v>
      </c>
      <c r="E2720" s="35" t="s">
        <v>893</v>
      </c>
      <c r="F2720" s="34" t="s">
        <v>2806</v>
      </c>
      <c r="G2720" s="36" t="s">
        <v>181</v>
      </c>
      <c r="H2720" s="34" t="s">
        <v>5341</v>
      </c>
      <c r="I2720" s="34" t="s">
        <v>5342</v>
      </c>
      <c r="J2720" s="37">
        <v>46094.0</v>
      </c>
      <c r="K2720" s="35" t="s">
        <v>457</v>
      </c>
      <c r="L2720" s="34">
        <v>1.0</v>
      </c>
      <c r="M2720" s="34" t="s">
        <v>5343</v>
      </c>
      <c r="N2720" s="38" t="s">
        <v>8093</v>
      </c>
      <c r="O2720" s="39" t="s">
        <v>8094</v>
      </c>
    </row>
    <row r="2721">
      <c r="A2721" s="32">
        <v>3169.0</v>
      </c>
      <c r="B2721" s="33">
        <v>46179.73554649306</v>
      </c>
      <c r="C2721" s="34" t="s">
        <v>15</v>
      </c>
      <c r="D2721" s="35" t="s">
        <v>2805</v>
      </c>
      <c r="E2721" s="35" t="s">
        <v>893</v>
      </c>
      <c r="F2721" s="34" t="s">
        <v>2806</v>
      </c>
      <c r="G2721" s="36" t="s">
        <v>181</v>
      </c>
      <c r="H2721" s="34" t="s">
        <v>8095</v>
      </c>
      <c r="I2721" s="34" t="s">
        <v>231</v>
      </c>
      <c r="J2721" s="37">
        <v>46177.0</v>
      </c>
      <c r="K2721" s="35" t="s">
        <v>3263</v>
      </c>
      <c r="L2721" s="34">
        <v>3.0</v>
      </c>
      <c r="M2721" s="34" t="s">
        <v>695</v>
      </c>
      <c r="N2721" s="38" t="s">
        <v>8096</v>
      </c>
      <c r="O2721" s="39" t="s">
        <v>8097</v>
      </c>
    </row>
    <row r="2722">
      <c r="A2722" s="32">
        <v>3170.0</v>
      </c>
      <c r="B2722" s="33">
        <v>46179.73762424769</v>
      </c>
      <c r="C2722" s="34" t="s">
        <v>15</v>
      </c>
      <c r="D2722" s="35" t="s">
        <v>2805</v>
      </c>
      <c r="E2722" s="35" t="s">
        <v>893</v>
      </c>
      <c r="F2722" s="34" t="s">
        <v>2806</v>
      </c>
      <c r="G2722" s="36" t="s">
        <v>19</v>
      </c>
      <c r="H2722" s="34" t="s">
        <v>5858</v>
      </c>
      <c r="I2722" s="34" t="s">
        <v>5362</v>
      </c>
      <c r="J2722" s="37">
        <v>46121.0</v>
      </c>
      <c r="K2722" s="35" t="s">
        <v>49</v>
      </c>
      <c r="L2722" s="34">
        <v>8.0</v>
      </c>
      <c r="M2722" s="34" t="s">
        <v>244</v>
      </c>
      <c r="N2722" s="38" t="s">
        <v>8098</v>
      </c>
      <c r="O2722" s="39" t="s">
        <v>8099</v>
      </c>
    </row>
    <row r="2723">
      <c r="A2723" s="32">
        <v>3171.0</v>
      </c>
      <c r="B2723" s="33">
        <v>46179.740302708335</v>
      </c>
      <c r="C2723" s="34" t="s">
        <v>15</v>
      </c>
      <c r="D2723" s="35" t="s">
        <v>2805</v>
      </c>
      <c r="E2723" s="35" t="s">
        <v>893</v>
      </c>
      <c r="F2723" s="34" t="s">
        <v>2806</v>
      </c>
      <c r="G2723" s="36" t="s">
        <v>181</v>
      </c>
      <c r="H2723" s="34" t="s">
        <v>7527</v>
      </c>
      <c r="I2723" s="34" t="s">
        <v>5444</v>
      </c>
      <c r="J2723" s="37">
        <v>46143.0</v>
      </c>
      <c r="K2723" s="35" t="s">
        <v>22</v>
      </c>
      <c r="L2723" s="34">
        <v>4.0</v>
      </c>
      <c r="M2723" s="34" t="s">
        <v>6871</v>
      </c>
      <c r="N2723" s="38" t="s">
        <v>8100</v>
      </c>
      <c r="O2723" s="39" t="s">
        <v>8101</v>
      </c>
    </row>
    <row r="2724">
      <c r="A2724" s="32">
        <v>3172.0</v>
      </c>
      <c r="B2724" s="33">
        <v>46179.74314731482</v>
      </c>
      <c r="C2724" s="34" t="s">
        <v>15</v>
      </c>
      <c r="D2724" s="35" t="s">
        <v>2805</v>
      </c>
      <c r="E2724" s="35" t="s">
        <v>893</v>
      </c>
      <c r="F2724" s="34" t="s">
        <v>2806</v>
      </c>
      <c r="G2724" s="36" t="s">
        <v>181</v>
      </c>
      <c r="H2724" s="34" t="s">
        <v>5873</v>
      </c>
      <c r="I2724" s="34" t="s">
        <v>5874</v>
      </c>
      <c r="J2724" s="37">
        <v>46147.0</v>
      </c>
      <c r="K2724" s="35" t="s">
        <v>315</v>
      </c>
      <c r="L2724" s="34">
        <v>8.0</v>
      </c>
      <c r="M2724" s="34" t="s">
        <v>244</v>
      </c>
      <c r="N2724" s="38" t="s">
        <v>8102</v>
      </c>
      <c r="O2724" s="39" t="s">
        <v>8103</v>
      </c>
    </row>
    <row r="2725">
      <c r="A2725" s="32">
        <v>3174.0</v>
      </c>
      <c r="B2725" s="33">
        <v>46179.78622850694</v>
      </c>
      <c r="C2725" s="34" t="s">
        <v>26</v>
      </c>
      <c r="D2725" s="35" t="s">
        <v>2108</v>
      </c>
      <c r="E2725" s="35" t="s">
        <v>1116</v>
      </c>
      <c r="F2725" s="34" t="s">
        <v>2109</v>
      </c>
      <c r="G2725" s="36" t="s">
        <v>181</v>
      </c>
      <c r="H2725" s="34" t="s">
        <v>5998</v>
      </c>
      <c r="I2725" s="34" t="s">
        <v>5437</v>
      </c>
      <c r="J2725" s="37">
        <v>46139.0</v>
      </c>
      <c r="K2725" s="35" t="s">
        <v>962</v>
      </c>
      <c r="L2725" s="34">
        <v>4.0</v>
      </c>
      <c r="M2725" s="34" t="s">
        <v>33</v>
      </c>
      <c r="N2725" s="38" t="s">
        <v>8104</v>
      </c>
      <c r="O2725" s="39" t="s">
        <v>8105</v>
      </c>
    </row>
    <row r="2726">
      <c r="A2726" s="32">
        <v>3175.0</v>
      </c>
      <c r="B2726" s="33">
        <v>46179.78903880787</v>
      </c>
      <c r="C2726" s="34" t="s">
        <v>26</v>
      </c>
      <c r="D2726" s="35" t="s">
        <v>2108</v>
      </c>
      <c r="E2726" s="35" t="s">
        <v>1116</v>
      </c>
      <c r="F2726" s="34" t="s">
        <v>2109</v>
      </c>
      <c r="G2726" s="36" t="s">
        <v>181</v>
      </c>
      <c r="H2726" s="34" t="s">
        <v>6022</v>
      </c>
      <c r="I2726" s="34" t="s">
        <v>6026</v>
      </c>
      <c r="J2726" s="37">
        <v>46147.0</v>
      </c>
      <c r="K2726" s="35" t="s">
        <v>3287</v>
      </c>
      <c r="L2726" s="34">
        <v>3.0</v>
      </c>
      <c r="M2726" s="34" t="s">
        <v>1325</v>
      </c>
      <c r="N2726" s="38" t="s">
        <v>8106</v>
      </c>
      <c r="O2726" s="39" t="s">
        <v>8107</v>
      </c>
    </row>
    <row r="2727">
      <c r="A2727" s="32">
        <v>3176.0</v>
      </c>
      <c r="B2727" s="33">
        <v>46179.79184019676</v>
      </c>
      <c r="C2727" s="34" t="s">
        <v>26</v>
      </c>
      <c r="D2727" s="35" t="s">
        <v>2108</v>
      </c>
      <c r="E2727" s="35" t="s">
        <v>1116</v>
      </c>
      <c r="F2727" s="34" t="s">
        <v>2109</v>
      </c>
      <c r="G2727" s="36" t="s">
        <v>181</v>
      </c>
      <c r="H2727" s="34" t="s">
        <v>7965</v>
      </c>
      <c r="I2727" s="34" t="s">
        <v>231</v>
      </c>
      <c r="J2727" s="37">
        <v>46177.0</v>
      </c>
      <c r="K2727" s="35" t="s">
        <v>7966</v>
      </c>
      <c r="L2727" s="34">
        <v>3.0</v>
      </c>
      <c r="M2727" s="34" t="s">
        <v>695</v>
      </c>
      <c r="N2727" s="38" t="s">
        <v>8108</v>
      </c>
      <c r="O2727" s="39" t="s">
        <v>8109</v>
      </c>
    </row>
    <row r="2728">
      <c r="A2728" s="32">
        <v>3177.0</v>
      </c>
      <c r="B2728" s="33">
        <v>46179.79582299769</v>
      </c>
      <c r="C2728" s="34" t="s">
        <v>26</v>
      </c>
      <c r="D2728" s="35" t="s">
        <v>2108</v>
      </c>
      <c r="E2728" s="35" t="s">
        <v>1116</v>
      </c>
      <c r="F2728" s="34" t="s">
        <v>2109</v>
      </c>
      <c r="G2728" s="36" t="s">
        <v>181</v>
      </c>
      <c r="H2728" s="34" t="s">
        <v>7874</v>
      </c>
      <c r="I2728" s="34" t="s">
        <v>231</v>
      </c>
      <c r="J2728" s="37">
        <v>46176.0</v>
      </c>
      <c r="K2728" s="35" t="s">
        <v>1458</v>
      </c>
      <c r="L2728" s="34">
        <v>1.0</v>
      </c>
      <c r="M2728" s="34" t="s">
        <v>6816</v>
      </c>
      <c r="N2728" s="38" t="s">
        <v>8110</v>
      </c>
      <c r="O2728" s="39" t="s">
        <v>8111</v>
      </c>
    </row>
    <row r="2729">
      <c r="A2729" s="32">
        <v>3178.0</v>
      </c>
      <c r="B2729" s="33">
        <v>46179.80107262731</v>
      </c>
      <c r="C2729" s="34" t="s">
        <v>26</v>
      </c>
      <c r="D2729" s="35" t="s">
        <v>2108</v>
      </c>
      <c r="E2729" s="35" t="s">
        <v>1116</v>
      </c>
      <c r="F2729" s="34" t="s">
        <v>2109</v>
      </c>
      <c r="G2729" s="36" t="s">
        <v>84</v>
      </c>
      <c r="H2729" s="34" t="s">
        <v>85</v>
      </c>
      <c r="I2729" s="34" t="s">
        <v>8112</v>
      </c>
      <c r="J2729" s="37">
        <v>46177.0</v>
      </c>
      <c r="K2729" s="35" t="s">
        <v>1032</v>
      </c>
      <c r="L2729" s="34">
        <v>8.0</v>
      </c>
      <c r="M2729" s="34" t="s">
        <v>860</v>
      </c>
      <c r="N2729" s="38" t="s">
        <v>8113</v>
      </c>
      <c r="O2729" s="39" t="s">
        <v>8114</v>
      </c>
    </row>
    <row r="2730">
      <c r="A2730" s="32">
        <v>3179.0</v>
      </c>
      <c r="B2730" s="33">
        <v>46179.861605937505</v>
      </c>
      <c r="C2730" s="34" t="s">
        <v>26</v>
      </c>
      <c r="D2730" s="35" t="s">
        <v>1476</v>
      </c>
      <c r="E2730" s="35" t="s">
        <v>547</v>
      </c>
      <c r="F2730" s="34" t="s">
        <v>1477</v>
      </c>
      <c r="G2730" s="36" t="s">
        <v>181</v>
      </c>
      <c r="H2730" s="34" t="s">
        <v>8080</v>
      </c>
      <c r="I2730" s="34" t="s">
        <v>231</v>
      </c>
      <c r="J2730" s="37">
        <v>46177.0</v>
      </c>
      <c r="K2730" s="35" t="s">
        <v>8115</v>
      </c>
      <c r="L2730" s="34">
        <v>3.0</v>
      </c>
      <c r="M2730" s="34" t="s">
        <v>7969</v>
      </c>
      <c r="N2730" s="38" t="s">
        <v>8116</v>
      </c>
      <c r="O2730" s="39" t="s">
        <v>8117</v>
      </c>
    </row>
    <row r="2731">
      <c r="A2731" s="32">
        <v>3180.0</v>
      </c>
      <c r="B2731" s="33">
        <v>46179.863876006944</v>
      </c>
      <c r="C2731" s="34" t="s">
        <v>26</v>
      </c>
      <c r="D2731" s="35" t="s">
        <v>1476</v>
      </c>
      <c r="E2731" s="35" t="s">
        <v>547</v>
      </c>
      <c r="F2731" s="34" t="s">
        <v>1477</v>
      </c>
      <c r="G2731" s="36" t="s">
        <v>181</v>
      </c>
      <c r="H2731" s="34" t="s">
        <v>7874</v>
      </c>
      <c r="I2731" s="34" t="s">
        <v>231</v>
      </c>
      <c r="J2731" s="37">
        <v>46176.0</v>
      </c>
      <c r="K2731" s="35" t="s">
        <v>8118</v>
      </c>
      <c r="L2731" s="34">
        <v>1.0</v>
      </c>
      <c r="M2731" s="34" t="s">
        <v>1559</v>
      </c>
      <c r="N2731" s="38" t="s">
        <v>8119</v>
      </c>
      <c r="O2731" s="39" t="s">
        <v>8120</v>
      </c>
    </row>
    <row r="2732">
      <c r="A2732" s="32">
        <v>3181.0</v>
      </c>
      <c r="B2732" s="33">
        <v>46179.865145578704</v>
      </c>
      <c r="C2732" s="34" t="s">
        <v>26</v>
      </c>
      <c r="D2732" s="35" t="s">
        <v>1476</v>
      </c>
      <c r="E2732" s="35" t="s">
        <v>547</v>
      </c>
      <c r="F2732" s="34" t="s">
        <v>1477</v>
      </c>
      <c r="G2732" s="36" t="s">
        <v>181</v>
      </c>
      <c r="H2732" s="34" t="s">
        <v>7874</v>
      </c>
      <c r="I2732" s="34" t="s">
        <v>231</v>
      </c>
      <c r="J2732" s="37">
        <v>46177.0</v>
      </c>
      <c r="K2732" s="35" t="s">
        <v>8118</v>
      </c>
      <c r="L2732" s="34">
        <v>1.0</v>
      </c>
      <c r="M2732" s="34" t="s">
        <v>1559</v>
      </c>
      <c r="N2732" s="38" t="s">
        <v>8121</v>
      </c>
      <c r="O2732" s="39" t="s">
        <v>8122</v>
      </c>
    </row>
    <row r="2733">
      <c r="A2733" s="32">
        <v>3183.0</v>
      </c>
      <c r="B2733" s="33">
        <v>46179.87428740741</v>
      </c>
      <c r="C2733" s="34" t="s">
        <v>15</v>
      </c>
      <c r="D2733" s="35" t="s">
        <v>1867</v>
      </c>
      <c r="E2733" s="35" t="s">
        <v>1023</v>
      </c>
      <c r="F2733" s="34" t="s">
        <v>1868</v>
      </c>
      <c r="G2733" s="36" t="s">
        <v>181</v>
      </c>
      <c r="H2733" s="34" t="s">
        <v>8123</v>
      </c>
      <c r="I2733" s="34" t="s">
        <v>231</v>
      </c>
      <c r="J2733" s="37">
        <v>46177.0</v>
      </c>
      <c r="K2733" s="35" t="s">
        <v>6790</v>
      </c>
      <c r="L2733" s="34">
        <v>3.0</v>
      </c>
      <c r="M2733" s="34" t="s">
        <v>8124</v>
      </c>
      <c r="N2733" s="38" t="s">
        <v>8125</v>
      </c>
      <c r="O2733" s="39" t="s">
        <v>8126</v>
      </c>
    </row>
    <row r="2734">
      <c r="A2734" s="32">
        <v>3184.0</v>
      </c>
      <c r="B2734" s="33">
        <v>46179.875929525464</v>
      </c>
      <c r="C2734" s="34" t="s">
        <v>26</v>
      </c>
      <c r="D2734" s="35" t="s">
        <v>1476</v>
      </c>
      <c r="E2734" s="35" t="s">
        <v>547</v>
      </c>
      <c r="F2734" s="34" t="s">
        <v>1477</v>
      </c>
      <c r="G2734" s="36" t="s">
        <v>19</v>
      </c>
      <c r="H2734" s="34" t="s">
        <v>5653</v>
      </c>
      <c r="I2734" s="34" t="s">
        <v>2029</v>
      </c>
      <c r="J2734" s="37">
        <v>46078.0</v>
      </c>
      <c r="K2734" s="35" t="s">
        <v>7281</v>
      </c>
      <c r="L2734" s="34">
        <v>8.0</v>
      </c>
      <c r="M2734" s="34" t="s">
        <v>87</v>
      </c>
      <c r="N2734" s="38" t="s">
        <v>8127</v>
      </c>
      <c r="O2734" s="39" t="s">
        <v>8128</v>
      </c>
    </row>
    <row r="2735">
      <c r="A2735" s="32">
        <v>3185.0</v>
      </c>
      <c r="B2735" s="33">
        <v>46179.87756260417</v>
      </c>
      <c r="C2735" s="34" t="s">
        <v>26</v>
      </c>
      <c r="D2735" s="35" t="s">
        <v>1476</v>
      </c>
      <c r="E2735" s="35" t="s">
        <v>547</v>
      </c>
      <c r="F2735" s="34" t="s">
        <v>1477</v>
      </c>
      <c r="G2735" s="36" t="s">
        <v>181</v>
      </c>
      <c r="H2735" s="34" t="s">
        <v>6010</v>
      </c>
      <c r="I2735" s="34" t="s">
        <v>6018</v>
      </c>
      <c r="J2735" s="37">
        <v>46147.0</v>
      </c>
      <c r="K2735" s="35" t="s">
        <v>8129</v>
      </c>
      <c r="L2735" s="34">
        <v>3.0</v>
      </c>
      <c r="M2735" s="34" t="s">
        <v>1325</v>
      </c>
      <c r="N2735" s="38" t="s">
        <v>8130</v>
      </c>
      <c r="O2735" s="39" t="s">
        <v>8131</v>
      </c>
    </row>
    <row r="2736">
      <c r="A2736" s="32">
        <v>3186.0</v>
      </c>
      <c r="B2736" s="33">
        <v>46179.88057222222</v>
      </c>
      <c r="C2736" s="34" t="s">
        <v>26</v>
      </c>
      <c r="D2736" s="35" t="s">
        <v>1247</v>
      </c>
      <c r="E2736" s="35" t="s">
        <v>1248</v>
      </c>
      <c r="F2736" s="34" t="s">
        <v>1249</v>
      </c>
      <c r="G2736" s="36" t="s">
        <v>181</v>
      </c>
      <c r="H2736" s="34" t="s">
        <v>7965</v>
      </c>
      <c r="I2736" s="34" t="s">
        <v>231</v>
      </c>
      <c r="J2736" s="37">
        <v>46177.0</v>
      </c>
      <c r="K2736" s="35" t="s">
        <v>7966</v>
      </c>
      <c r="L2736" s="34">
        <v>3.0</v>
      </c>
      <c r="M2736" s="34" t="s">
        <v>695</v>
      </c>
      <c r="N2736" s="38" t="s">
        <v>8132</v>
      </c>
      <c r="O2736" s="39" t="s">
        <v>8133</v>
      </c>
    </row>
    <row r="2737">
      <c r="A2737" s="32">
        <v>3187.0</v>
      </c>
      <c r="B2737" s="33">
        <v>46179.88264809028</v>
      </c>
      <c r="C2737" s="34" t="s">
        <v>26</v>
      </c>
      <c r="D2737" s="35" t="s">
        <v>1247</v>
      </c>
      <c r="E2737" s="35" t="s">
        <v>1248</v>
      </c>
      <c r="F2737" s="34" t="s">
        <v>1249</v>
      </c>
      <c r="G2737" s="36" t="s">
        <v>181</v>
      </c>
      <c r="H2737" s="34" t="s">
        <v>7874</v>
      </c>
      <c r="I2737" s="34" t="s">
        <v>231</v>
      </c>
      <c r="J2737" s="37">
        <v>46177.0</v>
      </c>
      <c r="K2737" s="35" t="s">
        <v>1458</v>
      </c>
      <c r="L2737" s="34">
        <v>1.0</v>
      </c>
      <c r="M2737" s="34" t="s">
        <v>1559</v>
      </c>
      <c r="N2737" s="38" t="s">
        <v>8134</v>
      </c>
      <c r="O2737" s="39" t="s">
        <v>8135</v>
      </c>
    </row>
    <row r="2738">
      <c r="A2738" s="32">
        <v>3188.0</v>
      </c>
      <c r="B2738" s="33">
        <v>46179.896954386575</v>
      </c>
      <c r="C2738" s="34" t="s">
        <v>15</v>
      </c>
      <c r="D2738" s="35" t="s">
        <v>4303</v>
      </c>
      <c r="E2738" s="35" t="s">
        <v>1596</v>
      </c>
      <c r="F2738" s="34" t="s">
        <v>4304</v>
      </c>
      <c r="G2738" s="36" t="s">
        <v>144</v>
      </c>
      <c r="H2738" s="34" t="s">
        <v>7679</v>
      </c>
      <c r="I2738" s="34" t="s">
        <v>7680</v>
      </c>
      <c r="J2738" s="37">
        <v>46127.0</v>
      </c>
      <c r="K2738" s="35" t="s">
        <v>1922</v>
      </c>
      <c r="L2738" s="34">
        <v>2.0</v>
      </c>
      <c r="M2738" s="34" t="s">
        <v>553</v>
      </c>
      <c r="N2738" s="38" t="s">
        <v>8136</v>
      </c>
      <c r="O2738" s="39" t="s">
        <v>8137</v>
      </c>
    </row>
    <row r="2739">
      <c r="A2739" s="32">
        <v>3189.0</v>
      </c>
      <c r="B2739" s="33">
        <v>46179.90049008102</v>
      </c>
      <c r="C2739" s="34" t="s">
        <v>15</v>
      </c>
      <c r="D2739" s="35" t="s">
        <v>4303</v>
      </c>
      <c r="E2739" s="35" t="s">
        <v>1596</v>
      </c>
      <c r="F2739" s="34" t="s">
        <v>4304</v>
      </c>
      <c r="G2739" s="36" t="s">
        <v>181</v>
      </c>
      <c r="H2739" s="34" t="s">
        <v>8138</v>
      </c>
      <c r="I2739" s="34" t="s">
        <v>1211</v>
      </c>
      <c r="J2739" s="37">
        <v>46176.0</v>
      </c>
      <c r="K2739" s="35" t="s">
        <v>1458</v>
      </c>
      <c r="L2739" s="34">
        <v>1.0</v>
      </c>
      <c r="M2739" s="34" t="s">
        <v>1559</v>
      </c>
      <c r="N2739" s="38" t="s">
        <v>8139</v>
      </c>
      <c r="O2739" s="39" t="s">
        <v>8140</v>
      </c>
    </row>
    <row r="2740">
      <c r="A2740" s="32">
        <v>3190.0</v>
      </c>
      <c r="B2740" s="33">
        <v>46179.90183849537</v>
      </c>
      <c r="C2740" s="34" t="s">
        <v>15</v>
      </c>
      <c r="D2740" s="35" t="s">
        <v>4303</v>
      </c>
      <c r="E2740" s="35" t="s">
        <v>1596</v>
      </c>
      <c r="F2740" s="34" t="s">
        <v>4304</v>
      </c>
      <c r="G2740" s="36" t="s">
        <v>181</v>
      </c>
      <c r="H2740" s="34" t="s">
        <v>8138</v>
      </c>
      <c r="I2740" s="34" t="s">
        <v>1211</v>
      </c>
      <c r="J2740" s="37">
        <v>46177.0</v>
      </c>
      <c r="K2740" s="35" t="s">
        <v>8141</v>
      </c>
      <c r="L2740" s="34">
        <v>1.0</v>
      </c>
      <c r="M2740" s="34" t="s">
        <v>1559</v>
      </c>
      <c r="N2740" s="38" t="s">
        <v>8142</v>
      </c>
      <c r="O2740" s="39" t="s">
        <v>8143</v>
      </c>
    </row>
    <row r="2741">
      <c r="A2741" s="32">
        <v>3191.0</v>
      </c>
      <c r="B2741" s="33">
        <v>46179.91300305555</v>
      </c>
      <c r="C2741" s="34" t="s">
        <v>15</v>
      </c>
      <c r="D2741" s="35" t="s">
        <v>4303</v>
      </c>
      <c r="E2741" s="35" t="s">
        <v>1596</v>
      </c>
      <c r="F2741" s="34" t="s">
        <v>4304</v>
      </c>
      <c r="G2741" s="36" t="s">
        <v>209</v>
      </c>
      <c r="H2741" s="34" t="s">
        <v>8144</v>
      </c>
      <c r="I2741" s="34" t="s">
        <v>8145</v>
      </c>
      <c r="J2741" s="37">
        <v>46032.0</v>
      </c>
      <c r="K2741" s="35" t="s">
        <v>732</v>
      </c>
      <c r="L2741" s="34">
        <v>2.0</v>
      </c>
      <c r="M2741" s="34" t="s">
        <v>907</v>
      </c>
      <c r="N2741" s="38" t="s">
        <v>8146</v>
      </c>
      <c r="O2741" s="39" t="s">
        <v>8147</v>
      </c>
    </row>
    <row r="2742">
      <c r="A2742" s="32">
        <v>3192.0</v>
      </c>
      <c r="B2742" s="33">
        <v>46179.9303884838</v>
      </c>
      <c r="C2742" s="34" t="s">
        <v>26</v>
      </c>
      <c r="D2742" s="35" t="s">
        <v>1247</v>
      </c>
      <c r="E2742" s="35" t="s">
        <v>1248</v>
      </c>
      <c r="F2742" s="34" t="s">
        <v>1249</v>
      </c>
      <c r="G2742" s="36" t="s">
        <v>181</v>
      </c>
      <c r="H2742" s="34" t="s">
        <v>7874</v>
      </c>
      <c r="I2742" s="34" t="s">
        <v>231</v>
      </c>
      <c r="J2742" s="37">
        <v>46177.0</v>
      </c>
      <c r="K2742" s="35" t="s">
        <v>1458</v>
      </c>
      <c r="L2742" s="34">
        <v>1.0</v>
      </c>
      <c r="M2742" s="34" t="s">
        <v>1559</v>
      </c>
      <c r="N2742" s="38" t="s">
        <v>8148</v>
      </c>
      <c r="O2742" s="39" t="s">
        <v>8149</v>
      </c>
    </row>
    <row r="2743">
      <c r="A2743" s="32">
        <v>3193.0</v>
      </c>
      <c r="B2743" s="33">
        <v>46179.93082658565</v>
      </c>
      <c r="C2743" s="34" t="s">
        <v>26</v>
      </c>
      <c r="D2743" s="35" t="s">
        <v>1247</v>
      </c>
      <c r="E2743" s="35" t="s">
        <v>1248</v>
      </c>
      <c r="F2743" s="34" t="s">
        <v>1249</v>
      </c>
      <c r="G2743" s="36" t="s">
        <v>181</v>
      </c>
      <c r="H2743" s="34" t="s">
        <v>7874</v>
      </c>
      <c r="I2743" s="34" t="s">
        <v>231</v>
      </c>
      <c r="J2743" s="37">
        <v>46177.0</v>
      </c>
      <c r="K2743" s="35" t="s">
        <v>1458</v>
      </c>
      <c r="L2743" s="34">
        <v>1.0</v>
      </c>
      <c r="M2743" s="34" t="s">
        <v>1559</v>
      </c>
      <c r="N2743" s="38" t="s">
        <v>8150</v>
      </c>
      <c r="O2743" s="39" t="s">
        <v>8151</v>
      </c>
    </row>
    <row r="2744">
      <c r="A2744" s="32">
        <v>3194.0</v>
      </c>
      <c r="B2744" s="33">
        <v>46179.93129341435</v>
      </c>
      <c r="C2744" s="34" t="s">
        <v>26</v>
      </c>
      <c r="D2744" s="35" t="s">
        <v>1247</v>
      </c>
      <c r="E2744" s="35" t="s">
        <v>1248</v>
      </c>
      <c r="F2744" s="34" t="s">
        <v>1249</v>
      </c>
      <c r="G2744" s="36" t="s">
        <v>181</v>
      </c>
      <c r="H2744" s="34" t="s">
        <v>7874</v>
      </c>
      <c r="I2744" s="34" t="s">
        <v>231</v>
      </c>
      <c r="J2744" s="37">
        <v>46177.0</v>
      </c>
      <c r="K2744" s="35" t="s">
        <v>1458</v>
      </c>
      <c r="L2744" s="34">
        <v>1.0</v>
      </c>
      <c r="M2744" s="34" t="s">
        <v>1559</v>
      </c>
      <c r="N2744" s="38" t="s">
        <v>8152</v>
      </c>
      <c r="O2744" s="39" t="s">
        <v>8153</v>
      </c>
    </row>
    <row r="2745">
      <c r="A2745" s="32">
        <v>3196.0</v>
      </c>
      <c r="B2745" s="33">
        <v>46179.932805613425</v>
      </c>
      <c r="C2745" s="34" t="s">
        <v>26</v>
      </c>
      <c r="D2745" s="35" t="s">
        <v>1247</v>
      </c>
      <c r="E2745" s="35" t="s">
        <v>1248</v>
      </c>
      <c r="F2745" s="34" t="s">
        <v>1249</v>
      </c>
      <c r="G2745" s="36" t="s">
        <v>19</v>
      </c>
      <c r="H2745" s="34" t="s">
        <v>8154</v>
      </c>
      <c r="I2745" s="34" t="s">
        <v>8155</v>
      </c>
      <c r="J2745" s="37">
        <v>46168.0</v>
      </c>
      <c r="K2745" s="35" t="s">
        <v>2769</v>
      </c>
      <c r="L2745" s="34">
        <v>5.0</v>
      </c>
      <c r="M2745" s="34" t="s">
        <v>8156</v>
      </c>
      <c r="N2745" s="38" t="s">
        <v>8157</v>
      </c>
      <c r="O2745" s="39" t="s">
        <v>8158</v>
      </c>
    </row>
    <row r="2746">
      <c r="A2746" s="32">
        <v>3197.0</v>
      </c>
      <c r="B2746" s="33">
        <v>46180.015388368054</v>
      </c>
      <c r="C2746" s="34" t="s">
        <v>26</v>
      </c>
      <c r="D2746" s="35" t="s">
        <v>950</v>
      </c>
      <c r="E2746" s="35" t="s">
        <v>951</v>
      </c>
      <c r="F2746" s="34" t="s">
        <v>952</v>
      </c>
      <c r="G2746" s="36" t="s">
        <v>181</v>
      </c>
      <c r="H2746" s="34" t="s">
        <v>7965</v>
      </c>
      <c r="I2746" s="34" t="s">
        <v>231</v>
      </c>
      <c r="J2746" s="37">
        <v>46177.0</v>
      </c>
      <c r="K2746" s="35" t="s">
        <v>7966</v>
      </c>
      <c r="L2746" s="34">
        <v>3.0</v>
      </c>
      <c r="M2746" s="34" t="s">
        <v>695</v>
      </c>
      <c r="N2746" s="38" t="s">
        <v>8159</v>
      </c>
      <c r="O2746" s="39" t="s">
        <v>8160</v>
      </c>
    </row>
    <row r="2747">
      <c r="A2747" s="32">
        <v>3198.0</v>
      </c>
      <c r="B2747" s="33">
        <v>46180.02257170139</v>
      </c>
      <c r="C2747" s="34" t="s">
        <v>26</v>
      </c>
      <c r="D2747" s="35" t="s">
        <v>950</v>
      </c>
      <c r="E2747" s="35" t="s">
        <v>951</v>
      </c>
      <c r="F2747" s="34" t="s">
        <v>952</v>
      </c>
      <c r="G2747" s="36" t="s">
        <v>181</v>
      </c>
      <c r="H2747" s="34" t="s">
        <v>7874</v>
      </c>
      <c r="I2747" s="34" t="s">
        <v>231</v>
      </c>
      <c r="J2747" s="37">
        <v>46178.0</v>
      </c>
      <c r="K2747" s="35" t="s">
        <v>5110</v>
      </c>
      <c r="L2747" s="34">
        <v>1.0</v>
      </c>
      <c r="M2747" s="34" t="s">
        <v>1559</v>
      </c>
      <c r="N2747" s="38" t="s">
        <v>8161</v>
      </c>
      <c r="O2747" s="39" t="s">
        <v>8162</v>
      </c>
    </row>
    <row r="2748">
      <c r="A2748" s="32">
        <v>3199.0</v>
      </c>
      <c r="B2748" s="33">
        <v>46180.02579594907</v>
      </c>
      <c r="C2748" s="34" t="s">
        <v>26</v>
      </c>
      <c r="D2748" s="35" t="s">
        <v>950</v>
      </c>
      <c r="E2748" s="35" t="s">
        <v>951</v>
      </c>
      <c r="F2748" s="34" t="s">
        <v>952</v>
      </c>
      <c r="G2748" s="36" t="s">
        <v>181</v>
      </c>
      <c r="H2748" s="34" t="s">
        <v>6010</v>
      </c>
      <c r="I2748" s="34" t="s">
        <v>8163</v>
      </c>
      <c r="J2748" s="37">
        <v>46147.0</v>
      </c>
      <c r="K2748" s="35" t="s">
        <v>6012</v>
      </c>
      <c r="L2748" s="34">
        <v>3.0</v>
      </c>
      <c r="M2748" s="34" t="s">
        <v>1325</v>
      </c>
      <c r="N2748" s="38" t="s">
        <v>8164</v>
      </c>
      <c r="O2748" s="39" t="s">
        <v>8165</v>
      </c>
    </row>
    <row r="2749">
      <c r="A2749" s="32">
        <v>3200.0</v>
      </c>
      <c r="B2749" s="33">
        <v>46180.0273096412</v>
      </c>
      <c r="C2749" s="34" t="s">
        <v>26</v>
      </c>
      <c r="D2749" s="35" t="s">
        <v>950</v>
      </c>
      <c r="E2749" s="35" t="s">
        <v>951</v>
      </c>
      <c r="F2749" s="34" t="s">
        <v>952</v>
      </c>
      <c r="G2749" s="36" t="s">
        <v>19</v>
      </c>
      <c r="H2749" s="34" t="s">
        <v>5653</v>
      </c>
      <c r="I2749" s="34" t="s">
        <v>2029</v>
      </c>
      <c r="J2749" s="37">
        <v>46078.0</v>
      </c>
      <c r="K2749" s="35" t="s">
        <v>2179</v>
      </c>
      <c r="L2749" s="34">
        <v>8.0</v>
      </c>
      <c r="M2749" s="34" t="s">
        <v>5550</v>
      </c>
      <c r="N2749" s="38" t="s">
        <v>8166</v>
      </c>
      <c r="O2749" s="39" t="s">
        <v>8167</v>
      </c>
    </row>
    <row r="2750">
      <c r="A2750" s="32">
        <v>3201.0</v>
      </c>
      <c r="B2750" s="33">
        <v>46180.02917340278</v>
      </c>
      <c r="C2750" s="34" t="s">
        <v>26</v>
      </c>
      <c r="D2750" s="35" t="s">
        <v>950</v>
      </c>
      <c r="E2750" s="35" t="s">
        <v>951</v>
      </c>
      <c r="F2750" s="34" t="s">
        <v>952</v>
      </c>
      <c r="G2750" s="36" t="s">
        <v>19</v>
      </c>
      <c r="H2750" s="34" t="s">
        <v>5906</v>
      </c>
      <c r="I2750" s="34" t="s">
        <v>2602</v>
      </c>
      <c r="J2750" s="37">
        <v>46032.0</v>
      </c>
      <c r="K2750" s="35" t="s">
        <v>2328</v>
      </c>
      <c r="L2750" s="34">
        <v>8.0</v>
      </c>
      <c r="M2750" s="34" t="s">
        <v>5550</v>
      </c>
      <c r="N2750" s="38" t="s">
        <v>8168</v>
      </c>
      <c r="O2750" s="39" t="s">
        <v>8169</v>
      </c>
    </row>
    <row r="2751">
      <c r="A2751" s="32">
        <v>3202.0</v>
      </c>
      <c r="B2751" s="33">
        <v>46180.47423097222</v>
      </c>
      <c r="C2751" s="34" t="s">
        <v>26</v>
      </c>
      <c r="D2751" s="35" t="s">
        <v>3077</v>
      </c>
      <c r="E2751" s="35" t="s">
        <v>396</v>
      </c>
      <c r="F2751" s="34" t="s">
        <v>3078</v>
      </c>
      <c r="G2751" s="36" t="s">
        <v>181</v>
      </c>
      <c r="H2751" s="34" t="s">
        <v>6022</v>
      </c>
      <c r="I2751" s="34" t="s">
        <v>6026</v>
      </c>
      <c r="J2751" s="37">
        <v>46147.0</v>
      </c>
      <c r="K2751" s="35" t="s">
        <v>3287</v>
      </c>
      <c r="L2751" s="34">
        <v>3.0</v>
      </c>
      <c r="M2751" s="34" t="s">
        <v>1325</v>
      </c>
      <c r="N2751" s="38" t="s">
        <v>8170</v>
      </c>
      <c r="O2751" s="39" t="s">
        <v>8171</v>
      </c>
    </row>
    <row r="2752">
      <c r="A2752" s="32">
        <v>3203.0</v>
      </c>
      <c r="B2752" s="33">
        <v>46180.476811458335</v>
      </c>
      <c r="C2752" s="34" t="s">
        <v>26</v>
      </c>
      <c r="D2752" s="35" t="s">
        <v>3077</v>
      </c>
      <c r="E2752" s="35" t="s">
        <v>396</v>
      </c>
      <c r="F2752" s="34" t="s">
        <v>3078</v>
      </c>
      <c r="G2752" s="36" t="s">
        <v>19</v>
      </c>
      <c r="H2752" s="34" t="s">
        <v>5653</v>
      </c>
      <c r="I2752" s="34" t="s">
        <v>2029</v>
      </c>
      <c r="J2752" s="37">
        <v>46078.0</v>
      </c>
      <c r="K2752" s="35" t="s">
        <v>2179</v>
      </c>
      <c r="L2752" s="34">
        <v>8.0</v>
      </c>
      <c r="M2752" s="34" t="s">
        <v>87</v>
      </c>
      <c r="N2752" s="38" t="s">
        <v>8172</v>
      </c>
      <c r="O2752" s="39" t="s">
        <v>8173</v>
      </c>
    </row>
    <row r="2753">
      <c r="A2753" s="32">
        <v>3204.0</v>
      </c>
      <c r="B2753" s="33">
        <v>46180.48050696759</v>
      </c>
      <c r="C2753" s="34" t="s">
        <v>26</v>
      </c>
      <c r="D2753" s="35" t="s">
        <v>3077</v>
      </c>
      <c r="E2753" s="35" t="s">
        <v>396</v>
      </c>
      <c r="F2753" s="34" t="s">
        <v>3078</v>
      </c>
      <c r="G2753" s="36" t="s">
        <v>181</v>
      </c>
      <c r="H2753" s="34" t="s">
        <v>5432</v>
      </c>
      <c r="I2753" s="34" t="s">
        <v>231</v>
      </c>
      <c r="J2753" s="37">
        <v>46138.0</v>
      </c>
      <c r="K2753" s="35" t="s">
        <v>3737</v>
      </c>
      <c r="L2753" s="34">
        <v>8.0</v>
      </c>
      <c r="M2753" s="34" t="s">
        <v>33</v>
      </c>
      <c r="N2753" s="38" t="s">
        <v>8174</v>
      </c>
      <c r="O2753" s="39" t="s">
        <v>8175</v>
      </c>
    </row>
    <row r="2754">
      <c r="A2754" s="32">
        <v>3205.0</v>
      </c>
      <c r="B2754" s="33">
        <v>46180.50756697917</v>
      </c>
      <c r="C2754" s="34" t="s">
        <v>26</v>
      </c>
      <c r="D2754" s="35" t="s">
        <v>1591</v>
      </c>
      <c r="E2754" s="35" t="s">
        <v>223</v>
      </c>
      <c r="F2754" s="34" t="s">
        <v>1592</v>
      </c>
      <c r="G2754" s="36" t="s">
        <v>19</v>
      </c>
      <c r="H2754" s="34" t="s">
        <v>5653</v>
      </c>
      <c r="I2754" s="34" t="s">
        <v>5848</v>
      </c>
      <c r="J2754" s="37">
        <v>46078.0</v>
      </c>
      <c r="K2754" s="35" t="s">
        <v>2179</v>
      </c>
      <c r="L2754" s="34">
        <v>8.0</v>
      </c>
      <c r="M2754" s="34" t="s">
        <v>2839</v>
      </c>
      <c r="N2754" s="38" t="s">
        <v>8176</v>
      </c>
      <c r="O2754" s="39" t="s">
        <v>8177</v>
      </c>
    </row>
    <row r="2755">
      <c r="A2755" s="32">
        <v>3206.0</v>
      </c>
      <c r="B2755" s="33">
        <v>46180.50973283565</v>
      </c>
      <c r="C2755" s="34" t="s">
        <v>26</v>
      </c>
      <c r="D2755" s="35" t="s">
        <v>1591</v>
      </c>
      <c r="E2755" s="35" t="s">
        <v>223</v>
      </c>
      <c r="F2755" s="34" t="s">
        <v>1592</v>
      </c>
      <c r="G2755" s="36" t="s">
        <v>181</v>
      </c>
      <c r="H2755" s="34" t="s">
        <v>7965</v>
      </c>
      <c r="I2755" s="34" t="s">
        <v>231</v>
      </c>
      <c r="J2755" s="37">
        <v>46177.0</v>
      </c>
      <c r="K2755" s="35" t="s">
        <v>7966</v>
      </c>
      <c r="L2755" s="34">
        <v>3.0</v>
      </c>
      <c r="M2755" s="34" t="s">
        <v>695</v>
      </c>
      <c r="N2755" s="38" t="s">
        <v>8178</v>
      </c>
      <c r="O2755" s="39" t="s">
        <v>8179</v>
      </c>
    </row>
    <row r="2756">
      <c r="A2756" s="32">
        <v>3207.0</v>
      </c>
      <c r="B2756" s="33">
        <v>46180.51071130787</v>
      </c>
      <c r="C2756" s="34" t="s">
        <v>26</v>
      </c>
      <c r="D2756" s="35" t="s">
        <v>1591</v>
      </c>
      <c r="E2756" s="35" t="s">
        <v>223</v>
      </c>
      <c r="F2756" s="34" t="s">
        <v>1592</v>
      </c>
      <c r="G2756" s="36" t="s">
        <v>181</v>
      </c>
      <c r="H2756" s="34" t="s">
        <v>6022</v>
      </c>
      <c r="I2756" s="34" t="s">
        <v>1642</v>
      </c>
      <c r="J2756" s="37">
        <v>46147.0</v>
      </c>
      <c r="K2756" s="35" t="s">
        <v>3287</v>
      </c>
      <c r="L2756" s="34">
        <v>3.0</v>
      </c>
      <c r="M2756" s="34" t="s">
        <v>1325</v>
      </c>
      <c r="N2756" s="38" t="s">
        <v>8180</v>
      </c>
      <c r="O2756" s="39" t="s">
        <v>8181</v>
      </c>
    </row>
    <row r="2757">
      <c r="A2757" s="32">
        <v>3208.0</v>
      </c>
      <c r="B2757" s="33">
        <v>46180.52334482639</v>
      </c>
      <c r="C2757" s="34" t="s">
        <v>15</v>
      </c>
      <c r="D2757" s="35" t="s">
        <v>2182</v>
      </c>
      <c r="E2757" s="35" t="s">
        <v>1725</v>
      </c>
      <c r="F2757" s="34" t="s">
        <v>2183</v>
      </c>
      <c r="G2757" s="36" t="s">
        <v>181</v>
      </c>
      <c r="H2757" s="34" t="s">
        <v>5500</v>
      </c>
      <c r="I2757" s="34" t="s">
        <v>231</v>
      </c>
      <c r="J2757" s="37">
        <v>46147.0</v>
      </c>
      <c r="K2757" s="35" t="s">
        <v>49</v>
      </c>
      <c r="L2757" s="34">
        <v>8.0</v>
      </c>
      <c r="M2757" s="34" t="s">
        <v>8182</v>
      </c>
      <c r="N2757" s="38" t="s">
        <v>8183</v>
      </c>
      <c r="O2757" s="39" t="s">
        <v>8184</v>
      </c>
    </row>
    <row r="2758">
      <c r="A2758" s="32">
        <v>3209.0</v>
      </c>
      <c r="B2758" s="33">
        <v>46180.52979972222</v>
      </c>
      <c r="C2758" s="34" t="s">
        <v>15</v>
      </c>
      <c r="D2758" s="35" t="s">
        <v>2321</v>
      </c>
      <c r="E2758" s="35" t="s">
        <v>1385</v>
      </c>
      <c r="F2758" s="34" t="s">
        <v>2322</v>
      </c>
      <c r="G2758" s="36" t="s">
        <v>1426</v>
      </c>
      <c r="H2758" s="34" t="s">
        <v>5432</v>
      </c>
      <c r="I2758" s="34" t="s">
        <v>231</v>
      </c>
      <c r="J2758" s="37">
        <v>46138.0</v>
      </c>
      <c r="K2758" s="35" t="s">
        <v>3192</v>
      </c>
      <c r="L2758" s="34">
        <v>6.0</v>
      </c>
      <c r="M2758" s="34" t="s">
        <v>33</v>
      </c>
      <c r="N2758" s="38" t="s">
        <v>8185</v>
      </c>
      <c r="O2758" s="39" t="s">
        <v>8186</v>
      </c>
    </row>
    <row r="2759">
      <c r="A2759" s="32">
        <v>3210.0</v>
      </c>
      <c r="B2759" s="33">
        <v>46180.536440208336</v>
      </c>
      <c r="C2759" s="34" t="s">
        <v>15</v>
      </c>
      <c r="D2759" s="35" t="s">
        <v>2182</v>
      </c>
      <c r="E2759" s="35" t="s">
        <v>1725</v>
      </c>
      <c r="F2759" s="34" t="s">
        <v>8187</v>
      </c>
      <c r="G2759" s="36" t="s">
        <v>181</v>
      </c>
      <c r="H2759" s="34" t="s">
        <v>8018</v>
      </c>
      <c r="I2759" s="34" t="s">
        <v>231</v>
      </c>
      <c r="J2759" s="37">
        <v>46177.0</v>
      </c>
      <c r="K2759" s="35" t="s">
        <v>3287</v>
      </c>
      <c r="L2759" s="34">
        <v>3.0</v>
      </c>
      <c r="M2759" s="34" t="s">
        <v>8188</v>
      </c>
      <c r="N2759" s="38" t="s">
        <v>8189</v>
      </c>
      <c r="O2759" s="39" t="s">
        <v>8190</v>
      </c>
    </row>
    <row r="2760">
      <c r="A2760" s="32">
        <v>3211.0</v>
      </c>
      <c r="B2760" s="33">
        <v>46180.53672859954</v>
      </c>
      <c r="C2760" s="34" t="s">
        <v>15</v>
      </c>
      <c r="D2760" s="35" t="s">
        <v>3114</v>
      </c>
      <c r="E2760" s="35" t="s">
        <v>142</v>
      </c>
      <c r="F2760" s="34" t="s">
        <v>3115</v>
      </c>
      <c r="G2760" s="36" t="s">
        <v>84</v>
      </c>
      <c r="H2760" s="34" t="s">
        <v>85</v>
      </c>
      <c r="I2760" s="34" t="s">
        <v>456</v>
      </c>
      <c r="J2760" s="37">
        <v>46175.0</v>
      </c>
      <c r="K2760" s="35" t="s">
        <v>2053</v>
      </c>
      <c r="L2760" s="34">
        <v>8.0</v>
      </c>
      <c r="M2760" s="34" t="s">
        <v>87</v>
      </c>
      <c r="N2760" s="38" t="s">
        <v>8191</v>
      </c>
      <c r="O2760" s="39" t="s">
        <v>8192</v>
      </c>
    </row>
    <row r="2761">
      <c r="A2761" s="32">
        <v>3212.0</v>
      </c>
      <c r="B2761" s="33">
        <v>46180.53853719907</v>
      </c>
      <c r="C2761" s="34" t="s">
        <v>15</v>
      </c>
      <c r="D2761" s="35" t="s">
        <v>2321</v>
      </c>
      <c r="E2761" s="35" t="s">
        <v>1385</v>
      </c>
      <c r="F2761" s="34" t="s">
        <v>2322</v>
      </c>
      <c r="G2761" s="36" t="s">
        <v>19</v>
      </c>
      <c r="H2761" s="34" t="s">
        <v>8193</v>
      </c>
      <c r="I2761" s="34" t="s">
        <v>3162</v>
      </c>
      <c r="J2761" s="37">
        <v>46066.0</v>
      </c>
      <c r="K2761" s="35" t="s">
        <v>6637</v>
      </c>
      <c r="L2761" s="34">
        <v>4.0</v>
      </c>
      <c r="M2761" s="34" t="s">
        <v>244</v>
      </c>
      <c r="N2761" s="38" t="s">
        <v>8194</v>
      </c>
      <c r="O2761" s="39" t="s">
        <v>8195</v>
      </c>
    </row>
    <row r="2762">
      <c r="A2762" s="32">
        <v>3213.0</v>
      </c>
      <c r="B2762" s="33">
        <v>46180.54022592593</v>
      </c>
      <c r="C2762" s="34" t="s">
        <v>15</v>
      </c>
      <c r="D2762" s="35" t="s">
        <v>2165</v>
      </c>
      <c r="E2762" s="35" t="s">
        <v>799</v>
      </c>
      <c r="F2762" s="34" t="s">
        <v>2166</v>
      </c>
      <c r="G2762" s="36" t="s">
        <v>181</v>
      </c>
      <c r="H2762" s="34" t="s">
        <v>5432</v>
      </c>
      <c r="I2762" s="34" t="s">
        <v>231</v>
      </c>
      <c r="J2762" s="37">
        <v>46134.0</v>
      </c>
      <c r="K2762" s="35" t="s">
        <v>5745</v>
      </c>
      <c r="L2762" s="34">
        <v>4.0</v>
      </c>
      <c r="M2762" s="34" t="s">
        <v>33</v>
      </c>
      <c r="N2762" s="38" t="s">
        <v>8196</v>
      </c>
      <c r="O2762" s="39" t="s">
        <v>8197</v>
      </c>
    </row>
    <row r="2763">
      <c r="A2763" s="32">
        <v>3214.0</v>
      </c>
      <c r="B2763" s="33">
        <v>46180.54147768518</v>
      </c>
      <c r="C2763" s="34" t="s">
        <v>15</v>
      </c>
      <c r="D2763" s="35" t="s">
        <v>2165</v>
      </c>
      <c r="E2763" s="35" t="s">
        <v>799</v>
      </c>
      <c r="F2763" s="34" t="s">
        <v>2166</v>
      </c>
      <c r="G2763" s="36" t="s">
        <v>181</v>
      </c>
      <c r="H2763" s="34" t="s">
        <v>5432</v>
      </c>
      <c r="I2763" s="34" t="s">
        <v>231</v>
      </c>
      <c r="J2763" s="37">
        <v>46135.0</v>
      </c>
      <c r="K2763" s="35" t="s">
        <v>5745</v>
      </c>
      <c r="L2763" s="34">
        <v>4.0</v>
      </c>
      <c r="M2763" s="34" t="s">
        <v>33</v>
      </c>
      <c r="N2763" s="38" t="s">
        <v>8198</v>
      </c>
      <c r="O2763" s="39" t="s">
        <v>8199</v>
      </c>
    </row>
    <row r="2764">
      <c r="A2764" s="32">
        <v>3215.0</v>
      </c>
      <c r="B2764" s="33">
        <v>46180.54292641203</v>
      </c>
      <c r="C2764" s="34" t="s">
        <v>15</v>
      </c>
      <c r="D2764" s="35" t="s">
        <v>2165</v>
      </c>
      <c r="E2764" s="35" t="s">
        <v>799</v>
      </c>
      <c r="F2764" s="34" t="s">
        <v>2166</v>
      </c>
      <c r="G2764" s="36" t="s">
        <v>181</v>
      </c>
      <c r="H2764" s="34" t="s">
        <v>5432</v>
      </c>
      <c r="I2764" s="34" t="s">
        <v>231</v>
      </c>
      <c r="J2764" s="37">
        <v>46138.0</v>
      </c>
      <c r="K2764" s="35" t="s">
        <v>8200</v>
      </c>
      <c r="L2764" s="34">
        <v>6.0</v>
      </c>
      <c r="M2764" s="34" t="s">
        <v>33</v>
      </c>
      <c r="N2764" s="38" t="s">
        <v>8201</v>
      </c>
      <c r="O2764" s="39" t="s">
        <v>8202</v>
      </c>
    </row>
    <row r="2765">
      <c r="A2765" s="32">
        <v>3216.0</v>
      </c>
      <c r="B2765" s="33">
        <v>46180.54524199074</v>
      </c>
      <c r="C2765" s="34" t="s">
        <v>15</v>
      </c>
      <c r="D2765" s="35" t="s">
        <v>2165</v>
      </c>
      <c r="E2765" s="35" t="s">
        <v>799</v>
      </c>
      <c r="F2765" s="34" t="s">
        <v>2166</v>
      </c>
      <c r="G2765" s="36" t="s">
        <v>181</v>
      </c>
      <c r="H2765" s="34" t="s">
        <v>5998</v>
      </c>
      <c r="I2765" s="34" t="s">
        <v>5509</v>
      </c>
      <c r="J2765" s="37">
        <v>46139.0</v>
      </c>
      <c r="K2765" s="35" t="s">
        <v>5745</v>
      </c>
      <c r="L2765" s="34">
        <v>4.0</v>
      </c>
      <c r="M2765" s="34" t="s">
        <v>33</v>
      </c>
      <c r="N2765" s="38" t="s">
        <v>8203</v>
      </c>
      <c r="O2765" s="39" t="s">
        <v>8204</v>
      </c>
    </row>
    <row r="2766">
      <c r="A2766" s="32">
        <v>3217.0</v>
      </c>
      <c r="B2766" s="33">
        <v>46180.55664681713</v>
      </c>
      <c r="C2766" s="34" t="s">
        <v>15</v>
      </c>
      <c r="D2766" s="35" t="s">
        <v>1808</v>
      </c>
      <c r="E2766" s="35" t="s">
        <v>830</v>
      </c>
      <c r="F2766" s="34" t="s">
        <v>1809</v>
      </c>
      <c r="G2766" s="36" t="s">
        <v>181</v>
      </c>
      <c r="H2766" s="34" t="s">
        <v>8205</v>
      </c>
      <c r="I2766" s="34" t="s">
        <v>231</v>
      </c>
      <c r="J2766" s="37">
        <v>46153.0</v>
      </c>
      <c r="K2766" s="35" t="s">
        <v>457</v>
      </c>
      <c r="L2766" s="34">
        <v>1.0</v>
      </c>
      <c r="M2766" s="34" t="s">
        <v>219</v>
      </c>
      <c r="N2766" s="38" t="s">
        <v>8206</v>
      </c>
      <c r="O2766" s="39" t="s">
        <v>8207</v>
      </c>
    </row>
    <row r="2767">
      <c r="A2767" s="32">
        <v>3218.0</v>
      </c>
      <c r="B2767" s="33">
        <v>46180.559196180555</v>
      </c>
      <c r="C2767" s="34" t="s">
        <v>15</v>
      </c>
      <c r="D2767" s="35" t="s">
        <v>1808</v>
      </c>
      <c r="E2767" s="35" t="s">
        <v>830</v>
      </c>
      <c r="F2767" s="34" t="s">
        <v>1809</v>
      </c>
      <c r="G2767" s="36" t="s">
        <v>181</v>
      </c>
      <c r="H2767" s="34" t="s">
        <v>8208</v>
      </c>
      <c r="I2767" s="34" t="s">
        <v>231</v>
      </c>
      <c r="J2767" s="37">
        <v>46169.0</v>
      </c>
      <c r="K2767" s="35" t="s">
        <v>582</v>
      </c>
      <c r="L2767" s="34">
        <v>2.0</v>
      </c>
      <c r="M2767" s="34" t="s">
        <v>8209</v>
      </c>
      <c r="N2767" s="38" t="s">
        <v>8210</v>
      </c>
      <c r="O2767" s="39" t="s">
        <v>8211</v>
      </c>
    </row>
    <row r="2768">
      <c r="A2768" s="32">
        <v>3219.0</v>
      </c>
      <c r="B2768" s="33">
        <v>46180.56247917824</v>
      </c>
      <c r="C2768" s="34" t="s">
        <v>15</v>
      </c>
      <c r="D2768" s="35" t="s">
        <v>1808</v>
      </c>
      <c r="E2768" s="35" t="s">
        <v>830</v>
      </c>
      <c r="F2768" s="34" t="s">
        <v>8212</v>
      </c>
      <c r="G2768" s="36" t="s">
        <v>181</v>
      </c>
      <c r="H2768" s="34" t="s">
        <v>8208</v>
      </c>
      <c r="I2768" s="34" t="s">
        <v>231</v>
      </c>
      <c r="J2768" s="37">
        <v>46176.0</v>
      </c>
      <c r="K2768" s="35" t="s">
        <v>582</v>
      </c>
      <c r="L2768" s="34">
        <v>2.0</v>
      </c>
      <c r="M2768" s="34" t="s">
        <v>8209</v>
      </c>
      <c r="N2768" s="38" t="s">
        <v>8213</v>
      </c>
      <c r="O2768" s="39" t="s">
        <v>8214</v>
      </c>
    </row>
    <row r="2769">
      <c r="A2769" s="32">
        <v>3220.0</v>
      </c>
      <c r="B2769" s="33">
        <v>46180.56491800926</v>
      </c>
      <c r="C2769" s="34" t="s">
        <v>15</v>
      </c>
      <c r="D2769" s="35" t="s">
        <v>1808</v>
      </c>
      <c r="E2769" s="35" t="s">
        <v>830</v>
      </c>
      <c r="F2769" s="34" t="s">
        <v>1809</v>
      </c>
      <c r="G2769" s="36" t="s">
        <v>181</v>
      </c>
      <c r="H2769" s="34" t="s">
        <v>8208</v>
      </c>
      <c r="I2769" s="34" t="s">
        <v>231</v>
      </c>
      <c r="J2769" s="37">
        <v>46177.0</v>
      </c>
      <c r="K2769" s="35" t="s">
        <v>582</v>
      </c>
      <c r="L2769" s="34">
        <v>2.0</v>
      </c>
      <c r="M2769" s="34" t="s">
        <v>1559</v>
      </c>
      <c r="N2769" s="38" t="s">
        <v>8215</v>
      </c>
      <c r="O2769" s="39" t="s">
        <v>8216</v>
      </c>
    </row>
    <row r="2770">
      <c r="A2770" s="32">
        <v>3221.0</v>
      </c>
      <c r="B2770" s="33">
        <v>46180.568668912034</v>
      </c>
      <c r="C2770" s="34" t="s">
        <v>15</v>
      </c>
      <c r="D2770" s="35" t="s">
        <v>1808</v>
      </c>
      <c r="E2770" s="35" t="s">
        <v>830</v>
      </c>
      <c r="F2770" s="34" t="s">
        <v>8217</v>
      </c>
      <c r="G2770" s="36" t="s">
        <v>181</v>
      </c>
      <c r="H2770" s="34" t="s">
        <v>8218</v>
      </c>
      <c r="I2770" s="34" t="s">
        <v>231</v>
      </c>
      <c r="J2770" s="37">
        <v>46177.0</v>
      </c>
      <c r="K2770" s="35" t="s">
        <v>3263</v>
      </c>
      <c r="L2770" s="34">
        <v>3.0</v>
      </c>
      <c r="M2770" s="34" t="s">
        <v>7969</v>
      </c>
      <c r="N2770" s="38" t="s">
        <v>8219</v>
      </c>
      <c r="O2770" s="39" t="s">
        <v>8220</v>
      </c>
    </row>
    <row r="2771">
      <c r="A2771" s="32">
        <v>3222.0</v>
      </c>
      <c r="B2771" s="33">
        <v>46180.57156165509</v>
      </c>
      <c r="C2771" s="34" t="s">
        <v>15</v>
      </c>
      <c r="D2771" s="35" t="s">
        <v>3859</v>
      </c>
      <c r="E2771" s="35" t="s">
        <v>1253</v>
      </c>
      <c r="F2771" s="34" t="s">
        <v>3860</v>
      </c>
      <c r="G2771" s="36" t="s">
        <v>181</v>
      </c>
      <c r="H2771" s="34" t="s">
        <v>8018</v>
      </c>
      <c r="I2771" s="34" t="s">
        <v>314</v>
      </c>
      <c r="J2771" s="37">
        <v>46177.0</v>
      </c>
      <c r="K2771" s="35" t="s">
        <v>2961</v>
      </c>
      <c r="L2771" s="34">
        <v>3.0</v>
      </c>
      <c r="M2771" s="34" t="s">
        <v>8221</v>
      </c>
      <c r="N2771" s="38" t="s">
        <v>8222</v>
      </c>
      <c r="O2771" s="39" t="s">
        <v>8223</v>
      </c>
    </row>
    <row r="2772">
      <c r="A2772" s="32">
        <v>3223.0</v>
      </c>
      <c r="B2772" s="33">
        <v>46180.57301836806</v>
      </c>
      <c r="C2772" s="34" t="s">
        <v>15</v>
      </c>
      <c r="D2772" s="35" t="s">
        <v>3083</v>
      </c>
      <c r="E2772" s="35" t="s">
        <v>1049</v>
      </c>
      <c r="F2772" s="34" t="s">
        <v>3109</v>
      </c>
      <c r="G2772" s="36" t="s">
        <v>84</v>
      </c>
      <c r="H2772" s="34" t="s">
        <v>85</v>
      </c>
      <c r="I2772" s="34" t="s">
        <v>8224</v>
      </c>
      <c r="J2772" s="37">
        <v>46024.0</v>
      </c>
      <c r="K2772" s="35" t="s">
        <v>2053</v>
      </c>
      <c r="L2772" s="34">
        <v>8.0</v>
      </c>
      <c r="M2772" s="34" t="s">
        <v>8225</v>
      </c>
      <c r="N2772" s="38" t="s">
        <v>8226</v>
      </c>
      <c r="O2772" s="39" t="s">
        <v>8227</v>
      </c>
    </row>
    <row r="2773">
      <c r="A2773" s="32">
        <v>3224.0</v>
      </c>
      <c r="B2773" s="33">
        <v>46180.59852185185</v>
      </c>
      <c r="C2773" s="34" t="s">
        <v>15</v>
      </c>
      <c r="D2773" s="35" t="s">
        <v>8228</v>
      </c>
      <c r="E2773" s="35" t="s">
        <v>396</v>
      </c>
      <c r="F2773" s="34" t="s">
        <v>397</v>
      </c>
      <c r="G2773" s="36" t="s">
        <v>159</v>
      </c>
      <c r="H2773" s="34" t="s">
        <v>8229</v>
      </c>
      <c r="I2773" s="34" t="s">
        <v>8230</v>
      </c>
      <c r="J2773" s="37">
        <v>46025.0</v>
      </c>
      <c r="K2773" s="35" t="s">
        <v>1458</v>
      </c>
      <c r="L2773" s="34">
        <v>1.0</v>
      </c>
      <c r="M2773" s="34" t="s">
        <v>8231</v>
      </c>
      <c r="N2773" s="38" t="s">
        <v>8232</v>
      </c>
      <c r="O2773" s="39" t="s">
        <v>8233</v>
      </c>
    </row>
    <row r="2774">
      <c r="A2774" s="32">
        <v>3225.0</v>
      </c>
      <c r="B2774" s="33">
        <v>46180.60188623842</v>
      </c>
      <c r="C2774" s="34" t="s">
        <v>15</v>
      </c>
      <c r="D2774" s="35" t="s">
        <v>395</v>
      </c>
      <c r="E2774" s="35" t="s">
        <v>396</v>
      </c>
      <c r="F2774" s="34" t="s">
        <v>397</v>
      </c>
      <c r="G2774" s="36" t="s">
        <v>209</v>
      </c>
      <c r="H2774" s="34" t="s">
        <v>8234</v>
      </c>
      <c r="I2774" s="34" t="s">
        <v>8235</v>
      </c>
      <c r="J2774" s="37">
        <v>46025.0</v>
      </c>
      <c r="K2774" s="35" t="s">
        <v>3287</v>
      </c>
      <c r="L2774" s="34">
        <v>3.0</v>
      </c>
      <c r="M2774" s="34" t="s">
        <v>8236</v>
      </c>
      <c r="N2774" s="38" t="s">
        <v>8237</v>
      </c>
      <c r="O2774" s="39" t="s">
        <v>8238</v>
      </c>
    </row>
    <row r="2775">
      <c r="A2775" s="32">
        <v>3226.0</v>
      </c>
      <c r="B2775" s="33">
        <v>46180.60404900463</v>
      </c>
      <c r="C2775" s="34" t="s">
        <v>15</v>
      </c>
      <c r="D2775" s="35" t="s">
        <v>395</v>
      </c>
      <c r="E2775" s="35" t="s">
        <v>396</v>
      </c>
      <c r="F2775" s="34" t="s">
        <v>397</v>
      </c>
      <c r="G2775" s="36" t="s">
        <v>144</v>
      </c>
      <c r="H2775" s="34" t="s">
        <v>730</v>
      </c>
      <c r="I2775" s="34" t="s">
        <v>8239</v>
      </c>
      <c r="J2775" s="37">
        <v>46046.0</v>
      </c>
      <c r="K2775" s="35" t="s">
        <v>310</v>
      </c>
      <c r="L2775" s="34">
        <v>1.0</v>
      </c>
      <c r="M2775" s="34" t="s">
        <v>8236</v>
      </c>
      <c r="N2775" s="38" t="s">
        <v>8240</v>
      </c>
      <c r="O2775" s="39" t="s">
        <v>8241</v>
      </c>
    </row>
    <row r="2776">
      <c r="A2776" s="32">
        <v>3227.0</v>
      </c>
      <c r="B2776" s="33">
        <v>46180.606130706015</v>
      </c>
      <c r="C2776" s="34" t="s">
        <v>15</v>
      </c>
      <c r="D2776" s="35" t="s">
        <v>395</v>
      </c>
      <c r="E2776" s="35" t="s">
        <v>396</v>
      </c>
      <c r="F2776" s="34" t="s">
        <v>397</v>
      </c>
      <c r="G2776" s="36" t="s">
        <v>144</v>
      </c>
      <c r="H2776" s="34" t="s">
        <v>730</v>
      </c>
      <c r="I2776" s="34" t="s">
        <v>8242</v>
      </c>
      <c r="J2776" s="37">
        <v>46125.0</v>
      </c>
      <c r="K2776" s="35" t="s">
        <v>418</v>
      </c>
      <c r="L2776" s="34">
        <v>1.0</v>
      </c>
      <c r="M2776" s="34" t="s">
        <v>8236</v>
      </c>
      <c r="N2776" s="38" t="s">
        <v>8243</v>
      </c>
      <c r="O2776" s="39" t="s">
        <v>8244</v>
      </c>
    </row>
    <row r="2777">
      <c r="A2777" s="32">
        <v>3228.0</v>
      </c>
      <c r="B2777" s="33">
        <v>46180.607933437495</v>
      </c>
      <c r="C2777" s="34" t="s">
        <v>15</v>
      </c>
      <c r="D2777" s="35" t="s">
        <v>395</v>
      </c>
      <c r="E2777" s="35" t="s">
        <v>396</v>
      </c>
      <c r="F2777" s="34" t="s">
        <v>397</v>
      </c>
      <c r="G2777" s="36" t="s">
        <v>144</v>
      </c>
      <c r="H2777" s="34" t="s">
        <v>8245</v>
      </c>
      <c r="I2777" s="34" t="s">
        <v>8246</v>
      </c>
      <c r="J2777" s="37">
        <v>46125.0</v>
      </c>
      <c r="K2777" s="35" t="s">
        <v>310</v>
      </c>
      <c r="L2777" s="34">
        <v>1.0</v>
      </c>
      <c r="M2777" s="34" t="s">
        <v>8231</v>
      </c>
      <c r="N2777" s="38" t="s">
        <v>8247</v>
      </c>
      <c r="O2777" s="39" t="s">
        <v>8248</v>
      </c>
    </row>
    <row r="2778">
      <c r="A2778" s="32">
        <v>3229.0</v>
      </c>
      <c r="B2778" s="33">
        <v>46180.61474972223</v>
      </c>
      <c r="C2778" s="34" t="s">
        <v>15</v>
      </c>
      <c r="D2778" s="35" t="s">
        <v>395</v>
      </c>
      <c r="E2778" s="35" t="s">
        <v>396</v>
      </c>
      <c r="F2778" s="34" t="s">
        <v>397</v>
      </c>
      <c r="G2778" s="36" t="s">
        <v>181</v>
      </c>
      <c r="H2778" s="34" t="s">
        <v>8249</v>
      </c>
      <c r="I2778" s="34" t="s">
        <v>8250</v>
      </c>
      <c r="J2778" s="37">
        <v>46159.0</v>
      </c>
      <c r="K2778" s="35" t="s">
        <v>49</v>
      </c>
      <c r="L2778" s="34">
        <v>8.0</v>
      </c>
      <c r="M2778" s="34" t="s">
        <v>87</v>
      </c>
      <c r="N2778" s="38" t="s">
        <v>8251</v>
      </c>
      <c r="O2778" s="39" t="s">
        <v>8252</v>
      </c>
    </row>
    <row r="2779">
      <c r="A2779" s="32">
        <v>3230.0</v>
      </c>
      <c r="B2779" s="33">
        <v>46180.61647366898</v>
      </c>
      <c r="C2779" s="34" t="s">
        <v>15</v>
      </c>
      <c r="D2779" s="35" t="s">
        <v>395</v>
      </c>
      <c r="E2779" s="35" t="s">
        <v>396</v>
      </c>
      <c r="F2779" s="34" t="s">
        <v>397</v>
      </c>
      <c r="G2779" s="36" t="s">
        <v>181</v>
      </c>
      <c r="H2779" s="34" t="s">
        <v>5700</v>
      </c>
      <c r="I2779" s="34" t="s">
        <v>231</v>
      </c>
      <c r="J2779" s="37">
        <v>46148.0</v>
      </c>
      <c r="K2779" s="35" t="s">
        <v>22</v>
      </c>
      <c r="L2779" s="34">
        <v>4.0</v>
      </c>
      <c r="M2779" s="34" t="s">
        <v>87</v>
      </c>
      <c r="N2779" s="38" t="s">
        <v>8253</v>
      </c>
      <c r="O2779" s="39" t="s">
        <v>8254</v>
      </c>
    </row>
    <row r="2780">
      <c r="A2780" s="32">
        <v>3231.0</v>
      </c>
      <c r="B2780" s="33">
        <v>46180.62010570602</v>
      </c>
      <c r="C2780" s="34" t="s">
        <v>15</v>
      </c>
      <c r="D2780" s="35" t="s">
        <v>395</v>
      </c>
      <c r="E2780" s="35" t="s">
        <v>396</v>
      </c>
      <c r="F2780" s="34" t="s">
        <v>397</v>
      </c>
      <c r="G2780" s="36" t="s">
        <v>159</v>
      </c>
      <c r="H2780" s="34" t="s">
        <v>8255</v>
      </c>
      <c r="I2780" s="34" t="s">
        <v>8230</v>
      </c>
      <c r="J2780" s="37">
        <v>46025.0</v>
      </c>
      <c r="K2780" s="35" t="s">
        <v>518</v>
      </c>
      <c r="L2780" s="34">
        <v>2.0</v>
      </c>
      <c r="M2780" s="34" t="s">
        <v>8231</v>
      </c>
      <c r="N2780" s="38" t="s">
        <v>8256</v>
      </c>
      <c r="O2780" s="39" t="s">
        <v>8257</v>
      </c>
    </row>
    <row r="2781">
      <c r="A2781" s="32">
        <v>3233.0</v>
      </c>
      <c r="B2781" s="33">
        <v>46180.67906288194</v>
      </c>
      <c r="C2781" s="34" t="s">
        <v>26</v>
      </c>
      <c r="D2781" s="35" t="s">
        <v>1542</v>
      </c>
      <c r="E2781" s="35" t="s">
        <v>737</v>
      </c>
      <c r="F2781" s="34" t="s">
        <v>1543</v>
      </c>
      <c r="G2781" s="36" t="s">
        <v>181</v>
      </c>
      <c r="H2781" s="34" t="s">
        <v>8258</v>
      </c>
      <c r="I2781" s="34" t="s">
        <v>231</v>
      </c>
      <c r="J2781" s="37">
        <v>46177.0</v>
      </c>
      <c r="K2781" s="35" t="s">
        <v>7966</v>
      </c>
      <c r="L2781" s="34">
        <v>3.0</v>
      </c>
      <c r="M2781" s="34" t="s">
        <v>7969</v>
      </c>
      <c r="N2781" s="38" t="s">
        <v>8259</v>
      </c>
      <c r="O2781" s="39" t="s">
        <v>8260</v>
      </c>
    </row>
    <row r="2782">
      <c r="A2782" s="32">
        <v>3234.0</v>
      </c>
      <c r="B2782" s="33">
        <v>46180.69079194445</v>
      </c>
      <c r="C2782" s="34" t="s">
        <v>15</v>
      </c>
      <c r="D2782" s="35" t="s">
        <v>395</v>
      </c>
      <c r="E2782" s="35" t="s">
        <v>396</v>
      </c>
      <c r="F2782" s="34" t="s">
        <v>397</v>
      </c>
      <c r="G2782" s="36" t="s">
        <v>159</v>
      </c>
      <c r="H2782" s="34" t="s">
        <v>8261</v>
      </c>
      <c r="I2782" s="34" t="s">
        <v>8262</v>
      </c>
      <c r="J2782" s="37">
        <v>46023.0</v>
      </c>
      <c r="K2782" s="35" t="s">
        <v>457</v>
      </c>
      <c r="L2782" s="34">
        <v>1.0</v>
      </c>
      <c r="M2782" s="34" t="s">
        <v>8236</v>
      </c>
      <c r="N2782" s="38" t="s">
        <v>8263</v>
      </c>
      <c r="O2782" s="39" t="s">
        <v>8264</v>
      </c>
    </row>
    <row r="2783">
      <c r="A2783" s="32">
        <v>3236.0</v>
      </c>
      <c r="B2783" s="33">
        <v>46180.8490250926</v>
      </c>
      <c r="C2783" s="34" t="s">
        <v>26</v>
      </c>
      <c r="D2783" s="35" t="s">
        <v>2140</v>
      </c>
      <c r="E2783" s="35" t="s">
        <v>440</v>
      </c>
      <c r="F2783" s="34" t="s">
        <v>2141</v>
      </c>
      <c r="G2783" s="36" t="s">
        <v>181</v>
      </c>
      <c r="H2783" s="34" t="s">
        <v>8265</v>
      </c>
      <c r="I2783" s="34" t="s">
        <v>231</v>
      </c>
      <c r="J2783" s="37">
        <v>46177.0</v>
      </c>
      <c r="K2783" s="35" t="s">
        <v>7966</v>
      </c>
      <c r="L2783" s="34">
        <v>3.0</v>
      </c>
      <c r="M2783" s="34" t="s">
        <v>7969</v>
      </c>
      <c r="N2783" s="38" t="s">
        <v>8266</v>
      </c>
      <c r="O2783" s="39" t="s">
        <v>8267</v>
      </c>
    </row>
    <row r="2784">
      <c r="A2784" s="32">
        <v>3237.0</v>
      </c>
      <c r="B2784" s="33">
        <v>46180.852671307875</v>
      </c>
      <c r="C2784" s="34" t="s">
        <v>26</v>
      </c>
      <c r="D2784" s="35" t="s">
        <v>965</v>
      </c>
      <c r="E2784" s="35" t="s">
        <v>569</v>
      </c>
      <c r="F2784" s="34" t="s">
        <v>966</v>
      </c>
      <c r="G2784" s="36" t="s">
        <v>181</v>
      </c>
      <c r="H2784" s="34" t="s">
        <v>7965</v>
      </c>
      <c r="I2784" s="34" t="s">
        <v>1211</v>
      </c>
      <c r="J2784" s="37">
        <v>46177.0</v>
      </c>
      <c r="K2784" s="35" t="s">
        <v>7966</v>
      </c>
      <c r="L2784" s="34">
        <v>3.0</v>
      </c>
      <c r="M2784" s="34" t="s">
        <v>8268</v>
      </c>
      <c r="N2784" s="38" t="s">
        <v>8269</v>
      </c>
      <c r="O2784" s="39" t="s">
        <v>8270</v>
      </c>
    </row>
    <row r="2785">
      <c r="A2785" s="32">
        <v>3238.0</v>
      </c>
      <c r="B2785" s="33">
        <v>46180.85804177083</v>
      </c>
      <c r="C2785" s="34" t="s">
        <v>15</v>
      </c>
      <c r="D2785" s="35" t="s">
        <v>4546</v>
      </c>
      <c r="E2785" s="35" t="s">
        <v>951</v>
      </c>
      <c r="F2785" s="34" t="s">
        <v>4547</v>
      </c>
      <c r="G2785" s="36" t="s">
        <v>19</v>
      </c>
      <c r="H2785" s="34" t="s">
        <v>8271</v>
      </c>
      <c r="I2785" s="34" t="s">
        <v>8272</v>
      </c>
      <c r="J2785" s="37">
        <v>46011.0</v>
      </c>
      <c r="K2785" s="35" t="s">
        <v>49</v>
      </c>
      <c r="L2785" s="34">
        <v>8.0</v>
      </c>
      <c r="M2785" s="34" t="s">
        <v>87</v>
      </c>
      <c r="N2785" s="38" t="s">
        <v>8273</v>
      </c>
      <c r="O2785" s="39" t="s">
        <v>8274</v>
      </c>
    </row>
    <row r="2786">
      <c r="A2786" s="32">
        <v>3239.0</v>
      </c>
      <c r="B2786" s="33">
        <v>46180.876199652776</v>
      </c>
      <c r="C2786" s="34" t="s">
        <v>26</v>
      </c>
      <c r="D2786" s="35" t="s">
        <v>1591</v>
      </c>
      <c r="E2786" s="35" t="s">
        <v>223</v>
      </c>
      <c r="F2786" s="34" t="s">
        <v>1592</v>
      </c>
      <c r="G2786" s="36" t="s">
        <v>84</v>
      </c>
      <c r="H2786" s="34" t="s">
        <v>85</v>
      </c>
      <c r="I2786" s="34" t="s">
        <v>3130</v>
      </c>
      <c r="J2786" s="37">
        <v>46177.0</v>
      </c>
      <c r="K2786" s="35" t="s">
        <v>7959</v>
      </c>
      <c r="L2786" s="34">
        <v>8.0</v>
      </c>
      <c r="M2786" s="34" t="s">
        <v>860</v>
      </c>
      <c r="N2786" s="38" t="s">
        <v>8275</v>
      </c>
      <c r="O2786" s="39" t="s">
        <v>8276</v>
      </c>
    </row>
    <row r="2787">
      <c r="A2787" s="32">
        <v>3240.0</v>
      </c>
      <c r="B2787" s="33">
        <v>46180.87632809028</v>
      </c>
      <c r="C2787" s="34" t="s">
        <v>26</v>
      </c>
      <c r="D2787" s="35" t="s">
        <v>847</v>
      </c>
      <c r="E2787" s="35" t="s">
        <v>1185</v>
      </c>
      <c r="F2787" s="34" t="s">
        <v>848</v>
      </c>
      <c r="G2787" s="36" t="s">
        <v>84</v>
      </c>
      <c r="H2787" s="34" t="s">
        <v>455</v>
      </c>
      <c r="I2787" s="34" t="s">
        <v>456</v>
      </c>
      <c r="J2787" s="37">
        <v>46175.0</v>
      </c>
      <c r="K2787" s="35" t="s">
        <v>5110</v>
      </c>
      <c r="L2787" s="34">
        <v>8.0</v>
      </c>
      <c r="M2787" s="34" t="s">
        <v>860</v>
      </c>
      <c r="N2787" s="38" t="s">
        <v>8277</v>
      </c>
      <c r="O2787" s="39" t="s">
        <v>8278</v>
      </c>
    </row>
    <row r="2788">
      <c r="A2788" s="32">
        <v>3241.0</v>
      </c>
      <c r="B2788" s="33">
        <v>46180.88153428241</v>
      </c>
      <c r="C2788" s="34" t="s">
        <v>26</v>
      </c>
      <c r="D2788" s="35" t="s">
        <v>1591</v>
      </c>
      <c r="E2788" s="35" t="s">
        <v>223</v>
      </c>
      <c r="F2788" s="34" t="s">
        <v>1592</v>
      </c>
      <c r="G2788" s="36" t="s">
        <v>181</v>
      </c>
      <c r="H2788" s="34" t="s">
        <v>7874</v>
      </c>
      <c r="I2788" s="34" t="s">
        <v>231</v>
      </c>
      <c r="J2788" s="37">
        <v>46177.0</v>
      </c>
      <c r="K2788" s="35" t="s">
        <v>3117</v>
      </c>
      <c r="L2788" s="34">
        <v>1.0</v>
      </c>
      <c r="M2788" s="34" t="s">
        <v>1559</v>
      </c>
      <c r="N2788" s="38" t="s">
        <v>8279</v>
      </c>
      <c r="O2788" s="39" t="s">
        <v>8280</v>
      </c>
    </row>
    <row r="2789">
      <c r="A2789" s="32">
        <v>3242.0</v>
      </c>
      <c r="B2789" s="33">
        <v>46180.88258402778</v>
      </c>
      <c r="C2789" s="34" t="s">
        <v>26</v>
      </c>
      <c r="D2789" s="35" t="s">
        <v>1591</v>
      </c>
      <c r="E2789" s="35" t="s">
        <v>223</v>
      </c>
      <c r="F2789" s="34" t="s">
        <v>1592</v>
      </c>
      <c r="G2789" s="36" t="s">
        <v>181</v>
      </c>
      <c r="H2789" s="34" t="s">
        <v>7874</v>
      </c>
      <c r="I2789" s="34" t="s">
        <v>231</v>
      </c>
      <c r="J2789" s="37">
        <v>46178.0</v>
      </c>
      <c r="K2789" s="35" t="s">
        <v>5110</v>
      </c>
      <c r="L2789" s="34">
        <v>1.0</v>
      </c>
      <c r="M2789" s="34" t="s">
        <v>1559</v>
      </c>
      <c r="N2789" s="38" t="s">
        <v>8281</v>
      </c>
      <c r="O2789" s="39" t="s">
        <v>8282</v>
      </c>
    </row>
    <row r="2790">
      <c r="A2790" s="32">
        <v>3243.0</v>
      </c>
      <c r="B2790" s="33">
        <v>46180.88677377315</v>
      </c>
      <c r="C2790" s="34" t="s">
        <v>26</v>
      </c>
      <c r="D2790" s="35" t="s">
        <v>1591</v>
      </c>
      <c r="E2790" s="35" t="s">
        <v>223</v>
      </c>
      <c r="F2790" s="34" t="s">
        <v>1592</v>
      </c>
      <c r="G2790" s="36" t="s">
        <v>181</v>
      </c>
      <c r="H2790" s="34" t="s">
        <v>8283</v>
      </c>
      <c r="I2790" s="34" t="s">
        <v>231</v>
      </c>
      <c r="J2790" s="37">
        <v>46178.0</v>
      </c>
      <c r="K2790" s="35" t="s">
        <v>8284</v>
      </c>
      <c r="L2790" s="34">
        <v>6.0</v>
      </c>
      <c r="M2790" s="34" t="s">
        <v>860</v>
      </c>
      <c r="N2790" s="38" t="s">
        <v>8285</v>
      </c>
      <c r="O2790" s="39" t="s">
        <v>8286</v>
      </c>
    </row>
    <row r="2791">
      <c r="A2791" s="32">
        <v>3244.0</v>
      </c>
      <c r="B2791" s="33">
        <v>46180.88811295139</v>
      </c>
      <c r="C2791" s="34" t="s">
        <v>15</v>
      </c>
      <c r="D2791" s="35" t="s">
        <v>2547</v>
      </c>
      <c r="E2791" s="35" t="s">
        <v>110</v>
      </c>
      <c r="F2791" s="34" t="s">
        <v>2548</v>
      </c>
      <c r="G2791" s="36" t="s">
        <v>209</v>
      </c>
      <c r="H2791" s="34" t="s">
        <v>6765</v>
      </c>
      <c r="I2791" s="34" t="s">
        <v>825</v>
      </c>
      <c r="J2791" s="37">
        <v>46125.0</v>
      </c>
      <c r="K2791" s="35" t="s">
        <v>657</v>
      </c>
      <c r="L2791" s="34">
        <v>1.0</v>
      </c>
      <c r="M2791" s="34" t="s">
        <v>2660</v>
      </c>
      <c r="N2791" s="38" t="s">
        <v>8287</v>
      </c>
      <c r="O2791" s="39" t="s">
        <v>8288</v>
      </c>
    </row>
    <row r="2792">
      <c r="A2792" s="32">
        <v>3245.0</v>
      </c>
      <c r="B2792" s="33">
        <v>46180.88912773148</v>
      </c>
      <c r="C2792" s="34" t="s">
        <v>15</v>
      </c>
      <c r="D2792" s="35" t="s">
        <v>3114</v>
      </c>
      <c r="E2792" s="35" t="s">
        <v>142</v>
      </c>
      <c r="F2792" s="34" t="s">
        <v>3115</v>
      </c>
      <c r="G2792" s="36" t="s">
        <v>181</v>
      </c>
      <c r="H2792" s="34" t="s">
        <v>5432</v>
      </c>
      <c r="I2792" s="34" t="s">
        <v>3172</v>
      </c>
      <c r="J2792" s="37">
        <v>46133.0</v>
      </c>
      <c r="K2792" s="35" t="s">
        <v>962</v>
      </c>
      <c r="L2792" s="34">
        <v>4.0</v>
      </c>
      <c r="M2792" s="34" t="s">
        <v>33</v>
      </c>
      <c r="N2792" s="38" t="s">
        <v>8289</v>
      </c>
      <c r="O2792" s="39" t="s">
        <v>8290</v>
      </c>
    </row>
    <row r="2793">
      <c r="A2793" s="32">
        <v>3246.0</v>
      </c>
      <c r="B2793" s="33">
        <v>46180.89012369213</v>
      </c>
      <c r="C2793" s="34" t="s">
        <v>15</v>
      </c>
      <c r="D2793" s="35" t="s">
        <v>2683</v>
      </c>
      <c r="E2793" s="35" t="s">
        <v>919</v>
      </c>
      <c r="F2793" s="34" t="s">
        <v>2684</v>
      </c>
      <c r="G2793" s="36" t="s">
        <v>181</v>
      </c>
      <c r="H2793" s="34" t="s">
        <v>8249</v>
      </c>
      <c r="I2793" s="34" t="s">
        <v>8250</v>
      </c>
      <c r="J2793" s="37">
        <v>46159.0</v>
      </c>
      <c r="K2793" s="35" t="s">
        <v>49</v>
      </c>
      <c r="L2793" s="34">
        <v>8.0</v>
      </c>
      <c r="M2793" s="34" t="s">
        <v>2391</v>
      </c>
      <c r="N2793" s="38" t="s">
        <v>8291</v>
      </c>
      <c r="O2793" s="39" t="s">
        <v>8292</v>
      </c>
    </row>
    <row r="2794">
      <c r="A2794" s="32">
        <v>3247.0</v>
      </c>
      <c r="B2794" s="33">
        <v>46180.890557962965</v>
      </c>
      <c r="C2794" s="34" t="s">
        <v>26</v>
      </c>
      <c r="D2794" s="35" t="s">
        <v>1591</v>
      </c>
      <c r="E2794" s="35" t="s">
        <v>223</v>
      </c>
      <c r="F2794" s="34" t="s">
        <v>1592</v>
      </c>
      <c r="G2794" s="36" t="s">
        <v>181</v>
      </c>
      <c r="H2794" s="34" t="s">
        <v>7874</v>
      </c>
      <c r="I2794" s="34" t="s">
        <v>231</v>
      </c>
      <c r="J2794" s="37">
        <v>46176.0</v>
      </c>
      <c r="K2794" s="35" t="s">
        <v>3117</v>
      </c>
      <c r="L2794" s="34">
        <v>1.0</v>
      </c>
      <c r="M2794" s="34" t="s">
        <v>1559</v>
      </c>
      <c r="N2794" s="38" t="s">
        <v>8293</v>
      </c>
      <c r="O2794" s="39" t="s">
        <v>8294</v>
      </c>
    </row>
    <row r="2795">
      <c r="A2795" s="32">
        <v>3248.0</v>
      </c>
      <c r="B2795" s="33">
        <v>46180.892363437495</v>
      </c>
      <c r="C2795" s="34" t="s">
        <v>15</v>
      </c>
      <c r="D2795" s="35" t="s">
        <v>2683</v>
      </c>
      <c r="E2795" s="35" t="s">
        <v>919</v>
      </c>
      <c r="F2795" s="34" t="s">
        <v>2684</v>
      </c>
      <c r="G2795" s="36" t="s">
        <v>181</v>
      </c>
      <c r="H2795" s="34" t="s">
        <v>8271</v>
      </c>
      <c r="I2795" s="34" t="s">
        <v>8295</v>
      </c>
      <c r="J2795" s="37">
        <v>46011.0</v>
      </c>
      <c r="K2795" s="35" t="s">
        <v>49</v>
      </c>
      <c r="L2795" s="34">
        <v>8.0</v>
      </c>
      <c r="M2795" s="34" t="s">
        <v>87</v>
      </c>
      <c r="N2795" s="38" t="s">
        <v>8296</v>
      </c>
      <c r="O2795" s="39" t="s">
        <v>8297</v>
      </c>
    </row>
    <row r="2796">
      <c r="A2796" s="32">
        <v>3249.0</v>
      </c>
      <c r="B2796" s="33">
        <v>46180.90051332176</v>
      </c>
      <c r="C2796" s="34" t="s">
        <v>15</v>
      </c>
      <c r="D2796" s="35" t="s">
        <v>3114</v>
      </c>
      <c r="E2796" s="35" t="s">
        <v>142</v>
      </c>
      <c r="F2796" s="34" t="s">
        <v>3115</v>
      </c>
      <c r="G2796" s="36" t="s">
        <v>181</v>
      </c>
      <c r="H2796" s="34" t="s">
        <v>5432</v>
      </c>
      <c r="I2796" s="34" t="s">
        <v>231</v>
      </c>
      <c r="J2796" s="37">
        <v>46134.0</v>
      </c>
      <c r="K2796" s="35" t="s">
        <v>962</v>
      </c>
      <c r="L2796" s="34">
        <v>4.0</v>
      </c>
      <c r="M2796" s="34" t="s">
        <v>33</v>
      </c>
      <c r="N2796" s="38" t="s">
        <v>8298</v>
      </c>
      <c r="O2796" s="39" t="s">
        <v>8299</v>
      </c>
    </row>
    <row r="2797">
      <c r="A2797" s="32">
        <v>3250.0</v>
      </c>
      <c r="B2797" s="33">
        <v>46180.90200185185</v>
      </c>
      <c r="C2797" s="34" t="s">
        <v>15</v>
      </c>
      <c r="D2797" s="35" t="s">
        <v>3114</v>
      </c>
      <c r="E2797" s="35" t="s">
        <v>142</v>
      </c>
      <c r="F2797" s="34" t="s">
        <v>3115</v>
      </c>
      <c r="G2797" s="36" t="s">
        <v>181</v>
      </c>
      <c r="H2797" s="34" t="s">
        <v>5432</v>
      </c>
      <c r="I2797" s="34" t="s">
        <v>231</v>
      </c>
      <c r="J2797" s="37">
        <v>46135.0</v>
      </c>
      <c r="K2797" s="35" t="s">
        <v>962</v>
      </c>
      <c r="L2797" s="34">
        <v>4.0</v>
      </c>
      <c r="M2797" s="34" t="s">
        <v>33</v>
      </c>
      <c r="N2797" s="38" t="s">
        <v>8300</v>
      </c>
      <c r="O2797" s="39" t="s">
        <v>8301</v>
      </c>
    </row>
    <row r="2798">
      <c r="A2798" s="32">
        <v>3252.0</v>
      </c>
      <c r="B2798" s="33">
        <v>46180.90495023148</v>
      </c>
      <c r="C2798" s="34" t="s">
        <v>15</v>
      </c>
      <c r="D2798" s="35" t="s">
        <v>3114</v>
      </c>
      <c r="E2798" s="35" t="s">
        <v>142</v>
      </c>
      <c r="F2798" s="34" t="s">
        <v>3115</v>
      </c>
      <c r="G2798" s="36" t="s">
        <v>181</v>
      </c>
      <c r="H2798" s="34" t="s">
        <v>5432</v>
      </c>
      <c r="I2798" s="34" t="s">
        <v>231</v>
      </c>
      <c r="J2798" s="37">
        <v>46138.0</v>
      </c>
      <c r="K2798" s="35" t="s">
        <v>3192</v>
      </c>
      <c r="L2798" s="34">
        <v>6.0</v>
      </c>
      <c r="M2798" s="34" t="s">
        <v>33</v>
      </c>
      <c r="N2798" s="38" t="s">
        <v>8302</v>
      </c>
      <c r="O2798" s="39" t="s">
        <v>8303</v>
      </c>
    </row>
    <row r="2799">
      <c r="A2799" s="32">
        <v>3253.0</v>
      </c>
      <c r="B2799" s="33">
        <v>46180.90570400463</v>
      </c>
      <c r="C2799" s="34" t="s">
        <v>15</v>
      </c>
      <c r="D2799" s="35" t="s">
        <v>2683</v>
      </c>
      <c r="E2799" s="35" t="s">
        <v>919</v>
      </c>
      <c r="F2799" s="34" t="s">
        <v>2684</v>
      </c>
      <c r="G2799" s="36" t="s">
        <v>181</v>
      </c>
      <c r="H2799" s="34" t="s">
        <v>5432</v>
      </c>
      <c r="I2799" s="34" t="s">
        <v>231</v>
      </c>
      <c r="J2799" s="37">
        <v>46133.0</v>
      </c>
      <c r="K2799" s="35" t="s">
        <v>962</v>
      </c>
      <c r="L2799" s="34">
        <v>4.0</v>
      </c>
      <c r="M2799" s="34" t="s">
        <v>33</v>
      </c>
      <c r="N2799" s="38" t="s">
        <v>8304</v>
      </c>
      <c r="O2799" s="39" t="s">
        <v>8305</v>
      </c>
    </row>
    <row r="2800">
      <c r="A2800" s="32">
        <v>3254.0</v>
      </c>
      <c r="B2800" s="33">
        <v>46180.90647488426</v>
      </c>
      <c r="C2800" s="34" t="s">
        <v>15</v>
      </c>
      <c r="D2800" s="35" t="s">
        <v>3114</v>
      </c>
      <c r="E2800" s="35" t="s">
        <v>142</v>
      </c>
      <c r="F2800" s="34" t="s">
        <v>3115</v>
      </c>
      <c r="G2800" s="36" t="s">
        <v>181</v>
      </c>
      <c r="H2800" s="34" t="s">
        <v>5432</v>
      </c>
      <c r="I2800" s="34" t="s">
        <v>6991</v>
      </c>
      <c r="J2800" s="37">
        <v>46139.0</v>
      </c>
      <c r="K2800" s="35" t="s">
        <v>962</v>
      </c>
      <c r="L2800" s="34">
        <v>4.0</v>
      </c>
      <c r="M2800" s="34" t="s">
        <v>33</v>
      </c>
      <c r="N2800" s="38" t="s">
        <v>8306</v>
      </c>
      <c r="O2800" s="39" t="s">
        <v>8307</v>
      </c>
    </row>
    <row r="2801">
      <c r="A2801" s="32">
        <v>3255.0</v>
      </c>
      <c r="B2801" s="33">
        <v>46180.91767028935</v>
      </c>
      <c r="C2801" s="34" t="s">
        <v>26</v>
      </c>
      <c r="D2801" s="35" t="s">
        <v>1958</v>
      </c>
      <c r="E2801" s="35" t="s">
        <v>380</v>
      </c>
      <c r="F2801" s="34" t="s">
        <v>1959</v>
      </c>
      <c r="G2801" s="36" t="s">
        <v>84</v>
      </c>
      <c r="H2801" s="34" t="s">
        <v>85</v>
      </c>
      <c r="I2801" s="34" t="s">
        <v>8308</v>
      </c>
      <c r="J2801" s="37">
        <v>46173.0</v>
      </c>
      <c r="K2801" s="35" t="s">
        <v>8309</v>
      </c>
      <c r="L2801" s="34">
        <v>8.0</v>
      </c>
      <c r="M2801" s="34" t="s">
        <v>8310</v>
      </c>
      <c r="N2801" s="38" t="s">
        <v>8311</v>
      </c>
      <c r="O2801" s="39" t="s">
        <v>8312</v>
      </c>
    </row>
    <row r="2802">
      <c r="A2802" s="32">
        <v>3256.0</v>
      </c>
      <c r="B2802" s="33">
        <v>46180.921643657406</v>
      </c>
      <c r="C2802" s="34" t="s">
        <v>26</v>
      </c>
      <c r="D2802" s="35" t="s">
        <v>1958</v>
      </c>
      <c r="E2802" s="35" t="s">
        <v>380</v>
      </c>
      <c r="F2802" s="34" t="s">
        <v>1959</v>
      </c>
      <c r="G2802" s="36" t="s">
        <v>181</v>
      </c>
      <c r="H2802" s="34" t="s">
        <v>8313</v>
      </c>
      <c r="I2802" s="34" t="s">
        <v>5654</v>
      </c>
      <c r="J2802" s="37">
        <v>46147.0</v>
      </c>
      <c r="K2802" s="35" t="s">
        <v>6012</v>
      </c>
      <c r="L2802" s="34">
        <v>3.0</v>
      </c>
      <c r="M2802" s="34" t="s">
        <v>1325</v>
      </c>
      <c r="N2802" s="38" t="s">
        <v>8314</v>
      </c>
      <c r="O2802" s="39" t="s">
        <v>8315</v>
      </c>
    </row>
    <row r="2803">
      <c r="A2803" s="32">
        <v>3257.0</v>
      </c>
      <c r="B2803" s="33">
        <v>46180.93456148148</v>
      </c>
      <c r="C2803" s="34" t="s">
        <v>15</v>
      </c>
      <c r="D2803" s="35" t="s">
        <v>663</v>
      </c>
      <c r="E2803" s="35" t="s">
        <v>664</v>
      </c>
      <c r="F2803" s="34" t="s">
        <v>665</v>
      </c>
      <c r="G2803" s="36" t="s">
        <v>181</v>
      </c>
      <c r="H2803" s="34" t="s">
        <v>2812</v>
      </c>
      <c r="I2803" s="34" t="s">
        <v>231</v>
      </c>
      <c r="J2803" s="37">
        <v>46097.0</v>
      </c>
      <c r="K2803" s="35" t="s">
        <v>49</v>
      </c>
      <c r="L2803" s="34">
        <v>8.0</v>
      </c>
      <c r="M2803" s="34" t="s">
        <v>33</v>
      </c>
      <c r="N2803" s="38" t="s">
        <v>8316</v>
      </c>
      <c r="O2803" s="39" t="s">
        <v>8317</v>
      </c>
    </row>
    <row r="2804">
      <c r="A2804" s="32">
        <v>3259.0</v>
      </c>
      <c r="B2804" s="33">
        <v>46180.93587290509</v>
      </c>
      <c r="C2804" s="34" t="s">
        <v>26</v>
      </c>
      <c r="D2804" s="35" t="s">
        <v>5653</v>
      </c>
      <c r="E2804" s="35" t="s">
        <v>380</v>
      </c>
      <c r="F2804" s="34" t="s">
        <v>1959</v>
      </c>
      <c r="G2804" s="36" t="s">
        <v>19</v>
      </c>
      <c r="H2804" s="34" t="s">
        <v>5653</v>
      </c>
      <c r="I2804" s="34" t="s">
        <v>5654</v>
      </c>
      <c r="J2804" s="37">
        <v>46078.0</v>
      </c>
      <c r="K2804" s="35" t="s">
        <v>8318</v>
      </c>
      <c r="L2804" s="34">
        <v>8.0</v>
      </c>
      <c r="M2804" s="34" t="s">
        <v>5550</v>
      </c>
      <c r="N2804" s="38" t="s">
        <v>8319</v>
      </c>
      <c r="O2804" s="39" t="s">
        <v>8320</v>
      </c>
    </row>
    <row r="2805">
      <c r="A2805" s="32">
        <v>3260.0</v>
      </c>
      <c r="B2805" s="33">
        <v>46180.93687521991</v>
      </c>
      <c r="C2805" s="34" t="s">
        <v>15</v>
      </c>
      <c r="D2805" s="35" t="s">
        <v>663</v>
      </c>
      <c r="E2805" s="35" t="s">
        <v>664</v>
      </c>
      <c r="F2805" s="34" t="s">
        <v>665</v>
      </c>
      <c r="G2805" s="36" t="s">
        <v>181</v>
      </c>
      <c r="H2805" s="34" t="s">
        <v>2812</v>
      </c>
      <c r="I2805" s="34" t="s">
        <v>231</v>
      </c>
      <c r="J2805" s="37">
        <v>46133.0</v>
      </c>
      <c r="K2805" s="35" t="s">
        <v>22</v>
      </c>
      <c r="L2805" s="34">
        <v>4.0</v>
      </c>
      <c r="M2805" s="34" t="s">
        <v>33</v>
      </c>
      <c r="N2805" s="38" t="s">
        <v>8321</v>
      </c>
      <c r="O2805" s="39" t="s">
        <v>8322</v>
      </c>
    </row>
    <row r="2806">
      <c r="A2806" s="32">
        <v>3261.0</v>
      </c>
      <c r="B2806" s="33">
        <v>46180.93780118055</v>
      </c>
      <c r="C2806" s="34" t="s">
        <v>15</v>
      </c>
      <c r="D2806" s="35" t="s">
        <v>663</v>
      </c>
      <c r="E2806" s="35" t="s">
        <v>664</v>
      </c>
      <c r="F2806" s="34" t="s">
        <v>665</v>
      </c>
      <c r="G2806" s="36" t="s">
        <v>181</v>
      </c>
      <c r="H2806" s="34" t="s">
        <v>2812</v>
      </c>
      <c r="I2806" s="34" t="s">
        <v>231</v>
      </c>
      <c r="J2806" s="37">
        <v>46122.0</v>
      </c>
      <c r="K2806" s="35" t="s">
        <v>22</v>
      </c>
      <c r="L2806" s="34">
        <v>8.0</v>
      </c>
      <c r="M2806" s="34" t="s">
        <v>33</v>
      </c>
      <c r="N2806" s="38" t="s">
        <v>8323</v>
      </c>
      <c r="O2806" s="39" t="s">
        <v>8324</v>
      </c>
    </row>
    <row r="2807">
      <c r="A2807" s="32">
        <v>3262.0</v>
      </c>
      <c r="B2807" s="33">
        <v>46180.93912752315</v>
      </c>
      <c r="C2807" s="34" t="s">
        <v>26</v>
      </c>
      <c r="D2807" s="35" t="s">
        <v>1958</v>
      </c>
      <c r="E2807" s="35" t="s">
        <v>380</v>
      </c>
      <c r="F2807" s="34" t="s">
        <v>1959</v>
      </c>
      <c r="G2807" s="36" t="s">
        <v>19</v>
      </c>
      <c r="H2807" s="34" t="s">
        <v>5653</v>
      </c>
      <c r="I2807" s="34" t="s">
        <v>5654</v>
      </c>
      <c r="J2807" s="37">
        <v>46078.0</v>
      </c>
      <c r="K2807" s="35" t="s">
        <v>2179</v>
      </c>
      <c r="L2807" s="34">
        <v>8.0</v>
      </c>
      <c r="M2807" s="34" t="s">
        <v>5550</v>
      </c>
      <c r="N2807" s="38" t="s">
        <v>8325</v>
      </c>
      <c r="O2807" s="39" t="s">
        <v>8326</v>
      </c>
    </row>
    <row r="2808">
      <c r="A2808" s="32">
        <v>3263.0</v>
      </c>
      <c r="B2808" s="33">
        <v>46180.942680196764</v>
      </c>
      <c r="C2808" s="34" t="s">
        <v>26</v>
      </c>
      <c r="D2808" s="35" t="s">
        <v>1958</v>
      </c>
      <c r="E2808" s="35" t="s">
        <v>380</v>
      </c>
      <c r="F2808" s="34" t="s">
        <v>1959</v>
      </c>
      <c r="G2808" s="36" t="s">
        <v>181</v>
      </c>
      <c r="H2808" s="34" t="s">
        <v>7965</v>
      </c>
      <c r="I2808" s="34" t="s">
        <v>314</v>
      </c>
      <c r="J2808" s="37">
        <v>46177.0</v>
      </c>
      <c r="K2808" s="35" t="s">
        <v>7966</v>
      </c>
      <c r="L2808" s="34">
        <v>3.0</v>
      </c>
      <c r="M2808" s="34" t="s">
        <v>695</v>
      </c>
      <c r="N2808" s="38" t="s">
        <v>8327</v>
      </c>
      <c r="O2808" s="39" t="s">
        <v>8328</v>
      </c>
    </row>
    <row r="2809">
      <c r="A2809" s="32">
        <v>3264.0</v>
      </c>
      <c r="B2809" s="33">
        <v>46180.96679832176</v>
      </c>
      <c r="C2809" s="34" t="s">
        <v>15</v>
      </c>
      <c r="D2809" s="35" t="s">
        <v>4003</v>
      </c>
      <c r="E2809" s="35" t="s">
        <v>223</v>
      </c>
      <c r="F2809" s="34" t="s">
        <v>4004</v>
      </c>
      <c r="G2809" s="36" t="s">
        <v>181</v>
      </c>
      <c r="H2809" s="34" t="s">
        <v>8329</v>
      </c>
      <c r="I2809" s="34" t="s">
        <v>231</v>
      </c>
      <c r="J2809" s="37">
        <v>46177.0</v>
      </c>
      <c r="K2809" s="35" t="s">
        <v>8330</v>
      </c>
      <c r="L2809" s="34">
        <v>3.0</v>
      </c>
      <c r="M2809" s="34" t="s">
        <v>695</v>
      </c>
      <c r="N2809" s="38" t="s">
        <v>8331</v>
      </c>
      <c r="O2809" s="39" t="s">
        <v>8332</v>
      </c>
    </row>
    <row r="2810">
      <c r="A2810" s="32">
        <v>3267.0</v>
      </c>
      <c r="B2810" s="33">
        <v>46180.991183171296</v>
      </c>
      <c r="C2810" s="34" t="s">
        <v>15</v>
      </c>
      <c r="D2810" s="35" t="s">
        <v>2191</v>
      </c>
      <c r="E2810" s="35" t="s">
        <v>1764</v>
      </c>
      <c r="F2810" s="34" t="s">
        <v>2192</v>
      </c>
      <c r="G2810" s="36" t="s">
        <v>181</v>
      </c>
      <c r="H2810" s="34" t="s">
        <v>8333</v>
      </c>
      <c r="I2810" s="34" t="s">
        <v>231</v>
      </c>
      <c r="J2810" s="37">
        <v>46133.0</v>
      </c>
      <c r="K2810" s="35" t="s">
        <v>962</v>
      </c>
      <c r="L2810" s="34">
        <v>4.0</v>
      </c>
      <c r="M2810" s="34" t="s">
        <v>33</v>
      </c>
      <c r="N2810" s="38" t="s">
        <v>8334</v>
      </c>
      <c r="O2810" s="39" t="s">
        <v>8335</v>
      </c>
    </row>
    <row r="2811">
      <c r="A2811" s="32">
        <v>3268.0</v>
      </c>
      <c r="B2811" s="33">
        <v>46180.99244103009</v>
      </c>
      <c r="C2811" s="34" t="s">
        <v>15</v>
      </c>
      <c r="D2811" s="35" t="s">
        <v>2191</v>
      </c>
      <c r="E2811" s="35" t="s">
        <v>1764</v>
      </c>
      <c r="F2811" s="34" t="s">
        <v>2192</v>
      </c>
      <c r="G2811" s="36" t="s">
        <v>181</v>
      </c>
      <c r="H2811" s="34" t="s">
        <v>8336</v>
      </c>
      <c r="I2811" s="34" t="s">
        <v>1211</v>
      </c>
      <c r="J2811" s="37">
        <v>46148.0</v>
      </c>
      <c r="K2811" s="35" t="s">
        <v>22</v>
      </c>
      <c r="L2811" s="34">
        <v>4.0</v>
      </c>
      <c r="M2811" s="34" t="s">
        <v>87</v>
      </c>
      <c r="N2811" s="38" t="s">
        <v>8337</v>
      </c>
      <c r="O2811" s="39" t="s">
        <v>8338</v>
      </c>
    </row>
    <row r="2812">
      <c r="A2812" s="32">
        <v>3269.0</v>
      </c>
      <c r="B2812" s="33">
        <v>46181.32944836805</v>
      </c>
      <c r="C2812" s="34" t="s">
        <v>15</v>
      </c>
      <c r="D2812" s="35" t="s">
        <v>2918</v>
      </c>
      <c r="E2812" s="35" t="s">
        <v>2919</v>
      </c>
      <c r="F2812" s="34" t="s">
        <v>2920</v>
      </c>
      <c r="G2812" s="36" t="s">
        <v>181</v>
      </c>
      <c r="H2812" s="34" t="s">
        <v>6760</v>
      </c>
      <c r="I2812" s="34" t="s">
        <v>231</v>
      </c>
      <c r="J2812" s="37">
        <v>46147.0</v>
      </c>
      <c r="K2812" s="35" t="s">
        <v>5227</v>
      </c>
      <c r="L2812" s="34">
        <v>8.0</v>
      </c>
      <c r="M2812" s="34" t="s">
        <v>6796</v>
      </c>
      <c r="N2812" s="38" t="s">
        <v>8339</v>
      </c>
      <c r="O2812" s="39" t="s">
        <v>8340</v>
      </c>
    </row>
    <row r="2813">
      <c r="A2813" s="32">
        <v>3270.0</v>
      </c>
      <c r="B2813" s="33">
        <v>46181.36996733796</v>
      </c>
      <c r="C2813" s="34" t="s">
        <v>26</v>
      </c>
      <c r="D2813" s="35" t="s">
        <v>2401</v>
      </c>
      <c r="E2813" s="35" t="s">
        <v>799</v>
      </c>
      <c r="F2813" s="34" t="s">
        <v>2402</v>
      </c>
      <c r="G2813" s="36" t="s">
        <v>181</v>
      </c>
      <c r="H2813" s="34" t="s">
        <v>7965</v>
      </c>
      <c r="I2813" s="34" t="s">
        <v>231</v>
      </c>
      <c r="J2813" s="37">
        <v>46177.0</v>
      </c>
      <c r="K2813" s="35" t="s">
        <v>7966</v>
      </c>
      <c r="L2813" s="34">
        <v>3.0</v>
      </c>
      <c r="M2813" s="34" t="s">
        <v>695</v>
      </c>
      <c r="N2813" s="38" t="s">
        <v>8341</v>
      </c>
      <c r="O2813" s="39" t="s">
        <v>8342</v>
      </c>
    </row>
    <row r="2814">
      <c r="A2814" s="32">
        <v>3271.0</v>
      </c>
      <c r="B2814" s="33">
        <v>46181.37059409722</v>
      </c>
      <c r="C2814" s="34" t="s">
        <v>26</v>
      </c>
      <c r="D2814" s="35" t="s">
        <v>1509</v>
      </c>
      <c r="E2814" s="35" t="s">
        <v>199</v>
      </c>
      <c r="F2814" s="34" t="s">
        <v>1510</v>
      </c>
      <c r="G2814" s="36" t="s">
        <v>181</v>
      </c>
      <c r="H2814" s="34" t="s">
        <v>7874</v>
      </c>
      <c r="I2814" s="34" t="s">
        <v>231</v>
      </c>
      <c r="J2814" s="37">
        <v>46176.0</v>
      </c>
      <c r="K2814" s="35" t="s">
        <v>1458</v>
      </c>
      <c r="L2814" s="34">
        <v>1.0</v>
      </c>
      <c r="M2814" s="34" t="s">
        <v>7882</v>
      </c>
      <c r="N2814" s="38" t="s">
        <v>8343</v>
      </c>
      <c r="O2814" s="39" t="s">
        <v>8344</v>
      </c>
    </row>
    <row r="2815">
      <c r="A2815" s="32">
        <v>3272.0</v>
      </c>
      <c r="B2815" s="33">
        <v>46181.371041631945</v>
      </c>
      <c r="C2815" s="34" t="s">
        <v>26</v>
      </c>
      <c r="D2815" s="35" t="s">
        <v>2451</v>
      </c>
      <c r="E2815" s="35" t="s">
        <v>830</v>
      </c>
      <c r="F2815" s="34" t="s">
        <v>2452</v>
      </c>
      <c r="G2815" s="36" t="s">
        <v>181</v>
      </c>
      <c r="H2815" s="34" t="s">
        <v>7965</v>
      </c>
      <c r="I2815" s="34" t="s">
        <v>231</v>
      </c>
      <c r="J2815" s="37">
        <v>46177.0</v>
      </c>
      <c r="K2815" s="35" t="s">
        <v>7966</v>
      </c>
      <c r="L2815" s="34">
        <v>3.0</v>
      </c>
      <c r="M2815" s="34" t="s">
        <v>695</v>
      </c>
      <c r="N2815" s="38" t="s">
        <v>8345</v>
      </c>
      <c r="O2815" s="39" t="s">
        <v>8346</v>
      </c>
    </row>
    <row r="2816">
      <c r="A2816" s="32">
        <v>3273.0</v>
      </c>
      <c r="B2816" s="33">
        <v>46181.371101446755</v>
      </c>
      <c r="C2816" s="34" t="s">
        <v>26</v>
      </c>
      <c r="D2816" s="35" t="s">
        <v>274</v>
      </c>
      <c r="E2816" s="35" t="s">
        <v>228</v>
      </c>
      <c r="F2816" s="34" t="s">
        <v>275</v>
      </c>
      <c r="G2816" s="36" t="s">
        <v>181</v>
      </c>
      <c r="H2816" s="34" t="s">
        <v>8283</v>
      </c>
      <c r="I2816" s="34" t="s">
        <v>231</v>
      </c>
      <c r="J2816" s="37">
        <v>46178.0</v>
      </c>
      <c r="K2816" s="35" t="s">
        <v>8284</v>
      </c>
      <c r="L2816" s="34">
        <v>6.0</v>
      </c>
      <c r="M2816" s="34" t="s">
        <v>860</v>
      </c>
      <c r="N2816" s="38" t="s">
        <v>8347</v>
      </c>
      <c r="O2816" s="39" t="s">
        <v>8348</v>
      </c>
    </row>
    <row r="2817">
      <c r="A2817" s="32">
        <v>3274.0</v>
      </c>
      <c r="B2817" s="33">
        <v>46181.37158099537</v>
      </c>
      <c r="C2817" s="34" t="s">
        <v>26</v>
      </c>
      <c r="D2817" s="35" t="s">
        <v>2401</v>
      </c>
      <c r="E2817" s="35" t="s">
        <v>799</v>
      </c>
      <c r="F2817" s="34" t="s">
        <v>2402</v>
      </c>
      <c r="G2817" s="36" t="s">
        <v>181</v>
      </c>
      <c r="H2817" s="34" t="s">
        <v>7874</v>
      </c>
      <c r="I2817" s="34" t="s">
        <v>231</v>
      </c>
      <c r="J2817" s="37">
        <v>46176.0</v>
      </c>
      <c r="K2817" s="35" t="s">
        <v>1458</v>
      </c>
      <c r="L2817" s="34">
        <v>1.0</v>
      </c>
      <c r="M2817" s="34" t="s">
        <v>1559</v>
      </c>
      <c r="N2817" s="38" t="s">
        <v>8349</v>
      </c>
      <c r="O2817" s="39" t="s">
        <v>8350</v>
      </c>
    </row>
    <row r="2818">
      <c r="A2818" s="32">
        <v>3275.0</v>
      </c>
      <c r="B2818" s="33">
        <v>46181.37195375</v>
      </c>
      <c r="C2818" s="34" t="s">
        <v>26</v>
      </c>
      <c r="D2818" s="35" t="s">
        <v>1509</v>
      </c>
      <c r="E2818" s="35" t="s">
        <v>199</v>
      </c>
      <c r="F2818" s="34" t="s">
        <v>1510</v>
      </c>
      <c r="G2818" s="36" t="s">
        <v>181</v>
      </c>
      <c r="H2818" s="34" t="s">
        <v>7874</v>
      </c>
      <c r="I2818" s="34" t="s">
        <v>231</v>
      </c>
      <c r="J2818" s="37">
        <v>46177.0</v>
      </c>
      <c r="K2818" s="35" t="s">
        <v>1458</v>
      </c>
      <c r="L2818" s="34">
        <v>1.0</v>
      </c>
      <c r="M2818" s="34" t="s">
        <v>7882</v>
      </c>
      <c r="N2818" s="38" t="s">
        <v>8351</v>
      </c>
      <c r="O2818" s="39" t="s">
        <v>8352</v>
      </c>
    </row>
    <row r="2819">
      <c r="A2819" s="32">
        <v>3276.0</v>
      </c>
      <c r="B2819" s="33">
        <v>46181.3724246875</v>
      </c>
      <c r="C2819" s="34" t="s">
        <v>26</v>
      </c>
      <c r="D2819" s="35" t="s">
        <v>2451</v>
      </c>
      <c r="E2819" s="35" t="s">
        <v>830</v>
      </c>
      <c r="F2819" s="34" t="s">
        <v>2452</v>
      </c>
      <c r="G2819" s="36" t="s">
        <v>181</v>
      </c>
      <c r="H2819" s="34" t="s">
        <v>7874</v>
      </c>
      <c r="I2819" s="34" t="s">
        <v>231</v>
      </c>
      <c r="J2819" s="37">
        <v>46176.0</v>
      </c>
      <c r="K2819" s="35" t="s">
        <v>1458</v>
      </c>
      <c r="L2819" s="34">
        <v>1.0</v>
      </c>
      <c r="M2819" s="34" t="s">
        <v>1559</v>
      </c>
      <c r="N2819" s="38" t="s">
        <v>8353</v>
      </c>
      <c r="O2819" s="39" t="s">
        <v>8354</v>
      </c>
    </row>
    <row r="2820">
      <c r="A2820" s="32">
        <v>3277.0</v>
      </c>
      <c r="B2820" s="33">
        <v>46181.37277618056</v>
      </c>
      <c r="C2820" s="34" t="s">
        <v>26</v>
      </c>
      <c r="D2820" s="35" t="s">
        <v>2401</v>
      </c>
      <c r="E2820" s="35" t="s">
        <v>799</v>
      </c>
      <c r="F2820" s="34" t="s">
        <v>2402</v>
      </c>
      <c r="G2820" s="36" t="s">
        <v>181</v>
      </c>
      <c r="H2820" s="34" t="s">
        <v>7874</v>
      </c>
      <c r="I2820" s="34" t="s">
        <v>231</v>
      </c>
      <c r="J2820" s="37">
        <v>46177.0</v>
      </c>
      <c r="K2820" s="35" t="s">
        <v>1458</v>
      </c>
      <c r="L2820" s="34">
        <v>1.0</v>
      </c>
      <c r="M2820" s="34" t="s">
        <v>1559</v>
      </c>
      <c r="N2820" s="38" t="s">
        <v>8355</v>
      </c>
      <c r="O2820" s="39" t="s">
        <v>8356</v>
      </c>
    </row>
    <row r="2821">
      <c r="A2821" s="32">
        <v>3278.0</v>
      </c>
      <c r="B2821" s="33">
        <v>46181.3732775463</v>
      </c>
      <c r="C2821" s="34" t="s">
        <v>26</v>
      </c>
      <c r="D2821" s="35" t="s">
        <v>2451</v>
      </c>
      <c r="E2821" s="35" t="s">
        <v>830</v>
      </c>
      <c r="F2821" s="34" t="s">
        <v>2452</v>
      </c>
      <c r="G2821" s="36" t="s">
        <v>181</v>
      </c>
      <c r="H2821" s="34" t="s">
        <v>7874</v>
      </c>
      <c r="I2821" s="34" t="s">
        <v>231</v>
      </c>
      <c r="J2821" s="37">
        <v>46177.0</v>
      </c>
      <c r="K2821" s="35" t="s">
        <v>1458</v>
      </c>
      <c r="L2821" s="34">
        <v>1.0</v>
      </c>
      <c r="M2821" s="34" t="s">
        <v>1559</v>
      </c>
      <c r="N2821" s="38" t="s">
        <v>8357</v>
      </c>
      <c r="O2821" s="39" t="s">
        <v>8358</v>
      </c>
    </row>
    <row r="2822">
      <c r="A2822" s="32">
        <v>3279.0</v>
      </c>
      <c r="B2822" s="33">
        <v>46181.37398621527</v>
      </c>
      <c r="C2822" s="34" t="s">
        <v>26</v>
      </c>
      <c r="D2822" s="35" t="s">
        <v>2487</v>
      </c>
      <c r="E2822" s="35" t="s">
        <v>164</v>
      </c>
      <c r="F2822" s="34" t="s">
        <v>2488</v>
      </c>
      <c r="G2822" s="36" t="s">
        <v>181</v>
      </c>
      <c r="H2822" s="34" t="s">
        <v>7874</v>
      </c>
      <c r="I2822" s="34" t="s">
        <v>231</v>
      </c>
      <c r="J2822" s="37">
        <v>46177.0</v>
      </c>
      <c r="K2822" s="35" t="s">
        <v>1458</v>
      </c>
      <c r="L2822" s="34">
        <v>1.0</v>
      </c>
      <c r="M2822" s="34" t="s">
        <v>1559</v>
      </c>
      <c r="N2822" s="38" t="s">
        <v>8359</v>
      </c>
      <c r="O2822" s="39" t="s">
        <v>8360</v>
      </c>
    </row>
    <row r="2823">
      <c r="A2823" s="32">
        <v>3280.0</v>
      </c>
      <c r="B2823" s="33">
        <v>46181.37434902778</v>
      </c>
      <c r="C2823" s="34" t="s">
        <v>26</v>
      </c>
      <c r="D2823" s="35" t="s">
        <v>1010</v>
      </c>
      <c r="E2823" s="35" t="s">
        <v>3024</v>
      </c>
      <c r="F2823" s="34" t="s">
        <v>1011</v>
      </c>
      <c r="G2823" s="36" t="s">
        <v>181</v>
      </c>
      <c r="H2823" s="34" t="s">
        <v>7965</v>
      </c>
      <c r="I2823" s="34" t="s">
        <v>231</v>
      </c>
      <c r="J2823" s="37">
        <v>46177.0</v>
      </c>
      <c r="K2823" s="35" t="s">
        <v>7966</v>
      </c>
      <c r="L2823" s="34">
        <v>3.0</v>
      </c>
      <c r="M2823" s="34" t="s">
        <v>695</v>
      </c>
      <c r="N2823" s="38" t="s">
        <v>8361</v>
      </c>
      <c r="O2823" s="39" t="s">
        <v>8362</v>
      </c>
    </row>
    <row r="2824">
      <c r="A2824" s="32">
        <v>3281.0</v>
      </c>
      <c r="B2824" s="33">
        <v>46181.37440100695</v>
      </c>
      <c r="C2824" s="34" t="s">
        <v>26</v>
      </c>
      <c r="D2824" s="35" t="s">
        <v>385</v>
      </c>
      <c r="E2824" s="35" t="s">
        <v>319</v>
      </c>
      <c r="F2824" s="34" t="s">
        <v>386</v>
      </c>
      <c r="G2824" s="36" t="s">
        <v>181</v>
      </c>
      <c r="H2824" s="34" t="s">
        <v>8363</v>
      </c>
      <c r="I2824" s="34" t="s">
        <v>8364</v>
      </c>
      <c r="J2824" s="37">
        <v>46177.0</v>
      </c>
      <c r="K2824" s="35" t="s">
        <v>3263</v>
      </c>
      <c r="L2824" s="34">
        <v>3.0</v>
      </c>
      <c r="M2824" s="34" t="s">
        <v>8365</v>
      </c>
      <c r="N2824" s="38" t="s">
        <v>8366</v>
      </c>
      <c r="O2824" s="39" t="s">
        <v>8367</v>
      </c>
    </row>
    <row r="2825">
      <c r="A2825" s="32">
        <v>3282.0</v>
      </c>
      <c r="B2825" s="33">
        <v>46181.37497096065</v>
      </c>
      <c r="C2825" s="34" t="s">
        <v>26</v>
      </c>
      <c r="D2825" s="35" t="s">
        <v>318</v>
      </c>
      <c r="E2825" s="35" t="s">
        <v>411</v>
      </c>
      <c r="F2825" s="34" t="s">
        <v>320</v>
      </c>
      <c r="G2825" s="36" t="s">
        <v>181</v>
      </c>
      <c r="H2825" s="34" t="s">
        <v>7874</v>
      </c>
      <c r="I2825" s="34" t="s">
        <v>231</v>
      </c>
      <c r="J2825" s="37">
        <v>46178.0</v>
      </c>
      <c r="K2825" s="35" t="s">
        <v>5110</v>
      </c>
      <c r="L2825" s="34">
        <v>1.0</v>
      </c>
      <c r="M2825" s="34" t="s">
        <v>1559</v>
      </c>
      <c r="N2825" s="38" t="s">
        <v>8368</v>
      </c>
      <c r="O2825" s="39" t="s">
        <v>8369</v>
      </c>
    </row>
    <row r="2826">
      <c r="A2826" s="32">
        <v>3283.0</v>
      </c>
      <c r="B2826" s="33">
        <v>46181.37523065972</v>
      </c>
      <c r="C2826" s="34" t="s">
        <v>26</v>
      </c>
      <c r="D2826" s="35" t="s">
        <v>2487</v>
      </c>
      <c r="E2826" s="35" t="s">
        <v>164</v>
      </c>
      <c r="F2826" s="34" t="s">
        <v>2488</v>
      </c>
      <c r="G2826" s="36" t="s">
        <v>181</v>
      </c>
      <c r="H2826" s="34" t="s">
        <v>7874</v>
      </c>
      <c r="I2826" s="34" t="s">
        <v>231</v>
      </c>
      <c r="J2826" s="37">
        <v>46180.0</v>
      </c>
      <c r="K2826" s="35" t="s">
        <v>1458</v>
      </c>
      <c r="L2826" s="34">
        <v>1.0</v>
      </c>
      <c r="M2826" s="34" t="s">
        <v>1559</v>
      </c>
      <c r="N2826" s="38" t="s">
        <v>8370</v>
      </c>
      <c r="O2826" s="39" t="s">
        <v>8371</v>
      </c>
    </row>
    <row r="2827">
      <c r="A2827" s="32">
        <v>3284.0</v>
      </c>
      <c r="B2827" s="33">
        <v>46181.37640127315</v>
      </c>
      <c r="C2827" s="34" t="s">
        <v>26</v>
      </c>
      <c r="D2827" s="35" t="s">
        <v>2172</v>
      </c>
      <c r="E2827" s="35" t="s">
        <v>110</v>
      </c>
      <c r="F2827" s="34" t="s">
        <v>2173</v>
      </c>
      <c r="G2827" s="36" t="s">
        <v>19</v>
      </c>
      <c r="H2827" s="34" t="s">
        <v>5422</v>
      </c>
      <c r="I2827" s="34" t="s">
        <v>5335</v>
      </c>
      <c r="J2827" s="37">
        <v>46032.0</v>
      </c>
      <c r="K2827" s="35" t="s">
        <v>2328</v>
      </c>
      <c r="L2827" s="34">
        <v>8.0</v>
      </c>
      <c r="M2827" s="34" t="s">
        <v>87</v>
      </c>
      <c r="N2827" s="38" t="s">
        <v>8372</v>
      </c>
      <c r="O2827" s="39" t="s">
        <v>8373</v>
      </c>
    </row>
    <row r="2828">
      <c r="A2828" s="32">
        <v>3285.0</v>
      </c>
      <c r="B2828" s="33">
        <v>46181.37641460648</v>
      </c>
      <c r="C2828" s="34" t="s">
        <v>26</v>
      </c>
      <c r="D2828" s="35" t="s">
        <v>2487</v>
      </c>
      <c r="E2828" s="35" t="s">
        <v>164</v>
      </c>
      <c r="F2828" s="34" t="s">
        <v>2488</v>
      </c>
      <c r="G2828" s="36" t="s">
        <v>181</v>
      </c>
      <c r="H2828" s="34" t="s">
        <v>7965</v>
      </c>
      <c r="I2828" s="34" t="s">
        <v>231</v>
      </c>
      <c r="J2828" s="37">
        <v>46177.0</v>
      </c>
      <c r="K2828" s="35" t="s">
        <v>7966</v>
      </c>
      <c r="L2828" s="34">
        <v>3.0</v>
      </c>
      <c r="M2828" s="34" t="s">
        <v>8374</v>
      </c>
      <c r="N2828" s="38" t="s">
        <v>8375</v>
      </c>
      <c r="O2828" s="39" t="s">
        <v>8376</v>
      </c>
    </row>
    <row r="2829">
      <c r="A2829" s="32">
        <v>3286.0</v>
      </c>
      <c r="B2829" s="33">
        <v>46181.37713947917</v>
      </c>
      <c r="C2829" s="34" t="s">
        <v>26</v>
      </c>
      <c r="D2829" s="35" t="s">
        <v>1108</v>
      </c>
      <c r="E2829" s="35" t="s">
        <v>2919</v>
      </c>
      <c r="F2829" s="34" t="s">
        <v>3290</v>
      </c>
      <c r="G2829" s="36" t="s">
        <v>19</v>
      </c>
      <c r="H2829" s="34" t="s">
        <v>5653</v>
      </c>
      <c r="I2829" s="34" t="s">
        <v>5862</v>
      </c>
      <c r="J2829" s="37">
        <v>46078.0</v>
      </c>
      <c r="K2829" s="35" t="s">
        <v>2179</v>
      </c>
      <c r="L2829" s="34">
        <v>8.0</v>
      </c>
      <c r="M2829" s="34" t="s">
        <v>87</v>
      </c>
      <c r="N2829" s="38" t="s">
        <v>8377</v>
      </c>
      <c r="O2829" s="39" t="s">
        <v>8378</v>
      </c>
    </row>
    <row r="2830">
      <c r="A2830" s="32">
        <v>3288.0</v>
      </c>
      <c r="B2830" s="33">
        <v>46181.38023376158</v>
      </c>
      <c r="C2830" s="34" t="s">
        <v>26</v>
      </c>
      <c r="D2830" s="35" t="s">
        <v>1108</v>
      </c>
      <c r="E2830" s="35" t="s">
        <v>2919</v>
      </c>
      <c r="F2830" s="34" t="s">
        <v>3290</v>
      </c>
      <c r="G2830" s="36" t="s">
        <v>19</v>
      </c>
      <c r="H2830" s="34" t="s">
        <v>5906</v>
      </c>
      <c r="I2830" s="34" t="s">
        <v>5978</v>
      </c>
      <c r="J2830" s="37">
        <v>46032.0</v>
      </c>
      <c r="K2830" s="35" t="s">
        <v>2328</v>
      </c>
      <c r="L2830" s="34">
        <v>8.0</v>
      </c>
      <c r="M2830" s="34" t="s">
        <v>87</v>
      </c>
      <c r="N2830" s="38" t="s">
        <v>8379</v>
      </c>
      <c r="O2830" s="39" t="s">
        <v>8380</v>
      </c>
    </row>
    <row r="2831">
      <c r="A2831" s="32">
        <v>3289.0</v>
      </c>
      <c r="B2831" s="33">
        <v>46181.38048127315</v>
      </c>
      <c r="C2831" s="34" t="s">
        <v>26</v>
      </c>
      <c r="D2831" s="35" t="s">
        <v>2172</v>
      </c>
      <c r="E2831" s="35" t="s">
        <v>110</v>
      </c>
      <c r="F2831" s="34" t="s">
        <v>2173</v>
      </c>
      <c r="G2831" s="36" t="s">
        <v>19</v>
      </c>
      <c r="H2831" s="34" t="s">
        <v>5653</v>
      </c>
      <c r="I2831" s="34" t="s">
        <v>2029</v>
      </c>
      <c r="J2831" s="37">
        <v>46078.0</v>
      </c>
      <c r="K2831" s="35" t="s">
        <v>2179</v>
      </c>
      <c r="L2831" s="34">
        <v>8.0</v>
      </c>
      <c r="M2831" s="34" t="s">
        <v>5975</v>
      </c>
      <c r="N2831" s="38" t="s">
        <v>8381</v>
      </c>
      <c r="O2831" s="39" t="s">
        <v>8382</v>
      </c>
    </row>
    <row r="2832">
      <c r="A2832" s="32">
        <v>3290.0</v>
      </c>
      <c r="B2832" s="33">
        <v>46181.3807075463</v>
      </c>
      <c r="C2832" s="34" t="s">
        <v>26</v>
      </c>
      <c r="D2832" s="35" t="s">
        <v>1509</v>
      </c>
      <c r="E2832" s="35" t="s">
        <v>199</v>
      </c>
      <c r="F2832" s="34" t="s">
        <v>1510</v>
      </c>
      <c r="G2832" s="36" t="s">
        <v>181</v>
      </c>
      <c r="H2832" s="34" t="s">
        <v>8071</v>
      </c>
      <c r="I2832" s="34" t="s">
        <v>231</v>
      </c>
      <c r="J2832" s="37">
        <v>46114.0</v>
      </c>
      <c r="K2832" s="35" t="s">
        <v>518</v>
      </c>
      <c r="L2832" s="34">
        <v>2.0</v>
      </c>
      <c r="M2832" s="34" t="s">
        <v>8383</v>
      </c>
      <c r="N2832" s="38" t="s">
        <v>8384</v>
      </c>
      <c r="O2832" s="39" t="s">
        <v>8385</v>
      </c>
    </row>
    <row r="2833">
      <c r="A2833" s="32">
        <v>3291.0</v>
      </c>
      <c r="B2833" s="33">
        <v>46181.38212403935</v>
      </c>
      <c r="C2833" s="34" t="s">
        <v>26</v>
      </c>
      <c r="D2833" s="35" t="s">
        <v>1509</v>
      </c>
      <c r="E2833" s="35" t="s">
        <v>199</v>
      </c>
      <c r="F2833" s="34" t="s">
        <v>1510</v>
      </c>
      <c r="G2833" s="36" t="s">
        <v>181</v>
      </c>
      <c r="H2833" s="34" t="s">
        <v>8071</v>
      </c>
      <c r="I2833" s="34" t="s">
        <v>231</v>
      </c>
      <c r="J2833" s="37">
        <v>46120.0</v>
      </c>
      <c r="K2833" s="35" t="s">
        <v>518</v>
      </c>
      <c r="L2833" s="34">
        <v>2.0</v>
      </c>
      <c r="M2833" s="34" t="s">
        <v>1064</v>
      </c>
      <c r="N2833" s="38" t="s">
        <v>8386</v>
      </c>
      <c r="O2833" s="39" t="s">
        <v>8387</v>
      </c>
    </row>
    <row r="2834">
      <c r="A2834" s="32">
        <v>3292.0</v>
      </c>
      <c r="B2834" s="33">
        <v>46181.38254291667</v>
      </c>
      <c r="C2834" s="34" t="s">
        <v>26</v>
      </c>
      <c r="D2834" s="35" t="s">
        <v>2487</v>
      </c>
      <c r="E2834" s="35" t="s">
        <v>164</v>
      </c>
      <c r="F2834" s="34" t="s">
        <v>2488</v>
      </c>
      <c r="G2834" s="36" t="s">
        <v>181</v>
      </c>
      <c r="H2834" s="34" t="s">
        <v>7874</v>
      </c>
      <c r="I2834" s="34" t="s">
        <v>231</v>
      </c>
      <c r="J2834" s="37">
        <v>46176.0</v>
      </c>
      <c r="K2834" s="35" t="s">
        <v>1458</v>
      </c>
      <c r="L2834" s="34">
        <v>1.0</v>
      </c>
      <c r="M2834" s="34" t="s">
        <v>1559</v>
      </c>
      <c r="N2834" s="38" t="s">
        <v>8388</v>
      </c>
      <c r="O2834" s="39" t="s">
        <v>8389</v>
      </c>
    </row>
    <row r="2835">
      <c r="A2835" s="32">
        <v>3293.0</v>
      </c>
      <c r="B2835" s="33">
        <v>46181.38289778936</v>
      </c>
      <c r="C2835" s="34" t="s">
        <v>26</v>
      </c>
      <c r="D2835" s="35" t="s">
        <v>2451</v>
      </c>
      <c r="E2835" s="35" t="s">
        <v>830</v>
      </c>
      <c r="F2835" s="34" t="s">
        <v>2452</v>
      </c>
      <c r="G2835" s="36" t="s">
        <v>19</v>
      </c>
      <c r="H2835" s="34" t="s">
        <v>6241</v>
      </c>
      <c r="I2835" s="34" t="s">
        <v>6212</v>
      </c>
      <c r="J2835" s="37">
        <v>46115.0</v>
      </c>
      <c r="K2835" s="35" t="s">
        <v>3287</v>
      </c>
      <c r="L2835" s="34">
        <v>3.0</v>
      </c>
      <c r="M2835" s="34" t="s">
        <v>1064</v>
      </c>
      <c r="N2835" s="38" t="s">
        <v>8390</v>
      </c>
      <c r="O2835" s="39" t="s">
        <v>8391</v>
      </c>
    </row>
    <row r="2836">
      <c r="A2836" s="32">
        <v>3294.0</v>
      </c>
      <c r="B2836" s="33">
        <v>46181.38340157407</v>
      </c>
      <c r="C2836" s="34" t="s">
        <v>26</v>
      </c>
      <c r="D2836" s="35" t="s">
        <v>1509</v>
      </c>
      <c r="E2836" s="35" t="s">
        <v>199</v>
      </c>
      <c r="F2836" s="34" t="s">
        <v>1510</v>
      </c>
      <c r="G2836" s="36" t="s">
        <v>181</v>
      </c>
      <c r="H2836" s="34" t="s">
        <v>8071</v>
      </c>
      <c r="I2836" s="34" t="s">
        <v>231</v>
      </c>
      <c r="J2836" s="37">
        <v>46113.0</v>
      </c>
      <c r="K2836" s="35" t="s">
        <v>518</v>
      </c>
      <c r="L2836" s="34">
        <v>2.0</v>
      </c>
      <c r="M2836" s="34" t="s">
        <v>1064</v>
      </c>
      <c r="N2836" s="38" t="s">
        <v>8392</v>
      </c>
      <c r="O2836" s="39" t="s">
        <v>8393</v>
      </c>
    </row>
    <row r="2837">
      <c r="A2837" s="32">
        <v>3295.0</v>
      </c>
      <c r="B2837" s="33">
        <v>46181.38376545139</v>
      </c>
      <c r="C2837" s="34" t="s">
        <v>26</v>
      </c>
      <c r="D2837" s="35" t="s">
        <v>1108</v>
      </c>
      <c r="E2837" s="35" t="s">
        <v>2919</v>
      </c>
      <c r="F2837" s="34" t="s">
        <v>3290</v>
      </c>
      <c r="G2837" s="36" t="s">
        <v>181</v>
      </c>
      <c r="H2837" s="34" t="s">
        <v>5432</v>
      </c>
      <c r="I2837" s="34" t="s">
        <v>6991</v>
      </c>
      <c r="J2837" s="37">
        <v>46139.0</v>
      </c>
      <c r="K2837" s="35" t="s">
        <v>962</v>
      </c>
      <c r="L2837" s="34">
        <v>4.0</v>
      </c>
      <c r="M2837" s="34" t="s">
        <v>33</v>
      </c>
      <c r="N2837" s="38" t="s">
        <v>8394</v>
      </c>
      <c r="O2837" s="39" t="s">
        <v>8395</v>
      </c>
    </row>
    <row r="2838">
      <c r="A2838" s="32">
        <v>3296.0</v>
      </c>
      <c r="B2838" s="33">
        <v>46181.38418916667</v>
      </c>
      <c r="C2838" s="34" t="s">
        <v>26</v>
      </c>
      <c r="D2838" s="35" t="s">
        <v>2389</v>
      </c>
      <c r="E2838" s="35" t="s">
        <v>1764</v>
      </c>
      <c r="F2838" s="34" t="s">
        <v>2390</v>
      </c>
      <c r="G2838" s="36" t="s">
        <v>181</v>
      </c>
      <c r="H2838" s="34" t="s">
        <v>8071</v>
      </c>
      <c r="I2838" s="34" t="s">
        <v>231</v>
      </c>
      <c r="J2838" s="37">
        <v>46113.0</v>
      </c>
      <c r="K2838" s="35" t="s">
        <v>518</v>
      </c>
      <c r="L2838" s="34">
        <v>2.0</v>
      </c>
      <c r="M2838" s="34" t="s">
        <v>1064</v>
      </c>
      <c r="N2838" s="38" t="s">
        <v>8396</v>
      </c>
      <c r="O2838" s="39" t="s">
        <v>8397</v>
      </c>
    </row>
    <row r="2839">
      <c r="A2839" s="32">
        <v>3297.0</v>
      </c>
      <c r="B2839" s="33">
        <v>46181.38520517361</v>
      </c>
      <c r="C2839" s="34" t="s">
        <v>26</v>
      </c>
      <c r="D2839" s="35" t="s">
        <v>1108</v>
      </c>
      <c r="E2839" s="35" t="s">
        <v>2919</v>
      </c>
      <c r="F2839" s="34" t="s">
        <v>3290</v>
      </c>
      <c r="G2839" s="36" t="s">
        <v>181</v>
      </c>
      <c r="H2839" s="34" t="s">
        <v>5432</v>
      </c>
      <c r="I2839" s="34" t="s">
        <v>231</v>
      </c>
      <c r="J2839" s="37">
        <v>46133.0</v>
      </c>
      <c r="K2839" s="35" t="s">
        <v>962</v>
      </c>
      <c r="L2839" s="34">
        <v>4.0</v>
      </c>
      <c r="M2839" s="34" t="s">
        <v>33</v>
      </c>
      <c r="N2839" s="38" t="s">
        <v>8398</v>
      </c>
      <c r="O2839" s="39" t="s">
        <v>8399</v>
      </c>
    </row>
    <row r="2840">
      <c r="A2840" s="32">
        <v>3298.0</v>
      </c>
      <c r="B2840" s="33">
        <v>46181.38657818287</v>
      </c>
      <c r="C2840" s="34" t="s">
        <v>26</v>
      </c>
      <c r="D2840" s="35" t="s">
        <v>1108</v>
      </c>
      <c r="E2840" s="35" t="s">
        <v>2919</v>
      </c>
      <c r="F2840" s="34" t="s">
        <v>3290</v>
      </c>
      <c r="G2840" s="36" t="s">
        <v>181</v>
      </c>
      <c r="H2840" s="34" t="s">
        <v>5432</v>
      </c>
      <c r="I2840" s="34" t="s">
        <v>231</v>
      </c>
      <c r="J2840" s="37">
        <v>46134.0</v>
      </c>
      <c r="K2840" s="35" t="s">
        <v>962</v>
      </c>
      <c r="L2840" s="34">
        <v>4.0</v>
      </c>
      <c r="M2840" s="34" t="s">
        <v>33</v>
      </c>
      <c r="N2840" s="38" t="s">
        <v>8400</v>
      </c>
      <c r="O2840" s="39" t="s">
        <v>8401</v>
      </c>
    </row>
    <row r="2841">
      <c r="A2841" s="32">
        <v>3299.0</v>
      </c>
      <c r="B2841" s="33">
        <v>46181.38741364583</v>
      </c>
      <c r="C2841" s="34" t="s">
        <v>26</v>
      </c>
      <c r="D2841" s="35" t="s">
        <v>2389</v>
      </c>
      <c r="E2841" s="35" t="s">
        <v>1764</v>
      </c>
      <c r="F2841" s="34" t="s">
        <v>2390</v>
      </c>
      <c r="G2841" s="36" t="s">
        <v>181</v>
      </c>
      <c r="H2841" s="34" t="s">
        <v>8402</v>
      </c>
      <c r="I2841" s="34" t="s">
        <v>231</v>
      </c>
      <c r="J2841" s="37">
        <v>46114.0</v>
      </c>
      <c r="K2841" s="35" t="s">
        <v>518</v>
      </c>
      <c r="L2841" s="34">
        <v>2.0</v>
      </c>
      <c r="M2841" s="34" t="s">
        <v>1064</v>
      </c>
      <c r="N2841" s="38" t="s">
        <v>8403</v>
      </c>
      <c r="O2841" s="39" t="s">
        <v>8404</v>
      </c>
    </row>
    <row r="2842">
      <c r="A2842" s="32">
        <v>3300.0</v>
      </c>
      <c r="B2842" s="33">
        <v>46181.38784613426</v>
      </c>
      <c r="C2842" s="34" t="s">
        <v>26</v>
      </c>
      <c r="D2842" s="35" t="s">
        <v>1108</v>
      </c>
      <c r="E2842" s="35" t="s">
        <v>2919</v>
      </c>
      <c r="F2842" s="34" t="s">
        <v>3290</v>
      </c>
      <c r="G2842" s="36" t="s">
        <v>181</v>
      </c>
      <c r="H2842" s="34" t="s">
        <v>5432</v>
      </c>
      <c r="I2842" s="34" t="s">
        <v>231</v>
      </c>
      <c r="J2842" s="37">
        <v>46135.0</v>
      </c>
      <c r="K2842" s="35" t="s">
        <v>962</v>
      </c>
      <c r="L2842" s="34">
        <v>4.0</v>
      </c>
      <c r="M2842" s="34" t="s">
        <v>33</v>
      </c>
      <c r="N2842" s="38" t="s">
        <v>8405</v>
      </c>
      <c r="O2842" s="39" t="s">
        <v>8406</v>
      </c>
    </row>
    <row r="2843">
      <c r="A2843" s="32">
        <v>3301.0</v>
      </c>
      <c r="B2843" s="33">
        <v>46181.387870543986</v>
      </c>
      <c r="C2843" s="34" t="s">
        <v>26</v>
      </c>
      <c r="D2843" s="35" t="s">
        <v>2172</v>
      </c>
      <c r="E2843" s="35" t="s">
        <v>110</v>
      </c>
      <c r="F2843" s="34" t="s">
        <v>2173</v>
      </c>
      <c r="G2843" s="36" t="s">
        <v>181</v>
      </c>
      <c r="H2843" s="34" t="s">
        <v>8071</v>
      </c>
      <c r="I2843" s="34" t="s">
        <v>231</v>
      </c>
      <c r="J2843" s="37">
        <v>46113.0</v>
      </c>
      <c r="K2843" s="35" t="s">
        <v>518</v>
      </c>
      <c r="L2843" s="34">
        <v>2.0</v>
      </c>
      <c r="M2843" s="34" t="s">
        <v>1064</v>
      </c>
      <c r="N2843" s="38" t="s">
        <v>8407</v>
      </c>
      <c r="O2843" s="39" t="s">
        <v>8408</v>
      </c>
    </row>
    <row r="2844">
      <c r="A2844" s="32">
        <v>3302.0</v>
      </c>
      <c r="B2844" s="33">
        <v>46181.3896095949</v>
      </c>
      <c r="C2844" s="34" t="s">
        <v>26</v>
      </c>
      <c r="D2844" s="35" t="s">
        <v>2172</v>
      </c>
      <c r="E2844" s="35" t="s">
        <v>110</v>
      </c>
      <c r="F2844" s="34" t="s">
        <v>2173</v>
      </c>
      <c r="G2844" s="36" t="s">
        <v>181</v>
      </c>
      <c r="H2844" s="34" t="s">
        <v>8071</v>
      </c>
      <c r="I2844" s="34" t="s">
        <v>231</v>
      </c>
      <c r="J2844" s="37">
        <v>46114.0</v>
      </c>
      <c r="K2844" s="35" t="s">
        <v>518</v>
      </c>
      <c r="L2844" s="34">
        <v>2.0</v>
      </c>
      <c r="M2844" s="34" t="s">
        <v>1064</v>
      </c>
      <c r="N2844" s="38" t="s">
        <v>8409</v>
      </c>
      <c r="O2844" s="39" t="s">
        <v>8410</v>
      </c>
    </row>
    <row r="2845">
      <c r="A2845" s="32">
        <v>3303.0</v>
      </c>
      <c r="B2845" s="33">
        <v>46181.3896930787</v>
      </c>
      <c r="C2845" s="34" t="s">
        <v>26</v>
      </c>
      <c r="D2845" s="35" t="s">
        <v>2389</v>
      </c>
      <c r="E2845" s="35" t="s">
        <v>1764</v>
      </c>
      <c r="F2845" s="34" t="s">
        <v>2390</v>
      </c>
      <c r="G2845" s="36" t="s">
        <v>181</v>
      </c>
      <c r="H2845" s="34" t="s">
        <v>8402</v>
      </c>
      <c r="I2845" s="34" t="s">
        <v>231</v>
      </c>
      <c r="J2845" s="37">
        <v>46120.0</v>
      </c>
      <c r="K2845" s="35" t="s">
        <v>518</v>
      </c>
      <c r="L2845" s="34">
        <v>2.0</v>
      </c>
      <c r="M2845" s="34" t="s">
        <v>1064</v>
      </c>
      <c r="N2845" s="38" t="s">
        <v>8411</v>
      </c>
      <c r="O2845" s="39" t="s">
        <v>8412</v>
      </c>
    </row>
    <row r="2846">
      <c r="A2846" s="32">
        <v>3304.0</v>
      </c>
      <c r="B2846" s="33">
        <v>46181.39045186342</v>
      </c>
      <c r="C2846" s="34" t="s">
        <v>26</v>
      </c>
      <c r="D2846" s="35" t="s">
        <v>1108</v>
      </c>
      <c r="E2846" s="35" t="s">
        <v>2919</v>
      </c>
      <c r="F2846" s="34" t="s">
        <v>3290</v>
      </c>
      <c r="G2846" s="36" t="s">
        <v>181</v>
      </c>
      <c r="H2846" s="34" t="s">
        <v>8080</v>
      </c>
      <c r="I2846" s="34" t="s">
        <v>231</v>
      </c>
      <c r="J2846" s="37">
        <v>46177.0</v>
      </c>
      <c r="K2846" s="35" t="s">
        <v>7966</v>
      </c>
      <c r="L2846" s="34">
        <v>3.0</v>
      </c>
      <c r="M2846" s="34" t="s">
        <v>7969</v>
      </c>
      <c r="N2846" s="38" t="s">
        <v>8413</v>
      </c>
      <c r="O2846" s="39" t="s">
        <v>8414</v>
      </c>
    </row>
    <row r="2847">
      <c r="A2847" s="32">
        <v>3305.0</v>
      </c>
      <c r="B2847" s="33">
        <v>46181.39153304398</v>
      </c>
      <c r="C2847" s="34" t="s">
        <v>26</v>
      </c>
      <c r="D2847" s="35" t="s">
        <v>2172</v>
      </c>
      <c r="E2847" s="35" t="s">
        <v>110</v>
      </c>
      <c r="F2847" s="34" t="s">
        <v>2173</v>
      </c>
      <c r="G2847" s="36" t="s">
        <v>181</v>
      </c>
      <c r="H2847" s="34" t="s">
        <v>8071</v>
      </c>
      <c r="I2847" s="34" t="s">
        <v>231</v>
      </c>
      <c r="J2847" s="37">
        <v>46120.0</v>
      </c>
      <c r="K2847" s="35" t="s">
        <v>518</v>
      </c>
      <c r="L2847" s="34">
        <v>2.0</v>
      </c>
      <c r="M2847" s="34" t="s">
        <v>1064</v>
      </c>
      <c r="N2847" s="38" t="s">
        <v>8415</v>
      </c>
      <c r="O2847" s="39" t="s">
        <v>8416</v>
      </c>
    </row>
    <row r="2848">
      <c r="A2848" s="32">
        <v>3306.0</v>
      </c>
      <c r="B2848" s="33">
        <v>46181.394737083334</v>
      </c>
      <c r="C2848" s="34" t="s">
        <v>26</v>
      </c>
      <c r="D2848" s="35" t="s">
        <v>1108</v>
      </c>
      <c r="E2848" s="35" t="s">
        <v>2919</v>
      </c>
      <c r="F2848" s="34" t="s">
        <v>3290</v>
      </c>
      <c r="G2848" s="36" t="s">
        <v>181</v>
      </c>
      <c r="H2848" s="34" t="s">
        <v>7874</v>
      </c>
      <c r="I2848" s="34" t="s">
        <v>231</v>
      </c>
      <c r="J2848" s="37">
        <v>46176.0</v>
      </c>
      <c r="K2848" s="35" t="s">
        <v>1458</v>
      </c>
      <c r="L2848" s="34">
        <v>1.0</v>
      </c>
      <c r="M2848" s="34" t="s">
        <v>1559</v>
      </c>
      <c r="N2848" s="38" t="s">
        <v>8417</v>
      </c>
      <c r="O2848" s="39" t="s">
        <v>8418</v>
      </c>
    </row>
    <row r="2849">
      <c r="A2849" s="32">
        <v>3307.0</v>
      </c>
      <c r="B2849" s="33">
        <v>46181.396036527774</v>
      </c>
      <c r="C2849" s="34" t="s">
        <v>26</v>
      </c>
      <c r="D2849" s="35" t="s">
        <v>2172</v>
      </c>
      <c r="E2849" s="35" t="s">
        <v>110</v>
      </c>
      <c r="F2849" s="34" t="s">
        <v>2173</v>
      </c>
      <c r="G2849" s="36" t="s">
        <v>181</v>
      </c>
      <c r="H2849" s="34" t="s">
        <v>8419</v>
      </c>
      <c r="I2849" s="34" t="s">
        <v>231</v>
      </c>
      <c r="J2849" s="37">
        <v>46177.0</v>
      </c>
      <c r="K2849" s="35" t="s">
        <v>7966</v>
      </c>
      <c r="L2849" s="34">
        <v>3.0</v>
      </c>
      <c r="M2849" s="34" t="s">
        <v>695</v>
      </c>
      <c r="N2849" s="38" t="s">
        <v>8420</v>
      </c>
      <c r="O2849" s="39" t="s">
        <v>8421</v>
      </c>
    </row>
    <row r="2850">
      <c r="A2850" s="32">
        <v>3308.0</v>
      </c>
      <c r="B2850" s="33">
        <v>46181.39616822917</v>
      </c>
      <c r="C2850" s="34" t="s">
        <v>26</v>
      </c>
      <c r="D2850" s="35" t="s">
        <v>1108</v>
      </c>
      <c r="E2850" s="35" t="s">
        <v>2919</v>
      </c>
      <c r="F2850" s="34" t="s">
        <v>3290</v>
      </c>
      <c r="G2850" s="36" t="s">
        <v>181</v>
      </c>
      <c r="H2850" s="34" t="s">
        <v>7874</v>
      </c>
      <c r="I2850" s="34" t="s">
        <v>231</v>
      </c>
      <c r="J2850" s="37">
        <v>46177.0</v>
      </c>
      <c r="K2850" s="35" t="s">
        <v>1458</v>
      </c>
      <c r="L2850" s="34">
        <v>1.0</v>
      </c>
      <c r="M2850" s="34" t="s">
        <v>1559</v>
      </c>
      <c r="N2850" s="38" t="s">
        <v>8422</v>
      </c>
      <c r="O2850" s="39" t="s">
        <v>8423</v>
      </c>
    </row>
    <row r="2851">
      <c r="A2851" s="32">
        <v>3309.0</v>
      </c>
      <c r="B2851" s="33">
        <v>46181.39942592593</v>
      </c>
      <c r="C2851" s="34" t="s">
        <v>26</v>
      </c>
      <c r="D2851" s="35" t="s">
        <v>1108</v>
      </c>
      <c r="E2851" s="35" t="s">
        <v>2919</v>
      </c>
      <c r="F2851" s="34" t="s">
        <v>3290</v>
      </c>
      <c r="G2851" s="36" t="s">
        <v>181</v>
      </c>
      <c r="H2851" s="34" t="s">
        <v>6022</v>
      </c>
      <c r="I2851" s="34" t="s">
        <v>6023</v>
      </c>
      <c r="J2851" s="37">
        <v>46147.0</v>
      </c>
      <c r="K2851" s="35" t="s">
        <v>3287</v>
      </c>
      <c r="L2851" s="34">
        <v>4.0</v>
      </c>
      <c r="M2851" s="34" t="s">
        <v>1325</v>
      </c>
      <c r="N2851" s="38" t="s">
        <v>8424</v>
      </c>
      <c r="O2851" s="39" t="s">
        <v>8425</v>
      </c>
    </row>
    <row r="2852">
      <c r="A2852" s="32">
        <v>3310.0</v>
      </c>
      <c r="B2852" s="33">
        <v>46181.44741224537</v>
      </c>
      <c r="C2852" s="34" t="s">
        <v>15</v>
      </c>
      <c r="D2852" s="35" t="s">
        <v>3083</v>
      </c>
      <c r="E2852" s="35" t="s">
        <v>1049</v>
      </c>
      <c r="F2852" s="34" t="s">
        <v>3109</v>
      </c>
      <c r="G2852" s="36" t="s">
        <v>19</v>
      </c>
      <c r="H2852" s="34" t="s">
        <v>5858</v>
      </c>
      <c r="I2852" s="34" t="s">
        <v>5362</v>
      </c>
      <c r="J2852" s="37">
        <v>46121.0</v>
      </c>
      <c r="K2852" s="35" t="s">
        <v>315</v>
      </c>
      <c r="L2852" s="34">
        <v>8.0</v>
      </c>
      <c r="M2852" s="34" t="s">
        <v>6948</v>
      </c>
      <c r="N2852" s="38" t="s">
        <v>8426</v>
      </c>
      <c r="O2852" s="39" t="s">
        <v>8427</v>
      </c>
    </row>
    <row r="2853">
      <c r="A2853" s="32">
        <v>3311.0</v>
      </c>
      <c r="B2853" s="33">
        <v>46181.44753453704</v>
      </c>
      <c r="C2853" s="34" t="s">
        <v>15</v>
      </c>
      <c r="D2853" s="35" t="s">
        <v>2918</v>
      </c>
      <c r="E2853" s="35" t="s">
        <v>2919</v>
      </c>
      <c r="F2853" s="34" t="s">
        <v>2920</v>
      </c>
      <c r="G2853" s="36" t="s">
        <v>84</v>
      </c>
      <c r="H2853" s="34" t="s">
        <v>455</v>
      </c>
      <c r="I2853" s="34" t="s">
        <v>8428</v>
      </c>
      <c r="J2853" s="37">
        <v>46165.0</v>
      </c>
      <c r="K2853" s="35" t="s">
        <v>8429</v>
      </c>
      <c r="L2853" s="34">
        <v>8.0</v>
      </c>
      <c r="M2853" s="34" t="s">
        <v>8430</v>
      </c>
      <c r="N2853" s="38" t="s">
        <v>8431</v>
      </c>
      <c r="O2853" s="39" t="s">
        <v>8432</v>
      </c>
    </row>
    <row r="2854">
      <c r="A2854" s="32">
        <v>3312.0</v>
      </c>
      <c r="B2854" s="33">
        <v>46181.48578708334</v>
      </c>
      <c r="C2854" s="34" t="s">
        <v>15</v>
      </c>
      <c r="D2854" s="35" t="s">
        <v>2918</v>
      </c>
      <c r="E2854" s="35" t="s">
        <v>2919</v>
      </c>
      <c r="F2854" s="34" t="s">
        <v>2920</v>
      </c>
      <c r="G2854" s="36" t="s">
        <v>181</v>
      </c>
      <c r="H2854" s="34" t="s">
        <v>8433</v>
      </c>
      <c r="I2854" s="34" t="s">
        <v>231</v>
      </c>
      <c r="J2854" s="37">
        <v>46176.0</v>
      </c>
      <c r="K2854" s="35" t="s">
        <v>8434</v>
      </c>
      <c r="L2854" s="34">
        <v>2.0</v>
      </c>
      <c r="M2854" s="34" t="s">
        <v>1559</v>
      </c>
      <c r="N2854" s="38" t="s">
        <v>8435</v>
      </c>
      <c r="O2854" s="39" t="s">
        <v>8436</v>
      </c>
    </row>
    <row r="2855">
      <c r="A2855" s="32">
        <v>3313.0</v>
      </c>
      <c r="B2855" s="33">
        <v>46181.488075914356</v>
      </c>
      <c r="C2855" s="34" t="s">
        <v>15</v>
      </c>
      <c r="D2855" s="35" t="s">
        <v>395</v>
      </c>
      <c r="E2855" s="35" t="s">
        <v>396</v>
      </c>
      <c r="F2855" s="34" t="s">
        <v>397</v>
      </c>
      <c r="G2855" s="36" t="s">
        <v>19</v>
      </c>
      <c r="H2855" s="34" t="s">
        <v>8271</v>
      </c>
      <c r="I2855" s="34" t="s">
        <v>8272</v>
      </c>
      <c r="J2855" s="37">
        <v>46011.0</v>
      </c>
      <c r="K2855" s="35" t="s">
        <v>49</v>
      </c>
      <c r="L2855" s="34">
        <v>8.0</v>
      </c>
      <c r="M2855" s="34" t="s">
        <v>87</v>
      </c>
      <c r="N2855" s="38" t="s">
        <v>8437</v>
      </c>
      <c r="O2855" s="39" t="s">
        <v>8438</v>
      </c>
    </row>
    <row r="2856">
      <c r="A2856" s="32">
        <v>3314.0</v>
      </c>
      <c r="B2856" s="33">
        <v>46181.48993921296</v>
      </c>
      <c r="C2856" s="34" t="s">
        <v>15</v>
      </c>
      <c r="D2856" s="35" t="s">
        <v>2918</v>
      </c>
      <c r="E2856" s="35" t="s">
        <v>2919</v>
      </c>
      <c r="F2856" s="34" t="s">
        <v>2920</v>
      </c>
      <c r="G2856" s="36" t="s">
        <v>181</v>
      </c>
      <c r="H2856" s="34" t="s">
        <v>8433</v>
      </c>
      <c r="I2856" s="34" t="s">
        <v>231</v>
      </c>
      <c r="J2856" s="37">
        <v>46169.0</v>
      </c>
      <c r="K2856" s="35" t="s">
        <v>8439</v>
      </c>
      <c r="L2856" s="34">
        <v>2.0</v>
      </c>
      <c r="M2856" s="34" t="s">
        <v>1559</v>
      </c>
      <c r="N2856" s="38" t="s">
        <v>8440</v>
      </c>
      <c r="O2856" s="39" t="s">
        <v>8441</v>
      </c>
    </row>
    <row r="2857">
      <c r="A2857" s="32">
        <v>3316.0</v>
      </c>
      <c r="B2857" s="33">
        <v>46181.49124949074</v>
      </c>
      <c r="C2857" s="34" t="s">
        <v>15</v>
      </c>
      <c r="D2857" s="35" t="s">
        <v>395</v>
      </c>
      <c r="E2857" s="35" t="s">
        <v>396</v>
      </c>
      <c r="F2857" s="34" t="s">
        <v>397</v>
      </c>
      <c r="G2857" s="36" t="s">
        <v>181</v>
      </c>
      <c r="H2857" s="34" t="s">
        <v>8442</v>
      </c>
      <c r="I2857" s="34" t="s">
        <v>231</v>
      </c>
      <c r="J2857" s="37">
        <v>46177.0</v>
      </c>
      <c r="K2857" s="35" t="s">
        <v>2291</v>
      </c>
      <c r="L2857" s="34">
        <v>3.0</v>
      </c>
      <c r="M2857" s="34" t="s">
        <v>695</v>
      </c>
      <c r="N2857" s="38" t="s">
        <v>8443</v>
      </c>
      <c r="O2857" s="39" t="s">
        <v>8444</v>
      </c>
    </row>
    <row r="2858">
      <c r="A2858" s="32">
        <v>3317.0</v>
      </c>
      <c r="B2858" s="33">
        <v>46181.49389678241</v>
      </c>
      <c r="C2858" s="34" t="s">
        <v>15</v>
      </c>
      <c r="D2858" s="35" t="s">
        <v>2918</v>
      </c>
      <c r="E2858" s="35" t="s">
        <v>2919</v>
      </c>
      <c r="F2858" s="34" t="s">
        <v>2920</v>
      </c>
      <c r="G2858" s="36" t="s">
        <v>181</v>
      </c>
      <c r="H2858" s="34" t="s">
        <v>8433</v>
      </c>
      <c r="I2858" s="34" t="s">
        <v>231</v>
      </c>
      <c r="J2858" s="37">
        <v>46177.0</v>
      </c>
      <c r="K2858" s="35" t="s">
        <v>8445</v>
      </c>
      <c r="L2858" s="34">
        <v>2.0</v>
      </c>
      <c r="M2858" s="34" t="s">
        <v>1559</v>
      </c>
      <c r="N2858" s="38" t="s">
        <v>8446</v>
      </c>
      <c r="O2858" s="39" t="s">
        <v>8447</v>
      </c>
    </row>
    <row r="2859">
      <c r="A2859" s="32">
        <v>3318.0</v>
      </c>
      <c r="B2859" s="33">
        <v>46181.498532453705</v>
      </c>
      <c r="C2859" s="34" t="s">
        <v>15</v>
      </c>
      <c r="D2859" s="35" t="s">
        <v>395</v>
      </c>
      <c r="E2859" s="35" t="s">
        <v>396</v>
      </c>
      <c r="F2859" s="34" t="s">
        <v>397</v>
      </c>
      <c r="G2859" s="36" t="s">
        <v>181</v>
      </c>
      <c r="H2859" s="34" t="s">
        <v>2812</v>
      </c>
      <c r="I2859" s="34" t="s">
        <v>231</v>
      </c>
      <c r="J2859" s="37">
        <v>46133.0</v>
      </c>
      <c r="K2859" s="35" t="s">
        <v>49</v>
      </c>
      <c r="L2859" s="34">
        <v>8.0</v>
      </c>
      <c r="M2859" s="34" t="s">
        <v>33</v>
      </c>
      <c r="N2859" s="38" t="s">
        <v>8448</v>
      </c>
      <c r="O2859" s="39" t="s">
        <v>8449</v>
      </c>
    </row>
    <row r="2860">
      <c r="A2860" s="32">
        <v>3319.0</v>
      </c>
      <c r="B2860" s="33">
        <v>46181.498808958335</v>
      </c>
      <c r="C2860" s="34" t="s">
        <v>15</v>
      </c>
      <c r="D2860" s="35" t="s">
        <v>76</v>
      </c>
      <c r="E2860" s="35" t="s">
        <v>28</v>
      </c>
      <c r="F2860" s="34" t="s">
        <v>77</v>
      </c>
      <c r="G2860" s="36" t="s">
        <v>181</v>
      </c>
      <c r="H2860" s="34" t="s">
        <v>8450</v>
      </c>
      <c r="I2860" s="34" t="s">
        <v>231</v>
      </c>
      <c r="J2860" s="37">
        <v>46133.0</v>
      </c>
      <c r="K2860" s="35" t="s">
        <v>49</v>
      </c>
      <c r="L2860" s="34">
        <v>8.0</v>
      </c>
      <c r="M2860" s="34" t="s">
        <v>33</v>
      </c>
      <c r="N2860" s="38" t="s">
        <v>8451</v>
      </c>
      <c r="O2860" s="39" t="s">
        <v>8452</v>
      </c>
    </row>
    <row r="2861">
      <c r="A2861" s="32">
        <v>3320.0</v>
      </c>
      <c r="B2861" s="33">
        <v>46181.49952706019</v>
      </c>
      <c r="C2861" s="34" t="s">
        <v>15</v>
      </c>
      <c r="D2861" s="35" t="s">
        <v>2918</v>
      </c>
      <c r="E2861" s="35" t="s">
        <v>2919</v>
      </c>
      <c r="F2861" s="34" t="s">
        <v>2920</v>
      </c>
      <c r="G2861" s="36" t="s">
        <v>181</v>
      </c>
      <c r="H2861" s="34" t="s">
        <v>8453</v>
      </c>
      <c r="I2861" s="34" t="s">
        <v>231</v>
      </c>
      <c r="J2861" s="37">
        <v>46094.0</v>
      </c>
      <c r="K2861" s="35" t="s">
        <v>8454</v>
      </c>
      <c r="L2861" s="34">
        <v>1.0</v>
      </c>
      <c r="M2861" s="34" t="s">
        <v>219</v>
      </c>
      <c r="N2861" s="38" t="s">
        <v>8455</v>
      </c>
      <c r="O2861" s="39" t="s">
        <v>8456</v>
      </c>
    </row>
    <row r="2862">
      <c r="A2862" s="32">
        <v>3321.0</v>
      </c>
      <c r="B2862" s="33">
        <v>46181.51888653935</v>
      </c>
      <c r="C2862" s="34" t="s">
        <v>15</v>
      </c>
      <c r="D2862" s="35" t="s">
        <v>395</v>
      </c>
      <c r="E2862" s="35" t="s">
        <v>396</v>
      </c>
      <c r="F2862" s="34" t="s">
        <v>397</v>
      </c>
      <c r="G2862" s="36" t="s">
        <v>181</v>
      </c>
      <c r="H2862" s="34" t="s">
        <v>2812</v>
      </c>
      <c r="I2862" s="34" t="s">
        <v>231</v>
      </c>
      <c r="J2862" s="37">
        <v>46147.0</v>
      </c>
      <c r="K2862" s="35" t="s">
        <v>49</v>
      </c>
      <c r="L2862" s="34">
        <v>8.0</v>
      </c>
      <c r="M2862" s="34" t="s">
        <v>33</v>
      </c>
      <c r="N2862" s="38" t="s">
        <v>8457</v>
      </c>
      <c r="O2862" s="39" t="s">
        <v>8458</v>
      </c>
    </row>
    <row r="2863">
      <c r="A2863" s="32">
        <v>3322.0</v>
      </c>
      <c r="B2863" s="33">
        <v>46181.52040196759</v>
      </c>
      <c r="C2863" s="34" t="s">
        <v>15</v>
      </c>
      <c r="D2863" s="35" t="s">
        <v>395</v>
      </c>
      <c r="E2863" s="35" t="s">
        <v>396</v>
      </c>
      <c r="F2863" s="34" t="s">
        <v>397</v>
      </c>
      <c r="G2863" s="36" t="s">
        <v>181</v>
      </c>
      <c r="H2863" s="34" t="s">
        <v>2812</v>
      </c>
      <c r="I2863" s="34" t="s">
        <v>231</v>
      </c>
      <c r="J2863" s="37">
        <v>46122.0</v>
      </c>
      <c r="K2863" s="35" t="s">
        <v>22</v>
      </c>
      <c r="L2863" s="34">
        <v>4.0</v>
      </c>
      <c r="M2863" s="34" t="s">
        <v>33</v>
      </c>
      <c r="N2863" s="38" t="s">
        <v>8459</v>
      </c>
      <c r="O2863" s="39" t="s">
        <v>8460</v>
      </c>
    </row>
    <row r="2864">
      <c r="A2864" s="32">
        <v>3323.0</v>
      </c>
      <c r="B2864" s="33">
        <v>46181.52338067129</v>
      </c>
      <c r="C2864" s="34" t="s">
        <v>15</v>
      </c>
      <c r="D2864" s="35" t="s">
        <v>410</v>
      </c>
      <c r="E2864" s="35" t="s">
        <v>411</v>
      </c>
      <c r="F2864" s="34" t="s">
        <v>412</v>
      </c>
      <c r="G2864" s="36" t="s">
        <v>209</v>
      </c>
      <c r="H2864" s="34" t="s">
        <v>851</v>
      </c>
      <c r="I2864" s="34" t="s">
        <v>8461</v>
      </c>
      <c r="J2864" s="37">
        <v>46180.0</v>
      </c>
      <c r="K2864" s="35" t="s">
        <v>418</v>
      </c>
      <c r="L2864" s="34">
        <v>1.0</v>
      </c>
      <c r="M2864" s="34" t="s">
        <v>87</v>
      </c>
      <c r="N2864" s="38" t="s">
        <v>8462</v>
      </c>
      <c r="O2864" s="39" t="s">
        <v>8463</v>
      </c>
    </row>
    <row r="2865">
      <c r="A2865" s="32">
        <v>3324.0</v>
      </c>
      <c r="B2865" s="33">
        <v>46181.52750430556</v>
      </c>
      <c r="C2865" s="34" t="s">
        <v>15</v>
      </c>
      <c r="D2865" s="35" t="s">
        <v>2191</v>
      </c>
      <c r="E2865" s="35" t="s">
        <v>1764</v>
      </c>
      <c r="F2865" s="34" t="s">
        <v>2192</v>
      </c>
      <c r="G2865" s="36" t="s">
        <v>181</v>
      </c>
      <c r="H2865" s="34" t="s">
        <v>7987</v>
      </c>
      <c r="I2865" s="34" t="s">
        <v>231</v>
      </c>
      <c r="J2865" s="37">
        <v>46177.0</v>
      </c>
      <c r="K2865" s="35" t="s">
        <v>6790</v>
      </c>
      <c r="L2865" s="34">
        <v>3.0</v>
      </c>
      <c r="M2865" s="34" t="s">
        <v>7969</v>
      </c>
      <c r="N2865" s="38" t="s">
        <v>8464</v>
      </c>
      <c r="O2865" s="39" t="s">
        <v>8465</v>
      </c>
    </row>
    <row r="2866">
      <c r="A2866" s="32">
        <v>3325.0</v>
      </c>
      <c r="B2866" s="33">
        <v>46181.52886101852</v>
      </c>
      <c r="C2866" s="34" t="s">
        <v>15</v>
      </c>
      <c r="D2866" s="35" t="s">
        <v>5125</v>
      </c>
      <c r="E2866" s="35" t="s">
        <v>762</v>
      </c>
      <c r="F2866" s="34" t="s">
        <v>5126</v>
      </c>
      <c r="G2866" s="36" t="s">
        <v>181</v>
      </c>
      <c r="H2866" s="34" t="s">
        <v>8466</v>
      </c>
      <c r="I2866" s="34" t="s">
        <v>231</v>
      </c>
      <c r="J2866" s="37">
        <v>46133.0</v>
      </c>
      <c r="K2866" s="35" t="s">
        <v>962</v>
      </c>
      <c r="L2866" s="34">
        <v>4.0</v>
      </c>
      <c r="M2866" s="34" t="s">
        <v>33</v>
      </c>
      <c r="N2866" s="38" t="s">
        <v>8467</v>
      </c>
      <c r="O2866" s="39" t="s">
        <v>8468</v>
      </c>
    </row>
    <row r="2867">
      <c r="A2867" s="32">
        <v>3326.0</v>
      </c>
      <c r="B2867" s="33">
        <v>46181.52980842593</v>
      </c>
      <c r="C2867" s="34" t="s">
        <v>15</v>
      </c>
      <c r="D2867" s="35" t="s">
        <v>2683</v>
      </c>
      <c r="E2867" s="35" t="s">
        <v>919</v>
      </c>
      <c r="F2867" s="34" t="s">
        <v>2684</v>
      </c>
      <c r="G2867" s="36" t="s">
        <v>181</v>
      </c>
      <c r="H2867" s="34" t="s">
        <v>5432</v>
      </c>
      <c r="I2867" s="34" t="s">
        <v>231</v>
      </c>
      <c r="J2867" s="37">
        <v>46134.0</v>
      </c>
      <c r="K2867" s="35" t="s">
        <v>962</v>
      </c>
      <c r="L2867" s="34">
        <v>4.0</v>
      </c>
      <c r="M2867" s="34" t="s">
        <v>33</v>
      </c>
      <c r="N2867" s="38" t="s">
        <v>8469</v>
      </c>
      <c r="O2867" s="39" t="s">
        <v>8470</v>
      </c>
    </row>
    <row r="2868">
      <c r="A2868" s="32">
        <v>3327.0</v>
      </c>
      <c r="B2868" s="33">
        <v>46181.53071238426</v>
      </c>
      <c r="C2868" s="34" t="s">
        <v>15</v>
      </c>
      <c r="D2868" s="35" t="s">
        <v>5125</v>
      </c>
      <c r="E2868" s="35" t="s">
        <v>762</v>
      </c>
      <c r="F2868" s="34" t="s">
        <v>5126</v>
      </c>
      <c r="G2868" s="36" t="s">
        <v>181</v>
      </c>
      <c r="H2868" s="34" t="s">
        <v>8466</v>
      </c>
      <c r="I2868" s="34" t="s">
        <v>231</v>
      </c>
      <c r="J2868" s="37">
        <v>46134.0</v>
      </c>
      <c r="K2868" s="35" t="s">
        <v>962</v>
      </c>
      <c r="L2868" s="34">
        <v>4.0</v>
      </c>
      <c r="M2868" s="34" t="s">
        <v>33</v>
      </c>
      <c r="N2868" s="38" t="s">
        <v>8471</v>
      </c>
      <c r="O2868" s="39" t="s">
        <v>8472</v>
      </c>
    </row>
    <row r="2869">
      <c r="A2869" s="32">
        <v>3328.0</v>
      </c>
      <c r="B2869" s="33">
        <v>46181.5307880787</v>
      </c>
      <c r="C2869" s="34" t="s">
        <v>15</v>
      </c>
      <c r="D2869" s="35" t="s">
        <v>4315</v>
      </c>
      <c r="E2869" s="35" t="s">
        <v>164</v>
      </c>
      <c r="F2869" s="34" t="s">
        <v>4323</v>
      </c>
      <c r="G2869" s="36" t="s">
        <v>181</v>
      </c>
      <c r="H2869" s="34" t="s">
        <v>8473</v>
      </c>
      <c r="I2869" s="34" t="s">
        <v>231</v>
      </c>
      <c r="J2869" s="37">
        <v>46147.0</v>
      </c>
      <c r="K2869" s="35" t="s">
        <v>49</v>
      </c>
      <c r="L2869" s="34">
        <v>8.0</v>
      </c>
      <c r="M2869" s="34" t="s">
        <v>8474</v>
      </c>
      <c r="N2869" s="38" t="s">
        <v>8475</v>
      </c>
      <c r="O2869" s="39" t="s">
        <v>8476</v>
      </c>
    </row>
    <row r="2870">
      <c r="A2870" s="32">
        <v>3329.0</v>
      </c>
      <c r="B2870" s="33">
        <v>46181.53129615741</v>
      </c>
      <c r="C2870" s="34" t="s">
        <v>15</v>
      </c>
      <c r="D2870" s="35" t="s">
        <v>2683</v>
      </c>
      <c r="E2870" s="35" t="s">
        <v>919</v>
      </c>
      <c r="F2870" s="34" t="s">
        <v>2684</v>
      </c>
      <c r="G2870" s="36" t="s">
        <v>181</v>
      </c>
      <c r="H2870" s="34" t="s">
        <v>5432</v>
      </c>
      <c r="I2870" s="34" t="s">
        <v>231</v>
      </c>
      <c r="J2870" s="37">
        <v>46135.0</v>
      </c>
      <c r="K2870" s="35" t="s">
        <v>962</v>
      </c>
      <c r="L2870" s="34">
        <v>4.0</v>
      </c>
      <c r="M2870" s="34" t="s">
        <v>33</v>
      </c>
      <c r="N2870" s="38" t="s">
        <v>8477</v>
      </c>
      <c r="O2870" s="39" t="s">
        <v>8478</v>
      </c>
    </row>
    <row r="2871">
      <c r="A2871" s="32">
        <v>3330.0</v>
      </c>
      <c r="B2871" s="33">
        <v>46181.53284871527</v>
      </c>
      <c r="C2871" s="34" t="s">
        <v>15</v>
      </c>
      <c r="D2871" s="35" t="s">
        <v>410</v>
      </c>
      <c r="E2871" s="35" t="s">
        <v>411</v>
      </c>
      <c r="F2871" s="34" t="s">
        <v>412</v>
      </c>
      <c r="G2871" s="36" t="s">
        <v>181</v>
      </c>
      <c r="H2871" s="34" t="s">
        <v>8433</v>
      </c>
      <c r="I2871" s="34" t="s">
        <v>8479</v>
      </c>
      <c r="J2871" s="37">
        <v>46180.0</v>
      </c>
      <c r="K2871" s="35" t="s">
        <v>2291</v>
      </c>
      <c r="L2871" s="34">
        <v>1.0</v>
      </c>
      <c r="M2871" s="34" t="s">
        <v>1559</v>
      </c>
      <c r="N2871" s="38" t="s">
        <v>8480</v>
      </c>
      <c r="O2871" s="39" t="s">
        <v>8481</v>
      </c>
    </row>
    <row r="2872">
      <c r="A2872" s="32">
        <v>3332.0</v>
      </c>
      <c r="B2872" s="33">
        <v>46181.56424225694</v>
      </c>
      <c r="C2872" s="34" t="s">
        <v>15</v>
      </c>
      <c r="D2872" s="35" t="s">
        <v>2683</v>
      </c>
      <c r="E2872" s="35" t="s">
        <v>919</v>
      </c>
      <c r="F2872" s="34" t="s">
        <v>2684</v>
      </c>
      <c r="G2872" s="36" t="s">
        <v>181</v>
      </c>
      <c r="H2872" s="34" t="s">
        <v>5432</v>
      </c>
      <c r="I2872" s="34" t="s">
        <v>231</v>
      </c>
      <c r="J2872" s="37">
        <v>46138.0</v>
      </c>
      <c r="K2872" s="35" t="s">
        <v>3192</v>
      </c>
      <c r="L2872" s="34">
        <v>6.0</v>
      </c>
      <c r="M2872" s="34" t="s">
        <v>33</v>
      </c>
      <c r="N2872" s="38" t="s">
        <v>8482</v>
      </c>
      <c r="O2872" s="39" t="s">
        <v>8483</v>
      </c>
    </row>
    <row r="2873">
      <c r="A2873" s="32">
        <v>3333.0</v>
      </c>
      <c r="B2873" s="33">
        <v>46181.565288750004</v>
      </c>
      <c r="C2873" s="34" t="s">
        <v>26</v>
      </c>
      <c r="D2873" s="35" t="s">
        <v>1947</v>
      </c>
      <c r="E2873" s="35" t="s">
        <v>484</v>
      </c>
      <c r="F2873" s="34" t="s">
        <v>1949</v>
      </c>
      <c r="G2873" s="36" t="s">
        <v>19</v>
      </c>
      <c r="H2873" s="34" t="s">
        <v>8484</v>
      </c>
      <c r="I2873" s="34" t="s">
        <v>5411</v>
      </c>
      <c r="J2873" s="37">
        <v>46136.0</v>
      </c>
      <c r="K2873" s="35" t="s">
        <v>5412</v>
      </c>
      <c r="L2873" s="34">
        <v>8.0</v>
      </c>
      <c r="M2873" s="34" t="s">
        <v>87</v>
      </c>
      <c r="N2873" s="38" t="s">
        <v>8485</v>
      </c>
      <c r="O2873" s="39" t="s">
        <v>8486</v>
      </c>
    </row>
    <row r="2874">
      <c r="A2874" s="32">
        <v>3334.0</v>
      </c>
      <c r="B2874" s="33">
        <v>46181.56542392361</v>
      </c>
      <c r="C2874" s="34" t="s">
        <v>15</v>
      </c>
      <c r="D2874" s="35" t="s">
        <v>3890</v>
      </c>
      <c r="E2874" s="35" t="s">
        <v>1248</v>
      </c>
      <c r="F2874" s="34" t="s">
        <v>3891</v>
      </c>
      <c r="G2874" s="36" t="s">
        <v>181</v>
      </c>
      <c r="H2874" s="34" t="s">
        <v>7987</v>
      </c>
      <c r="I2874" s="34" t="s">
        <v>231</v>
      </c>
      <c r="J2874" s="37">
        <v>46177.0</v>
      </c>
      <c r="K2874" s="35" t="s">
        <v>3287</v>
      </c>
      <c r="L2874" s="34">
        <v>3.0</v>
      </c>
      <c r="M2874" s="34" t="s">
        <v>7969</v>
      </c>
      <c r="N2874" s="38" t="s">
        <v>8487</v>
      </c>
      <c r="O2874" s="39" t="s">
        <v>8488</v>
      </c>
    </row>
    <row r="2875">
      <c r="A2875" s="32">
        <v>3335.0</v>
      </c>
      <c r="B2875" s="33">
        <v>46181.565824618054</v>
      </c>
      <c r="C2875" s="34" t="s">
        <v>15</v>
      </c>
      <c r="D2875" s="35" t="s">
        <v>4315</v>
      </c>
      <c r="E2875" s="35" t="s">
        <v>164</v>
      </c>
      <c r="F2875" s="34" t="s">
        <v>4323</v>
      </c>
      <c r="G2875" s="36" t="s">
        <v>181</v>
      </c>
      <c r="H2875" s="34" t="s">
        <v>8489</v>
      </c>
      <c r="I2875" s="34" t="s">
        <v>3736</v>
      </c>
      <c r="J2875" s="37">
        <v>46012.0</v>
      </c>
      <c r="K2875" s="35" t="s">
        <v>49</v>
      </c>
      <c r="L2875" s="34">
        <v>8.0</v>
      </c>
      <c r="M2875" s="34" t="s">
        <v>8490</v>
      </c>
      <c r="N2875" s="38" t="s">
        <v>8491</v>
      </c>
      <c r="O2875" s="39" t="s">
        <v>8492</v>
      </c>
    </row>
    <row r="2876">
      <c r="A2876" s="32">
        <v>3336.0</v>
      </c>
      <c r="B2876" s="33">
        <v>46181.565976122685</v>
      </c>
      <c r="C2876" s="34" t="s">
        <v>15</v>
      </c>
      <c r="D2876" s="35" t="s">
        <v>2683</v>
      </c>
      <c r="E2876" s="35" t="s">
        <v>919</v>
      </c>
      <c r="F2876" s="34" t="s">
        <v>2684</v>
      </c>
      <c r="G2876" s="36" t="s">
        <v>181</v>
      </c>
      <c r="H2876" s="34" t="s">
        <v>5432</v>
      </c>
      <c r="I2876" s="34" t="s">
        <v>5465</v>
      </c>
      <c r="J2876" s="37">
        <v>46139.0</v>
      </c>
      <c r="K2876" s="35" t="s">
        <v>962</v>
      </c>
      <c r="L2876" s="34">
        <v>4.0</v>
      </c>
      <c r="M2876" s="34" t="s">
        <v>33</v>
      </c>
      <c r="N2876" s="38" t="s">
        <v>8493</v>
      </c>
      <c r="O2876" s="39" t="s">
        <v>8494</v>
      </c>
    </row>
    <row r="2877">
      <c r="A2877" s="32">
        <v>3337.0</v>
      </c>
      <c r="B2877" s="33">
        <v>46181.567467719906</v>
      </c>
      <c r="C2877" s="34" t="s">
        <v>15</v>
      </c>
      <c r="D2877" s="35" t="s">
        <v>5119</v>
      </c>
      <c r="E2877" s="35" t="s">
        <v>1197</v>
      </c>
      <c r="F2877" s="34" t="s">
        <v>5120</v>
      </c>
      <c r="G2877" s="36" t="s">
        <v>19</v>
      </c>
      <c r="H2877" s="34" t="s">
        <v>5350</v>
      </c>
      <c r="I2877" s="34" t="s">
        <v>1211</v>
      </c>
      <c r="J2877" s="37">
        <v>46064.0</v>
      </c>
      <c r="K2877" s="35" t="s">
        <v>1458</v>
      </c>
      <c r="L2877" s="34">
        <v>2.0</v>
      </c>
      <c r="M2877" s="34" t="s">
        <v>244</v>
      </c>
      <c r="N2877" s="38" t="s">
        <v>8495</v>
      </c>
      <c r="O2877" s="39" t="s">
        <v>8496</v>
      </c>
    </row>
    <row r="2878">
      <c r="A2878" s="32">
        <v>3338.0</v>
      </c>
      <c r="B2878" s="33">
        <v>46181.56890479167</v>
      </c>
      <c r="C2878" s="34" t="s">
        <v>15</v>
      </c>
      <c r="D2878" s="35" t="s">
        <v>5119</v>
      </c>
      <c r="E2878" s="35" t="s">
        <v>1197</v>
      </c>
      <c r="F2878" s="34" t="s">
        <v>5120</v>
      </c>
      <c r="G2878" s="36" t="s">
        <v>19</v>
      </c>
      <c r="H2878" s="34" t="s">
        <v>5350</v>
      </c>
      <c r="I2878" s="34" t="s">
        <v>1211</v>
      </c>
      <c r="J2878" s="37">
        <v>46065.0</v>
      </c>
      <c r="K2878" s="35" t="s">
        <v>1458</v>
      </c>
      <c r="L2878" s="34">
        <v>2.0</v>
      </c>
      <c r="M2878" s="34" t="s">
        <v>244</v>
      </c>
      <c r="N2878" s="38" t="s">
        <v>8497</v>
      </c>
      <c r="O2878" s="39" t="s">
        <v>8498</v>
      </c>
    </row>
    <row r="2879">
      <c r="A2879" s="32">
        <v>3339.0</v>
      </c>
      <c r="B2879" s="33">
        <v>46181.57031299769</v>
      </c>
      <c r="C2879" s="34" t="s">
        <v>15</v>
      </c>
      <c r="D2879" s="35" t="s">
        <v>76</v>
      </c>
      <c r="E2879" s="35" t="s">
        <v>28</v>
      </c>
      <c r="F2879" s="34" t="s">
        <v>77</v>
      </c>
      <c r="G2879" s="36" t="s">
        <v>181</v>
      </c>
      <c r="H2879" s="34" t="s">
        <v>3789</v>
      </c>
      <c r="I2879" s="34" t="s">
        <v>231</v>
      </c>
      <c r="J2879" s="37">
        <v>46134.0</v>
      </c>
      <c r="K2879" s="35" t="s">
        <v>49</v>
      </c>
      <c r="L2879" s="34">
        <v>8.0</v>
      </c>
      <c r="M2879" s="34" t="s">
        <v>1016</v>
      </c>
      <c r="N2879" s="38" t="s">
        <v>8499</v>
      </c>
      <c r="O2879" s="39" t="s">
        <v>8500</v>
      </c>
    </row>
    <row r="2880">
      <c r="A2880" s="32">
        <v>3341.0</v>
      </c>
      <c r="B2880" s="33">
        <v>46181.57122027778</v>
      </c>
      <c r="C2880" s="34" t="s">
        <v>15</v>
      </c>
      <c r="D2880" s="35" t="s">
        <v>1876</v>
      </c>
      <c r="E2880" s="35" t="s">
        <v>1042</v>
      </c>
      <c r="F2880" s="34" t="s">
        <v>1877</v>
      </c>
      <c r="G2880" s="36" t="s">
        <v>181</v>
      </c>
      <c r="H2880" s="34" t="s">
        <v>8501</v>
      </c>
      <c r="I2880" s="34" t="s">
        <v>231</v>
      </c>
      <c r="J2880" s="37">
        <v>46169.0</v>
      </c>
      <c r="K2880" s="35" t="s">
        <v>582</v>
      </c>
      <c r="L2880" s="34">
        <v>2.0</v>
      </c>
      <c r="M2880" s="34" t="s">
        <v>1559</v>
      </c>
      <c r="N2880" s="38" t="s">
        <v>8502</v>
      </c>
      <c r="O2880" s="39" t="s">
        <v>8503</v>
      </c>
    </row>
    <row r="2881">
      <c r="A2881" s="32">
        <v>3342.0</v>
      </c>
      <c r="B2881" s="33">
        <v>46181.5712690162</v>
      </c>
      <c r="C2881" s="34" t="s">
        <v>15</v>
      </c>
      <c r="D2881" s="35" t="s">
        <v>2683</v>
      </c>
      <c r="E2881" s="35" t="s">
        <v>919</v>
      </c>
      <c r="F2881" s="34" t="s">
        <v>2684</v>
      </c>
      <c r="G2881" s="36" t="s">
        <v>181</v>
      </c>
      <c r="H2881" s="34" t="s">
        <v>8208</v>
      </c>
      <c r="I2881" s="34" t="s">
        <v>231</v>
      </c>
      <c r="J2881" s="37">
        <v>46169.0</v>
      </c>
      <c r="K2881" s="35" t="s">
        <v>518</v>
      </c>
      <c r="L2881" s="34">
        <v>2.0</v>
      </c>
      <c r="M2881" s="34" t="s">
        <v>8504</v>
      </c>
      <c r="N2881" s="38" t="s">
        <v>8505</v>
      </c>
      <c r="O2881" s="39" t="s">
        <v>8506</v>
      </c>
    </row>
    <row r="2882">
      <c r="A2882" s="32">
        <v>3343.0</v>
      </c>
      <c r="B2882" s="33">
        <v>46181.572520243055</v>
      </c>
      <c r="C2882" s="34" t="s">
        <v>15</v>
      </c>
      <c r="D2882" s="35" t="s">
        <v>3902</v>
      </c>
      <c r="E2882" s="35" t="s">
        <v>781</v>
      </c>
      <c r="F2882" s="34" t="s">
        <v>3903</v>
      </c>
      <c r="G2882" s="36" t="s">
        <v>19</v>
      </c>
      <c r="H2882" s="34" t="s">
        <v>8507</v>
      </c>
      <c r="I2882" s="34" t="s">
        <v>279</v>
      </c>
      <c r="J2882" s="37">
        <v>46064.0</v>
      </c>
      <c r="K2882" s="35" t="s">
        <v>5351</v>
      </c>
      <c r="L2882" s="34">
        <v>2.0</v>
      </c>
      <c r="M2882" s="34" t="s">
        <v>244</v>
      </c>
      <c r="N2882" s="38" t="s">
        <v>8508</v>
      </c>
      <c r="O2882" s="39" t="s">
        <v>8509</v>
      </c>
    </row>
    <row r="2883">
      <c r="A2883" s="32">
        <v>3344.0</v>
      </c>
      <c r="B2883" s="33">
        <v>46181.57263966435</v>
      </c>
      <c r="C2883" s="34" t="s">
        <v>26</v>
      </c>
      <c r="D2883" s="35" t="s">
        <v>1947</v>
      </c>
      <c r="E2883" s="35" t="s">
        <v>484</v>
      </c>
      <c r="F2883" s="34" t="s">
        <v>1949</v>
      </c>
      <c r="G2883" s="36" t="s">
        <v>19</v>
      </c>
      <c r="H2883" s="34" t="s">
        <v>5410</v>
      </c>
      <c r="I2883" s="34" t="s">
        <v>5411</v>
      </c>
      <c r="J2883" s="37">
        <v>46137.0</v>
      </c>
      <c r="K2883" s="35" t="s">
        <v>49</v>
      </c>
      <c r="L2883" s="34">
        <v>8.0</v>
      </c>
      <c r="M2883" s="34" t="s">
        <v>87</v>
      </c>
      <c r="N2883" s="38" t="s">
        <v>8510</v>
      </c>
      <c r="O2883" s="39" t="s">
        <v>8511</v>
      </c>
    </row>
    <row r="2884">
      <c r="A2884" s="32">
        <v>3345.0</v>
      </c>
      <c r="B2884" s="33">
        <v>46181.573185393514</v>
      </c>
      <c r="C2884" s="34" t="s">
        <v>15</v>
      </c>
      <c r="D2884" s="35" t="s">
        <v>1876</v>
      </c>
      <c r="E2884" s="35" t="s">
        <v>1042</v>
      </c>
      <c r="F2884" s="34" t="s">
        <v>1877</v>
      </c>
      <c r="G2884" s="36" t="s">
        <v>19</v>
      </c>
      <c r="H2884" s="34" t="s">
        <v>4275</v>
      </c>
      <c r="I2884" s="34" t="s">
        <v>3736</v>
      </c>
      <c r="J2884" s="37">
        <v>46012.0</v>
      </c>
      <c r="K2884" s="35" t="s">
        <v>859</v>
      </c>
      <c r="L2884" s="34">
        <v>8.0</v>
      </c>
      <c r="M2884" s="34" t="s">
        <v>5407</v>
      </c>
      <c r="N2884" s="38" t="s">
        <v>8512</v>
      </c>
      <c r="O2884" s="39" t="s">
        <v>8513</v>
      </c>
    </row>
    <row r="2885">
      <c r="A2885" s="32">
        <v>3346.0</v>
      </c>
      <c r="B2885" s="33">
        <v>46181.574152615736</v>
      </c>
      <c r="C2885" s="34" t="s">
        <v>15</v>
      </c>
      <c r="D2885" s="35" t="s">
        <v>2683</v>
      </c>
      <c r="E2885" s="35" t="s">
        <v>919</v>
      </c>
      <c r="F2885" s="34" t="s">
        <v>2684</v>
      </c>
      <c r="G2885" s="36" t="s">
        <v>181</v>
      </c>
      <c r="H2885" s="34" t="s">
        <v>8208</v>
      </c>
      <c r="I2885" s="34" t="s">
        <v>231</v>
      </c>
      <c r="J2885" s="37">
        <v>46177.0</v>
      </c>
      <c r="K2885" s="35" t="s">
        <v>582</v>
      </c>
      <c r="L2885" s="34">
        <v>2.0</v>
      </c>
      <c r="M2885" s="34" t="s">
        <v>8504</v>
      </c>
      <c r="N2885" s="38" t="s">
        <v>8514</v>
      </c>
      <c r="O2885" s="39" t="s">
        <v>8515</v>
      </c>
    </row>
    <row r="2886">
      <c r="A2886" s="32">
        <v>3347.0</v>
      </c>
      <c r="B2886" s="33">
        <v>46181.57442128472</v>
      </c>
      <c r="C2886" s="34" t="s">
        <v>15</v>
      </c>
      <c r="D2886" s="35" t="s">
        <v>76</v>
      </c>
      <c r="E2886" s="35" t="s">
        <v>28</v>
      </c>
      <c r="F2886" s="34" t="s">
        <v>77</v>
      </c>
      <c r="G2886" s="36" t="s">
        <v>181</v>
      </c>
      <c r="H2886" s="34" t="s">
        <v>8450</v>
      </c>
      <c r="I2886" s="34" t="s">
        <v>231</v>
      </c>
      <c r="J2886" s="37">
        <v>46135.0</v>
      </c>
      <c r="K2886" s="35" t="s">
        <v>49</v>
      </c>
      <c r="L2886" s="34">
        <v>4.0</v>
      </c>
      <c r="M2886" s="34" t="s">
        <v>33</v>
      </c>
      <c r="N2886" s="38" t="s">
        <v>8516</v>
      </c>
      <c r="O2886" s="39" t="s">
        <v>8517</v>
      </c>
    </row>
    <row r="2887">
      <c r="A2887" s="32">
        <v>3348.0</v>
      </c>
      <c r="B2887" s="33">
        <v>46181.57466695602</v>
      </c>
      <c r="C2887" s="34" t="s">
        <v>26</v>
      </c>
      <c r="D2887" s="35" t="s">
        <v>1947</v>
      </c>
      <c r="E2887" s="35" t="s">
        <v>484</v>
      </c>
      <c r="F2887" s="34" t="s">
        <v>1949</v>
      </c>
      <c r="G2887" s="36" t="s">
        <v>19</v>
      </c>
      <c r="H2887" s="34" t="s">
        <v>5410</v>
      </c>
      <c r="I2887" s="34" t="s">
        <v>5411</v>
      </c>
      <c r="J2887" s="37">
        <v>46138.0</v>
      </c>
      <c r="K2887" s="35" t="s">
        <v>49</v>
      </c>
      <c r="L2887" s="34">
        <v>8.0</v>
      </c>
      <c r="M2887" s="34" t="s">
        <v>87</v>
      </c>
      <c r="N2887" s="38" t="s">
        <v>8518</v>
      </c>
      <c r="O2887" s="39" t="s">
        <v>8519</v>
      </c>
    </row>
    <row r="2888">
      <c r="A2888" s="32">
        <v>3349.0</v>
      </c>
      <c r="B2888" s="33">
        <v>46181.57547490741</v>
      </c>
      <c r="C2888" s="34" t="s">
        <v>15</v>
      </c>
      <c r="D2888" s="35" t="s">
        <v>2683</v>
      </c>
      <c r="E2888" s="35" t="s">
        <v>919</v>
      </c>
      <c r="F2888" s="34" t="s">
        <v>2684</v>
      </c>
      <c r="G2888" s="36" t="s">
        <v>181</v>
      </c>
      <c r="H2888" s="34" t="s">
        <v>8208</v>
      </c>
      <c r="I2888" s="34" t="s">
        <v>231</v>
      </c>
      <c r="J2888" s="37">
        <v>46180.0</v>
      </c>
      <c r="K2888" s="35" t="s">
        <v>582</v>
      </c>
      <c r="L2888" s="34">
        <v>2.0</v>
      </c>
      <c r="M2888" s="34" t="s">
        <v>8504</v>
      </c>
      <c r="N2888" s="38" t="s">
        <v>8520</v>
      </c>
      <c r="O2888" s="39" t="s">
        <v>8521</v>
      </c>
    </row>
    <row r="2889">
      <c r="A2889" s="32">
        <v>3350.0</v>
      </c>
      <c r="B2889" s="33">
        <v>46181.575547002314</v>
      </c>
      <c r="C2889" s="34" t="s">
        <v>15</v>
      </c>
      <c r="D2889" s="35" t="s">
        <v>3902</v>
      </c>
      <c r="E2889" s="35" t="s">
        <v>781</v>
      </c>
      <c r="F2889" s="34" t="s">
        <v>3903</v>
      </c>
      <c r="G2889" s="36" t="s">
        <v>19</v>
      </c>
      <c r="H2889" s="34" t="s">
        <v>8507</v>
      </c>
      <c r="I2889" s="34" t="s">
        <v>279</v>
      </c>
      <c r="J2889" s="37">
        <v>46065.0</v>
      </c>
      <c r="K2889" s="35" t="s">
        <v>5351</v>
      </c>
      <c r="L2889" s="34">
        <v>2.0</v>
      </c>
      <c r="M2889" s="34" t="s">
        <v>244</v>
      </c>
      <c r="N2889" s="38" t="s">
        <v>8522</v>
      </c>
      <c r="O2889" s="39" t="s">
        <v>8523</v>
      </c>
    </row>
    <row r="2890">
      <c r="A2890" s="32">
        <v>3351.0</v>
      </c>
      <c r="B2890" s="33">
        <v>46181.576219386574</v>
      </c>
      <c r="C2890" s="34" t="s">
        <v>15</v>
      </c>
      <c r="D2890" s="35" t="s">
        <v>678</v>
      </c>
      <c r="E2890" s="35" t="s">
        <v>679</v>
      </c>
      <c r="F2890" s="34" t="s">
        <v>680</v>
      </c>
      <c r="G2890" s="36" t="s">
        <v>181</v>
      </c>
      <c r="H2890" s="34" t="s">
        <v>8524</v>
      </c>
      <c r="I2890" s="34" t="s">
        <v>231</v>
      </c>
      <c r="J2890" s="37">
        <v>46177.0</v>
      </c>
      <c r="K2890" s="35" t="s">
        <v>6790</v>
      </c>
      <c r="L2890" s="34">
        <v>3.0</v>
      </c>
      <c r="M2890" s="34" t="s">
        <v>7969</v>
      </c>
      <c r="N2890" s="38" t="s">
        <v>8525</v>
      </c>
      <c r="O2890" s="39" t="s">
        <v>8526</v>
      </c>
    </row>
    <row r="2891">
      <c r="A2891" s="32">
        <v>3352.0</v>
      </c>
      <c r="B2891" s="33">
        <v>46181.57631505787</v>
      </c>
      <c r="C2891" s="34" t="s">
        <v>15</v>
      </c>
      <c r="D2891" s="35" t="s">
        <v>1876</v>
      </c>
      <c r="E2891" s="35" t="s">
        <v>1042</v>
      </c>
      <c r="F2891" s="34" t="s">
        <v>1877</v>
      </c>
      <c r="G2891" s="36" t="s">
        <v>181</v>
      </c>
      <c r="H2891" s="34" t="s">
        <v>8501</v>
      </c>
      <c r="I2891" s="34" t="s">
        <v>231</v>
      </c>
      <c r="J2891" s="37">
        <v>46177.0</v>
      </c>
      <c r="K2891" s="35" t="s">
        <v>582</v>
      </c>
      <c r="L2891" s="34">
        <v>2.0</v>
      </c>
      <c r="M2891" s="34" t="s">
        <v>1559</v>
      </c>
      <c r="N2891" s="38" t="s">
        <v>8527</v>
      </c>
      <c r="O2891" s="39" t="s">
        <v>8528</v>
      </c>
    </row>
    <row r="2892">
      <c r="A2892" s="32">
        <v>3353.0</v>
      </c>
      <c r="B2892" s="33">
        <v>46181.57706028935</v>
      </c>
      <c r="C2892" s="34" t="s">
        <v>26</v>
      </c>
      <c r="D2892" s="35" t="s">
        <v>1947</v>
      </c>
      <c r="E2892" s="35" t="s">
        <v>484</v>
      </c>
      <c r="F2892" s="34" t="s">
        <v>1949</v>
      </c>
      <c r="G2892" s="36" t="s">
        <v>19</v>
      </c>
      <c r="H2892" s="34" t="s">
        <v>8529</v>
      </c>
      <c r="I2892" s="34" t="s">
        <v>1337</v>
      </c>
      <c r="J2892" s="37">
        <v>46032.0</v>
      </c>
      <c r="K2892" s="35" t="s">
        <v>2328</v>
      </c>
      <c r="L2892" s="34">
        <v>8.0</v>
      </c>
      <c r="M2892" s="34" t="s">
        <v>87</v>
      </c>
      <c r="N2892" s="38" t="s">
        <v>8530</v>
      </c>
      <c r="O2892" s="39" t="s">
        <v>8531</v>
      </c>
    </row>
    <row r="2893">
      <c r="A2893" s="32">
        <v>3355.0</v>
      </c>
      <c r="B2893" s="33">
        <v>46181.578268321755</v>
      </c>
      <c r="C2893" s="34" t="s">
        <v>15</v>
      </c>
      <c r="D2893" s="35" t="s">
        <v>5119</v>
      </c>
      <c r="E2893" s="35" t="s">
        <v>1197</v>
      </c>
      <c r="F2893" s="34" t="s">
        <v>5120</v>
      </c>
      <c r="G2893" s="36" t="s">
        <v>19</v>
      </c>
      <c r="H2893" s="34" t="s">
        <v>8532</v>
      </c>
      <c r="I2893" s="34" t="s">
        <v>3162</v>
      </c>
      <c r="J2893" s="37">
        <v>46066.0</v>
      </c>
      <c r="K2893" s="35" t="s">
        <v>6637</v>
      </c>
      <c r="L2893" s="34">
        <v>4.0</v>
      </c>
      <c r="M2893" s="34" t="s">
        <v>244</v>
      </c>
      <c r="N2893" s="38" t="s">
        <v>8533</v>
      </c>
      <c r="O2893" s="39" t="s">
        <v>8534</v>
      </c>
    </row>
    <row r="2894">
      <c r="A2894" s="32">
        <v>3356.0</v>
      </c>
      <c r="B2894" s="33">
        <v>46181.578667650465</v>
      </c>
      <c r="C2894" s="34" t="s">
        <v>15</v>
      </c>
      <c r="D2894" s="35" t="s">
        <v>1876</v>
      </c>
      <c r="E2894" s="35" t="s">
        <v>1042</v>
      </c>
      <c r="F2894" s="34" t="s">
        <v>1877</v>
      </c>
      <c r="G2894" s="36" t="s">
        <v>181</v>
      </c>
      <c r="H2894" s="34" t="s">
        <v>8535</v>
      </c>
      <c r="I2894" s="34" t="s">
        <v>231</v>
      </c>
      <c r="J2894" s="37">
        <v>46177.0</v>
      </c>
      <c r="K2894" s="35" t="s">
        <v>1665</v>
      </c>
      <c r="L2894" s="34">
        <v>3.0</v>
      </c>
      <c r="M2894" s="34" t="s">
        <v>7969</v>
      </c>
      <c r="N2894" s="38" t="s">
        <v>8536</v>
      </c>
      <c r="O2894" s="39" t="s">
        <v>8537</v>
      </c>
    </row>
    <row r="2895">
      <c r="A2895" s="32">
        <v>3357.0</v>
      </c>
      <c r="B2895" s="33">
        <v>46181.58016699074</v>
      </c>
      <c r="C2895" s="34" t="s">
        <v>26</v>
      </c>
      <c r="D2895" s="35" t="s">
        <v>1947</v>
      </c>
      <c r="E2895" s="35" t="s">
        <v>484</v>
      </c>
      <c r="F2895" s="34" t="s">
        <v>1949</v>
      </c>
      <c r="G2895" s="36" t="s">
        <v>19</v>
      </c>
      <c r="H2895" s="34" t="s">
        <v>5653</v>
      </c>
      <c r="I2895" s="34" t="s">
        <v>2029</v>
      </c>
      <c r="J2895" s="37">
        <v>46078.0</v>
      </c>
      <c r="K2895" s="35" t="s">
        <v>2179</v>
      </c>
      <c r="L2895" s="34">
        <v>8.0</v>
      </c>
      <c r="M2895" s="34" t="s">
        <v>87</v>
      </c>
      <c r="N2895" s="38" t="s">
        <v>8538</v>
      </c>
      <c r="O2895" s="39" t="s">
        <v>8539</v>
      </c>
    </row>
    <row r="2896">
      <c r="A2896" s="32">
        <v>3358.0</v>
      </c>
      <c r="B2896" s="33">
        <v>46181.582121666666</v>
      </c>
      <c r="C2896" s="34" t="s">
        <v>15</v>
      </c>
      <c r="D2896" s="35" t="s">
        <v>2683</v>
      </c>
      <c r="E2896" s="35" t="s">
        <v>919</v>
      </c>
      <c r="F2896" s="34" t="s">
        <v>2684</v>
      </c>
      <c r="G2896" s="36" t="s">
        <v>181</v>
      </c>
      <c r="H2896" s="34" t="s">
        <v>8540</v>
      </c>
      <c r="I2896" s="34" t="s">
        <v>231</v>
      </c>
      <c r="J2896" s="37">
        <v>46177.0</v>
      </c>
      <c r="K2896" s="35" t="s">
        <v>3263</v>
      </c>
      <c r="L2896" s="34">
        <v>3.0</v>
      </c>
      <c r="M2896" s="34" t="s">
        <v>695</v>
      </c>
      <c r="N2896" s="38" t="s">
        <v>8541</v>
      </c>
      <c r="O2896" s="39" t="s">
        <v>8542</v>
      </c>
    </row>
    <row r="2897">
      <c r="A2897" s="32">
        <v>3360.0</v>
      </c>
      <c r="B2897" s="33">
        <v>46181.589058564816</v>
      </c>
      <c r="C2897" s="34" t="s">
        <v>26</v>
      </c>
      <c r="D2897" s="35" t="s">
        <v>1947</v>
      </c>
      <c r="E2897" s="35" t="s">
        <v>484</v>
      </c>
      <c r="F2897" s="34" t="s">
        <v>1949</v>
      </c>
      <c r="G2897" s="36" t="s">
        <v>181</v>
      </c>
      <c r="H2897" s="34" t="s">
        <v>8543</v>
      </c>
      <c r="I2897" s="34" t="s">
        <v>231</v>
      </c>
      <c r="J2897" s="37">
        <v>46138.0</v>
      </c>
      <c r="K2897" s="35" t="s">
        <v>3192</v>
      </c>
      <c r="L2897" s="34">
        <v>6.0</v>
      </c>
      <c r="M2897" s="34" t="s">
        <v>33</v>
      </c>
      <c r="N2897" s="38" t="s">
        <v>8544</v>
      </c>
      <c r="O2897" s="39" t="s">
        <v>8545</v>
      </c>
    </row>
    <row r="2898">
      <c r="A2898" s="32">
        <v>3361.0</v>
      </c>
      <c r="B2898" s="33">
        <v>46181.591171990745</v>
      </c>
      <c r="C2898" s="34" t="s">
        <v>15</v>
      </c>
      <c r="D2898" s="35" t="s">
        <v>3758</v>
      </c>
      <c r="E2898" s="35" t="s">
        <v>674</v>
      </c>
      <c r="F2898" s="34" t="s">
        <v>3759</v>
      </c>
      <c r="G2898" s="36" t="s">
        <v>181</v>
      </c>
      <c r="H2898" s="34" t="s">
        <v>8546</v>
      </c>
      <c r="I2898" s="34" t="s">
        <v>3162</v>
      </c>
      <c r="J2898" s="37">
        <v>46066.0</v>
      </c>
      <c r="K2898" s="35" t="s">
        <v>22</v>
      </c>
      <c r="L2898" s="34">
        <v>4.0</v>
      </c>
      <c r="M2898" s="34" t="s">
        <v>244</v>
      </c>
      <c r="N2898" s="38" t="s">
        <v>8547</v>
      </c>
      <c r="O2898" s="39" t="s">
        <v>8548</v>
      </c>
    </row>
    <row r="2899">
      <c r="A2899" s="32">
        <v>3363.0</v>
      </c>
      <c r="B2899" s="33">
        <v>46181.59673960648</v>
      </c>
      <c r="C2899" s="34" t="s">
        <v>26</v>
      </c>
      <c r="D2899" s="35" t="s">
        <v>1947</v>
      </c>
      <c r="E2899" s="35" t="s">
        <v>484</v>
      </c>
      <c r="F2899" s="34" t="s">
        <v>1949</v>
      </c>
      <c r="G2899" s="36" t="s">
        <v>181</v>
      </c>
      <c r="H2899" s="34" t="s">
        <v>6010</v>
      </c>
      <c r="I2899" s="34" t="s">
        <v>6011</v>
      </c>
      <c r="J2899" s="37">
        <v>46147.0</v>
      </c>
      <c r="K2899" s="35" t="s">
        <v>6012</v>
      </c>
      <c r="L2899" s="34">
        <v>3.0</v>
      </c>
      <c r="M2899" s="34" t="s">
        <v>1325</v>
      </c>
      <c r="N2899" s="38" t="s">
        <v>8549</v>
      </c>
      <c r="O2899" s="39" t="s">
        <v>8550</v>
      </c>
    </row>
    <row r="2900">
      <c r="A2900" s="32">
        <v>3364.0</v>
      </c>
      <c r="B2900" s="33">
        <v>46181.59894773148</v>
      </c>
      <c r="C2900" s="34" t="s">
        <v>26</v>
      </c>
      <c r="D2900" s="35" t="s">
        <v>1947</v>
      </c>
      <c r="E2900" s="35" t="s">
        <v>484</v>
      </c>
      <c r="F2900" s="34" t="s">
        <v>1949</v>
      </c>
      <c r="G2900" s="36" t="s">
        <v>181</v>
      </c>
      <c r="H2900" s="34" t="s">
        <v>8551</v>
      </c>
      <c r="I2900" s="34" t="s">
        <v>5437</v>
      </c>
      <c r="J2900" s="37">
        <v>46139.0</v>
      </c>
      <c r="K2900" s="35" t="s">
        <v>22</v>
      </c>
      <c r="L2900" s="34">
        <v>4.0</v>
      </c>
      <c r="M2900" s="34" t="s">
        <v>33</v>
      </c>
      <c r="N2900" s="38" t="s">
        <v>8552</v>
      </c>
      <c r="O2900" s="39" t="s">
        <v>8553</v>
      </c>
    </row>
    <row r="2901">
      <c r="A2901" s="32">
        <v>3367.0</v>
      </c>
      <c r="B2901" s="33">
        <v>46181.60873583333</v>
      </c>
      <c r="C2901" s="34" t="s">
        <v>26</v>
      </c>
      <c r="D2901" s="35" t="s">
        <v>1947</v>
      </c>
      <c r="E2901" s="35" t="s">
        <v>484</v>
      </c>
      <c r="F2901" s="34" t="s">
        <v>1949</v>
      </c>
      <c r="G2901" s="36" t="s">
        <v>181</v>
      </c>
      <c r="H2901" s="34" t="s">
        <v>8554</v>
      </c>
      <c r="I2901" s="34" t="s">
        <v>231</v>
      </c>
      <c r="J2901" s="37">
        <v>46177.0</v>
      </c>
      <c r="K2901" s="35" t="s">
        <v>7966</v>
      </c>
      <c r="L2901" s="34">
        <v>3.0</v>
      </c>
      <c r="M2901" s="34" t="s">
        <v>7969</v>
      </c>
      <c r="N2901" s="38" t="s">
        <v>8555</v>
      </c>
      <c r="O2901" s="39" t="s">
        <v>8556</v>
      </c>
    </row>
    <row r="2902">
      <c r="A2902" s="32">
        <v>3368.0</v>
      </c>
      <c r="B2902" s="33">
        <v>46181.60926885417</v>
      </c>
      <c r="C2902" s="34" t="s">
        <v>15</v>
      </c>
      <c r="D2902" s="35" t="s">
        <v>3902</v>
      </c>
      <c r="E2902" s="35" t="s">
        <v>781</v>
      </c>
      <c r="F2902" s="34" t="s">
        <v>3903</v>
      </c>
      <c r="G2902" s="36" t="s">
        <v>19</v>
      </c>
      <c r="H2902" s="34" t="s">
        <v>8557</v>
      </c>
      <c r="I2902" s="34" t="s">
        <v>3156</v>
      </c>
      <c r="J2902" s="37">
        <v>46066.0</v>
      </c>
      <c r="K2902" s="35" t="s">
        <v>689</v>
      </c>
      <c r="L2902" s="34">
        <v>4.0</v>
      </c>
      <c r="M2902" s="34" t="s">
        <v>244</v>
      </c>
      <c r="N2902" s="38" t="s">
        <v>8558</v>
      </c>
      <c r="O2902" s="39" t="s">
        <v>8559</v>
      </c>
    </row>
    <row r="2903">
      <c r="A2903" s="32">
        <v>3369.0</v>
      </c>
      <c r="B2903" s="33">
        <v>46181.61070320602</v>
      </c>
      <c r="C2903" s="34" t="s">
        <v>26</v>
      </c>
      <c r="D2903" s="35" t="s">
        <v>1947</v>
      </c>
      <c r="E2903" s="35" t="s">
        <v>484</v>
      </c>
      <c r="F2903" s="34" t="s">
        <v>1949</v>
      </c>
      <c r="G2903" s="36" t="s">
        <v>181</v>
      </c>
      <c r="H2903" s="34" t="s">
        <v>7874</v>
      </c>
      <c r="I2903" s="34" t="s">
        <v>231</v>
      </c>
      <c r="J2903" s="37">
        <v>46176.0</v>
      </c>
      <c r="K2903" s="35" t="s">
        <v>1458</v>
      </c>
      <c r="L2903" s="34">
        <v>1.0</v>
      </c>
      <c r="M2903" s="34" t="s">
        <v>1559</v>
      </c>
      <c r="N2903" s="38" t="s">
        <v>8560</v>
      </c>
      <c r="O2903" s="39" t="s">
        <v>8561</v>
      </c>
    </row>
    <row r="2904">
      <c r="A2904" s="32">
        <v>3370.0</v>
      </c>
      <c r="B2904" s="33">
        <v>46181.61568634259</v>
      </c>
      <c r="C2904" s="34" t="s">
        <v>15</v>
      </c>
      <c r="D2904" s="35" t="s">
        <v>3902</v>
      </c>
      <c r="E2904" s="35" t="s">
        <v>781</v>
      </c>
      <c r="F2904" s="34" t="s">
        <v>3903</v>
      </c>
      <c r="G2904" s="36" t="s">
        <v>84</v>
      </c>
      <c r="H2904" s="34" t="s">
        <v>85</v>
      </c>
      <c r="I2904" s="34" t="s">
        <v>8562</v>
      </c>
      <c r="J2904" s="37">
        <v>46081.0</v>
      </c>
      <c r="K2904" s="35" t="s">
        <v>2053</v>
      </c>
      <c r="L2904" s="34">
        <v>8.0</v>
      </c>
      <c r="M2904" s="34" t="s">
        <v>33</v>
      </c>
      <c r="N2904" s="38" t="s">
        <v>8563</v>
      </c>
      <c r="O2904" s="39" t="s">
        <v>8564</v>
      </c>
    </row>
    <row r="2905">
      <c r="A2905" s="32">
        <v>3371.0</v>
      </c>
      <c r="B2905" s="33">
        <v>46181.62718451388</v>
      </c>
      <c r="C2905" s="34" t="s">
        <v>15</v>
      </c>
      <c r="D2905" s="35" t="s">
        <v>3902</v>
      </c>
      <c r="E2905" s="35" t="s">
        <v>781</v>
      </c>
      <c r="F2905" s="34" t="s">
        <v>3903</v>
      </c>
      <c r="G2905" s="36" t="s">
        <v>84</v>
      </c>
      <c r="H2905" s="34" t="s">
        <v>85</v>
      </c>
      <c r="I2905" s="34" t="s">
        <v>8565</v>
      </c>
      <c r="J2905" s="37">
        <v>46145.0</v>
      </c>
      <c r="K2905" s="35" t="s">
        <v>2053</v>
      </c>
      <c r="L2905" s="34">
        <v>8.0</v>
      </c>
      <c r="M2905" s="34" t="s">
        <v>33</v>
      </c>
      <c r="N2905" s="38" t="s">
        <v>8566</v>
      </c>
      <c r="O2905" s="39" t="s">
        <v>8567</v>
      </c>
    </row>
    <row r="2906">
      <c r="A2906" s="32">
        <v>3372.0</v>
      </c>
      <c r="B2906" s="33">
        <v>46181.62873107639</v>
      </c>
      <c r="C2906" s="34" t="s">
        <v>26</v>
      </c>
      <c r="D2906" s="35" t="s">
        <v>27</v>
      </c>
      <c r="E2906" s="35" t="s">
        <v>28</v>
      </c>
      <c r="F2906" s="34" t="s">
        <v>29</v>
      </c>
      <c r="G2906" s="36" t="s">
        <v>181</v>
      </c>
      <c r="H2906" s="34" t="s">
        <v>7874</v>
      </c>
      <c r="I2906" s="34" t="s">
        <v>231</v>
      </c>
      <c r="J2906" s="37">
        <v>46177.0</v>
      </c>
      <c r="K2906" s="35" t="s">
        <v>1458</v>
      </c>
      <c r="L2906" s="34">
        <v>1.0</v>
      </c>
      <c r="M2906" s="34" t="s">
        <v>1559</v>
      </c>
      <c r="N2906" s="38" t="s">
        <v>8568</v>
      </c>
      <c r="O2906" s="39" t="s">
        <v>8569</v>
      </c>
    </row>
    <row r="2907">
      <c r="A2907" s="32">
        <v>3373.0</v>
      </c>
      <c r="B2907" s="33">
        <v>46181.63137965278</v>
      </c>
      <c r="C2907" s="34" t="s">
        <v>26</v>
      </c>
      <c r="D2907" s="35" t="s">
        <v>27</v>
      </c>
      <c r="E2907" s="35" t="s">
        <v>28</v>
      </c>
      <c r="F2907" s="34" t="s">
        <v>29</v>
      </c>
      <c r="G2907" s="36" t="s">
        <v>181</v>
      </c>
      <c r="H2907" s="34" t="s">
        <v>7874</v>
      </c>
      <c r="I2907" s="34" t="s">
        <v>231</v>
      </c>
      <c r="J2907" s="37">
        <v>46178.0</v>
      </c>
      <c r="K2907" s="35" t="s">
        <v>2053</v>
      </c>
      <c r="L2907" s="34">
        <v>1.0</v>
      </c>
      <c r="M2907" s="34" t="s">
        <v>1559</v>
      </c>
      <c r="N2907" s="38" t="s">
        <v>8570</v>
      </c>
      <c r="O2907" s="39" t="s">
        <v>8571</v>
      </c>
    </row>
    <row r="2908">
      <c r="A2908" s="32">
        <v>3374.0</v>
      </c>
      <c r="B2908" s="33">
        <v>46181.63296043982</v>
      </c>
      <c r="C2908" s="34" t="s">
        <v>15</v>
      </c>
      <c r="D2908" s="35" t="s">
        <v>3902</v>
      </c>
      <c r="E2908" s="35" t="s">
        <v>781</v>
      </c>
      <c r="F2908" s="34" t="s">
        <v>3903</v>
      </c>
      <c r="G2908" s="36" t="s">
        <v>181</v>
      </c>
      <c r="H2908" s="34" t="s">
        <v>8018</v>
      </c>
      <c r="I2908" s="34" t="s">
        <v>279</v>
      </c>
      <c r="J2908" s="37">
        <v>46177.0</v>
      </c>
      <c r="K2908" s="35" t="s">
        <v>8572</v>
      </c>
      <c r="L2908" s="34">
        <v>3.0</v>
      </c>
      <c r="M2908" s="34" t="s">
        <v>695</v>
      </c>
      <c r="N2908" s="38" t="s">
        <v>8573</v>
      </c>
      <c r="O2908" s="39" t="s">
        <v>8574</v>
      </c>
    </row>
    <row r="2909">
      <c r="A2909" s="32">
        <v>3375.0</v>
      </c>
      <c r="B2909" s="33">
        <v>46181.66641518519</v>
      </c>
      <c r="C2909" s="34" t="s">
        <v>26</v>
      </c>
      <c r="D2909" s="35" t="s">
        <v>934</v>
      </c>
      <c r="E2909" s="35" t="s">
        <v>674</v>
      </c>
      <c r="F2909" s="34" t="s">
        <v>935</v>
      </c>
      <c r="G2909" s="36" t="s">
        <v>181</v>
      </c>
      <c r="H2909" s="34" t="s">
        <v>7874</v>
      </c>
      <c r="I2909" s="34" t="s">
        <v>231</v>
      </c>
      <c r="J2909" s="37">
        <v>46176.0</v>
      </c>
      <c r="K2909" s="35" t="s">
        <v>1458</v>
      </c>
      <c r="L2909" s="34">
        <v>1.0</v>
      </c>
      <c r="M2909" s="34" t="s">
        <v>1559</v>
      </c>
      <c r="N2909" s="38" t="s">
        <v>8575</v>
      </c>
      <c r="O2909" s="39" t="s">
        <v>8576</v>
      </c>
    </row>
    <row r="2910">
      <c r="A2910" s="32">
        <v>3376.0</v>
      </c>
      <c r="B2910" s="33">
        <v>46181.67158002315</v>
      </c>
      <c r="C2910" s="34" t="s">
        <v>26</v>
      </c>
      <c r="D2910" s="35" t="s">
        <v>934</v>
      </c>
      <c r="E2910" s="35" t="s">
        <v>674</v>
      </c>
      <c r="F2910" s="34" t="s">
        <v>935</v>
      </c>
      <c r="G2910" s="36" t="s">
        <v>181</v>
      </c>
      <c r="H2910" s="34" t="s">
        <v>7874</v>
      </c>
      <c r="I2910" s="34" t="s">
        <v>231</v>
      </c>
      <c r="J2910" s="37">
        <v>46177.0</v>
      </c>
      <c r="K2910" s="35" t="s">
        <v>1458</v>
      </c>
      <c r="L2910" s="34">
        <v>1.0</v>
      </c>
      <c r="M2910" s="34" t="s">
        <v>1559</v>
      </c>
      <c r="N2910" s="38" t="s">
        <v>8577</v>
      </c>
      <c r="O2910" s="39" t="s">
        <v>8578</v>
      </c>
    </row>
    <row r="2911">
      <c r="A2911" s="32">
        <v>3377.0</v>
      </c>
      <c r="B2911" s="33">
        <v>46181.672142916665</v>
      </c>
      <c r="C2911" s="34" t="s">
        <v>26</v>
      </c>
      <c r="D2911" s="35" t="s">
        <v>1595</v>
      </c>
      <c r="E2911" s="35" t="s">
        <v>1385</v>
      </c>
      <c r="F2911" s="34" t="s">
        <v>1597</v>
      </c>
      <c r="G2911" s="36" t="s">
        <v>181</v>
      </c>
      <c r="H2911" s="34" t="s">
        <v>8071</v>
      </c>
      <c r="I2911" s="34" t="s">
        <v>314</v>
      </c>
      <c r="J2911" s="37">
        <v>46113.0</v>
      </c>
      <c r="K2911" s="35" t="s">
        <v>518</v>
      </c>
      <c r="L2911" s="34">
        <v>2.0</v>
      </c>
      <c r="M2911" s="34" t="s">
        <v>1064</v>
      </c>
      <c r="N2911" s="38" t="s">
        <v>8579</v>
      </c>
      <c r="O2911" s="39" t="s">
        <v>8580</v>
      </c>
    </row>
    <row r="2912">
      <c r="A2912" s="32">
        <v>3378.0</v>
      </c>
      <c r="B2912" s="33">
        <v>46181.70547674768</v>
      </c>
      <c r="C2912" s="34" t="s">
        <v>15</v>
      </c>
      <c r="D2912" s="35" t="s">
        <v>2918</v>
      </c>
      <c r="E2912" s="35" t="s">
        <v>2919</v>
      </c>
      <c r="F2912" s="34" t="s">
        <v>2920</v>
      </c>
      <c r="G2912" s="36" t="s">
        <v>181</v>
      </c>
      <c r="H2912" s="34" t="s">
        <v>8581</v>
      </c>
      <c r="I2912" s="34" t="s">
        <v>231</v>
      </c>
      <c r="J2912" s="37">
        <v>46177.0</v>
      </c>
      <c r="K2912" s="35" t="s">
        <v>8582</v>
      </c>
      <c r="L2912" s="34">
        <v>3.0</v>
      </c>
      <c r="M2912" s="34" t="s">
        <v>7948</v>
      </c>
      <c r="N2912" s="38" t="s">
        <v>8583</v>
      </c>
      <c r="O2912" s="39" t="s">
        <v>8584</v>
      </c>
    </row>
    <row r="2913">
      <c r="A2913" s="32">
        <v>3379.0</v>
      </c>
      <c r="B2913" s="33">
        <v>46181.707569861115</v>
      </c>
      <c r="C2913" s="34" t="s">
        <v>15</v>
      </c>
      <c r="D2913" s="35" t="s">
        <v>76</v>
      </c>
      <c r="E2913" s="35" t="s">
        <v>28</v>
      </c>
      <c r="F2913" s="34" t="s">
        <v>77</v>
      </c>
      <c r="G2913" s="36" t="s">
        <v>181</v>
      </c>
      <c r="H2913" s="34" t="s">
        <v>8585</v>
      </c>
      <c r="I2913" s="34" t="s">
        <v>231</v>
      </c>
      <c r="J2913" s="37">
        <v>46177.0</v>
      </c>
      <c r="K2913" s="35" t="s">
        <v>6790</v>
      </c>
      <c r="L2913" s="34">
        <v>3.0</v>
      </c>
      <c r="M2913" s="34" t="s">
        <v>8586</v>
      </c>
      <c r="N2913" s="38" t="s">
        <v>8587</v>
      </c>
      <c r="O2913" s="39" t="s">
        <v>8588</v>
      </c>
    </row>
    <row r="2914">
      <c r="A2914" s="32">
        <v>3380.0</v>
      </c>
      <c r="B2914" s="33">
        <v>46181.70892395833</v>
      </c>
      <c r="C2914" s="34" t="s">
        <v>15</v>
      </c>
      <c r="D2914" s="35" t="s">
        <v>2918</v>
      </c>
      <c r="E2914" s="35" t="s">
        <v>2919</v>
      </c>
      <c r="F2914" s="34" t="s">
        <v>2920</v>
      </c>
      <c r="G2914" s="36" t="s">
        <v>209</v>
      </c>
      <c r="H2914" s="34" t="s">
        <v>1920</v>
      </c>
      <c r="I2914" s="34" t="s">
        <v>8589</v>
      </c>
      <c r="J2914" s="37">
        <v>46172.0</v>
      </c>
      <c r="K2914" s="35" t="s">
        <v>8590</v>
      </c>
      <c r="L2914" s="34">
        <v>2.0</v>
      </c>
      <c r="M2914" s="34" t="s">
        <v>8591</v>
      </c>
      <c r="N2914" s="38" t="s">
        <v>8592</v>
      </c>
      <c r="O2914" s="39" t="s">
        <v>8593</v>
      </c>
    </row>
    <row r="2915">
      <c r="A2915" s="32">
        <v>3381.0</v>
      </c>
      <c r="B2915" s="33">
        <v>46181.71263304398</v>
      </c>
      <c r="C2915" s="34" t="s">
        <v>15</v>
      </c>
      <c r="D2915" s="35" t="s">
        <v>2918</v>
      </c>
      <c r="E2915" s="35" t="s">
        <v>2919</v>
      </c>
      <c r="F2915" s="34" t="s">
        <v>2920</v>
      </c>
      <c r="G2915" s="36" t="s">
        <v>209</v>
      </c>
      <c r="H2915" s="34" t="s">
        <v>8594</v>
      </c>
      <c r="I2915" s="34" t="s">
        <v>8589</v>
      </c>
      <c r="J2915" s="37">
        <v>46151.0</v>
      </c>
      <c r="K2915" s="35" t="s">
        <v>8595</v>
      </c>
      <c r="L2915" s="34">
        <v>2.0</v>
      </c>
      <c r="M2915" s="34" t="s">
        <v>8596</v>
      </c>
      <c r="N2915" s="38" t="s">
        <v>8597</v>
      </c>
      <c r="O2915" s="39" t="s">
        <v>8598</v>
      </c>
    </row>
    <row r="2916">
      <c r="A2916" s="32">
        <v>3382.0</v>
      </c>
      <c r="B2916" s="33">
        <v>46181.82906923611</v>
      </c>
      <c r="C2916" s="34" t="s">
        <v>15</v>
      </c>
      <c r="D2916" s="35" t="s">
        <v>2321</v>
      </c>
      <c r="E2916" s="35" t="s">
        <v>1385</v>
      </c>
      <c r="F2916" s="34" t="s">
        <v>2322</v>
      </c>
      <c r="G2916" s="36" t="s">
        <v>181</v>
      </c>
      <c r="H2916" s="34" t="s">
        <v>8599</v>
      </c>
      <c r="I2916" s="34" t="s">
        <v>231</v>
      </c>
      <c r="J2916" s="37">
        <v>46177.0</v>
      </c>
      <c r="K2916" s="35" t="s">
        <v>3263</v>
      </c>
      <c r="L2916" s="34">
        <v>3.0</v>
      </c>
      <c r="M2916" s="34" t="s">
        <v>7948</v>
      </c>
      <c r="N2916" s="38" t="s">
        <v>8600</v>
      </c>
      <c r="O2916" s="39" t="s">
        <v>8601</v>
      </c>
    </row>
    <row r="2917">
      <c r="A2917" s="32">
        <v>3383.0</v>
      </c>
      <c r="B2917" s="33">
        <v>46181.84251133102</v>
      </c>
      <c r="C2917" s="34" t="s">
        <v>15</v>
      </c>
      <c r="D2917" s="35" t="s">
        <v>2918</v>
      </c>
      <c r="E2917" s="35" t="s">
        <v>2919</v>
      </c>
      <c r="F2917" s="34" t="s">
        <v>2920</v>
      </c>
      <c r="G2917" s="36" t="s">
        <v>209</v>
      </c>
      <c r="H2917" s="34" t="s">
        <v>8602</v>
      </c>
      <c r="I2917" s="34" t="s">
        <v>8589</v>
      </c>
      <c r="J2917" s="37">
        <v>46165.0</v>
      </c>
      <c r="K2917" s="35" t="s">
        <v>8603</v>
      </c>
      <c r="L2917" s="34">
        <v>2.0</v>
      </c>
      <c r="M2917" s="34" t="s">
        <v>8596</v>
      </c>
      <c r="N2917" s="38" t="s">
        <v>8604</v>
      </c>
      <c r="O2917" s="39" t="s">
        <v>8605</v>
      </c>
    </row>
    <row r="2918">
      <c r="A2918" s="32">
        <v>3384.0</v>
      </c>
      <c r="B2918" s="33">
        <v>46181.8459771412</v>
      </c>
      <c r="C2918" s="34" t="s">
        <v>26</v>
      </c>
      <c r="D2918" s="35" t="s">
        <v>934</v>
      </c>
      <c r="E2918" s="35" t="s">
        <v>674</v>
      </c>
      <c r="F2918" s="34" t="s">
        <v>935</v>
      </c>
      <c r="G2918" s="36" t="s">
        <v>181</v>
      </c>
      <c r="H2918" s="34" t="s">
        <v>7874</v>
      </c>
      <c r="I2918" s="34" t="s">
        <v>1211</v>
      </c>
      <c r="J2918" s="37">
        <v>46180.0</v>
      </c>
      <c r="K2918" s="35" t="s">
        <v>1458</v>
      </c>
      <c r="L2918" s="34">
        <v>1.0</v>
      </c>
      <c r="M2918" s="34" t="s">
        <v>1559</v>
      </c>
      <c r="N2918" s="38" t="s">
        <v>8606</v>
      </c>
      <c r="O2918" s="39" t="s">
        <v>8607</v>
      </c>
    </row>
    <row r="2919">
      <c r="A2919" s="32">
        <v>3385.0</v>
      </c>
      <c r="B2919" s="33">
        <v>46181.88288438658</v>
      </c>
      <c r="C2919" s="34" t="s">
        <v>15</v>
      </c>
      <c r="D2919" s="35" t="s">
        <v>16</v>
      </c>
      <c r="E2919" s="35" t="s">
        <v>17</v>
      </c>
      <c r="F2919" s="34" t="s">
        <v>18</v>
      </c>
      <c r="G2919" s="36" t="s">
        <v>181</v>
      </c>
      <c r="H2919" s="34" t="s">
        <v>8608</v>
      </c>
      <c r="I2919" s="34" t="s">
        <v>231</v>
      </c>
      <c r="J2919" s="37">
        <v>46177.0</v>
      </c>
      <c r="K2919" s="35" t="s">
        <v>6790</v>
      </c>
      <c r="L2919" s="34">
        <v>3.0</v>
      </c>
      <c r="M2919" s="34" t="s">
        <v>7969</v>
      </c>
      <c r="N2919" s="38" t="s">
        <v>8609</v>
      </c>
      <c r="O2919" s="40"/>
    </row>
    <row r="2920">
      <c r="A2920" s="32">
        <v>3386.0</v>
      </c>
      <c r="B2920" s="33">
        <v>46181.88978416666</v>
      </c>
      <c r="C2920" s="34" t="s">
        <v>26</v>
      </c>
      <c r="D2920" s="35" t="s">
        <v>1720</v>
      </c>
      <c r="E2920" s="35" t="s">
        <v>179</v>
      </c>
      <c r="F2920" s="34" t="s">
        <v>1721</v>
      </c>
      <c r="G2920" s="36" t="s">
        <v>181</v>
      </c>
      <c r="H2920" s="34" t="s">
        <v>8610</v>
      </c>
      <c r="I2920" s="34" t="s">
        <v>6026</v>
      </c>
      <c r="J2920" s="37">
        <v>46147.0</v>
      </c>
      <c r="K2920" s="35" t="s">
        <v>3287</v>
      </c>
      <c r="L2920" s="34">
        <v>3.0</v>
      </c>
      <c r="M2920" s="34" t="s">
        <v>1325</v>
      </c>
      <c r="N2920" s="38" t="s">
        <v>8611</v>
      </c>
      <c r="O2920" s="39" t="s">
        <v>8612</v>
      </c>
    </row>
    <row r="2921">
      <c r="A2921" s="32">
        <v>3387.0</v>
      </c>
      <c r="B2921" s="33">
        <v>46181.89318313658</v>
      </c>
      <c r="C2921" s="34" t="s">
        <v>26</v>
      </c>
      <c r="D2921" s="35" t="s">
        <v>213</v>
      </c>
      <c r="E2921" s="35" t="s">
        <v>214</v>
      </c>
      <c r="F2921" s="34" t="s">
        <v>215</v>
      </c>
      <c r="G2921" s="36" t="s">
        <v>181</v>
      </c>
      <c r="H2921" s="34" t="s">
        <v>8613</v>
      </c>
      <c r="I2921" s="34" t="s">
        <v>231</v>
      </c>
      <c r="J2921" s="37">
        <v>46177.0</v>
      </c>
      <c r="K2921" s="35" t="s">
        <v>7966</v>
      </c>
      <c r="L2921" s="34">
        <v>3.0</v>
      </c>
      <c r="M2921" s="34" t="s">
        <v>7969</v>
      </c>
      <c r="N2921" s="38" t="s">
        <v>8614</v>
      </c>
      <c r="O2921" s="39" t="s">
        <v>8615</v>
      </c>
    </row>
    <row r="2922">
      <c r="A2922" s="32">
        <v>3388.0</v>
      </c>
      <c r="B2922" s="33">
        <v>46181.89368925926</v>
      </c>
      <c r="C2922" s="34" t="s">
        <v>26</v>
      </c>
      <c r="D2922" s="35" t="s">
        <v>1720</v>
      </c>
      <c r="E2922" s="35" t="s">
        <v>179</v>
      </c>
      <c r="F2922" s="34" t="s">
        <v>1721</v>
      </c>
      <c r="G2922" s="36" t="s">
        <v>19</v>
      </c>
      <c r="H2922" s="34" t="s">
        <v>5653</v>
      </c>
      <c r="I2922" s="34" t="s">
        <v>2029</v>
      </c>
      <c r="J2922" s="37">
        <v>46181.0</v>
      </c>
      <c r="K2922" s="35" t="s">
        <v>6181</v>
      </c>
      <c r="L2922" s="34">
        <v>8.0</v>
      </c>
      <c r="M2922" s="34" t="s">
        <v>87</v>
      </c>
      <c r="N2922" s="38" t="s">
        <v>8616</v>
      </c>
      <c r="O2922" s="39" t="s">
        <v>8617</v>
      </c>
    </row>
    <row r="2923">
      <c r="A2923" s="32">
        <v>3389.0</v>
      </c>
      <c r="B2923" s="33">
        <v>46181.89474427083</v>
      </c>
      <c r="C2923" s="34" t="s">
        <v>26</v>
      </c>
      <c r="D2923" s="35" t="s">
        <v>247</v>
      </c>
      <c r="E2923" s="35" t="s">
        <v>248</v>
      </c>
      <c r="F2923" s="34" t="s">
        <v>249</v>
      </c>
      <c r="G2923" s="36" t="s">
        <v>181</v>
      </c>
      <c r="H2923" s="34" t="s">
        <v>8618</v>
      </c>
      <c r="I2923" s="34" t="s">
        <v>231</v>
      </c>
      <c r="J2923" s="37">
        <v>46113.0</v>
      </c>
      <c r="K2923" s="35" t="s">
        <v>518</v>
      </c>
      <c r="L2923" s="34">
        <v>2.0</v>
      </c>
      <c r="M2923" s="34" t="s">
        <v>1064</v>
      </c>
      <c r="N2923" s="38" t="s">
        <v>8619</v>
      </c>
      <c r="O2923" s="39" t="s">
        <v>8620</v>
      </c>
    </row>
    <row r="2924">
      <c r="A2924" s="32">
        <v>3390.0</v>
      </c>
      <c r="B2924" s="33">
        <v>46181.89502747685</v>
      </c>
      <c r="C2924" s="34" t="s">
        <v>26</v>
      </c>
      <c r="D2924" s="35" t="s">
        <v>213</v>
      </c>
      <c r="E2924" s="35" t="s">
        <v>214</v>
      </c>
      <c r="F2924" s="34" t="s">
        <v>215</v>
      </c>
      <c r="G2924" s="36" t="s">
        <v>181</v>
      </c>
      <c r="H2924" s="34" t="s">
        <v>8433</v>
      </c>
      <c r="I2924" s="34" t="s">
        <v>231</v>
      </c>
      <c r="J2924" s="37">
        <v>46180.0</v>
      </c>
      <c r="K2924" s="35" t="s">
        <v>3117</v>
      </c>
      <c r="L2924" s="34">
        <v>1.0</v>
      </c>
      <c r="M2924" s="34" t="s">
        <v>1559</v>
      </c>
      <c r="N2924" s="38" t="s">
        <v>8621</v>
      </c>
      <c r="O2924" s="39" t="s">
        <v>8622</v>
      </c>
    </row>
    <row r="2925">
      <c r="A2925" s="32">
        <v>3391.0</v>
      </c>
      <c r="B2925" s="33">
        <v>46181.89847885417</v>
      </c>
      <c r="C2925" s="34" t="s">
        <v>26</v>
      </c>
      <c r="D2925" s="35" t="s">
        <v>3541</v>
      </c>
      <c r="E2925" s="35" t="s">
        <v>1197</v>
      </c>
      <c r="F2925" s="34" t="s">
        <v>3542</v>
      </c>
      <c r="G2925" s="36" t="s">
        <v>181</v>
      </c>
      <c r="H2925" s="34" t="s">
        <v>7965</v>
      </c>
      <c r="I2925" s="34" t="s">
        <v>231</v>
      </c>
      <c r="J2925" s="37">
        <v>46177.0</v>
      </c>
      <c r="K2925" s="35" t="s">
        <v>7966</v>
      </c>
      <c r="L2925" s="34">
        <v>3.0</v>
      </c>
      <c r="M2925" s="34" t="s">
        <v>7969</v>
      </c>
      <c r="N2925" s="38" t="s">
        <v>8623</v>
      </c>
      <c r="O2925" s="39" t="s">
        <v>8624</v>
      </c>
    </row>
    <row r="2926">
      <c r="A2926" s="32">
        <v>3392.0</v>
      </c>
      <c r="B2926" s="33">
        <v>46181.902333171296</v>
      </c>
      <c r="C2926" s="34" t="s">
        <v>15</v>
      </c>
      <c r="D2926" s="35" t="s">
        <v>2675</v>
      </c>
      <c r="E2926" s="35" t="s">
        <v>287</v>
      </c>
      <c r="F2926" s="34" t="s">
        <v>2676</v>
      </c>
      <c r="G2926" s="36" t="s">
        <v>181</v>
      </c>
      <c r="H2926" s="34" t="s">
        <v>5432</v>
      </c>
      <c r="I2926" s="34" t="s">
        <v>231</v>
      </c>
      <c r="J2926" s="37">
        <v>46133.0</v>
      </c>
      <c r="K2926" s="35" t="s">
        <v>962</v>
      </c>
      <c r="L2926" s="34">
        <v>4.0</v>
      </c>
      <c r="M2926" s="34" t="s">
        <v>33</v>
      </c>
      <c r="N2926" s="38" t="s">
        <v>8625</v>
      </c>
      <c r="O2926" s="39" t="s">
        <v>8626</v>
      </c>
    </row>
    <row r="2927">
      <c r="A2927" s="32">
        <v>3393.0</v>
      </c>
      <c r="B2927" s="33">
        <v>46181.90444916667</v>
      </c>
      <c r="C2927" s="34" t="s">
        <v>15</v>
      </c>
      <c r="D2927" s="35" t="s">
        <v>2675</v>
      </c>
      <c r="E2927" s="35" t="s">
        <v>287</v>
      </c>
      <c r="F2927" s="34" t="s">
        <v>2676</v>
      </c>
      <c r="G2927" s="36" t="s">
        <v>181</v>
      </c>
      <c r="H2927" s="34" t="s">
        <v>5432</v>
      </c>
      <c r="I2927" s="34" t="s">
        <v>231</v>
      </c>
      <c r="J2927" s="37">
        <v>46134.0</v>
      </c>
      <c r="K2927" s="35" t="s">
        <v>962</v>
      </c>
      <c r="L2927" s="34">
        <v>4.0</v>
      </c>
      <c r="M2927" s="34" t="s">
        <v>33</v>
      </c>
      <c r="N2927" s="38" t="s">
        <v>8627</v>
      </c>
      <c r="O2927" s="39" t="s">
        <v>8628</v>
      </c>
    </row>
    <row r="2928">
      <c r="A2928" s="32">
        <v>3394.0</v>
      </c>
      <c r="B2928" s="33">
        <v>46181.906937962965</v>
      </c>
      <c r="C2928" s="34" t="s">
        <v>15</v>
      </c>
      <c r="D2928" s="35" t="s">
        <v>2675</v>
      </c>
      <c r="E2928" s="35" t="s">
        <v>287</v>
      </c>
      <c r="F2928" s="34" t="s">
        <v>2676</v>
      </c>
      <c r="G2928" s="36" t="s">
        <v>181</v>
      </c>
      <c r="H2928" s="34" t="s">
        <v>5432</v>
      </c>
      <c r="I2928" s="34" t="s">
        <v>5969</v>
      </c>
      <c r="J2928" s="37">
        <v>46139.0</v>
      </c>
      <c r="K2928" s="35" t="s">
        <v>962</v>
      </c>
      <c r="L2928" s="34">
        <v>4.0</v>
      </c>
      <c r="M2928" s="34" t="s">
        <v>33</v>
      </c>
      <c r="N2928" s="38" t="s">
        <v>8629</v>
      </c>
      <c r="O2928" s="39" t="s">
        <v>8630</v>
      </c>
    </row>
    <row r="2929">
      <c r="A2929" s="32">
        <v>3395.0</v>
      </c>
      <c r="B2929" s="33">
        <v>46181.90850805555</v>
      </c>
      <c r="C2929" s="34" t="s">
        <v>15</v>
      </c>
      <c r="D2929" s="35" t="s">
        <v>2675</v>
      </c>
      <c r="E2929" s="35" t="s">
        <v>287</v>
      </c>
      <c r="F2929" s="34" t="s">
        <v>2676</v>
      </c>
      <c r="G2929" s="36" t="s">
        <v>181</v>
      </c>
      <c r="H2929" s="34" t="s">
        <v>5432</v>
      </c>
      <c r="I2929" s="34" t="s">
        <v>231</v>
      </c>
      <c r="J2929" s="37">
        <v>46138.0</v>
      </c>
      <c r="K2929" s="35" t="s">
        <v>3192</v>
      </c>
      <c r="L2929" s="34">
        <v>6.0</v>
      </c>
      <c r="M2929" s="34" t="s">
        <v>33</v>
      </c>
      <c r="N2929" s="38" t="s">
        <v>8631</v>
      </c>
      <c r="O2929" s="39" t="s">
        <v>8632</v>
      </c>
    </row>
    <row r="2930">
      <c r="A2930" s="32">
        <v>3396.0</v>
      </c>
      <c r="B2930" s="33">
        <v>46181.91388040509</v>
      </c>
      <c r="C2930" s="34" t="s">
        <v>15</v>
      </c>
      <c r="D2930" s="35" t="s">
        <v>2675</v>
      </c>
      <c r="E2930" s="35" t="s">
        <v>287</v>
      </c>
      <c r="F2930" s="34" t="s">
        <v>2676</v>
      </c>
      <c r="G2930" s="36" t="s">
        <v>181</v>
      </c>
      <c r="H2930" s="34" t="s">
        <v>8018</v>
      </c>
      <c r="I2930" s="34" t="s">
        <v>8633</v>
      </c>
      <c r="J2930" s="37">
        <v>46177.0</v>
      </c>
      <c r="K2930" s="35" t="s">
        <v>1501</v>
      </c>
      <c r="L2930" s="34">
        <v>3.0</v>
      </c>
      <c r="M2930" s="34" t="s">
        <v>7948</v>
      </c>
      <c r="N2930" s="38" t="s">
        <v>8634</v>
      </c>
      <c r="O2930" s="39" t="s">
        <v>8635</v>
      </c>
    </row>
    <row r="2931">
      <c r="A2931" s="32">
        <v>3397.0</v>
      </c>
      <c r="B2931" s="33">
        <v>46181.91583131945</v>
      </c>
      <c r="C2931" s="34" t="s">
        <v>15</v>
      </c>
      <c r="D2931" s="35" t="s">
        <v>4315</v>
      </c>
      <c r="E2931" s="35" t="s">
        <v>164</v>
      </c>
      <c r="F2931" s="34" t="s">
        <v>4323</v>
      </c>
      <c r="G2931" s="36" t="s">
        <v>181</v>
      </c>
      <c r="H2931" s="34" t="s">
        <v>8636</v>
      </c>
      <c r="I2931" s="34" t="s">
        <v>231</v>
      </c>
      <c r="J2931" s="37">
        <v>46177.0</v>
      </c>
      <c r="K2931" s="35" t="s">
        <v>3263</v>
      </c>
      <c r="L2931" s="34">
        <v>3.0</v>
      </c>
      <c r="M2931" s="34" t="s">
        <v>8637</v>
      </c>
      <c r="N2931" s="38" t="s">
        <v>8638</v>
      </c>
      <c r="O2931" s="39" t="s">
        <v>8639</v>
      </c>
    </row>
    <row r="2932">
      <c r="A2932" s="32">
        <v>3398.0</v>
      </c>
      <c r="B2932" s="33">
        <v>46181.9163119213</v>
      </c>
      <c r="C2932" s="34" t="s">
        <v>26</v>
      </c>
      <c r="D2932" s="35" t="s">
        <v>1235</v>
      </c>
      <c r="E2932" s="35" t="s">
        <v>1259</v>
      </c>
      <c r="F2932" s="34" t="s">
        <v>1236</v>
      </c>
      <c r="G2932" s="36" t="s">
        <v>19</v>
      </c>
      <c r="H2932" s="34" t="s">
        <v>5422</v>
      </c>
      <c r="I2932" s="34" t="s">
        <v>1337</v>
      </c>
      <c r="J2932" s="37">
        <v>46032.0</v>
      </c>
      <c r="K2932" s="35" t="s">
        <v>315</v>
      </c>
      <c r="L2932" s="34">
        <v>8.0</v>
      </c>
      <c r="M2932" s="34" t="s">
        <v>87</v>
      </c>
      <c r="N2932" s="38" t="s">
        <v>8640</v>
      </c>
      <c r="O2932" s="39" t="s">
        <v>8641</v>
      </c>
    </row>
    <row r="2933">
      <c r="A2933" s="32">
        <v>3399.0</v>
      </c>
      <c r="B2933" s="33">
        <v>46181.91944556713</v>
      </c>
      <c r="C2933" s="34" t="s">
        <v>15</v>
      </c>
      <c r="D2933" s="35" t="s">
        <v>736</v>
      </c>
      <c r="E2933" s="35" t="s">
        <v>737</v>
      </c>
      <c r="F2933" s="34" t="s">
        <v>738</v>
      </c>
      <c r="G2933" s="36" t="s">
        <v>181</v>
      </c>
      <c r="H2933" s="34" t="s">
        <v>8642</v>
      </c>
      <c r="I2933" s="34" t="s">
        <v>231</v>
      </c>
      <c r="J2933" s="37">
        <v>46177.0</v>
      </c>
      <c r="K2933" s="35" t="s">
        <v>3287</v>
      </c>
      <c r="L2933" s="34">
        <v>3.0</v>
      </c>
      <c r="M2933" s="34" t="s">
        <v>7969</v>
      </c>
      <c r="N2933" s="38" t="s">
        <v>8643</v>
      </c>
      <c r="O2933" s="39" t="s">
        <v>8644</v>
      </c>
    </row>
    <row r="2934">
      <c r="A2934" s="32">
        <v>3400.0</v>
      </c>
      <c r="B2934" s="33">
        <v>46181.932123125</v>
      </c>
      <c r="C2934" s="34" t="s">
        <v>15</v>
      </c>
      <c r="D2934" s="35" t="s">
        <v>3906</v>
      </c>
      <c r="E2934" s="35" t="s">
        <v>479</v>
      </c>
      <c r="F2934" s="34" t="s">
        <v>3907</v>
      </c>
      <c r="G2934" s="36" t="s">
        <v>181</v>
      </c>
      <c r="H2934" s="34" t="s">
        <v>8473</v>
      </c>
      <c r="I2934" s="34" t="s">
        <v>231</v>
      </c>
      <c r="J2934" s="37">
        <v>46147.0</v>
      </c>
      <c r="K2934" s="35" t="s">
        <v>49</v>
      </c>
      <c r="L2934" s="34">
        <v>8.0</v>
      </c>
      <c r="M2934" s="34" t="s">
        <v>244</v>
      </c>
      <c r="N2934" s="38" t="s">
        <v>8645</v>
      </c>
      <c r="O2934" s="39" t="s">
        <v>8646</v>
      </c>
    </row>
    <row r="2935">
      <c r="A2935" s="32">
        <v>3401.0</v>
      </c>
      <c r="B2935" s="33">
        <v>46181.93894883102</v>
      </c>
      <c r="C2935" s="34" t="s">
        <v>15</v>
      </c>
      <c r="D2935" s="35" t="s">
        <v>2675</v>
      </c>
      <c r="E2935" s="35" t="s">
        <v>287</v>
      </c>
      <c r="F2935" s="34" t="s">
        <v>2676</v>
      </c>
      <c r="G2935" s="36" t="s">
        <v>84</v>
      </c>
      <c r="H2935" s="34" t="s">
        <v>455</v>
      </c>
      <c r="I2935" s="34" t="s">
        <v>537</v>
      </c>
      <c r="J2935" s="37">
        <v>46175.0</v>
      </c>
      <c r="K2935" s="35" t="s">
        <v>49</v>
      </c>
      <c r="L2935" s="34">
        <v>8.0</v>
      </c>
      <c r="M2935" s="34" t="s">
        <v>87</v>
      </c>
      <c r="N2935" s="38" t="s">
        <v>8647</v>
      </c>
      <c r="O2935" s="39" t="s">
        <v>8648</v>
      </c>
    </row>
    <row r="2936">
      <c r="A2936" s="32">
        <v>3402.0</v>
      </c>
      <c r="B2936" s="33">
        <v>46181.945745543984</v>
      </c>
      <c r="C2936" s="34" t="s">
        <v>15</v>
      </c>
      <c r="D2936" s="35" t="s">
        <v>4102</v>
      </c>
      <c r="E2936" s="35" t="s">
        <v>1948</v>
      </c>
      <c r="F2936" s="34" t="s">
        <v>4103</v>
      </c>
      <c r="G2936" s="36" t="s">
        <v>181</v>
      </c>
      <c r="H2936" s="34" t="s">
        <v>256</v>
      </c>
      <c r="I2936" s="34" t="s">
        <v>231</v>
      </c>
      <c r="J2936" s="37">
        <v>46147.0</v>
      </c>
      <c r="K2936" s="35" t="s">
        <v>49</v>
      </c>
      <c r="L2936" s="34">
        <v>8.0</v>
      </c>
      <c r="M2936" s="34" t="s">
        <v>8182</v>
      </c>
      <c r="N2936" s="38" t="s">
        <v>8649</v>
      </c>
      <c r="O2936" s="39" t="s">
        <v>8650</v>
      </c>
    </row>
    <row r="2937">
      <c r="A2937" s="32">
        <v>3403.0</v>
      </c>
      <c r="B2937" s="33">
        <v>46181.94838753472</v>
      </c>
      <c r="C2937" s="34" t="s">
        <v>15</v>
      </c>
      <c r="D2937" s="35" t="s">
        <v>3758</v>
      </c>
      <c r="E2937" s="35" t="s">
        <v>674</v>
      </c>
      <c r="F2937" s="34" t="s">
        <v>3759</v>
      </c>
      <c r="G2937" s="36" t="s">
        <v>181</v>
      </c>
      <c r="H2937" s="34" t="s">
        <v>8012</v>
      </c>
      <c r="I2937" s="34" t="s">
        <v>314</v>
      </c>
      <c r="J2937" s="37">
        <v>46149.0</v>
      </c>
      <c r="K2937" s="35" t="s">
        <v>3263</v>
      </c>
      <c r="L2937" s="34">
        <v>3.0</v>
      </c>
      <c r="M2937" s="34" t="s">
        <v>7969</v>
      </c>
      <c r="N2937" s="38" t="s">
        <v>8651</v>
      </c>
      <c r="O2937" s="39" t="s">
        <v>8652</v>
      </c>
    </row>
    <row r="2938">
      <c r="A2938" s="32">
        <v>3404.0</v>
      </c>
      <c r="B2938" s="33">
        <v>46181.95037923611</v>
      </c>
      <c r="C2938" s="34" t="s">
        <v>15</v>
      </c>
      <c r="D2938" s="35" t="s">
        <v>3083</v>
      </c>
      <c r="E2938" s="35" t="s">
        <v>1049</v>
      </c>
      <c r="F2938" s="34" t="s">
        <v>3109</v>
      </c>
      <c r="G2938" s="36" t="s">
        <v>181</v>
      </c>
      <c r="H2938" s="34" t="s">
        <v>3337</v>
      </c>
      <c r="I2938" s="34" t="s">
        <v>8653</v>
      </c>
      <c r="J2938" s="37">
        <v>46147.0</v>
      </c>
      <c r="K2938" s="35" t="s">
        <v>315</v>
      </c>
      <c r="L2938" s="34">
        <v>8.0</v>
      </c>
      <c r="M2938" s="34" t="s">
        <v>6948</v>
      </c>
      <c r="N2938" s="38" t="s">
        <v>8654</v>
      </c>
      <c r="O2938" s="39" t="s">
        <v>8655</v>
      </c>
    </row>
    <row r="2939">
      <c r="A2939" s="32">
        <v>3405.0</v>
      </c>
      <c r="B2939" s="33">
        <v>46181.95079133102</v>
      </c>
      <c r="C2939" s="34" t="s">
        <v>15</v>
      </c>
      <c r="D2939" s="35" t="s">
        <v>4102</v>
      </c>
      <c r="E2939" s="35" t="s">
        <v>1948</v>
      </c>
      <c r="F2939" s="34" t="s">
        <v>4103</v>
      </c>
      <c r="G2939" s="36" t="s">
        <v>181</v>
      </c>
      <c r="H2939" s="34" t="s">
        <v>8656</v>
      </c>
      <c r="I2939" s="34" t="s">
        <v>231</v>
      </c>
      <c r="J2939" s="37">
        <v>46143.0</v>
      </c>
      <c r="K2939" s="35" t="s">
        <v>22</v>
      </c>
      <c r="L2939" s="34">
        <v>4.0</v>
      </c>
      <c r="M2939" s="34" t="s">
        <v>8657</v>
      </c>
      <c r="N2939" s="38" t="s">
        <v>8658</v>
      </c>
      <c r="O2939" s="39" t="s">
        <v>8659</v>
      </c>
    </row>
    <row r="2940">
      <c r="A2940" s="32">
        <v>3406.0</v>
      </c>
      <c r="B2940" s="33">
        <v>46181.95234423611</v>
      </c>
      <c r="C2940" s="34" t="s">
        <v>15</v>
      </c>
      <c r="D2940" s="35" t="s">
        <v>1808</v>
      </c>
      <c r="E2940" s="35" t="s">
        <v>830</v>
      </c>
      <c r="F2940" s="34" t="s">
        <v>1809</v>
      </c>
      <c r="G2940" s="36" t="s">
        <v>19</v>
      </c>
      <c r="H2940" s="34" t="s">
        <v>8660</v>
      </c>
      <c r="I2940" s="34" t="s">
        <v>3736</v>
      </c>
      <c r="J2940" s="37">
        <v>46012.0</v>
      </c>
      <c r="K2940" s="35" t="s">
        <v>49</v>
      </c>
      <c r="L2940" s="34">
        <v>8.0</v>
      </c>
      <c r="M2940" s="34" t="s">
        <v>8661</v>
      </c>
      <c r="N2940" s="38" t="s">
        <v>8662</v>
      </c>
      <c r="O2940" s="39" t="s">
        <v>8663</v>
      </c>
    </row>
    <row r="2941">
      <c r="A2941" s="32">
        <v>3407.0</v>
      </c>
      <c r="B2941" s="33">
        <v>46181.95287725695</v>
      </c>
      <c r="C2941" s="34" t="s">
        <v>15</v>
      </c>
      <c r="D2941" s="35" t="s">
        <v>5119</v>
      </c>
      <c r="E2941" s="35" t="s">
        <v>1197</v>
      </c>
      <c r="F2941" s="34" t="s">
        <v>5120</v>
      </c>
      <c r="G2941" s="36" t="s">
        <v>19</v>
      </c>
      <c r="H2941" s="34" t="s">
        <v>3740</v>
      </c>
      <c r="I2941" s="34" t="s">
        <v>3736</v>
      </c>
      <c r="J2941" s="37">
        <v>46004.0</v>
      </c>
      <c r="K2941" s="35" t="s">
        <v>67</v>
      </c>
      <c r="L2941" s="34">
        <v>8.0</v>
      </c>
      <c r="M2941" s="34" t="s">
        <v>8664</v>
      </c>
      <c r="N2941" s="38" t="s">
        <v>8665</v>
      </c>
      <c r="O2941" s="39" t="s">
        <v>8666</v>
      </c>
    </row>
    <row r="2942">
      <c r="A2942" s="32">
        <v>3408.0</v>
      </c>
      <c r="B2942" s="33">
        <v>46181.95299304398</v>
      </c>
      <c r="C2942" s="34" t="s">
        <v>15</v>
      </c>
      <c r="D2942" s="35" t="s">
        <v>5151</v>
      </c>
      <c r="E2942" s="35" t="s">
        <v>1116</v>
      </c>
      <c r="F2942" s="34" t="s">
        <v>8667</v>
      </c>
      <c r="G2942" s="36" t="s">
        <v>209</v>
      </c>
      <c r="H2942" s="34" t="s">
        <v>6284</v>
      </c>
      <c r="I2942" s="34" t="s">
        <v>231</v>
      </c>
      <c r="J2942" s="37">
        <v>46184.0</v>
      </c>
      <c r="K2942" s="35" t="s">
        <v>1241</v>
      </c>
      <c r="L2942" s="34">
        <v>3.0</v>
      </c>
      <c r="M2942" s="34" t="s">
        <v>7948</v>
      </c>
      <c r="N2942" s="38" t="s">
        <v>8668</v>
      </c>
      <c r="O2942" s="39" t="s">
        <v>8669</v>
      </c>
    </row>
    <row r="2943">
      <c r="A2943" s="32">
        <v>3409.0</v>
      </c>
      <c r="B2943" s="33">
        <v>46181.95323565972</v>
      </c>
      <c r="C2943" s="34" t="s">
        <v>26</v>
      </c>
      <c r="D2943" s="35" t="s">
        <v>1595</v>
      </c>
      <c r="E2943" s="35" t="s">
        <v>1385</v>
      </c>
      <c r="F2943" s="34" t="s">
        <v>1597</v>
      </c>
      <c r="G2943" s="36" t="s">
        <v>181</v>
      </c>
      <c r="H2943" s="34" t="s">
        <v>8071</v>
      </c>
      <c r="I2943" s="34" t="s">
        <v>314</v>
      </c>
      <c r="J2943" s="37">
        <v>46114.0</v>
      </c>
      <c r="K2943" s="35" t="s">
        <v>518</v>
      </c>
      <c r="L2943" s="34">
        <v>2.0</v>
      </c>
      <c r="M2943" s="34" t="s">
        <v>1064</v>
      </c>
      <c r="N2943" s="38" t="s">
        <v>8670</v>
      </c>
      <c r="O2943" s="39" t="s">
        <v>8671</v>
      </c>
    </row>
    <row r="2944">
      <c r="A2944" s="32">
        <v>3410.0</v>
      </c>
      <c r="B2944" s="33">
        <v>46181.95418627315</v>
      </c>
      <c r="C2944" s="34" t="s">
        <v>15</v>
      </c>
      <c r="D2944" s="35" t="s">
        <v>5119</v>
      </c>
      <c r="E2944" s="35" t="s">
        <v>1197</v>
      </c>
      <c r="F2944" s="34" t="s">
        <v>5120</v>
      </c>
      <c r="G2944" s="36" t="s">
        <v>19</v>
      </c>
      <c r="H2944" s="34" t="s">
        <v>3740</v>
      </c>
      <c r="I2944" s="34" t="s">
        <v>3736</v>
      </c>
      <c r="J2944" s="37">
        <v>46011.0</v>
      </c>
      <c r="K2944" s="35" t="s">
        <v>67</v>
      </c>
      <c r="L2944" s="34">
        <v>8.0</v>
      </c>
      <c r="M2944" s="34" t="s">
        <v>8664</v>
      </c>
      <c r="N2944" s="38" t="s">
        <v>8672</v>
      </c>
      <c r="O2944" s="39" t="s">
        <v>8673</v>
      </c>
    </row>
    <row r="2945">
      <c r="A2945" s="32">
        <v>3411.0</v>
      </c>
      <c r="B2945" s="33">
        <v>46181.95499777778</v>
      </c>
      <c r="C2945" s="34" t="s">
        <v>26</v>
      </c>
      <c r="D2945" s="35" t="s">
        <v>1595</v>
      </c>
      <c r="E2945" s="35" t="s">
        <v>1385</v>
      </c>
      <c r="F2945" s="34" t="s">
        <v>1597</v>
      </c>
      <c r="G2945" s="36" t="s">
        <v>181</v>
      </c>
      <c r="H2945" s="34" t="s">
        <v>8071</v>
      </c>
      <c r="I2945" s="34" t="s">
        <v>314</v>
      </c>
      <c r="J2945" s="37">
        <v>46120.0</v>
      </c>
      <c r="K2945" s="35" t="s">
        <v>518</v>
      </c>
      <c r="L2945" s="34">
        <v>2.0</v>
      </c>
      <c r="M2945" s="34" t="s">
        <v>1064</v>
      </c>
      <c r="N2945" s="38" t="s">
        <v>8674</v>
      </c>
      <c r="O2945" s="39" t="s">
        <v>8675</v>
      </c>
    </row>
    <row r="2946">
      <c r="A2946" s="32">
        <v>3412.0</v>
      </c>
      <c r="B2946" s="33">
        <v>46181.95515434028</v>
      </c>
      <c r="C2946" s="34" t="s">
        <v>15</v>
      </c>
      <c r="D2946" s="35" t="s">
        <v>4102</v>
      </c>
      <c r="E2946" s="35" t="s">
        <v>1948</v>
      </c>
      <c r="F2946" s="34" t="s">
        <v>4103</v>
      </c>
      <c r="G2946" s="36" t="s">
        <v>181</v>
      </c>
      <c r="H2946" s="34" t="s">
        <v>8676</v>
      </c>
      <c r="I2946" s="34" t="s">
        <v>4290</v>
      </c>
      <c r="J2946" s="37">
        <v>46140.0</v>
      </c>
      <c r="K2946" s="35" t="s">
        <v>22</v>
      </c>
      <c r="L2946" s="34">
        <v>4.0</v>
      </c>
      <c r="M2946" s="34" t="s">
        <v>33</v>
      </c>
      <c r="N2946" s="38" t="s">
        <v>8677</v>
      </c>
      <c r="O2946" s="39" t="s">
        <v>8678</v>
      </c>
    </row>
    <row r="2947">
      <c r="A2947" s="32">
        <v>3413.0</v>
      </c>
      <c r="B2947" s="33">
        <v>46181.955547881946</v>
      </c>
      <c r="C2947" s="34" t="s">
        <v>15</v>
      </c>
      <c r="D2947" s="35" t="s">
        <v>1808</v>
      </c>
      <c r="E2947" s="35" t="s">
        <v>830</v>
      </c>
      <c r="F2947" s="34" t="s">
        <v>1809</v>
      </c>
      <c r="G2947" s="36" t="s">
        <v>181</v>
      </c>
      <c r="H2947" s="34" t="s">
        <v>8679</v>
      </c>
      <c r="I2947" s="34" t="s">
        <v>231</v>
      </c>
      <c r="J2947" s="37">
        <v>46180.0</v>
      </c>
      <c r="K2947" s="35" t="s">
        <v>582</v>
      </c>
      <c r="L2947" s="34">
        <v>2.0</v>
      </c>
      <c r="M2947" s="34" t="s">
        <v>1559</v>
      </c>
      <c r="N2947" s="38" t="s">
        <v>8680</v>
      </c>
      <c r="O2947" s="39" t="s">
        <v>8681</v>
      </c>
    </row>
    <row r="2948">
      <c r="A2948" s="32">
        <v>3414.0</v>
      </c>
      <c r="B2948" s="33">
        <v>46181.95952844908</v>
      </c>
      <c r="C2948" s="34" t="s">
        <v>15</v>
      </c>
      <c r="D2948" s="35" t="s">
        <v>4102</v>
      </c>
      <c r="E2948" s="35" t="s">
        <v>1948</v>
      </c>
      <c r="F2948" s="34" t="s">
        <v>4103</v>
      </c>
      <c r="G2948" s="36" t="s">
        <v>181</v>
      </c>
      <c r="H2948" s="34" t="s">
        <v>256</v>
      </c>
      <c r="I2948" s="34" t="s">
        <v>231</v>
      </c>
      <c r="J2948" s="37">
        <v>46147.0</v>
      </c>
      <c r="K2948" s="35" t="s">
        <v>49</v>
      </c>
      <c r="L2948" s="34">
        <v>8.0</v>
      </c>
      <c r="M2948" s="34" t="s">
        <v>8182</v>
      </c>
      <c r="N2948" s="38" t="s">
        <v>8682</v>
      </c>
      <c r="O2948" s="39" t="s">
        <v>8683</v>
      </c>
    </row>
    <row r="2949">
      <c r="A2949" s="32">
        <v>3415.0</v>
      </c>
      <c r="B2949" s="33">
        <v>46181.96147967593</v>
      </c>
      <c r="C2949" s="34" t="s">
        <v>15</v>
      </c>
      <c r="D2949" s="35" t="s">
        <v>3083</v>
      </c>
      <c r="E2949" s="35" t="s">
        <v>1049</v>
      </c>
      <c r="F2949" s="34" t="s">
        <v>3109</v>
      </c>
      <c r="G2949" s="36" t="s">
        <v>181</v>
      </c>
      <c r="H2949" s="34" t="s">
        <v>8684</v>
      </c>
      <c r="I2949" s="34" t="s">
        <v>8653</v>
      </c>
      <c r="J2949" s="37">
        <v>46174.0</v>
      </c>
      <c r="K2949" s="35" t="s">
        <v>22</v>
      </c>
      <c r="L2949" s="34">
        <v>4.0</v>
      </c>
      <c r="M2949" s="34" t="s">
        <v>6871</v>
      </c>
      <c r="N2949" s="38" t="s">
        <v>8685</v>
      </c>
      <c r="O2949" s="39" t="s">
        <v>8686</v>
      </c>
    </row>
    <row r="2950">
      <c r="A2950" s="32">
        <v>3416.0</v>
      </c>
      <c r="B2950" s="33">
        <v>46181.96327431713</v>
      </c>
      <c r="C2950" s="34" t="s">
        <v>26</v>
      </c>
      <c r="D2950" s="35" t="s">
        <v>1595</v>
      </c>
      <c r="E2950" s="35" t="s">
        <v>1385</v>
      </c>
      <c r="F2950" s="34" t="s">
        <v>1597</v>
      </c>
      <c r="G2950" s="36" t="s">
        <v>181</v>
      </c>
      <c r="H2950" s="34" t="s">
        <v>7965</v>
      </c>
      <c r="I2950" s="34" t="s">
        <v>8687</v>
      </c>
      <c r="J2950" s="37">
        <v>46177.0</v>
      </c>
      <c r="K2950" s="35" t="s">
        <v>7966</v>
      </c>
      <c r="L2950" s="34">
        <v>3.0</v>
      </c>
      <c r="M2950" s="34" t="s">
        <v>7969</v>
      </c>
      <c r="N2950" s="38" t="s">
        <v>8688</v>
      </c>
      <c r="O2950" s="39" t="s">
        <v>8689</v>
      </c>
    </row>
    <row r="2951">
      <c r="A2951" s="32">
        <v>3417.0</v>
      </c>
      <c r="B2951" s="33">
        <v>46181.96379591435</v>
      </c>
      <c r="C2951" s="34" t="s">
        <v>15</v>
      </c>
      <c r="D2951" s="35" t="s">
        <v>3083</v>
      </c>
      <c r="E2951" s="35" t="s">
        <v>1049</v>
      </c>
      <c r="F2951" s="34" t="s">
        <v>3109</v>
      </c>
      <c r="G2951" s="36" t="s">
        <v>181</v>
      </c>
      <c r="H2951" s="34" t="s">
        <v>8690</v>
      </c>
      <c r="I2951" s="34" t="s">
        <v>231</v>
      </c>
      <c r="J2951" s="37">
        <v>46177.0</v>
      </c>
      <c r="K2951" s="35" t="s">
        <v>1501</v>
      </c>
      <c r="L2951" s="34">
        <v>3.0</v>
      </c>
      <c r="M2951" s="34" t="s">
        <v>695</v>
      </c>
      <c r="N2951" s="38" t="s">
        <v>8691</v>
      </c>
      <c r="O2951" s="39" t="s">
        <v>8692</v>
      </c>
    </row>
    <row r="2952">
      <c r="A2952" s="32">
        <v>3418.0</v>
      </c>
      <c r="B2952" s="33">
        <v>46181.96429275463</v>
      </c>
      <c r="C2952" s="34" t="s">
        <v>15</v>
      </c>
      <c r="D2952" s="35" t="s">
        <v>5119</v>
      </c>
      <c r="E2952" s="35" t="s">
        <v>1197</v>
      </c>
      <c r="F2952" s="34" t="s">
        <v>5120</v>
      </c>
      <c r="G2952" s="36" t="s">
        <v>84</v>
      </c>
      <c r="H2952" s="34" t="s">
        <v>85</v>
      </c>
      <c r="I2952" s="34" t="s">
        <v>8693</v>
      </c>
      <c r="J2952" s="37">
        <v>46091.0</v>
      </c>
      <c r="K2952" s="35" t="s">
        <v>8694</v>
      </c>
      <c r="L2952" s="34">
        <v>8.0</v>
      </c>
      <c r="M2952" s="34" t="s">
        <v>8695</v>
      </c>
      <c r="N2952" s="38" t="s">
        <v>8696</v>
      </c>
      <c r="O2952" s="39" t="s">
        <v>8697</v>
      </c>
    </row>
    <row r="2953">
      <c r="A2953" s="32">
        <v>3419.0</v>
      </c>
      <c r="B2953" s="33">
        <v>46181.96694943287</v>
      </c>
      <c r="C2953" s="34" t="s">
        <v>15</v>
      </c>
      <c r="D2953" s="35" t="s">
        <v>3083</v>
      </c>
      <c r="E2953" s="35" t="s">
        <v>1049</v>
      </c>
      <c r="F2953" s="34" t="s">
        <v>3109</v>
      </c>
      <c r="G2953" s="36" t="s">
        <v>181</v>
      </c>
      <c r="H2953" s="34" t="s">
        <v>7223</v>
      </c>
      <c r="I2953" s="34" t="s">
        <v>8698</v>
      </c>
      <c r="J2953" s="37">
        <v>46094.0</v>
      </c>
      <c r="K2953" s="35" t="s">
        <v>5110</v>
      </c>
      <c r="L2953" s="34">
        <v>1.0</v>
      </c>
      <c r="M2953" s="34" t="s">
        <v>8699</v>
      </c>
      <c r="N2953" s="38" t="s">
        <v>8700</v>
      </c>
      <c r="O2953" s="39" t="s">
        <v>8701</v>
      </c>
    </row>
    <row r="2954">
      <c r="A2954" s="32">
        <v>3420.0</v>
      </c>
      <c r="B2954" s="33">
        <v>46181.974196145835</v>
      </c>
      <c r="C2954" s="34" t="s">
        <v>15</v>
      </c>
      <c r="D2954" s="35" t="s">
        <v>3036</v>
      </c>
      <c r="E2954" s="35" t="s">
        <v>569</v>
      </c>
      <c r="F2954" s="34" t="s">
        <v>3037</v>
      </c>
      <c r="G2954" s="36" t="s">
        <v>181</v>
      </c>
      <c r="H2954" s="34" t="s">
        <v>8453</v>
      </c>
      <c r="I2954" s="34" t="s">
        <v>231</v>
      </c>
      <c r="J2954" s="37">
        <v>46094.0</v>
      </c>
      <c r="K2954" s="35" t="s">
        <v>457</v>
      </c>
      <c r="L2954" s="34">
        <v>1.0</v>
      </c>
      <c r="M2954" s="34" t="s">
        <v>219</v>
      </c>
      <c r="N2954" s="38" t="s">
        <v>8702</v>
      </c>
      <c r="O2954" s="39" t="s">
        <v>8703</v>
      </c>
    </row>
    <row r="2955">
      <c r="A2955" s="32">
        <v>3421.0</v>
      </c>
      <c r="B2955" s="33">
        <v>46181.9784283912</v>
      </c>
      <c r="C2955" s="34" t="s">
        <v>15</v>
      </c>
      <c r="D2955" s="35" t="s">
        <v>3036</v>
      </c>
      <c r="E2955" s="35" t="s">
        <v>569</v>
      </c>
      <c r="F2955" s="34" t="s">
        <v>3037</v>
      </c>
      <c r="G2955" s="36" t="s">
        <v>19</v>
      </c>
      <c r="H2955" s="34" t="s">
        <v>3735</v>
      </c>
      <c r="I2955" s="34" t="s">
        <v>3736</v>
      </c>
      <c r="J2955" s="37">
        <v>46012.0</v>
      </c>
      <c r="K2955" s="35" t="s">
        <v>67</v>
      </c>
      <c r="L2955" s="34">
        <v>8.0</v>
      </c>
      <c r="M2955" s="34" t="s">
        <v>5407</v>
      </c>
      <c r="N2955" s="38" t="s">
        <v>8704</v>
      </c>
      <c r="O2955" s="39" t="s">
        <v>8705</v>
      </c>
    </row>
    <row r="2956">
      <c r="A2956" s="32">
        <v>3422.0</v>
      </c>
      <c r="B2956" s="33">
        <v>46181.980766099536</v>
      </c>
      <c r="C2956" s="34" t="s">
        <v>15</v>
      </c>
      <c r="D2956" s="35" t="s">
        <v>3036</v>
      </c>
      <c r="E2956" s="35" t="s">
        <v>569</v>
      </c>
      <c r="F2956" s="34" t="s">
        <v>3037</v>
      </c>
      <c r="G2956" s="36" t="s">
        <v>19</v>
      </c>
      <c r="H2956" s="34" t="s">
        <v>5858</v>
      </c>
      <c r="I2956" s="34" t="s">
        <v>5362</v>
      </c>
      <c r="J2956" s="37">
        <v>46121.0</v>
      </c>
      <c r="K2956" s="35" t="s">
        <v>315</v>
      </c>
      <c r="L2956" s="34">
        <v>8.0</v>
      </c>
      <c r="M2956" s="34" t="s">
        <v>244</v>
      </c>
      <c r="N2956" s="38" t="s">
        <v>8706</v>
      </c>
      <c r="O2956" s="39" t="s">
        <v>8707</v>
      </c>
    </row>
    <row r="2957">
      <c r="A2957" s="32">
        <v>3423.0</v>
      </c>
      <c r="B2957" s="33">
        <v>46181.985057673606</v>
      </c>
      <c r="C2957" s="34" t="s">
        <v>15</v>
      </c>
      <c r="D2957" s="35" t="s">
        <v>3036</v>
      </c>
      <c r="E2957" s="35" t="s">
        <v>569</v>
      </c>
      <c r="F2957" s="34" t="s">
        <v>3037</v>
      </c>
      <c r="G2957" s="36" t="s">
        <v>181</v>
      </c>
      <c r="H2957" s="34" t="s">
        <v>5432</v>
      </c>
      <c r="I2957" s="34" t="s">
        <v>231</v>
      </c>
      <c r="J2957" s="37">
        <v>46133.0</v>
      </c>
      <c r="K2957" s="35" t="s">
        <v>962</v>
      </c>
      <c r="L2957" s="34">
        <v>4.0</v>
      </c>
      <c r="M2957" s="34" t="s">
        <v>33</v>
      </c>
      <c r="N2957" s="38" t="s">
        <v>8708</v>
      </c>
      <c r="O2957" s="39" t="s">
        <v>8709</v>
      </c>
    </row>
    <row r="2958">
      <c r="A2958" s="32">
        <v>3424.0</v>
      </c>
      <c r="B2958" s="33">
        <v>46181.98672414351</v>
      </c>
      <c r="C2958" s="34" t="s">
        <v>15</v>
      </c>
      <c r="D2958" s="35" t="s">
        <v>3036</v>
      </c>
      <c r="E2958" s="35" t="s">
        <v>569</v>
      </c>
      <c r="F2958" s="34" t="s">
        <v>3037</v>
      </c>
      <c r="G2958" s="36" t="s">
        <v>181</v>
      </c>
      <c r="H2958" s="34" t="s">
        <v>5432</v>
      </c>
      <c r="I2958" s="34" t="s">
        <v>231</v>
      </c>
      <c r="J2958" s="37">
        <v>46134.0</v>
      </c>
      <c r="K2958" s="35" t="s">
        <v>962</v>
      </c>
      <c r="L2958" s="34">
        <v>4.0</v>
      </c>
      <c r="M2958" s="34" t="s">
        <v>33</v>
      </c>
      <c r="N2958" s="38" t="s">
        <v>8710</v>
      </c>
      <c r="O2958" s="39" t="s">
        <v>8711</v>
      </c>
    </row>
    <row r="2959">
      <c r="A2959" s="32">
        <v>3425.0</v>
      </c>
      <c r="B2959" s="33">
        <v>46181.9881421412</v>
      </c>
      <c r="C2959" s="34" t="s">
        <v>15</v>
      </c>
      <c r="D2959" s="35" t="s">
        <v>3036</v>
      </c>
      <c r="E2959" s="35" t="s">
        <v>569</v>
      </c>
      <c r="F2959" s="34" t="s">
        <v>3037</v>
      </c>
      <c r="G2959" s="36" t="s">
        <v>181</v>
      </c>
      <c r="H2959" s="34" t="s">
        <v>5432</v>
      </c>
      <c r="I2959" s="34" t="s">
        <v>231</v>
      </c>
      <c r="J2959" s="37">
        <v>46135.0</v>
      </c>
      <c r="K2959" s="35" t="s">
        <v>962</v>
      </c>
      <c r="L2959" s="34">
        <v>4.0</v>
      </c>
      <c r="M2959" s="34" t="s">
        <v>33</v>
      </c>
      <c r="N2959" s="38" t="s">
        <v>8712</v>
      </c>
      <c r="O2959" s="39" t="s">
        <v>8713</v>
      </c>
    </row>
    <row r="2960">
      <c r="A2960" s="32">
        <v>3426.0</v>
      </c>
      <c r="B2960" s="33">
        <v>46181.991468935186</v>
      </c>
      <c r="C2960" s="34" t="s">
        <v>15</v>
      </c>
      <c r="D2960" s="35" t="s">
        <v>3036</v>
      </c>
      <c r="E2960" s="35" t="s">
        <v>569</v>
      </c>
      <c r="F2960" s="34" t="s">
        <v>3037</v>
      </c>
      <c r="G2960" s="36" t="s">
        <v>181</v>
      </c>
      <c r="H2960" s="34" t="s">
        <v>5432</v>
      </c>
      <c r="I2960" s="34" t="s">
        <v>231</v>
      </c>
      <c r="J2960" s="37">
        <v>46138.0</v>
      </c>
      <c r="K2960" s="35" t="s">
        <v>3192</v>
      </c>
      <c r="L2960" s="34">
        <v>6.0</v>
      </c>
      <c r="M2960" s="34" t="s">
        <v>33</v>
      </c>
      <c r="N2960" s="38" t="s">
        <v>8714</v>
      </c>
      <c r="O2960" s="39" t="s">
        <v>8715</v>
      </c>
    </row>
    <row r="2961">
      <c r="A2961" s="32">
        <v>3427.0</v>
      </c>
      <c r="B2961" s="33">
        <v>46181.99318959491</v>
      </c>
      <c r="C2961" s="34" t="s">
        <v>15</v>
      </c>
      <c r="D2961" s="35" t="s">
        <v>3036</v>
      </c>
      <c r="E2961" s="35" t="s">
        <v>569</v>
      </c>
      <c r="F2961" s="34" t="s">
        <v>3037</v>
      </c>
      <c r="G2961" s="36" t="s">
        <v>181</v>
      </c>
      <c r="H2961" s="34" t="s">
        <v>5432</v>
      </c>
      <c r="I2961" s="34" t="s">
        <v>5437</v>
      </c>
      <c r="J2961" s="37">
        <v>46139.0</v>
      </c>
      <c r="K2961" s="35" t="s">
        <v>962</v>
      </c>
      <c r="L2961" s="34">
        <v>4.0</v>
      </c>
      <c r="M2961" s="34" t="s">
        <v>33</v>
      </c>
      <c r="N2961" s="38" t="s">
        <v>8716</v>
      </c>
      <c r="O2961" s="39" t="s">
        <v>8717</v>
      </c>
    </row>
    <row r="2962">
      <c r="A2962" s="32">
        <v>3428.0</v>
      </c>
      <c r="B2962" s="33">
        <v>46181.99681306713</v>
      </c>
      <c r="C2962" s="34" t="s">
        <v>15</v>
      </c>
      <c r="D2962" s="35" t="s">
        <v>3036</v>
      </c>
      <c r="E2962" s="35" t="s">
        <v>569</v>
      </c>
      <c r="F2962" s="34" t="s">
        <v>3037</v>
      </c>
      <c r="G2962" s="36" t="s">
        <v>181</v>
      </c>
      <c r="H2962" s="34" t="s">
        <v>8718</v>
      </c>
      <c r="I2962" s="34" t="s">
        <v>8719</v>
      </c>
      <c r="J2962" s="37">
        <v>46143.0</v>
      </c>
      <c r="K2962" s="35" t="s">
        <v>22</v>
      </c>
      <c r="L2962" s="34">
        <v>4.0</v>
      </c>
      <c r="M2962" s="34" t="s">
        <v>6871</v>
      </c>
      <c r="N2962" s="38" t="s">
        <v>8720</v>
      </c>
      <c r="O2962" s="39" t="s">
        <v>8721</v>
      </c>
    </row>
    <row r="2963">
      <c r="A2963" s="32">
        <v>3429.0</v>
      </c>
      <c r="B2963" s="33">
        <v>46181.99781799769</v>
      </c>
      <c r="C2963" s="34" t="s">
        <v>15</v>
      </c>
      <c r="D2963" s="35" t="s">
        <v>5080</v>
      </c>
      <c r="E2963" s="35" t="s">
        <v>214</v>
      </c>
      <c r="F2963" s="34" t="s">
        <v>5081</v>
      </c>
      <c r="G2963" s="36" t="s">
        <v>181</v>
      </c>
      <c r="H2963" s="34" t="s">
        <v>8722</v>
      </c>
      <c r="I2963" s="34" t="s">
        <v>1211</v>
      </c>
      <c r="J2963" s="37">
        <v>46147.0</v>
      </c>
      <c r="K2963" s="35" t="s">
        <v>22</v>
      </c>
      <c r="L2963" s="34">
        <v>4.0</v>
      </c>
      <c r="M2963" s="34" t="s">
        <v>6871</v>
      </c>
      <c r="N2963" s="38" t="s">
        <v>8723</v>
      </c>
      <c r="O2963" s="39" t="s">
        <v>8724</v>
      </c>
    </row>
    <row r="2964">
      <c r="A2964" s="32">
        <v>3430.0</v>
      </c>
      <c r="B2964" s="33">
        <v>46182.0020859838</v>
      </c>
      <c r="C2964" s="34" t="s">
        <v>15</v>
      </c>
      <c r="D2964" s="35" t="s">
        <v>3036</v>
      </c>
      <c r="E2964" s="35" t="s">
        <v>569</v>
      </c>
      <c r="F2964" s="34" t="s">
        <v>3037</v>
      </c>
      <c r="G2964" s="36" t="s">
        <v>181</v>
      </c>
      <c r="H2964" s="34" t="s">
        <v>8725</v>
      </c>
      <c r="I2964" s="34" t="s">
        <v>1211</v>
      </c>
      <c r="J2964" s="37">
        <v>46147.0</v>
      </c>
      <c r="K2964" s="35" t="s">
        <v>49</v>
      </c>
      <c r="L2964" s="34">
        <v>8.0</v>
      </c>
      <c r="M2964" s="34" t="s">
        <v>244</v>
      </c>
      <c r="N2964" s="38" t="s">
        <v>8726</v>
      </c>
      <c r="O2964" s="39" t="s">
        <v>8727</v>
      </c>
    </row>
    <row r="2965">
      <c r="A2965" s="32">
        <v>3431.0</v>
      </c>
      <c r="B2965" s="33">
        <v>46182.00266866898</v>
      </c>
      <c r="C2965" s="34" t="s">
        <v>15</v>
      </c>
      <c r="D2965" s="35" t="s">
        <v>5080</v>
      </c>
      <c r="E2965" s="35" t="s">
        <v>214</v>
      </c>
      <c r="F2965" s="34" t="s">
        <v>5081</v>
      </c>
      <c r="G2965" s="36" t="s">
        <v>19</v>
      </c>
      <c r="H2965" s="34" t="s">
        <v>8728</v>
      </c>
      <c r="I2965" s="34" t="s">
        <v>231</v>
      </c>
      <c r="J2965" s="37">
        <v>46147.0</v>
      </c>
      <c r="K2965" s="35" t="s">
        <v>315</v>
      </c>
      <c r="L2965" s="34">
        <v>8.0</v>
      </c>
      <c r="M2965" s="34" t="s">
        <v>5492</v>
      </c>
      <c r="N2965" s="38" t="s">
        <v>8729</v>
      </c>
      <c r="O2965" s="39" t="s">
        <v>8730</v>
      </c>
    </row>
    <row r="2966">
      <c r="A2966" s="32">
        <v>3432.0</v>
      </c>
      <c r="B2966" s="33">
        <v>46182.004718819444</v>
      </c>
      <c r="C2966" s="34" t="s">
        <v>15</v>
      </c>
      <c r="D2966" s="35" t="s">
        <v>3036</v>
      </c>
      <c r="E2966" s="35" t="s">
        <v>569</v>
      </c>
      <c r="F2966" s="34" t="s">
        <v>3037</v>
      </c>
      <c r="G2966" s="36" t="s">
        <v>181</v>
      </c>
      <c r="H2966" s="34" t="s">
        <v>8433</v>
      </c>
      <c r="I2966" s="34" t="s">
        <v>231</v>
      </c>
      <c r="J2966" s="37">
        <v>46169.0</v>
      </c>
      <c r="K2966" s="35" t="s">
        <v>1665</v>
      </c>
      <c r="L2966" s="34">
        <v>2.0</v>
      </c>
      <c r="M2966" s="34" t="s">
        <v>1559</v>
      </c>
      <c r="N2966" s="38" t="s">
        <v>8731</v>
      </c>
      <c r="O2966" s="39" t="s">
        <v>8732</v>
      </c>
    </row>
    <row r="2967">
      <c r="A2967" s="32">
        <v>3433.0</v>
      </c>
      <c r="B2967" s="33">
        <v>46182.00617112269</v>
      </c>
      <c r="C2967" s="34" t="s">
        <v>15</v>
      </c>
      <c r="D2967" s="35" t="s">
        <v>3036</v>
      </c>
      <c r="E2967" s="35" t="s">
        <v>569</v>
      </c>
      <c r="F2967" s="34" t="s">
        <v>3037</v>
      </c>
      <c r="G2967" s="36" t="s">
        <v>181</v>
      </c>
      <c r="H2967" s="34" t="s">
        <v>8433</v>
      </c>
      <c r="I2967" s="34" t="s">
        <v>231</v>
      </c>
      <c r="J2967" s="37">
        <v>46176.0</v>
      </c>
      <c r="K2967" s="35" t="s">
        <v>1241</v>
      </c>
      <c r="L2967" s="34">
        <v>2.0</v>
      </c>
      <c r="M2967" s="34" t="s">
        <v>1559</v>
      </c>
      <c r="N2967" s="38" t="s">
        <v>8733</v>
      </c>
      <c r="O2967" s="39" t="s">
        <v>8734</v>
      </c>
    </row>
    <row r="2968">
      <c r="A2968" s="32">
        <v>3434.0</v>
      </c>
      <c r="B2968" s="33">
        <v>46182.00737212963</v>
      </c>
      <c r="C2968" s="34" t="s">
        <v>15</v>
      </c>
      <c r="D2968" s="35" t="s">
        <v>5080</v>
      </c>
      <c r="E2968" s="35" t="s">
        <v>214</v>
      </c>
      <c r="F2968" s="34" t="s">
        <v>5081</v>
      </c>
      <c r="G2968" s="36" t="s">
        <v>19</v>
      </c>
      <c r="H2968" s="34" t="s">
        <v>5858</v>
      </c>
      <c r="I2968" s="34" t="s">
        <v>5362</v>
      </c>
      <c r="J2968" s="37">
        <v>46121.0</v>
      </c>
      <c r="K2968" s="35" t="s">
        <v>315</v>
      </c>
      <c r="L2968" s="34">
        <v>8.0</v>
      </c>
      <c r="M2968" s="34" t="s">
        <v>5492</v>
      </c>
      <c r="N2968" s="38" t="s">
        <v>8735</v>
      </c>
      <c r="O2968" s="39" t="s">
        <v>8736</v>
      </c>
    </row>
    <row r="2969">
      <c r="A2969" s="32">
        <v>3435.0</v>
      </c>
      <c r="B2969" s="33">
        <v>46182.00801625</v>
      </c>
      <c r="C2969" s="34" t="s">
        <v>15</v>
      </c>
      <c r="D2969" s="35" t="s">
        <v>3036</v>
      </c>
      <c r="E2969" s="35" t="s">
        <v>569</v>
      </c>
      <c r="F2969" s="34" t="s">
        <v>3037</v>
      </c>
      <c r="G2969" s="36" t="s">
        <v>181</v>
      </c>
      <c r="H2969" s="34" t="s">
        <v>8433</v>
      </c>
      <c r="I2969" s="34" t="s">
        <v>231</v>
      </c>
      <c r="J2969" s="37">
        <v>46177.0</v>
      </c>
      <c r="K2969" s="35" t="s">
        <v>1665</v>
      </c>
      <c r="L2969" s="34">
        <v>2.0</v>
      </c>
      <c r="M2969" s="34" t="s">
        <v>1559</v>
      </c>
      <c r="N2969" s="38" t="s">
        <v>8737</v>
      </c>
      <c r="O2969" s="39" t="s">
        <v>8738</v>
      </c>
    </row>
    <row r="2970">
      <c r="A2970" s="32">
        <v>3436.0</v>
      </c>
      <c r="B2970" s="33">
        <v>46182.01004869213</v>
      </c>
      <c r="C2970" s="34" t="s">
        <v>15</v>
      </c>
      <c r="D2970" s="35" t="s">
        <v>3036</v>
      </c>
      <c r="E2970" s="35" t="s">
        <v>569</v>
      </c>
      <c r="F2970" s="34" t="s">
        <v>3037</v>
      </c>
      <c r="G2970" s="36" t="s">
        <v>181</v>
      </c>
      <c r="H2970" s="34" t="s">
        <v>8433</v>
      </c>
      <c r="I2970" s="34" t="s">
        <v>231</v>
      </c>
      <c r="J2970" s="37">
        <v>46180.0</v>
      </c>
      <c r="K2970" s="35" t="s">
        <v>1665</v>
      </c>
      <c r="L2970" s="34">
        <v>2.0</v>
      </c>
      <c r="M2970" s="34" t="s">
        <v>1559</v>
      </c>
      <c r="N2970" s="38" t="s">
        <v>8739</v>
      </c>
      <c r="O2970" s="39" t="s">
        <v>8740</v>
      </c>
    </row>
    <row r="2971">
      <c r="A2971" s="32">
        <v>3437.0</v>
      </c>
      <c r="B2971" s="33">
        <v>46182.01397925926</v>
      </c>
      <c r="C2971" s="34" t="s">
        <v>15</v>
      </c>
      <c r="D2971" s="35" t="s">
        <v>3036</v>
      </c>
      <c r="E2971" s="35" t="s">
        <v>569</v>
      </c>
      <c r="F2971" s="34" t="s">
        <v>3037</v>
      </c>
      <c r="G2971" s="36" t="s">
        <v>181</v>
      </c>
      <c r="H2971" s="34" t="s">
        <v>8018</v>
      </c>
      <c r="I2971" s="34" t="s">
        <v>231</v>
      </c>
      <c r="J2971" s="37">
        <v>46177.0</v>
      </c>
      <c r="K2971" s="35" t="s">
        <v>3287</v>
      </c>
      <c r="L2971" s="34">
        <v>3.0</v>
      </c>
      <c r="M2971" s="34" t="s">
        <v>7969</v>
      </c>
      <c r="N2971" s="38" t="s">
        <v>8741</v>
      </c>
      <c r="O2971" s="39" t="s">
        <v>8742</v>
      </c>
    </row>
    <row r="2972">
      <c r="A2972" s="32">
        <v>3440.0</v>
      </c>
      <c r="B2972" s="33">
        <v>46182.02079425926</v>
      </c>
      <c r="C2972" s="34" t="s">
        <v>15</v>
      </c>
      <c r="D2972" s="35" t="s">
        <v>5080</v>
      </c>
      <c r="E2972" s="35" t="s">
        <v>214</v>
      </c>
      <c r="F2972" s="34" t="s">
        <v>5081</v>
      </c>
      <c r="G2972" s="36" t="s">
        <v>19</v>
      </c>
      <c r="H2972" s="34" t="s">
        <v>3740</v>
      </c>
      <c r="I2972" s="34" t="s">
        <v>3736</v>
      </c>
      <c r="J2972" s="37">
        <v>46004.0</v>
      </c>
      <c r="K2972" s="35" t="s">
        <v>2925</v>
      </c>
      <c r="L2972" s="34">
        <v>8.0</v>
      </c>
      <c r="M2972" s="34" t="s">
        <v>8664</v>
      </c>
      <c r="N2972" s="38" t="s">
        <v>8743</v>
      </c>
      <c r="O2972" s="39" t="s">
        <v>8744</v>
      </c>
    </row>
    <row r="2973">
      <c r="A2973" s="32">
        <v>3441.0</v>
      </c>
      <c r="B2973" s="33">
        <v>46182.02205003472</v>
      </c>
      <c r="C2973" s="34" t="s">
        <v>15</v>
      </c>
      <c r="D2973" s="35" t="s">
        <v>5080</v>
      </c>
      <c r="E2973" s="35" t="s">
        <v>214</v>
      </c>
      <c r="F2973" s="34" t="s">
        <v>5081</v>
      </c>
      <c r="G2973" s="36" t="s">
        <v>181</v>
      </c>
      <c r="H2973" s="34" t="s">
        <v>8745</v>
      </c>
      <c r="I2973" s="34" t="s">
        <v>231</v>
      </c>
      <c r="J2973" s="37">
        <v>46177.0</v>
      </c>
      <c r="K2973" s="35" t="s">
        <v>1665</v>
      </c>
      <c r="L2973" s="34">
        <v>3.0</v>
      </c>
      <c r="M2973" s="34" t="s">
        <v>7969</v>
      </c>
      <c r="N2973" s="38" t="s">
        <v>8746</v>
      </c>
      <c r="O2973" s="39" t="s">
        <v>8747</v>
      </c>
    </row>
    <row r="2974">
      <c r="A2974" s="32">
        <v>3442.0</v>
      </c>
      <c r="B2974" s="33">
        <v>46182.25649024306</v>
      </c>
      <c r="C2974" s="34" t="s">
        <v>15</v>
      </c>
      <c r="D2974" s="35" t="s">
        <v>4611</v>
      </c>
      <c r="E2974" s="35" t="s">
        <v>1185</v>
      </c>
      <c r="F2974" s="34" t="s">
        <v>4612</v>
      </c>
      <c r="G2974" s="36" t="s">
        <v>181</v>
      </c>
      <c r="H2974" s="34" t="s">
        <v>5432</v>
      </c>
      <c r="I2974" s="34" t="s">
        <v>231</v>
      </c>
      <c r="J2974" s="37">
        <v>46133.0</v>
      </c>
      <c r="K2974" s="35" t="s">
        <v>962</v>
      </c>
      <c r="L2974" s="34">
        <v>4.0</v>
      </c>
      <c r="M2974" s="34" t="s">
        <v>33</v>
      </c>
      <c r="N2974" s="38" t="s">
        <v>8748</v>
      </c>
      <c r="O2974" s="39" t="s">
        <v>8749</v>
      </c>
    </row>
    <row r="2975">
      <c r="A2975" s="32">
        <v>3445.0</v>
      </c>
      <c r="B2975" s="33">
        <v>46182.26096728009</v>
      </c>
      <c r="C2975" s="34" t="s">
        <v>15</v>
      </c>
      <c r="D2975" s="35" t="s">
        <v>4611</v>
      </c>
      <c r="E2975" s="35" t="s">
        <v>1185</v>
      </c>
      <c r="F2975" s="34" t="s">
        <v>4612</v>
      </c>
      <c r="G2975" s="36" t="s">
        <v>181</v>
      </c>
      <c r="H2975" s="34" t="s">
        <v>5432</v>
      </c>
      <c r="I2975" s="34" t="s">
        <v>231</v>
      </c>
      <c r="J2975" s="37">
        <v>46138.0</v>
      </c>
      <c r="K2975" s="35" t="s">
        <v>3192</v>
      </c>
      <c r="L2975" s="34">
        <v>6.0</v>
      </c>
      <c r="M2975" s="34" t="s">
        <v>33</v>
      </c>
      <c r="N2975" s="38" t="s">
        <v>8750</v>
      </c>
      <c r="O2975" s="39" t="s">
        <v>8751</v>
      </c>
    </row>
    <row r="2976">
      <c r="A2976" s="32">
        <v>3446.0</v>
      </c>
      <c r="B2976" s="33">
        <v>46182.26278232639</v>
      </c>
      <c r="C2976" s="34" t="s">
        <v>15</v>
      </c>
      <c r="D2976" s="35" t="s">
        <v>4611</v>
      </c>
      <c r="E2976" s="35" t="s">
        <v>1185</v>
      </c>
      <c r="F2976" s="34" t="s">
        <v>4612</v>
      </c>
      <c r="G2976" s="36" t="s">
        <v>181</v>
      </c>
      <c r="H2976" s="34" t="s">
        <v>5432</v>
      </c>
      <c r="I2976" s="34" t="s">
        <v>231</v>
      </c>
      <c r="J2976" s="37">
        <v>46134.0</v>
      </c>
      <c r="K2976" s="35" t="s">
        <v>962</v>
      </c>
      <c r="L2976" s="34">
        <v>4.0</v>
      </c>
      <c r="M2976" s="34" t="s">
        <v>33</v>
      </c>
      <c r="N2976" s="38" t="s">
        <v>8752</v>
      </c>
      <c r="O2976" s="39" t="s">
        <v>8753</v>
      </c>
    </row>
    <row r="2977">
      <c r="A2977" s="32">
        <v>3447.0</v>
      </c>
      <c r="B2977" s="33">
        <v>46182.26414267361</v>
      </c>
      <c r="C2977" s="34" t="s">
        <v>15</v>
      </c>
      <c r="D2977" s="35" t="s">
        <v>4611</v>
      </c>
      <c r="E2977" s="35" t="s">
        <v>1185</v>
      </c>
      <c r="F2977" s="34" t="s">
        <v>4612</v>
      </c>
      <c r="G2977" s="36" t="s">
        <v>181</v>
      </c>
      <c r="H2977" s="34" t="s">
        <v>5432</v>
      </c>
      <c r="I2977" s="34" t="s">
        <v>231</v>
      </c>
      <c r="J2977" s="37">
        <v>46135.0</v>
      </c>
      <c r="K2977" s="35" t="s">
        <v>962</v>
      </c>
      <c r="L2977" s="34">
        <v>4.0</v>
      </c>
      <c r="M2977" s="34" t="s">
        <v>33</v>
      </c>
      <c r="N2977" s="38" t="s">
        <v>8754</v>
      </c>
      <c r="O2977" s="39" t="s">
        <v>8755</v>
      </c>
    </row>
    <row r="2978">
      <c r="A2978" s="32">
        <v>3448.0</v>
      </c>
      <c r="B2978" s="33">
        <v>46182.26769621528</v>
      </c>
      <c r="C2978" s="34" t="s">
        <v>15</v>
      </c>
      <c r="D2978" s="35" t="s">
        <v>4611</v>
      </c>
      <c r="E2978" s="35" t="s">
        <v>1185</v>
      </c>
      <c r="F2978" s="34" t="s">
        <v>8756</v>
      </c>
      <c r="G2978" s="36" t="s">
        <v>181</v>
      </c>
      <c r="H2978" s="34" t="s">
        <v>5432</v>
      </c>
      <c r="I2978" s="34" t="s">
        <v>5509</v>
      </c>
      <c r="J2978" s="37">
        <v>46139.0</v>
      </c>
      <c r="K2978" s="35" t="s">
        <v>962</v>
      </c>
      <c r="L2978" s="34">
        <v>4.0</v>
      </c>
      <c r="M2978" s="34" t="s">
        <v>33</v>
      </c>
      <c r="N2978" s="38" t="s">
        <v>8757</v>
      </c>
      <c r="O2978" s="39" t="s">
        <v>8758</v>
      </c>
    </row>
    <row r="2979">
      <c r="A2979" s="32">
        <v>3449.0</v>
      </c>
      <c r="B2979" s="33">
        <v>46182.30556487269</v>
      </c>
      <c r="C2979" s="34" t="s">
        <v>15</v>
      </c>
      <c r="D2979" s="35" t="s">
        <v>3753</v>
      </c>
      <c r="E2979" s="35" t="s">
        <v>817</v>
      </c>
      <c r="F2979" s="34" t="s">
        <v>3754</v>
      </c>
      <c r="G2979" s="36" t="s">
        <v>181</v>
      </c>
      <c r="H2979" s="34" t="s">
        <v>8759</v>
      </c>
      <c r="I2979" s="34" t="s">
        <v>231</v>
      </c>
      <c r="J2979" s="37">
        <v>46177.0</v>
      </c>
      <c r="K2979" s="35" t="s">
        <v>3287</v>
      </c>
      <c r="L2979" s="34">
        <v>3.0</v>
      </c>
      <c r="M2979" s="34" t="s">
        <v>7969</v>
      </c>
      <c r="N2979" s="38" t="s">
        <v>8760</v>
      </c>
      <c r="O2979" s="39" t="s">
        <v>8761</v>
      </c>
    </row>
    <row r="2980">
      <c r="A2980" s="32">
        <v>3450.0</v>
      </c>
      <c r="B2980" s="33">
        <v>46182.34853122685</v>
      </c>
      <c r="C2980" s="34" t="s">
        <v>26</v>
      </c>
      <c r="D2980" s="35" t="s">
        <v>1304</v>
      </c>
      <c r="E2980" s="35" t="s">
        <v>134</v>
      </c>
      <c r="F2980" s="34" t="s">
        <v>1305</v>
      </c>
      <c r="G2980" s="36" t="s">
        <v>19</v>
      </c>
      <c r="H2980" s="34" t="s">
        <v>8762</v>
      </c>
      <c r="I2980" s="34" t="s">
        <v>2029</v>
      </c>
      <c r="J2980" s="37">
        <v>46078.0</v>
      </c>
      <c r="K2980" s="35" t="s">
        <v>2179</v>
      </c>
      <c r="L2980" s="34">
        <v>8.0</v>
      </c>
      <c r="M2980" s="34" t="s">
        <v>2391</v>
      </c>
      <c r="N2980" s="38" t="s">
        <v>8763</v>
      </c>
      <c r="O2980" s="39" t="s">
        <v>8764</v>
      </c>
    </row>
    <row r="2981">
      <c r="A2981" s="32">
        <v>3451.0</v>
      </c>
      <c r="B2981" s="33">
        <v>46182.34963768518</v>
      </c>
      <c r="C2981" s="34" t="s">
        <v>26</v>
      </c>
      <c r="D2981" s="35" t="s">
        <v>874</v>
      </c>
      <c r="E2981" s="35" t="s">
        <v>171</v>
      </c>
      <c r="F2981" s="34" t="s">
        <v>875</v>
      </c>
      <c r="G2981" s="36" t="s">
        <v>181</v>
      </c>
      <c r="H2981" s="34" t="s">
        <v>7965</v>
      </c>
      <c r="I2981" s="34" t="s">
        <v>231</v>
      </c>
      <c r="J2981" s="37">
        <v>46177.0</v>
      </c>
      <c r="K2981" s="35" t="s">
        <v>7966</v>
      </c>
      <c r="L2981" s="34">
        <v>3.0</v>
      </c>
      <c r="M2981" s="34" t="s">
        <v>695</v>
      </c>
      <c r="N2981" s="38" t="s">
        <v>8765</v>
      </c>
      <c r="O2981" s="39" t="s">
        <v>8766</v>
      </c>
    </row>
    <row r="2982">
      <c r="A2982" s="32">
        <v>3452.0</v>
      </c>
      <c r="B2982" s="33">
        <v>46182.36520366898</v>
      </c>
      <c r="C2982" s="34" t="s">
        <v>26</v>
      </c>
      <c r="D2982" s="35" t="s">
        <v>1304</v>
      </c>
      <c r="E2982" s="35" t="s">
        <v>134</v>
      </c>
      <c r="F2982" s="34" t="s">
        <v>1305</v>
      </c>
      <c r="G2982" s="36" t="s">
        <v>181</v>
      </c>
      <c r="H2982" s="34" t="s">
        <v>6022</v>
      </c>
      <c r="I2982" s="34" t="s">
        <v>6026</v>
      </c>
      <c r="J2982" s="37">
        <v>46147.0</v>
      </c>
      <c r="K2982" s="35" t="s">
        <v>3287</v>
      </c>
      <c r="L2982" s="34">
        <v>3.0</v>
      </c>
      <c r="M2982" s="34" t="s">
        <v>1325</v>
      </c>
      <c r="N2982" s="38" t="s">
        <v>8767</v>
      </c>
      <c r="O2982" s="39" t="s">
        <v>8768</v>
      </c>
    </row>
    <row r="2983">
      <c r="A2983" s="32">
        <v>3454.0</v>
      </c>
      <c r="B2983" s="33">
        <v>46182.36705410879</v>
      </c>
      <c r="C2983" s="34" t="s">
        <v>26</v>
      </c>
      <c r="D2983" s="35" t="s">
        <v>1304</v>
      </c>
      <c r="E2983" s="35" t="s">
        <v>134</v>
      </c>
      <c r="F2983" s="34" t="s">
        <v>1305</v>
      </c>
      <c r="G2983" s="36" t="s">
        <v>181</v>
      </c>
      <c r="H2983" s="34" t="s">
        <v>8433</v>
      </c>
      <c r="I2983" s="34" t="s">
        <v>1211</v>
      </c>
      <c r="J2983" s="37">
        <v>46176.0</v>
      </c>
      <c r="K2983" s="35" t="s">
        <v>1458</v>
      </c>
      <c r="L2983" s="34">
        <v>1.0</v>
      </c>
      <c r="M2983" s="34" t="s">
        <v>6816</v>
      </c>
      <c r="N2983" s="38" t="s">
        <v>8769</v>
      </c>
      <c r="O2983" s="39" t="s">
        <v>8770</v>
      </c>
    </row>
    <row r="2984">
      <c r="A2984" s="32">
        <v>3455.0</v>
      </c>
      <c r="B2984" s="33">
        <v>46182.36877097222</v>
      </c>
      <c r="C2984" s="34" t="s">
        <v>26</v>
      </c>
      <c r="D2984" s="35" t="s">
        <v>1304</v>
      </c>
      <c r="E2984" s="35" t="s">
        <v>134</v>
      </c>
      <c r="F2984" s="34" t="s">
        <v>1305</v>
      </c>
      <c r="G2984" s="36" t="s">
        <v>181</v>
      </c>
      <c r="H2984" s="34" t="s">
        <v>8433</v>
      </c>
      <c r="I2984" s="34" t="s">
        <v>1211</v>
      </c>
      <c r="J2984" s="37">
        <v>46177.0</v>
      </c>
      <c r="K2984" s="35" t="s">
        <v>1458</v>
      </c>
      <c r="L2984" s="34">
        <v>1.0</v>
      </c>
      <c r="M2984" s="34" t="s">
        <v>6816</v>
      </c>
      <c r="N2984" s="38" t="s">
        <v>8771</v>
      </c>
      <c r="O2984" s="39" t="s">
        <v>8772</v>
      </c>
    </row>
    <row r="2985">
      <c r="A2985" s="32">
        <v>3456.0</v>
      </c>
      <c r="B2985" s="33">
        <v>46182.370337291664</v>
      </c>
      <c r="C2985" s="34" t="s">
        <v>26</v>
      </c>
      <c r="D2985" s="35" t="s">
        <v>4654</v>
      </c>
      <c r="E2985" s="35" t="s">
        <v>142</v>
      </c>
      <c r="F2985" s="34" t="s">
        <v>4655</v>
      </c>
      <c r="G2985" s="36" t="s">
        <v>415</v>
      </c>
      <c r="H2985" s="34" t="s">
        <v>5653</v>
      </c>
      <c r="I2985" s="34" t="s">
        <v>2029</v>
      </c>
      <c r="J2985" s="37">
        <v>46078.0</v>
      </c>
      <c r="K2985" s="35" t="s">
        <v>2179</v>
      </c>
      <c r="L2985" s="34">
        <v>8.0</v>
      </c>
      <c r="M2985" s="34" t="s">
        <v>87</v>
      </c>
      <c r="N2985" s="38" t="s">
        <v>8773</v>
      </c>
      <c r="O2985" s="39" t="s">
        <v>8774</v>
      </c>
    </row>
    <row r="2986">
      <c r="A2986" s="32">
        <v>3457.0</v>
      </c>
      <c r="B2986" s="33">
        <v>46182.37097101852</v>
      </c>
      <c r="C2986" s="34" t="s">
        <v>26</v>
      </c>
      <c r="D2986" s="35" t="s">
        <v>1304</v>
      </c>
      <c r="E2986" s="35" t="s">
        <v>134</v>
      </c>
      <c r="F2986" s="34" t="s">
        <v>1305</v>
      </c>
      <c r="G2986" s="36" t="s">
        <v>181</v>
      </c>
      <c r="H2986" s="34" t="s">
        <v>8433</v>
      </c>
      <c r="I2986" s="34" t="s">
        <v>8775</v>
      </c>
      <c r="J2986" s="37">
        <v>46178.0</v>
      </c>
      <c r="K2986" s="35" t="s">
        <v>2053</v>
      </c>
      <c r="L2986" s="34">
        <v>1.0</v>
      </c>
      <c r="M2986" s="34" t="s">
        <v>6816</v>
      </c>
      <c r="N2986" s="38" t="s">
        <v>8776</v>
      </c>
      <c r="O2986" s="39" t="s">
        <v>8777</v>
      </c>
    </row>
    <row r="2987">
      <c r="A2987" s="32">
        <v>3458.0</v>
      </c>
      <c r="B2987" s="33">
        <v>46182.3719104051</v>
      </c>
      <c r="C2987" s="34" t="s">
        <v>26</v>
      </c>
      <c r="D2987" s="35" t="s">
        <v>913</v>
      </c>
      <c r="E2987" s="35" t="s">
        <v>679</v>
      </c>
      <c r="F2987" s="34" t="s">
        <v>914</v>
      </c>
      <c r="G2987" s="36" t="s">
        <v>181</v>
      </c>
      <c r="H2987" s="34" t="s">
        <v>6043</v>
      </c>
      <c r="I2987" s="34" t="s">
        <v>6026</v>
      </c>
      <c r="J2987" s="37">
        <v>46147.0</v>
      </c>
      <c r="K2987" s="35" t="s">
        <v>3287</v>
      </c>
      <c r="L2987" s="34">
        <v>3.0</v>
      </c>
      <c r="M2987" s="34" t="s">
        <v>1325</v>
      </c>
      <c r="N2987" s="38" t="s">
        <v>8778</v>
      </c>
      <c r="O2987" s="39" t="s">
        <v>8779</v>
      </c>
    </row>
    <row r="2988">
      <c r="A2988" s="32">
        <v>3459.0</v>
      </c>
      <c r="B2988" s="33">
        <v>46182.37604122685</v>
      </c>
      <c r="C2988" s="34" t="s">
        <v>26</v>
      </c>
      <c r="D2988" s="35" t="s">
        <v>1304</v>
      </c>
      <c r="E2988" s="35" t="s">
        <v>134</v>
      </c>
      <c r="F2988" s="34" t="s">
        <v>1305</v>
      </c>
      <c r="G2988" s="36" t="s">
        <v>181</v>
      </c>
      <c r="H2988" s="34" t="s">
        <v>8433</v>
      </c>
      <c r="I2988" s="34" t="s">
        <v>1211</v>
      </c>
      <c r="J2988" s="37">
        <v>46180.0</v>
      </c>
      <c r="K2988" s="35" t="s">
        <v>3117</v>
      </c>
      <c r="L2988" s="34">
        <v>1.0</v>
      </c>
      <c r="M2988" s="34" t="s">
        <v>6816</v>
      </c>
      <c r="N2988" s="38" t="s">
        <v>8780</v>
      </c>
      <c r="O2988" s="39" t="s">
        <v>8781</v>
      </c>
    </row>
    <row r="2989">
      <c r="A2989" s="32">
        <v>3460.0</v>
      </c>
      <c r="B2989" s="33">
        <v>46182.3775804051</v>
      </c>
      <c r="C2989" s="34" t="s">
        <v>26</v>
      </c>
      <c r="D2989" s="35" t="s">
        <v>1304</v>
      </c>
      <c r="E2989" s="35" t="s">
        <v>134</v>
      </c>
      <c r="F2989" s="34" t="s">
        <v>1305</v>
      </c>
      <c r="G2989" s="36" t="s">
        <v>181</v>
      </c>
      <c r="H2989" s="34" t="s">
        <v>8782</v>
      </c>
      <c r="I2989" s="34" t="s">
        <v>1211</v>
      </c>
      <c r="J2989" s="37">
        <v>46177.0</v>
      </c>
      <c r="K2989" s="35" t="s">
        <v>7966</v>
      </c>
      <c r="L2989" s="34">
        <v>3.0</v>
      </c>
      <c r="M2989" s="34" t="s">
        <v>7969</v>
      </c>
      <c r="N2989" s="38" t="s">
        <v>8783</v>
      </c>
      <c r="O2989" s="39" t="s">
        <v>8784</v>
      </c>
    </row>
    <row r="2990">
      <c r="A2990" s="32">
        <v>3461.0</v>
      </c>
      <c r="B2990" s="33">
        <v>46182.38472631945</v>
      </c>
      <c r="C2990" s="34" t="s">
        <v>26</v>
      </c>
      <c r="D2990" s="35" t="s">
        <v>1304</v>
      </c>
      <c r="E2990" s="35" t="s">
        <v>164</v>
      </c>
      <c r="F2990" s="34" t="s">
        <v>1305</v>
      </c>
      <c r="G2990" s="36" t="s">
        <v>181</v>
      </c>
      <c r="H2990" s="34" t="s">
        <v>8785</v>
      </c>
      <c r="I2990" s="34" t="s">
        <v>1211</v>
      </c>
      <c r="J2990" s="37">
        <v>46113.0</v>
      </c>
      <c r="K2990" s="35" t="s">
        <v>518</v>
      </c>
      <c r="L2990" s="34">
        <v>2.0</v>
      </c>
      <c r="M2990" s="34" t="s">
        <v>1651</v>
      </c>
      <c r="N2990" s="38" t="s">
        <v>8786</v>
      </c>
      <c r="O2990" s="39" t="s">
        <v>8787</v>
      </c>
    </row>
    <row r="2991">
      <c r="A2991" s="32">
        <v>3462.0</v>
      </c>
      <c r="B2991" s="33">
        <v>46182.38477658565</v>
      </c>
      <c r="C2991" s="34" t="s">
        <v>26</v>
      </c>
      <c r="D2991" s="35" t="s">
        <v>874</v>
      </c>
      <c r="E2991" s="35" t="s">
        <v>171</v>
      </c>
      <c r="F2991" s="34" t="s">
        <v>875</v>
      </c>
      <c r="G2991" s="36" t="s">
        <v>181</v>
      </c>
      <c r="H2991" s="34" t="s">
        <v>8785</v>
      </c>
      <c r="I2991" s="34" t="s">
        <v>231</v>
      </c>
      <c r="J2991" s="37">
        <v>46114.0</v>
      </c>
      <c r="K2991" s="35" t="s">
        <v>518</v>
      </c>
      <c r="L2991" s="34">
        <v>2.0</v>
      </c>
      <c r="M2991" s="34" t="s">
        <v>1064</v>
      </c>
      <c r="N2991" s="38" t="s">
        <v>8788</v>
      </c>
      <c r="O2991" s="39" t="s">
        <v>8789</v>
      </c>
    </row>
    <row r="2992">
      <c r="A2992" s="32">
        <v>3463.0</v>
      </c>
      <c r="B2992" s="33">
        <v>46182.38624807871</v>
      </c>
      <c r="C2992" s="34" t="s">
        <v>26</v>
      </c>
      <c r="D2992" s="35" t="s">
        <v>874</v>
      </c>
      <c r="E2992" s="35" t="s">
        <v>171</v>
      </c>
      <c r="F2992" s="34" t="s">
        <v>875</v>
      </c>
      <c r="G2992" s="36" t="s">
        <v>181</v>
      </c>
      <c r="H2992" s="34" t="s">
        <v>8785</v>
      </c>
      <c r="I2992" s="34" t="s">
        <v>231</v>
      </c>
      <c r="J2992" s="37">
        <v>46120.0</v>
      </c>
      <c r="K2992" s="35" t="s">
        <v>518</v>
      </c>
      <c r="L2992" s="34">
        <v>2.0</v>
      </c>
      <c r="M2992" s="34" t="s">
        <v>1064</v>
      </c>
      <c r="N2992" s="38" t="s">
        <v>8790</v>
      </c>
      <c r="O2992" s="39" t="s">
        <v>8791</v>
      </c>
    </row>
    <row r="2993">
      <c r="A2993" s="32">
        <v>3464.0</v>
      </c>
      <c r="B2993" s="33">
        <v>46182.3863083912</v>
      </c>
      <c r="C2993" s="34" t="s">
        <v>26</v>
      </c>
      <c r="D2993" s="35" t="s">
        <v>1304</v>
      </c>
      <c r="E2993" s="35" t="s">
        <v>134</v>
      </c>
      <c r="F2993" s="34" t="s">
        <v>1305</v>
      </c>
      <c r="G2993" s="36" t="s">
        <v>181</v>
      </c>
      <c r="H2993" s="34" t="s">
        <v>8785</v>
      </c>
      <c r="I2993" s="34" t="s">
        <v>1211</v>
      </c>
      <c r="J2993" s="37">
        <v>46114.0</v>
      </c>
      <c r="K2993" s="35" t="s">
        <v>518</v>
      </c>
      <c r="L2993" s="34">
        <v>2.0</v>
      </c>
      <c r="M2993" s="34" t="s">
        <v>1651</v>
      </c>
      <c r="N2993" s="38" t="s">
        <v>8792</v>
      </c>
      <c r="O2993" s="39" t="s">
        <v>8793</v>
      </c>
    </row>
    <row r="2994">
      <c r="A2994" s="32">
        <v>3465.0</v>
      </c>
      <c r="B2994" s="33">
        <v>46182.38771018518</v>
      </c>
      <c r="C2994" s="34" t="s">
        <v>26</v>
      </c>
      <c r="D2994" s="35" t="s">
        <v>1304</v>
      </c>
      <c r="E2994" s="35" t="s">
        <v>134</v>
      </c>
      <c r="F2994" s="34" t="s">
        <v>1305</v>
      </c>
      <c r="G2994" s="36" t="s">
        <v>181</v>
      </c>
      <c r="H2994" s="34" t="s">
        <v>8785</v>
      </c>
      <c r="I2994" s="34" t="s">
        <v>1211</v>
      </c>
      <c r="J2994" s="37">
        <v>46115.0</v>
      </c>
      <c r="K2994" s="35" t="s">
        <v>518</v>
      </c>
      <c r="L2994" s="34">
        <v>2.0</v>
      </c>
      <c r="M2994" s="34" t="s">
        <v>1651</v>
      </c>
      <c r="N2994" s="38" t="s">
        <v>8794</v>
      </c>
      <c r="O2994" s="39" t="s">
        <v>8795</v>
      </c>
    </row>
    <row r="2995">
      <c r="A2995" s="32">
        <v>3466.0</v>
      </c>
      <c r="B2995" s="33">
        <v>46182.393036249996</v>
      </c>
      <c r="C2995" s="34" t="s">
        <v>26</v>
      </c>
      <c r="D2995" s="35" t="s">
        <v>874</v>
      </c>
      <c r="E2995" s="35" t="s">
        <v>171</v>
      </c>
      <c r="F2995" s="34" t="s">
        <v>875</v>
      </c>
      <c r="G2995" s="36" t="s">
        <v>181</v>
      </c>
      <c r="H2995" s="34" t="s">
        <v>8785</v>
      </c>
      <c r="I2995" s="34" t="s">
        <v>231</v>
      </c>
      <c r="J2995" s="37">
        <v>46113.0</v>
      </c>
      <c r="K2995" s="35" t="s">
        <v>518</v>
      </c>
      <c r="L2995" s="34">
        <v>2.0</v>
      </c>
      <c r="M2995" s="34" t="s">
        <v>1064</v>
      </c>
      <c r="N2995" s="38" t="s">
        <v>8796</v>
      </c>
      <c r="O2995" s="39" t="s">
        <v>8797</v>
      </c>
    </row>
    <row r="2996">
      <c r="A2996" s="32">
        <v>3469.0</v>
      </c>
      <c r="B2996" s="33">
        <v>46182.40068298611</v>
      </c>
      <c r="C2996" s="34" t="s">
        <v>26</v>
      </c>
      <c r="D2996" s="35" t="s">
        <v>913</v>
      </c>
      <c r="E2996" s="35" t="s">
        <v>679</v>
      </c>
      <c r="F2996" s="34" t="s">
        <v>914</v>
      </c>
      <c r="G2996" s="36" t="s">
        <v>181</v>
      </c>
      <c r="H2996" s="34" t="s">
        <v>7965</v>
      </c>
      <c r="I2996" s="34" t="s">
        <v>231</v>
      </c>
      <c r="J2996" s="37">
        <v>46177.0</v>
      </c>
      <c r="K2996" s="35" t="s">
        <v>7966</v>
      </c>
      <c r="L2996" s="34">
        <v>3.0</v>
      </c>
      <c r="M2996" s="34" t="s">
        <v>8268</v>
      </c>
      <c r="N2996" s="38" t="s">
        <v>8798</v>
      </c>
      <c r="O2996" s="39" t="s">
        <v>8799</v>
      </c>
    </row>
    <row r="2997">
      <c r="A2997" s="32">
        <v>3470.0</v>
      </c>
      <c r="B2997" s="33">
        <v>46182.41170895833</v>
      </c>
      <c r="C2997" s="34" t="s">
        <v>26</v>
      </c>
      <c r="D2997" s="35" t="s">
        <v>913</v>
      </c>
      <c r="E2997" s="35" t="s">
        <v>679</v>
      </c>
      <c r="F2997" s="34" t="s">
        <v>914</v>
      </c>
      <c r="G2997" s="36" t="s">
        <v>19</v>
      </c>
      <c r="H2997" s="34" t="s">
        <v>5653</v>
      </c>
      <c r="I2997" s="34" t="s">
        <v>5834</v>
      </c>
      <c r="J2997" s="37">
        <v>46078.0</v>
      </c>
      <c r="K2997" s="35" t="s">
        <v>2179</v>
      </c>
      <c r="L2997" s="34">
        <v>8.0</v>
      </c>
      <c r="M2997" s="34" t="s">
        <v>87</v>
      </c>
      <c r="N2997" s="38" t="s">
        <v>8800</v>
      </c>
      <c r="O2997" s="39" t="s">
        <v>8801</v>
      </c>
    </row>
    <row r="2998">
      <c r="A2998" s="32">
        <v>3471.0</v>
      </c>
      <c r="B2998" s="33">
        <v>46182.47029657407</v>
      </c>
      <c r="C2998" s="34" t="s">
        <v>26</v>
      </c>
      <c r="D2998" s="35" t="s">
        <v>1304</v>
      </c>
      <c r="E2998" s="35" t="s">
        <v>134</v>
      </c>
      <c r="F2998" s="34" t="s">
        <v>1305</v>
      </c>
      <c r="G2998" s="36" t="s">
        <v>209</v>
      </c>
      <c r="H2998" s="34" t="s">
        <v>730</v>
      </c>
      <c r="I2998" s="34" t="s">
        <v>8802</v>
      </c>
      <c r="J2998" s="37">
        <v>46109.0</v>
      </c>
      <c r="K2998" s="35" t="s">
        <v>418</v>
      </c>
      <c r="L2998" s="34">
        <v>1.0</v>
      </c>
      <c r="M2998" s="34" t="s">
        <v>8803</v>
      </c>
      <c r="N2998" s="38" t="s">
        <v>8804</v>
      </c>
      <c r="O2998" s="39" t="s">
        <v>8805</v>
      </c>
    </row>
    <row r="2999">
      <c r="A2999" s="32">
        <v>3474.0</v>
      </c>
      <c r="B2999" s="33">
        <v>46182.55701880787</v>
      </c>
      <c r="C2999" s="34" t="s">
        <v>26</v>
      </c>
      <c r="D2999" s="35" t="s">
        <v>950</v>
      </c>
      <c r="E2999" s="35" t="s">
        <v>951</v>
      </c>
      <c r="F2999" s="34" t="s">
        <v>952</v>
      </c>
      <c r="G2999" s="36" t="s">
        <v>19</v>
      </c>
      <c r="H2999" s="34" t="s">
        <v>8806</v>
      </c>
      <c r="I2999" s="34" t="s">
        <v>8807</v>
      </c>
      <c r="J2999" s="37">
        <v>46182.0</v>
      </c>
      <c r="K2999" s="35" t="s">
        <v>8808</v>
      </c>
      <c r="L2999" s="34">
        <v>2.0</v>
      </c>
      <c r="M2999" s="34" t="s">
        <v>860</v>
      </c>
      <c r="N2999" s="38" t="s">
        <v>8809</v>
      </c>
      <c r="O2999" s="39" t="s">
        <v>8810</v>
      </c>
    </row>
    <row r="3000">
      <c r="A3000" s="32">
        <v>3475.0</v>
      </c>
      <c r="B3000" s="33">
        <v>46182.56784013889</v>
      </c>
      <c r="C3000" s="34" t="s">
        <v>26</v>
      </c>
      <c r="D3000" s="35" t="s">
        <v>1230</v>
      </c>
      <c r="E3000" s="35" t="s">
        <v>91</v>
      </c>
      <c r="F3000" s="34" t="s">
        <v>1231</v>
      </c>
      <c r="G3000" s="36" t="s">
        <v>181</v>
      </c>
      <c r="H3000" s="34" t="s">
        <v>8283</v>
      </c>
      <c r="I3000" s="34" t="s">
        <v>231</v>
      </c>
      <c r="J3000" s="37">
        <v>46178.0</v>
      </c>
      <c r="K3000" s="35" t="s">
        <v>8284</v>
      </c>
      <c r="L3000" s="34">
        <v>6.0</v>
      </c>
      <c r="M3000" s="34" t="s">
        <v>860</v>
      </c>
      <c r="N3000" s="38" t="s">
        <v>8811</v>
      </c>
      <c r="O3000" s="39" t="s">
        <v>8812</v>
      </c>
    </row>
    <row r="3001">
      <c r="A3001" s="32">
        <v>3476.0</v>
      </c>
      <c r="B3001" s="33">
        <v>46182.582918217595</v>
      </c>
      <c r="C3001" s="34" t="s">
        <v>26</v>
      </c>
      <c r="D3001" s="35" t="s">
        <v>2337</v>
      </c>
      <c r="E3001" s="35" t="s">
        <v>2338</v>
      </c>
      <c r="F3001" s="34" t="s">
        <v>2339</v>
      </c>
      <c r="G3001" s="36" t="s">
        <v>19</v>
      </c>
      <c r="H3001" s="34" t="s">
        <v>5653</v>
      </c>
      <c r="I3001" s="34" t="s">
        <v>2029</v>
      </c>
      <c r="J3001" s="37">
        <v>46078.0</v>
      </c>
      <c r="K3001" s="35" t="s">
        <v>2179</v>
      </c>
      <c r="L3001" s="34">
        <v>8.0</v>
      </c>
      <c r="M3001" s="34" t="s">
        <v>5550</v>
      </c>
      <c r="N3001" s="38" t="s">
        <v>8813</v>
      </c>
      <c r="O3001" s="39" t="s">
        <v>8814</v>
      </c>
    </row>
    <row r="3002">
      <c r="A3002" s="32">
        <v>3477.0</v>
      </c>
      <c r="B3002" s="33">
        <v>46182.587169907405</v>
      </c>
      <c r="C3002" s="34" t="s">
        <v>26</v>
      </c>
      <c r="D3002" s="35" t="s">
        <v>2337</v>
      </c>
      <c r="E3002" s="35" t="s">
        <v>2338</v>
      </c>
      <c r="F3002" s="34" t="s">
        <v>2339</v>
      </c>
      <c r="G3002" s="36" t="s">
        <v>181</v>
      </c>
      <c r="H3002" s="34" t="s">
        <v>5432</v>
      </c>
      <c r="I3002" s="34" t="s">
        <v>231</v>
      </c>
      <c r="J3002" s="37">
        <v>46133.0</v>
      </c>
      <c r="K3002" s="35" t="s">
        <v>962</v>
      </c>
      <c r="L3002" s="34">
        <v>4.0</v>
      </c>
      <c r="M3002" s="34" t="s">
        <v>33</v>
      </c>
      <c r="N3002" s="38" t="s">
        <v>8815</v>
      </c>
      <c r="O3002" s="39" t="s">
        <v>8816</v>
      </c>
    </row>
    <row r="3003">
      <c r="A3003" s="32">
        <v>3478.0</v>
      </c>
      <c r="B3003" s="33">
        <v>46182.590617939815</v>
      </c>
      <c r="C3003" s="34" t="s">
        <v>26</v>
      </c>
      <c r="D3003" s="35" t="s">
        <v>2337</v>
      </c>
      <c r="E3003" s="35" t="s">
        <v>2338</v>
      </c>
      <c r="F3003" s="34" t="s">
        <v>2339</v>
      </c>
      <c r="G3003" s="36" t="s">
        <v>181</v>
      </c>
      <c r="H3003" s="34" t="s">
        <v>5432</v>
      </c>
      <c r="I3003" s="34" t="s">
        <v>231</v>
      </c>
      <c r="J3003" s="37">
        <v>46138.0</v>
      </c>
      <c r="K3003" s="35" t="s">
        <v>3192</v>
      </c>
      <c r="L3003" s="34">
        <v>6.0</v>
      </c>
      <c r="M3003" s="34" t="s">
        <v>33</v>
      </c>
      <c r="N3003" s="38" t="s">
        <v>8817</v>
      </c>
      <c r="O3003" s="39" t="s">
        <v>8818</v>
      </c>
    </row>
    <row r="3004">
      <c r="A3004" s="32">
        <v>3479.0</v>
      </c>
      <c r="B3004" s="33">
        <v>46182.65907358796</v>
      </c>
      <c r="C3004" s="34" t="s">
        <v>15</v>
      </c>
      <c r="D3004" s="35" t="s">
        <v>880</v>
      </c>
      <c r="E3004" s="35" t="s">
        <v>881</v>
      </c>
      <c r="F3004" s="34" t="s">
        <v>882</v>
      </c>
      <c r="G3004" s="36" t="s">
        <v>84</v>
      </c>
      <c r="H3004" s="34" t="s">
        <v>85</v>
      </c>
      <c r="I3004" s="34" t="s">
        <v>3375</v>
      </c>
      <c r="J3004" s="37">
        <v>46113.0</v>
      </c>
      <c r="K3004" s="35" t="s">
        <v>1421</v>
      </c>
      <c r="L3004" s="34">
        <v>8.0</v>
      </c>
      <c r="M3004" s="34" t="s">
        <v>33</v>
      </c>
      <c r="N3004" s="38" t="s">
        <v>8819</v>
      </c>
      <c r="O3004" s="39" t="s">
        <v>8820</v>
      </c>
    </row>
    <row r="3005">
      <c r="A3005" s="32">
        <v>3480.0</v>
      </c>
      <c r="B3005" s="33">
        <v>46182.663004699076</v>
      </c>
      <c r="C3005" s="34" t="s">
        <v>15</v>
      </c>
      <c r="D3005" s="35" t="s">
        <v>880</v>
      </c>
      <c r="E3005" s="35" t="s">
        <v>881</v>
      </c>
      <c r="F3005" s="34" t="s">
        <v>882</v>
      </c>
      <c r="G3005" s="36" t="s">
        <v>181</v>
      </c>
      <c r="H3005" s="34" t="s">
        <v>8821</v>
      </c>
      <c r="I3005" s="34" t="s">
        <v>231</v>
      </c>
      <c r="J3005" s="37">
        <v>46177.0</v>
      </c>
      <c r="K3005" s="35" t="s">
        <v>753</v>
      </c>
      <c r="L3005" s="34">
        <v>3.0</v>
      </c>
      <c r="M3005" s="34" t="s">
        <v>7969</v>
      </c>
      <c r="N3005" s="38" t="s">
        <v>8822</v>
      </c>
      <c r="O3005" s="39" t="s">
        <v>8823</v>
      </c>
    </row>
    <row r="3006">
      <c r="A3006" s="32">
        <v>3481.0</v>
      </c>
      <c r="B3006" s="33">
        <v>46182.845747060186</v>
      </c>
      <c r="C3006" s="34" t="s">
        <v>26</v>
      </c>
      <c r="D3006" s="35" t="s">
        <v>2202</v>
      </c>
      <c r="E3006" s="35" t="s">
        <v>574</v>
      </c>
      <c r="F3006" s="34" t="s">
        <v>2203</v>
      </c>
      <c r="G3006" s="36" t="s">
        <v>181</v>
      </c>
      <c r="H3006" s="34" t="s">
        <v>7965</v>
      </c>
      <c r="I3006" s="34" t="s">
        <v>231</v>
      </c>
      <c r="J3006" s="37">
        <v>46177.0</v>
      </c>
      <c r="K3006" s="35" t="s">
        <v>7966</v>
      </c>
      <c r="L3006" s="34">
        <v>3.0</v>
      </c>
      <c r="M3006" s="34" t="s">
        <v>695</v>
      </c>
      <c r="N3006" s="38" t="s">
        <v>8824</v>
      </c>
      <c r="O3006" s="39" t="s">
        <v>8825</v>
      </c>
    </row>
    <row r="3007">
      <c r="A3007" s="32">
        <v>3482.0</v>
      </c>
      <c r="B3007" s="33">
        <v>46182.8464266088</v>
      </c>
      <c r="C3007" s="34" t="s">
        <v>15</v>
      </c>
      <c r="D3007" s="35" t="s">
        <v>4611</v>
      </c>
      <c r="E3007" s="35" t="s">
        <v>1185</v>
      </c>
      <c r="F3007" s="34" t="s">
        <v>4612</v>
      </c>
      <c r="G3007" s="36" t="s">
        <v>181</v>
      </c>
      <c r="H3007" s="34" t="s">
        <v>8826</v>
      </c>
      <c r="I3007" s="34" t="s">
        <v>231</v>
      </c>
      <c r="J3007" s="37">
        <v>46177.0</v>
      </c>
      <c r="K3007" s="35" t="s">
        <v>6790</v>
      </c>
      <c r="L3007" s="34">
        <v>3.0</v>
      </c>
      <c r="M3007" s="34" t="s">
        <v>7969</v>
      </c>
      <c r="N3007" s="38" t="s">
        <v>8827</v>
      </c>
      <c r="O3007" s="39" t="s">
        <v>8828</v>
      </c>
    </row>
    <row r="3008">
      <c r="A3008" s="32">
        <v>3483.0</v>
      </c>
      <c r="B3008" s="33">
        <v>46182.84764692129</v>
      </c>
      <c r="C3008" s="34" t="s">
        <v>26</v>
      </c>
      <c r="D3008" s="35" t="s">
        <v>918</v>
      </c>
      <c r="E3008" s="35" t="s">
        <v>919</v>
      </c>
      <c r="F3008" s="34" t="s">
        <v>920</v>
      </c>
      <c r="G3008" s="36" t="s">
        <v>181</v>
      </c>
      <c r="H3008" s="34" t="s">
        <v>5432</v>
      </c>
      <c r="I3008" s="34" t="s">
        <v>5437</v>
      </c>
      <c r="J3008" s="37">
        <v>46139.0</v>
      </c>
      <c r="K3008" s="35" t="s">
        <v>962</v>
      </c>
      <c r="L3008" s="34">
        <v>4.0</v>
      </c>
      <c r="M3008" s="34" t="s">
        <v>33</v>
      </c>
      <c r="N3008" s="38" t="s">
        <v>8829</v>
      </c>
      <c r="O3008" s="39" t="s">
        <v>8830</v>
      </c>
    </row>
    <row r="3009">
      <c r="A3009" s="32">
        <v>3484.0</v>
      </c>
      <c r="B3009" s="33">
        <v>46182.85096228009</v>
      </c>
      <c r="C3009" s="34" t="s">
        <v>15</v>
      </c>
      <c r="D3009" s="35" t="s">
        <v>3753</v>
      </c>
      <c r="E3009" s="35" t="s">
        <v>817</v>
      </c>
      <c r="F3009" s="34" t="s">
        <v>3754</v>
      </c>
      <c r="G3009" s="36" t="s">
        <v>19</v>
      </c>
      <c r="H3009" s="34" t="s">
        <v>5361</v>
      </c>
      <c r="I3009" s="34" t="s">
        <v>5769</v>
      </c>
      <c r="J3009" s="37">
        <v>46121.0</v>
      </c>
      <c r="K3009" s="35" t="s">
        <v>49</v>
      </c>
      <c r="L3009" s="34">
        <v>8.0</v>
      </c>
      <c r="M3009" s="34" t="s">
        <v>5363</v>
      </c>
      <c r="N3009" s="38" t="s">
        <v>8831</v>
      </c>
      <c r="O3009" s="39" t="s">
        <v>8832</v>
      </c>
    </row>
    <row r="3010">
      <c r="A3010" s="32">
        <v>3485.0</v>
      </c>
      <c r="B3010" s="33">
        <v>46182.851468877314</v>
      </c>
      <c r="C3010" s="34" t="s">
        <v>15</v>
      </c>
      <c r="D3010" s="35" t="s">
        <v>3381</v>
      </c>
      <c r="E3010" s="35" t="s">
        <v>1827</v>
      </c>
      <c r="F3010" s="34" t="s">
        <v>3382</v>
      </c>
      <c r="G3010" s="36" t="s">
        <v>181</v>
      </c>
      <c r="H3010" s="34" t="s">
        <v>8833</v>
      </c>
      <c r="I3010" s="34" t="s">
        <v>3375</v>
      </c>
      <c r="J3010" s="37">
        <v>46105.0</v>
      </c>
      <c r="K3010" s="35" t="s">
        <v>8834</v>
      </c>
      <c r="L3010" s="34">
        <v>8.0</v>
      </c>
      <c r="M3010" s="34" t="s">
        <v>8835</v>
      </c>
      <c r="N3010" s="38" t="s">
        <v>8836</v>
      </c>
      <c r="O3010" s="39" t="s">
        <v>8837</v>
      </c>
    </row>
    <row r="3011">
      <c r="A3011" s="32">
        <v>3487.0</v>
      </c>
      <c r="B3011" s="33">
        <v>46182.85744770833</v>
      </c>
      <c r="C3011" s="34" t="s">
        <v>15</v>
      </c>
      <c r="D3011" s="35" t="s">
        <v>3083</v>
      </c>
      <c r="E3011" s="35" t="s">
        <v>1049</v>
      </c>
      <c r="F3011" s="34" t="s">
        <v>3109</v>
      </c>
      <c r="G3011" s="36" t="s">
        <v>19</v>
      </c>
      <c r="H3011" s="34" t="s">
        <v>8838</v>
      </c>
      <c r="I3011" s="34" t="s">
        <v>5590</v>
      </c>
      <c r="J3011" s="37">
        <v>46060.0</v>
      </c>
      <c r="K3011" s="35" t="s">
        <v>49</v>
      </c>
      <c r="L3011" s="34">
        <v>8.0</v>
      </c>
      <c r="M3011" s="34" t="s">
        <v>87</v>
      </c>
      <c r="N3011" s="38" t="s">
        <v>8839</v>
      </c>
      <c r="O3011" s="39" t="s">
        <v>8840</v>
      </c>
    </row>
    <row r="3012">
      <c r="A3012" s="32">
        <v>3488.0</v>
      </c>
      <c r="B3012" s="33">
        <v>46182.86004722222</v>
      </c>
      <c r="C3012" s="34" t="s">
        <v>15</v>
      </c>
      <c r="D3012" s="35" t="s">
        <v>3753</v>
      </c>
      <c r="E3012" s="35" t="s">
        <v>817</v>
      </c>
      <c r="F3012" s="34" t="s">
        <v>3754</v>
      </c>
      <c r="G3012" s="36" t="s">
        <v>181</v>
      </c>
      <c r="H3012" s="34" t="s">
        <v>8841</v>
      </c>
      <c r="I3012" s="34" t="s">
        <v>231</v>
      </c>
      <c r="J3012" s="37">
        <v>46147.0</v>
      </c>
      <c r="K3012" s="35" t="s">
        <v>49</v>
      </c>
      <c r="L3012" s="34">
        <v>8.0</v>
      </c>
      <c r="M3012" s="34" t="s">
        <v>5380</v>
      </c>
      <c r="N3012" s="38" t="s">
        <v>8842</v>
      </c>
      <c r="O3012" s="39" t="s">
        <v>8843</v>
      </c>
    </row>
    <row r="3013">
      <c r="A3013" s="32">
        <v>3489.0</v>
      </c>
      <c r="B3013" s="33">
        <v>46182.8626159375</v>
      </c>
      <c r="C3013" s="34" t="s">
        <v>15</v>
      </c>
      <c r="D3013" s="35" t="s">
        <v>3753</v>
      </c>
      <c r="E3013" s="35" t="s">
        <v>817</v>
      </c>
      <c r="F3013" s="34" t="s">
        <v>3754</v>
      </c>
      <c r="G3013" s="36" t="s">
        <v>181</v>
      </c>
      <c r="H3013" s="34" t="s">
        <v>5366</v>
      </c>
      <c r="I3013" s="34" t="s">
        <v>231</v>
      </c>
      <c r="J3013" s="37">
        <v>46129.0</v>
      </c>
      <c r="K3013" s="35" t="s">
        <v>22</v>
      </c>
      <c r="L3013" s="34">
        <v>4.0</v>
      </c>
      <c r="M3013" s="34" t="s">
        <v>23</v>
      </c>
      <c r="N3013" s="38" t="s">
        <v>8844</v>
      </c>
      <c r="O3013" s="39" t="s">
        <v>8845</v>
      </c>
    </row>
    <row r="3014">
      <c r="A3014" s="32">
        <v>3490.0</v>
      </c>
      <c r="B3014" s="33">
        <v>46182.86539202546</v>
      </c>
      <c r="C3014" s="34" t="s">
        <v>15</v>
      </c>
      <c r="D3014" s="35" t="s">
        <v>5125</v>
      </c>
      <c r="E3014" s="35" t="s">
        <v>762</v>
      </c>
      <c r="F3014" s="34" t="s">
        <v>5126</v>
      </c>
      <c r="G3014" s="36" t="s">
        <v>181</v>
      </c>
      <c r="H3014" s="34" t="s">
        <v>8466</v>
      </c>
      <c r="I3014" s="34" t="s">
        <v>231</v>
      </c>
      <c r="J3014" s="37">
        <v>46135.0</v>
      </c>
      <c r="K3014" s="35" t="s">
        <v>962</v>
      </c>
      <c r="L3014" s="34">
        <v>4.0</v>
      </c>
      <c r="M3014" s="34" t="s">
        <v>33</v>
      </c>
      <c r="N3014" s="38" t="s">
        <v>8846</v>
      </c>
      <c r="O3014" s="39" t="s">
        <v>8847</v>
      </c>
    </row>
    <row r="3015">
      <c r="A3015" s="32">
        <v>3492.0</v>
      </c>
      <c r="B3015" s="33">
        <v>46182.86780202546</v>
      </c>
      <c r="C3015" s="34" t="s">
        <v>15</v>
      </c>
      <c r="D3015" s="35" t="s">
        <v>5125</v>
      </c>
      <c r="E3015" s="35" t="s">
        <v>762</v>
      </c>
      <c r="F3015" s="34" t="s">
        <v>5126</v>
      </c>
      <c r="G3015" s="36" t="s">
        <v>181</v>
      </c>
      <c r="H3015" s="34" t="s">
        <v>8466</v>
      </c>
      <c r="I3015" s="34" t="s">
        <v>231</v>
      </c>
      <c r="J3015" s="37">
        <v>46138.0</v>
      </c>
      <c r="K3015" s="35" t="s">
        <v>3192</v>
      </c>
      <c r="L3015" s="34">
        <v>6.0</v>
      </c>
      <c r="M3015" s="34" t="s">
        <v>33</v>
      </c>
      <c r="N3015" s="38" t="s">
        <v>8848</v>
      </c>
      <c r="O3015" s="39" t="s">
        <v>8849</v>
      </c>
    </row>
    <row r="3016">
      <c r="A3016" s="32">
        <v>3494.0</v>
      </c>
      <c r="B3016" s="33">
        <v>46182.86992736111</v>
      </c>
      <c r="C3016" s="34" t="s">
        <v>15</v>
      </c>
      <c r="D3016" s="35" t="s">
        <v>5125</v>
      </c>
      <c r="E3016" s="35" t="s">
        <v>762</v>
      </c>
      <c r="F3016" s="34" t="s">
        <v>5126</v>
      </c>
      <c r="G3016" s="36" t="s">
        <v>181</v>
      </c>
      <c r="H3016" s="34" t="s">
        <v>8466</v>
      </c>
      <c r="I3016" s="34" t="s">
        <v>5509</v>
      </c>
      <c r="J3016" s="37">
        <v>46139.0</v>
      </c>
      <c r="K3016" s="35" t="s">
        <v>962</v>
      </c>
      <c r="L3016" s="34">
        <v>4.0</v>
      </c>
      <c r="M3016" s="34" t="s">
        <v>33</v>
      </c>
      <c r="N3016" s="38" t="s">
        <v>8850</v>
      </c>
      <c r="O3016" s="39" t="s">
        <v>8851</v>
      </c>
    </row>
    <row r="3017">
      <c r="A3017" s="32">
        <v>3495.0</v>
      </c>
      <c r="B3017" s="33">
        <v>46182.87107907407</v>
      </c>
      <c r="C3017" s="34" t="s">
        <v>26</v>
      </c>
      <c r="D3017" s="35" t="s">
        <v>5151</v>
      </c>
      <c r="E3017" s="35" t="s">
        <v>1116</v>
      </c>
      <c r="F3017" s="34" t="s">
        <v>5152</v>
      </c>
      <c r="G3017" s="36" t="s">
        <v>84</v>
      </c>
      <c r="H3017" s="34" t="s">
        <v>455</v>
      </c>
      <c r="I3017" s="34" t="s">
        <v>1192</v>
      </c>
      <c r="J3017" s="37">
        <v>46117.0</v>
      </c>
      <c r="K3017" s="35" t="s">
        <v>4944</v>
      </c>
      <c r="L3017" s="34">
        <v>8.0</v>
      </c>
      <c r="M3017" s="34" t="s">
        <v>33</v>
      </c>
      <c r="N3017" s="38" t="s">
        <v>8852</v>
      </c>
      <c r="O3017" s="39" t="s">
        <v>8853</v>
      </c>
    </row>
    <row r="3018">
      <c r="A3018" s="32">
        <v>3496.0</v>
      </c>
      <c r="B3018" s="33">
        <v>46182.871924085644</v>
      </c>
      <c r="C3018" s="34" t="s">
        <v>15</v>
      </c>
      <c r="D3018" s="35" t="s">
        <v>3753</v>
      </c>
      <c r="E3018" s="35" t="s">
        <v>817</v>
      </c>
      <c r="F3018" s="34" t="s">
        <v>3754</v>
      </c>
      <c r="G3018" s="36" t="s">
        <v>181</v>
      </c>
      <c r="H3018" s="34" t="s">
        <v>8854</v>
      </c>
      <c r="I3018" s="34" t="s">
        <v>231</v>
      </c>
      <c r="J3018" s="37">
        <v>46029.0</v>
      </c>
      <c r="K3018" s="35" t="s">
        <v>685</v>
      </c>
      <c r="L3018" s="34">
        <v>5.0</v>
      </c>
      <c r="M3018" s="34" t="s">
        <v>219</v>
      </c>
      <c r="N3018" s="38" t="s">
        <v>8855</v>
      </c>
      <c r="O3018" s="39" t="s">
        <v>8856</v>
      </c>
    </row>
    <row r="3019">
      <c r="A3019" s="32">
        <v>3497.0</v>
      </c>
      <c r="B3019" s="33">
        <v>46182.87562537037</v>
      </c>
      <c r="C3019" s="34" t="s">
        <v>26</v>
      </c>
      <c r="D3019" s="35" t="s">
        <v>1586</v>
      </c>
      <c r="E3019" s="35" t="s">
        <v>17</v>
      </c>
      <c r="F3019" s="34" t="s">
        <v>1587</v>
      </c>
      <c r="G3019" s="36" t="s">
        <v>19</v>
      </c>
      <c r="H3019" s="34" t="s">
        <v>8857</v>
      </c>
      <c r="I3019" s="34" t="s">
        <v>8858</v>
      </c>
      <c r="J3019" s="37">
        <v>46182.0</v>
      </c>
      <c r="K3019" s="35" t="s">
        <v>283</v>
      </c>
      <c r="L3019" s="34">
        <v>2.0</v>
      </c>
      <c r="M3019" s="34" t="s">
        <v>458</v>
      </c>
      <c r="N3019" s="38" t="s">
        <v>8859</v>
      </c>
      <c r="O3019" s="39" t="s">
        <v>8860</v>
      </c>
    </row>
    <row r="3020">
      <c r="A3020" s="32">
        <v>3498.0</v>
      </c>
      <c r="B3020" s="33">
        <v>46182.876439224536</v>
      </c>
      <c r="C3020" s="34" t="s">
        <v>15</v>
      </c>
      <c r="D3020" s="35" t="s">
        <v>3753</v>
      </c>
      <c r="E3020" s="35" t="s">
        <v>817</v>
      </c>
      <c r="F3020" s="34" t="s">
        <v>3754</v>
      </c>
      <c r="G3020" s="36" t="s">
        <v>181</v>
      </c>
      <c r="H3020" s="34" t="s">
        <v>8861</v>
      </c>
      <c r="I3020" s="34" t="s">
        <v>231</v>
      </c>
      <c r="J3020" s="37">
        <v>46133.0</v>
      </c>
      <c r="K3020" s="35" t="s">
        <v>962</v>
      </c>
      <c r="L3020" s="34">
        <v>4.0</v>
      </c>
      <c r="M3020" s="34" t="s">
        <v>33</v>
      </c>
      <c r="N3020" s="38" t="s">
        <v>8862</v>
      </c>
      <c r="O3020" s="39" t="s">
        <v>8863</v>
      </c>
    </row>
    <row r="3021">
      <c r="A3021" s="32">
        <v>3499.0</v>
      </c>
      <c r="B3021" s="33">
        <v>46182.876839143515</v>
      </c>
      <c r="C3021" s="34" t="s">
        <v>26</v>
      </c>
      <c r="D3021" s="35" t="s">
        <v>1720</v>
      </c>
      <c r="E3021" s="35" t="s">
        <v>179</v>
      </c>
      <c r="F3021" s="34" t="s">
        <v>1721</v>
      </c>
      <c r="G3021" s="36" t="s">
        <v>19</v>
      </c>
      <c r="H3021" s="34" t="s">
        <v>5334</v>
      </c>
      <c r="I3021" s="34" t="s">
        <v>5657</v>
      </c>
      <c r="J3021" s="37">
        <v>46027.0</v>
      </c>
      <c r="K3021" s="35" t="s">
        <v>2328</v>
      </c>
      <c r="L3021" s="34">
        <v>8.0</v>
      </c>
      <c r="M3021" s="34" t="s">
        <v>87</v>
      </c>
      <c r="N3021" s="38" t="s">
        <v>8864</v>
      </c>
      <c r="O3021" s="39" t="s">
        <v>8865</v>
      </c>
    </row>
    <row r="3022">
      <c r="A3022" s="32">
        <v>3500.0</v>
      </c>
      <c r="B3022" s="33">
        <v>46182.87704935185</v>
      </c>
      <c r="C3022" s="34" t="s">
        <v>26</v>
      </c>
      <c r="D3022" s="35" t="s">
        <v>950</v>
      </c>
      <c r="E3022" s="35" t="s">
        <v>951</v>
      </c>
      <c r="F3022" s="34" t="s">
        <v>952</v>
      </c>
      <c r="G3022" s="36" t="s">
        <v>181</v>
      </c>
      <c r="H3022" s="34" t="s">
        <v>8283</v>
      </c>
      <c r="I3022" s="34" t="s">
        <v>231</v>
      </c>
      <c r="J3022" s="37">
        <v>46178.0</v>
      </c>
      <c r="K3022" s="35" t="s">
        <v>8284</v>
      </c>
      <c r="L3022" s="34">
        <v>6.0</v>
      </c>
      <c r="M3022" s="34" t="s">
        <v>860</v>
      </c>
      <c r="N3022" s="38" t="s">
        <v>8866</v>
      </c>
      <c r="O3022" s="39" t="s">
        <v>8867</v>
      </c>
    </row>
    <row r="3023">
      <c r="A3023" s="32">
        <v>3501.0</v>
      </c>
      <c r="B3023" s="33">
        <v>46182.88004581019</v>
      </c>
      <c r="C3023" s="34" t="s">
        <v>15</v>
      </c>
      <c r="D3023" s="35" t="s">
        <v>3753</v>
      </c>
      <c r="E3023" s="35" t="s">
        <v>817</v>
      </c>
      <c r="F3023" s="34" t="s">
        <v>3754</v>
      </c>
      <c r="G3023" s="36" t="s">
        <v>181</v>
      </c>
      <c r="H3023" s="34" t="s">
        <v>8868</v>
      </c>
      <c r="I3023" s="34" t="s">
        <v>231</v>
      </c>
      <c r="J3023" s="37">
        <v>46134.0</v>
      </c>
      <c r="K3023" s="35" t="s">
        <v>962</v>
      </c>
      <c r="L3023" s="34">
        <v>4.0</v>
      </c>
      <c r="M3023" s="34" t="s">
        <v>33</v>
      </c>
      <c r="N3023" s="38" t="s">
        <v>8869</v>
      </c>
      <c r="O3023" s="39" t="s">
        <v>8870</v>
      </c>
    </row>
    <row r="3024">
      <c r="A3024" s="32">
        <v>3502.0</v>
      </c>
      <c r="B3024" s="33">
        <v>46182.88070391204</v>
      </c>
      <c r="C3024" s="34" t="s">
        <v>26</v>
      </c>
      <c r="D3024" s="35" t="s">
        <v>1720</v>
      </c>
      <c r="E3024" s="35" t="s">
        <v>179</v>
      </c>
      <c r="F3024" s="34" t="s">
        <v>1721</v>
      </c>
      <c r="G3024" s="36" t="s">
        <v>19</v>
      </c>
      <c r="H3024" s="34" t="s">
        <v>5410</v>
      </c>
      <c r="I3024" s="34" t="s">
        <v>8871</v>
      </c>
      <c r="J3024" s="37">
        <v>46136.0</v>
      </c>
      <c r="K3024" s="35" t="s">
        <v>5412</v>
      </c>
      <c r="L3024" s="34">
        <v>8.0</v>
      </c>
      <c r="M3024" s="34" t="s">
        <v>87</v>
      </c>
      <c r="N3024" s="38" t="s">
        <v>8872</v>
      </c>
      <c r="O3024" s="39" t="s">
        <v>8873</v>
      </c>
    </row>
    <row r="3025">
      <c r="A3025" s="32">
        <v>3503.0</v>
      </c>
      <c r="B3025" s="33">
        <v>46182.881160868055</v>
      </c>
      <c r="C3025" s="34" t="s">
        <v>15</v>
      </c>
      <c r="D3025" s="35" t="s">
        <v>3753</v>
      </c>
      <c r="E3025" s="35" t="s">
        <v>817</v>
      </c>
      <c r="F3025" s="34" t="s">
        <v>3754</v>
      </c>
      <c r="G3025" s="36" t="s">
        <v>181</v>
      </c>
      <c r="H3025" s="34" t="s">
        <v>8868</v>
      </c>
      <c r="I3025" s="34" t="s">
        <v>231</v>
      </c>
      <c r="J3025" s="37">
        <v>46135.0</v>
      </c>
      <c r="K3025" s="35" t="s">
        <v>962</v>
      </c>
      <c r="L3025" s="34">
        <v>4.0</v>
      </c>
      <c r="M3025" s="34" t="s">
        <v>33</v>
      </c>
      <c r="N3025" s="38" t="s">
        <v>8874</v>
      </c>
      <c r="O3025" s="39" t="s">
        <v>8875</v>
      </c>
    </row>
    <row r="3026">
      <c r="A3026" s="32">
        <v>3504.0</v>
      </c>
      <c r="B3026" s="33">
        <v>46182.88172800926</v>
      </c>
      <c r="C3026" s="34" t="s">
        <v>15</v>
      </c>
      <c r="D3026" s="35" t="s">
        <v>3006</v>
      </c>
      <c r="E3026" s="35" t="s">
        <v>228</v>
      </c>
      <c r="F3026" s="34" t="s">
        <v>3007</v>
      </c>
      <c r="G3026" s="36" t="s">
        <v>19</v>
      </c>
      <c r="H3026" s="34" t="s">
        <v>8876</v>
      </c>
      <c r="I3026" s="34" t="s">
        <v>3736</v>
      </c>
      <c r="J3026" s="37">
        <v>46011.0</v>
      </c>
      <c r="K3026" s="35" t="s">
        <v>2179</v>
      </c>
      <c r="L3026" s="34">
        <v>8.0</v>
      </c>
      <c r="M3026" s="34" t="s">
        <v>5407</v>
      </c>
      <c r="N3026" s="38" t="s">
        <v>8877</v>
      </c>
      <c r="O3026" s="39" t="s">
        <v>8878</v>
      </c>
    </row>
    <row r="3027">
      <c r="A3027" s="32">
        <v>3505.0</v>
      </c>
      <c r="B3027" s="33">
        <v>46182.88234252315</v>
      </c>
      <c r="C3027" s="34" t="s">
        <v>15</v>
      </c>
      <c r="D3027" s="35" t="s">
        <v>3753</v>
      </c>
      <c r="E3027" s="35" t="s">
        <v>817</v>
      </c>
      <c r="F3027" s="34" t="s">
        <v>3754</v>
      </c>
      <c r="G3027" s="36" t="s">
        <v>181</v>
      </c>
      <c r="H3027" s="34" t="s">
        <v>8868</v>
      </c>
      <c r="I3027" s="34" t="s">
        <v>231</v>
      </c>
      <c r="J3027" s="37">
        <v>46138.0</v>
      </c>
      <c r="K3027" s="35" t="s">
        <v>3192</v>
      </c>
      <c r="L3027" s="34">
        <v>6.0</v>
      </c>
      <c r="M3027" s="34" t="s">
        <v>33</v>
      </c>
      <c r="N3027" s="38" t="s">
        <v>8879</v>
      </c>
      <c r="O3027" s="40"/>
    </row>
    <row r="3028">
      <c r="A3028" s="32">
        <v>3506.0</v>
      </c>
      <c r="B3028" s="33">
        <v>46182.8825006713</v>
      </c>
      <c r="C3028" s="34" t="s">
        <v>26</v>
      </c>
      <c r="D3028" s="35" t="s">
        <v>1720</v>
      </c>
      <c r="E3028" s="35" t="s">
        <v>179</v>
      </c>
      <c r="F3028" s="34" t="s">
        <v>1721</v>
      </c>
      <c r="G3028" s="36" t="s">
        <v>19</v>
      </c>
      <c r="H3028" s="34" t="s">
        <v>5410</v>
      </c>
      <c r="I3028" s="34" t="s">
        <v>8871</v>
      </c>
      <c r="J3028" s="37">
        <v>46137.0</v>
      </c>
      <c r="K3028" s="35" t="s">
        <v>49</v>
      </c>
      <c r="L3028" s="34">
        <v>8.0</v>
      </c>
      <c r="M3028" s="34" t="s">
        <v>87</v>
      </c>
      <c r="N3028" s="38" t="s">
        <v>8880</v>
      </c>
      <c r="O3028" s="39" t="s">
        <v>8881</v>
      </c>
    </row>
    <row r="3029">
      <c r="A3029" s="32">
        <v>3507.0</v>
      </c>
      <c r="B3029" s="33">
        <v>46182.88345969908</v>
      </c>
      <c r="C3029" s="34" t="s">
        <v>15</v>
      </c>
      <c r="D3029" s="35" t="s">
        <v>5151</v>
      </c>
      <c r="E3029" s="35" t="s">
        <v>1116</v>
      </c>
      <c r="F3029" s="34" t="s">
        <v>5152</v>
      </c>
      <c r="G3029" s="36" t="s">
        <v>1426</v>
      </c>
      <c r="H3029" s="34" t="s">
        <v>8679</v>
      </c>
      <c r="I3029" s="34" t="s">
        <v>231</v>
      </c>
      <c r="J3029" s="37">
        <v>46180.0</v>
      </c>
      <c r="K3029" s="35" t="s">
        <v>8882</v>
      </c>
      <c r="L3029" s="34">
        <v>2.0</v>
      </c>
      <c r="M3029" s="34" t="s">
        <v>1559</v>
      </c>
      <c r="N3029" s="38" t="s">
        <v>8883</v>
      </c>
      <c r="O3029" s="39" t="s">
        <v>8884</v>
      </c>
    </row>
    <row r="3030">
      <c r="A3030" s="32">
        <v>3508.0</v>
      </c>
      <c r="B3030" s="33">
        <v>46182.88368262732</v>
      </c>
      <c r="C3030" s="34" t="s">
        <v>15</v>
      </c>
      <c r="D3030" s="35" t="s">
        <v>3753</v>
      </c>
      <c r="E3030" s="35" t="s">
        <v>817</v>
      </c>
      <c r="F3030" s="34" t="s">
        <v>3754</v>
      </c>
      <c r="G3030" s="36" t="s">
        <v>181</v>
      </c>
      <c r="H3030" s="34" t="s">
        <v>8868</v>
      </c>
      <c r="I3030" s="34" t="s">
        <v>5969</v>
      </c>
      <c r="J3030" s="37">
        <v>46139.0</v>
      </c>
      <c r="K3030" s="35" t="s">
        <v>962</v>
      </c>
      <c r="L3030" s="34">
        <v>4.0</v>
      </c>
      <c r="M3030" s="34" t="s">
        <v>33</v>
      </c>
      <c r="N3030" s="38" t="s">
        <v>8885</v>
      </c>
      <c r="O3030" s="39" t="s">
        <v>8886</v>
      </c>
    </row>
    <row r="3031">
      <c r="A3031" s="32">
        <v>3509.0</v>
      </c>
      <c r="B3031" s="33">
        <v>46182.88427753472</v>
      </c>
      <c r="C3031" s="34" t="s">
        <v>26</v>
      </c>
      <c r="D3031" s="35" t="s">
        <v>1720</v>
      </c>
      <c r="E3031" s="35" t="s">
        <v>179</v>
      </c>
      <c r="F3031" s="34" t="s">
        <v>1721</v>
      </c>
      <c r="G3031" s="36" t="s">
        <v>19</v>
      </c>
      <c r="H3031" s="34" t="s">
        <v>5410</v>
      </c>
      <c r="I3031" s="34" t="s">
        <v>8871</v>
      </c>
      <c r="J3031" s="37">
        <v>46138.0</v>
      </c>
      <c r="K3031" s="35" t="s">
        <v>49</v>
      </c>
      <c r="L3031" s="34">
        <v>8.0</v>
      </c>
      <c r="M3031" s="34" t="s">
        <v>87</v>
      </c>
      <c r="N3031" s="38" t="s">
        <v>8887</v>
      </c>
      <c r="O3031" s="39" t="s">
        <v>8888</v>
      </c>
    </row>
    <row r="3032">
      <c r="A3032" s="32">
        <v>3510.0</v>
      </c>
      <c r="B3032" s="33">
        <v>46182.88623322917</v>
      </c>
      <c r="C3032" s="34" t="s">
        <v>15</v>
      </c>
      <c r="D3032" s="35" t="s">
        <v>3006</v>
      </c>
      <c r="E3032" s="35" t="s">
        <v>228</v>
      </c>
      <c r="F3032" s="34" t="s">
        <v>3007</v>
      </c>
      <c r="G3032" s="36" t="s">
        <v>181</v>
      </c>
      <c r="H3032" s="34" t="s">
        <v>8889</v>
      </c>
      <c r="I3032" s="34" t="s">
        <v>231</v>
      </c>
      <c r="J3032" s="37">
        <v>46177.0</v>
      </c>
      <c r="K3032" s="35" t="s">
        <v>732</v>
      </c>
      <c r="L3032" s="34">
        <v>3.0</v>
      </c>
      <c r="M3032" s="34" t="s">
        <v>7969</v>
      </c>
      <c r="N3032" s="38" t="s">
        <v>8890</v>
      </c>
      <c r="O3032" s="39" t="s">
        <v>8891</v>
      </c>
    </row>
    <row r="3033">
      <c r="A3033" s="32">
        <v>3511.0</v>
      </c>
      <c r="B3033" s="33">
        <v>46182.89070974537</v>
      </c>
      <c r="C3033" s="34" t="s">
        <v>15</v>
      </c>
      <c r="D3033" s="35" t="s">
        <v>3006</v>
      </c>
      <c r="E3033" s="35" t="s">
        <v>228</v>
      </c>
      <c r="F3033" s="34" t="s">
        <v>3007</v>
      </c>
      <c r="G3033" s="36" t="s">
        <v>181</v>
      </c>
      <c r="H3033" s="34" t="s">
        <v>5432</v>
      </c>
      <c r="I3033" s="34" t="s">
        <v>231</v>
      </c>
      <c r="J3033" s="37">
        <v>46135.0</v>
      </c>
      <c r="K3033" s="35" t="s">
        <v>962</v>
      </c>
      <c r="L3033" s="34">
        <v>4.0</v>
      </c>
      <c r="M3033" s="34" t="s">
        <v>33</v>
      </c>
      <c r="N3033" s="38" t="s">
        <v>8892</v>
      </c>
      <c r="O3033" s="39" t="s">
        <v>8893</v>
      </c>
    </row>
    <row r="3034">
      <c r="A3034" s="32">
        <v>3512.0</v>
      </c>
      <c r="B3034" s="33">
        <v>46182.89292803241</v>
      </c>
      <c r="C3034" s="34" t="s">
        <v>15</v>
      </c>
      <c r="D3034" s="35" t="s">
        <v>736</v>
      </c>
      <c r="E3034" s="35" t="s">
        <v>737</v>
      </c>
      <c r="F3034" s="34" t="s">
        <v>738</v>
      </c>
      <c r="G3034" s="36" t="s">
        <v>181</v>
      </c>
      <c r="H3034" s="34" t="s">
        <v>6263</v>
      </c>
      <c r="I3034" s="34" t="s">
        <v>231</v>
      </c>
      <c r="J3034" s="37">
        <v>46133.0</v>
      </c>
      <c r="K3034" s="35" t="s">
        <v>962</v>
      </c>
      <c r="L3034" s="34">
        <v>4.0</v>
      </c>
      <c r="M3034" s="34" t="s">
        <v>33</v>
      </c>
      <c r="N3034" s="38" t="s">
        <v>8894</v>
      </c>
      <c r="O3034" s="39" t="s">
        <v>8895</v>
      </c>
    </row>
    <row r="3035">
      <c r="A3035" s="32">
        <v>3513.0</v>
      </c>
      <c r="B3035" s="33">
        <v>46182.89535346065</v>
      </c>
      <c r="C3035" s="34" t="s">
        <v>15</v>
      </c>
      <c r="D3035" s="35" t="s">
        <v>736</v>
      </c>
      <c r="E3035" s="35" t="s">
        <v>737</v>
      </c>
      <c r="F3035" s="34" t="s">
        <v>738</v>
      </c>
      <c r="G3035" s="36" t="s">
        <v>181</v>
      </c>
      <c r="H3035" s="34" t="s">
        <v>8896</v>
      </c>
      <c r="I3035" s="34" t="s">
        <v>231</v>
      </c>
      <c r="J3035" s="37">
        <v>46134.0</v>
      </c>
      <c r="K3035" s="35" t="s">
        <v>962</v>
      </c>
      <c r="L3035" s="34">
        <v>4.0</v>
      </c>
      <c r="M3035" s="34" t="s">
        <v>33</v>
      </c>
      <c r="N3035" s="38" t="s">
        <v>8897</v>
      </c>
      <c r="O3035" s="39" t="s">
        <v>8898</v>
      </c>
    </row>
    <row r="3036">
      <c r="A3036" s="32">
        <v>3514.0</v>
      </c>
      <c r="B3036" s="33">
        <v>46182.8978978125</v>
      </c>
      <c r="C3036" s="34" t="s">
        <v>15</v>
      </c>
      <c r="D3036" s="35" t="s">
        <v>736</v>
      </c>
      <c r="E3036" s="35" t="s">
        <v>737</v>
      </c>
      <c r="F3036" s="34" t="s">
        <v>738</v>
      </c>
      <c r="G3036" s="36" t="s">
        <v>181</v>
      </c>
      <c r="H3036" s="34" t="s">
        <v>5739</v>
      </c>
      <c r="I3036" s="34" t="s">
        <v>231</v>
      </c>
      <c r="J3036" s="37">
        <v>46135.0</v>
      </c>
      <c r="K3036" s="35" t="s">
        <v>962</v>
      </c>
      <c r="L3036" s="34">
        <v>3.0</v>
      </c>
      <c r="M3036" s="34" t="s">
        <v>33</v>
      </c>
      <c r="N3036" s="38" t="s">
        <v>8899</v>
      </c>
      <c r="O3036" s="39" t="s">
        <v>8900</v>
      </c>
    </row>
    <row r="3037">
      <c r="A3037" s="32">
        <v>3515.0</v>
      </c>
      <c r="B3037" s="33">
        <v>46182.90141902778</v>
      </c>
      <c r="C3037" s="34" t="s">
        <v>15</v>
      </c>
      <c r="D3037" s="35" t="s">
        <v>736</v>
      </c>
      <c r="E3037" s="35" t="s">
        <v>737</v>
      </c>
      <c r="F3037" s="34" t="s">
        <v>738</v>
      </c>
      <c r="G3037" s="36" t="s">
        <v>19</v>
      </c>
      <c r="H3037" s="34" t="s">
        <v>5739</v>
      </c>
      <c r="I3037" s="34" t="s">
        <v>231</v>
      </c>
      <c r="J3037" s="37">
        <v>46138.0</v>
      </c>
      <c r="K3037" s="35" t="s">
        <v>3192</v>
      </c>
      <c r="L3037" s="34">
        <v>6.0</v>
      </c>
      <c r="M3037" s="34" t="s">
        <v>33</v>
      </c>
      <c r="N3037" s="38" t="s">
        <v>8901</v>
      </c>
      <c r="O3037" s="39" t="s">
        <v>8902</v>
      </c>
    </row>
    <row r="3038">
      <c r="A3038" s="32">
        <v>3516.0</v>
      </c>
      <c r="B3038" s="33">
        <v>46182.9026609838</v>
      </c>
      <c r="C3038" s="34" t="s">
        <v>15</v>
      </c>
      <c r="D3038" s="35" t="s">
        <v>3753</v>
      </c>
      <c r="E3038" s="35" t="s">
        <v>817</v>
      </c>
      <c r="F3038" s="34" t="s">
        <v>3754</v>
      </c>
      <c r="G3038" s="36" t="s">
        <v>181</v>
      </c>
      <c r="H3038" s="34" t="s">
        <v>8868</v>
      </c>
      <c r="I3038" s="34" t="s">
        <v>231</v>
      </c>
      <c r="J3038" s="37">
        <v>46138.0</v>
      </c>
      <c r="K3038" s="35" t="s">
        <v>3192</v>
      </c>
      <c r="L3038" s="34">
        <v>6.0</v>
      </c>
      <c r="M3038" s="34" t="s">
        <v>33</v>
      </c>
      <c r="N3038" s="38" t="s">
        <v>8903</v>
      </c>
      <c r="O3038" s="39" t="s">
        <v>8904</v>
      </c>
    </row>
    <row r="3039">
      <c r="A3039" s="32">
        <v>3517.0</v>
      </c>
      <c r="B3039" s="33">
        <v>46182.90282642361</v>
      </c>
      <c r="C3039" s="34" t="s">
        <v>15</v>
      </c>
      <c r="D3039" s="35" t="s">
        <v>5119</v>
      </c>
      <c r="E3039" s="35" t="s">
        <v>1197</v>
      </c>
      <c r="F3039" s="34" t="s">
        <v>5120</v>
      </c>
      <c r="G3039" s="36" t="s">
        <v>181</v>
      </c>
      <c r="H3039" s="34" t="s">
        <v>6284</v>
      </c>
      <c r="I3039" s="34" t="s">
        <v>1211</v>
      </c>
      <c r="J3039" s="37">
        <v>46177.0</v>
      </c>
      <c r="K3039" s="35" t="s">
        <v>1241</v>
      </c>
      <c r="L3039" s="34">
        <v>3.0</v>
      </c>
      <c r="M3039" s="34" t="s">
        <v>8905</v>
      </c>
      <c r="N3039" s="38" t="s">
        <v>8906</v>
      </c>
      <c r="O3039" s="39" t="s">
        <v>8907</v>
      </c>
    </row>
    <row r="3040">
      <c r="A3040" s="32">
        <v>3518.0</v>
      </c>
      <c r="B3040" s="33">
        <v>46182.903998344904</v>
      </c>
      <c r="C3040" s="34" t="s">
        <v>15</v>
      </c>
      <c r="D3040" s="35" t="s">
        <v>4102</v>
      </c>
      <c r="E3040" s="35" t="s">
        <v>1948</v>
      </c>
      <c r="F3040" s="34" t="s">
        <v>4103</v>
      </c>
      <c r="G3040" s="36" t="s">
        <v>19</v>
      </c>
      <c r="H3040" s="34" t="s">
        <v>5361</v>
      </c>
      <c r="I3040" s="34" t="s">
        <v>5362</v>
      </c>
      <c r="J3040" s="37">
        <v>46121.0</v>
      </c>
      <c r="K3040" s="35" t="s">
        <v>49</v>
      </c>
      <c r="L3040" s="34">
        <v>8.0</v>
      </c>
      <c r="M3040" s="34" t="s">
        <v>5667</v>
      </c>
      <c r="N3040" s="38" t="s">
        <v>8908</v>
      </c>
      <c r="O3040" s="39" t="s">
        <v>8909</v>
      </c>
    </row>
    <row r="3041">
      <c r="A3041" s="32">
        <v>3519.0</v>
      </c>
      <c r="B3041" s="33">
        <v>46182.910587349535</v>
      </c>
      <c r="C3041" s="34" t="s">
        <v>15</v>
      </c>
      <c r="D3041" s="35" t="s">
        <v>3753</v>
      </c>
      <c r="E3041" s="35" t="s">
        <v>817</v>
      </c>
      <c r="F3041" s="34" t="s">
        <v>3754</v>
      </c>
      <c r="G3041" s="36" t="s">
        <v>181</v>
      </c>
      <c r="H3041" s="34" t="s">
        <v>3755</v>
      </c>
      <c r="I3041" s="34" t="s">
        <v>231</v>
      </c>
      <c r="J3041" s="37">
        <v>46090.0</v>
      </c>
      <c r="K3041" s="35" t="s">
        <v>49</v>
      </c>
      <c r="L3041" s="34">
        <v>8.0</v>
      </c>
      <c r="M3041" s="34" t="s">
        <v>33</v>
      </c>
      <c r="N3041" s="38" t="s">
        <v>8910</v>
      </c>
      <c r="O3041" s="39" t="s">
        <v>8911</v>
      </c>
    </row>
    <row r="3042">
      <c r="A3042" s="32">
        <v>3520.0</v>
      </c>
      <c r="B3042" s="33">
        <v>46182.91300862269</v>
      </c>
      <c r="C3042" s="34" t="s">
        <v>15</v>
      </c>
      <c r="D3042" s="35" t="s">
        <v>3753</v>
      </c>
      <c r="E3042" s="35" t="s">
        <v>817</v>
      </c>
      <c r="F3042" s="34" t="s">
        <v>3754</v>
      </c>
      <c r="G3042" s="36" t="s">
        <v>181</v>
      </c>
      <c r="H3042" s="34" t="s">
        <v>3755</v>
      </c>
      <c r="I3042" s="34" t="s">
        <v>231</v>
      </c>
      <c r="J3042" s="37">
        <v>46091.0</v>
      </c>
      <c r="K3042" s="35" t="s">
        <v>49</v>
      </c>
      <c r="L3042" s="34">
        <v>8.0</v>
      </c>
      <c r="M3042" s="34" t="s">
        <v>33</v>
      </c>
      <c r="N3042" s="38" t="s">
        <v>8912</v>
      </c>
      <c r="O3042" s="39" t="s">
        <v>8913</v>
      </c>
    </row>
    <row r="3043">
      <c r="A3043" s="32">
        <v>3521.0</v>
      </c>
      <c r="B3043" s="33">
        <v>46182.91530129629</v>
      </c>
      <c r="C3043" s="34" t="s">
        <v>15</v>
      </c>
      <c r="D3043" s="35" t="s">
        <v>3753</v>
      </c>
      <c r="E3043" s="35" t="s">
        <v>817</v>
      </c>
      <c r="F3043" s="34" t="s">
        <v>3754</v>
      </c>
      <c r="G3043" s="36" t="s">
        <v>181</v>
      </c>
      <c r="H3043" s="34" t="s">
        <v>3755</v>
      </c>
      <c r="I3043" s="34" t="s">
        <v>231</v>
      </c>
      <c r="J3043" s="37">
        <v>46093.0</v>
      </c>
      <c r="K3043" s="35" t="s">
        <v>1468</v>
      </c>
      <c r="L3043" s="34">
        <v>4.0</v>
      </c>
      <c r="M3043" s="34" t="s">
        <v>33</v>
      </c>
      <c r="N3043" s="38" t="s">
        <v>8914</v>
      </c>
      <c r="O3043" s="39" t="s">
        <v>8915</v>
      </c>
    </row>
    <row r="3044">
      <c r="A3044" s="32">
        <v>3522.0</v>
      </c>
      <c r="B3044" s="33">
        <v>46182.91801548611</v>
      </c>
      <c r="C3044" s="34" t="s">
        <v>15</v>
      </c>
      <c r="D3044" s="35" t="s">
        <v>4102</v>
      </c>
      <c r="E3044" s="35" t="s">
        <v>1948</v>
      </c>
      <c r="F3044" s="34" t="s">
        <v>4103</v>
      </c>
      <c r="G3044" s="36" t="s">
        <v>19</v>
      </c>
      <c r="H3044" s="34" t="s">
        <v>4275</v>
      </c>
      <c r="I3044" s="34" t="s">
        <v>3736</v>
      </c>
      <c r="J3044" s="37">
        <v>46010.0</v>
      </c>
      <c r="K3044" s="35" t="s">
        <v>5406</v>
      </c>
      <c r="L3044" s="34">
        <v>8.0</v>
      </c>
      <c r="M3044" s="34" t="s">
        <v>5407</v>
      </c>
      <c r="N3044" s="38" t="s">
        <v>8916</v>
      </c>
      <c r="O3044" s="39" t="s">
        <v>8917</v>
      </c>
    </row>
    <row r="3045">
      <c r="A3045" s="32">
        <v>3523.0</v>
      </c>
      <c r="B3045" s="33">
        <v>46182.9293991088</v>
      </c>
      <c r="C3045" s="34" t="s">
        <v>26</v>
      </c>
      <c r="D3045" s="35" t="s">
        <v>1595</v>
      </c>
      <c r="E3045" s="35" t="s">
        <v>1385</v>
      </c>
      <c r="F3045" s="34" t="s">
        <v>1597</v>
      </c>
      <c r="G3045" s="36" t="s">
        <v>181</v>
      </c>
      <c r="H3045" s="34" t="s">
        <v>7965</v>
      </c>
      <c r="I3045" s="34" t="s">
        <v>8687</v>
      </c>
      <c r="J3045" s="37">
        <v>46177.0</v>
      </c>
      <c r="K3045" s="35" t="s">
        <v>7966</v>
      </c>
      <c r="L3045" s="34">
        <v>3.0</v>
      </c>
      <c r="M3045" s="34" t="s">
        <v>7969</v>
      </c>
      <c r="N3045" s="34"/>
      <c r="O3045" s="39" t="s">
        <v>8918</v>
      </c>
    </row>
    <row r="3046">
      <c r="A3046" s="32">
        <v>3524.0</v>
      </c>
      <c r="B3046" s="33">
        <v>46182.95787939815</v>
      </c>
      <c r="C3046" s="34" t="s">
        <v>15</v>
      </c>
      <c r="D3046" s="35" t="s">
        <v>4315</v>
      </c>
      <c r="E3046" s="35" t="s">
        <v>164</v>
      </c>
      <c r="F3046" s="34" t="s">
        <v>4323</v>
      </c>
      <c r="G3046" s="36" t="s">
        <v>181</v>
      </c>
      <c r="H3046" s="34" t="s">
        <v>8919</v>
      </c>
      <c r="I3046" s="34" t="s">
        <v>231</v>
      </c>
      <c r="J3046" s="37">
        <v>46139.0</v>
      </c>
      <c r="K3046" s="35" t="s">
        <v>962</v>
      </c>
      <c r="L3046" s="34">
        <v>4.0</v>
      </c>
      <c r="M3046" s="34" t="s">
        <v>1275</v>
      </c>
      <c r="N3046" s="38" t="s">
        <v>8920</v>
      </c>
      <c r="O3046" s="39" t="s">
        <v>8921</v>
      </c>
    </row>
    <row r="3047">
      <c r="A3047" s="32">
        <v>3525.0</v>
      </c>
      <c r="B3047" s="33">
        <v>46183.242451134254</v>
      </c>
      <c r="C3047" s="34" t="s">
        <v>26</v>
      </c>
      <c r="D3047" s="35" t="s">
        <v>1304</v>
      </c>
      <c r="E3047" s="35" t="s">
        <v>134</v>
      </c>
      <c r="F3047" s="34" t="s">
        <v>1305</v>
      </c>
      <c r="G3047" s="36" t="s">
        <v>209</v>
      </c>
      <c r="H3047" s="34" t="s">
        <v>730</v>
      </c>
      <c r="I3047" s="34" t="s">
        <v>8802</v>
      </c>
      <c r="J3047" s="37">
        <v>46109.0</v>
      </c>
      <c r="K3047" s="35" t="s">
        <v>418</v>
      </c>
      <c r="L3047" s="34">
        <v>1.0</v>
      </c>
      <c r="M3047" s="34" t="s">
        <v>8803</v>
      </c>
      <c r="N3047" s="38" t="s">
        <v>8922</v>
      </c>
      <c r="O3047" s="39" t="s">
        <v>8923</v>
      </c>
    </row>
    <row r="3048">
      <c r="A3048" s="32">
        <v>3526.0</v>
      </c>
      <c r="B3048" s="33">
        <v>46187.88749605324</v>
      </c>
      <c r="C3048" s="34" t="s">
        <v>15</v>
      </c>
      <c r="D3048" s="35" t="s">
        <v>5119</v>
      </c>
      <c r="E3048" s="35" t="s">
        <v>1197</v>
      </c>
      <c r="F3048" s="34" t="s">
        <v>5120</v>
      </c>
      <c r="G3048" s="36" t="s">
        <v>19</v>
      </c>
      <c r="H3048" s="34" t="s">
        <v>8532</v>
      </c>
      <c r="I3048" s="34" t="s">
        <v>3162</v>
      </c>
      <c r="J3048" s="37">
        <v>46066.0</v>
      </c>
      <c r="K3048" s="35" t="s">
        <v>6637</v>
      </c>
      <c r="L3048" s="34">
        <v>4.0</v>
      </c>
      <c r="M3048" s="34" t="s">
        <v>244</v>
      </c>
      <c r="N3048" s="38" t="s">
        <v>8924</v>
      </c>
      <c r="O3048" s="39" t="s">
        <v>8925</v>
      </c>
    </row>
    <row r="3049">
      <c r="A3049" s="32">
        <v>3527.0</v>
      </c>
      <c r="B3049" s="33">
        <v>46191.614620162036</v>
      </c>
      <c r="C3049" s="34" t="s">
        <v>125</v>
      </c>
      <c r="D3049" s="35" t="s">
        <v>8926</v>
      </c>
      <c r="E3049" s="35" t="s">
        <v>8927</v>
      </c>
      <c r="F3049" s="34" t="s">
        <v>8928</v>
      </c>
      <c r="G3049" s="36" t="s">
        <v>1426</v>
      </c>
      <c r="H3049" s="34" t="s">
        <v>8929</v>
      </c>
      <c r="I3049" s="34" t="s">
        <v>8930</v>
      </c>
      <c r="J3049" s="37">
        <v>46191.0</v>
      </c>
      <c r="K3049" s="35" t="s">
        <v>118</v>
      </c>
      <c r="L3049" s="34">
        <v>3.0</v>
      </c>
      <c r="M3049" s="34" t="s">
        <v>8931</v>
      </c>
      <c r="N3049" s="38" t="s">
        <v>8932</v>
      </c>
      <c r="O3049" s="39" t="s">
        <v>8933</v>
      </c>
    </row>
  </sheetData>
  <autoFilter ref="$A$1:$O$3049"/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N32"/>
    <hyperlink r:id="rId61" ref="O32"/>
    <hyperlink r:id="rId62" ref="N33"/>
    <hyperlink r:id="rId63" ref="O33"/>
    <hyperlink r:id="rId64" ref="N34"/>
    <hyperlink r:id="rId65" ref="O34"/>
    <hyperlink r:id="rId66" ref="N35"/>
    <hyperlink r:id="rId67" ref="O35"/>
    <hyperlink r:id="rId68" ref="N36"/>
    <hyperlink r:id="rId69" ref="O36"/>
    <hyperlink r:id="rId70" ref="N37"/>
    <hyperlink r:id="rId71" ref="O37"/>
    <hyperlink r:id="rId72" ref="N38"/>
    <hyperlink r:id="rId73" ref="O38"/>
    <hyperlink r:id="rId74" ref="N39"/>
    <hyperlink r:id="rId75" ref="O39"/>
    <hyperlink r:id="rId76" ref="N40"/>
    <hyperlink r:id="rId77" ref="O40"/>
    <hyperlink r:id="rId78" ref="N41"/>
    <hyperlink r:id="rId79" ref="O41"/>
    <hyperlink r:id="rId80" ref="N42"/>
    <hyperlink r:id="rId81" ref="O42"/>
    <hyperlink r:id="rId82" ref="N43"/>
    <hyperlink r:id="rId83" ref="O43"/>
    <hyperlink r:id="rId84" ref="N44"/>
    <hyperlink r:id="rId85" ref="O44"/>
    <hyperlink r:id="rId86" ref="N45"/>
    <hyperlink r:id="rId87" ref="O45"/>
    <hyperlink r:id="rId88" ref="N46"/>
    <hyperlink r:id="rId89" ref="O46"/>
    <hyperlink r:id="rId90" ref="N47"/>
    <hyperlink r:id="rId91" ref="O47"/>
    <hyperlink r:id="rId92" ref="N48"/>
    <hyperlink r:id="rId93" ref="O48"/>
    <hyperlink r:id="rId94" ref="N49"/>
    <hyperlink r:id="rId95" ref="O49"/>
    <hyperlink r:id="rId96" ref="N50"/>
    <hyperlink r:id="rId97" ref="O50"/>
    <hyperlink r:id="rId98" ref="N51"/>
    <hyperlink r:id="rId99" ref="O51"/>
    <hyperlink r:id="rId100" ref="N52"/>
    <hyperlink r:id="rId101" ref="O52"/>
    <hyperlink r:id="rId102" ref="N53"/>
    <hyperlink r:id="rId103" ref="O53"/>
    <hyperlink r:id="rId104" ref="N54"/>
    <hyperlink r:id="rId105" ref="O54"/>
    <hyperlink r:id="rId106" ref="N55"/>
    <hyperlink r:id="rId107" ref="O55"/>
    <hyperlink r:id="rId108" ref="N56"/>
    <hyperlink r:id="rId109" ref="O56"/>
    <hyperlink r:id="rId110" ref="N57"/>
    <hyperlink r:id="rId111" ref="O57"/>
    <hyperlink r:id="rId112" ref="N58"/>
    <hyperlink r:id="rId113" ref="O58"/>
    <hyperlink r:id="rId114" ref="N59"/>
    <hyperlink r:id="rId115" ref="O59"/>
    <hyperlink r:id="rId116" ref="N60"/>
    <hyperlink r:id="rId117" ref="O60"/>
    <hyperlink r:id="rId118" ref="N61"/>
    <hyperlink r:id="rId119" ref="O61"/>
    <hyperlink r:id="rId120" ref="N62"/>
    <hyperlink r:id="rId121" ref="O62"/>
    <hyperlink r:id="rId122" ref="N63"/>
    <hyperlink r:id="rId123" ref="O63"/>
    <hyperlink r:id="rId124" ref="N64"/>
    <hyperlink r:id="rId125" ref="O64"/>
    <hyperlink r:id="rId126" ref="N65"/>
    <hyperlink r:id="rId127" ref="O65"/>
    <hyperlink r:id="rId128" ref="N66"/>
    <hyperlink r:id="rId129" ref="O66"/>
    <hyperlink r:id="rId130" ref="N67"/>
    <hyperlink r:id="rId131" ref="O67"/>
    <hyperlink r:id="rId132" ref="N68"/>
    <hyperlink r:id="rId133" ref="O68"/>
    <hyperlink r:id="rId134" ref="N69"/>
    <hyperlink r:id="rId135" ref="O69"/>
    <hyperlink r:id="rId136" ref="N70"/>
    <hyperlink r:id="rId137" ref="O70"/>
    <hyperlink r:id="rId138" ref="N71"/>
    <hyperlink r:id="rId139" ref="O71"/>
    <hyperlink r:id="rId140" ref="N72"/>
    <hyperlink r:id="rId141" ref="O72"/>
    <hyperlink r:id="rId142" ref="N73"/>
    <hyperlink r:id="rId143" ref="O73"/>
    <hyperlink r:id="rId144" ref="N74"/>
    <hyperlink r:id="rId145" ref="O74"/>
    <hyperlink r:id="rId146" ref="N75"/>
    <hyperlink r:id="rId147" ref="O75"/>
    <hyperlink r:id="rId148" ref="N76"/>
    <hyperlink r:id="rId149" ref="O76"/>
    <hyperlink r:id="rId150" ref="N77"/>
    <hyperlink r:id="rId151" ref="O77"/>
    <hyperlink r:id="rId152" ref="N78"/>
    <hyperlink r:id="rId153" ref="O78"/>
    <hyperlink r:id="rId154" ref="N79"/>
    <hyperlink r:id="rId155" ref="O79"/>
    <hyperlink r:id="rId156" ref="N80"/>
    <hyperlink r:id="rId157" ref="O80"/>
    <hyperlink r:id="rId158" ref="N81"/>
    <hyperlink r:id="rId159" ref="O81"/>
    <hyperlink r:id="rId160" ref="N82"/>
    <hyperlink r:id="rId161" ref="O82"/>
    <hyperlink r:id="rId162" ref="N83"/>
    <hyperlink r:id="rId163" ref="O83"/>
    <hyperlink r:id="rId164" ref="N84"/>
    <hyperlink r:id="rId165" ref="O84"/>
    <hyperlink r:id="rId166" ref="N85"/>
    <hyperlink r:id="rId167" ref="O85"/>
    <hyperlink r:id="rId168" ref="N86"/>
    <hyperlink r:id="rId169" ref="O86"/>
    <hyperlink r:id="rId170" ref="N87"/>
    <hyperlink r:id="rId171" ref="O87"/>
    <hyperlink r:id="rId172" ref="N88"/>
    <hyperlink r:id="rId173" ref="O88"/>
    <hyperlink r:id="rId174" ref="N89"/>
    <hyperlink r:id="rId175" ref="O89"/>
    <hyperlink r:id="rId176" ref="N90"/>
    <hyperlink r:id="rId177" ref="O90"/>
    <hyperlink r:id="rId178" ref="N91"/>
    <hyperlink r:id="rId179" ref="O91"/>
    <hyperlink r:id="rId180" ref="N92"/>
    <hyperlink r:id="rId181" ref="O92"/>
    <hyperlink r:id="rId182" ref="N93"/>
    <hyperlink r:id="rId183" ref="O93"/>
    <hyperlink r:id="rId184" ref="N94"/>
    <hyperlink r:id="rId185" ref="O94"/>
    <hyperlink r:id="rId186" ref="N95"/>
    <hyperlink r:id="rId187" ref="O95"/>
    <hyperlink r:id="rId188" ref="N96"/>
    <hyperlink r:id="rId189" ref="O96"/>
    <hyperlink r:id="rId190" ref="N97"/>
    <hyperlink r:id="rId191" ref="O97"/>
    <hyperlink r:id="rId192" ref="N98"/>
    <hyperlink r:id="rId193" ref="O98"/>
    <hyperlink r:id="rId194" ref="N99"/>
    <hyperlink r:id="rId195" ref="O99"/>
    <hyperlink r:id="rId196" ref="N100"/>
    <hyperlink r:id="rId197" ref="O100"/>
    <hyperlink r:id="rId198" ref="N101"/>
    <hyperlink r:id="rId199" ref="O101"/>
    <hyperlink r:id="rId200" ref="N102"/>
    <hyperlink r:id="rId201" ref="O102"/>
    <hyperlink r:id="rId202" ref="N103"/>
    <hyperlink r:id="rId203" ref="O103"/>
    <hyperlink r:id="rId204" ref="N104"/>
    <hyperlink r:id="rId205" ref="O104"/>
    <hyperlink r:id="rId206" ref="N105"/>
    <hyperlink r:id="rId207" ref="O105"/>
    <hyperlink r:id="rId208" ref="N106"/>
    <hyperlink r:id="rId209" ref="O106"/>
    <hyperlink r:id="rId210" ref="N107"/>
    <hyperlink r:id="rId211" ref="O107"/>
    <hyperlink r:id="rId212" ref="N108"/>
    <hyperlink r:id="rId213" ref="O108"/>
    <hyperlink r:id="rId214" ref="N109"/>
    <hyperlink r:id="rId215" ref="O109"/>
    <hyperlink r:id="rId216" ref="N110"/>
    <hyperlink r:id="rId217" ref="O110"/>
    <hyperlink r:id="rId218" ref="N111"/>
    <hyperlink r:id="rId219" ref="O111"/>
    <hyperlink r:id="rId220" ref="N112"/>
    <hyperlink r:id="rId221" ref="O112"/>
    <hyperlink r:id="rId222" ref="N113"/>
    <hyperlink r:id="rId223" ref="O113"/>
    <hyperlink r:id="rId224" ref="N114"/>
    <hyperlink r:id="rId225" ref="O114"/>
    <hyperlink r:id="rId226" ref="N115"/>
    <hyperlink r:id="rId227" ref="O115"/>
    <hyperlink r:id="rId228" ref="N116"/>
    <hyperlink r:id="rId229" ref="O116"/>
    <hyperlink r:id="rId230" ref="N117"/>
    <hyperlink r:id="rId231" ref="O117"/>
    <hyperlink r:id="rId232" ref="N118"/>
    <hyperlink r:id="rId233" ref="O118"/>
    <hyperlink r:id="rId234" ref="N119"/>
    <hyperlink r:id="rId235" ref="O119"/>
    <hyperlink r:id="rId236" ref="N120"/>
    <hyperlink r:id="rId237" ref="O120"/>
    <hyperlink r:id="rId238" ref="N121"/>
    <hyperlink r:id="rId239" ref="O121"/>
    <hyperlink r:id="rId240" ref="N122"/>
    <hyperlink r:id="rId241" ref="O122"/>
    <hyperlink r:id="rId242" ref="N123"/>
    <hyperlink r:id="rId243" ref="O123"/>
    <hyperlink r:id="rId244" ref="N124"/>
    <hyperlink r:id="rId245" ref="O124"/>
    <hyperlink r:id="rId246" ref="N125"/>
    <hyperlink r:id="rId247" ref="O125"/>
    <hyperlink r:id="rId248" ref="N126"/>
    <hyperlink r:id="rId249" ref="O126"/>
    <hyperlink r:id="rId250" ref="N127"/>
    <hyperlink r:id="rId251" ref="O127"/>
    <hyperlink r:id="rId252" ref="N128"/>
    <hyperlink r:id="rId253" ref="O128"/>
    <hyperlink r:id="rId254" ref="N129"/>
    <hyperlink r:id="rId255" ref="O129"/>
    <hyperlink r:id="rId256" ref="N130"/>
    <hyperlink r:id="rId257" ref="O130"/>
    <hyperlink r:id="rId258" ref="N131"/>
    <hyperlink r:id="rId259" ref="O131"/>
    <hyperlink r:id="rId260" ref="N132"/>
    <hyperlink r:id="rId261" ref="O132"/>
    <hyperlink r:id="rId262" ref="N133"/>
    <hyperlink r:id="rId263" ref="O133"/>
    <hyperlink r:id="rId264" ref="N134"/>
    <hyperlink r:id="rId265" ref="O134"/>
    <hyperlink r:id="rId266" ref="N135"/>
    <hyperlink r:id="rId267" ref="O135"/>
    <hyperlink r:id="rId268" ref="N136"/>
    <hyperlink r:id="rId269" ref="O136"/>
    <hyperlink r:id="rId270" ref="N137"/>
    <hyperlink r:id="rId271" ref="O137"/>
    <hyperlink r:id="rId272" ref="N138"/>
    <hyperlink r:id="rId273" ref="O138"/>
    <hyperlink r:id="rId274" ref="N139"/>
    <hyperlink r:id="rId275" ref="O139"/>
    <hyperlink r:id="rId276" ref="N140"/>
    <hyperlink r:id="rId277" ref="O140"/>
    <hyperlink r:id="rId278" ref="N141"/>
    <hyperlink r:id="rId279" ref="O141"/>
    <hyperlink r:id="rId280" ref="N142"/>
    <hyperlink r:id="rId281" ref="O142"/>
    <hyperlink r:id="rId282" ref="N143"/>
    <hyperlink r:id="rId283" ref="O143"/>
    <hyperlink r:id="rId284" ref="N144"/>
    <hyperlink r:id="rId285" ref="O144"/>
    <hyperlink r:id="rId286" ref="N145"/>
    <hyperlink r:id="rId287" ref="O145"/>
    <hyperlink r:id="rId288" ref="N146"/>
    <hyperlink r:id="rId289" ref="O146"/>
    <hyperlink r:id="rId290" ref="N147"/>
    <hyperlink r:id="rId291" ref="O147"/>
    <hyperlink r:id="rId292" ref="N148"/>
    <hyperlink r:id="rId293" ref="O148"/>
    <hyperlink r:id="rId294" ref="N149"/>
    <hyperlink r:id="rId295" ref="O149"/>
    <hyperlink r:id="rId296" ref="N150"/>
    <hyperlink r:id="rId297" ref="O150"/>
    <hyperlink r:id="rId298" ref="N151"/>
    <hyperlink r:id="rId299" ref="O151"/>
    <hyperlink r:id="rId300" ref="N152"/>
    <hyperlink r:id="rId301" ref="O152"/>
    <hyperlink r:id="rId302" ref="N153"/>
    <hyperlink r:id="rId303" ref="O153"/>
    <hyperlink r:id="rId304" ref="N154"/>
    <hyperlink r:id="rId305" ref="O154"/>
    <hyperlink r:id="rId306" ref="N155"/>
    <hyperlink r:id="rId307" ref="O155"/>
    <hyperlink r:id="rId308" ref="N156"/>
    <hyperlink r:id="rId309" ref="O156"/>
    <hyperlink r:id="rId310" ref="N157"/>
    <hyperlink r:id="rId311" ref="O157"/>
    <hyperlink r:id="rId312" ref="N158"/>
    <hyperlink r:id="rId313" ref="O158"/>
    <hyperlink r:id="rId314" ref="N159"/>
    <hyperlink r:id="rId315" ref="O159"/>
    <hyperlink r:id="rId316" ref="N160"/>
    <hyperlink r:id="rId317" ref="O160"/>
    <hyperlink r:id="rId318" ref="N161"/>
    <hyperlink r:id="rId319" ref="O161"/>
    <hyperlink r:id="rId320" ref="N162"/>
    <hyperlink r:id="rId321" ref="O162"/>
    <hyperlink r:id="rId322" ref="N163"/>
    <hyperlink r:id="rId323" ref="O163"/>
    <hyperlink r:id="rId324" ref="N164"/>
    <hyperlink r:id="rId325" ref="O164"/>
    <hyperlink r:id="rId326" ref="N165"/>
    <hyperlink r:id="rId327" ref="O165"/>
    <hyperlink r:id="rId328" ref="N166"/>
    <hyperlink r:id="rId329" ref="O166"/>
    <hyperlink r:id="rId330" ref="N167"/>
    <hyperlink r:id="rId331" ref="O167"/>
    <hyperlink r:id="rId332" ref="N170"/>
    <hyperlink r:id="rId333" ref="O170"/>
    <hyperlink r:id="rId334" ref="N171"/>
    <hyperlink r:id="rId335" ref="O171"/>
    <hyperlink r:id="rId336" ref="N172"/>
    <hyperlink r:id="rId337" ref="O172"/>
    <hyperlink r:id="rId338" ref="N173"/>
    <hyperlink r:id="rId339" ref="O173"/>
    <hyperlink r:id="rId340" ref="N174"/>
    <hyperlink r:id="rId341" ref="O174"/>
    <hyperlink r:id="rId342" ref="N175"/>
    <hyperlink r:id="rId343" ref="O175"/>
    <hyperlink r:id="rId344" ref="N176"/>
    <hyperlink r:id="rId345" ref="O176"/>
    <hyperlink r:id="rId346" ref="N177"/>
    <hyperlink r:id="rId347" ref="O177"/>
    <hyperlink r:id="rId348" ref="N178"/>
    <hyperlink r:id="rId349" ref="O178"/>
    <hyperlink r:id="rId350" ref="N179"/>
    <hyperlink r:id="rId351" ref="O179"/>
    <hyperlink r:id="rId352" ref="N180"/>
    <hyperlink r:id="rId353" ref="O180"/>
    <hyperlink r:id="rId354" ref="N181"/>
    <hyperlink r:id="rId355" ref="O181"/>
    <hyperlink r:id="rId356" ref="N182"/>
    <hyperlink r:id="rId357" ref="O182"/>
    <hyperlink r:id="rId358" ref="N183"/>
    <hyperlink r:id="rId359" ref="O183"/>
    <hyperlink r:id="rId360" ref="N184"/>
    <hyperlink r:id="rId361" ref="O184"/>
    <hyperlink r:id="rId362" ref="N185"/>
    <hyperlink r:id="rId363" ref="O185"/>
    <hyperlink r:id="rId364" ref="N186"/>
    <hyperlink r:id="rId365" ref="O186"/>
    <hyperlink r:id="rId366" ref="N187"/>
    <hyperlink r:id="rId367" ref="O187"/>
    <hyperlink r:id="rId368" ref="N188"/>
    <hyperlink r:id="rId369" ref="O188"/>
    <hyperlink r:id="rId370" ref="N189"/>
    <hyperlink r:id="rId371" ref="O189"/>
    <hyperlink r:id="rId372" ref="N190"/>
    <hyperlink r:id="rId373" ref="O190"/>
    <hyperlink r:id="rId374" ref="N191"/>
    <hyperlink r:id="rId375" ref="O191"/>
    <hyperlink r:id="rId376" ref="N192"/>
    <hyperlink r:id="rId377" ref="O192"/>
    <hyperlink r:id="rId378" ref="N193"/>
    <hyperlink r:id="rId379" ref="O193"/>
    <hyperlink r:id="rId380" ref="N194"/>
    <hyperlink r:id="rId381" ref="O194"/>
    <hyperlink r:id="rId382" ref="N195"/>
    <hyperlink r:id="rId383" ref="O195"/>
    <hyperlink r:id="rId384" ref="N196"/>
    <hyperlink r:id="rId385" ref="O196"/>
    <hyperlink r:id="rId386" ref="N197"/>
    <hyperlink r:id="rId387" ref="O197"/>
    <hyperlink r:id="rId388" ref="N198"/>
    <hyperlink r:id="rId389" ref="O198"/>
    <hyperlink r:id="rId390" ref="N199"/>
    <hyperlink r:id="rId391" ref="O199"/>
    <hyperlink r:id="rId392" ref="N200"/>
    <hyperlink r:id="rId393" ref="O200"/>
    <hyperlink r:id="rId394" ref="N201"/>
    <hyperlink r:id="rId395" ref="O201"/>
    <hyperlink r:id="rId396" ref="N202"/>
    <hyperlink r:id="rId397" ref="O202"/>
    <hyperlink r:id="rId398" ref="N203"/>
    <hyperlink r:id="rId399" ref="O203"/>
    <hyperlink r:id="rId400" ref="N204"/>
    <hyperlink r:id="rId401" ref="O204"/>
    <hyperlink r:id="rId402" ref="N205"/>
    <hyperlink r:id="rId403" ref="O205"/>
    <hyperlink r:id="rId404" ref="N206"/>
    <hyperlink r:id="rId405" ref="O206"/>
    <hyperlink r:id="rId406" ref="N207"/>
    <hyperlink r:id="rId407" ref="O207"/>
    <hyperlink r:id="rId408" ref="N208"/>
    <hyperlink r:id="rId409" ref="O208"/>
    <hyperlink r:id="rId410" ref="N209"/>
    <hyperlink r:id="rId411" ref="O209"/>
    <hyperlink r:id="rId412" ref="N210"/>
    <hyperlink r:id="rId413" ref="O210"/>
    <hyperlink r:id="rId414" ref="N212"/>
    <hyperlink r:id="rId415" ref="O212"/>
    <hyperlink r:id="rId416" ref="N213"/>
    <hyperlink r:id="rId417" ref="O213"/>
    <hyperlink r:id="rId418" ref="N214"/>
    <hyperlink r:id="rId419" ref="O214"/>
    <hyperlink r:id="rId420" ref="N215"/>
    <hyperlink r:id="rId421" ref="O215"/>
    <hyperlink r:id="rId422" ref="N216"/>
    <hyperlink r:id="rId423" ref="O216"/>
    <hyperlink r:id="rId424" ref="N217"/>
    <hyperlink r:id="rId425" ref="O217"/>
    <hyperlink r:id="rId426" ref="N218"/>
    <hyperlink r:id="rId427" ref="O218"/>
    <hyperlink r:id="rId428" ref="N219"/>
    <hyperlink r:id="rId429" ref="O219"/>
    <hyperlink r:id="rId430" ref="N220"/>
    <hyperlink r:id="rId431" ref="O220"/>
    <hyperlink r:id="rId432" ref="N221"/>
    <hyperlink r:id="rId433" ref="O221"/>
    <hyperlink r:id="rId434" ref="N222"/>
    <hyperlink r:id="rId435" ref="O222"/>
    <hyperlink r:id="rId436" ref="N223"/>
    <hyperlink r:id="rId437" ref="O223"/>
    <hyperlink r:id="rId438" ref="N224"/>
    <hyperlink r:id="rId439" ref="O224"/>
    <hyperlink r:id="rId440" ref="N225"/>
    <hyperlink r:id="rId441" ref="O225"/>
    <hyperlink r:id="rId442" ref="N226"/>
    <hyperlink r:id="rId443" ref="O226"/>
    <hyperlink r:id="rId444" ref="N227"/>
    <hyperlink r:id="rId445" ref="O227"/>
    <hyperlink r:id="rId446" ref="N228"/>
    <hyperlink r:id="rId447" ref="O228"/>
    <hyperlink r:id="rId448" ref="N229"/>
    <hyperlink r:id="rId449" ref="O229"/>
    <hyperlink r:id="rId450" ref="N230"/>
    <hyperlink r:id="rId451" ref="O230"/>
    <hyperlink r:id="rId452" ref="N231"/>
    <hyperlink r:id="rId453" ref="O231"/>
    <hyperlink r:id="rId454" ref="N232"/>
    <hyperlink r:id="rId455" ref="O232"/>
    <hyperlink r:id="rId456" ref="N233"/>
    <hyperlink r:id="rId457" ref="O233"/>
    <hyperlink r:id="rId458" ref="N234"/>
    <hyperlink r:id="rId459" ref="O234"/>
    <hyperlink r:id="rId460" ref="N235"/>
    <hyperlink r:id="rId461" ref="O235"/>
    <hyperlink r:id="rId462" ref="N236"/>
    <hyperlink r:id="rId463" ref="O236"/>
    <hyperlink r:id="rId464" ref="N237"/>
    <hyperlink r:id="rId465" ref="O237"/>
    <hyperlink r:id="rId466" ref="N238"/>
    <hyperlink r:id="rId467" ref="O238"/>
    <hyperlink r:id="rId468" ref="N239"/>
    <hyperlink r:id="rId469" ref="O239"/>
    <hyperlink r:id="rId470" ref="N240"/>
    <hyperlink r:id="rId471" ref="O240"/>
    <hyperlink r:id="rId472" ref="N241"/>
    <hyperlink r:id="rId473" ref="O241"/>
    <hyperlink r:id="rId474" ref="N242"/>
    <hyperlink r:id="rId475" ref="O242"/>
    <hyperlink r:id="rId476" ref="N243"/>
    <hyperlink r:id="rId477" ref="O243"/>
    <hyperlink r:id="rId478" ref="N244"/>
    <hyperlink r:id="rId479" ref="O244"/>
    <hyperlink r:id="rId480" ref="N245"/>
    <hyperlink r:id="rId481" ref="O245"/>
    <hyperlink r:id="rId482" ref="N246"/>
    <hyperlink r:id="rId483" ref="O246"/>
    <hyperlink r:id="rId484" ref="N247"/>
    <hyperlink r:id="rId485" ref="O247"/>
    <hyperlink r:id="rId486" ref="N248"/>
    <hyperlink r:id="rId487" ref="O248"/>
    <hyperlink r:id="rId488" ref="N249"/>
    <hyperlink r:id="rId489" ref="O249"/>
    <hyperlink r:id="rId490" ref="N250"/>
    <hyperlink r:id="rId491" ref="O250"/>
    <hyperlink r:id="rId492" ref="N251"/>
    <hyperlink r:id="rId493" ref="O251"/>
    <hyperlink r:id="rId494" ref="N252"/>
    <hyperlink r:id="rId495" ref="O252"/>
    <hyperlink r:id="rId496" ref="N253"/>
    <hyperlink r:id="rId497" ref="O253"/>
    <hyperlink r:id="rId498" ref="N254"/>
    <hyperlink r:id="rId499" ref="O254"/>
    <hyperlink r:id="rId500" ref="N255"/>
    <hyperlink r:id="rId501" ref="O255"/>
    <hyperlink r:id="rId502" ref="N256"/>
    <hyperlink r:id="rId503" ref="O256"/>
    <hyperlink r:id="rId504" ref="N257"/>
    <hyperlink r:id="rId505" ref="O257"/>
    <hyperlink r:id="rId506" ref="N258"/>
    <hyperlink r:id="rId507" ref="O258"/>
    <hyperlink r:id="rId508" ref="N259"/>
    <hyperlink r:id="rId509" ref="O259"/>
    <hyperlink r:id="rId510" ref="N260"/>
    <hyperlink r:id="rId511" ref="O260"/>
    <hyperlink r:id="rId512" ref="N261"/>
    <hyperlink r:id="rId513" ref="O261"/>
    <hyperlink r:id="rId514" ref="N262"/>
    <hyperlink r:id="rId515" ref="O262"/>
    <hyperlink r:id="rId516" ref="N263"/>
    <hyperlink r:id="rId517" ref="O263"/>
    <hyperlink r:id="rId518" ref="N264"/>
    <hyperlink r:id="rId519" ref="O264"/>
    <hyperlink r:id="rId520" ref="N265"/>
    <hyperlink r:id="rId521" ref="O265"/>
    <hyperlink r:id="rId522" ref="N266"/>
    <hyperlink r:id="rId523" ref="O266"/>
    <hyperlink r:id="rId524" ref="N267"/>
    <hyperlink r:id="rId525" ref="O267"/>
    <hyperlink r:id="rId526" ref="N268"/>
    <hyperlink r:id="rId527" ref="O268"/>
    <hyperlink r:id="rId528" ref="N269"/>
    <hyperlink r:id="rId529" ref="O269"/>
    <hyperlink r:id="rId530" ref="N270"/>
    <hyperlink r:id="rId531" ref="O270"/>
    <hyperlink r:id="rId532" ref="N271"/>
    <hyperlink r:id="rId533" ref="O271"/>
    <hyperlink r:id="rId534" ref="N272"/>
    <hyperlink r:id="rId535" ref="O272"/>
    <hyperlink r:id="rId536" ref="N273"/>
    <hyperlink r:id="rId537" ref="O273"/>
    <hyperlink r:id="rId538" ref="N274"/>
    <hyperlink r:id="rId539" ref="O274"/>
    <hyperlink r:id="rId540" ref="N275"/>
    <hyperlink r:id="rId541" ref="O275"/>
    <hyperlink r:id="rId542" ref="N276"/>
    <hyperlink r:id="rId543" ref="O276"/>
    <hyperlink r:id="rId544" ref="N277"/>
    <hyperlink r:id="rId545" ref="O277"/>
    <hyperlink r:id="rId546" ref="N278"/>
    <hyperlink r:id="rId547" ref="O278"/>
    <hyperlink r:id="rId548" ref="N279"/>
    <hyperlink r:id="rId549" ref="O279"/>
    <hyperlink r:id="rId550" ref="N280"/>
    <hyperlink r:id="rId551" ref="O280"/>
    <hyperlink r:id="rId552" ref="N281"/>
    <hyperlink r:id="rId553" ref="O281"/>
    <hyperlink r:id="rId554" ref="N282"/>
    <hyperlink r:id="rId555" ref="O282"/>
    <hyperlink r:id="rId556" ref="N283"/>
    <hyperlink r:id="rId557" ref="O283"/>
    <hyperlink r:id="rId558" ref="N284"/>
    <hyperlink r:id="rId559" ref="O284"/>
    <hyperlink r:id="rId560" ref="N285"/>
    <hyperlink r:id="rId561" ref="O285"/>
    <hyperlink r:id="rId562" ref="N286"/>
    <hyperlink r:id="rId563" ref="O286"/>
    <hyperlink r:id="rId564" ref="N287"/>
    <hyperlink r:id="rId565" ref="O287"/>
    <hyperlink r:id="rId566" ref="N289"/>
    <hyperlink r:id="rId567" ref="O289"/>
    <hyperlink r:id="rId568" ref="N290"/>
    <hyperlink r:id="rId569" ref="O290"/>
    <hyperlink r:id="rId570" ref="N291"/>
    <hyperlink r:id="rId571" ref="O291"/>
    <hyperlink r:id="rId572" ref="N292"/>
    <hyperlink r:id="rId573" ref="O292"/>
    <hyperlink r:id="rId574" ref="N293"/>
    <hyperlink r:id="rId575" ref="O293"/>
    <hyperlink r:id="rId576" ref="N295"/>
    <hyperlink r:id="rId577" ref="O295"/>
    <hyperlink r:id="rId578" ref="N296"/>
    <hyperlink r:id="rId579" ref="O296"/>
    <hyperlink r:id="rId580" ref="N297"/>
    <hyperlink r:id="rId581" ref="O297"/>
    <hyperlink r:id="rId582" ref="N298"/>
    <hyperlink r:id="rId583" ref="O298"/>
    <hyperlink r:id="rId584" ref="N299"/>
    <hyperlink r:id="rId585" ref="O299"/>
    <hyperlink r:id="rId586" ref="N300"/>
    <hyperlink r:id="rId587" ref="O300"/>
    <hyperlink r:id="rId588" ref="N301"/>
    <hyperlink r:id="rId589" ref="O301"/>
    <hyperlink r:id="rId590" ref="N302"/>
    <hyperlink r:id="rId591" ref="O302"/>
    <hyperlink r:id="rId592" ref="N303"/>
    <hyperlink r:id="rId593" ref="O303"/>
    <hyperlink r:id="rId594" ref="L304"/>
    <hyperlink r:id="rId595" ref="N304"/>
    <hyperlink r:id="rId596" ref="O304"/>
    <hyperlink r:id="rId597" ref="N305"/>
    <hyperlink r:id="rId598" ref="O305"/>
    <hyperlink r:id="rId599" ref="N306"/>
    <hyperlink r:id="rId600" ref="O306"/>
    <hyperlink r:id="rId601" ref="N307"/>
    <hyperlink r:id="rId602" ref="O307"/>
    <hyperlink r:id="rId603" ref="N308"/>
    <hyperlink r:id="rId604" ref="O308"/>
    <hyperlink r:id="rId605" ref="N309"/>
    <hyperlink r:id="rId606" ref="O309"/>
    <hyperlink r:id="rId607" ref="N310"/>
    <hyperlink r:id="rId608" ref="O310"/>
    <hyperlink r:id="rId609" ref="N311"/>
    <hyperlink r:id="rId610" ref="O311"/>
    <hyperlink r:id="rId611" ref="N312"/>
    <hyperlink r:id="rId612" ref="O312"/>
    <hyperlink r:id="rId613" ref="N313"/>
    <hyperlink r:id="rId614" ref="O313"/>
    <hyperlink r:id="rId615" ref="N314"/>
    <hyperlink r:id="rId616" ref="O314"/>
    <hyperlink r:id="rId617" ref="N315"/>
    <hyperlink r:id="rId618" ref="O315"/>
    <hyperlink r:id="rId619" ref="N316"/>
    <hyperlink r:id="rId620" ref="O316"/>
    <hyperlink r:id="rId621" ref="N317"/>
    <hyperlink r:id="rId622" ref="O317"/>
    <hyperlink r:id="rId623" ref="N318"/>
    <hyperlink r:id="rId624" ref="O318"/>
    <hyperlink r:id="rId625" ref="N319"/>
    <hyperlink r:id="rId626" ref="O319"/>
    <hyperlink r:id="rId627" ref="N320"/>
    <hyperlink r:id="rId628" ref="O320"/>
    <hyperlink r:id="rId629" ref="N321"/>
    <hyperlink r:id="rId630" ref="O321"/>
    <hyperlink r:id="rId631" ref="N322"/>
    <hyperlink r:id="rId632" ref="O322"/>
    <hyperlink r:id="rId633" ref="N323"/>
    <hyperlink r:id="rId634" ref="O323"/>
    <hyperlink r:id="rId635" ref="N324"/>
    <hyperlink r:id="rId636" ref="O324"/>
    <hyperlink r:id="rId637" ref="N325"/>
    <hyperlink r:id="rId638" ref="O325"/>
    <hyperlink r:id="rId639" ref="N326"/>
    <hyperlink r:id="rId640" ref="O326"/>
    <hyperlink r:id="rId641" ref="N327"/>
    <hyperlink r:id="rId642" ref="O327"/>
    <hyperlink r:id="rId643" ref="N328"/>
    <hyperlink r:id="rId644" ref="O328"/>
    <hyperlink r:id="rId645" ref="N329"/>
    <hyperlink r:id="rId646" ref="O329"/>
    <hyperlink r:id="rId647" ref="N330"/>
    <hyperlink r:id="rId648" ref="O330"/>
    <hyperlink r:id="rId649" ref="N331"/>
    <hyperlink r:id="rId650" ref="O331"/>
    <hyperlink r:id="rId651" ref="N332"/>
    <hyperlink r:id="rId652" ref="O332"/>
    <hyperlink r:id="rId653" ref="N333"/>
    <hyperlink r:id="rId654" ref="O333"/>
    <hyperlink r:id="rId655" ref="N334"/>
    <hyperlink r:id="rId656" ref="O334"/>
    <hyperlink r:id="rId657" ref="N335"/>
    <hyperlink r:id="rId658" ref="O335"/>
    <hyperlink r:id="rId659" ref="N336"/>
    <hyperlink r:id="rId660" ref="O336"/>
    <hyperlink r:id="rId661" ref="N337"/>
    <hyperlink r:id="rId662" ref="O337"/>
    <hyperlink r:id="rId663" ref="N338"/>
    <hyperlink r:id="rId664" ref="O338"/>
    <hyperlink r:id="rId665" ref="N339"/>
    <hyperlink r:id="rId666" ref="O339"/>
    <hyperlink r:id="rId667" ref="N340"/>
    <hyperlink r:id="rId668" ref="O340"/>
    <hyperlink r:id="rId669" ref="N341"/>
    <hyperlink r:id="rId670" ref="O341"/>
    <hyperlink r:id="rId671" ref="N342"/>
    <hyperlink r:id="rId672" ref="O342"/>
    <hyperlink r:id="rId673" ref="N343"/>
    <hyperlink r:id="rId674" ref="O343"/>
    <hyperlink r:id="rId675" ref="N344"/>
    <hyperlink r:id="rId676" ref="O344"/>
    <hyperlink r:id="rId677" ref="N345"/>
    <hyperlink r:id="rId678" ref="O345"/>
    <hyperlink r:id="rId679" ref="N346"/>
    <hyperlink r:id="rId680" ref="O346"/>
    <hyperlink r:id="rId681" ref="N347"/>
    <hyperlink r:id="rId682" ref="O347"/>
    <hyperlink r:id="rId683" ref="N348"/>
    <hyperlink r:id="rId684" ref="O348"/>
    <hyperlink r:id="rId685" ref="N349"/>
    <hyperlink r:id="rId686" ref="O349"/>
    <hyperlink r:id="rId687" ref="N350"/>
    <hyperlink r:id="rId688" ref="O350"/>
    <hyperlink r:id="rId689" ref="N351"/>
    <hyperlink r:id="rId690" ref="O351"/>
    <hyperlink r:id="rId691" ref="N352"/>
    <hyperlink r:id="rId692" ref="O352"/>
    <hyperlink r:id="rId693" ref="N353"/>
    <hyperlink r:id="rId694" ref="O353"/>
    <hyperlink r:id="rId695" ref="N354"/>
    <hyperlink r:id="rId696" ref="O354"/>
    <hyperlink r:id="rId697" ref="N355"/>
    <hyperlink r:id="rId698" ref="O355"/>
    <hyperlink r:id="rId699" ref="N356"/>
    <hyperlink r:id="rId700" ref="O356"/>
    <hyperlink r:id="rId701" ref="N357"/>
    <hyperlink r:id="rId702" ref="O357"/>
    <hyperlink r:id="rId703" ref="N358"/>
    <hyperlink r:id="rId704" ref="O358"/>
    <hyperlink r:id="rId705" ref="N359"/>
    <hyperlink r:id="rId706" ref="O359"/>
    <hyperlink r:id="rId707" ref="N360"/>
    <hyperlink r:id="rId708" ref="O360"/>
    <hyperlink r:id="rId709" ref="N361"/>
    <hyperlink r:id="rId710" ref="O361"/>
    <hyperlink r:id="rId711" ref="N362"/>
    <hyperlink r:id="rId712" ref="O362"/>
    <hyperlink r:id="rId713" ref="N363"/>
    <hyperlink r:id="rId714" ref="O363"/>
    <hyperlink r:id="rId715" ref="N364"/>
    <hyperlink r:id="rId716" ref="O364"/>
    <hyperlink r:id="rId717" ref="N365"/>
    <hyperlink r:id="rId718" ref="O365"/>
    <hyperlink r:id="rId719" ref="N366"/>
    <hyperlink r:id="rId720" ref="O366"/>
    <hyperlink r:id="rId721" ref="N367"/>
    <hyperlink r:id="rId722" ref="O367"/>
    <hyperlink r:id="rId723" ref="N368"/>
    <hyperlink r:id="rId724" ref="O368"/>
    <hyperlink r:id="rId725" ref="N369"/>
    <hyperlink r:id="rId726" ref="O369"/>
    <hyperlink r:id="rId727" ref="N370"/>
    <hyperlink r:id="rId728" ref="O370"/>
    <hyperlink r:id="rId729" ref="N371"/>
    <hyperlink r:id="rId730" ref="O371"/>
    <hyperlink r:id="rId731" ref="N372"/>
    <hyperlink r:id="rId732" ref="O372"/>
    <hyperlink r:id="rId733" ref="N373"/>
    <hyperlink r:id="rId734" ref="O373"/>
    <hyperlink r:id="rId735" ref="N374"/>
    <hyperlink r:id="rId736" ref="O374"/>
    <hyperlink r:id="rId737" ref="N375"/>
    <hyperlink r:id="rId738" ref="O375"/>
    <hyperlink r:id="rId739" ref="N376"/>
    <hyperlink r:id="rId740" ref="O376"/>
    <hyperlink r:id="rId741" ref="N377"/>
    <hyperlink r:id="rId742" ref="O377"/>
    <hyperlink r:id="rId743" ref="N378"/>
    <hyperlink r:id="rId744" ref="O378"/>
    <hyperlink r:id="rId745" ref="N379"/>
    <hyperlink r:id="rId746" ref="O379"/>
    <hyperlink r:id="rId747" ref="N380"/>
    <hyperlink r:id="rId748" ref="O380"/>
    <hyperlink r:id="rId749" ref="N381"/>
    <hyperlink r:id="rId750" ref="O381"/>
    <hyperlink r:id="rId751" ref="N382"/>
    <hyperlink r:id="rId752" ref="O382"/>
    <hyperlink r:id="rId753" ref="N383"/>
    <hyperlink r:id="rId754" ref="O383"/>
    <hyperlink r:id="rId755" ref="N384"/>
    <hyperlink r:id="rId756" ref="O384"/>
    <hyperlink r:id="rId757" ref="N385"/>
    <hyperlink r:id="rId758" ref="O385"/>
    <hyperlink r:id="rId759" ref="N386"/>
    <hyperlink r:id="rId760" ref="O386"/>
    <hyperlink r:id="rId761" ref="N387"/>
    <hyperlink r:id="rId762" ref="O387"/>
    <hyperlink r:id="rId763" ref="N388"/>
    <hyperlink r:id="rId764" ref="O388"/>
    <hyperlink r:id="rId765" ref="N389"/>
    <hyperlink r:id="rId766" ref="O389"/>
    <hyperlink r:id="rId767" ref="N390"/>
    <hyperlink r:id="rId768" ref="O390"/>
    <hyperlink r:id="rId769" ref="N391"/>
    <hyperlink r:id="rId770" ref="O391"/>
    <hyperlink r:id="rId771" ref="N392"/>
    <hyperlink r:id="rId772" ref="O392"/>
    <hyperlink r:id="rId773" ref="N393"/>
    <hyperlink r:id="rId774" ref="O393"/>
    <hyperlink r:id="rId775" ref="N394"/>
    <hyperlink r:id="rId776" ref="O394"/>
    <hyperlink r:id="rId777" ref="N395"/>
    <hyperlink r:id="rId778" ref="O395"/>
    <hyperlink r:id="rId779" ref="N396"/>
    <hyperlink r:id="rId780" ref="O396"/>
    <hyperlink r:id="rId781" ref="N397"/>
    <hyperlink r:id="rId782" ref="O397"/>
    <hyperlink r:id="rId783" ref="N398"/>
    <hyperlink r:id="rId784" ref="O398"/>
    <hyperlink r:id="rId785" ref="N399"/>
    <hyperlink r:id="rId786" ref="O399"/>
    <hyperlink r:id="rId787" ref="N400"/>
    <hyperlink r:id="rId788" ref="O400"/>
    <hyperlink r:id="rId789" ref="N401"/>
    <hyperlink r:id="rId790" ref="O401"/>
    <hyperlink r:id="rId791" ref="N402"/>
    <hyperlink r:id="rId792" ref="O402"/>
    <hyperlink r:id="rId793" ref="N403"/>
    <hyperlink r:id="rId794" ref="O403"/>
    <hyperlink r:id="rId795" ref="N404"/>
    <hyperlink r:id="rId796" ref="O404"/>
    <hyperlink r:id="rId797" ref="N405"/>
    <hyperlink r:id="rId798" ref="O405"/>
    <hyperlink r:id="rId799" ref="N406"/>
    <hyperlink r:id="rId800" ref="O406"/>
    <hyperlink r:id="rId801" ref="N407"/>
    <hyperlink r:id="rId802" ref="O407"/>
    <hyperlink r:id="rId803" ref="N408"/>
    <hyperlink r:id="rId804" ref="O408"/>
    <hyperlink r:id="rId805" ref="N409"/>
    <hyperlink r:id="rId806" ref="O409"/>
    <hyperlink r:id="rId807" ref="N410"/>
    <hyperlink r:id="rId808" ref="O410"/>
    <hyperlink r:id="rId809" ref="N411"/>
    <hyperlink r:id="rId810" ref="O411"/>
    <hyperlink r:id="rId811" ref="N412"/>
    <hyperlink r:id="rId812" ref="O412"/>
    <hyperlink r:id="rId813" ref="N413"/>
    <hyperlink r:id="rId814" ref="O413"/>
    <hyperlink r:id="rId815" ref="N414"/>
    <hyperlink r:id="rId816" ref="O414"/>
    <hyperlink r:id="rId817" ref="N415"/>
    <hyperlink r:id="rId818" ref="O415"/>
    <hyperlink r:id="rId819" ref="N416"/>
    <hyperlink r:id="rId820" ref="O416"/>
    <hyperlink r:id="rId821" ref="N417"/>
    <hyperlink r:id="rId822" ref="O417"/>
    <hyperlink r:id="rId823" ref="N418"/>
    <hyperlink r:id="rId824" ref="O418"/>
    <hyperlink r:id="rId825" ref="N419"/>
    <hyperlink r:id="rId826" ref="O419"/>
    <hyperlink r:id="rId827" ref="N420"/>
    <hyperlink r:id="rId828" ref="O420"/>
    <hyperlink r:id="rId829" ref="N421"/>
    <hyperlink r:id="rId830" ref="O421"/>
    <hyperlink r:id="rId831" ref="N422"/>
    <hyperlink r:id="rId832" ref="O422"/>
    <hyperlink r:id="rId833" ref="N423"/>
    <hyperlink r:id="rId834" ref="O423"/>
    <hyperlink r:id="rId835" ref="N424"/>
    <hyperlink r:id="rId836" ref="O424"/>
    <hyperlink r:id="rId837" ref="N425"/>
    <hyperlink r:id="rId838" ref="O425"/>
    <hyperlink r:id="rId839" ref="N426"/>
    <hyperlink r:id="rId840" ref="O426"/>
    <hyperlink r:id="rId841" ref="N427"/>
    <hyperlink r:id="rId842" ref="O427"/>
    <hyperlink r:id="rId843" ref="N428"/>
    <hyperlink r:id="rId844" ref="O428"/>
    <hyperlink r:id="rId845" ref="N429"/>
    <hyperlink r:id="rId846" ref="O429"/>
    <hyperlink r:id="rId847" ref="N430"/>
    <hyperlink r:id="rId848" ref="O430"/>
    <hyperlink r:id="rId849" ref="N432"/>
    <hyperlink r:id="rId850" ref="O432"/>
    <hyperlink r:id="rId851" ref="N433"/>
    <hyperlink r:id="rId852" ref="O433"/>
    <hyperlink r:id="rId853" ref="N434"/>
    <hyperlink r:id="rId854" ref="O434"/>
    <hyperlink r:id="rId855" ref="N435"/>
    <hyperlink r:id="rId856" ref="O435"/>
    <hyperlink r:id="rId857" ref="N436"/>
    <hyperlink r:id="rId858" ref="O436"/>
    <hyperlink r:id="rId859" ref="N437"/>
    <hyperlink r:id="rId860" ref="O437"/>
    <hyperlink r:id="rId861" ref="N438"/>
    <hyperlink r:id="rId862" ref="O438"/>
    <hyperlink r:id="rId863" ref="N439"/>
    <hyperlink r:id="rId864" ref="O439"/>
    <hyperlink r:id="rId865" ref="N440"/>
    <hyperlink r:id="rId866" ref="O440"/>
    <hyperlink r:id="rId867" ref="N441"/>
    <hyperlink r:id="rId868" ref="O441"/>
    <hyperlink r:id="rId869" ref="N442"/>
    <hyperlink r:id="rId870" ref="O442"/>
    <hyperlink r:id="rId871" ref="N443"/>
    <hyperlink r:id="rId872" ref="O443"/>
    <hyperlink r:id="rId873" ref="N444"/>
    <hyperlink r:id="rId874" ref="O444"/>
    <hyperlink r:id="rId875" ref="N445"/>
    <hyperlink r:id="rId876" ref="O445"/>
    <hyperlink r:id="rId877" ref="N446"/>
    <hyperlink r:id="rId878" ref="O446"/>
    <hyperlink r:id="rId879" ref="N447"/>
    <hyperlink r:id="rId880" ref="O447"/>
    <hyperlink r:id="rId881" ref="N448"/>
    <hyperlink r:id="rId882" ref="O448"/>
    <hyperlink r:id="rId883" ref="N449"/>
    <hyperlink r:id="rId884" ref="O449"/>
    <hyperlink r:id="rId885" ref="N450"/>
    <hyperlink r:id="rId886" ref="O450"/>
    <hyperlink r:id="rId887" ref="N451"/>
    <hyperlink r:id="rId888" ref="O451"/>
    <hyperlink r:id="rId889" ref="N452"/>
    <hyperlink r:id="rId890" ref="O452"/>
    <hyperlink r:id="rId891" ref="N453"/>
    <hyperlink r:id="rId892" ref="O453"/>
    <hyperlink r:id="rId893" ref="N454"/>
    <hyperlink r:id="rId894" ref="O454"/>
    <hyperlink r:id="rId895" ref="N455"/>
    <hyperlink r:id="rId896" ref="O455"/>
    <hyperlink r:id="rId897" ref="N456"/>
    <hyperlink r:id="rId898" ref="O456"/>
    <hyperlink r:id="rId899" ref="N457"/>
    <hyperlink r:id="rId900" ref="O457"/>
    <hyperlink r:id="rId901" ref="N458"/>
    <hyperlink r:id="rId902" ref="O458"/>
    <hyperlink r:id="rId903" ref="N459"/>
    <hyperlink r:id="rId904" ref="O459"/>
    <hyperlink r:id="rId905" ref="N460"/>
    <hyperlink r:id="rId906" ref="O460"/>
    <hyperlink r:id="rId907" ref="N461"/>
    <hyperlink r:id="rId908" ref="O461"/>
    <hyperlink r:id="rId909" ref="N462"/>
    <hyperlink r:id="rId910" ref="O462"/>
    <hyperlink r:id="rId911" ref="N463"/>
    <hyperlink r:id="rId912" ref="O463"/>
    <hyperlink r:id="rId913" ref="N464"/>
    <hyperlink r:id="rId914" ref="O464"/>
    <hyperlink r:id="rId915" ref="N465"/>
    <hyperlink r:id="rId916" ref="O465"/>
    <hyperlink r:id="rId917" ref="N466"/>
    <hyperlink r:id="rId918" ref="O466"/>
    <hyperlink r:id="rId919" ref="N467"/>
    <hyperlink r:id="rId920" ref="O467"/>
    <hyperlink r:id="rId921" ref="N468"/>
    <hyperlink r:id="rId922" ref="O468"/>
    <hyperlink r:id="rId923" ref="N469"/>
    <hyperlink r:id="rId924" ref="O469"/>
    <hyperlink r:id="rId925" ref="N470"/>
    <hyperlink r:id="rId926" ref="O470"/>
    <hyperlink r:id="rId927" ref="N471"/>
    <hyperlink r:id="rId928" ref="O471"/>
    <hyperlink r:id="rId929" ref="N472"/>
    <hyperlink r:id="rId930" ref="O472"/>
    <hyperlink r:id="rId931" ref="N473"/>
    <hyperlink r:id="rId932" ref="O473"/>
    <hyperlink r:id="rId933" ref="N474"/>
    <hyperlink r:id="rId934" ref="O474"/>
    <hyperlink r:id="rId935" ref="N475"/>
    <hyperlink r:id="rId936" ref="O475"/>
    <hyperlink r:id="rId937" ref="N476"/>
    <hyperlink r:id="rId938" ref="O476"/>
    <hyperlink r:id="rId939" ref="N477"/>
    <hyperlink r:id="rId940" ref="O477"/>
    <hyperlink r:id="rId941" ref="N478"/>
    <hyperlink r:id="rId942" ref="O478"/>
    <hyperlink r:id="rId943" ref="N479"/>
    <hyperlink r:id="rId944" ref="O479"/>
    <hyperlink r:id="rId945" ref="N480"/>
    <hyperlink r:id="rId946" ref="O480"/>
    <hyperlink r:id="rId947" ref="N481"/>
    <hyperlink r:id="rId948" ref="O481"/>
    <hyperlink r:id="rId949" ref="N482"/>
    <hyperlink r:id="rId950" ref="O482"/>
    <hyperlink r:id="rId951" ref="N483"/>
    <hyperlink r:id="rId952" ref="O483"/>
    <hyperlink r:id="rId953" ref="N484"/>
    <hyperlink r:id="rId954" ref="O484"/>
    <hyperlink r:id="rId955" ref="N485"/>
    <hyperlink r:id="rId956" ref="O485"/>
    <hyperlink r:id="rId957" ref="N486"/>
    <hyperlink r:id="rId958" ref="O486"/>
    <hyperlink r:id="rId959" ref="N487"/>
    <hyperlink r:id="rId960" ref="O487"/>
    <hyperlink r:id="rId961" ref="N488"/>
    <hyperlink r:id="rId962" ref="O488"/>
    <hyperlink r:id="rId963" ref="N489"/>
    <hyperlink r:id="rId964" ref="O489"/>
    <hyperlink r:id="rId965" ref="N490"/>
    <hyperlink r:id="rId966" ref="O490"/>
    <hyperlink r:id="rId967" ref="N491"/>
    <hyperlink r:id="rId968" ref="O491"/>
    <hyperlink r:id="rId969" ref="N492"/>
    <hyperlink r:id="rId970" ref="O492"/>
    <hyperlink r:id="rId971" ref="N493"/>
    <hyperlink r:id="rId972" ref="O493"/>
    <hyperlink r:id="rId973" ref="N494"/>
    <hyperlink r:id="rId974" ref="O494"/>
    <hyperlink r:id="rId975" ref="N495"/>
    <hyperlink r:id="rId976" ref="O495"/>
    <hyperlink r:id="rId977" ref="N496"/>
    <hyperlink r:id="rId978" ref="O496"/>
    <hyperlink r:id="rId979" ref="N497"/>
    <hyperlink r:id="rId980" ref="O497"/>
    <hyperlink r:id="rId981" ref="N498"/>
    <hyperlink r:id="rId982" ref="O498"/>
    <hyperlink r:id="rId983" ref="N499"/>
    <hyperlink r:id="rId984" ref="O499"/>
    <hyperlink r:id="rId985" ref="N500"/>
    <hyperlink r:id="rId986" ref="O500"/>
    <hyperlink r:id="rId987" ref="N501"/>
    <hyperlink r:id="rId988" ref="O501"/>
    <hyperlink r:id="rId989" ref="N502"/>
    <hyperlink r:id="rId990" ref="O502"/>
    <hyperlink r:id="rId991" ref="N503"/>
    <hyperlink r:id="rId992" ref="O503"/>
    <hyperlink r:id="rId993" ref="N504"/>
    <hyperlink r:id="rId994" ref="O504"/>
    <hyperlink r:id="rId995" ref="N505"/>
    <hyperlink r:id="rId996" ref="O505"/>
    <hyperlink r:id="rId997" ref="N506"/>
    <hyperlink r:id="rId998" ref="O506"/>
    <hyperlink r:id="rId999" ref="N507"/>
    <hyperlink r:id="rId1000" ref="O507"/>
    <hyperlink r:id="rId1001" ref="N508"/>
    <hyperlink r:id="rId1002" ref="O508"/>
    <hyperlink r:id="rId1003" ref="N509"/>
    <hyperlink r:id="rId1004" ref="O509"/>
    <hyperlink r:id="rId1005" ref="N510"/>
    <hyperlink r:id="rId1006" ref="O510"/>
    <hyperlink r:id="rId1007" ref="N511"/>
    <hyperlink r:id="rId1008" ref="N512"/>
    <hyperlink r:id="rId1009" ref="O512"/>
    <hyperlink r:id="rId1010" ref="N513"/>
    <hyperlink r:id="rId1011" ref="O513"/>
    <hyperlink r:id="rId1012" ref="N514"/>
    <hyperlink r:id="rId1013" ref="O514"/>
    <hyperlink r:id="rId1014" ref="N515"/>
    <hyperlink r:id="rId1015" ref="O515"/>
    <hyperlink r:id="rId1016" ref="N516"/>
    <hyperlink r:id="rId1017" ref="O516"/>
    <hyperlink r:id="rId1018" ref="N517"/>
    <hyperlink r:id="rId1019" ref="O517"/>
    <hyperlink r:id="rId1020" ref="N518"/>
    <hyperlink r:id="rId1021" ref="O518"/>
    <hyperlink r:id="rId1022" ref="N519"/>
    <hyperlink r:id="rId1023" ref="O519"/>
    <hyperlink r:id="rId1024" ref="N520"/>
    <hyperlink r:id="rId1025" ref="O520"/>
    <hyperlink r:id="rId1026" ref="N521"/>
    <hyperlink r:id="rId1027" ref="O521"/>
    <hyperlink r:id="rId1028" ref="N522"/>
    <hyperlink r:id="rId1029" ref="O522"/>
    <hyperlink r:id="rId1030" ref="N523"/>
    <hyperlink r:id="rId1031" ref="O523"/>
    <hyperlink r:id="rId1032" ref="N524"/>
    <hyperlink r:id="rId1033" ref="O524"/>
    <hyperlink r:id="rId1034" ref="N525"/>
    <hyperlink r:id="rId1035" ref="O525"/>
    <hyperlink r:id="rId1036" ref="N526"/>
    <hyperlink r:id="rId1037" ref="O526"/>
    <hyperlink r:id="rId1038" ref="N527"/>
    <hyperlink r:id="rId1039" ref="O527"/>
    <hyperlink r:id="rId1040" ref="N528"/>
    <hyperlink r:id="rId1041" ref="O528"/>
    <hyperlink r:id="rId1042" ref="N529"/>
    <hyperlink r:id="rId1043" ref="O529"/>
    <hyperlink r:id="rId1044" ref="N530"/>
    <hyperlink r:id="rId1045" ref="O530"/>
    <hyperlink r:id="rId1046" ref="N531"/>
    <hyperlink r:id="rId1047" ref="O531"/>
    <hyperlink r:id="rId1048" ref="N532"/>
    <hyperlink r:id="rId1049" ref="O532"/>
    <hyperlink r:id="rId1050" ref="N533"/>
    <hyperlink r:id="rId1051" ref="O533"/>
    <hyperlink r:id="rId1052" ref="N534"/>
    <hyperlink r:id="rId1053" ref="O534"/>
    <hyperlink r:id="rId1054" ref="N535"/>
    <hyperlink r:id="rId1055" ref="O535"/>
    <hyperlink r:id="rId1056" ref="N536"/>
    <hyperlink r:id="rId1057" ref="O536"/>
    <hyperlink r:id="rId1058" ref="N537"/>
    <hyperlink r:id="rId1059" ref="O537"/>
    <hyperlink r:id="rId1060" ref="N538"/>
    <hyperlink r:id="rId1061" ref="O538"/>
    <hyperlink r:id="rId1062" ref="N539"/>
    <hyperlink r:id="rId1063" ref="O539"/>
    <hyperlink r:id="rId1064" ref="N540"/>
    <hyperlink r:id="rId1065" ref="O540"/>
    <hyperlink r:id="rId1066" ref="N541"/>
    <hyperlink r:id="rId1067" ref="O541"/>
    <hyperlink r:id="rId1068" ref="N543"/>
    <hyperlink r:id="rId1069" ref="O543"/>
    <hyperlink r:id="rId1070" ref="N544"/>
    <hyperlink r:id="rId1071" ref="O544"/>
    <hyperlink r:id="rId1072" ref="N545"/>
    <hyperlink r:id="rId1073" ref="O545"/>
    <hyperlink r:id="rId1074" ref="N546"/>
    <hyperlink r:id="rId1075" ref="O546"/>
    <hyperlink r:id="rId1076" ref="N547"/>
    <hyperlink r:id="rId1077" ref="N548"/>
    <hyperlink r:id="rId1078" ref="O548"/>
    <hyperlink r:id="rId1079" ref="N549"/>
    <hyperlink r:id="rId1080" ref="O549"/>
    <hyperlink r:id="rId1081" ref="N550"/>
    <hyperlink r:id="rId1082" ref="O550"/>
    <hyperlink r:id="rId1083" ref="N551"/>
    <hyperlink r:id="rId1084" ref="O551"/>
    <hyperlink r:id="rId1085" ref="N552"/>
    <hyperlink r:id="rId1086" ref="O552"/>
    <hyperlink r:id="rId1087" ref="N553"/>
    <hyperlink r:id="rId1088" ref="O553"/>
    <hyperlink r:id="rId1089" ref="N554"/>
    <hyperlink r:id="rId1090" ref="O554"/>
    <hyperlink r:id="rId1091" ref="N555"/>
    <hyperlink r:id="rId1092" ref="O555"/>
    <hyperlink r:id="rId1093" ref="N556"/>
    <hyperlink r:id="rId1094" ref="O556"/>
    <hyperlink r:id="rId1095" ref="N557"/>
    <hyperlink r:id="rId1096" ref="O557"/>
    <hyperlink r:id="rId1097" ref="N558"/>
    <hyperlink r:id="rId1098" ref="O558"/>
    <hyperlink r:id="rId1099" ref="N559"/>
    <hyperlink r:id="rId1100" ref="O559"/>
    <hyperlink r:id="rId1101" ref="N560"/>
    <hyperlink r:id="rId1102" ref="O560"/>
    <hyperlink r:id="rId1103" ref="N561"/>
    <hyperlink r:id="rId1104" ref="O561"/>
    <hyperlink r:id="rId1105" ref="N562"/>
    <hyperlink r:id="rId1106" ref="O562"/>
    <hyperlink r:id="rId1107" ref="N563"/>
    <hyperlink r:id="rId1108" ref="O563"/>
    <hyperlink r:id="rId1109" ref="N564"/>
    <hyperlink r:id="rId1110" ref="O564"/>
    <hyperlink r:id="rId1111" ref="N565"/>
    <hyperlink r:id="rId1112" ref="N566"/>
    <hyperlink r:id="rId1113" ref="O566"/>
    <hyperlink r:id="rId1114" ref="N567"/>
    <hyperlink r:id="rId1115" ref="O567"/>
    <hyperlink r:id="rId1116" ref="N568"/>
    <hyperlink r:id="rId1117" ref="O568"/>
    <hyperlink r:id="rId1118" ref="N569"/>
    <hyperlink r:id="rId1119" ref="N570"/>
    <hyperlink r:id="rId1120" ref="N571"/>
    <hyperlink r:id="rId1121" ref="O571"/>
    <hyperlink r:id="rId1122" ref="N572"/>
    <hyperlink r:id="rId1123" ref="O572"/>
    <hyperlink r:id="rId1124" ref="N573"/>
    <hyperlink r:id="rId1125" ref="O573"/>
    <hyperlink r:id="rId1126" ref="N574"/>
    <hyperlink r:id="rId1127" ref="O574"/>
    <hyperlink r:id="rId1128" ref="N575"/>
    <hyperlink r:id="rId1129" ref="O575"/>
    <hyperlink r:id="rId1130" ref="N576"/>
    <hyperlink r:id="rId1131" ref="O576"/>
    <hyperlink r:id="rId1132" ref="N577"/>
    <hyperlink r:id="rId1133" ref="O577"/>
    <hyperlink r:id="rId1134" ref="N578"/>
    <hyperlink r:id="rId1135" ref="O578"/>
    <hyperlink r:id="rId1136" ref="N579"/>
    <hyperlink r:id="rId1137" ref="O579"/>
    <hyperlink r:id="rId1138" ref="N580"/>
    <hyperlink r:id="rId1139" ref="O580"/>
    <hyperlink r:id="rId1140" ref="N581"/>
    <hyperlink r:id="rId1141" ref="O581"/>
    <hyperlink r:id="rId1142" ref="N582"/>
    <hyperlink r:id="rId1143" ref="O582"/>
    <hyperlink r:id="rId1144" ref="N583"/>
    <hyperlink r:id="rId1145" ref="O583"/>
    <hyperlink r:id="rId1146" ref="N584"/>
    <hyperlink r:id="rId1147" ref="O584"/>
    <hyperlink r:id="rId1148" ref="N585"/>
    <hyperlink r:id="rId1149" ref="O585"/>
    <hyperlink r:id="rId1150" ref="N586"/>
    <hyperlink r:id="rId1151" ref="O586"/>
    <hyperlink r:id="rId1152" ref="N587"/>
    <hyperlink r:id="rId1153" ref="O587"/>
    <hyperlink r:id="rId1154" ref="N588"/>
    <hyperlink r:id="rId1155" ref="O588"/>
    <hyperlink r:id="rId1156" ref="N589"/>
    <hyperlink r:id="rId1157" ref="O589"/>
    <hyperlink r:id="rId1158" ref="N590"/>
    <hyperlink r:id="rId1159" ref="O590"/>
    <hyperlink r:id="rId1160" ref="N591"/>
    <hyperlink r:id="rId1161" ref="O591"/>
    <hyperlink r:id="rId1162" ref="N592"/>
    <hyperlink r:id="rId1163" ref="O592"/>
    <hyperlink r:id="rId1164" ref="N593"/>
    <hyperlink r:id="rId1165" ref="O593"/>
    <hyperlink r:id="rId1166" ref="N594"/>
    <hyperlink r:id="rId1167" ref="O594"/>
    <hyperlink r:id="rId1168" ref="N595"/>
    <hyperlink r:id="rId1169" ref="O595"/>
    <hyperlink r:id="rId1170" ref="N596"/>
    <hyperlink r:id="rId1171" ref="O596"/>
    <hyperlink r:id="rId1172" ref="N597"/>
    <hyperlink r:id="rId1173" ref="O597"/>
    <hyperlink r:id="rId1174" ref="N598"/>
    <hyperlink r:id="rId1175" ref="O598"/>
    <hyperlink r:id="rId1176" ref="N599"/>
    <hyperlink r:id="rId1177" ref="O599"/>
    <hyperlink r:id="rId1178" ref="N600"/>
    <hyperlink r:id="rId1179" ref="O600"/>
    <hyperlink r:id="rId1180" ref="N601"/>
    <hyperlink r:id="rId1181" ref="O601"/>
    <hyperlink r:id="rId1182" ref="N602"/>
    <hyperlink r:id="rId1183" ref="O602"/>
    <hyperlink r:id="rId1184" ref="N603"/>
    <hyperlink r:id="rId1185" ref="O603"/>
    <hyperlink r:id="rId1186" ref="N604"/>
    <hyperlink r:id="rId1187" ref="O604"/>
    <hyperlink r:id="rId1188" ref="N605"/>
    <hyperlink r:id="rId1189" ref="O605"/>
    <hyperlink r:id="rId1190" ref="N606"/>
    <hyperlink r:id="rId1191" ref="N607"/>
    <hyperlink r:id="rId1192" ref="O607"/>
    <hyperlink r:id="rId1193" ref="N608"/>
    <hyperlink r:id="rId1194" ref="O608"/>
    <hyperlink r:id="rId1195" ref="N609"/>
    <hyperlink r:id="rId1196" ref="O609"/>
    <hyperlink r:id="rId1197" ref="N610"/>
    <hyperlink r:id="rId1198" ref="O610"/>
    <hyperlink r:id="rId1199" ref="N611"/>
    <hyperlink r:id="rId1200" ref="O611"/>
    <hyperlink r:id="rId1201" ref="N612"/>
    <hyperlink r:id="rId1202" ref="O612"/>
    <hyperlink r:id="rId1203" ref="N613"/>
    <hyperlink r:id="rId1204" ref="O613"/>
    <hyperlink r:id="rId1205" ref="N614"/>
    <hyperlink r:id="rId1206" ref="O614"/>
    <hyperlink r:id="rId1207" ref="N615"/>
    <hyperlink r:id="rId1208" ref="O615"/>
    <hyperlink r:id="rId1209" ref="N616"/>
    <hyperlink r:id="rId1210" ref="O616"/>
    <hyperlink r:id="rId1211" ref="N617"/>
    <hyperlink r:id="rId1212" ref="O617"/>
    <hyperlink r:id="rId1213" ref="N618"/>
    <hyperlink r:id="rId1214" ref="O618"/>
    <hyperlink r:id="rId1215" ref="N619"/>
    <hyperlink r:id="rId1216" ref="O619"/>
    <hyperlink r:id="rId1217" ref="N620"/>
    <hyperlink r:id="rId1218" ref="O620"/>
    <hyperlink r:id="rId1219" ref="N621"/>
    <hyperlink r:id="rId1220" ref="N622"/>
    <hyperlink r:id="rId1221" ref="O622"/>
    <hyperlink r:id="rId1222" ref="N623"/>
    <hyperlink r:id="rId1223" ref="O623"/>
    <hyperlink r:id="rId1224" ref="N624"/>
    <hyperlink r:id="rId1225" ref="O624"/>
    <hyperlink r:id="rId1226" ref="N625"/>
    <hyperlink r:id="rId1227" ref="O625"/>
    <hyperlink r:id="rId1228" ref="N626"/>
    <hyperlink r:id="rId1229" ref="O626"/>
    <hyperlink r:id="rId1230" ref="N627"/>
    <hyperlink r:id="rId1231" ref="O627"/>
    <hyperlink r:id="rId1232" ref="N628"/>
    <hyperlink r:id="rId1233" ref="O628"/>
    <hyperlink r:id="rId1234" ref="N629"/>
    <hyperlink r:id="rId1235" ref="O629"/>
    <hyperlink r:id="rId1236" ref="N630"/>
    <hyperlink r:id="rId1237" ref="N631"/>
    <hyperlink r:id="rId1238" ref="O631"/>
    <hyperlink r:id="rId1239" ref="N632"/>
    <hyperlink r:id="rId1240" ref="O632"/>
    <hyperlink r:id="rId1241" ref="N633"/>
    <hyperlink r:id="rId1242" ref="O633"/>
    <hyperlink r:id="rId1243" ref="N634"/>
    <hyperlink r:id="rId1244" ref="O634"/>
    <hyperlink r:id="rId1245" ref="N635"/>
    <hyperlink r:id="rId1246" ref="O635"/>
    <hyperlink r:id="rId1247" ref="N636"/>
    <hyperlink r:id="rId1248" ref="O636"/>
    <hyperlink r:id="rId1249" ref="N637"/>
    <hyperlink r:id="rId1250" ref="O637"/>
    <hyperlink r:id="rId1251" ref="N638"/>
    <hyperlink r:id="rId1252" ref="O638"/>
    <hyperlink r:id="rId1253" ref="N639"/>
    <hyperlink r:id="rId1254" ref="O639"/>
    <hyperlink r:id="rId1255" ref="N640"/>
    <hyperlink r:id="rId1256" ref="O640"/>
    <hyperlink r:id="rId1257" ref="N641"/>
    <hyperlink r:id="rId1258" ref="O641"/>
    <hyperlink r:id="rId1259" ref="N642"/>
    <hyperlink r:id="rId1260" ref="O642"/>
    <hyperlink r:id="rId1261" ref="N643"/>
    <hyperlink r:id="rId1262" ref="O643"/>
    <hyperlink r:id="rId1263" ref="N644"/>
    <hyperlink r:id="rId1264" ref="O644"/>
    <hyperlink r:id="rId1265" ref="N645"/>
    <hyperlink r:id="rId1266" ref="O645"/>
    <hyperlink r:id="rId1267" ref="N646"/>
    <hyperlink r:id="rId1268" ref="O646"/>
    <hyperlink r:id="rId1269" ref="N647"/>
    <hyperlink r:id="rId1270" ref="O647"/>
    <hyperlink r:id="rId1271" ref="N648"/>
    <hyperlink r:id="rId1272" ref="O648"/>
    <hyperlink r:id="rId1273" ref="N649"/>
    <hyperlink r:id="rId1274" ref="O649"/>
    <hyperlink r:id="rId1275" ref="N650"/>
    <hyperlink r:id="rId1276" ref="O650"/>
    <hyperlink r:id="rId1277" ref="N651"/>
    <hyperlink r:id="rId1278" ref="O651"/>
    <hyperlink r:id="rId1279" ref="N652"/>
    <hyperlink r:id="rId1280" ref="O652"/>
    <hyperlink r:id="rId1281" ref="N653"/>
    <hyperlink r:id="rId1282" ref="N654"/>
    <hyperlink r:id="rId1283" ref="O654"/>
    <hyperlink r:id="rId1284" ref="N655"/>
    <hyperlink r:id="rId1285" ref="O655"/>
    <hyperlink r:id="rId1286" ref="N656"/>
    <hyperlink r:id="rId1287" ref="O656"/>
    <hyperlink r:id="rId1288" ref="N657"/>
    <hyperlink r:id="rId1289" ref="O657"/>
    <hyperlink r:id="rId1290" ref="N658"/>
    <hyperlink r:id="rId1291" ref="O658"/>
    <hyperlink r:id="rId1292" ref="N659"/>
    <hyperlink r:id="rId1293" ref="O659"/>
    <hyperlink r:id="rId1294" ref="N660"/>
    <hyperlink r:id="rId1295" ref="N661"/>
    <hyperlink r:id="rId1296" ref="O661"/>
    <hyperlink r:id="rId1297" ref="N662"/>
    <hyperlink r:id="rId1298" ref="O662"/>
    <hyperlink r:id="rId1299" ref="N663"/>
    <hyperlink r:id="rId1300" ref="O663"/>
    <hyperlink r:id="rId1301" ref="N664"/>
    <hyperlink r:id="rId1302" ref="O664"/>
    <hyperlink r:id="rId1303" ref="N665"/>
    <hyperlink r:id="rId1304" ref="O665"/>
    <hyperlink r:id="rId1305" ref="N666"/>
    <hyperlink r:id="rId1306" ref="O666"/>
    <hyperlink r:id="rId1307" ref="N667"/>
    <hyperlink r:id="rId1308" ref="O667"/>
    <hyperlink r:id="rId1309" ref="N668"/>
    <hyperlink r:id="rId1310" ref="O668"/>
    <hyperlink r:id="rId1311" ref="N669"/>
    <hyperlink r:id="rId1312" ref="O669"/>
    <hyperlink r:id="rId1313" ref="N670"/>
    <hyperlink r:id="rId1314" ref="O670"/>
    <hyperlink r:id="rId1315" ref="N671"/>
    <hyperlink r:id="rId1316" ref="O671"/>
    <hyperlink r:id="rId1317" ref="N672"/>
    <hyperlink r:id="rId1318" ref="O672"/>
    <hyperlink r:id="rId1319" ref="N673"/>
    <hyperlink r:id="rId1320" ref="O673"/>
    <hyperlink r:id="rId1321" ref="N674"/>
    <hyperlink r:id="rId1322" ref="N675"/>
    <hyperlink r:id="rId1323" ref="N676"/>
    <hyperlink r:id="rId1324" ref="O676"/>
    <hyperlink r:id="rId1325" ref="N677"/>
    <hyperlink r:id="rId1326" ref="N678"/>
    <hyperlink r:id="rId1327" ref="O678"/>
    <hyperlink r:id="rId1328" ref="N679"/>
    <hyperlink r:id="rId1329" ref="O680"/>
    <hyperlink r:id="rId1330" ref="N681"/>
    <hyperlink r:id="rId1331" ref="O681"/>
    <hyperlink r:id="rId1332" ref="N682"/>
    <hyperlink r:id="rId1333" ref="O682"/>
    <hyperlink r:id="rId1334" ref="N683"/>
    <hyperlink r:id="rId1335" ref="O683"/>
    <hyperlink r:id="rId1336" ref="N684"/>
    <hyperlink r:id="rId1337" ref="O684"/>
    <hyperlink r:id="rId1338" ref="N685"/>
    <hyperlink r:id="rId1339" ref="O685"/>
    <hyperlink r:id="rId1340" ref="N686"/>
    <hyperlink r:id="rId1341" ref="O686"/>
    <hyperlink r:id="rId1342" ref="N687"/>
    <hyperlink r:id="rId1343" ref="O687"/>
    <hyperlink r:id="rId1344" ref="N688"/>
    <hyperlink r:id="rId1345" ref="O688"/>
    <hyperlink r:id="rId1346" ref="N689"/>
    <hyperlink r:id="rId1347" ref="O689"/>
    <hyperlink r:id="rId1348" ref="N690"/>
    <hyperlink r:id="rId1349" ref="O690"/>
    <hyperlink r:id="rId1350" ref="N691"/>
    <hyperlink r:id="rId1351" ref="O691"/>
    <hyperlink r:id="rId1352" ref="N692"/>
    <hyperlink r:id="rId1353" ref="N693"/>
    <hyperlink r:id="rId1354" ref="N694"/>
    <hyperlink r:id="rId1355" ref="O694"/>
    <hyperlink r:id="rId1356" ref="N695"/>
    <hyperlink r:id="rId1357" ref="O695"/>
    <hyperlink r:id="rId1358" ref="N696"/>
    <hyperlink r:id="rId1359" ref="O696"/>
    <hyperlink r:id="rId1360" ref="N697"/>
    <hyperlink r:id="rId1361" ref="O697"/>
    <hyperlink r:id="rId1362" ref="N698"/>
    <hyperlink r:id="rId1363" ref="O698"/>
    <hyperlink r:id="rId1364" ref="N699"/>
    <hyperlink r:id="rId1365" ref="O699"/>
    <hyperlink r:id="rId1366" ref="N700"/>
    <hyperlink r:id="rId1367" ref="O700"/>
    <hyperlink r:id="rId1368" ref="N701"/>
    <hyperlink r:id="rId1369" ref="O701"/>
    <hyperlink r:id="rId1370" ref="N702"/>
    <hyperlink r:id="rId1371" ref="O702"/>
    <hyperlink r:id="rId1372" ref="N703"/>
    <hyperlink r:id="rId1373" ref="O703"/>
    <hyperlink r:id="rId1374" ref="N704"/>
    <hyperlink r:id="rId1375" ref="O704"/>
    <hyperlink r:id="rId1376" ref="N705"/>
    <hyperlink r:id="rId1377" ref="N706"/>
    <hyperlink r:id="rId1378" ref="O706"/>
    <hyperlink r:id="rId1379" ref="N707"/>
    <hyperlink r:id="rId1380" ref="O707"/>
    <hyperlink r:id="rId1381" ref="N708"/>
    <hyperlink r:id="rId1382" ref="O708"/>
    <hyperlink r:id="rId1383" ref="N709"/>
    <hyperlink r:id="rId1384" ref="O709"/>
    <hyperlink r:id="rId1385" ref="N710"/>
    <hyperlink r:id="rId1386" ref="O710"/>
    <hyperlink r:id="rId1387" ref="N711"/>
    <hyperlink r:id="rId1388" ref="O711"/>
    <hyperlink r:id="rId1389" ref="N712"/>
    <hyperlink r:id="rId1390" ref="O712"/>
    <hyperlink r:id="rId1391" ref="N713"/>
    <hyperlink r:id="rId1392" ref="O713"/>
    <hyperlink r:id="rId1393" ref="N714"/>
    <hyperlink r:id="rId1394" ref="O714"/>
    <hyperlink r:id="rId1395" ref="N715"/>
    <hyperlink r:id="rId1396" ref="O715"/>
    <hyperlink r:id="rId1397" ref="N716"/>
    <hyperlink r:id="rId1398" ref="O716"/>
    <hyperlink r:id="rId1399" ref="N717"/>
    <hyperlink r:id="rId1400" ref="O717"/>
    <hyperlink r:id="rId1401" ref="N718"/>
    <hyperlink r:id="rId1402" ref="O718"/>
    <hyperlink r:id="rId1403" ref="N719"/>
    <hyperlink r:id="rId1404" ref="O719"/>
    <hyperlink r:id="rId1405" ref="N720"/>
    <hyperlink r:id="rId1406" ref="O720"/>
    <hyperlink r:id="rId1407" ref="N721"/>
    <hyperlink r:id="rId1408" ref="O721"/>
    <hyperlink r:id="rId1409" ref="N722"/>
    <hyperlink r:id="rId1410" ref="N723"/>
    <hyperlink r:id="rId1411" ref="O723"/>
    <hyperlink r:id="rId1412" ref="N724"/>
    <hyperlink r:id="rId1413" ref="O724"/>
    <hyperlink r:id="rId1414" ref="N725"/>
    <hyperlink r:id="rId1415" ref="O725"/>
    <hyperlink r:id="rId1416" ref="N726"/>
    <hyperlink r:id="rId1417" ref="O726"/>
    <hyperlink r:id="rId1418" ref="N727"/>
    <hyperlink r:id="rId1419" ref="O727"/>
    <hyperlink r:id="rId1420" ref="N728"/>
    <hyperlink r:id="rId1421" ref="O728"/>
    <hyperlink r:id="rId1422" ref="N729"/>
    <hyperlink r:id="rId1423" ref="O729"/>
    <hyperlink r:id="rId1424" ref="N730"/>
    <hyperlink r:id="rId1425" ref="O730"/>
    <hyperlink r:id="rId1426" ref="N731"/>
    <hyperlink r:id="rId1427" ref="O731"/>
    <hyperlink r:id="rId1428" ref="N732"/>
    <hyperlink r:id="rId1429" ref="O732"/>
    <hyperlink r:id="rId1430" ref="N733"/>
    <hyperlink r:id="rId1431" ref="O733"/>
    <hyperlink r:id="rId1432" ref="N734"/>
    <hyperlink r:id="rId1433" ref="O734"/>
    <hyperlink r:id="rId1434" ref="N735"/>
    <hyperlink r:id="rId1435" ref="O735"/>
    <hyperlink r:id="rId1436" ref="N736"/>
    <hyperlink r:id="rId1437" ref="O736"/>
    <hyperlink r:id="rId1438" ref="N737"/>
    <hyperlink r:id="rId1439" ref="O737"/>
    <hyperlink r:id="rId1440" ref="N738"/>
    <hyperlink r:id="rId1441" ref="O738"/>
    <hyperlink r:id="rId1442" ref="N739"/>
    <hyperlink r:id="rId1443" ref="O739"/>
    <hyperlink r:id="rId1444" ref="N740"/>
    <hyperlink r:id="rId1445" ref="O740"/>
    <hyperlink r:id="rId1446" ref="N741"/>
    <hyperlink r:id="rId1447" ref="O741"/>
    <hyperlink r:id="rId1448" ref="N742"/>
    <hyperlink r:id="rId1449" ref="O742"/>
    <hyperlink r:id="rId1450" ref="N743"/>
    <hyperlink r:id="rId1451" ref="O743"/>
    <hyperlink r:id="rId1452" ref="N744"/>
    <hyperlink r:id="rId1453" ref="O744"/>
    <hyperlink r:id="rId1454" ref="N745"/>
    <hyperlink r:id="rId1455" ref="O745"/>
    <hyperlink r:id="rId1456" ref="N746"/>
    <hyperlink r:id="rId1457" ref="O746"/>
    <hyperlink r:id="rId1458" ref="N747"/>
    <hyperlink r:id="rId1459" ref="O747"/>
    <hyperlink r:id="rId1460" ref="N748"/>
    <hyperlink r:id="rId1461" ref="O748"/>
    <hyperlink r:id="rId1462" ref="N749"/>
    <hyperlink r:id="rId1463" ref="O749"/>
    <hyperlink r:id="rId1464" ref="N750"/>
    <hyperlink r:id="rId1465" ref="O750"/>
    <hyperlink r:id="rId1466" ref="N751"/>
    <hyperlink r:id="rId1467" ref="O751"/>
    <hyperlink r:id="rId1468" ref="N752"/>
    <hyperlink r:id="rId1469" ref="O752"/>
    <hyperlink r:id="rId1470" ref="N753"/>
    <hyperlink r:id="rId1471" ref="O753"/>
    <hyperlink r:id="rId1472" ref="N754"/>
    <hyperlink r:id="rId1473" ref="O754"/>
    <hyperlink r:id="rId1474" ref="N755"/>
    <hyperlink r:id="rId1475" ref="O755"/>
    <hyperlink r:id="rId1476" ref="N756"/>
    <hyperlink r:id="rId1477" ref="O756"/>
    <hyperlink r:id="rId1478" ref="N757"/>
    <hyperlink r:id="rId1479" ref="O757"/>
    <hyperlink r:id="rId1480" ref="N758"/>
    <hyperlink r:id="rId1481" ref="O758"/>
    <hyperlink r:id="rId1482" ref="N759"/>
    <hyperlink r:id="rId1483" ref="O759"/>
    <hyperlink r:id="rId1484" ref="N760"/>
    <hyperlink r:id="rId1485" ref="O760"/>
    <hyperlink r:id="rId1486" ref="N761"/>
    <hyperlink r:id="rId1487" ref="O761"/>
    <hyperlink r:id="rId1488" ref="N762"/>
    <hyperlink r:id="rId1489" ref="O762"/>
    <hyperlink r:id="rId1490" ref="N763"/>
    <hyperlink r:id="rId1491" ref="O763"/>
    <hyperlink r:id="rId1492" ref="N764"/>
    <hyperlink r:id="rId1493" ref="O764"/>
    <hyperlink r:id="rId1494" ref="N765"/>
    <hyperlink r:id="rId1495" ref="O765"/>
    <hyperlink r:id="rId1496" ref="N766"/>
    <hyperlink r:id="rId1497" ref="O766"/>
    <hyperlink r:id="rId1498" ref="N767"/>
    <hyperlink r:id="rId1499" ref="O767"/>
    <hyperlink r:id="rId1500" ref="N768"/>
    <hyperlink r:id="rId1501" ref="O768"/>
    <hyperlink r:id="rId1502" ref="N769"/>
    <hyperlink r:id="rId1503" ref="O769"/>
    <hyperlink r:id="rId1504" ref="N770"/>
    <hyperlink r:id="rId1505" ref="O770"/>
    <hyperlink r:id="rId1506" ref="N771"/>
    <hyperlink r:id="rId1507" ref="O771"/>
    <hyperlink r:id="rId1508" ref="N772"/>
    <hyperlink r:id="rId1509" ref="O772"/>
    <hyperlink r:id="rId1510" ref="N773"/>
    <hyperlink r:id="rId1511" ref="O773"/>
    <hyperlink r:id="rId1512" ref="N774"/>
    <hyperlink r:id="rId1513" ref="O774"/>
    <hyperlink r:id="rId1514" ref="N775"/>
    <hyperlink r:id="rId1515" ref="O776"/>
    <hyperlink r:id="rId1516" ref="N777"/>
    <hyperlink r:id="rId1517" ref="O777"/>
    <hyperlink r:id="rId1518" ref="N778"/>
    <hyperlink r:id="rId1519" ref="O778"/>
    <hyperlink r:id="rId1520" ref="N779"/>
    <hyperlink r:id="rId1521" ref="O779"/>
    <hyperlink r:id="rId1522" ref="N780"/>
    <hyperlink r:id="rId1523" ref="O780"/>
    <hyperlink r:id="rId1524" ref="N781"/>
    <hyperlink r:id="rId1525" ref="O781"/>
    <hyperlink r:id="rId1526" ref="N782"/>
    <hyperlink r:id="rId1527" ref="O782"/>
    <hyperlink r:id="rId1528" ref="N783"/>
    <hyperlink r:id="rId1529" ref="O783"/>
    <hyperlink r:id="rId1530" ref="N784"/>
    <hyperlink r:id="rId1531" ref="O784"/>
    <hyperlink r:id="rId1532" ref="N785"/>
    <hyperlink r:id="rId1533" ref="O785"/>
    <hyperlink r:id="rId1534" ref="N786"/>
    <hyperlink r:id="rId1535" ref="O786"/>
    <hyperlink r:id="rId1536" ref="N787"/>
    <hyperlink r:id="rId1537" ref="O787"/>
    <hyperlink r:id="rId1538" ref="N788"/>
    <hyperlink r:id="rId1539" ref="O788"/>
    <hyperlink r:id="rId1540" ref="N789"/>
    <hyperlink r:id="rId1541" ref="O789"/>
    <hyperlink r:id="rId1542" ref="N790"/>
    <hyperlink r:id="rId1543" ref="O791"/>
    <hyperlink r:id="rId1544" ref="N792"/>
    <hyperlink r:id="rId1545" ref="O792"/>
    <hyperlink r:id="rId1546" ref="N793"/>
    <hyperlink r:id="rId1547" ref="O793"/>
    <hyperlink r:id="rId1548" ref="O794"/>
    <hyperlink r:id="rId1549" ref="N795"/>
    <hyperlink r:id="rId1550" ref="O795"/>
    <hyperlink r:id="rId1551" ref="N796"/>
    <hyperlink r:id="rId1552" ref="O796"/>
    <hyperlink r:id="rId1553" ref="N797"/>
    <hyperlink r:id="rId1554" ref="O797"/>
    <hyperlink r:id="rId1555" ref="N798"/>
    <hyperlink r:id="rId1556" ref="O798"/>
    <hyperlink r:id="rId1557" ref="N799"/>
    <hyperlink r:id="rId1558" ref="O799"/>
    <hyperlink r:id="rId1559" ref="N800"/>
    <hyperlink r:id="rId1560" ref="O800"/>
    <hyperlink r:id="rId1561" ref="N801"/>
    <hyperlink r:id="rId1562" ref="O801"/>
    <hyperlink r:id="rId1563" ref="N802"/>
    <hyperlink r:id="rId1564" ref="O802"/>
    <hyperlink r:id="rId1565" ref="N803"/>
    <hyperlink r:id="rId1566" ref="O803"/>
    <hyperlink r:id="rId1567" ref="N804"/>
    <hyperlink r:id="rId1568" ref="O804"/>
    <hyperlink r:id="rId1569" ref="N805"/>
    <hyperlink r:id="rId1570" ref="O805"/>
    <hyperlink r:id="rId1571" ref="N806"/>
    <hyperlink r:id="rId1572" ref="O806"/>
    <hyperlink r:id="rId1573" ref="N807"/>
    <hyperlink r:id="rId1574" ref="O807"/>
    <hyperlink r:id="rId1575" ref="N808"/>
    <hyperlink r:id="rId1576" ref="O808"/>
    <hyperlink r:id="rId1577" ref="N809"/>
    <hyperlink r:id="rId1578" ref="O809"/>
    <hyperlink r:id="rId1579" ref="N810"/>
    <hyperlink r:id="rId1580" ref="O810"/>
    <hyperlink r:id="rId1581" ref="N811"/>
    <hyperlink r:id="rId1582" ref="O811"/>
    <hyperlink r:id="rId1583" ref="N812"/>
    <hyperlink r:id="rId1584" ref="O812"/>
    <hyperlink r:id="rId1585" ref="N813"/>
    <hyperlink r:id="rId1586" ref="O813"/>
    <hyperlink r:id="rId1587" ref="N814"/>
    <hyperlink r:id="rId1588" ref="O814"/>
    <hyperlink r:id="rId1589" ref="N815"/>
    <hyperlink r:id="rId1590" ref="O815"/>
    <hyperlink r:id="rId1591" ref="N816"/>
    <hyperlink r:id="rId1592" ref="O816"/>
    <hyperlink r:id="rId1593" ref="N817"/>
    <hyperlink r:id="rId1594" ref="O817"/>
    <hyperlink r:id="rId1595" ref="N818"/>
    <hyperlink r:id="rId1596" ref="O818"/>
    <hyperlink r:id="rId1597" ref="N819"/>
    <hyperlink r:id="rId1598" ref="O819"/>
    <hyperlink r:id="rId1599" ref="N820"/>
    <hyperlink r:id="rId1600" ref="O820"/>
    <hyperlink r:id="rId1601" ref="N821"/>
    <hyperlink r:id="rId1602" ref="O821"/>
    <hyperlink r:id="rId1603" ref="N822"/>
    <hyperlink r:id="rId1604" ref="O822"/>
    <hyperlink r:id="rId1605" ref="N823"/>
    <hyperlink r:id="rId1606" ref="O823"/>
    <hyperlink r:id="rId1607" ref="N824"/>
    <hyperlink r:id="rId1608" ref="O824"/>
    <hyperlink r:id="rId1609" ref="N825"/>
    <hyperlink r:id="rId1610" ref="O825"/>
    <hyperlink r:id="rId1611" ref="N826"/>
    <hyperlink r:id="rId1612" ref="O826"/>
    <hyperlink r:id="rId1613" ref="N827"/>
    <hyperlink r:id="rId1614" ref="O827"/>
    <hyperlink r:id="rId1615" ref="N828"/>
    <hyperlink r:id="rId1616" ref="O828"/>
    <hyperlink r:id="rId1617" ref="N829"/>
    <hyperlink r:id="rId1618" ref="O829"/>
    <hyperlink r:id="rId1619" ref="N830"/>
    <hyperlink r:id="rId1620" ref="O830"/>
    <hyperlink r:id="rId1621" ref="N831"/>
    <hyperlink r:id="rId1622" ref="O831"/>
    <hyperlink r:id="rId1623" ref="N832"/>
    <hyperlink r:id="rId1624" ref="O832"/>
    <hyperlink r:id="rId1625" ref="N833"/>
    <hyperlink r:id="rId1626" ref="O833"/>
    <hyperlink r:id="rId1627" ref="N834"/>
    <hyperlink r:id="rId1628" ref="O834"/>
    <hyperlink r:id="rId1629" ref="N835"/>
    <hyperlink r:id="rId1630" ref="O835"/>
    <hyperlink r:id="rId1631" ref="N836"/>
    <hyperlink r:id="rId1632" ref="O836"/>
    <hyperlink r:id="rId1633" ref="N837"/>
    <hyperlink r:id="rId1634" ref="O837"/>
    <hyperlink r:id="rId1635" ref="N838"/>
    <hyperlink r:id="rId1636" ref="O838"/>
    <hyperlink r:id="rId1637" ref="N839"/>
    <hyperlink r:id="rId1638" ref="O839"/>
    <hyperlink r:id="rId1639" ref="N840"/>
    <hyperlink r:id="rId1640" ref="O840"/>
    <hyperlink r:id="rId1641" ref="N841"/>
    <hyperlink r:id="rId1642" ref="O841"/>
    <hyperlink r:id="rId1643" ref="N842"/>
    <hyperlink r:id="rId1644" ref="O842"/>
    <hyperlink r:id="rId1645" ref="N843"/>
    <hyperlink r:id="rId1646" ref="O843"/>
    <hyperlink r:id="rId1647" ref="N844"/>
    <hyperlink r:id="rId1648" ref="O844"/>
    <hyperlink r:id="rId1649" ref="N845"/>
    <hyperlink r:id="rId1650" ref="O845"/>
    <hyperlink r:id="rId1651" ref="N846"/>
    <hyperlink r:id="rId1652" ref="O846"/>
    <hyperlink r:id="rId1653" ref="N847"/>
    <hyperlink r:id="rId1654" ref="O847"/>
    <hyperlink r:id="rId1655" ref="N848"/>
    <hyperlink r:id="rId1656" ref="O848"/>
    <hyperlink r:id="rId1657" ref="N849"/>
    <hyperlink r:id="rId1658" ref="O849"/>
    <hyperlink r:id="rId1659" ref="N850"/>
    <hyperlink r:id="rId1660" ref="O850"/>
    <hyperlink r:id="rId1661" ref="N851"/>
    <hyperlink r:id="rId1662" ref="O851"/>
    <hyperlink r:id="rId1663" ref="N852"/>
    <hyperlink r:id="rId1664" ref="O852"/>
    <hyperlink r:id="rId1665" ref="N853"/>
    <hyperlink r:id="rId1666" ref="O853"/>
    <hyperlink r:id="rId1667" ref="N854"/>
    <hyperlink r:id="rId1668" ref="O854"/>
    <hyperlink r:id="rId1669" ref="N855"/>
    <hyperlink r:id="rId1670" ref="O855"/>
    <hyperlink r:id="rId1671" ref="N856"/>
    <hyperlink r:id="rId1672" ref="O856"/>
    <hyperlink r:id="rId1673" ref="N857"/>
    <hyperlink r:id="rId1674" ref="O857"/>
    <hyperlink r:id="rId1675" ref="N858"/>
    <hyperlink r:id="rId1676" ref="O858"/>
    <hyperlink r:id="rId1677" ref="N859"/>
    <hyperlink r:id="rId1678" ref="O859"/>
    <hyperlink r:id="rId1679" ref="N860"/>
    <hyperlink r:id="rId1680" ref="O860"/>
    <hyperlink r:id="rId1681" ref="N861"/>
    <hyperlink r:id="rId1682" ref="O861"/>
    <hyperlink r:id="rId1683" ref="N862"/>
    <hyperlink r:id="rId1684" ref="O862"/>
    <hyperlink r:id="rId1685" ref="N863"/>
    <hyperlink r:id="rId1686" ref="O863"/>
    <hyperlink r:id="rId1687" ref="N864"/>
    <hyperlink r:id="rId1688" ref="O864"/>
    <hyperlink r:id="rId1689" ref="N865"/>
    <hyperlink r:id="rId1690" ref="O865"/>
    <hyperlink r:id="rId1691" ref="N866"/>
    <hyperlink r:id="rId1692" ref="O866"/>
    <hyperlink r:id="rId1693" ref="N867"/>
    <hyperlink r:id="rId1694" ref="O867"/>
    <hyperlink r:id="rId1695" ref="N868"/>
    <hyperlink r:id="rId1696" ref="O868"/>
    <hyperlink r:id="rId1697" ref="N869"/>
    <hyperlink r:id="rId1698" ref="O869"/>
    <hyperlink r:id="rId1699" ref="N870"/>
    <hyperlink r:id="rId1700" ref="O870"/>
    <hyperlink r:id="rId1701" ref="N871"/>
    <hyperlink r:id="rId1702" ref="O871"/>
    <hyperlink r:id="rId1703" ref="N873"/>
    <hyperlink r:id="rId1704" ref="O873"/>
    <hyperlink r:id="rId1705" ref="N874"/>
    <hyperlink r:id="rId1706" ref="O874"/>
    <hyperlink r:id="rId1707" ref="N875"/>
    <hyperlink r:id="rId1708" ref="O875"/>
    <hyperlink r:id="rId1709" ref="N876"/>
    <hyperlink r:id="rId1710" ref="O876"/>
    <hyperlink r:id="rId1711" ref="N877"/>
    <hyperlink r:id="rId1712" ref="O877"/>
    <hyperlink r:id="rId1713" ref="N878"/>
    <hyperlink r:id="rId1714" ref="O878"/>
    <hyperlink r:id="rId1715" ref="N879"/>
    <hyperlink r:id="rId1716" ref="O879"/>
    <hyperlink r:id="rId1717" ref="N880"/>
    <hyperlink r:id="rId1718" ref="O880"/>
    <hyperlink r:id="rId1719" ref="N881"/>
    <hyperlink r:id="rId1720" ref="O881"/>
    <hyperlink r:id="rId1721" ref="N882"/>
    <hyperlink r:id="rId1722" ref="O882"/>
    <hyperlink r:id="rId1723" ref="N883"/>
    <hyperlink r:id="rId1724" ref="O883"/>
    <hyperlink r:id="rId1725" ref="N884"/>
    <hyperlink r:id="rId1726" ref="O884"/>
    <hyperlink r:id="rId1727" ref="N885"/>
    <hyperlink r:id="rId1728" ref="O885"/>
    <hyperlink r:id="rId1729" ref="N886"/>
    <hyperlink r:id="rId1730" ref="O886"/>
    <hyperlink r:id="rId1731" ref="N887"/>
    <hyperlink r:id="rId1732" ref="O887"/>
    <hyperlink r:id="rId1733" ref="N888"/>
    <hyperlink r:id="rId1734" ref="O888"/>
    <hyperlink r:id="rId1735" ref="N889"/>
    <hyperlink r:id="rId1736" ref="O889"/>
    <hyperlink r:id="rId1737" ref="N890"/>
    <hyperlink r:id="rId1738" ref="O890"/>
    <hyperlink r:id="rId1739" ref="N891"/>
    <hyperlink r:id="rId1740" ref="O891"/>
    <hyperlink r:id="rId1741" ref="N892"/>
    <hyperlink r:id="rId1742" ref="O892"/>
    <hyperlink r:id="rId1743" ref="N893"/>
    <hyperlink r:id="rId1744" ref="O893"/>
    <hyperlink r:id="rId1745" ref="N894"/>
    <hyperlink r:id="rId1746" ref="O894"/>
    <hyperlink r:id="rId1747" ref="N895"/>
    <hyperlink r:id="rId1748" ref="O895"/>
    <hyperlink r:id="rId1749" ref="N896"/>
    <hyperlink r:id="rId1750" ref="O896"/>
    <hyperlink r:id="rId1751" ref="N897"/>
    <hyperlink r:id="rId1752" ref="O897"/>
    <hyperlink r:id="rId1753" ref="N898"/>
    <hyperlink r:id="rId1754" ref="O898"/>
    <hyperlink r:id="rId1755" ref="N899"/>
    <hyperlink r:id="rId1756" ref="O899"/>
    <hyperlink r:id="rId1757" ref="N900"/>
    <hyperlink r:id="rId1758" ref="O900"/>
    <hyperlink r:id="rId1759" ref="N901"/>
    <hyperlink r:id="rId1760" ref="O901"/>
    <hyperlink r:id="rId1761" ref="N902"/>
    <hyperlink r:id="rId1762" ref="O902"/>
    <hyperlink r:id="rId1763" ref="N903"/>
    <hyperlink r:id="rId1764" ref="O903"/>
    <hyperlink r:id="rId1765" ref="N904"/>
    <hyperlink r:id="rId1766" ref="O904"/>
    <hyperlink r:id="rId1767" ref="N905"/>
    <hyperlink r:id="rId1768" ref="O905"/>
    <hyperlink r:id="rId1769" ref="N906"/>
    <hyperlink r:id="rId1770" ref="O906"/>
    <hyperlink r:id="rId1771" ref="N907"/>
    <hyperlink r:id="rId1772" ref="O907"/>
    <hyperlink r:id="rId1773" ref="N908"/>
    <hyperlink r:id="rId1774" ref="O908"/>
    <hyperlink r:id="rId1775" ref="N909"/>
    <hyperlink r:id="rId1776" ref="O909"/>
    <hyperlink r:id="rId1777" ref="N910"/>
    <hyperlink r:id="rId1778" ref="O910"/>
    <hyperlink r:id="rId1779" ref="N911"/>
    <hyperlink r:id="rId1780" ref="O911"/>
    <hyperlink r:id="rId1781" ref="N912"/>
    <hyperlink r:id="rId1782" ref="O912"/>
    <hyperlink r:id="rId1783" ref="N913"/>
    <hyperlink r:id="rId1784" ref="O913"/>
    <hyperlink r:id="rId1785" ref="N914"/>
    <hyperlink r:id="rId1786" ref="O914"/>
    <hyperlink r:id="rId1787" ref="N915"/>
    <hyperlink r:id="rId1788" ref="O915"/>
    <hyperlink r:id="rId1789" ref="N916"/>
    <hyperlink r:id="rId1790" ref="O916"/>
    <hyperlink r:id="rId1791" ref="N917"/>
    <hyperlink r:id="rId1792" ref="O917"/>
    <hyperlink r:id="rId1793" ref="N918"/>
    <hyperlink r:id="rId1794" ref="O918"/>
    <hyperlink r:id="rId1795" ref="N919"/>
    <hyperlink r:id="rId1796" ref="O919"/>
    <hyperlink r:id="rId1797" ref="N920"/>
    <hyperlink r:id="rId1798" ref="O920"/>
    <hyperlink r:id="rId1799" ref="N921"/>
    <hyperlink r:id="rId1800" ref="O921"/>
    <hyperlink r:id="rId1801" ref="N922"/>
    <hyperlink r:id="rId1802" ref="O922"/>
    <hyperlink r:id="rId1803" ref="N923"/>
    <hyperlink r:id="rId1804" ref="O923"/>
    <hyperlink r:id="rId1805" ref="N924"/>
    <hyperlink r:id="rId1806" ref="O924"/>
    <hyperlink r:id="rId1807" ref="N925"/>
    <hyperlink r:id="rId1808" ref="O925"/>
    <hyperlink r:id="rId1809" ref="N926"/>
    <hyperlink r:id="rId1810" ref="O926"/>
    <hyperlink r:id="rId1811" ref="N927"/>
    <hyperlink r:id="rId1812" ref="O927"/>
    <hyperlink r:id="rId1813" ref="N928"/>
    <hyperlink r:id="rId1814" ref="O928"/>
    <hyperlink r:id="rId1815" ref="N929"/>
    <hyperlink r:id="rId1816" ref="O929"/>
    <hyperlink r:id="rId1817" ref="N930"/>
    <hyperlink r:id="rId1818" ref="O930"/>
    <hyperlink r:id="rId1819" ref="N931"/>
    <hyperlink r:id="rId1820" ref="O931"/>
    <hyperlink r:id="rId1821" ref="N932"/>
    <hyperlink r:id="rId1822" ref="O932"/>
    <hyperlink r:id="rId1823" ref="N933"/>
    <hyperlink r:id="rId1824" ref="O933"/>
    <hyperlink r:id="rId1825" ref="N934"/>
    <hyperlink r:id="rId1826" ref="O934"/>
    <hyperlink r:id="rId1827" ref="N935"/>
    <hyperlink r:id="rId1828" ref="O935"/>
    <hyperlink r:id="rId1829" ref="N936"/>
    <hyperlink r:id="rId1830" ref="O936"/>
    <hyperlink r:id="rId1831" ref="N937"/>
    <hyperlink r:id="rId1832" ref="O937"/>
    <hyperlink r:id="rId1833" ref="N938"/>
    <hyperlink r:id="rId1834" ref="O938"/>
    <hyperlink r:id="rId1835" ref="N939"/>
    <hyperlink r:id="rId1836" ref="O939"/>
    <hyperlink r:id="rId1837" ref="N940"/>
    <hyperlink r:id="rId1838" ref="O940"/>
    <hyperlink r:id="rId1839" ref="N941"/>
    <hyperlink r:id="rId1840" ref="O941"/>
    <hyperlink r:id="rId1841" ref="N942"/>
    <hyperlink r:id="rId1842" ref="N943"/>
    <hyperlink r:id="rId1843" ref="O943"/>
    <hyperlink r:id="rId1844" ref="N944"/>
    <hyperlink r:id="rId1845" ref="O944"/>
    <hyperlink r:id="rId1846" ref="N945"/>
    <hyperlink r:id="rId1847" ref="O945"/>
    <hyperlink r:id="rId1848" ref="N946"/>
    <hyperlink r:id="rId1849" ref="O946"/>
    <hyperlink r:id="rId1850" ref="N947"/>
    <hyperlink r:id="rId1851" ref="O947"/>
    <hyperlink r:id="rId1852" ref="N948"/>
    <hyperlink r:id="rId1853" ref="O948"/>
    <hyperlink r:id="rId1854" ref="N949"/>
    <hyperlink r:id="rId1855" ref="O949"/>
    <hyperlink r:id="rId1856" ref="N950"/>
    <hyperlink r:id="rId1857" ref="O950"/>
    <hyperlink r:id="rId1858" ref="N951"/>
    <hyperlink r:id="rId1859" ref="O951"/>
    <hyperlink r:id="rId1860" ref="N952"/>
    <hyperlink r:id="rId1861" ref="O952"/>
    <hyperlink r:id="rId1862" ref="N953"/>
    <hyperlink r:id="rId1863" ref="O953"/>
    <hyperlink r:id="rId1864" ref="N954"/>
    <hyperlink r:id="rId1865" ref="O954"/>
    <hyperlink r:id="rId1866" ref="N955"/>
    <hyperlink r:id="rId1867" ref="O955"/>
    <hyperlink r:id="rId1868" ref="N956"/>
    <hyperlink r:id="rId1869" ref="O956"/>
    <hyperlink r:id="rId1870" ref="N957"/>
    <hyperlink r:id="rId1871" ref="O957"/>
    <hyperlink r:id="rId1872" ref="N958"/>
    <hyperlink r:id="rId1873" ref="O958"/>
    <hyperlink r:id="rId1874" ref="N959"/>
    <hyperlink r:id="rId1875" ref="O959"/>
    <hyperlink r:id="rId1876" ref="N960"/>
    <hyperlink r:id="rId1877" ref="O960"/>
    <hyperlink r:id="rId1878" ref="N961"/>
    <hyperlink r:id="rId1879" ref="O961"/>
    <hyperlink r:id="rId1880" ref="N962"/>
    <hyperlink r:id="rId1881" ref="O962"/>
    <hyperlink r:id="rId1882" ref="N963"/>
    <hyperlink r:id="rId1883" ref="O963"/>
    <hyperlink r:id="rId1884" ref="N964"/>
    <hyperlink r:id="rId1885" ref="O964"/>
    <hyperlink r:id="rId1886" ref="N965"/>
    <hyperlink r:id="rId1887" ref="O965"/>
    <hyperlink r:id="rId1888" ref="N966"/>
    <hyperlink r:id="rId1889" ref="O966"/>
    <hyperlink r:id="rId1890" ref="N967"/>
    <hyperlink r:id="rId1891" ref="O967"/>
    <hyperlink r:id="rId1892" ref="N968"/>
    <hyperlink r:id="rId1893" ref="O968"/>
    <hyperlink r:id="rId1894" ref="N969"/>
    <hyperlink r:id="rId1895" ref="O969"/>
    <hyperlink r:id="rId1896" ref="N970"/>
    <hyperlink r:id="rId1897" ref="O970"/>
    <hyperlink r:id="rId1898" ref="N971"/>
    <hyperlink r:id="rId1899" ref="O971"/>
    <hyperlink r:id="rId1900" ref="N972"/>
    <hyperlink r:id="rId1901" ref="O972"/>
    <hyperlink r:id="rId1902" ref="N973"/>
    <hyperlink r:id="rId1903" ref="N974"/>
    <hyperlink r:id="rId1904" ref="O974"/>
    <hyperlink r:id="rId1905" ref="N975"/>
    <hyperlink r:id="rId1906" ref="O975"/>
    <hyperlink r:id="rId1907" ref="N976"/>
    <hyperlink r:id="rId1908" ref="O976"/>
    <hyperlink r:id="rId1909" ref="N977"/>
    <hyperlink r:id="rId1910" ref="O977"/>
    <hyperlink r:id="rId1911" ref="N978"/>
    <hyperlink r:id="rId1912" ref="O978"/>
    <hyperlink r:id="rId1913" ref="N979"/>
    <hyperlink r:id="rId1914" ref="O979"/>
    <hyperlink r:id="rId1915" ref="N980"/>
    <hyperlink r:id="rId1916" ref="O980"/>
    <hyperlink r:id="rId1917" ref="N981"/>
    <hyperlink r:id="rId1918" ref="O981"/>
    <hyperlink r:id="rId1919" ref="N982"/>
    <hyperlink r:id="rId1920" ref="O982"/>
    <hyperlink r:id="rId1921" ref="N983"/>
    <hyperlink r:id="rId1922" ref="O983"/>
    <hyperlink r:id="rId1923" ref="N984"/>
    <hyperlink r:id="rId1924" ref="O984"/>
    <hyperlink r:id="rId1925" ref="N985"/>
    <hyperlink r:id="rId1926" ref="O985"/>
    <hyperlink r:id="rId1927" ref="N986"/>
    <hyperlink r:id="rId1928" ref="N987"/>
    <hyperlink r:id="rId1929" ref="O987"/>
    <hyperlink r:id="rId1930" ref="N988"/>
    <hyperlink r:id="rId1931" ref="O988"/>
    <hyperlink r:id="rId1932" ref="N989"/>
    <hyperlink r:id="rId1933" ref="O989"/>
    <hyperlink r:id="rId1934" ref="N990"/>
    <hyperlink r:id="rId1935" ref="O990"/>
    <hyperlink r:id="rId1936" ref="N991"/>
    <hyperlink r:id="rId1937" ref="O991"/>
    <hyperlink r:id="rId1938" ref="N992"/>
    <hyperlink r:id="rId1939" ref="O992"/>
    <hyperlink r:id="rId1940" ref="N993"/>
    <hyperlink r:id="rId1941" ref="O993"/>
    <hyperlink r:id="rId1942" ref="N994"/>
    <hyperlink r:id="rId1943" ref="O994"/>
    <hyperlink r:id="rId1944" ref="N995"/>
    <hyperlink r:id="rId1945" ref="O995"/>
    <hyperlink r:id="rId1946" ref="N996"/>
    <hyperlink r:id="rId1947" ref="O996"/>
    <hyperlink r:id="rId1948" ref="N997"/>
    <hyperlink r:id="rId1949" ref="O997"/>
    <hyperlink r:id="rId1950" ref="N998"/>
    <hyperlink r:id="rId1951" ref="O998"/>
    <hyperlink r:id="rId1952" ref="N999"/>
    <hyperlink r:id="rId1953" ref="O999"/>
    <hyperlink r:id="rId1954" ref="N1000"/>
    <hyperlink r:id="rId1955" ref="O1000"/>
    <hyperlink r:id="rId1956" ref="N1001"/>
    <hyperlink r:id="rId1957" ref="O1001"/>
    <hyperlink r:id="rId1958" ref="N1002"/>
    <hyperlink r:id="rId1959" ref="O1002"/>
    <hyperlink r:id="rId1960" ref="N1003"/>
    <hyperlink r:id="rId1961" ref="O1003"/>
    <hyperlink r:id="rId1962" ref="N1005"/>
    <hyperlink r:id="rId1963" ref="O1005"/>
    <hyperlink r:id="rId1964" ref="N1006"/>
    <hyperlink r:id="rId1965" ref="O1006"/>
    <hyperlink r:id="rId1966" ref="N1007"/>
    <hyperlink r:id="rId1967" ref="O1007"/>
    <hyperlink r:id="rId1968" ref="N1008"/>
    <hyperlink r:id="rId1969" ref="O1008"/>
    <hyperlink r:id="rId1970" ref="N1009"/>
    <hyperlink r:id="rId1971" ref="O1009"/>
    <hyperlink r:id="rId1972" ref="N1010"/>
    <hyperlink r:id="rId1973" ref="O1010"/>
    <hyperlink r:id="rId1974" ref="N1011"/>
    <hyperlink r:id="rId1975" ref="O1011"/>
    <hyperlink r:id="rId1976" ref="N1012"/>
    <hyperlink r:id="rId1977" ref="O1012"/>
    <hyperlink r:id="rId1978" ref="N1013"/>
    <hyperlink r:id="rId1979" ref="O1013"/>
    <hyperlink r:id="rId1980" ref="N1014"/>
    <hyperlink r:id="rId1981" ref="O1014"/>
    <hyperlink r:id="rId1982" ref="N1015"/>
    <hyperlink r:id="rId1983" ref="O1015"/>
    <hyperlink r:id="rId1984" ref="N1016"/>
    <hyperlink r:id="rId1985" ref="O1016"/>
    <hyperlink r:id="rId1986" ref="N1017"/>
    <hyperlink r:id="rId1987" ref="O1017"/>
    <hyperlink r:id="rId1988" ref="N1018"/>
    <hyperlink r:id="rId1989" ref="O1018"/>
    <hyperlink r:id="rId1990" ref="N1019"/>
    <hyperlink r:id="rId1991" ref="O1019"/>
    <hyperlink r:id="rId1992" ref="N1020"/>
    <hyperlink r:id="rId1993" ref="O1020"/>
    <hyperlink r:id="rId1994" ref="N1021"/>
    <hyperlink r:id="rId1995" ref="O1021"/>
    <hyperlink r:id="rId1996" ref="N1022"/>
    <hyperlink r:id="rId1997" ref="O1022"/>
    <hyperlink r:id="rId1998" ref="N1023"/>
    <hyperlink r:id="rId1999" ref="O1023"/>
    <hyperlink r:id="rId2000" ref="N1024"/>
    <hyperlink r:id="rId2001" ref="O1024"/>
    <hyperlink r:id="rId2002" ref="N1025"/>
    <hyperlink r:id="rId2003" ref="O1025"/>
    <hyperlink r:id="rId2004" ref="N1026"/>
    <hyperlink r:id="rId2005" ref="O1026"/>
    <hyperlink r:id="rId2006" ref="N1027"/>
    <hyperlink r:id="rId2007" ref="O1027"/>
    <hyperlink r:id="rId2008" ref="N1028"/>
    <hyperlink r:id="rId2009" ref="O1028"/>
    <hyperlink r:id="rId2010" ref="N1029"/>
    <hyperlink r:id="rId2011" ref="O1029"/>
    <hyperlink r:id="rId2012" ref="N1030"/>
    <hyperlink r:id="rId2013" ref="O1030"/>
    <hyperlink r:id="rId2014" ref="N1031"/>
    <hyperlink r:id="rId2015" ref="O1031"/>
    <hyperlink r:id="rId2016" ref="N1032"/>
    <hyperlink r:id="rId2017" ref="O1032"/>
    <hyperlink r:id="rId2018" ref="N1033"/>
    <hyperlink r:id="rId2019" ref="O1033"/>
    <hyperlink r:id="rId2020" ref="N1034"/>
    <hyperlink r:id="rId2021" ref="O1034"/>
    <hyperlink r:id="rId2022" ref="N1035"/>
    <hyperlink r:id="rId2023" ref="O1035"/>
    <hyperlink r:id="rId2024" ref="N1036"/>
    <hyperlink r:id="rId2025" ref="O1036"/>
    <hyperlink r:id="rId2026" ref="N1037"/>
    <hyperlink r:id="rId2027" ref="O1037"/>
    <hyperlink r:id="rId2028" ref="N1038"/>
    <hyperlink r:id="rId2029" ref="O1038"/>
    <hyperlink r:id="rId2030" ref="N1039"/>
    <hyperlink r:id="rId2031" ref="O1039"/>
    <hyperlink r:id="rId2032" ref="N1040"/>
    <hyperlink r:id="rId2033" ref="O1040"/>
    <hyperlink r:id="rId2034" ref="N1041"/>
    <hyperlink r:id="rId2035" ref="O1041"/>
    <hyperlink r:id="rId2036" ref="N1042"/>
    <hyperlink r:id="rId2037" ref="O1042"/>
    <hyperlink r:id="rId2038" ref="N1043"/>
    <hyperlink r:id="rId2039" ref="O1043"/>
    <hyperlink r:id="rId2040" ref="N1044"/>
    <hyperlink r:id="rId2041" ref="O1044"/>
    <hyperlink r:id="rId2042" ref="N1045"/>
    <hyperlink r:id="rId2043" ref="O1045"/>
    <hyperlink r:id="rId2044" ref="N1046"/>
    <hyperlink r:id="rId2045" ref="O1046"/>
    <hyperlink r:id="rId2046" ref="N1047"/>
    <hyperlink r:id="rId2047" ref="O1047"/>
    <hyperlink r:id="rId2048" ref="N1048"/>
    <hyperlink r:id="rId2049" ref="O1048"/>
    <hyperlink r:id="rId2050" ref="N1049"/>
    <hyperlink r:id="rId2051" ref="O1049"/>
    <hyperlink r:id="rId2052" ref="N1050"/>
    <hyperlink r:id="rId2053" ref="O1050"/>
    <hyperlink r:id="rId2054" ref="N1051"/>
    <hyperlink r:id="rId2055" ref="O1051"/>
    <hyperlink r:id="rId2056" ref="N1052"/>
    <hyperlink r:id="rId2057" ref="O1052"/>
    <hyperlink r:id="rId2058" ref="N1053"/>
    <hyperlink r:id="rId2059" ref="O1053"/>
    <hyperlink r:id="rId2060" ref="N1054"/>
    <hyperlink r:id="rId2061" ref="O1054"/>
    <hyperlink r:id="rId2062" ref="N1055"/>
    <hyperlink r:id="rId2063" ref="O1055"/>
    <hyperlink r:id="rId2064" ref="N1056"/>
    <hyperlink r:id="rId2065" ref="O1056"/>
    <hyperlink r:id="rId2066" ref="N1057"/>
    <hyperlink r:id="rId2067" ref="O1057"/>
    <hyperlink r:id="rId2068" ref="N1058"/>
    <hyperlink r:id="rId2069" ref="O1058"/>
    <hyperlink r:id="rId2070" ref="N1059"/>
    <hyperlink r:id="rId2071" ref="O1059"/>
    <hyperlink r:id="rId2072" ref="N1060"/>
    <hyperlink r:id="rId2073" ref="O1060"/>
    <hyperlink r:id="rId2074" ref="N1061"/>
    <hyperlink r:id="rId2075" ref="O1061"/>
    <hyperlink r:id="rId2076" ref="N1062"/>
    <hyperlink r:id="rId2077" ref="O1062"/>
    <hyperlink r:id="rId2078" ref="N1063"/>
    <hyperlink r:id="rId2079" ref="O1063"/>
    <hyperlink r:id="rId2080" ref="N1064"/>
    <hyperlink r:id="rId2081" ref="O1064"/>
    <hyperlink r:id="rId2082" ref="N1065"/>
    <hyperlink r:id="rId2083" ref="O1065"/>
    <hyperlink r:id="rId2084" ref="N1066"/>
    <hyperlink r:id="rId2085" ref="O1066"/>
    <hyperlink r:id="rId2086" ref="N1067"/>
    <hyperlink r:id="rId2087" ref="O1067"/>
    <hyperlink r:id="rId2088" ref="N1068"/>
    <hyperlink r:id="rId2089" ref="O1068"/>
    <hyperlink r:id="rId2090" ref="N1069"/>
    <hyperlink r:id="rId2091" ref="O1069"/>
    <hyperlink r:id="rId2092" ref="N1070"/>
    <hyperlink r:id="rId2093" ref="O1070"/>
    <hyperlink r:id="rId2094" ref="N1071"/>
    <hyperlink r:id="rId2095" ref="O1071"/>
    <hyperlink r:id="rId2096" ref="N1072"/>
    <hyperlink r:id="rId2097" ref="O1072"/>
    <hyperlink r:id="rId2098" ref="N1073"/>
    <hyperlink r:id="rId2099" ref="O1073"/>
    <hyperlink r:id="rId2100" ref="N1074"/>
    <hyperlink r:id="rId2101" ref="O1074"/>
    <hyperlink r:id="rId2102" ref="N1075"/>
    <hyperlink r:id="rId2103" ref="O1075"/>
    <hyperlink r:id="rId2104" ref="N1076"/>
    <hyperlink r:id="rId2105" ref="O1076"/>
    <hyperlink r:id="rId2106" ref="N1077"/>
    <hyperlink r:id="rId2107" ref="O1077"/>
    <hyperlink r:id="rId2108" ref="N1078"/>
    <hyperlink r:id="rId2109" ref="O1078"/>
    <hyperlink r:id="rId2110" ref="N1079"/>
    <hyperlink r:id="rId2111" ref="O1079"/>
    <hyperlink r:id="rId2112" ref="N1080"/>
    <hyperlink r:id="rId2113" ref="O1080"/>
    <hyperlink r:id="rId2114" ref="N1081"/>
    <hyperlink r:id="rId2115" ref="O1081"/>
    <hyperlink r:id="rId2116" ref="N1082"/>
    <hyperlink r:id="rId2117" ref="O1082"/>
    <hyperlink r:id="rId2118" ref="N1083"/>
    <hyperlink r:id="rId2119" ref="O1083"/>
    <hyperlink r:id="rId2120" ref="N1084"/>
    <hyperlink r:id="rId2121" ref="O1084"/>
    <hyperlink r:id="rId2122" ref="N1085"/>
    <hyperlink r:id="rId2123" ref="O1085"/>
    <hyperlink r:id="rId2124" ref="N1086"/>
    <hyperlink r:id="rId2125" ref="O1086"/>
    <hyperlink r:id="rId2126" ref="N1087"/>
    <hyperlink r:id="rId2127" ref="O1087"/>
    <hyperlink r:id="rId2128" ref="N1088"/>
    <hyperlink r:id="rId2129" ref="O1088"/>
    <hyperlink r:id="rId2130" ref="N1089"/>
    <hyperlink r:id="rId2131" ref="O1089"/>
    <hyperlink r:id="rId2132" ref="N1090"/>
    <hyperlink r:id="rId2133" ref="O1090"/>
    <hyperlink r:id="rId2134" ref="N1091"/>
    <hyperlink r:id="rId2135" ref="O1091"/>
    <hyperlink r:id="rId2136" ref="N1092"/>
    <hyperlink r:id="rId2137" ref="O1092"/>
    <hyperlink r:id="rId2138" ref="N1093"/>
    <hyperlink r:id="rId2139" ref="O1093"/>
    <hyperlink r:id="rId2140" ref="N1094"/>
    <hyperlink r:id="rId2141" ref="O1094"/>
    <hyperlink r:id="rId2142" ref="N1095"/>
    <hyperlink r:id="rId2143" ref="O1095"/>
    <hyperlink r:id="rId2144" ref="N1096"/>
    <hyperlink r:id="rId2145" ref="O1096"/>
    <hyperlink r:id="rId2146" ref="N1097"/>
    <hyperlink r:id="rId2147" ref="O1097"/>
    <hyperlink r:id="rId2148" ref="N1098"/>
    <hyperlink r:id="rId2149" ref="O1098"/>
    <hyperlink r:id="rId2150" ref="N1099"/>
    <hyperlink r:id="rId2151" ref="O1099"/>
    <hyperlink r:id="rId2152" ref="N1100"/>
    <hyperlink r:id="rId2153" ref="O1100"/>
    <hyperlink r:id="rId2154" ref="N1102"/>
    <hyperlink r:id="rId2155" ref="O1102"/>
    <hyperlink r:id="rId2156" ref="N1103"/>
    <hyperlink r:id="rId2157" ref="O1103"/>
    <hyperlink r:id="rId2158" ref="N1104"/>
    <hyperlink r:id="rId2159" ref="O1104"/>
    <hyperlink r:id="rId2160" ref="N1105"/>
    <hyperlink r:id="rId2161" ref="O1105"/>
    <hyperlink r:id="rId2162" ref="N1106"/>
    <hyperlink r:id="rId2163" ref="O1106"/>
    <hyperlink r:id="rId2164" ref="N1107"/>
    <hyperlink r:id="rId2165" ref="O1107"/>
    <hyperlink r:id="rId2166" ref="N1108"/>
    <hyperlink r:id="rId2167" ref="O1108"/>
    <hyperlink r:id="rId2168" ref="N1109"/>
    <hyperlink r:id="rId2169" ref="O1109"/>
    <hyperlink r:id="rId2170" ref="N1110"/>
    <hyperlink r:id="rId2171" ref="O1110"/>
    <hyperlink r:id="rId2172" ref="N1111"/>
    <hyperlink r:id="rId2173" ref="O1111"/>
    <hyperlink r:id="rId2174" ref="N1112"/>
    <hyperlink r:id="rId2175" ref="O1112"/>
    <hyperlink r:id="rId2176" ref="N1113"/>
    <hyperlink r:id="rId2177" ref="O1113"/>
    <hyperlink r:id="rId2178" ref="N1114"/>
    <hyperlink r:id="rId2179" ref="O1114"/>
    <hyperlink r:id="rId2180" ref="N1115"/>
    <hyperlink r:id="rId2181" ref="O1115"/>
    <hyperlink r:id="rId2182" ref="N1116"/>
    <hyperlink r:id="rId2183" ref="O1116"/>
    <hyperlink r:id="rId2184" ref="N1117"/>
    <hyperlink r:id="rId2185" ref="O1117"/>
    <hyperlink r:id="rId2186" ref="N1118"/>
    <hyperlink r:id="rId2187" ref="O1118"/>
    <hyperlink r:id="rId2188" ref="N1119"/>
    <hyperlink r:id="rId2189" ref="O1119"/>
    <hyperlink r:id="rId2190" ref="N1120"/>
    <hyperlink r:id="rId2191" ref="O1120"/>
    <hyperlink r:id="rId2192" ref="N1121"/>
    <hyperlink r:id="rId2193" ref="O1121"/>
    <hyperlink r:id="rId2194" ref="N1122"/>
    <hyperlink r:id="rId2195" ref="O1122"/>
    <hyperlink r:id="rId2196" ref="N1123"/>
    <hyperlink r:id="rId2197" ref="O1123"/>
    <hyperlink r:id="rId2198" ref="N1124"/>
    <hyperlink r:id="rId2199" ref="O1124"/>
    <hyperlink r:id="rId2200" ref="N1125"/>
    <hyperlink r:id="rId2201" ref="O1125"/>
    <hyperlink r:id="rId2202" ref="N1126"/>
    <hyperlink r:id="rId2203" ref="O1126"/>
    <hyperlink r:id="rId2204" ref="N1127"/>
    <hyperlink r:id="rId2205" ref="O1127"/>
    <hyperlink r:id="rId2206" ref="N1128"/>
    <hyperlink r:id="rId2207" ref="O1128"/>
    <hyperlink r:id="rId2208" ref="N1129"/>
    <hyperlink r:id="rId2209" ref="O1129"/>
    <hyperlink r:id="rId2210" ref="N1130"/>
    <hyperlink r:id="rId2211" ref="O1130"/>
    <hyperlink r:id="rId2212" ref="N1131"/>
    <hyperlink r:id="rId2213" ref="O1131"/>
    <hyperlink r:id="rId2214" ref="N1132"/>
    <hyperlink r:id="rId2215" ref="O1132"/>
    <hyperlink r:id="rId2216" ref="N1133"/>
    <hyperlink r:id="rId2217" ref="O1133"/>
    <hyperlink r:id="rId2218" ref="N1134"/>
    <hyperlink r:id="rId2219" ref="O1134"/>
    <hyperlink r:id="rId2220" ref="N1135"/>
    <hyperlink r:id="rId2221" ref="O1135"/>
    <hyperlink r:id="rId2222" ref="N1136"/>
    <hyperlink r:id="rId2223" ref="O1136"/>
    <hyperlink r:id="rId2224" ref="N1137"/>
    <hyperlink r:id="rId2225" ref="O1137"/>
    <hyperlink r:id="rId2226" ref="N1138"/>
    <hyperlink r:id="rId2227" ref="O1138"/>
    <hyperlink r:id="rId2228" ref="N1139"/>
    <hyperlink r:id="rId2229" ref="O1139"/>
    <hyperlink r:id="rId2230" ref="N1140"/>
    <hyperlink r:id="rId2231" ref="N1141"/>
    <hyperlink r:id="rId2232" ref="O1141"/>
    <hyperlink r:id="rId2233" ref="N1142"/>
    <hyperlink r:id="rId2234" ref="O1142"/>
    <hyperlink r:id="rId2235" ref="N1143"/>
    <hyperlink r:id="rId2236" ref="O1143"/>
    <hyperlink r:id="rId2237" ref="N1144"/>
    <hyperlink r:id="rId2238" ref="O1144"/>
    <hyperlink r:id="rId2239" ref="N1145"/>
    <hyperlink r:id="rId2240" ref="O1145"/>
    <hyperlink r:id="rId2241" ref="N1146"/>
    <hyperlink r:id="rId2242" ref="O1146"/>
    <hyperlink r:id="rId2243" ref="N1147"/>
    <hyperlink r:id="rId2244" ref="O1147"/>
    <hyperlink r:id="rId2245" ref="N1148"/>
    <hyperlink r:id="rId2246" ref="O1148"/>
    <hyperlink r:id="rId2247" ref="N1149"/>
    <hyperlink r:id="rId2248" ref="O1149"/>
    <hyperlink r:id="rId2249" ref="N1150"/>
    <hyperlink r:id="rId2250" ref="O1150"/>
    <hyperlink r:id="rId2251" ref="N1151"/>
    <hyperlink r:id="rId2252" ref="N1152"/>
    <hyperlink r:id="rId2253" ref="O1152"/>
    <hyperlink r:id="rId2254" ref="N1153"/>
    <hyperlink r:id="rId2255" ref="O1153"/>
    <hyperlink r:id="rId2256" ref="N1154"/>
    <hyperlink r:id="rId2257" ref="O1154"/>
    <hyperlink r:id="rId2258" ref="N1155"/>
    <hyperlink r:id="rId2259" ref="O1155"/>
    <hyperlink r:id="rId2260" ref="N1156"/>
    <hyperlink r:id="rId2261" ref="O1156"/>
    <hyperlink r:id="rId2262" ref="N1157"/>
    <hyperlink r:id="rId2263" ref="O1157"/>
    <hyperlink r:id="rId2264" ref="N1158"/>
    <hyperlink r:id="rId2265" ref="O1158"/>
    <hyperlink r:id="rId2266" ref="N1159"/>
    <hyperlink r:id="rId2267" ref="O1159"/>
    <hyperlink r:id="rId2268" ref="N1160"/>
    <hyperlink r:id="rId2269" ref="O1160"/>
    <hyperlink r:id="rId2270" ref="N1161"/>
    <hyperlink r:id="rId2271" ref="O1161"/>
    <hyperlink r:id="rId2272" ref="N1162"/>
    <hyperlink r:id="rId2273" ref="O1162"/>
    <hyperlink r:id="rId2274" ref="N1163"/>
    <hyperlink r:id="rId2275" ref="O1163"/>
    <hyperlink r:id="rId2276" ref="N1164"/>
    <hyperlink r:id="rId2277" ref="O1164"/>
    <hyperlink r:id="rId2278" ref="N1165"/>
    <hyperlink r:id="rId2279" ref="O1165"/>
    <hyperlink r:id="rId2280" ref="N1166"/>
    <hyperlink r:id="rId2281" ref="O1166"/>
    <hyperlink r:id="rId2282" ref="N1167"/>
    <hyperlink r:id="rId2283" ref="O1167"/>
    <hyperlink r:id="rId2284" ref="N1168"/>
    <hyperlink r:id="rId2285" ref="N1169"/>
    <hyperlink r:id="rId2286" ref="O1169"/>
    <hyperlink r:id="rId2287" ref="N1170"/>
    <hyperlink r:id="rId2288" ref="O1170"/>
    <hyperlink r:id="rId2289" ref="N1171"/>
    <hyperlink r:id="rId2290" ref="O1171"/>
    <hyperlink r:id="rId2291" ref="N1172"/>
    <hyperlink r:id="rId2292" ref="O1172"/>
    <hyperlink r:id="rId2293" ref="N1173"/>
    <hyperlink r:id="rId2294" ref="O1173"/>
    <hyperlink r:id="rId2295" ref="N1174"/>
    <hyperlink r:id="rId2296" ref="O1174"/>
    <hyperlink r:id="rId2297" ref="N1175"/>
    <hyperlink r:id="rId2298" ref="O1175"/>
    <hyperlink r:id="rId2299" ref="N1176"/>
    <hyperlink r:id="rId2300" ref="O1176"/>
    <hyperlink r:id="rId2301" ref="N1177"/>
    <hyperlink r:id="rId2302" ref="O1177"/>
    <hyperlink r:id="rId2303" ref="N1178"/>
    <hyperlink r:id="rId2304" ref="O1178"/>
    <hyperlink r:id="rId2305" ref="N1179"/>
    <hyperlink r:id="rId2306" ref="O1179"/>
    <hyperlink r:id="rId2307" ref="N1180"/>
    <hyperlink r:id="rId2308" ref="O1180"/>
    <hyperlink r:id="rId2309" ref="N1181"/>
    <hyperlink r:id="rId2310" ref="O1181"/>
    <hyperlink r:id="rId2311" ref="N1182"/>
    <hyperlink r:id="rId2312" ref="O1182"/>
    <hyperlink r:id="rId2313" ref="N1183"/>
    <hyperlink r:id="rId2314" ref="O1183"/>
    <hyperlink r:id="rId2315" ref="N1184"/>
    <hyperlink r:id="rId2316" ref="O1184"/>
    <hyperlink r:id="rId2317" ref="N1185"/>
    <hyperlink r:id="rId2318" ref="O1185"/>
    <hyperlink r:id="rId2319" ref="N1186"/>
    <hyperlink r:id="rId2320" ref="O1186"/>
    <hyperlink r:id="rId2321" ref="N1187"/>
    <hyperlink r:id="rId2322" ref="O1187"/>
    <hyperlink r:id="rId2323" ref="N1188"/>
    <hyperlink r:id="rId2324" ref="O1188"/>
    <hyperlink r:id="rId2325" ref="N1189"/>
    <hyperlink r:id="rId2326" ref="O1189"/>
    <hyperlink r:id="rId2327" ref="N1190"/>
    <hyperlink r:id="rId2328" ref="O1190"/>
    <hyperlink r:id="rId2329" ref="N1191"/>
    <hyperlink r:id="rId2330" ref="O1191"/>
    <hyperlink r:id="rId2331" ref="N1192"/>
    <hyperlink r:id="rId2332" ref="O1192"/>
    <hyperlink r:id="rId2333" ref="N1193"/>
    <hyperlink r:id="rId2334" ref="O1193"/>
    <hyperlink r:id="rId2335" ref="N1194"/>
    <hyperlink r:id="rId2336" ref="N1195"/>
    <hyperlink r:id="rId2337" ref="O1195"/>
    <hyperlink r:id="rId2338" ref="N1197"/>
    <hyperlink r:id="rId2339" ref="O1197"/>
    <hyperlink r:id="rId2340" ref="N1198"/>
    <hyperlink r:id="rId2341" ref="O1198"/>
    <hyperlink r:id="rId2342" ref="N1199"/>
    <hyperlink r:id="rId2343" ref="O1199"/>
    <hyperlink r:id="rId2344" ref="N1200"/>
    <hyperlink r:id="rId2345" ref="O1200"/>
    <hyperlink r:id="rId2346" ref="N1201"/>
    <hyperlink r:id="rId2347" ref="O1201"/>
    <hyperlink r:id="rId2348" ref="N1202"/>
    <hyperlink r:id="rId2349" ref="O1202"/>
    <hyperlink r:id="rId2350" ref="N1203"/>
    <hyperlink r:id="rId2351" ref="O1203"/>
    <hyperlink r:id="rId2352" ref="N1204"/>
    <hyperlink r:id="rId2353" ref="O1204"/>
    <hyperlink r:id="rId2354" ref="N1205"/>
    <hyperlink r:id="rId2355" ref="N1206"/>
    <hyperlink r:id="rId2356" ref="O1206"/>
    <hyperlink r:id="rId2357" ref="N1207"/>
    <hyperlink r:id="rId2358" ref="O1207"/>
    <hyperlink r:id="rId2359" ref="N1208"/>
    <hyperlink r:id="rId2360" ref="O1208"/>
    <hyperlink r:id="rId2361" ref="N1209"/>
    <hyperlink r:id="rId2362" ref="O1209"/>
    <hyperlink r:id="rId2363" ref="N1210"/>
    <hyperlink r:id="rId2364" ref="O1210"/>
    <hyperlink r:id="rId2365" ref="N1211"/>
    <hyperlink r:id="rId2366" ref="O1211"/>
    <hyperlink r:id="rId2367" ref="N1212"/>
    <hyperlink r:id="rId2368" ref="O1212"/>
    <hyperlink r:id="rId2369" ref="N1214"/>
    <hyperlink r:id="rId2370" ref="O1214"/>
    <hyperlink r:id="rId2371" ref="N1215"/>
    <hyperlink r:id="rId2372" ref="O1215"/>
    <hyperlink r:id="rId2373" ref="N1216"/>
    <hyperlink r:id="rId2374" ref="O1216"/>
    <hyperlink r:id="rId2375" ref="N1217"/>
    <hyperlink r:id="rId2376" ref="O1217"/>
    <hyperlink r:id="rId2377" ref="N1218"/>
    <hyperlink r:id="rId2378" ref="O1218"/>
    <hyperlink r:id="rId2379" ref="N1219"/>
    <hyperlink r:id="rId2380" ref="O1219"/>
    <hyperlink r:id="rId2381" ref="N1220"/>
    <hyperlink r:id="rId2382" ref="O1220"/>
    <hyperlink r:id="rId2383" ref="N1221"/>
    <hyperlink r:id="rId2384" ref="O1221"/>
    <hyperlink r:id="rId2385" ref="N1222"/>
    <hyperlink r:id="rId2386" ref="O1222"/>
    <hyperlink r:id="rId2387" ref="N1223"/>
    <hyperlink r:id="rId2388" ref="O1223"/>
    <hyperlink r:id="rId2389" ref="N1224"/>
    <hyperlink r:id="rId2390" ref="O1224"/>
    <hyperlink r:id="rId2391" ref="N1225"/>
    <hyperlink r:id="rId2392" ref="N1226"/>
    <hyperlink r:id="rId2393" ref="O1226"/>
    <hyperlink r:id="rId2394" ref="N1227"/>
    <hyperlink r:id="rId2395" ref="O1227"/>
    <hyperlink r:id="rId2396" ref="N1228"/>
    <hyperlink r:id="rId2397" ref="O1228"/>
    <hyperlink r:id="rId2398" ref="N1229"/>
    <hyperlink r:id="rId2399" ref="O1229"/>
    <hyperlink r:id="rId2400" ref="N1230"/>
    <hyperlink r:id="rId2401" ref="O1230"/>
    <hyperlink r:id="rId2402" ref="N1231"/>
    <hyperlink r:id="rId2403" ref="O1231"/>
    <hyperlink r:id="rId2404" ref="N1232"/>
    <hyperlink r:id="rId2405" ref="O1232"/>
    <hyperlink r:id="rId2406" ref="N1233"/>
    <hyperlink r:id="rId2407" ref="O1233"/>
    <hyperlink r:id="rId2408" ref="N1234"/>
    <hyperlink r:id="rId2409" ref="O1234"/>
    <hyperlink r:id="rId2410" ref="N1235"/>
    <hyperlink r:id="rId2411" ref="O1235"/>
    <hyperlink r:id="rId2412" ref="N1236"/>
    <hyperlink r:id="rId2413" ref="O1236"/>
    <hyperlink r:id="rId2414" ref="N1237"/>
    <hyperlink r:id="rId2415" ref="O1237"/>
    <hyperlink r:id="rId2416" ref="N1238"/>
    <hyperlink r:id="rId2417" ref="O1238"/>
    <hyperlink r:id="rId2418" ref="N1239"/>
    <hyperlink r:id="rId2419" ref="O1239"/>
    <hyperlink r:id="rId2420" ref="N1240"/>
    <hyperlink r:id="rId2421" ref="O1240"/>
    <hyperlink r:id="rId2422" ref="N1241"/>
    <hyperlink r:id="rId2423" ref="O1241"/>
    <hyperlink r:id="rId2424" ref="N1242"/>
    <hyperlink r:id="rId2425" ref="O1242"/>
    <hyperlink r:id="rId2426" ref="N1243"/>
    <hyperlink r:id="rId2427" ref="O1243"/>
    <hyperlink r:id="rId2428" ref="N1244"/>
    <hyperlink r:id="rId2429" ref="O1244"/>
    <hyperlink r:id="rId2430" ref="N1245"/>
    <hyperlink r:id="rId2431" ref="O1245"/>
    <hyperlink r:id="rId2432" ref="N1246"/>
    <hyperlink r:id="rId2433" ref="O1246"/>
    <hyperlink r:id="rId2434" ref="N1247"/>
    <hyperlink r:id="rId2435" ref="O1247"/>
    <hyperlink r:id="rId2436" ref="N1248"/>
    <hyperlink r:id="rId2437" ref="O1248"/>
    <hyperlink r:id="rId2438" ref="N1249"/>
    <hyperlink r:id="rId2439" ref="O1249"/>
    <hyperlink r:id="rId2440" ref="N1250"/>
    <hyperlink r:id="rId2441" ref="O1250"/>
    <hyperlink r:id="rId2442" ref="N1251"/>
    <hyperlink r:id="rId2443" ref="O1251"/>
    <hyperlink r:id="rId2444" ref="N1252"/>
    <hyperlink r:id="rId2445" ref="O1252"/>
    <hyperlink r:id="rId2446" ref="N1253"/>
    <hyperlink r:id="rId2447" ref="O1253"/>
    <hyperlink r:id="rId2448" ref="N1254"/>
    <hyperlink r:id="rId2449" ref="O1254"/>
    <hyperlink r:id="rId2450" ref="N1255"/>
    <hyperlink r:id="rId2451" ref="O1255"/>
    <hyperlink r:id="rId2452" ref="N1256"/>
    <hyperlink r:id="rId2453" ref="O1256"/>
    <hyperlink r:id="rId2454" ref="N1257"/>
    <hyperlink r:id="rId2455" ref="O1257"/>
    <hyperlink r:id="rId2456" ref="N1258"/>
    <hyperlink r:id="rId2457" ref="O1258"/>
    <hyperlink r:id="rId2458" ref="N1259"/>
    <hyperlink r:id="rId2459" ref="N1260"/>
    <hyperlink r:id="rId2460" ref="O1260"/>
    <hyperlink r:id="rId2461" ref="N1261"/>
    <hyperlink r:id="rId2462" ref="O1261"/>
    <hyperlink r:id="rId2463" ref="N1262"/>
    <hyperlink r:id="rId2464" ref="O1262"/>
    <hyperlink r:id="rId2465" ref="N1263"/>
    <hyperlink r:id="rId2466" ref="O1263"/>
    <hyperlink r:id="rId2467" ref="N1264"/>
    <hyperlink r:id="rId2468" ref="O1264"/>
    <hyperlink r:id="rId2469" ref="N1265"/>
    <hyperlink r:id="rId2470" ref="O1265"/>
    <hyperlink r:id="rId2471" ref="N1266"/>
    <hyperlink r:id="rId2472" ref="O1266"/>
    <hyperlink r:id="rId2473" ref="N1267"/>
    <hyperlink r:id="rId2474" ref="O1267"/>
    <hyperlink r:id="rId2475" ref="N1268"/>
    <hyperlink r:id="rId2476" ref="O1268"/>
    <hyperlink r:id="rId2477" ref="N1269"/>
    <hyperlink r:id="rId2478" ref="O1269"/>
    <hyperlink r:id="rId2479" ref="N1270"/>
    <hyperlink r:id="rId2480" ref="O1270"/>
    <hyperlink r:id="rId2481" ref="N1271"/>
    <hyperlink r:id="rId2482" ref="O1271"/>
    <hyperlink r:id="rId2483" ref="N1272"/>
    <hyperlink r:id="rId2484" ref="O1272"/>
    <hyperlink r:id="rId2485" ref="N1273"/>
    <hyperlink r:id="rId2486" ref="O1273"/>
    <hyperlink r:id="rId2487" ref="N1274"/>
    <hyperlink r:id="rId2488" ref="O1274"/>
    <hyperlink r:id="rId2489" ref="N1275"/>
    <hyperlink r:id="rId2490" ref="O1275"/>
    <hyperlink r:id="rId2491" ref="N1276"/>
    <hyperlink r:id="rId2492" ref="O1276"/>
    <hyperlink r:id="rId2493" ref="N1277"/>
    <hyperlink r:id="rId2494" ref="O1277"/>
    <hyperlink r:id="rId2495" ref="N1278"/>
    <hyperlink r:id="rId2496" ref="O1278"/>
    <hyperlink r:id="rId2497" ref="N1279"/>
    <hyperlink r:id="rId2498" ref="O1279"/>
    <hyperlink r:id="rId2499" ref="N1280"/>
    <hyperlink r:id="rId2500" ref="O1280"/>
    <hyperlink r:id="rId2501" ref="N1281"/>
    <hyperlink r:id="rId2502" ref="O1281"/>
    <hyperlink r:id="rId2503" ref="N1282"/>
    <hyperlink r:id="rId2504" ref="O1282"/>
    <hyperlink r:id="rId2505" ref="N1283"/>
    <hyperlink r:id="rId2506" ref="O1283"/>
    <hyperlink r:id="rId2507" ref="N1284"/>
    <hyperlink r:id="rId2508" ref="O1284"/>
    <hyperlink r:id="rId2509" ref="N1285"/>
    <hyperlink r:id="rId2510" ref="O1285"/>
    <hyperlink r:id="rId2511" ref="N1286"/>
    <hyperlink r:id="rId2512" ref="O1286"/>
    <hyperlink r:id="rId2513" ref="N1287"/>
    <hyperlink r:id="rId2514" ref="O1287"/>
    <hyperlink r:id="rId2515" ref="N1288"/>
    <hyperlink r:id="rId2516" ref="O1288"/>
    <hyperlink r:id="rId2517" ref="N1289"/>
    <hyperlink r:id="rId2518" ref="O1289"/>
    <hyperlink r:id="rId2519" ref="N1290"/>
    <hyperlink r:id="rId2520" ref="O1290"/>
    <hyperlink r:id="rId2521" ref="N1291"/>
    <hyperlink r:id="rId2522" ref="O1291"/>
    <hyperlink r:id="rId2523" ref="N1292"/>
    <hyperlink r:id="rId2524" ref="O1292"/>
    <hyperlink r:id="rId2525" ref="N1293"/>
    <hyperlink r:id="rId2526" ref="O1293"/>
    <hyperlink r:id="rId2527" ref="N1294"/>
    <hyperlink r:id="rId2528" ref="O1294"/>
    <hyperlink r:id="rId2529" ref="N1295"/>
    <hyperlink r:id="rId2530" ref="O1295"/>
    <hyperlink r:id="rId2531" ref="N1296"/>
    <hyperlink r:id="rId2532" ref="O1296"/>
    <hyperlink r:id="rId2533" ref="N1297"/>
    <hyperlink r:id="rId2534" ref="O1297"/>
    <hyperlink r:id="rId2535" ref="N1298"/>
    <hyperlink r:id="rId2536" ref="O1298"/>
    <hyperlink r:id="rId2537" ref="N1299"/>
    <hyperlink r:id="rId2538" ref="O1299"/>
    <hyperlink r:id="rId2539" ref="N1300"/>
    <hyperlink r:id="rId2540" ref="O1300"/>
    <hyperlink r:id="rId2541" ref="N1301"/>
    <hyperlink r:id="rId2542" ref="O1301"/>
    <hyperlink r:id="rId2543" ref="N1302"/>
    <hyperlink r:id="rId2544" ref="O1302"/>
    <hyperlink r:id="rId2545" ref="N1303"/>
    <hyperlink r:id="rId2546" ref="O1303"/>
    <hyperlink r:id="rId2547" ref="N1304"/>
    <hyperlink r:id="rId2548" ref="O1304"/>
    <hyperlink r:id="rId2549" ref="N1305"/>
    <hyperlink r:id="rId2550" ref="O1305"/>
    <hyperlink r:id="rId2551" ref="N1306"/>
    <hyperlink r:id="rId2552" ref="O1306"/>
    <hyperlink r:id="rId2553" ref="N1307"/>
    <hyperlink r:id="rId2554" ref="O1307"/>
    <hyperlink r:id="rId2555" ref="N1308"/>
    <hyperlink r:id="rId2556" ref="O1308"/>
    <hyperlink r:id="rId2557" ref="N1309"/>
    <hyperlink r:id="rId2558" ref="O1309"/>
    <hyperlink r:id="rId2559" ref="N1310"/>
    <hyperlink r:id="rId2560" ref="O1310"/>
    <hyperlink r:id="rId2561" ref="N1311"/>
    <hyperlink r:id="rId2562" ref="O1311"/>
    <hyperlink r:id="rId2563" ref="N1312"/>
    <hyperlink r:id="rId2564" ref="O1312"/>
    <hyperlink r:id="rId2565" ref="N1313"/>
    <hyperlink r:id="rId2566" ref="O1313"/>
    <hyperlink r:id="rId2567" ref="N1314"/>
    <hyperlink r:id="rId2568" ref="O1314"/>
    <hyperlink r:id="rId2569" ref="N1315"/>
    <hyperlink r:id="rId2570" ref="O1315"/>
    <hyperlink r:id="rId2571" ref="N1316"/>
    <hyperlink r:id="rId2572" ref="O1316"/>
    <hyperlink r:id="rId2573" ref="N1317"/>
    <hyperlink r:id="rId2574" ref="O1317"/>
    <hyperlink r:id="rId2575" ref="N1318"/>
    <hyperlink r:id="rId2576" ref="O1318"/>
    <hyperlink r:id="rId2577" ref="N1319"/>
    <hyperlink r:id="rId2578" ref="O1319"/>
    <hyperlink r:id="rId2579" ref="N1320"/>
    <hyperlink r:id="rId2580" ref="O1320"/>
    <hyperlink r:id="rId2581" ref="N1321"/>
    <hyperlink r:id="rId2582" ref="O1321"/>
    <hyperlink r:id="rId2583" ref="N1322"/>
    <hyperlink r:id="rId2584" ref="O1322"/>
    <hyperlink r:id="rId2585" ref="N1323"/>
    <hyperlink r:id="rId2586" ref="O1323"/>
    <hyperlink r:id="rId2587" ref="N1324"/>
    <hyperlink r:id="rId2588" ref="O1324"/>
    <hyperlink r:id="rId2589" ref="N1325"/>
    <hyperlink r:id="rId2590" ref="O1325"/>
    <hyperlink r:id="rId2591" ref="N1326"/>
    <hyperlink r:id="rId2592" ref="O1326"/>
    <hyperlink r:id="rId2593" ref="N1327"/>
    <hyperlink r:id="rId2594" ref="O1327"/>
    <hyperlink r:id="rId2595" ref="N1328"/>
    <hyperlink r:id="rId2596" ref="O1328"/>
    <hyperlink r:id="rId2597" ref="N1329"/>
    <hyperlink r:id="rId2598" ref="O1329"/>
    <hyperlink r:id="rId2599" ref="N1330"/>
    <hyperlink r:id="rId2600" ref="O1330"/>
    <hyperlink r:id="rId2601" ref="N1331"/>
    <hyperlink r:id="rId2602" ref="O1331"/>
    <hyperlink r:id="rId2603" ref="N1332"/>
    <hyperlink r:id="rId2604" ref="O1332"/>
    <hyperlink r:id="rId2605" ref="N1333"/>
    <hyperlink r:id="rId2606" ref="O1333"/>
    <hyperlink r:id="rId2607" ref="N1334"/>
    <hyperlink r:id="rId2608" ref="O1334"/>
    <hyperlink r:id="rId2609" ref="N1335"/>
    <hyperlink r:id="rId2610" ref="O1335"/>
    <hyperlink r:id="rId2611" ref="N1336"/>
    <hyperlink r:id="rId2612" ref="O1336"/>
    <hyperlink r:id="rId2613" ref="N1337"/>
    <hyperlink r:id="rId2614" ref="O1337"/>
    <hyperlink r:id="rId2615" ref="N1338"/>
    <hyperlink r:id="rId2616" ref="O1338"/>
    <hyperlink r:id="rId2617" ref="N1339"/>
    <hyperlink r:id="rId2618" ref="O1339"/>
    <hyperlink r:id="rId2619" ref="N1340"/>
    <hyperlink r:id="rId2620" ref="O1340"/>
    <hyperlink r:id="rId2621" ref="N1341"/>
    <hyperlink r:id="rId2622" ref="O1341"/>
    <hyperlink r:id="rId2623" ref="N1342"/>
    <hyperlink r:id="rId2624" ref="O1342"/>
    <hyperlink r:id="rId2625" ref="N1343"/>
    <hyperlink r:id="rId2626" ref="O1343"/>
    <hyperlink r:id="rId2627" ref="N1344"/>
    <hyperlink r:id="rId2628" ref="O1344"/>
    <hyperlink r:id="rId2629" ref="N1345"/>
    <hyperlink r:id="rId2630" ref="O1345"/>
    <hyperlink r:id="rId2631" ref="N1346"/>
    <hyperlink r:id="rId2632" ref="O1346"/>
    <hyperlink r:id="rId2633" ref="N1347"/>
    <hyperlink r:id="rId2634" ref="O1347"/>
    <hyperlink r:id="rId2635" ref="N1348"/>
    <hyperlink r:id="rId2636" ref="O1348"/>
    <hyperlink r:id="rId2637" ref="N1349"/>
    <hyperlink r:id="rId2638" ref="O1349"/>
    <hyperlink r:id="rId2639" ref="N1350"/>
    <hyperlink r:id="rId2640" ref="O1350"/>
    <hyperlink r:id="rId2641" ref="N1351"/>
    <hyperlink r:id="rId2642" ref="N1352"/>
    <hyperlink r:id="rId2643" ref="O1352"/>
    <hyperlink r:id="rId2644" ref="N1353"/>
    <hyperlink r:id="rId2645" ref="O1353"/>
    <hyperlink r:id="rId2646" ref="N1354"/>
    <hyperlink r:id="rId2647" ref="O1354"/>
    <hyperlink r:id="rId2648" ref="N1355"/>
    <hyperlink r:id="rId2649" ref="O1355"/>
    <hyperlink r:id="rId2650" ref="N1356"/>
    <hyperlink r:id="rId2651" ref="O1356"/>
    <hyperlink r:id="rId2652" ref="N1357"/>
    <hyperlink r:id="rId2653" ref="O1357"/>
    <hyperlink r:id="rId2654" ref="N1358"/>
    <hyperlink r:id="rId2655" ref="O1358"/>
    <hyperlink r:id="rId2656" ref="N1359"/>
    <hyperlink r:id="rId2657" ref="O1359"/>
    <hyperlink r:id="rId2658" ref="N1360"/>
    <hyperlink r:id="rId2659" ref="O1360"/>
    <hyperlink r:id="rId2660" ref="N1361"/>
    <hyperlink r:id="rId2661" ref="O1361"/>
    <hyperlink r:id="rId2662" ref="N1362"/>
    <hyperlink r:id="rId2663" ref="O1362"/>
    <hyperlink r:id="rId2664" ref="N1363"/>
    <hyperlink r:id="rId2665" ref="O1363"/>
    <hyperlink r:id="rId2666" ref="N1364"/>
    <hyperlink r:id="rId2667" ref="O1364"/>
    <hyperlink r:id="rId2668" ref="N1365"/>
    <hyperlink r:id="rId2669" ref="O1365"/>
    <hyperlink r:id="rId2670" ref="N1366"/>
    <hyperlink r:id="rId2671" ref="O1366"/>
    <hyperlink r:id="rId2672" ref="N1367"/>
    <hyperlink r:id="rId2673" ref="O1367"/>
    <hyperlink r:id="rId2674" ref="N1368"/>
    <hyperlink r:id="rId2675" ref="O1368"/>
    <hyperlink r:id="rId2676" ref="N1369"/>
    <hyperlink r:id="rId2677" ref="O1369"/>
    <hyperlink r:id="rId2678" ref="N1370"/>
    <hyperlink r:id="rId2679" ref="O1370"/>
    <hyperlink r:id="rId2680" ref="N1371"/>
    <hyperlink r:id="rId2681" ref="O1371"/>
    <hyperlink r:id="rId2682" ref="N1372"/>
    <hyperlink r:id="rId2683" ref="O1372"/>
    <hyperlink r:id="rId2684" ref="N1373"/>
    <hyperlink r:id="rId2685" ref="O1373"/>
    <hyperlink r:id="rId2686" ref="N1374"/>
    <hyperlink r:id="rId2687" ref="O1374"/>
    <hyperlink r:id="rId2688" ref="N1375"/>
    <hyperlink r:id="rId2689" ref="O1375"/>
    <hyperlink r:id="rId2690" ref="N1376"/>
    <hyperlink r:id="rId2691" ref="O1376"/>
    <hyperlink r:id="rId2692" ref="N1377"/>
    <hyperlink r:id="rId2693" ref="O1377"/>
    <hyperlink r:id="rId2694" ref="N1378"/>
    <hyperlink r:id="rId2695" ref="O1378"/>
    <hyperlink r:id="rId2696" ref="N1379"/>
    <hyperlink r:id="rId2697" ref="O1379"/>
    <hyperlink r:id="rId2698" ref="N1380"/>
    <hyperlink r:id="rId2699" ref="O1380"/>
    <hyperlink r:id="rId2700" ref="N1382"/>
    <hyperlink r:id="rId2701" ref="O1382"/>
    <hyperlink r:id="rId2702" ref="N1383"/>
    <hyperlink r:id="rId2703" ref="O1383"/>
    <hyperlink r:id="rId2704" ref="N1384"/>
    <hyperlink r:id="rId2705" ref="O1384"/>
    <hyperlink r:id="rId2706" ref="N1385"/>
    <hyperlink r:id="rId2707" ref="O1385"/>
    <hyperlink r:id="rId2708" ref="N1386"/>
    <hyperlink r:id="rId2709" ref="O1386"/>
    <hyperlink r:id="rId2710" ref="N1387"/>
    <hyperlink r:id="rId2711" ref="O1387"/>
    <hyperlink r:id="rId2712" ref="N1388"/>
    <hyperlink r:id="rId2713" ref="O1388"/>
    <hyperlink r:id="rId2714" ref="N1389"/>
    <hyperlink r:id="rId2715" ref="O1389"/>
    <hyperlink r:id="rId2716" ref="N1390"/>
    <hyperlink r:id="rId2717" ref="O1390"/>
    <hyperlink r:id="rId2718" ref="N1391"/>
    <hyperlink r:id="rId2719" ref="O1391"/>
    <hyperlink r:id="rId2720" ref="N1392"/>
    <hyperlink r:id="rId2721" ref="N1393"/>
    <hyperlink r:id="rId2722" ref="N1394"/>
    <hyperlink r:id="rId2723" ref="O1394"/>
    <hyperlink r:id="rId2724" ref="N1395"/>
    <hyperlink r:id="rId2725" ref="O1395"/>
    <hyperlink r:id="rId2726" ref="N1396"/>
    <hyperlink r:id="rId2727" ref="O1396"/>
    <hyperlink r:id="rId2728" ref="N1397"/>
    <hyperlink r:id="rId2729" ref="O1397"/>
    <hyperlink r:id="rId2730" ref="N1398"/>
    <hyperlink r:id="rId2731" ref="O1398"/>
    <hyperlink r:id="rId2732" ref="N1399"/>
    <hyperlink r:id="rId2733" ref="O1399"/>
    <hyperlink r:id="rId2734" ref="N1400"/>
    <hyperlink r:id="rId2735" ref="O1400"/>
    <hyperlink r:id="rId2736" ref="N1401"/>
    <hyperlink r:id="rId2737" ref="O1401"/>
    <hyperlink r:id="rId2738" ref="N1402"/>
    <hyperlink r:id="rId2739" ref="O1402"/>
    <hyperlink r:id="rId2740" ref="N1403"/>
    <hyperlink r:id="rId2741" ref="O1403"/>
    <hyperlink r:id="rId2742" ref="N1404"/>
    <hyperlink r:id="rId2743" ref="O1404"/>
    <hyperlink r:id="rId2744" ref="N1405"/>
    <hyperlink r:id="rId2745" ref="O1405"/>
    <hyperlink r:id="rId2746" ref="N1406"/>
    <hyperlink r:id="rId2747" ref="O1406"/>
    <hyperlink r:id="rId2748" ref="N1407"/>
    <hyperlink r:id="rId2749" ref="O1407"/>
    <hyperlink r:id="rId2750" ref="N1408"/>
    <hyperlink r:id="rId2751" ref="O1408"/>
    <hyperlink r:id="rId2752" ref="N1409"/>
    <hyperlink r:id="rId2753" ref="O1409"/>
    <hyperlink r:id="rId2754" ref="N1410"/>
    <hyperlink r:id="rId2755" ref="O1410"/>
    <hyperlink r:id="rId2756" ref="N1411"/>
    <hyperlink r:id="rId2757" ref="O1411"/>
    <hyperlink r:id="rId2758" ref="N1412"/>
    <hyperlink r:id="rId2759" ref="O1412"/>
    <hyperlink r:id="rId2760" ref="N1413"/>
    <hyperlink r:id="rId2761" ref="O1413"/>
    <hyperlink r:id="rId2762" ref="N1414"/>
    <hyperlink r:id="rId2763" ref="N1415"/>
    <hyperlink r:id="rId2764" ref="N1416"/>
    <hyperlink r:id="rId2765" ref="N1417"/>
    <hyperlink r:id="rId2766" ref="O1417"/>
    <hyperlink r:id="rId2767" ref="N1418"/>
    <hyperlink r:id="rId2768" ref="N1419"/>
    <hyperlink r:id="rId2769" ref="N1420"/>
    <hyperlink r:id="rId2770" ref="O1420"/>
    <hyperlink r:id="rId2771" ref="N1421"/>
    <hyperlink r:id="rId2772" ref="O1421"/>
    <hyperlink r:id="rId2773" ref="N1422"/>
    <hyperlink r:id="rId2774" ref="O1422"/>
    <hyperlink r:id="rId2775" ref="N1423"/>
    <hyperlink r:id="rId2776" ref="N1424"/>
    <hyperlink r:id="rId2777" ref="O1424"/>
    <hyperlink r:id="rId2778" ref="N1425"/>
    <hyperlink r:id="rId2779" ref="O1425"/>
    <hyperlink r:id="rId2780" ref="N1426"/>
    <hyperlink r:id="rId2781" ref="O1426"/>
    <hyperlink r:id="rId2782" ref="N1427"/>
    <hyperlink r:id="rId2783" ref="O1427"/>
    <hyperlink r:id="rId2784" ref="N1428"/>
    <hyperlink r:id="rId2785" ref="N1429"/>
    <hyperlink r:id="rId2786" ref="O1429"/>
    <hyperlink r:id="rId2787" ref="N1430"/>
    <hyperlink r:id="rId2788" ref="O1430"/>
    <hyperlink r:id="rId2789" ref="N1431"/>
    <hyperlink r:id="rId2790" ref="O1431"/>
    <hyperlink r:id="rId2791" ref="N1432"/>
    <hyperlink r:id="rId2792" ref="O1432"/>
    <hyperlink r:id="rId2793" ref="N1433"/>
    <hyperlink r:id="rId2794" ref="O1433"/>
    <hyperlink r:id="rId2795" ref="N1434"/>
    <hyperlink r:id="rId2796" ref="O1434"/>
    <hyperlink r:id="rId2797" ref="N1435"/>
    <hyperlink r:id="rId2798" ref="O1435"/>
    <hyperlink r:id="rId2799" ref="N1436"/>
    <hyperlink r:id="rId2800" ref="O1436"/>
    <hyperlink r:id="rId2801" ref="N1437"/>
    <hyperlink r:id="rId2802" ref="O1437"/>
    <hyperlink r:id="rId2803" ref="N1438"/>
    <hyperlink r:id="rId2804" ref="O1438"/>
    <hyperlink r:id="rId2805" ref="N1439"/>
    <hyperlink r:id="rId2806" ref="O1439"/>
    <hyperlink r:id="rId2807" ref="N1440"/>
    <hyperlink r:id="rId2808" ref="O1440"/>
    <hyperlink r:id="rId2809" ref="N1441"/>
    <hyperlink r:id="rId2810" ref="O1441"/>
    <hyperlink r:id="rId2811" ref="N1442"/>
    <hyperlink r:id="rId2812" ref="O1442"/>
    <hyperlink r:id="rId2813" ref="N1443"/>
    <hyperlink r:id="rId2814" ref="N1444"/>
    <hyperlink r:id="rId2815" ref="O1444"/>
    <hyperlink r:id="rId2816" ref="N1445"/>
    <hyperlink r:id="rId2817" ref="O1445"/>
    <hyperlink r:id="rId2818" ref="N1446"/>
    <hyperlink r:id="rId2819" ref="O1446"/>
    <hyperlink r:id="rId2820" ref="N1447"/>
    <hyperlink r:id="rId2821" ref="O1447"/>
    <hyperlink r:id="rId2822" ref="N1448"/>
    <hyperlink r:id="rId2823" ref="O1448"/>
    <hyperlink r:id="rId2824" ref="N1449"/>
    <hyperlink r:id="rId2825" ref="O1449"/>
    <hyperlink r:id="rId2826" ref="N1450"/>
    <hyperlink r:id="rId2827" ref="O1450"/>
    <hyperlink r:id="rId2828" ref="N1451"/>
    <hyperlink r:id="rId2829" ref="O1451"/>
    <hyperlink r:id="rId2830" ref="N1452"/>
    <hyperlink r:id="rId2831" ref="O1452"/>
    <hyperlink r:id="rId2832" ref="N1453"/>
    <hyperlink r:id="rId2833" ref="O1453"/>
    <hyperlink r:id="rId2834" ref="N1454"/>
    <hyperlink r:id="rId2835" ref="O1454"/>
    <hyperlink r:id="rId2836" ref="N1455"/>
    <hyperlink r:id="rId2837" ref="O1455"/>
    <hyperlink r:id="rId2838" ref="N1456"/>
    <hyperlink r:id="rId2839" ref="O1456"/>
    <hyperlink r:id="rId2840" ref="N1457"/>
    <hyperlink r:id="rId2841" ref="O1457"/>
    <hyperlink r:id="rId2842" ref="N1458"/>
    <hyperlink r:id="rId2843" ref="O1458"/>
    <hyperlink r:id="rId2844" ref="N1459"/>
    <hyperlink r:id="rId2845" ref="O1459"/>
    <hyperlink r:id="rId2846" ref="N1460"/>
    <hyperlink r:id="rId2847" ref="O1460"/>
    <hyperlink r:id="rId2848" ref="N1461"/>
    <hyperlink r:id="rId2849" ref="O1461"/>
    <hyperlink r:id="rId2850" ref="N1462"/>
    <hyperlink r:id="rId2851" ref="O1462"/>
    <hyperlink r:id="rId2852" ref="N1463"/>
    <hyperlink r:id="rId2853" ref="O1463"/>
    <hyperlink r:id="rId2854" ref="N1464"/>
    <hyperlink r:id="rId2855" ref="O1464"/>
    <hyperlink r:id="rId2856" ref="N1465"/>
    <hyperlink r:id="rId2857" ref="O1465"/>
    <hyperlink r:id="rId2858" ref="N1466"/>
    <hyperlink r:id="rId2859" ref="N1467"/>
    <hyperlink r:id="rId2860" ref="O1467"/>
    <hyperlink r:id="rId2861" ref="N1468"/>
    <hyperlink r:id="rId2862" ref="O1468"/>
    <hyperlink r:id="rId2863" ref="N1469"/>
    <hyperlink r:id="rId2864" ref="O1469"/>
    <hyperlink r:id="rId2865" ref="N1470"/>
    <hyperlink r:id="rId2866" ref="O1470"/>
    <hyperlink r:id="rId2867" ref="N1471"/>
    <hyperlink r:id="rId2868" ref="O1471"/>
    <hyperlink r:id="rId2869" ref="N1472"/>
    <hyperlink r:id="rId2870" ref="O1472"/>
    <hyperlink r:id="rId2871" ref="N1474"/>
    <hyperlink r:id="rId2872" ref="O1474"/>
    <hyperlink r:id="rId2873" ref="N1475"/>
    <hyperlink r:id="rId2874" ref="O1475"/>
    <hyperlink r:id="rId2875" ref="N1476"/>
    <hyperlink r:id="rId2876" ref="O1476"/>
    <hyperlink r:id="rId2877" ref="N1477"/>
    <hyperlink r:id="rId2878" ref="O1477"/>
    <hyperlink r:id="rId2879" ref="N1478"/>
    <hyperlink r:id="rId2880" ref="O1478"/>
    <hyperlink r:id="rId2881" ref="N1479"/>
    <hyperlink r:id="rId2882" ref="O1479"/>
    <hyperlink r:id="rId2883" ref="N1480"/>
    <hyperlink r:id="rId2884" ref="O1480"/>
    <hyperlink r:id="rId2885" ref="N1481"/>
    <hyperlink r:id="rId2886" ref="O1481"/>
    <hyperlink r:id="rId2887" ref="N1482"/>
    <hyperlink r:id="rId2888" ref="O1482"/>
    <hyperlink r:id="rId2889" ref="N1483"/>
    <hyperlink r:id="rId2890" ref="O1483"/>
    <hyperlink r:id="rId2891" ref="N1484"/>
    <hyperlink r:id="rId2892" ref="O1484"/>
    <hyperlink r:id="rId2893" ref="N1485"/>
    <hyperlink r:id="rId2894" ref="O1485"/>
    <hyperlink r:id="rId2895" ref="N1486"/>
    <hyperlink r:id="rId2896" ref="O1486"/>
    <hyperlink r:id="rId2897" ref="N1487"/>
    <hyperlink r:id="rId2898" ref="O1487"/>
    <hyperlink r:id="rId2899" ref="N1488"/>
    <hyperlink r:id="rId2900" ref="O1488"/>
    <hyperlink r:id="rId2901" ref="N1489"/>
    <hyperlink r:id="rId2902" ref="O1489"/>
    <hyperlink r:id="rId2903" ref="N1490"/>
    <hyperlink r:id="rId2904" ref="O1490"/>
    <hyperlink r:id="rId2905" ref="N1491"/>
    <hyperlink r:id="rId2906" ref="O1491"/>
    <hyperlink r:id="rId2907" ref="N1492"/>
    <hyperlink r:id="rId2908" ref="O1492"/>
    <hyperlink r:id="rId2909" ref="N1493"/>
    <hyperlink r:id="rId2910" ref="N1494"/>
    <hyperlink r:id="rId2911" ref="O1494"/>
    <hyperlink r:id="rId2912" ref="N1495"/>
    <hyperlink r:id="rId2913" ref="O1495"/>
    <hyperlink r:id="rId2914" ref="N1496"/>
    <hyperlink r:id="rId2915" ref="O1496"/>
    <hyperlink r:id="rId2916" ref="N1497"/>
    <hyperlink r:id="rId2917" ref="O1497"/>
    <hyperlink r:id="rId2918" ref="N1498"/>
    <hyperlink r:id="rId2919" ref="O1498"/>
    <hyperlink r:id="rId2920" ref="N1499"/>
    <hyperlink r:id="rId2921" ref="O1499"/>
    <hyperlink r:id="rId2922" ref="N1500"/>
    <hyperlink r:id="rId2923" ref="O1500"/>
    <hyperlink r:id="rId2924" ref="N1501"/>
    <hyperlink r:id="rId2925" ref="O1501"/>
    <hyperlink r:id="rId2926" ref="N1502"/>
    <hyperlink r:id="rId2927" ref="O1502"/>
    <hyperlink r:id="rId2928" ref="N1503"/>
    <hyperlink r:id="rId2929" ref="O1503"/>
    <hyperlink r:id="rId2930" ref="O1504"/>
    <hyperlink r:id="rId2931" ref="N1505"/>
    <hyperlink r:id="rId2932" ref="N1506"/>
    <hyperlink r:id="rId2933" ref="O1506"/>
    <hyperlink r:id="rId2934" ref="N1507"/>
    <hyperlink r:id="rId2935" ref="O1507"/>
    <hyperlink r:id="rId2936" ref="N1508"/>
    <hyperlink r:id="rId2937" ref="N1509"/>
    <hyperlink r:id="rId2938" ref="O1509"/>
    <hyperlink r:id="rId2939" ref="N1510"/>
    <hyperlink r:id="rId2940" ref="O1510"/>
    <hyperlink r:id="rId2941" ref="N1511"/>
    <hyperlink r:id="rId2942" ref="O1511"/>
    <hyperlink r:id="rId2943" ref="N1512"/>
    <hyperlink r:id="rId2944" ref="O1512"/>
    <hyperlink r:id="rId2945" ref="N1513"/>
    <hyperlink r:id="rId2946" ref="O1513"/>
    <hyperlink r:id="rId2947" ref="N1514"/>
    <hyperlink r:id="rId2948" ref="O1514"/>
    <hyperlink r:id="rId2949" ref="N1515"/>
    <hyperlink r:id="rId2950" ref="O1515"/>
    <hyperlink r:id="rId2951" ref="N1516"/>
    <hyperlink r:id="rId2952" ref="O1516"/>
    <hyperlink r:id="rId2953" ref="N1517"/>
    <hyperlink r:id="rId2954" ref="N1518"/>
    <hyperlink r:id="rId2955" ref="O1518"/>
    <hyperlink r:id="rId2956" ref="N1520"/>
    <hyperlink r:id="rId2957" ref="O1520"/>
    <hyperlink r:id="rId2958" ref="N1521"/>
    <hyperlink r:id="rId2959" ref="O1521"/>
    <hyperlink r:id="rId2960" ref="N1522"/>
    <hyperlink r:id="rId2961" ref="O1522"/>
    <hyperlink r:id="rId2962" ref="N1523"/>
    <hyperlink r:id="rId2963" ref="O1523"/>
    <hyperlink r:id="rId2964" ref="N1524"/>
    <hyperlink r:id="rId2965" ref="O1524"/>
    <hyperlink r:id="rId2966" ref="N1525"/>
    <hyperlink r:id="rId2967" ref="O1525"/>
    <hyperlink r:id="rId2968" ref="N1526"/>
    <hyperlink r:id="rId2969" ref="N1527"/>
    <hyperlink r:id="rId2970" ref="O1527"/>
    <hyperlink r:id="rId2971" ref="N1528"/>
    <hyperlink r:id="rId2972" ref="O1528"/>
    <hyperlink r:id="rId2973" ref="N1529"/>
    <hyperlink r:id="rId2974" ref="O1529"/>
    <hyperlink r:id="rId2975" ref="N1530"/>
    <hyperlink r:id="rId2976" ref="O1530"/>
    <hyperlink r:id="rId2977" ref="N1531"/>
    <hyperlink r:id="rId2978" ref="O1531"/>
    <hyperlink r:id="rId2979" ref="N1532"/>
    <hyperlink r:id="rId2980" ref="O1532"/>
    <hyperlink r:id="rId2981" ref="N1533"/>
    <hyperlink r:id="rId2982" ref="O1533"/>
    <hyperlink r:id="rId2983" ref="N1534"/>
    <hyperlink r:id="rId2984" ref="O1534"/>
    <hyperlink r:id="rId2985" ref="N1535"/>
    <hyperlink r:id="rId2986" ref="O1535"/>
    <hyperlink r:id="rId2987" ref="N1536"/>
    <hyperlink r:id="rId2988" ref="O1536"/>
    <hyperlink r:id="rId2989" ref="N1537"/>
    <hyperlink r:id="rId2990" ref="O1537"/>
    <hyperlink r:id="rId2991" ref="N1538"/>
    <hyperlink r:id="rId2992" ref="O1538"/>
    <hyperlink r:id="rId2993" ref="N1539"/>
    <hyperlink r:id="rId2994" ref="O1539"/>
    <hyperlink r:id="rId2995" ref="N1540"/>
    <hyperlink r:id="rId2996" ref="O1540"/>
    <hyperlink r:id="rId2997" ref="N1541"/>
    <hyperlink r:id="rId2998" ref="O1541"/>
    <hyperlink r:id="rId2999" ref="N1542"/>
    <hyperlink r:id="rId3000" ref="O1542"/>
    <hyperlink r:id="rId3001" ref="N1543"/>
    <hyperlink r:id="rId3002" ref="O1543"/>
    <hyperlink r:id="rId3003" ref="N1544"/>
    <hyperlink r:id="rId3004" ref="O1544"/>
    <hyperlink r:id="rId3005" ref="N1545"/>
    <hyperlink r:id="rId3006" ref="O1545"/>
    <hyperlink r:id="rId3007" ref="N1546"/>
    <hyperlink r:id="rId3008" ref="O1546"/>
    <hyperlink r:id="rId3009" ref="N1547"/>
    <hyperlink r:id="rId3010" ref="O1547"/>
    <hyperlink r:id="rId3011" ref="N1548"/>
    <hyperlink r:id="rId3012" ref="N1549"/>
    <hyperlink r:id="rId3013" ref="O1549"/>
    <hyperlink r:id="rId3014" ref="N1550"/>
    <hyperlink r:id="rId3015" ref="O1550"/>
    <hyperlink r:id="rId3016" ref="N1551"/>
    <hyperlink r:id="rId3017" ref="O1551"/>
    <hyperlink r:id="rId3018" ref="N1552"/>
    <hyperlink r:id="rId3019" ref="O1552"/>
    <hyperlink r:id="rId3020" ref="N1553"/>
    <hyperlink r:id="rId3021" ref="N1554"/>
    <hyperlink r:id="rId3022" ref="O1554"/>
    <hyperlink r:id="rId3023" ref="N1555"/>
    <hyperlink r:id="rId3024" ref="O1555"/>
    <hyperlink r:id="rId3025" ref="N1556"/>
    <hyperlink r:id="rId3026" ref="O1556"/>
    <hyperlink r:id="rId3027" ref="N1557"/>
    <hyperlink r:id="rId3028" ref="O1557"/>
    <hyperlink r:id="rId3029" ref="N1558"/>
    <hyperlink r:id="rId3030" ref="O1558"/>
    <hyperlink r:id="rId3031" ref="N1559"/>
    <hyperlink r:id="rId3032" ref="O1559"/>
    <hyperlink r:id="rId3033" ref="N1560"/>
    <hyperlink r:id="rId3034" ref="O1560"/>
    <hyperlink r:id="rId3035" ref="N1561"/>
    <hyperlink r:id="rId3036" ref="O1561"/>
    <hyperlink r:id="rId3037" ref="N1562"/>
    <hyperlink r:id="rId3038" ref="O1562"/>
    <hyperlink r:id="rId3039" ref="N1563"/>
    <hyperlink r:id="rId3040" ref="O1563"/>
    <hyperlink r:id="rId3041" ref="N1564"/>
    <hyperlink r:id="rId3042" ref="O1564"/>
    <hyperlink r:id="rId3043" ref="N1565"/>
    <hyperlink r:id="rId3044" ref="O1565"/>
    <hyperlink r:id="rId3045" ref="N1566"/>
    <hyperlink r:id="rId3046" ref="O1566"/>
    <hyperlink r:id="rId3047" ref="N1567"/>
    <hyperlink r:id="rId3048" ref="O1567"/>
    <hyperlink r:id="rId3049" ref="N1568"/>
    <hyperlink r:id="rId3050" ref="O1568"/>
    <hyperlink r:id="rId3051" ref="N1569"/>
    <hyperlink r:id="rId3052" ref="O1569"/>
    <hyperlink r:id="rId3053" ref="N1570"/>
    <hyperlink r:id="rId3054" ref="O1570"/>
    <hyperlink r:id="rId3055" ref="N1571"/>
    <hyperlink r:id="rId3056" ref="O1571"/>
    <hyperlink r:id="rId3057" ref="N1572"/>
    <hyperlink r:id="rId3058" ref="O1572"/>
    <hyperlink r:id="rId3059" ref="N1573"/>
    <hyperlink r:id="rId3060" ref="O1573"/>
    <hyperlink r:id="rId3061" ref="N1574"/>
    <hyperlink r:id="rId3062" ref="O1574"/>
    <hyperlink r:id="rId3063" ref="N1577"/>
    <hyperlink r:id="rId3064" ref="O1577"/>
    <hyperlink r:id="rId3065" ref="N1578"/>
    <hyperlink r:id="rId3066" ref="O1578"/>
    <hyperlink r:id="rId3067" ref="N1579"/>
    <hyperlink r:id="rId3068" ref="O1579"/>
    <hyperlink r:id="rId3069" ref="N1580"/>
    <hyperlink r:id="rId3070" ref="O1580"/>
    <hyperlink r:id="rId3071" ref="N1581"/>
    <hyperlink r:id="rId3072" ref="O1581"/>
    <hyperlink r:id="rId3073" ref="N1582"/>
    <hyperlink r:id="rId3074" ref="O1582"/>
    <hyperlink r:id="rId3075" ref="N1583"/>
    <hyperlink r:id="rId3076" ref="O1583"/>
    <hyperlink r:id="rId3077" ref="N1584"/>
    <hyperlink r:id="rId3078" ref="O1584"/>
    <hyperlink r:id="rId3079" ref="N1585"/>
    <hyperlink r:id="rId3080" ref="O1585"/>
    <hyperlink r:id="rId3081" ref="N1586"/>
    <hyperlink r:id="rId3082" ref="O1586"/>
    <hyperlink r:id="rId3083" ref="N1587"/>
    <hyperlink r:id="rId3084" ref="O1587"/>
    <hyperlink r:id="rId3085" ref="N1588"/>
    <hyperlink r:id="rId3086" ref="O1588"/>
    <hyperlink r:id="rId3087" ref="N1589"/>
    <hyperlink r:id="rId3088" ref="O1589"/>
    <hyperlink r:id="rId3089" ref="N1590"/>
    <hyperlink r:id="rId3090" ref="O1590"/>
    <hyperlink r:id="rId3091" ref="N1591"/>
    <hyperlink r:id="rId3092" ref="O1591"/>
    <hyperlink r:id="rId3093" ref="N1592"/>
    <hyperlink r:id="rId3094" ref="O1592"/>
    <hyperlink r:id="rId3095" ref="N1593"/>
    <hyperlink r:id="rId3096" ref="O1593"/>
    <hyperlink r:id="rId3097" ref="N1594"/>
    <hyperlink r:id="rId3098" ref="O1594"/>
    <hyperlink r:id="rId3099" ref="N1595"/>
    <hyperlink r:id="rId3100" ref="O1595"/>
    <hyperlink r:id="rId3101" ref="N1596"/>
    <hyperlink r:id="rId3102" ref="O1596"/>
    <hyperlink r:id="rId3103" ref="N1597"/>
    <hyperlink r:id="rId3104" ref="O1597"/>
    <hyperlink r:id="rId3105" ref="N1598"/>
    <hyperlink r:id="rId3106" ref="O1598"/>
    <hyperlink r:id="rId3107" ref="N1599"/>
    <hyperlink r:id="rId3108" ref="O1599"/>
    <hyperlink r:id="rId3109" ref="N1600"/>
    <hyperlink r:id="rId3110" ref="O1600"/>
    <hyperlink r:id="rId3111" ref="N1601"/>
    <hyperlink r:id="rId3112" ref="O1601"/>
    <hyperlink r:id="rId3113" ref="N1602"/>
    <hyperlink r:id="rId3114" ref="O1602"/>
    <hyperlink r:id="rId3115" ref="N1603"/>
    <hyperlink r:id="rId3116" ref="O1603"/>
    <hyperlink r:id="rId3117" ref="N1604"/>
    <hyperlink r:id="rId3118" ref="O1604"/>
    <hyperlink r:id="rId3119" ref="N1605"/>
    <hyperlink r:id="rId3120" ref="O1605"/>
    <hyperlink r:id="rId3121" ref="N1606"/>
    <hyperlink r:id="rId3122" ref="O1606"/>
    <hyperlink r:id="rId3123" ref="N1607"/>
    <hyperlink r:id="rId3124" ref="O1607"/>
    <hyperlink r:id="rId3125" ref="N1608"/>
    <hyperlink r:id="rId3126" ref="O1608"/>
    <hyperlink r:id="rId3127" ref="N1609"/>
    <hyperlink r:id="rId3128" ref="O1609"/>
    <hyperlink r:id="rId3129" ref="N1610"/>
    <hyperlink r:id="rId3130" ref="O1610"/>
    <hyperlink r:id="rId3131" ref="N1611"/>
    <hyperlink r:id="rId3132" ref="O1611"/>
    <hyperlink r:id="rId3133" ref="N1612"/>
    <hyperlink r:id="rId3134" ref="O1612"/>
    <hyperlink r:id="rId3135" ref="N1613"/>
    <hyperlink r:id="rId3136" ref="O1613"/>
    <hyperlink r:id="rId3137" ref="N1614"/>
    <hyperlink r:id="rId3138" ref="O1614"/>
    <hyperlink r:id="rId3139" ref="N1615"/>
    <hyperlink r:id="rId3140" ref="O1615"/>
    <hyperlink r:id="rId3141" ref="N1616"/>
    <hyperlink r:id="rId3142" ref="O1616"/>
    <hyperlink r:id="rId3143" ref="N1617"/>
    <hyperlink r:id="rId3144" ref="O1617"/>
    <hyperlink r:id="rId3145" ref="N1618"/>
    <hyperlink r:id="rId3146" ref="O1618"/>
    <hyperlink r:id="rId3147" ref="N1619"/>
    <hyperlink r:id="rId3148" ref="O1619"/>
    <hyperlink r:id="rId3149" ref="N1620"/>
    <hyperlink r:id="rId3150" ref="O1620"/>
    <hyperlink r:id="rId3151" ref="N1621"/>
    <hyperlink r:id="rId3152" ref="O1621"/>
    <hyperlink r:id="rId3153" ref="N1622"/>
    <hyperlink r:id="rId3154" ref="O1622"/>
    <hyperlink r:id="rId3155" ref="N1623"/>
    <hyperlink r:id="rId3156" ref="O1623"/>
    <hyperlink r:id="rId3157" ref="N1624"/>
    <hyperlink r:id="rId3158" ref="O1624"/>
    <hyperlink r:id="rId3159" ref="N1625"/>
    <hyperlink r:id="rId3160" ref="O1625"/>
    <hyperlink r:id="rId3161" ref="N1626"/>
    <hyperlink r:id="rId3162" ref="O1626"/>
    <hyperlink r:id="rId3163" ref="N1627"/>
    <hyperlink r:id="rId3164" ref="O1627"/>
    <hyperlink r:id="rId3165" ref="N1628"/>
    <hyperlink r:id="rId3166" ref="O1628"/>
    <hyperlink r:id="rId3167" ref="N1629"/>
    <hyperlink r:id="rId3168" ref="O1629"/>
    <hyperlink r:id="rId3169" ref="N1630"/>
    <hyperlink r:id="rId3170" ref="O1630"/>
    <hyperlink r:id="rId3171" ref="N1631"/>
    <hyperlink r:id="rId3172" ref="O1631"/>
    <hyperlink r:id="rId3173" ref="N1632"/>
    <hyperlink r:id="rId3174" ref="O1632"/>
    <hyperlink r:id="rId3175" ref="N1633"/>
    <hyperlink r:id="rId3176" ref="O1633"/>
    <hyperlink r:id="rId3177" ref="N1634"/>
    <hyperlink r:id="rId3178" ref="O1634"/>
    <hyperlink r:id="rId3179" ref="N1635"/>
    <hyperlink r:id="rId3180" ref="O1635"/>
    <hyperlink r:id="rId3181" ref="N1639"/>
    <hyperlink r:id="rId3182" ref="O1639"/>
    <hyperlink r:id="rId3183" ref="N1640"/>
    <hyperlink r:id="rId3184" ref="O1640"/>
    <hyperlink r:id="rId3185" ref="N1641"/>
    <hyperlink r:id="rId3186" ref="O1641"/>
    <hyperlink r:id="rId3187" ref="N1642"/>
    <hyperlink r:id="rId3188" ref="O1642"/>
    <hyperlink r:id="rId3189" ref="N1643"/>
    <hyperlink r:id="rId3190" ref="O1643"/>
    <hyperlink r:id="rId3191" ref="N1644"/>
    <hyperlink r:id="rId3192" ref="O1644"/>
    <hyperlink r:id="rId3193" ref="N1645"/>
    <hyperlink r:id="rId3194" ref="O1645"/>
    <hyperlink r:id="rId3195" ref="N1646"/>
    <hyperlink r:id="rId3196" ref="O1646"/>
    <hyperlink r:id="rId3197" ref="N1647"/>
    <hyperlink r:id="rId3198" ref="O1647"/>
    <hyperlink r:id="rId3199" ref="N1648"/>
    <hyperlink r:id="rId3200" ref="O1648"/>
    <hyperlink r:id="rId3201" ref="N1649"/>
    <hyperlink r:id="rId3202" ref="O1649"/>
    <hyperlink r:id="rId3203" ref="N1650"/>
    <hyperlink r:id="rId3204" ref="O1650"/>
    <hyperlink r:id="rId3205" ref="N1651"/>
    <hyperlink r:id="rId3206" ref="O1651"/>
    <hyperlink r:id="rId3207" ref="N1652"/>
    <hyperlink r:id="rId3208" ref="O1652"/>
    <hyperlink r:id="rId3209" ref="N1653"/>
    <hyperlink r:id="rId3210" ref="O1653"/>
    <hyperlink r:id="rId3211" ref="N1654"/>
    <hyperlink r:id="rId3212" ref="O1654"/>
    <hyperlink r:id="rId3213" ref="N1655"/>
    <hyperlink r:id="rId3214" ref="O1655"/>
    <hyperlink r:id="rId3215" ref="N1656"/>
    <hyperlink r:id="rId3216" ref="O1656"/>
    <hyperlink r:id="rId3217" ref="N1657"/>
    <hyperlink r:id="rId3218" ref="O1657"/>
    <hyperlink r:id="rId3219" ref="N1658"/>
    <hyperlink r:id="rId3220" ref="O1658"/>
    <hyperlink r:id="rId3221" ref="N1659"/>
    <hyperlink r:id="rId3222" ref="O1659"/>
    <hyperlink r:id="rId3223" ref="N1660"/>
    <hyperlink r:id="rId3224" ref="O1660"/>
    <hyperlink r:id="rId3225" ref="N1661"/>
    <hyperlink r:id="rId3226" ref="O1661"/>
    <hyperlink r:id="rId3227" ref="N1662"/>
    <hyperlink r:id="rId3228" ref="O1662"/>
    <hyperlink r:id="rId3229" ref="N1663"/>
    <hyperlink r:id="rId3230" ref="O1663"/>
    <hyperlink r:id="rId3231" ref="N1664"/>
    <hyperlink r:id="rId3232" ref="O1664"/>
    <hyperlink r:id="rId3233" ref="N1665"/>
    <hyperlink r:id="rId3234" ref="O1665"/>
    <hyperlink r:id="rId3235" ref="N1666"/>
    <hyperlink r:id="rId3236" ref="O1666"/>
    <hyperlink r:id="rId3237" ref="N1667"/>
    <hyperlink r:id="rId3238" ref="O1667"/>
    <hyperlink r:id="rId3239" ref="N1668"/>
    <hyperlink r:id="rId3240" ref="O1668"/>
    <hyperlink r:id="rId3241" ref="N1669"/>
    <hyperlink r:id="rId3242" ref="O1669"/>
    <hyperlink r:id="rId3243" ref="N1670"/>
    <hyperlink r:id="rId3244" ref="O1670"/>
    <hyperlink r:id="rId3245" ref="N1671"/>
    <hyperlink r:id="rId3246" ref="O1671"/>
    <hyperlink r:id="rId3247" ref="N1672"/>
    <hyperlink r:id="rId3248" ref="O1672"/>
    <hyperlink r:id="rId3249" ref="N1673"/>
    <hyperlink r:id="rId3250" ref="O1673"/>
    <hyperlink r:id="rId3251" ref="N1674"/>
    <hyperlink r:id="rId3252" ref="O1674"/>
    <hyperlink r:id="rId3253" ref="N1675"/>
    <hyperlink r:id="rId3254" ref="O1675"/>
    <hyperlink r:id="rId3255" ref="N1676"/>
    <hyperlink r:id="rId3256" ref="O1676"/>
    <hyperlink r:id="rId3257" ref="N1677"/>
    <hyperlink r:id="rId3258" ref="O1677"/>
    <hyperlink r:id="rId3259" ref="N1678"/>
    <hyperlink r:id="rId3260" ref="O1678"/>
    <hyperlink r:id="rId3261" ref="N1679"/>
    <hyperlink r:id="rId3262" ref="O1679"/>
    <hyperlink r:id="rId3263" ref="N1680"/>
    <hyperlink r:id="rId3264" ref="O1680"/>
    <hyperlink r:id="rId3265" ref="N1681"/>
    <hyperlink r:id="rId3266" ref="O1681"/>
    <hyperlink r:id="rId3267" ref="N1682"/>
    <hyperlink r:id="rId3268" ref="O1682"/>
    <hyperlink r:id="rId3269" ref="N1683"/>
    <hyperlink r:id="rId3270" ref="O1683"/>
    <hyperlink r:id="rId3271" ref="N1684"/>
    <hyperlink r:id="rId3272" ref="O1684"/>
    <hyperlink r:id="rId3273" ref="N1685"/>
    <hyperlink r:id="rId3274" ref="O1685"/>
    <hyperlink r:id="rId3275" ref="N1686"/>
    <hyperlink r:id="rId3276" ref="O1686"/>
    <hyperlink r:id="rId3277" ref="N1687"/>
    <hyperlink r:id="rId3278" ref="O1687"/>
    <hyperlink r:id="rId3279" ref="N1688"/>
    <hyperlink r:id="rId3280" ref="O1688"/>
    <hyperlink r:id="rId3281" ref="N1689"/>
    <hyperlink r:id="rId3282" ref="O1689"/>
    <hyperlink r:id="rId3283" ref="N1690"/>
    <hyperlink r:id="rId3284" ref="O1690"/>
    <hyperlink r:id="rId3285" ref="N1691"/>
    <hyperlink r:id="rId3286" ref="O1691"/>
    <hyperlink r:id="rId3287" ref="N1692"/>
    <hyperlink r:id="rId3288" ref="O1692"/>
    <hyperlink r:id="rId3289" ref="N1693"/>
    <hyperlink r:id="rId3290" ref="O1693"/>
    <hyperlink r:id="rId3291" ref="N1694"/>
    <hyperlink r:id="rId3292" ref="O1694"/>
    <hyperlink r:id="rId3293" ref="N1695"/>
    <hyperlink r:id="rId3294" ref="O1695"/>
    <hyperlink r:id="rId3295" ref="N1696"/>
    <hyperlink r:id="rId3296" ref="O1696"/>
    <hyperlink r:id="rId3297" ref="N1697"/>
    <hyperlink r:id="rId3298" ref="O1697"/>
    <hyperlink r:id="rId3299" ref="N1698"/>
    <hyperlink r:id="rId3300" ref="O1698"/>
    <hyperlink r:id="rId3301" ref="N1699"/>
    <hyperlink r:id="rId3302" ref="O1699"/>
    <hyperlink r:id="rId3303" ref="N1700"/>
    <hyperlink r:id="rId3304" ref="O1700"/>
    <hyperlink r:id="rId3305" ref="N1701"/>
    <hyperlink r:id="rId3306" ref="O1701"/>
    <hyperlink r:id="rId3307" ref="N1702"/>
    <hyperlink r:id="rId3308" ref="O1702"/>
    <hyperlink r:id="rId3309" ref="N1703"/>
    <hyperlink r:id="rId3310" ref="O1703"/>
    <hyperlink r:id="rId3311" ref="N1704"/>
    <hyperlink r:id="rId3312" ref="O1704"/>
    <hyperlink r:id="rId3313" ref="N1705"/>
    <hyperlink r:id="rId3314" ref="O1705"/>
    <hyperlink r:id="rId3315" ref="N1706"/>
    <hyperlink r:id="rId3316" ref="O1706"/>
    <hyperlink r:id="rId3317" ref="N1707"/>
    <hyperlink r:id="rId3318" ref="O1707"/>
    <hyperlink r:id="rId3319" ref="N1708"/>
    <hyperlink r:id="rId3320" ref="O1708"/>
    <hyperlink r:id="rId3321" ref="N1709"/>
    <hyperlink r:id="rId3322" ref="O1709"/>
    <hyperlink r:id="rId3323" ref="N1710"/>
    <hyperlink r:id="rId3324" ref="O1710"/>
    <hyperlink r:id="rId3325" ref="N1711"/>
    <hyperlink r:id="rId3326" ref="O1711"/>
    <hyperlink r:id="rId3327" ref="N1712"/>
    <hyperlink r:id="rId3328" ref="O1712"/>
    <hyperlink r:id="rId3329" ref="N1713"/>
    <hyperlink r:id="rId3330" ref="O1713"/>
    <hyperlink r:id="rId3331" ref="N1714"/>
    <hyperlink r:id="rId3332" ref="O1714"/>
    <hyperlink r:id="rId3333" ref="N1715"/>
    <hyperlink r:id="rId3334" ref="O1715"/>
    <hyperlink r:id="rId3335" ref="N1716"/>
    <hyperlink r:id="rId3336" ref="O1716"/>
    <hyperlink r:id="rId3337" ref="N1717"/>
    <hyperlink r:id="rId3338" ref="O1717"/>
    <hyperlink r:id="rId3339" ref="N1718"/>
    <hyperlink r:id="rId3340" ref="O1718"/>
    <hyperlink r:id="rId3341" ref="N1719"/>
    <hyperlink r:id="rId3342" ref="O1719"/>
    <hyperlink r:id="rId3343" ref="N1720"/>
    <hyperlink r:id="rId3344" ref="O1720"/>
    <hyperlink r:id="rId3345" ref="N1721"/>
    <hyperlink r:id="rId3346" ref="O1721"/>
    <hyperlink r:id="rId3347" ref="N1722"/>
    <hyperlink r:id="rId3348" ref="O1722"/>
    <hyperlink r:id="rId3349" ref="N1723"/>
    <hyperlink r:id="rId3350" ref="O1723"/>
    <hyperlink r:id="rId3351" ref="N1724"/>
    <hyperlink r:id="rId3352" ref="O1724"/>
    <hyperlink r:id="rId3353" ref="N1725"/>
    <hyperlink r:id="rId3354" ref="O1725"/>
    <hyperlink r:id="rId3355" ref="N1726"/>
    <hyperlink r:id="rId3356" ref="O1726"/>
    <hyperlink r:id="rId3357" ref="N1727"/>
    <hyperlink r:id="rId3358" ref="O1727"/>
    <hyperlink r:id="rId3359" ref="N1728"/>
    <hyperlink r:id="rId3360" ref="O1728"/>
    <hyperlink r:id="rId3361" ref="N1729"/>
    <hyperlink r:id="rId3362" ref="O1729"/>
    <hyperlink r:id="rId3363" ref="N1730"/>
    <hyperlink r:id="rId3364" ref="O1730"/>
    <hyperlink r:id="rId3365" ref="N1731"/>
    <hyperlink r:id="rId3366" ref="O1731"/>
    <hyperlink r:id="rId3367" ref="N1732"/>
    <hyperlink r:id="rId3368" ref="O1732"/>
    <hyperlink r:id="rId3369" ref="N1733"/>
    <hyperlink r:id="rId3370" ref="O1733"/>
    <hyperlink r:id="rId3371" ref="N1734"/>
    <hyperlink r:id="rId3372" ref="O1734"/>
    <hyperlink r:id="rId3373" ref="N1735"/>
    <hyperlink r:id="rId3374" ref="O1735"/>
    <hyperlink r:id="rId3375" ref="N1736"/>
    <hyperlink r:id="rId3376" ref="O1736"/>
    <hyperlink r:id="rId3377" ref="N1737"/>
    <hyperlink r:id="rId3378" ref="O1737"/>
    <hyperlink r:id="rId3379" ref="N1738"/>
    <hyperlink r:id="rId3380" ref="O1738"/>
    <hyperlink r:id="rId3381" ref="N1739"/>
    <hyperlink r:id="rId3382" ref="O1739"/>
    <hyperlink r:id="rId3383" ref="N1740"/>
    <hyperlink r:id="rId3384" ref="O1740"/>
    <hyperlink r:id="rId3385" ref="N1741"/>
    <hyperlink r:id="rId3386" ref="O1741"/>
    <hyperlink r:id="rId3387" ref="N1742"/>
    <hyperlink r:id="rId3388" ref="O1742"/>
    <hyperlink r:id="rId3389" ref="N1743"/>
    <hyperlink r:id="rId3390" ref="O1743"/>
    <hyperlink r:id="rId3391" ref="N1744"/>
    <hyperlink r:id="rId3392" ref="O1744"/>
    <hyperlink r:id="rId3393" ref="N1745"/>
    <hyperlink r:id="rId3394" ref="O1745"/>
    <hyperlink r:id="rId3395" ref="N1746"/>
    <hyperlink r:id="rId3396" ref="O1746"/>
    <hyperlink r:id="rId3397" ref="N1747"/>
    <hyperlink r:id="rId3398" ref="O1747"/>
    <hyperlink r:id="rId3399" ref="N1748"/>
    <hyperlink r:id="rId3400" ref="O1748"/>
    <hyperlink r:id="rId3401" ref="N1749"/>
    <hyperlink r:id="rId3402" ref="O1749"/>
    <hyperlink r:id="rId3403" ref="N1750"/>
    <hyperlink r:id="rId3404" ref="O1750"/>
    <hyperlink r:id="rId3405" ref="O1751"/>
    <hyperlink r:id="rId3406" ref="N1752"/>
    <hyperlink r:id="rId3407" ref="O1752"/>
    <hyperlink r:id="rId3408" ref="N1753"/>
    <hyperlink r:id="rId3409" ref="O1753"/>
    <hyperlink r:id="rId3410" ref="N1754"/>
    <hyperlink r:id="rId3411" ref="O1754"/>
    <hyperlink r:id="rId3412" ref="N1755"/>
    <hyperlink r:id="rId3413" ref="O1755"/>
    <hyperlink r:id="rId3414" ref="N1756"/>
    <hyperlink r:id="rId3415" ref="O1756"/>
    <hyperlink r:id="rId3416" ref="N1757"/>
    <hyperlink r:id="rId3417" ref="O1757"/>
    <hyperlink r:id="rId3418" ref="N1758"/>
    <hyperlink r:id="rId3419" ref="O1758"/>
    <hyperlink r:id="rId3420" ref="N1759"/>
    <hyperlink r:id="rId3421" ref="O1759"/>
    <hyperlink r:id="rId3422" ref="N1760"/>
    <hyperlink r:id="rId3423" ref="O1760"/>
    <hyperlink r:id="rId3424" ref="N1761"/>
    <hyperlink r:id="rId3425" ref="O1761"/>
    <hyperlink r:id="rId3426" ref="N1762"/>
    <hyperlink r:id="rId3427" ref="O1762"/>
    <hyperlink r:id="rId3428" ref="N1763"/>
    <hyperlink r:id="rId3429" ref="O1763"/>
    <hyperlink r:id="rId3430" ref="N1764"/>
    <hyperlink r:id="rId3431" ref="O1764"/>
    <hyperlink r:id="rId3432" ref="N1765"/>
    <hyperlink r:id="rId3433" ref="O1765"/>
    <hyperlink r:id="rId3434" ref="N1766"/>
    <hyperlink r:id="rId3435" ref="O1766"/>
    <hyperlink r:id="rId3436" ref="N1767"/>
    <hyperlink r:id="rId3437" ref="O1767"/>
    <hyperlink r:id="rId3438" ref="N1768"/>
    <hyperlink r:id="rId3439" ref="O1768"/>
    <hyperlink r:id="rId3440" ref="N1769"/>
    <hyperlink r:id="rId3441" ref="O1769"/>
    <hyperlink r:id="rId3442" ref="N1770"/>
    <hyperlink r:id="rId3443" ref="O1770"/>
    <hyperlink r:id="rId3444" ref="N1771"/>
    <hyperlink r:id="rId3445" ref="O1771"/>
    <hyperlink r:id="rId3446" ref="N1772"/>
    <hyperlink r:id="rId3447" ref="O1772"/>
    <hyperlink r:id="rId3448" ref="O1773"/>
    <hyperlink r:id="rId3449" ref="N1774"/>
    <hyperlink r:id="rId3450" ref="O1774"/>
    <hyperlink r:id="rId3451" ref="N1775"/>
    <hyperlink r:id="rId3452" ref="O1775"/>
    <hyperlink r:id="rId3453" ref="N1776"/>
    <hyperlink r:id="rId3454" ref="O1776"/>
    <hyperlink r:id="rId3455" ref="N1777"/>
    <hyperlink r:id="rId3456" ref="O1777"/>
    <hyperlink r:id="rId3457" ref="N1778"/>
    <hyperlink r:id="rId3458" ref="O1778"/>
    <hyperlink r:id="rId3459" ref="N1779"/>
    <hyperlink r:id="rId3460" ref="O1779"/>
    <hyperlink r:id="rId3461" ref="N1780"/>
    <hyperlink r:id="rId3462" ref="O1780"/>
    <hyperlink r:id="rId3463" ref="N1781"/>
    <hyperlink r:id="rId3464" ref="O1781"/>
    <hyperlink r:id="rId3465" ref="N1782"/>
    <hyperlink r:id="rId3466" ref="O1782"/>
    <hyperlink r:id="rId3467" ref="N1783"/>
    <hyperlink r:id="rId3468" ref="O1783"/>
    <hyperlink r:id="rId3469" ref="N1784"/>
    <hyperlink r:id="rId3470" ref="O1784"/>
    <hyperlink r:id="rId3471" ref="O1785"/>
    <hyperlink r:id="rId3472" ref="N1786"/>
    <hyperlink r:id="rId3473" ref="O1786"/>
    <hyperlink r:id="rId3474" ref="N1787"/>
    <hyperlink r:id="rId3475" ref="O1787"/>
    <hyperlink r:id="rId3476" ref="N1788"/>
    <hyperlink r:id="rId3477" ref="O1788"/>
    <hyperlink r:id="rId3478" ref="N1789"/>
    <hyperlink r:id="rId3479" ref="O1789"/>
    <hyperlink r:id="rId3480" ref="N1790"/>
    <hyperlink r:id="rId3481" ref="O1790"/>
    <hyperlink r:id="rId3482" ref="N1791"/>
    <hyperlink r:id="rId3483" ref="O1791"/>
    <hyperlink r:id="rId3484" ref="N1792"/>
    <hyperlink r:id="rId3485" ref="O1792"/>
    <hyperlink r:id="rId3486" ref="N1793"/>
    <hyperlink r:id="rId3487" ref="O1793"/>
    <hyperlink r:id="rId3488" ref="N1794"/>
    <hyperlink r:id="rId3489" ref="O1794"/>
    <hyperlink r:id="rId3490" ref="N1795"/>
    <hyperlink r:id="rId3491" ref="O1795"/>
    <hyperlink r:id="rId3492" ref="N1796"/>
    <hyperlink r:id="rId3493" ref="O1796"/>
    <hyperlink r:id="rId3494" ref="N1797"/>
    <hyperlink r:id="rId3495" ref="O1797"/>
    <hyperlink r:id="rId3496" ref="N1798"/>
    <hyperlink r:id="rId3497" ref="O1798"/>
    <hyperlink r:id="rId3498" ref="N1799"/>
    <hyperlink r:id="rId3499" ref="O1799"/>
    <hyperlink r:id="rId3500" ref="N1800"/>
    <hyperlink r:id="rId3501" ref="O1800"/>
    <hyperlink r:id="rId3502" ref="N1801"/>
    <hyperlink r:id="rId3503" ref="O1801"/>
    <hyperlink r:id="rId3504" ref="N1802"/>
    <hyperlink r:id="rId3505" ref="O1802"/>
    <hyperlink r:id="rId3506" ref="N1803"/>
    <hyperlink r:id="rId3507" ref="O1803"/>
    <hyperlink r:id="rId3508" ref="N1804"/>
    <hyperlink r:id="rId3509" ref="O1804"/>
    <hyperlink r:id="rId3510" ref="N1805"/>
    <hyperlink r:id="rId3511" ref="O1805"/>
    <hyperlink r:id="rId3512" ref="N1806"/>
    <hyperlink r:id="rId3513" ref="O1806"/>
    <hyperlink r:id="rId3514" ref="N1807"/>
    <hyperlink r:id="rId3515" ref="O1807"/>
    <hyperlink r:id="rId3516" ref="N1808"/>
    <hyperlink r:id="rId3517" ref="O1808"/>
    <hyperlink r:id="rId3518" ref="N1809"/>
    <hyperlink r:id="rId3519" ref="O1809"/>
    <hyperlink r:id="rId3520" ref="N1810"/>
    <hyperlink r:id="rId3521" ref="O1810"/>
    <hyperlink r:id="rId3522" ref="N1811"/>
    <hyperlink r:id="rId3523" ref="O1811"/>
    <hyperlink r:id="rId3524" ref="N1812"/>
    <hyperlink r:id="rId3525" ref="O1812"/>
    <hyperlink r:id="rId3526" ref="N1813"/>
    <hyperlink r:id="rId3527" ref="O1813"/>
    <hyperlink r:id="rId3528" ref="N1814"/>
    <hyperlink r:id="rId3529" ref="O1814"/>
    <hyperlink r:id="rId3530" ref="N1815"/>
    <hyperlink r:id="rId3531" ref="O1815"/>
    <hyperlink r:id="rId3532" ref="N1816"/>
    <hyperlink r:id="rId3533" ref="O1816"/>
    <hyperlink r:id="rId3534" ref="N1817"/>
    <hyperlink r:id="rId3535" ref="O1817"/>
    <hyperlink r:id="rId3536" ref="N1818"/>
    <hyperlink r:id="rId3537" ref="O1818"/>
    <hyperlink r:id="rId3538" ref="N1819"/>
    <hyperlink r:id="rId3539" ref="O1819"/>
    <hyperlink r:id="rId3540" ref="N1820"/>
    <hyperlink r:id="rId3541" ref="O1820"/>
    <hyperlink r:id="rId3542" ref="N1821"/>
    <hyperlink r:id="rId3543" ref="O1821"/>
    <hyperlink r:id="rId3544" ref="N1822"/>
    <hyperlink r:id="rId3545" ref="O1822"/>
    <hyperlink r:id="rId3546" ref="N1823"/>
    <hyperlink r:id="rId3547" ref="O1823"/>
    <hyperlink r:id="rId3548" ref="N1824"/>
    <hyperlink r:id="rId3549" ref="O1824"/>
    <hyperlink r:id="rId3550" ref="N1825"/>
    <hyperlink r:id="rId3551" ref="O1825"/>
    <hyperlink r:id="rId3552" ref="N1826"/>
    <hyperlink r:id="rId3553" ref="O1826"/>
    <hyperlink r:id="rId3554" ref="N1827"/>
    <hyperlink r:id="rId3555" ref="O1827"/>
    <hyperlink r:id="rId3556" ref="N1828"/>
    <hyperlink r:id="rId3557" ref="O1828"/>
    <hyperlink r:id="rId3558" ref="N1829"/>
    <hyperlink r:id="rId3559" ref="O1829"/>
    <hyperlink r:id="rId3560" ref="N1830"/>
    <hyperlink r:id="rId3561" ref="O1830"/>
    <hyperlink r:id="rId3562" ref="N1831"/>
    <hyperlink r:id="rId3563" ref="O1831"/>
    <hyperlink r:id="rId3564" ref="N1832"/>
    <hyperlink r:id="rId3565" ref="O1832"/>
    <hyperlink r:id="rId3566" ref="N1833"/>
    <hyperlink r:id="rId3567" ref="O1833"/>
    <hyperlink r:id="rId3568" ref="N1834"/>
    <hyperlink r:id="rId3569" ref="O1834"/>
    <hyperlink r:id="rId3570" ref="N1835"/>
    <hyperlink r:id="rId3571" ref="O1835"/>
    <hyperlink r:id="rId3572" ref="N1836"/>
    <hyperlink r:id="rId3573" ref="O1836"/>
    <hyperlink r:id="rId3574" ref="N1837"/>
    <hyperlink r:id="rId3575" ref="O1837"/>
    <hyperlink r:id="rId3576" ref="N1838"/>
    <hyperlink r:id="rId3577" ref="O1838"/>
    <hyperlink r:id="rId3578" ref="N1839"/>
    <hyperlink r:id="rId3579" ref="O1839"/>
    <hyperlink r:id="rId3580" ref="N1840"/>
    <hyperlink r:id="rId3581" ref="O1840"/>
    <hyperlink r:id="rId3582" ref="N1841"/>
    <hyperlink r:id="rId3583" ref="O1841"/>
    <hyperlink r:id="rId3584" ref="N1842"/>
    <hyperlink r:id="rId3585" ref="O1842"/>
    <hyperlink r:id="rId3586" ref="N1843"/>
    <hyperlink r:id="rId3587" ref="O1843"/>
    <hyperlink r:id="rId3588" ref="N1844"/>
    <hyperlink r:id="rId3589" ref="O1844"/>
    <hyperlink r:id="rId3590" ref="N1845"/>
    <hyperlink r:id="rId3591" ref="O1845"/>
    <hyperlink r:id="rId3592" ref="N1846"/>
    <hyperlink r:id="rId3593" ref="O1846"/>
    <hyperlink r:id="rId3594" ref="N1847"/>
    <hyperlink r:id="rId3595" ref="O1847"/>
    <hyperlink r:id="rId3596" ref="N1848"/>
    <hyperlink r:id="rId3597" ref="O1848"/>
    <hyperlink r:id="rId3598" ref="N1849"/>
    <hyperlink r:id="rId3599" ref="O1849"/>
    <hyperlink r:id="rId3600" ref="N1850"/>
    <hyperlink r:id="rId3601" ref="O1850"/>
    <hyperlink r:id="rId3602" ref="N1851"/>
    <hyperlink r:id="rId3603" ref="O1851"/>
    <hyperlink r:id="rId3604" ref="O1852"/>
    <hyperlink r:id="rId3605" ref="N1853"/>
    <hyperlink r:id="rId3606" ref="O1853"/>
    <hyperlink r:id="rId3607" ref="N1854"/>
    <hyperlink r:id="rId3608" ref="O1854"/>
    <hyperlink r:id="rId3609" ref="N1855"/>
    <hyperlink r:id="rId3610" ref="O1855"/>
    <hyperlink r:id="rId3611" ref="N1856"/>
    <hyperlink r:id="rId3612" ref="O1856"/>
    <hyperlink r:id="rId3613" ref="N1857"/>
    <hyperlink r:id="rId3614" ref="O1857"/>
    <hyperlink r:id="rId3615" ref="N1858"/>
    <hyperlink r:id="rId3616" ref="O1858"/>
    <hyperlink r:id="rId3617" ref="N1859"/>
    <hyperlink r:id="rId3618" ref="O1859"/>
    <hyperlink r:id="rId3619" ref="N1860"/>
    <hyperlink r:id="rId3620" ref="O1860"/>
    <hyperlink r:id="rId3621" ref="N1861"/>
    <hyperlink r:id="rId3622" ref="O1861"/>
    <hyperlink r:id="rId3623" ref="N1862"/>
    <hyperlink r:id="rId3624" ref="O1862"/>
    <hyperlink r:id="rId3625" ref="N1863"/>
    <hyperlink r:id="rId3626" ref="O1863"/>
    <hyperlink r:id="rId3627" ref="N1864"/>
    <hyperlink r:id="rId3628" ref="O1864"/>
    <hyperlink r:id="rId3629" ref="N1865"/>
    <hyperlink r:id="rId3630" ref="O1865"/>
    <hyperlink r:id="rId3631" ref="N1866"/>
    <hyperlink r:id="rId3632" ref="O1866"/>
    <hyperlink r:id="rId3633" ref="N1867"/>
    <hyperlink r:id="rId3634" ref="O1867"/>
    <hyperlink r:id="rId3635" ref="N1868"/>
    <hyperlink r:id="rId3636" ref="O1868"/>
    <hyperlink r:id="rId3637" ref="N1869"/>
    <hyperlink r:id="rId3638" ref="O1869"/>
    <hyperlink r:id="rId3639" ref="N1870"/>
    <hyperlink r:id="rId3640" ref="O1870"/>
    <hyperlink r:id="rId3641" ref="N1871"/>
    <hyperlink r:id="rId3642" ref="O1871"/>
    <hyperlink r:id="rId3643" ref="N1872"/>
    <hyperlink r:id="rId3644" ref="O1872"/>
    <hyperlink r:id="rId3645" ref="N1873"/>
    <hyperlink r:id="rId3646" ref="O1873"/>
    <hyperlink r:id="rId3647" ref="N1874"/>
    <hyperlink r:id="rId3648" ref="O1874"/>
    <hyperlink r:id="rId3649" ref="N1875"/>
    <hyperlink r:id="rId3650" ref="O1875"/>
    <hyperlink r:id="rId3651" ref="N1876"/>
    <hyperlink r:id="rId3652" ref="O1876"/>
    <hyperlink r:id="rId3653" ref="N1877"/>
    <hyperlink r:id="rId3654" ref="O1877"/>
    <hyperlink r:id="rId3655" ref="N1878"/>
    <hyperlink r:id="rId3656" ref="O1878"/>
    <hyperlink r:id="rId3657" ref="N1879"/>
    <hyperlink r:id="rId3658" ref="O1879"/>
    <hyperlink r:id="rId3659" ref="N1880"/>
    <hyperlink r:id="rId3660" ref="O1880"/>
    <hyperlink r:id="rId3661" ref="N1881"/>
    <hyperlink r:id="rId3662" ref="O1881"/>
    <hyperlink r:id="rId3663" ref="N1882"/>
    <hyperlink r:id="rId3664" ref="O1882"/>
    <hyperlink r:id="rId3665" ref="N1883"/>
    <hyperlink r:id="rId3666" ref="O1883"/>
    <hyperlink r:id="rId3667" ref="N1884"/>
    <hyperlink r:id="rId3668" ref="O1884"/>
    <hyperlink r:id="rId3669" ref="N1885"/>
    <hyperlink r:id="rId3670" ref="O1885"/>
    <hyperlink r:id="rId3671" ref="N1886"/>
    <hyperlink r:id="rId3672" ref="O1886"/>
    <hyperlink r:id="rId3673" ref="N1887"/>
    <hyperlink r:id="rId3674" ref="O1887"/>
    <hyperlink r:id="rId3675" ref="N1888"/>
    <hyperlink r:id="rId3676" ref="O1888"/>
    <hyperlink r:id="rId3677" ref="N1889"/>
    <hyperlink r:id="rId3678" ref="O1889"/>
    <hyperlink r:id="rId3679" ref="N1890"/>
    <hyperlink r:id="rId3680" ref="O1890"/>
    <hyperlink r:id="rId3681" ref="N1891"/>
    <hyperlink r:id="rId3682" ref="O1891"/>
    <hyperlink r:id="rId3683" ref="N1892"/>
    <hyperlink r:id="rId3684" ref="O1892"/>
    <hyperlink r:id="rId3685" ref="N1893"/>
    <hyperlink r:id="rId3686" ref="O1893"/>
    <hyperlink r:id="rId3687" ref="N1894"/>
    <hyperlink r:id="rId3688" ref="O1894"/>
    <hyperlink r:id="rId3689" ref="N1895"/>
    <hyperlink r:id="rId3690" ref="O1895"/>
    <hyperlink r:id="rId3691" ref="N1896"/>
    <hyperlink r:id="rId3692" ref="O1896"/>
    <hyperlink r:id="rId3693" ref="N1897"/>
    <hyperlink r:id="rId3694" ref="O1897"/>
    <hyperlink r:id="rId3695" ref="N1898"/>
    <hyperlink r:id="rId3696" ref="O1898"/>
    <hyperlink r:id="rId3697" ref="N1899"/>
    <hyperlink r:id="rId3698" ref="O1899"/>
    <hyperlink r:id="rId3699" ref="N1900"/>
    <hyperlink r:id="rId3700" ref="O1900"/>
    <hyperlink r:id="rId3701" ref="N1901"/>
    <hyperlink r:id="rId3702" ref="O1901"/>
    <hyperlink r:id="rId3703" ref="N1902"/>
    <hyperlink r:id="rId3704" ref="O1902"/>
    <hyperlink r:id="rId3705" ref="N1903"/>
    <hyperlink r:id="rId3706" ref="O1903"/>
    <hyperlink r:id="rId3707" ref="N1904"/>
    <hyperlink r:id="rId3708" ref="O1904"/>
    <hyperlink r:id="rId3709" ref="N1905"/>
    <hyperlink r:id="rId3710" ref="O1905"/>
    <hyperlink r:id="rId3711" ref="N1906"/>
    <hyperlink r:id="rId3712" ref="O1906"/>
    <hyperlink r:id="rId3713" ref="N1907"/>
    <hyperlink r:id="rId3714" ref="O1907"/>
    <hyperlink r:id="rId3715" ref="N1908"/>
    <hyperlink r:id="rId3716" ref="O1908"/>
    <hyperlink r:id="rId3717" ref="N1909"/>
    <hyperlink r:id="rId3718" ref="O1909"/>
    <hyperlink r:id="rId3719" ref="N1910"/>
    <hyperlink r:id="rId3720" ref="O1910"/>
    <hyperlink r:id="rId3721" ref="N1911"/>
    <hyperlink r:id="rId3722" ref="O1911"/>
    <hyperlink r:id="rId3723" ref="N1912"/>
    <hyperlink r:id="rId3724" ref="O1912"/>
    <hyperlink r:id="rId3725" ref="N1913"/>
    <hyperlink r:id="rId3726" ref="O1913"/>
    <hyperlink r:id="rId3727" ref="N1914"/>
    <hyperlink r:id="rId3728" ref="O1914"/>
    <hyperlink r:id="rId3729" ref="N1915"/>
    <hyperlink r:id="rId3730" ref="O1915"/>
    <hyperlink r:id="rId3731" ref="N1916"/>
    <hyperlink r:id="rId3732" ref="O1916"/>
    <hyperlink r:id="rId3733" ref="N1917"/>
    <hyperlink r:id="rId3734" ref="O1917"/>
    <hyperlink r:id="rId3735" ref="N1918"/>
    <hyperlink r:id="rId3736" ref="O1918"/>
    <hyperlink r:id="rId3737" ref="N1919"/>
    <hyperlink r:id="rId3738" ref="O1919"/>
    <hyperlink r:id="rId3739" ref="N1920"/>
    <hyperlink r:id="rId3740" ref="O1920"/>
    <hyperlink r:id="rId3741" ref="N1921"/>
    <hyperlink r:id="rId3742" ref="O1921"/>
    <hyperlink r:id="rId3743" ref="N1922"/>
    <hyperlink r:id="rId3744" ref="O1922"/>
    <hyperlink r:id="rId3745" ref="N1923"/>
    <hyperlink r:id="rId3746" ref="O1923"/>
    <hyperlink r:id="rId3747" ref="N1924"/>
    <hyperlink r:id="rId3748" ref="O1924"/>
    <hyperlink r:id="rId3749" ref="N1925"/>
    <hyperlink r:id="rId3750" ref="O1925"/>
    <hyperlink r:id="rId3751" ref="N1926"/>
    <hyperlink r:id="rId3752" ref="O1926"/>
    <hyperlink r:id="rId3753" ref="N1927"/>
    <hyperlink r:id="rId3754" ref="O1927"/>
    <hyperlink r:id="rId3755" ref="N1928"/>
    <hyperlink r:id="rId3756" ref="O1928"/>
    <hyperlink r:id="rId3757" ref="N1929"/>
    <hyperlink r:id="rId3758" ref="O1929"/>
    <hyperlink r:id="rId3759" ref="N1930"/>
    <hyperlink r:id="rId3760" ref="O1930"/>
    <hyperlink r:id="rId3761" ref="N1931"/>
    <hyperlink r:id="rId3762" ref="O1931"/>
    <hyperlink r:id="rId3763" ref="N1932"/>
    <hyperlink r:id="rId3764" ref="O1932"/>
    <hyperlink r:id="rId3765" ref="N1933"/>
    <hyperlink r:id="rId3766" ref="O1933"/>
    <hyperlink r:id="rId3767" ref="N1934"/>
    <hyperlink r:id="rId3768" ref="O1934"/>
    <hyperlink r:id="rId3769" ref="N1935"/>
    <hyperlink r:id="rId3770" ref="O1935"/>
    <hyperlink r:id="rId3771" ref="N1936"/>
    <hyperlink r:id="rId3772" ref="O1936"/>
    <hyperlink r:id="rId3773" ref="N1937"/>
    <hyperlink r:id="rId3774" ref="O1937"/>
    <hyperlink r:id="rId3775" ref="N1938"/>
    <hyperlink r:id="rId3776" ref="O1938"/>
    <hyperlink r:id="rId3777" ref="N1939"/>
    <hyperlink r:id="rId3778" ref="O1939"/>
    <hyperlink r:id="rId3779" ref="N1940"/>
    <hyperlink r:id="rId3780" ref="O1940"/>
    <hyperlink r:id="rId3781" ref="N1941"/>
    <hyperlink r:id="rId3782" ref="O1941"/>
    <hyperlink r:id="rId3783" ref="N1942"/>
    <hyperlink r:id="rId3784" ref="O1942"/>
    <hyperlink r:id="rId3785" ref="N1943"/>
    <hyperlink r:id="rId3786" ref="O1943"/>
    <hyperlink r:id="rId3787" ref="N1944"/>
    <hyperlink r:id="rId3788" ref="O1944"/>
    <hyperlink r:id="rId3789" ref="N1945"/>
    <hyperlink r:id="rId3790" ref="O1945"/>
    <hyperlink r:id="rId3791" ref="N1946"/>
    <hyperlink r:id="rId3792" ref="O1946"/>
    <hyperlink r:id="rId3793" ref="N1947"/>
    <hyperlink r:id="rId3794" ref="O1947"/>
    <hyperlink r:id="rId3795" ref="N1948"/>
    <hyperlink r:id="rId3796" ref="O1948"/>
    <hyperlink r:id="rId3797" ref="N1949"/>
    <hyperlink r:id="rId3798" ref="O1949"/>
    <hyperlink r:id="rId3799" ref="N1950"/>
    <hyperlink r:id="rId3800" ref="O1950"/>
    <hyperlink r:id="rId3801" ref="N1951"/>
    <hyperlink r:id="rId3802" ref="O1951"/>
    <hyperlink r:id="rId3803" ref="N1952"/>
    <hyperlink r:id="rId3804" ref="O1952"/>
    <hyperlink r:id="rId3805" ref="N1953"/>
    <hyperlink r:id="rId3806" ref="O1953"/>
    <hyperlink r:id="rId3807" ref="N1954"/>
    <hyperlink r:id="rId3808" ref="O1954"/>
    <hyperlink r:id="rId3809" ref="N1955"/>
    <hyperlink r:id="rId3810" ref="O1955"/>
    <hyperlink r:id="rId3811" ref="N1956"/>
    <hyperlink r:id="rId3812" ref="O1956"/>
    <hyperlink r:id="rId3813" ref="N1957"/>
    <hyperlink r:id="rId3814" ref="O1957"/>
    <hyperlink r:id="rId3815" ref="N1958"/>
    <hyperlink r:id="rId3816" ref="O1958"/>
    <hyperlink r:id="rId3817" ref="N1959"/>
    <hyperlink r:id="rId3818" ref="O1959"/>
    <hyperlink r:id="rId3819" ref="N1960"/>
    <hyperlink r:id="rId3820" ref="O1960"/>
    <hyperlink r:id="rId3821" ref="N1961"/>
    <hyperlink r:id="rId3822" ref="O1961"/>
    <hyperlink r:id="rId3823" ref="N1962"/>
    <hyperlink r:id="rId3824" ref="O1962"/>
    <hyperlink r:id="rId3825" ref="N1963"/>
    <hyperlink r:id="rId3826" ref="O1963"/>
    <hyperlink r:id="rId3827" ref="N1964"/>
    <hyperlink r:id="rId3828" ref="O1964"/>
    <hyperlink r:id="rId3829" ref="N1965"/>
    <hyperlink r:id="rId3830" ref="O1965"/>
    <hyperlink r:id="rId3831" ref="N1966"/>
    <hyperlink r:id="rId3832" ref="O1966"/>
    <hyperlink r:id="rId3833" ref="N1967"/>
    <hyperlink r:id="rId3834" ref="O1967"/>
    <hyperlink r:id="rId3835" ref="O1968"/>
    <hyperlink r:id="rId3836" ref="N1969"/>
    <hyperlink r:id="rId3837" ref="O1969"/>
    <hyperlink r:id="rId3838" ref="N1970"/>
    <hyperlink r:id="rId3839" ref="O1970"/>
    <hyperlink r:id="rId3840" ref="N1971"/>
    <hyperlink r:id="rId3841" ref="O1971"/>
    <hyperlink r:id="rId3842" ref="N1972"/>
    <hyperlink r:id="rId3843" ref="O1972"/>
    <hyperlink r:id="rId3844" ref="N1973"/>
    <hyperlink r:id="rId3845" ref="O1973"/>
    <hyperlink r:id="rId3846" ref="N1974"/>
    <hyperlink r:id="rId3847" ref="O1974"/>
    <hyperlink r:id="rId3848" ref="N1975"/>
    <hyperlink r:id="rId3849" ref="O1975"/>
    <hyperlink r:id="rId3850" ref="N1976"/>
    <hyperlink r:id="rId3851" ref="O1976"/>
    <hyperlink r:id="rId3852" ref="N1977"/>
    <hyperlink r:id="rId3853" ref="O1977"/>
    <hyperlink r:id="rId3854" ref="N1978"/>
    <hyperlink r:id="rId3855" ref="O1978"/>
    <hyperlink r:id="rId3856" ref="N1979"/>
    <hyperlink r:id="rId3857" ref="O1979"/>
    <hyperlink r:id="rId3858" ref="N1980"/>
    <hyperlink r:id="rId3859" ref="O1980"/>
    <hyperlink r:id="rId3860" ref="N1981"/>
    <hyperlink r:id="rId3861" ref="O1981"/>
    <hyperlink r:id="rId3862" ref="N1982"/>
    <hyperlink r:id="rId3863" ref="O1982"/>
    <hyperlink r:id="rId3864" ref="N1983"/>
    <hyperlink r:id="rId3865" ref="O1983"/>
    <hyperlink r:id="rId3866" ref="N1984"/>
    <hyperlink r:id="rId3867" ref="O1984"/>
    <hyperlink r:id="rId3868" ref="N1985"/>
    <hyperlink r:id="rId3869" ref="O1985"/>
    <hyperlink r:id="rId3870" ref="N1986"/>
    <hyperlink r:id="rId3871" ref="O1986"/>
    <hyperlink r:id="rId3872" ref="N1987"/>
    <hyperlink r:id="rId3873" ref="O1987"/>
    <hyperlink r:id="rId3874" ref="N1988"/>
    <hyperlink r:id="rId3875" ref="O1988"/>
    <hyperlink r:id="rId3876" ref="N1989"/>
    <hyperlink r:id="rId3877" ref="O1989"/>
    <hyperlink r:id="rId3878" ref="N1990"/>
    <hyperlink r:id="rId3879" ref="O1990"/>
    <hyperlink r:id="rId3880" ref="N1991"/>
    <hyperlink r:id="rId3881" ref="O1991"/>
    <hyperlink r:id="rId3882" ref="N1992"/>
    <hyperlink r:id="rId3883" ref="O1992"/>
    <hyperlink r:id="rId3884" ref="N1993"/>
    <hyperlink r:id="rId3885" ref="O1993"/>
    <hyperlink r:id="rId3886" ref="N1994"/>
    <hyperlink r:id="rId3887" ref="O1994"/>
    <hyperlink r:id="rId3888" ref="N1995"/>
    <hyperlink r:id="rId3889" ref="O1995"/>
    <hyperlink r:id="rId3890" ref="N1996"/>
    <hyperlink r:id="rId3891" ref="O1996"/>
    <hyperlink r:id="rId3892" ref="N1997"/>
    <hyperlink r:id="rId3893" ref="O1997"/>
    <hyperlink r:id="rId3894" ref="N1998"/>
    <hyperlink r:id="rId3895" ref="O1998"/>
    <hyperlink r:id="rId3896" ref="N1999"/>
    <hyperlink r:id="rId3897" ref="O1999"/>
    <hyperlink r:id="rId3898" ref="N2000"/>
    <hyperlink r:id="rId3899" ref="O2000"/>
    <hyperlink r:id="rId3900" ref="N2001"/>
    <hyperlink r:id="rId3901" ref="O2001"/>
    <hyperlink r:id="rId3902" ref="N2002"/>
    <hyperlink r:id="rId3903" ref="O2002"/>
    <hyperlink r:id="rId3904" ref="N2003"/>
    <hyperlink r:id="rId3905" ref="O2003"/>
    <hyperlink r:id="rId3906" ref="N2004"/>
    <hyperlink r:id="rId3907" ref="O2004"/>
    <hyperlink r:id="rId3908" ref="N2005"/>
    <hyperlink r:id="rId3909" ref="O2005"/>
    <hyperlink r:id="rId3910" ref="N2006"/>
    <hyperlink r:id="rId3911" ref="O2006"/>
    <hyperlink r:id="rId3912" ref="N2007"/>
    <hyperlink r:id="rId3913" ref="O2007"/>
    <hyperlink r:id="rId3914" ref="N2008"/>
    <hyperlink r:id="rId3915" ref="O2008"/>
    <hyperlink r:id="rId3916" ref="N2009"/>
    <hyperlink r:id="rId3917" ref="O2009"/>
    <hyperlink r:id="rId3918" ref="N2010"/>
    <hyperlink r:id="rId3919" ref="O2010"/>
    <hyperlink r:id="rId3920" ref="N2011"/>
    <hyperlink r:id="rId3921" ref="O2011"/>
    <hyperlink r:id="rId3922" ref="N2012"/>
    <hyperlink r:id="rId3923" ref="O2012"/>
    <hyperlink r:id="rId3924" ref="N2013"/>
    <hyperlink r:id="rId3925" ref="O2013"/>
    <hyperlink r:id="rId3926" ref="N2014"/>
    <hyperlink r:id="rId3927" ref="O2014"/>
    <hyperlink r:id="rId3928" ref="N2015"/>
    <hyperlink r:id="rId3929" ref="O2015"/>
    <hyperlink r:id="rId3930" ref="N2016"/>
    <hyperlink r:id="rId3931" ref="O2016"/>
    <hyperlink r:id="rId3932" ref="N2017"/>
    <hyperlink r:id="rId3933" ref="O2017"/>
    <hyperlink r:id="rId3934" ref="N2018"/>
    <hyperlink r:id="rId3935" ref="O2018"/>
    <hyperlink r:id="rId3936" ref="N2019"/>
    <hyperlink r:id="rId3937" ref="O2019"/>
    <hyperlink r:id="rId3938" ref="N2020"/>
    <hyperlink r:id="rId3939" ref="O2020"/>
    <hyperlink r:id="rId3940" ref="N2021"/>
    <hyperlink r:id="rId3941" ref="N2022"/>
    <hyperlink r:id="rId3942" ref="O2022"/>
    <hyperlink r:id="rId3943" ref="N2023"/>
    <hyperlink r:id="rId3944" ref="O2023"/>
    <hyperlink r:id="rId3945" ref="N2024"/>
    <hyperlink r:id="rId3946" ref="O2024"/>
    <hyperlink r:id="rId3947" ref="N2025"/>
    <hyperlink r:id="rId3948" ref="O2025"/>
    <hyperlink r:id="rId3949" ref="N2026"/>
    <hyperlink r:id="rId3950" ref="O2026"/>
    <hyperlink r:id="rId3951" ref="N2027"/>
    <hyperlink r:id="rId3952" ref="O2027"/>
    <hyperlink r:id="rId3953" ref="N2028"/>
    <hyperlink r:id="rId3954" ref="O2028"/>
    <hyperlink r:id="rId3955" ref="O2029"/>
    <hyperlink r:id="rId3956" ref="N2030"/>
    <hyperlink r:id="rId3957" ref="O2030"/>
    <hyperlink r:id="rId3958" ref="N2031"/>
    <hyperlink r:id="rId3959" ref="O2031"/>
    <hyperlink r:id="rId3960" ref="N2032"/>
    <hyperlink r:id="rId3961" ref="O2032"/>
    <hyperlink r:id="rId3962" ref="N2033"/>
    <hyperlink r:id="rId3963" ref="O2033"/>
    <hyperlink r:id="rId3964" ref="N2034"/>
    <hyperlink r:id="rId3965" ref="O2034"/>
    <hyperlink r:id="rId3966" ref="N2035"/>
    <hyperlink r:id="rId3967" ref="O2035"/>
    <hyperlink r:id="rId3968" ref="N2036"/>
    <hyperlink r:id="rId3969" ref="O2036"/>
    <hyperlink r:id="rId3970" ref="N2037"/>
    <hyperlink r:id="rId3971" ref="O2037"/>
    <hyperlink r:id="rId3972" ref="N2038"/>
    <hyperlink r:id="rId3973" ref="O2038"/>
    <hyperlink r:id="rId3974" ref="N2039"/>
    <hyperlink r:id="rId3975" ref="O2039"/>
    <hyperlink r:id="rId3976" ref="N2040"/>
    <hyperlink r:id="rId3977" ref="O2040"/>
    <hyperlink r:id="rId3978" ref="N2041"/>
    <hyperlink r:id="rId3979" ref="O2041"/>
    <hyperlink r:id="rId3980" ref="N2042"/>
    <hyperlink r:id="rId3981" ref="O2042"/>
    <hyperlink r:id="rId3982" ref="N2043"/>
    <hyperlink r:id="rId3983" ref="O2043"/>
    <hyperlink r:id="rId3984" ref="N2044"/>
    <hyperlink r:id="rId3985" ref="O2044"/>
    <hyperlink r:id="rId3986" ref="N2045"/>
    <hyperlink r:id="rId3987" ref="O2045"/>
    <hyperlink r:id="rId3988" ref="N2046"/>
    <hyperlink r:id="rId3989" ref="O2046"/>
    <hyperlink r:id="rId3990" ref="N2047"/>
    <hyperlink r:id="rId3991" ref="O2047"/>
    <hyperlink r:id="rId3992" ref="N2048"/>
    <hyperlink r:id="rId3993" ref="O2048"/>
    <hyperlink r:id="rId3994" ref="N2049"/>
    <hyperlink r:id="rId3995" ref="O2049"/>
    <hyperlink r:id="rId3996" ref="N2050"/>
    <hyperlink r:id="rId3997" ref="O2050"/>
    <hyperlink r:id="rId3998" ref="N2051"/>
    <hyperlink r:id="rId3999" ref="O2051"/>
    <hyperlink r:id="rId4000" ref="N2052"/>
    <hyperlink r:id="rId4001" ref="O2052"/>
    <hyperlink r:id="rId4002" ref="N2053"/>
    <hyperlink r:id="rId4003" ref="O2053"/>
    <hyperlink r:id="rId4004" ref="N2054"/>
    <hyperlink r:id="rId4005" ref="O2054"/>
    <hyperlink r:id="rId4006" ref="N2055"/>
    <hyperlink r:id="rId4007" ref="O2055"/>
    <hyperlink r:id="rId4008" ref="N2056"/>
    <hyperlink r:id="rId4009" ref="O2056"/>
    <hyperlink r:id="rId4010" ref="N2057"/>
    <hyperlink r:id="rId4011" ref="O2057"/>
    <hyperlink r:id="rId4012" ref="N2058"/>
    <hyperlink r:id="rId4013" ref="O2058"/>
    <hyperlink r:id="rId4014" ref="N2059"/>
    <hyperlink r:id="rId4015" ref="O2059"/>
    <hyperlink r:id="rId4016" ref="N2060"/>
    <hyperlink r:id="rId4017" ref="O2060"/>
    <hyperlink r:id="rId4018" ref="N2061"/>
    <hyperlink r:id="rId4019" ref="O2061"/>
    <hyperlink r:id="rId4020" ref="N2062"/>
    <hyperlink r:id="rId4021" ref="O2062"/>
    <hyperlink r:id="rId4022" ref="N2063"/>
    <hyperlink r:id="rId4023" ref="O2063"/>
    <hyperlink r:id="rId4024" ref="N2064"/>
    <hyperlink r:id="rId4025" ref="O2064"/>
    <hyperlink r:id="rId4026" ref="L2065"/>
    <hyperlink r:id="rId4027" ref="N2065"/>
    <hyperlink r:id="rId4028" ref="O2065"/>
    <hyperlink r:id="rId4029" ref="N2066"/>
    <hyperlink r:id="rId4030" ref="O2066"/>
    <hyperlink r:id="rId4031" ref="L2067"/>
    <hyperlink r:id="rId4032" ref="N2067"/>
    <hyperlink r:id="rId4033" ref="O2067"/>
    <hyperlink r:id="rId4034" ref="N2068"/>
    <hyperlink r:id="rId4035" ref="O2068"/>
    <hyperlink r:id="rId4036" ref="N2069"/>
    <hyperlink r:id="rId4037" ref="O2069"/>
    <hyperlink r:id="rId4038" ref="N2070"/>
    <hyperlink r:id="rId4039" ref="O2070"/>
    <hyperlink r:id="rId4040" ref="L2071"/>
    <hyperlink r:id="rId4041" ref="N2071"/>
    <hyperlink r:id="rId4042" ref="O2071"/>
    <hyperlink r:id="rId4043" ref="N2072"/>
    <hyperlink r:id="rId4044" ref="O2072"/>
    <hyperlink r:id="rId4045" ref="N2073"/>
    <hyperlink r:id="rId4046" ref="O2073"/>
    <hyperlink r:id="rId4047" ref="N2074"/>
    <hyperlink r:id="rId4048" ref="O2074"/>
    <hyperlink r:id="rId4049" ref="L2075"/>
    <hyperlink r:id="rId4050" ref="N2075"/>
    <hyperlink r:id="rId4051" ref="O2075"/>
    <hyperlink r:id="rId4052" ref="N2076"/>
    <hyperlink r:id="rId4053" ref="O2076"/>
    <hyperlink r:id="rId4054" ref="N2077"/>
    <hyperlink r:id="rId4055" ref="O2077"/>
    <hyperlink r:id="rId4056" ref="N2078"/>
    <hyperlink r:id="rId4057" ref="O2078"/>
    <hyperlink r:id="rId4058" ref="L2079"/>
    <hyperlink r:id="rId4059" ref="N2079"/>
    <hyperlink r:id="rId4060" ref="O2079"/>
    <hyperlink r:id="rId4061" ref="L2080"/>
    <hyperlink r:id="rId4062" ref="N2080"/>
    <hyperlink r:id="rId4063" ref="O2080"/>
    <hyperlink r:id="rId4064" ref="N2081"/>
    <hyperlink r:id="rId4065" ref="O2081"/>
    <hyperlink r:id="rId4066" ref="L2082"/>
    <hyperlink r:id="rId4067" ref="N2082"/>
    <hyperlink r:id="rId4068" ref="O2082"/>
    <hyperlink r:id="rId4069" ref="N2083"/>
    <hyperlink r:id="rId4070" ref="L2084"/>
    <hyperlink r:id="rId4071" ref="N2084"/>
    <hyperlink r:id="rId4072" ref="O2084"/>
    <hyperlink r:id="rId4073" ref="N2085"/>
    <hyperlink r:id="rId4074" ref="O2085"/>
    <hyperlink r:id="rId4075" ref="N2086"/>
    <hyperlink r:id="rId4076" ref="O2086"/>
    <hyperlink r:id="rId4077" ref="N2087"/>
    <hyperlink r:id="rId4078" ref="O2087"/>
    <hyperlink r:id="rId4079" ref="N2088"/>
    <hyperlink r:id="rId4080" ref="O2088"/>
    <hyperlink r:id="rId4081" ref="N2089"/>
    <hyperlink r:id="rId4082" ref="O2089"/>
    <hyperlink r:id="rId4083" ref="N2090"/>
    <hyperlink r:id="rId4084" ref="O2090"/>
    <hyperlink r:id="rId4085" ref="N2091"/>
    <hyperlink r:id="rId4086" ref="O2091"/>
    <hyperlink r:id="rId4087" ref="N2092"/>
    <hyperlink r:id="rId4088" ref="O2092"/>
    <hyperlink r:id="rId4089" ref="N2093"/>
    <hyperlink r:id="rId4090" ref="O2093"/>
    <hyperlink r:id="rId4091" ref="N2094"/>
    <hyperlink r:id="rId4092" ref="O2094"/>
    <hyperlink r:id="rId4093" ref="N2095"/>
    <hyperlink r:id="rId4094" ref="O2095"/>
    <hyperlink r:id="rId4095" ref="N2096"/>
    <hyperlink r:id="rId4096" ref="O2096"/>
    <hyperlink r:id="rId4097" ref="N2097"/>
    <hyperlink r:id="rId4098" ref="O2097"/>
    <hyperlink r:id="rId4099" ref="N2098"/>
    <hyperlink r:id="rId4100" ref="O2098"/>
    <hyperlink r:id="rId4101" ref="N2099"/>
    <hyperlink r:id="rId4102" ref="O2099"/>
    <hyperlink r:id="rId4103" ref="N2100"/>
    <hyperlink r:id="rId4104" ref="O2100"/>
    <hyperlink r:id="rId4105" ref="N2101"/>
    <hyperlink r:id="rId4106" ref="O2101"/>
    <hyperlink r:id="rId4107" ref="N2102"/>
    <hyperlink r:id="rId4108" ref="O2102"/>
    <hyperlink r:id="rId4109" ref="N2103"/>
    <hyperlink r:id="rId4110" ref="O2103"/>
    <hyperlink r:id="rId4111" ref="N2104"/>
    <hyperlink r:id="rId4112" ref="O2104"/>
    <hyperlink r:id="rId4113" ref="N2105"/>
    <hyperlink r:id="rId4114" ref="O2105"/>
    <hyperlink r:id="rId4115" ref="N2106"/>
    <hyperlink r:id="rId4116" ref="O2106"/>
    <hyperlink r:id="rId4117" ref="N2107"/>
    <hyperlink r:id="rId4118" ref="O2107"/>
    <hyperlink r:id="rId4119" ref="L2108"/>
    <hyperlink r:id="rId4120" ref="N2108"/>
    <hyperlink r:id="rId4121" ref="O2108"/>
    <hyperlink r:id="rId4122" ref="N2109"/>
    <hyperlink r:id="rId4123" ref="O2109"/>
    <hyperlink r:id="rId4124" ref="L2110"/>
    <hyperlink r:id="rId4125" ref="N2110"/>
    <hyperlink r:id="rId4126" ref="O2110"/>
    <hyperlink r:id="rId4127" ref="N2111"/>
    <hyperlink r:id="rId4128" ref="O2111"/>
    <hyperlink r:id="rId4129" ref="N2112"/>
    <hyperlink r:id="rId4130" ref="O2112"/>
    <hyperlink r:id="rId4131" ref="N2113"/>
    <hyperlink r:id="rId4132" ref="O2113"/>
    <hyperlink r:id="rId4133" ref="N2114"/>
    <hyperlink r:id="rId4134" ref="O2114"/>
    <hyperlink r:id="rId4135" ref="N2115"/>
    <hyperlink r:id="rId4136" ref="O2115"/>
    <hyperlink r:id="rId4137" ref="N2116"/>
    <hyperlink r:id="rId4138" ref="O2116"/>
    <hyperlink r:id="rId4139" ref="N2117"/>
    <hyperlink r:id="rId4140" ref="O2117"/>
    <hyperlink r:id="rId4141" ref="N2118"/>
    <hyperlink r:id="rId4142" ref="O2118"/>
    <hyperlink r:id="rId4143" ref="N2119"/>
    <hyperlink r:id="rId4144" ref="O2119"/>
    <hyperlink r:id="rId4145" ref="N2120"/>
    <hyperlink r:id="rId4146" ref="O2120"/>
    <hyperlink r:id="rId4147" ref="N2121"/>
    <hyperlink r:id="rId4148" ref="O2121"/>
    <hyperlink r:id="rId4149" ref="N2122"/>
    <hyperlink r:id="rId4150" ref="O2122"/>
    <hyperlink r:id="rId4151" ref="N2123"/>
    <hyperlink r:id="rId4152" ref="O2123"/>
    <hyperlink r:id="rId4153" ref="N2124"/>
    <hyperlink r:id="rId4154" ref="O2124"/>
    <hyperlink r:id="rId4155" ref="N2125"/>
    <hyperlink r:id="rId4156" ref="O2125"/>
    <hyperlink r:id="rId4157" ref="N2126"/>
    <hyperlink r:id="rId4158" ref="O2126"/>
    <hyperlink r:id="rId4159" ref="N2127"/>
    <hyperlink r:id="rId4160" ref="O2127"/>
    <hyperlink r:id="rId4161" ref="N2128"/>
    <hyperlink r:id="rId4162" ref="O2128"/>
    <hyperlink r:id="rId4163" ref="N2129"/>
    <hyperlink r:id="rId4164" ref="O2129"/>
    <hyperlink r:id="rId4165" ref="N2130"/>
    <hyperlink r:id="rId4166" ref="O2130"/>
    <hyperlink r:id="rId4167" ref="N2131"/>
    <hyperlink r:id="rId4168" ref="O2131"/>
    <hyperlink r:id="rId4169" ref="N2132"/>
    <hyperlink r:id="rId4170" ref="O2132"/>
    <hyperlink r:id="rId4171" ref="N2133"/>
    <hyperlink r:id="rId4172" ref="O2133"/>
    <hyperlink r:id="rId4173" ref="N2134"/>
    <hyperlink r:id="rId4174" ref="O2134"/>
    <hyperlink r:id="rId4175" ref="N2135"/>
    <hyperlink r:id="rId4176" ref="O2135"/>
    <hyperlink r:id="rId4177" ref="N2136"/>
    <hyperlink r:id="rId4178" ref="O2136"/>
    <hyperlink r:id="rId4179" ref="N2137"/>
    <hyperlink r:id="rId4180" ref="O2137"/>
    <hyperlink r:id="rId4181" ref="N2138"/>
    <hyperlink r:id="rId4182" ref="O2138"/>
    <hyperlink r:id="rId4183" ref="N2139"/>
    <hyperlink r:id="rId4184" ref="O2139"/>
    <hyperlink r:id="rId4185" ref="N2140"/>
    <hyperlink r:id="rId4186" ref="O2140"/>
    <hyperlink r:id="rId4187" ref="N2141"/>
    <hyperlink r:id="rId4188" ref="O2141"/>
    <hyperlink r:id="rId4189" ref="N2142"/>
    <hyperlink r:id="rId4190" ref="O2142"/>
    <hyperlink r:id="rId4191" ref="N2143"/>
    <hyperlink r:id="rId4192" ref="O2143"/>
    <hyperlink r:id="rId4193" ref="N2144"/>
    <hyperlink r:id="rId4194" ref="N2145"/>
    <hyperlink r:id="rId4195" ref="O2145"/>
    <hyperlink r:id="rId4196" ref="N2146"/>
    <hyperlink r:id="rId4197" ref="O2146"/>
    <hyperlink r:id="rId4198" ref="N2147"/>
    <hyperlink r:id="rId4199" ref="O2147"/>
    <hyperlink r:id="rId4200" ref="N2148"/>
    <hyperlink r:id="rId4201" ref="O2148"/>
    <hyperlink r:id="rId4202" ref="N2149"/>
    <hyperlink r:id="rId4203" ref="O2149"/>
    <hyperlink r:id="rId4204" ref="N2150"/>
    <hyperlink r:id="rId4205" ref="O2150"/>
    <hyperlink r:id="rId4206" ref="N2151"/>
    <hyperlink r:id="rId4207" ref="O2151"/>
    <hyperlink r:id="rId4208" ref="N2152"/>
    <hyperlink r:id="rId4209" ref="O2152"/>
    <hyperlink r:id="rId4210" ref="N2153"/>
    <hyperlink r:id="rId4211" ref="O2153"/>
    <hyperlink r:id="rId4212" ref="N2154"/>
    <hyperlink r:id="rId4213" ref="O2154"/>
    <hyperlink r:id="rId4214" ref="N2155"/>
    <hyperlink r:id="rId4215" ref="O2155"/>
    <hyperlink r:id="rId4216" ref="N2156"/>
    <hyperlink r:id="rId4217" ref="O2156"/>
    <hyperlink r:id="rId4218" ref="N2157"/>
    <hyperlink r:id="rId4219" ref="O2157"/>
    <hyperlink r:id="rId4220" ref="N2158"/>
    <hyperlink r:id="rId4221" ref="O2158"/>
    <hyperlink r:id="rId4222" ref="N2159"/>
    <hyperlink r:id="rId4223" ref="O2159"/>
    <hyperlink r:id="rId4224" ref="N2160"/>
    <hyperlink r:id="rId4225" ref="O2160"/>
    <hyperlink r:id="rId4226" ref="N2161"/>
    <hyperlink r:id="rId4227" ref="O2161"/>
    <hyperlink r:id="rId4228" ref="N2162"/>
    <hyperlink r:id="rId4229" ref="O2162"/>
    <hyperlink r:id="rId4230" ref="N2163"/>
    <hyperlink r:id="rId4231" ref="O2163"/>
    <hyperlink r:id="rId4232" ref="N2164"/>
    <hyperlink r:id="rId4233" ref="O2164"/>
    <hyperlink r:id="rId4234" ref="N2165"/>
    <hyperlink r:id="rId4235" ref="O2165"/>
    <hyperlink r:id="rId4236" ref="N2166"/>
    <hyperlink r:id="rId4237" ref="O2166"/>
    <hyperlink r:id="rId4238" ref="N2167"/>
    <hyperlink r:id="rId4239" ref="O2167"/>
    <hyperlink r:id="rId4240" ref="N2168"/>
    <hyperlink r:id="rId4241" ref="O2168"/>
    <hyperlink r:id="rId4242" ref="N2169"/>
    <hyperlink r:id="rId4243" ref="O2169"/>
    <hyperlink r:id="rId4244" ref="N2170"/>
    <hyperlink r:id="rId4245" ref="O2170"/>
    <hyperlink r:id="rId4246" ref="N2171"/>
    <hyperlink r:id="rId4247" ref="O2171"/>
    <hyperlink r:id="rId4248" ref="N2172"/>
    <hyperlink r:id="rId4249" ref="O2172"/>
    <hyperlink r:id="rId4250" ref="N2173"/>
    <hyperlink r:id="rId4251" ref="O2173"/>
    <hyperlink r:id="rId4252" ref="N2174"/>
    <hyperlink r:id="rId4253" ref="O2174"/>
    <hyperlink r:id="rId4254" ref="N2175"/>
    <hyperlink r:id="rId4255" ref="O2175"/>
    <hyperlink r:id="rId4256" ref="N2176"/>
    <hyperlink r:id="rId4257" ref="O2176"/>
    <hyperlink r:id="rId4258" ref="N2177"/>
    <hyperlink r:id="rId4259" ref="O2177"/>
    <hyperlink r:id="rId4260" ref="N2178"/>
    <hyperlink r:id="rId4261" ref="O2178"/>
    <hyperlink r:id="rId4262" ref="N2179"/>
    <hyperlink r:id="rId4263" ref="O2179"/>
    <hyperlink r:id="rId4264" ref="N2180"/>
    <hyperlink r:id="rId4265" ref="O2180"/>
    <hyperlink r:id="rId4266" ref="N2181"/>
    <hyperlink r:id="rId4267" ref="O2181"/>
    <hyperlink r:id="rId4268" ref="N2182"/>
    <hyperlink r:id="rId4269" ref="O2182"/>
    <hyperlink r:id="rId4270" ref="N2183"/>
    <hyperlink r:id="rId4271" ref="O2183"/>
    <hyperlink r:id="rId4272" ref="N2184"/>
    <hyperlink r:id="rId4273" ref="O2184"/>
    <hyperlink r:id="rId4274" ref="N2185"/>
    <hyperlink r:id="rId4275" ref="O2185"/>
    <hyperlink r:id="rId4276" ref="N2186"/>
    <hyperlink r:id="rId4277" ref="O2186"/>
    <hyperlink r:id="rId4278" ref="N2187"/>
    <hyperlink r:id="rId4279" ref="O2187"/>
    <hyperlink r:id="rId4280" ref="N2188"/>
    <hyperlink r:id="rId4281" ref="O2188"/>
    <hyperlink r:id="rId4282" ref="N2189"/>
    <hyperlink r:id="rId4283" ref="O2189"/>
    <hyperlink r:id="rId4284" ref="N2190"/>
    <hyperlink r:id="rId4285" ref="O2190"/>
    <hyperlink r:id="rId4286" ref="N2191"/>
    <hyperlink r:id="rId4287" ref="O2191"/>
    <hyperlink r:id="rId4288" ref="N2192"/>
    <hyperlink r:id="rId4289" ref="O2192"/>
    <hyperlink r:id="rId4290" ref="N2193"/>
    <hyperlink r:id="rId4291" ref="O2193"/>
    <hyperlink r:id="rId4292" ref="N2194"/>
    <hyperlink r:id="rId4293" ref="O2194"/>
    <hyperlink r:id="rId4294" ref="N2195"/>
    <hyperlink r:id="rId4295" ref="O2195"/>
    <hyperlink r:id="rId4296" ref="N2196"/>
    <hyperlink r:id="rId4297" ref="O2196"/>
    <hyperlink r:id="rId4298" ref="N2197"/>
    <hyperlink r:id="rId4299" ref="O2197"/>
    <hyperlink r:id="rId4300" ref="N2198"/>
    <hyperlink r:id="rId4301" ref="O2198"/>
    <hyperlink r:id="rId4302" ref="N2199"/>
    <hyperlink r:id="rId4303" ref="O2199"/>
    <hyperlink r:id="rId4304" ref="N2200"/>
    <hyperlink r:id="rId4305" ref="O2200"/>
    <hyperlink r:id="rId4306" ref="N2201"/>
    <hyperlink r:id="rId4307" ref="O2201"/>
    <hyperlink r:id="rId4308" ref="N2202"/>
    <hyperlink r:id="rId4309" ref="O2202"/>
    <hyperlink r:id="rId4310" ref="N2203"/>
    <hyperlink r:id="rId4311" ref="O2203"/>
    <hyperlink r:id="rId4312" ref="N2204"/>
    <hyperlink r:id="rId4313" ref="O2204"/>
    <hyperlink r:id="rId4314" ref="N2205"/>
    <hyperlink r:id="rId4315" ref="O2205"/>
    <hyperlink r:id="rId4316" ref="N2206"/>
    <hyperlink r:id="rId4317" ref="O2206"/>
    <hyperlink r:id="rId4318" ref="N2207"/>
    <hyperlink r:id="rId4319" ref="O2207"/>
    <hyperlink r:id="rId4320" ref="N2208"/>
    <hyperlink r:id="rId4321" ref="O2208"/>
    <hyperlink r:id="rId4322" ref="N2209"/>
    <hyperlink r:id="rId4323" ref="O2209"/>
    <hyperlink r:id="rId4324" ref="N2210"/>
    <hyperlink r:id="rId4325" ref="O2210"/>
    <hyperlink r:id="rId4326" ref="N2211"/>
    <hyperlink r:id="rId4327" ref="O2211"/>
    <hyperlink r:id="rId4328" ref="N2212"/>
    <hyperlink r:id="rId4329" ref="O2212"/>
    <hyperlink r:id="rId4330" ref="N2213"/>
    <hyperlink r:id="rId4331" ref="O2213"/>
    <hyperlink r:id="rId4332" ref="N2214"/>
    <hyperlink r:id="rId4333" ref="O2214"/>
    <hyperlink r:id="rId4334" ref="N2215"/>
    <hyperlink r:id="rId4335" ref="O2215"/>
    <hyperlink r:id="rId4336" ref="N2216"/>
    <hyperlink r:id="rId4337" ref="O2216"/>
    <hyperlink r:id="rId4338" ref="N2217"/>
    <hyperlink r:id="rId4339" ref="N2218"/>
    <hyperlink r:id="rId4340" ref="O2218"/>
    <hyperlink r:id="rId4341" ref="N2219"/>
    <hyperlink r:id="rId4342" ref="O2219"/>
    <hyperlink r:id="rId4343" ref="N2220"/>
    <hyperlink r:id="rId4344" ref="N2221"/>
    <hyperlink r:id="rId4345" ref="O2221"/>
    <hyperlink r:id="rId4346" ref="N2222"/>
    <hyperlink r:id="rId4347" ref="O2222"/>
    <hyperlink r:id="rId4348" ref="N2223"/>
    <hyperlink r:id="rId4349" ref="O2223"/>
    <hyperlink r:id="rId4350" ref="N2224"/>
    <hyperlink r:id="rId4351" ref="O2224"/>
    <hyperlink r:id="rId4352" ref="N2225"/>
    <hyperlink r:id="rId4353" ref="O2225"/>
    <hyperlink r:id="rId4354" ref="N2226"/>
    <hyperlink r:id="rId4355" ref="O2226"/>
    <hyperlink r:id="rId4356" ref="N2227"/>
    <hyperlink r:id="rId4357" ref="O2227"/>
    <hyperlink r:id="rId4358" ref="N2228"/>
    <hyperlink r:id="rId4359" ref="O2228"/>
    <hyperlink r:id="rId4360" ref="N2229"/>
    <hyperlink r:id="rId4361" ref="O2229"/>
    <hyperlink r:id="rId4362" ref="N2230"/>
    <hyperlink r:id="rId4363" ref="O2230"/>
    <hyperlink r:id="rId4364" ref="N2231"/>
    <hyperlink r:id="rId4365" ref="O2231"/>
    <hyperlink r:id="rId4366" ref="N2232"/>
    <hyperlink r:id="rId4367" ref="O2232"/>
    <hyperlink r:id="rId4368" ref="N2233"/>
    <hyperlink r:id="rId4369" ref="O2233"/>
    <hyperlink r:id="rId4370" ref="N2234"/>
    <hyperlink r:id="rId4371" ref="O2234"/>
    <hyperlink r:id="rId4372" ref="N2235"/>
    <hyperlink r:id="rId4373" ref="O2235"/>
    <hyperlink r:id="rId4374" ref="N2236"/>
    <hyperlink r:id="rId4375" ref="O2236"/>
    <hyperlink r:id="rId4376" ref="N2237"/>
    <hyperlink r:id="rId4377" ref="O2237"/>
    <hyperlink r:id="rId4378" ref="N2238"/>
    <hyperlink r:id="rId4379" ref="O2238"/>
    <hyperlink r:id="rId4380" ref="N2239"/>
    <hyperlink r:id="rId4381" ref="O2239"/>
    <hyperlink r:id="rId4382" ref="N2240"/>
    <hyperlink r:id="rId4383" ref="O2240"/>
    <hyperlink r:id="rId4384" ref="N2241"/>
    <hyperlink r:id="rId4385" ref="O2241"/>
    <hyperlink r:id="rId4386" ref="N2242"/>
    <hyperlink r:id="rId4387" ref="O2242"/>
    <hyperlink r:id="rId4388" ref="N2243"/>
    <hyperlink r:id="rId4389" ref="N2244"/>
    <hyperlink r:id="rId4390" ref="O2244"/>
    <hyperlink r:id="rId4391" ref="N2245"/>
    <hyperlink r:id="rId4392" ref="N2246"/>
    <hyperlink r:id="rId4393" ref="O2246"/>
    <hyperlink r:id="rId4394" ref="N2247"/>
    <hyperlink r:id="rId4395" ref="O2247"/>
    <hyperlink r:id="rId4396" ref="N2248"/>
    <hyperlink r:id="rId4397" ref="O2248"/>
    <hyperlink r:id="rId4398" ref="N2249"/>
    <hyperlink r:id="rId4399" ref="O2249"/>
    <hyperlink r:id="rId4400" ref="N2250"/>
    <hyperlink r:id="rId4401" ref="O2250"/>
    <hyperlink r:id="rId4402" ref="N2251"/>
    <hyperlink r:id="rId4403" ref="O2251"/>
    <hyperlink r:id="rId4404" ref="N2252"/>
    <hyperlink r:id="rId4405" ref="O2252"/>
    <hyperlink r:id="rId4406" ref="N2253"/>
    <hyperlink r:id="rId4407" ref="O2253"/>
    <hyperlink r:id="rId4408" ref="N2254"/>
    <hyperlink r:id="rId4409" ref="O2254"/>
    <hyperlink r:id="rId4410" ref="N2255"/>
    <hyperlink r:id="rId4411" ref="O2255"/>
    <hyperlink r:id="rId4412" ref="N2256"/>
    <hyperlink r:id="rId4413" ref="O2256"/>
    <hyperlink r:id="rId4414" ref="N2257"/>
    <hyperlink r:id="rId4415" ref="O2257"/>
    <hyperlink r:id="rId4416" ref="N2258"/>
    <hyperlink r:id="rId4417" ref="O2258"/>
    <hyperlink r:id="rId4418" ref="N2259"/>
    <hyperlink r:id="rId4419" ref="O2259"/>
    <hyperlink r:id="rId4420" ref="N2260"/>
    <hyperlink r:id="rId4421" ref="O2260"/>
    <hyperlink r:id="rId4422" ref="N2261"/>
    <hyperlink r:id="rId4423" ref="O2261"/>
    <hyperlink r:id="rId4424" ref="N2262"/>
    <hyperlink r:id="rId4425" ref="O2262"/>
    <hyperlink r:id="rId4426" ref="N2263"/>
    <hyperlink r:id="rId4427" ref="O2263"/>
    <hyperlink r:id="rId4428" ref="N2264"/>
    <hyperlink r:id="rId4429" ref="O2264"/>
    <hyperlink r:id="rId4430" ref="N2265"/>
    <hyperlink r:id="rId4431" ref="O2265"/>
    <hyperlink r:id="rId4432" ref="N2266"/>
    <hyperlink r:id="rId4433" ref="O2266"/>
    <hyperlink r:id="rId4434" ref="N2267"/>
    <hyperlink r:id="rId4435" ref="O2267"/>
    <hyperlink r:id="rId4436" ref="N2268"/>
    <hyperlink r:id="rId4437" ref="O2268"/>
    <hyperlink r:id="rId4438" ref="N2269"/>
    <hyperlink r:id="rId4439" ref="O2269"/>
    <hyperlink r:id="rId4440" ref="N2270"/>
    <hyperlink r:id="rId4441" ref="O2270"/>
    <hyperlink r:id="rId4442" ref="N2271"/>
    <hyperlink r:id="rId4443" ref="O2271"/>
    <hyperlink r:id="rId4444" ref="N2272"/>
    <hyperlink r:id="rId4445" ref="O2272"/>
    <hyperlink r:id="rId4446" ref="N2273"/>
    <hyperlink r:id="rId4447" ref="O2273"/>
    <hyperlink r:id="rId4448" ref="N2274"/>
    <hyperlink r:id="rId4449" ref="O2274"/>
    <hyperlink r:id="rId4450" ref="N2275"/>
    <hyperlink r:id="rId4451" ref="O2275"/>
    <hyperlink r:id="rId4452" ref="N2276"/>
    <hyperlink r:id="rId4453" ref="O2276"/>
    <hyperlink r:id="rId4454" ref="N2277"/>
    <hyperlink r:id="rId4455" ref="O2277"/>
    <hyperlink r:id="rId4456" ref="N2278"/>
    <hyperlink r:id="rId4457" ref="O2278"/>
    <hyperlink r:id="rId4458" ref="N2279"/>
    <hyperlink r:id="rId4459" ref="O2279"/>
    <hyperlink r:id="rId4460" ref="N2280"/>
    <hyperlink r:id="rId4461" ref="O2280"/>
    <hyperlink r:id="rId4462" ref="N2281"/>
    <hyperlink r:id="rId4463" ref="O2281"/>
    <hyperlink r:id="rId4464" ref="N2282"/>
    <hyperlink r:id="rId4465" ref="O2282"/>
    <hyperlink r:id="rId4466" ref="N2283"/>
    <hyperlink r:id="rId4467" ref="O2283"/>
    <hyperlink r:id="rId4468" ref="N2284"/>
    <hyperlink r:id="rId4469" ref="O2284"/>
    <hyperlink r:id="rId4470" ref="N2285"/>
    <hyperlink r:id="rId4471" ref="O2285"/>
    <hyperlink r:id="rId4472" ref="N2286"/>
    <hyperlink r:id="rId4473" ref="O2286"/>
    <hyperlink r:id="rId4474" ref="N2287"/>
    <hyperlink r:id="rId4475" ref="O2287"/>
    <hyperlink r:id="rId4476" ref="N2288"/>
    <hyperlink r:id="rId4477" ref="O2288"/>
    <hyperlink r:id="rId4478" ref="N2289"/>
    <hyperlink r:id="rId4479" ref="O2289"/>
    <hyperlink r:id="rId4480" ref="N2290"/>
    <hyperlink r:id="rId4481" ref="O2290"/>
    <hyperlink r:id="rId4482" ref="N2291"/>
    <hyperlink r:id="rId4483" ref="O2291"/>
    <hyperlink r:id="rId4484" ref="N2292"/>
    <hyperlink r:id="rId4485" ref="O2292"/>
    <hyperlink r:id="rId4486" ref="N2293"/>
    <hyperlink r:id="rId4487" ref="O2293"/>
    <hyperlink r:id="rId4488" ref="N2294"/>
    <hyperlink r:id="rId4489" ref="O2294"/>
    <hyperlink r:id="rId4490" ref="N2295"/>
    <hyperlink r:id="rId4491" ref="O2295"/>
    <hyperlink r:id="rId4492" ref="N2296"/>
    <hyperlink r:id="rId4493" ref="O2296"/>
    <hyperlink r:id="rId4494" ref="N2297"/>
    <hyperlink r:id="rId4495" ref="O2297"/>
    <hyperlink r:id="rId4496" ref="N2298"/>
    <hyperlink r:id="rId4497" ref="O2298"/>
    <hyperlink r:id="rId4498" ref="N2299"/>
    <hyperlink r:id="rId4499" ref="O2299"/>
    <hyperlink r:id="rId4500" ref="N2300"/>
    <hyperlink r:id="rId4501" ref="O2300"/>
    <hyperlink r:id="rId4502" ref="N2301"/>
    <hyperlink r:id="rId4503" ref="O2301"/>
    <hyperlink r:id="rId4504" ref="N2302"/>
    <hyperlink r:id="rId4505" ref="O2302"/>
    <hyperlink r:id="rId4506" ref="N2303"/>
    <hyperlink r:id="rId4507" ref="O2303"/>
    <hyperlink r:id="rId4508" ref="N2304"/>
    <hyperlink r:id="rId4509" ref="O2304"/>
    <hyperlink r:id="rId4510" ref="N2305"/>
    <hyperlink r:id="rId4511" ref="O2305"/>
    <hyperlink r:id="rId4512" ref="N2306"/>
    <hyperlink r:id="rId4513" ref="O2306"/>
    <hyperlink r:id="rId4514" ref="N2307"/>
    <hyperlink r:id="rId4515" ref="O2307"/>
    <hyperlink r:id="rId4516" ref="N2308"/>
    <hyperlink r:id="rId4517" ref="O2308"/>
    <hyperlink r:id="rId4518" ref="N2309"/>
    <hyperlink r:id="rId4519" ref="O2309"/>
    <hyperlink r:id="rId4520" ref="N2310"/>
    <hyperlink r:id="rId4521" ref="O2310"/>
    <hyperlink r:id="rId4522" ref="N2311"/>
    <hyperlink r:id="rId4523" ref="O2311"/>
    <hyperlink r:id="rId4524" ref="N2312"/>
    <hyperlink r:id="rId4525" ref="O2312"/>
    <hyperlink r:id="rId4526" ref="N2313"/>
    <hyperlink r:id="rId4527" ref="O2313"/>
    <hyperlink r:id="rId4528" ref="N2314"/>
    <hyperlink r:id="rId4529" ref="O2314"/>
    <hyperlink r:id="rId4530" ref="N2315"/>
    <hyperlink r:id="rId4531" ref="O2315"/>
    <hyperlink r:id="rId4532" ref="N2316"/>
    <hyperlink r:id="rId4533" ref="O2316"/>
    <hyperlink r:id="rId4534" ref="N2317"/>
    <hyperlink r:id="rId4535" ref="O2317"/>
    <hyperlink r:id="rId4536" ref="N2318"/>
    <hyperlink r:id="rId4537" ref="O2318"/>
    <hyperlink r:id="rId4538" ref="N2319"/>
    <hyperlink r:id="rId4539" ref="O2319"/>
    <hyperlink r:id="rId4540" ref="N2320"/>
    <hyperlink r:id="rId4541" ref="O2320"/>
    <hyperlink r:id="rId4542" ref="N2321"/>
    <hyperlink r:id="rId4543" ref="O2321"/>
    <hyperlink r:id="rId4544" ref="N2322"/>
    <hyperlink r:id="rId4545" ref="O2322"/>
    <hyperlink r:id="rId4546" ref="N2323"/>
    <hyperlink r:id="rId4547" ref="O2323"/>
    <hyperlink r:id="rId4548" ref="N2324"/>
    <hyperlink r:id="rId4549" ref="O2324"/>
    <hyperlink r:id="rId4550" ref="N2325"/>
    <hyperlink r:id="rId4551" ref="O2325"/>
    <hyperlink r:id="rId4552" ref="N2326"/>
    <hyperlink r:id="rId4553" ref="O2326"/>
    <hyperlink r:id="rId4554" ref="N2327"/>
    <hyperlink r:id="rId4555" ref="N2328"/>
    <hyperlink r:id="rId4556" ref="O2328"/>
    <hyperlink r:id="rId4557" ref="N2329"/>
    <hyperlink r:id="rId4558" ref="O2329"/>
    <hyperlink r:id="rId4559" ref="N2330"/>
    <hyperlink r:id="rId4560" ref="O2330"/>
    <hyperlink r:id="rId4561" ref="N2331"/>
    <hyperlink r:id="rId4562" ref="O2331"/>
    <hyperlink r:id="rId4563" ref="N2332"/>
    <hyperlink r:id="rId4564" ref="O2332"/>
    <hyperlink r:id="rId4565" ref="N2333"/>
    <hyperlink r:id="rId4566" ref="O2333"/>
    <hyperlink r:id="rId4567" ref="N2334"/>
    <hyperlink r:id="rId4568" ref="O2334"/>
    <hyperlink r:id="rId4569" ref="N2335"/>
    <hyperlink r:id="rId4570" ref="O2335"/>
    <hyperlink r:id="rId4571" ref="N2336"/>
    <hyperlink r:id="rId4572" ref="O2336"/>
    <hyperlink r:id="rId4573" ref="N2337"/>
    <hyperlink r:id="rId4574" ref="O2337"/>
    <hyperlink r:id="rId4575" ref="N2338"/>
    <hyperlink r:id="rId4576" ref="O2338"/>
    <hyperlink r:id="rId4577" ref="N2339"/>
    <hyperlink r:id="rId4578" ref="O2339"/>
    <hyperlink r:id="rId4579" ref="N2340"/>
    <hyperlink r:id="rId4580" ref="O2340"/>
    <hyperlink r:id="rId4581" ref="N2341"/>
    <hyperlink r:id="rId4582" ref="O2341"/>
    <hyperlink r:id="rId4583" ref="N2342"/>
    <hyperlink r:id="rId4584" ref="O2342"/>
    <hyperlink r:id="rId4585" ref="N2343"/>
    <hyperlink r:id="rId4586" ref="O2343"/>
    <hyperlink r:id="rId4587" ref="N2344"/>
    <hyperlink r:id="rId4588" ref="O2344"/>
    <hyperlink r:id="rId4589" ref="N2345"/>
    <hyperlink r:id="rId4590" ref="O2345"/>
    <hyperlink r:id="rId4591" ref="N2346"/>
    <hyperlink r:id="rId4592" ref="O2346"/>
    <hyperlink r:id="rId4593" ref="N2347"/>
    <hyperlink r:id="rId4594" ref="O2347"/>
    <hyperlink r:id="rId4595" ref="N2348"/>
    <hyperlink r:id="rId4596" ref="O2348"/>
    <hyperlink r:id="rId4597" ref="N2349"/>
    <hyperlink r:id="rId4598" ref="O2349"/>
    <hyperlink r:id="rId4599" ref="N2350"/>
    <hyperlink r:id="rId4600" ref="O2350"/>
    <hyperlink r:id="rId4601" ref="N2351"/>
    <hyperlink r:id="rId4602" ref="O2351"/>
    <hyperlink r:id="rId4603" ref="N2352"/>
    <hyperlink r:id="rId4604" ref="O2352"/>
    <hyperlink r:id="rId4605" ref="N2353"/>
    <hyperlink r:id="rId4606" ref="O2353"/>
    <hyperlink r:id="rId4607" ref="N2354"/>
    <hyperlink r:id="rId4608" ref="O2354"/>
    <hyperlink r:id="rId4609" ref="N2355"/>
    <hyperlink r:id="rId4610" ref="O2355"/>
    <hyperlink r:id="rId4611" ref="N2356"/>
    <hyperlink r:id="rId4612" ref="O2356"/>
    <hyperlink r:id="rId4613" ref="N2357"/>
    <hyperlink r:id="rId4614" ref="O2357"/>
    <hyperlink r:id="rId4615" ref="N2358"/>
    <hyperlink r:id="rId4616" ref="O2358"/>
    <hyperlink r:id="rId4617" ref="N2359"/>
    <hyperlink r:id="rId4618" ref="O2359"/>
    <hyperlink r:id="rId4619" ref="N2360"/>
    <hyperlink r:id="rId4620" ref="O2360"/>
    <hyperlink r:id="rId4621" ref="N2361"/>
    <hyperlink r:id="rId4622" ref="O2361"/>
    <hyperlink r:id="rId4623" ref="N2362"/>
    <hyperlink r:id="rId4624" ref="O2362"/>
    <hyperlink r:id="rId4625" ref="N2363"/>
    <hyperlink r:id="rId4626" ref="O2363"/>
    <hyperlink r:id="rId4627" ref="N2364"/>
    <hyperlink r:id="rId4628" ref="O2364"/>
    <hyperlink r:id="rId4629" ref="N2365"/>
    <hyperlink r:id="rId4630" ref="O2365"/>
    <hyperlink r:id="rId4631" ref="N2366"/>
    <hyperlink r:id="rId4632" ref="O2366"/>
    <hyperlink r:id="rId4633" ref="N2367"/>
    <hyperlink r:id="rId4634" ref="O2367"/>
    <hyperlink r:id="rId4635" ref="N2368"/>
    <hyperlink r:id="rId4636" ref="O2368"/>
    <hyperlink r:id="rId4637" ref="N2369"/>
    <hyperlink r:id="rId4638" ref="O2369"/>
    <hyperlink r:id="rId4639" ref="N2370"/>
    <hyperlink r:id="rId4640" ref="O2370"/>
    <hyperlink r:id="rId4641" ref="N2371"/>
    <hyperlink r:id="rId4642" ref="O2371"/>
    <hyperlink r:id="rId4643" ref="N2372"/>
    <hyperlink r:id="rId4644" ref="O2372"/>
    <hyperlink r:id="rId4645" ref="N2373"/>
    <hyperlink r:id="rId4646" ref="O2373"/>
    <hyperlink r:id="rId4647" ref="N2374"/>
    <hyperlink r:id="rId4648" ref="O2374"/>
    <hyperlink r:id="rId4649" ref="N2375"/>
    <hyperlink r:id="rId4650" ref="O2375"/>
    <hyperlink r:id="rId4651" ref="N2376"/>
    <hyperlink r:id="rId4652" ref="O2376"/>
    <hyperlink r:id="rId4653" ref="N2377"/>
    <hyperlink r:id="rId4654" ref="O2377"/>
    <hyperlink r:id="rId4655" ref="N2378"/>
    <hyperlink r:id="rId4656" ref="O2378"/>
    <hyperlink r:id="rId4657" ref="N2379"/>
    <hyperlink r:id="rId4658" ref="O2379"/>
    <hyperlink r:id="rId4659" ref="N2380"/>
    <hyperlink r:id="rId4660" ref="O2380"/>
    <hyperlink r:id="rId4661" ref="N2381"/>
    <hyperlink r:id="rId4662" ref="O2381"/>
    <hyperlink r:id="rId4663" ref="N2382"/>
    <hyperlink r:id="rId4664" ref="O2382"/>
    <hyperlink r:id="rId4665" ref="N2383"/>
    <hyperlink r:id="rId4666" ref="O2383"/>
    <hyperlink r:id="rId4667" ref="N2384"/>
    <hyperlink r:id="rId4668" ref="O2384"/>
    <hyperlink r:id="rId4669" ref="N2385"/>
    <hyperlink r:id="rId4670" ref="O2385"/>
    <hyperlink r:id="rId4671" ref="N2386"/>
    <hyperlink r:id="rId4672" ref="O2386"/>
    <hyperlink r:id="rId4673" ref="N2387"/>
    <hyperlink r:id="rId4674" ref="O2387"/>
    <hyperlink r:id="rId4675" ref="N2388"/>
    <hyperlink r:id="rId4676" ref="O2388"/>
    <hyperlink r:id="rId4677" ref="N2389"/>
    <hyperlink r:id="rId4678" ref="O2389"/>
    <hyperlink r:id="rId4679" ref="N2390"/>
    <hyperlink r:id="rId4680" ref="O2390"/>
    <hyperlink r:id="rId4681" ref="N2391"/>
    <hyperlink r:id="rId4682" ref="O2391"/>
    <hyperlink r:id="rId4683" ref="N2392"/>
    <hyperlink r:id="rId4684" ref="O2392"/>
    <hyperlink r:id="rId4685" ref="N2393"/>
    <hyperlink r:id="rId4686" ref="O2393"/>
    <hyperlink r:id="rId4687" ref="N2394"/>
    <hyperlink r:id="rId4688" ref="O2394"/>
    <hyperlink r:id="rId4689" ref="N2395"/>
    <hyperlink r:id="rId4690" ref="O2395"/>
    <hyperlink r:id="rId4691" ref="N2396"/>
    <hyperlink r:id="rId4692" ref="O2396"/>
    <hyperlink r:id="rId4693" ref="N2397"/>
    <hyperlink r:id="rId4694" ref="O2397"/>
    <hyperlink r:id="rId4695" ref="N2398"/>
    <hyperlink r:id="rId4696" ref="O2398"/>
    <hyperlink r:id="rId4697" ref="N2399"/>
    <hyperlink r:id="rId4698" ref="O2399"/>
    <hyperlink r:id="rId4699" ref="N2400"/>
    <hyperlink r:id="rId4700" ref="O2400"/>
    <hyperlink r:id="rId4701" ref="N2401"/>
    <hyperlink r:id="rId4702" ref="O2401"/>
    <hyperlink r:id="rId4703" ref="N2402"/>
    <hyperlink r:id="rId4704" ref="O2402"/>
    <hyperlink r:id="rId4705" ref="N2403"/>
    <hyperlink r:id="rId4706" ref="O2403"/>
    <hyperlink r:id="rId4707" ref="N2404"/>
    <hyperlink r:id="rId4708" ref="O2404"/>
    <hyperlink r:id="rId4709" ref="N2405"/>
    <hyperlink r:id="rId4710" ref="O2405"/>
    <hyperlink r:id="rId4711" ref="N2406"/>
    <hyperlink r:id="rId4712" ref="O2406"/>
    <hyperlink r:id="rId4713" ref="N2407"/>
    <hyperlink r:id="rId4714" ref="O2407"/>
    <hyperlink r:id="rId4715" ref="N2408"/>
    <hyperlink r:id="rId4716" ref="O2408"/>
    <hyperlink r:id="rId4717" ref="N2409"/>
    <hyperlink r:id="rId4718" ref="O2409"/>
    <hyperlink r:id="rId4719" ref="N2410"/>
    <hyperlink r:id="rId4720" ref="O2410"/>
    <hyperlink r:id="rId4721" ref="N2411"/>
    <hyperlink r:id="rId4722" ref="O2411"/>
    <hyperlink r:id="rId4723" ref="N2412"/>
    <hyperlink r:id="rId4724" ref="O2412"/>
    <hyperlink r:id="rId4725" ref="N2413"/>
    <hyperlink r:id="rId4726" ref="O2413"/>
    <hyperlink r:id="rId4727" ref="N2414"/>
    <hyperlink r:id="rId4728" ref="O2414"/>
    <hyperlink r:id="rId4729" ref="N2415"/>
    <hyperlink r:id="rId4730" ref="O2415"/>
    <hyperlink r:id="rId4731" ref="N2416"/>
    <hyperlink r:id="rId4732" ref="O2416"/>
    <hyperlink r:id="rId4733" ref="N2417"/>
    <hyperlink r:id="rId4734" ref="O2417"/>
    <hyperlink r:id="rId4735" ref="N2418"/>
    <hyperlink r:id="rId4736" ref="O2418"/>
    <hyperlink r:id="rId4737" ref="N2419"/>
    <hyperlink r:id="rId4738" ref="O2419"/>
    <hyperlink r:id="rId4739" ref="N2420"/>
    <hyperlink r:id="rId4740" ref="O2420"/>
    <hyperlink r:id="rId4741" ref="N2421"/>
    <hyperlink r:id="rId4742" ref="O2421"/>
    <hyperlink r:id="rId4743" ref="N2422"/>
    <hyperlink r:id="rId4744" ref="O2422"/>
    <hyperlink r:id="rId4745" ref="N2423"/>
    <hyperlink r:id="rId4746" ref="O2423"/>
    <hyperlink r:id="rId4747" ref="N2424"/>
    <hyperlink r:id="rId4748" ref="O2424"/>
    <hyperlink r:id="rId4749" ref="N2425"/>
    <hyperlink r:id="rId4750" ref="O2425"/>
    <hyperlink r:id="rId4751" ref="N2426"/>
    <hyperlink r:id="rId4752" ref="O2426"/>
    <hyperlink r:id="rId4753" ref="N2427"/>
    <hyperlink r:id="rId4754" ref="O2427"/>
    <hyperlink r:id="rId4755" ref="N2428"/>
    <hyperlink r:id="rId4756" ref="O2428"/>
    <hyperlink r:id="rId4757" ref="N2429"/>
    <hyperlink r:id="rId4758" ref="O2429"/>
    <hyperlink r:id="rId4759" ref="N2430"/>
    <hyperlink r:id="rId4760" ref="O2430"/>
    <hyperlink r:id="rId4761" ref="N2431"/>
    <hyperlink r:id="rId4762" ref="O2431"/>
    <hyperlink r:id="rId4763" ref="N2432"/>
    <hyperlink r:id="rId4764" ref="O2432"/>
    <hyperlink r:id="rId4765" ref="N2433"/>
    <hyperlink r:id="rId4766" ref="O2433"/>
    <hyperlink r:id="rId4767" ref="N2434"/>
    <hyperlink r:id="rId4768" ref="O2434"/>
    <hyperlink r:id="rId4769" ref="N2435"/>
    <hyperlink r:id="rId4770" ref="O2435"/>
    <hyperlink r:id="rId4771" ref="N2436"/>
    <hyperlink r:id="rId4772" ref="O2436"/>
    <hyperlink r:id="rId4773" ref="N2437"/>
    <hyperlink r:id="rId4774" ref="O2437"/>
    <hyperlink r:id="rId4775" ref="N2438"/>
    <hyperlink r:id="rId4776" ref="O2438"/>
    <hyperlink r:id="rId4777" ref="N2439"/>
    <hyperlink r:id="rId4778" ref="O2439"/>
    <hyperlink r:id="rId4779" ref="N2440"/>
    <hyperlink r:id="rId4780" ref="O2440"/>
    <hyperlink r:id="rId4781" ref="N2441"/>
    <hyperlink r:id="rId4782" ref="O2441"/>
    <hyperlink r:id="rId4783" ref="N2442"/>
    <hyperlink r:id="rId4784" ref="O2442"/>
    <hyperlink r:id="rId4785" ref="N2443"/>
    <hyperlink r:id="rId4786" ref="O2443"/>
    <hyperlink r:id="rId4787" ref="N2444"/>
    <hyperlink r:id="rId4788" ref="O2444"/>
    <hyperlink r:id="rId4789" ref="N2445"/>
    <hyperlink r:id="rId4790" ref="O2445"/>
    <hyperlink r:id="rId4791" ref="N2446"/>
    <hyperlink r:id="rId4792" ref="O2446"/>
    <hyperlink r:id="rId4793" ref="N2447"/>
    <hyperlink r:id="rId4794" ref="O2447"/>
    <hyperlink r:id="rId4795" ref="N2448"/>
    <hyperlink r:id="rId4796" ref="O2448"/>
    <hyperlink r:id="rId4797" ref="N2449"/>
    <hyperlink r:id="rId4798" ref="O2449"/>
    <hyperlink r:id="rId4799" ref="N2450"/>
    <hyperlink r:id="rId4800" ref="O2450"/>
    <hyperlink r:id="rId4801" ref="N2451"/>
    <hyperlink r:id="rId4802" ref="O2451"/>
    <hyperlink r:id="rId4803" ref="N2452"/>
    <hyperlink r:id="rId4804" ref="O2452"/>
    <hyperlink r:id="rId4805" ref="N2453"/>
    <hyperlink r:id="rId4806" ref="O2453"/>
    <hyperlink r:id="rId4807" ref="N2454"/>
    <hyperlink r:id="rId4808" ref="O2454"/>
    <hyperlink r:id="rId4809" ref="N2455"/>
    <hyperlink r:id="rId4810" ref="O2455"/>
    <hyperlink r:id="rId4811" ref="N2456"/>
    <hyperlink r:id="rId4812" ref="O2456"/>
    <hyperlink r:id="rId4813" ref="N2457"/>
    <hyperlink r:id="rId4814" ref="O2457"/>
    <hyperlink r:id="rId4815" ref="N2458"/>
    <hyperlink r:id="rId4816" ref="O2458"/>
    <hyperlink r:id="rId4817" ref="N2459"/>
    <hyperlink r:id="rId4818" ref="O2459"/>
    <hyperlink r:id="rId4819" ref="N2460"/>
    <hyperlink r:id="rId4820" ref="O2460"/>
    <hyperlink r:id="rId4821" ref="N2461"/>
    <hyperlink r:id="rId4822" ref="O2461"/>
    <hyperlink r:id="rId4823" ref="N2462"/>
    <hyperlink r:id="rId4824" ref="O2462"/>
    <hyperlink r:id="rId4825" ref="N2463"/>
    <hyperlink r:id="rId4826" ref="O2463"/>
    <hyperlink r:id="rId4827" ref="N2464"/>
    <hyperlink r:id="rId4828" ref="O2464"/>
    <hyperlink r:id="rId4829" ref="N2465"/>
    <hyperlink r:id="rId4830" ref="O2465"/>
    <hyperlink r:id="rId4831" ref="N2466"/>
    <hyperlink r:id="rId4832" ref="O2466"/>
    <hyperlink r:id="rId4833" ref="N2467"/>
    <hyperlink r:id="rId4834" ref="O2467"/>
    <hyperlink r:id="rId4835" ref="N2468"/>
    <hyperlink r:id="rId4836" ref="O2468"/>
    <hyperlink r:id="rId4837" ref="N2469"/>
    <hyperlink r:id="rId4838" ref="O2469"/>
    <hyperlink r:id="rId4839" ref="N2470"/>
    <hyperlink r:id="rId4840" ref="O2470"/>
    <hyperlink r:id="rId4841" ref="N2471"/>
    <hyperlink r:id="rId4842" ref="O2471"/>
    <hyperlink r:id="rId4843" ref="N2472"/>
    <hyperlink r:id="rId4844" ref="O2472"/>
    <hyperlink r:id="rId4845" ref="N2473"/>
    <hyperlink r:id="rId4846" ref="O2473"/>
    <hyperlink r:id="rId4847" ref="N2474"/>
    <hyperlink r:id="rId4848" ref="O2474"/>
    <hyperlink r:id="rId4849" ref="N2475"/>
    <hyperlink r:id="rId4850" ref="O2475"/>
    <hyperlink r:id="rId4851" ref="N2476"/>
    <hyperlink r:id="rId4852" ref="O2476"/>
    <hyperlink r:id="rId4853" ref="N2477"/>
    <hyperlink r:id="rId4854" ref="O2477"/>
    <hyperlink r:id="rId4855" ref="N2478"/>
    <hyperlink r:id="rId4856" ref="O2478"/>
    <hyperlink r:id="rId4857" ref="N2479"/>
    <hyperlink r:id="rId4858" ref="O2479"/>
    <hyperlink r:id="rId4859" ref="N2480"/>
    <hyperlink r:id="rId4860" ref="O2480"/>
    <hyperlink r:id="rId4861" ref="N2481"/>
    <hyperlink r:id="rId4862" ref="O2481"/>
    <hyperlink r:id="rId4863" ref="N2482"/>
    <hyperlink r:id="rId4864" ref="O2482"/>
    <hyperlink r:id="rId4865" ref="N2483"/>
    <hyperlink r:id="rId4866" ref="O2483"/>
    <hyperlink r:id="rId4867" ref="N2484"/>
    <hyperlink r:id="rId4868" ref="O2484"/>
    <hyperlink r:id="rId4869" ref="N2485"/>
    <hyperlink r:id="rId4870" ref="O2485"/>
    <hyperlink r:id="rId4871" ref="N2486"/>
    <hyperlink r:id="rId4872" ref="O2486"/>
    <hyperlink r:id="rId4873" ref="N2487"/>
    <hyperlink r:id="rId4874" ref="O2487"/>
    <hyperlink r:id="rId4875" ref="N2488"/>
    <hyperlink r:id="rId4876" ref="O2488"/>
    <hyperlink r:id="rId4877" ref="N2489"/>
    <hyperlink r:id="rId4878" ref="O2489"/>
    <hyperlink r:id="rId4879" ref="N2490"/>
    <hyperlink r:id="rId4880" ref="O2490"/>
    <hyperlink r:id="rId4881" ref="N2491"/>
    <hyperlink r:id="rId4882" ref="O2491"/>
    <hyperlink r:id="rId4883" ref="N2492"/>
    <hyperlink r:id="rId4884" ref="O2492"/>
    <hyperlink r:id="rId4885" ref="N2493"/>
    <hyperlink r:id="rId4886" ref="O2493"/>
    <hyperlink r:id="rId4887" ref="N2494"/>
    <hyperlink r:id="rId4888" ref="O2494"/>
    <hyperlink r:id="rId4889" ref="N2495"/>
    <hyperlink r:id="rId4890" ref="O2495"/>
    <hyperlink r:id="rId4891" ref="N2496"/>
    <hyperlink r:id="rId4892" ref="O2496"/>
    <hyperlink r:id="rId4893" ref="N2497"/>
    <hyperlink r:id="rId4894" ref="O2497"/>
    <hyperlink r:id="rId4895" ref="N2498"/>
    <hyperlink r:id="rId4896" ref="O2498"/>
    <hyperlink r:id="rId4897" ref="N2499"/>
    <hyperlink r:id="rId4898" ref="O2499"/>
    <hyperlink r:id="rId4899" ref="N2500"/>
    <hyperlink r:id="rId4900" ref="O2500"/>
    <hyperlink r:id="rId4901" ref="N2501"/>
    <hyperlink r:id="rId4902" ref="O2501"/>
    <hyperlink r:id="rId4903" ref="N2502"/>
    <hyperlink r:id="rId4904" ref="O2502"/>
    <hyperlink r:id="rId4905" ref="N2503"/>
    <hyperlink r:id="rId4906" ref="O2503"/>
    <hyperlink r:id="rId4907" ref="N2504"/>
    <hyperlink r:id="rId4908" ref="O2504"/>
    <hyperlink r:id="rId4909" ref="N2505"/>
    <hyperlink r:id="rId4910" ref="O2505"/>
    <hyperlink r:id="rId4911" ref="N2506"/>
    <hyperlink r:id="rId4912" ref="O2506"/>
    <hyperlink r:id="rId4913" ref="N2507"/>
    <hyperlink r:id="rId4914" ref="O2507"/>
    <hyperlink r:id="rId4915" ref="N2508"/>
    <hyperlink r:id="rId4916" ref="O2508"/>
    <hyperlink r:id="rId4917" ref="N2509"/>
    <hyperlink r:id="rId4918" ref="O2509"/>
    <hyperlink r:id="rId4919" ref="N2510"/>
    <hyperlink r:id="rId4920" ref="O2510"/>
    <hyperlink r:id="rId4921" ref="N2511"/>
    <hyperlink r:id="rId4922" ref="O2511"/>
    <hyperlink r:id="rId4923" ref="N2512"/>
    <hyperlink r:id="rId4924" ref="O2512"/>
    <hyperlink r:id="rId4925" ref="N2513"/>
    <hyperlink r:id="rId4926" ref="O2513"/>
    <hyperlink r:id="rId4927" ref="N2514"/>
    <hyperlink r:id="rId4928" ref="O2514"/>
    <hyperlink r:id="rId4929" ref="N2515"/>
    <hyperlink r:id="rId4930" ref="O2515"/>
    <hyperlink r:id="rId4931" ref="N2516"/>
    <hyperlink r:id="rId4932" ref="O2516"/>
    <hyperlink r:id="rId4933" ref="N2517"/>
    <hyperlink r:id="rId4934" ref="O2517"/>
    <hyperlink r:id="rId4935" ref="N2518"/>
    <hyperlink r:id="rId4936" ref="O2518"/>
    <hyperlink r:id="rId4937" ref="N2519"/>
    <hyperlink r:id="rId4938" ref="O2519"/>
    <hyperlink r:id="rId4939" ref="N2520"/>
    <hyperlink r:id="rId4940" ref="O2520"/>
    <hyperlink r:id="rId4941" ref="N2521"/>
    <hyperlink r:id="rId4942" ref="O2521"/>
    <hyperlink r:id="rId4943" ref="N2522"/>
    <hyperlink r:id="rId4944" ref="O2522"/>
    <hyperlink r:id="rId4945" ref="N2523"/>
    <hyperlink r:id="rId4946" ref="O2523"/>
    <hyperlink r:id="rId4947" ref="N2524"/>
    <hyperlink r:id="rId4948" ref="O2524"/>
    <hyperlink r:id="rId4949" ref="L2525"/>
    <hyperlink r:id="rId4950" ref="N2525"/>
    <hyperlink r:id="rId4951" ref="O2525"/>
    <hyperlink r:id="rId4952" ref="N2526"/>
    <hyperlink r:id="rId4953" ref="O2526"/>
    <hyperlink r:id="rId4954" ref="L2527"/>
    <hyperlink r:id="rId4955" ref="N2527"/>
    <hyperlink r:id="rId4956" ref="O2527"/>
    <hyperlink r:id="rId4957" ref="N2528"/>
    <hyperlink r:id="rId4958" ref="O2528"/>
    <hyperlink r:id="rId4959" ref="N2529"/>
    <hyperlink r:id="rId4960" ref="O2529"/>
    <hyperlink r:id="rId4961" ref="N2530"/>
    <hyperlink r:id="rId4962" ref="O2530"/>
    <hyperlink r:id="rId4963" ref="N2531"/>
    <hyperlink r:id="rId4964" ref="O2531"/>
    <hyperlink r:id="rId4965" ref="L2532"/>
    <hyperlink r:id="rId4966" ref="N2532"/>
    <hyperlink r:id="rId4967" ref="O2532"/>
    <hyperlink r:id="rId4968" ref="L2533"/>
    <hyperlink r:id="rId4969" ref="N2533"/>
    <hyperlink r:id="rId4970" ref="O2533"/>
    <hyperlink r:id="rId4971" ref="N2534"/>
    <hyperlink r:id="rId4972" ref="O2534"/>
    <hyperlink r:id="rId4973" ref="N2535"/>
    <hyperlink r:id="rId4974" ref="O2535"/>
    <hyperlink r:id="rId4975" ref="N2536"/>
    <hyperlink r:id="rId4976" ref="O2536"/>
    <hyperlink r:id="rId4977" ref="N2537"/>
    <hyperlink r:id="rId4978" ref="O2537"/>
    <hyperlink r:id="rId4979" ref="N2538"/>
    <hyperlink r:id="rId4980" ref="O2538"/>
    <hyperlink r:id="rId4981" ref="N2539"/>
    <hyperlink r:id="rId4982" ref="O2539"/>
    <hyperlink r:id="rId4983" ref="N2540"/>
    <hyperlink r:id="rId4984" ref="O2540"/>
    <hyperlink r:id="rId4985" ref="N2541"/>
    <hyperlink r:id="rId4986" ref="O2541"/>
    <hyperlink r:id="rId4987" ref="N2542"/>
    <hyperlink r:id="rId4988" ref="O2542"/>
    <hyperlink r:id="rId4989" ref="L2543"/>
    <hyperlink r:id="rId4990" ref="N2543"/>
    <hyperlink r:id="rId4991" ref="O2543"/>
    <hyperlink r:id="rId4992" ref="N2544"/>
    <hyperlink r:id="rId4993" ref="O2544"/>
    <hyperlink r:id="rId4994" ref="N2545"/>
    <hyperlink r:id="rId4995" ref="O2545"/>
    <hyperlink r:id="rId4996" ref="N2546"/>
    <hyperlink r:id="rId4997" ref="O2546"/>
    <hyperlink r:id="rId4998" ref="N2547"/>
    <hyperlink r:id="rId4999" ref="O2547"/>
    <hyperlink r:id="rId5000" ref="N2548"/>
    <hyperlink r:id="rId5001" ref="O2548"/>
    <hyperlink r:id="rId5002" ref="N2549"/>
    <hyperlink r:id="rId5003" ref="O2549"/>
    <hyperlink r:id="rId5004" ref="N2550"/>
    <hyperlink r:id="rId5005" ref="O2550"/>
    <hyperlink r:id="rId5006" ref="N2551"/>
    <hyperlink r:id="rId5007" ref="O2551"/>
    <hyperlink r:id="rId5008" ref="N2552"/>
    <hyperlink r:id="rId5009" ref="O2552"/>
    <hyperlink r:id="rId5010" ref="N2553"/>
    <hyperlink r:id="rId5011" ref="O2553"/>
    <hyperlink r:id="rId5012" ref="N2554"/>
    <hyperlink r:id="rId5013" ref="O2554"/>
    <hyperlink r:id="rId5014" ref="N2555"/>
    <hyperlink r:id="rId5015" ref="O2555"/>
    <hyperlink r:id="rId5016" ref="N2556"/>
    <hyperlink r:id="rId5017" ref="O2556"/>
    <hyperlink r:id="rId5018" ref="N2557"/>
    <hyperlink r:id="rId5019" ref="O2557"/>
    <hyperlink r:id="rId5020" ref="N2558"/>
    <hyperlink r:id="rId5021" ref="O2558"/>
    <hyperlink r:id="rId5022" ref="N2559"/>
    <hyperlink r:id="rId5023" ref="O2559"/>
    <hyperlink r:id="rId5024" ref="N2560"/>
    <hyperlink r:id="rId5025" ref="O2560"/>
    <hyperlink r:id="rId5026" ref="N2561"/>
    <hyperlink r:id="rId5027" ref="O2561"/>
    <hyperlink r:id="rId5028" ref="N2562"/>
    <hyperlink r:id="rId5029" ref="O2562"/>
    <hyperlink r:id="rId5030" ref="N2563"/>
    <hyperlink r:id="rId5031" ref="O2563"/>
    <hyperlink r:id="rId5032" ref="N2564"/>
    <hyperlink r:id="rId5033" ref="O2564"/>
    <hyperlink r:id="rId5034" ref="N2565"/>
    <hyperlink r:id="rId5035" ref="O2565"/>
    <hyperlink r:id="rId5036" ref="N2566"/>
    <hyperlink r:id="rId5037" ref="O2566"/>
    <hyperlink r:id="rId5038" ref="N2567"/>
    <hyperlink r:id="rId5039" ref="O2567"/>
    <hyperlink r:id="rId5040" ref="N2568"/>
    <hyperlink r:id="rId5041" ref="O2568"/>
    <hyperlink r:id="rId5042" ref="N2569"/>
    <hyperlink r:id="rId5043" ref="O2569"/>
    <hyperlink r:id="rId5044" ref="N2570"/>
    <hyperlink r:id="rId5045" ref="O2570"/>
    <hyperlink r:id="rId5046" ref="N2571"/>
    <hyperlink r:id="rId5047" ref="O2571"/>
    <hyperlink r:id="rId5048" ref="N2572"/>
    <hyperlink r:id="rId5049" ref="O2572"/>
    <hyperlink r:id="rId5050" ref="N2573"/>
    <hyperlink r:id="rId5051" ref="O2573"/>
    <hyperlink r:id="rId5052" ref="N2574"/>
    <hyperlink r:id="rId5053" ref="O2574"/>
    <hyperlink r:id="rId5054" ref="N2575"/>
    <hyperlink r:id="rId5055" ref="O2575"/>
    <hyperlink r:id="rId5056" ref="N2576"/>
    <hyperlink r:id="rId5057" ref="O2576"/>
    <hyperlink r:id="rId5058" ref="N2577"/>
    <hyperlink r:id="rId5059" ref="O2577"/>
    <hyperlink r:id="rId5060" ref="N2578"/>
    <hyperlink r:id="rId5061" ref="O2578"/>
    <hyperlink r:id="rId5062" ref="N2579"/>
    <hyperlink r:id="rId5063" ref="O2579"/>
    <hyperlink r:id="rId5064" ref="N2580"/>
    <hyperlink r:id="rId5065" ref="N2581"/>
    <hyperlink r:id="rId5066" ref="O2581"/>
    <hyperlink r:id="rId5067" ref="N2582"/>
    <hyperlink r:id="rId5068" ref="O2582"/>
    <hyperlink r:id="rId5069" ref="N2583"/>
    <hyperlink r:id="rId5070" ref="O2583"/>
    <hyperlink r:id="rId5071" ref="N2584"/>
    <hyperlink r:id="rId5072" ref="O2584"/>
    <hyperlink r:id="rId5073" ref="N2585"/>
    <hyperlink r:id="rId5074" ref="O2585"/>
    <hyperlink r:id="rId5075" ref="N2586"/>
    <hyperlink r:id="rId5076" ref="O2586"/>
    <hyperlink r:id="rId5077" ref="N2587"/>
    <hyperlink r:id="rId5078" ref="O2587"/>
    <hyperlink r:id="rId5079" ref="N2588"/>
    <hyperlink r:id="rId5080" ref="O2588"/>
    <hyperlink r:id="rId5081" ref="N2589"/>
    <hyperlink r:id="rId5082" ref="O2589"/>
    <hyperlink r:id="rId5083" ref="N2590"/>
    <hyperlink r:id="rId5084" ref="O2590"/>
    <hyperlink r:id="rId5085" ref="N2591"/>
    <hyperlink r:id="rId5086" ref="O2591"/>
    <hyperlink r:id="rId5087" ref="N2592"/>
    <hyperlink r:id="rId5088" ref="O2592"/>
    <hyperlink r:id="rId5089" ref="N2593"/>
    <hyperlink r:id="rId5090" ref="O2593"/>
    <hyperlink r:id="rId5091" ref="N2594"/>
    <hyperlink r:id="rId5092" ref="O2594"/>
    <hyperlink r:id="rId5093" ref="N2595"/>
    <hyperlink r:id="rId5094" ref="O2595"/>
    <hyperlink r:id="rId5095" ref="N2596"/>
    <hyperlink r:id="rId5096" ref="O2596"/>
    <hyperlink r:id="rId5097" ref="N2597"/>
    <hyperlink r:id="rId5098" ref="O2597"/>
    <hyperlink r:id="rId5099" ref="L2598"/>
    <hyperlink r:id="rId5100" ref="N2598"/>
    <hyperlink r:id="rId5101" ref="O2598"/>
    <hyperlink r:id="rId5102" ref="N2599"/>
    <hyperlink r:id="rId5103" ref="O2599"/>
    <hyperlink r:id="rId5104" ref="N2600"/>
    <hyperlink r:id="rId5105" ref="O2600"/>
    <hyperlink r:id="rId5106" ref="N2601"/>
    <hyperlink r:id="rId5107" ref="O2601"/>
    <hyperlink r:id="rId5108" ref="N2602"/>
    <hyperlink r:id="rId5109" ref="O2602"/>
    <hyperlink r:id="rId5110" ref="N2603"/>
    <hyperlink r:id="rId5111" ref="O2603"/>
    <hyperlink r:id="rId5112" ref="N2604"/>
    <hyperlink r:id="rId5113" ref="O2604"/>
    <hyperlink r:id="rId5114" ref="N2605"/>
    <hyperlink r:id="rId5115" ref="O2605"/>
    <hyperlink r:id="rId5116" ref="N2606"/>
    <hyperlink r:id="rId5117" ref="O2606"/>
    <hyperlink r:id="rId5118" ref="N2607"/>
    <hyperlink r:id="rId5119" ref="O2607"/>
    <hyperlink r:id="rId5120" ref="N2608"/>
    <hyperlink r:id="rId5121" ref="O2608"/>
    <hyperlink r:id="rId5122" ref="N2609"/>
    <hyperlink r:id="rId5123" ref="O2609"/>
    <hyperlink r:id="rId5124" ref="N2610"/>
    <hyperlink r:id="rId5125" ref="O2610"/>
    <hyperlink r:id="rId5126" ref="N2611"/>
    <hyperlink r:id="rId5127" ref="O2611"/>
    <hyperlink r:id="rId5128" ref="N2612"/>
    <hyperlink r:id="rId5129" ref="O2612"/>
    <hyperlink r:id="rId5130" ref="N2613"/>
    <hyperlink r:id="rId5131" ref="O2613"/>
    <hyperlink r:id="rId5132" ref="N2614"/>
    <hyperlink r:id="rId5133" ref="O2614"/>
    <hyperlink r:id="rId5134" ref="N2615"/>
    <hyperlink r:id="rId5135" ref="O2615"/>
    <hyperlink r:id="rId5136" ref="N2616"/>
    <hyperlink r:id="rId5137" ref="O2616"/>
    <hyperlink r:id="rId5138" ref="N2617"/>
    <hyperlink r:id="rId5139" ref="O2617"/>
    <hyperlink r:id="rId5140" ref="N2618"/>
    <hyperlink r:id="rId5141" ref="O2618"/>
    <hyperlink r:id="rId5142" ref="N2619"/>
    <hyperlink r:id="rId5143" ref="O2619"/>
    <hyperlink r:id="rId5144" ref="N2620"/>
    <hyperlink r:id="rId5145" ref="O2620"/>
    <hyperlink r:id="rId5146" ref="N2621"/>
    <hyperlink r:id="rId5147" ref="O2621"/>
    <hyperlink r:id="rId5148" ref="N2622"/>
    <hyperlink r:id="rId5149" ref="O2622"/>
    <hyperlink r:id="rId5150" ref="N2623"/>
    <hyperlink r:id="rId5151" ref="O2623"/>
    <hyperlink r:id="rId5152" ref="N2624"/>
    <hyperlink r:id="rId5153" ref="O2624"/>
    <hyperlink r:id="rId5154" ref="N2625"/>
    <hyperlink r:id="rId5155" ref="O2625"/>
    <hyperlink r:id="rId5156" ref="N2626"/>
    <hyperlink r:id="rId5157" ref="O2626"/>
    <hyperlink r:id="rId5158" ref="N2627"/>
    <hyperlink r:id="rId5159" ref="O2627"/>
    <hyperlink r:id="rId5160" ref="N2628"/>
    <hyperlink r:id="rId5161" ref="O2628"/>
    <hyperlink r:id="rId5162" ref="N2629"/>
    <hyperlink r:id="rId5163" ref="O2629"/>
    <hyperlink r:id="rId5164" ref="N2630"/>
    <hyperlink r:id="rId5165" ref="O2630"/>
    <hyperlink r:id="rId5166" ref="N2631"/>
    <hyperlink r:id="rId5167" ref="O2631"/>
    <hyperlink r:id="rId5168" ref="N2632"/>
    <hyperlink r:id="rId5169" ref="O2632"/>
    <hyperlink r:id="rId5170" ref="N2633"/>
    <hyperlink r:id="rId5171" ref="O2633"/>
    <hyperlink r:id="rId5172" ref="N2634"/>
    <hyperlink r:id="rId5173" ref="O2634"/>
    <hyperlink r:id="rId5174" ref="N2635"/>
    <hyperlink r:id="rId5175" ref="O2635"/>
    <hyperlink r:id="rId5176" ref="N2636"/>
    <hyperlink r:id="rId5177" ref="O2636"/>
    <hyperlink r:id="rId5178" ref="N2637"/>
    <hyperlink r:id="rId5179" ref="O2637"/>
    <hyperlink r:id="rId5180" ref="N2638"/>
    <hyperlink r:id="rId5181" ref="O2638"/>
    <hyperlink r:id="rId5182" ref="N2639"/>
    <hyperlink r:id="rId5183" ref="O2639"/>
    <hyperlink r:id="rId5184" ref="N2640"/>
    <hyperlink r:id="rId5185" ref="O2640"/>
    <hyperlink r:id="rId5186" ref="N2641"/>
    <hyperlink r:id="rId5187" ref="O2641"/>
    <hyperlink r:id="rId5188" ref="N2642"/>
    <hyperlink r:id="rId5189" ref="O2642"/>
    <hyperlink r:id="rId5190" ref="N2643"/>
    <hyperlink r:id="rId5191" ref="O2643"/>
    <hyperlink r:id="rId5192" ref="N2644"/>
    <hyperlink r:id="rId5193" ref="O2644"/>
    <hyperlink r:id="rId5194" ref="N2645"/>
    <hyperlink r:id="rId5195" ref="O2645"/>
    <hyperlink r:id="rId5196" ref="N2646"/>
    <hyperlink r:id="rId5197" ref="O2646"/>
    <hyperlink r:id="rId5198" ref="N2647"/>
    <hyperlink r:id="rId5199" ref="O2647"/>
    <hyperlink r:id="rId5200" ref="N2648"/>
    <hyperlink r:id="rId5201" ref="O2648"/>
    <hyperlink r:id="rId5202" ref="N2649"/>
    <hyperlink r:id="rId5203" ref="O2649"/>
    <hyperlink r:id="rId5204" ref="N2650"/>
    <hyperlink r:id="rId5205" ref="O2650"/>
    <hyperlink r:id="rId5206" ref="N2651"/>
    <hyperlink r:id="rId5207" ref="O2651"/>
    <hyperlink r:id="rId5208" ref="N2652"/>
    <hyperlink r:id="rId5209" ref="O2652"/>
    <hyperlink r:id="rId5210" ref="N2653"/>
    <hyperlink r:id="rId5211" ref="O2653"/>
    <hyperlink r:id="rId5212" ref="N2654"/>
    <hyperlink r:id="rId5213" ref="O2654"/>
    <hyperlink r:id="rId5214" ref="N2655"/>
    <hyperlink r:id="rId5215" ref="O2655"/>
    <hyperlink r:id="rId5216" ref="N2656"/>
    <hyperlink r:id="rId5217" ref="O2656"/>
    <hyperlink r:id="rId5218" ref="N2657"/>
    <hyperlink r:id="rId5219" ref="O2657"/>
    <hyperlink r:id="rId5220" ref="N2658"/>
    <hyperlink r:id="rId5221" ref="O2658"/>
    <hyperlink r:id="rId5222" ref="N2659"/>
    <hyperlink r:id="rId5223" ref="O2659"/>
    <hyperlink r:id="rId5224" ref="N2660"/>
    <hyperlink r:id="rId5225" ref="O2660"/>
    <hyperlink r:id="rId5226" ref="N2661"/>
    <hyperlink r:id="rId5227" ref="O2661"/>
    <hyperlink r:id="rId5228" ref="N2662"/>
    <hyperlink r:id="rId5229" ref="O2662"/>
    <hyperlink r:id="rId5230" ref="N2663"/>
    <hyperlink r:id="rId5231" ref="O2663"/>
    <hyperlink r:id="rId5232" ref="N2664"/>
    <hyperlink r:id="rId5233" ref="O2664"/>
    <hyperlink r:id="rId5234" ref="N2665"/>
    <hyperlink r:id="rId5235" ref="O2665"/>
    <hyperlink r:id="rId5236" ref="N2666"/>
    <hyperlink r:id="rId5237" ref="O2666"/>
    <hyperlink r:id="rId5238" ref="N2667"/>
    <hyperlink r:id="rId5239" ref="O2667"/>
    <hyperlink r:id="rId5240" ref="N2668"/>
    <hyperlink r:id="rId5241" ref="O2668"/>
    <hyperlink r:id="rId5242" ref="N2669"/>
    <hyperlink r:id="rId5243" ref="O2669"/>
    <hyperlink r:id="rId5244" ref="N2670"/>
    <hyperlink r:id="rId5245" ref="O2670"/>
    <hyperlink r:id="rId5246" ref="N2671"/>
    <hyperlink r:id="rId5247" ref="O2671"/>
    <hyperlink r:id="rId5248" ref="N2672"/>
    <hyperlink r:id="rId5249" ref="O2672"/>
    <hyperlink r:id="rId5250" ref="N2673"/>
    <hyperlink r:id="rId5251" ref="O2673"/>
    <hyperlink r:id="rId5252" ref="N2674"/>
    <hyperlink r:id="rId5253" ref="O2674"/>
    <hyperlink r:id="rId5254" ref="N2675"/>
    <hyperlink r:id="rId5255" ref="O2675"/>
    <hyperlink r:id="rId5256" ref="N2676"/>
    <hyperlink r:id="rId5257" ref="O2676"/>
    <hyperlink r:id="rId5258" ref="N2677"/>
    <hyperlink r:id="rId5259" ref="O2677"/>
    <hyperlink r:id="rId5260" ref="N2678"/>
    <hyperlink r:id="rId5261" ref="O2678"/>
    <hyperlink r:id="rId5262" ref="N2679"/>
    <hyperlink r:id="rId5263" ref="O2679"/>
    <hyperlink r:id="rId5264" ref="N2680"/>
    <hyperlink r:id="rId5265" ref="O2680"/>
    <hyperlink r:id="rId5266" ref="N2681"/>
    <hyperlink r:id="rId5267" ref="O2681"/>
    <hyperlink r:id="rId5268" ref="N2682"/>
    <hyperlink r:id="rId5269" ref="O2682"/>
    <hyperlink r:id="rId5270" ref="N2683"/>
    <hyperlink r:id="rId5271" ref="O2683"/>
    <hyperlink r:id="rId5272" ref="N2684"/>
    <hyperlink r:id="rId5273" ref="O2684"/>
    <hyperlink r:id="rId5274" ref="N2685"/>
    <hyperlink r:id="rId5275" ref="O2685"/>
    <hyperlink r:id="rId5276" ref="N2686"/>
    <hyperlink r:id="rId5277" ref="O2686"/>
    <hyperlink r:id="rId5278" ref="N2687"/>
    <hyperlink r:id="rId5279" ref="O2687"/>
    <hyperlink r:id="rId5280" ref="N2688"/>
    <hyperlink r:id="rId5281" ref="O2688"/>
    <hyperlink r:id="rId5282" ref="N2689"/>
    <hyperlink r:id="rId5283" ref="O2689"/>
    <hyperlink r:id="rId5284" ref="N2690"/>
    <hyperlink r:id="rId5285" ref="O2690"/>
    <hyperlink r:id="rId5286" ref="N2691"/>
    <hyperlink r:id="rId5287" ref="O2691"/>
    <hyperlink r:id="rId5288" ref="N2692"/>
    <hyperlink r:id="rId5289" ref="O2692"/>
    <hyperlink r:id="rId5290" ref="N2693"/>
    <hyperlink r:id="rId5291" ref="O2693"/>
    <hyperlink r:id="rId5292" ref="N2694"/>
    <hyperlink r:id="rId5293" ref="O2694"/>
    <hyperlink r:id="rId5294" ref="N2695"/>
    <hyperlink r:id="rId5295" ref="O2695"/>
    <hyperlink r:id="rId5296" ref="N2696"/>
    <hyperlink r:id="rId5297" ref="O2696"/>
    <hyperlink r:id="rId5298" ref="N2697"/>
    <hyperlink r:id="rId5299" ref="O2697"/>
    <hyperlink r:id="rId5300" ref="N2698"/>
    <hyperlink r:id="rId5301" ref="O2698"/>
    <hyperlink r:id="rId5302" ref="N2699"/>
    <hyperlink r:id="rId5303" ref="O2699"/>
    <hyperlink r:id="rId5304" ref="N2700"/>
    <hyperlink r:id="rId5305" ref="O2700"/>
    <hyperlink r:id="rId5306" ref="L2701"/>
    <hyperlink r:id="rId5307" ref="N2701"/>
    <hyperlink r:id="rId5308" ref="O2701"/>
    <hyperlink r:id="rId5309" ref="N2702"/>
    <hyperlink r:id="rId5310" ref="O2702"/>
    <hyperlink r:id="rId5311" ref="N2703"/>
    <hyperlink r:id="rId5312" ref="O2703"/>
    <hyperlink r:id="rId5313" ref="N2704"/>
    <hyperlink r:id="rId5314" ref="O2704"/>
    <hyperlink r:id="rId5315" ref="N2705"/>
    <hyperlink r:id="rId5316" ref="O2705"/>
    <hyperlink r:id="rId5317" ref="N2706"/>
    <hyperlink r:id="rId5318" ref="O2706"/>
    <hyperlink r:id="rId5319" ref="N2707"/>
    <hyperlink r:id="rId5320" ref="O2707"/>
    <hyperlink r:id="rId5321" ref="N2708"/>
    <hyperlink r:id="rId5322" ref="O2708"/>
    <hyperlink r:id="rId5323" ref="N2709"/>
    <hyperlink r:id="rId5324" ref="O2709"/>
    <hyperlink r:id="rId5325" ref="N2710"/>
    <hyperlink r:id="rId5326" ref="O2710"/>
    <hyperlink r:id="rId5327" ref="N2711"/>
    <hyperlink r:id="rId5328" ref="O2711"/>
    <hyperlink r:id="rId5329" ref="N2712"/>
    <hyperlink r:id="rId5330" ref="O2712"/>
    <hyperlink r:id="rId5331" ref="N2713"/>
    <hyperlink r:id="rId5332" ref="O2713"/>
    <hyperlink r:id="rId5333" ref="N2714"/>
    <hyperlink r:id="rId5334" ref="O2714"/>
    <hyperlink r:id="rId5335" ref="N2715"/>
    <hyperlink r:id="rId5336" ref="O2715"/>
    <hyperlink r:id="rId5337" ref="N2716"/>
    <hyperlink r:id="rId5338" ref="O2716"/>
    <hyperlink r:id="rId5339" ref="N2717"/>
    <hyperlink r:id="rId5340" ref="O2717"/>
    <hyperlink r:id="rId5341" ref="N2718"/>
    <hyperlink r:id="rId5342" ref="O2718"/>
    <hyperlink r:id="rId5343" ref="N2719"/>
    <hyperlink r:id="rId5344" ref="O2719"/>
    <hyperlink r:id="rId5345" ref="N2720"/>
    <hyperlink r:id="rId5346" ref="O2720"/>
    <hyperlink r:id="rId5347" ref="N2721"/>
    <hyperlink r:id="rId5348" ref="O2721"/>
    <hyperlink r:id="rId5349" ref="N2722"/>
    <hyperlink r:id="rId5350" ref="O2722"/>
    <hyperlink r:id="rId5351" ref="N2723"/>
    <hyperlink r:id="rId5352" ref="O2723"/>
    <hyperlink r:id="rId5353" ref="N2724"/>
    <hyperlink r:id="rId5354" ref="O2724"/>
    <hyperlink r:id="rId5355" ref="N2725"/>
    <hyperlink r:id="rId5356" ref="O2725"/>
    <hyperlink r:id="rId5357" ref="N2726"/>
    <hyperlink r:id="rId5358" ref="O2726"/>
    <hyperlink r:id="rId5359" ref="N2727"/>
    <hyperlink r:id="rId5360" ref="O2727"/>
    <hyperlink r:id="rId5361" ref="N2728"/>
    <hyperlink r:id="rId5362" ref="O2728"/>
    <hyperlink r:id="rId5363" ref="N2729"/>
    <hyperlink r:id="rId5364" ref="O2729"/>
    <hyperlink r:id="rId5365" ref="N2730"/>
    <hyperlink r:id="rId5366" ref="O2730"/>
    <hyperlink r:id="rId5367" ref="N2731"/>
    <hyperlink r:id="rId5368" ref="O2731"/>
    <hyperlink r:id="rId5369" ref="N2732"/>
    <hyperlink r:id="rId5370" ref="O2732"/>
    <hyperlink r:id="rId5371" ref="N2733"/>
    <hyperlink r:id="rId5372" ref="O2733"/>
    <hyperlink r:id="rId5373" ref="N2734"/>
    <hyperlink r:id="rId5374" ref="O2734"/>
    <hyperlink r:id="rId5375" ref="N2735"/>
    <hyperlink r:id="rId5376" ref="O2735"/>
    <hyperlink r:id="rId5377" ref="N2736"/>
    <hyperlink r:id="rId5378" ref="O2736"/>
    <hyperlink r:id="rId5379" ref="N2737"/>
    <hyperlink r:id="rId5380" ref="O2737"/>
    <hyperlink r:id="rId5381" ref="N2738"/>
    <hyperlink r:id="rId5382" ref="O2738"/>
    <hyperlink r:id="rId5383" ref="N2739"/>
    <hyperlink r:id="rId5384" ref="O2739"/>
    <hyperlink r:id="rId5385" ref="N2740"/>
    <hyperlink r:id="rId5386" ref="O2740"/>
    <hyperlink r:id="rId5387" ref="N2741"/>
    <hyperlink r:id="rId5388" ref="O2741"/>
    <hyperlink r:id="rId5389" ref="N2742"/>
    <hyperlink r:id="rId5390" ref="O2742"/>
    <hyperlink r:id="rId5391" ref="N2743"/>
    <hyperlink r:id="rId5392" ref="O2743"/>
    <hyperlink r:id="rId5393" ref="N2744"/>
    <hyperlink r:id="rId5394" ref="O2744"/>
    <hyperlink r:id="rId5395" ref="N2745"/>
    <hyperlink r:id="rId5396" ref="O2745"/>
    <hyperlink r:id="rId5397" ref="N2746"/>
    <hyperlink r:id="rId5398" ref="O2746"/>
    <hyperlink r:id="rId5399" ref="N2747"/>
    <hyperlink r:id="rId5400" ref="O2747"/>
    <hyperlink r:id="rId5401" ref="N2748"/>
    <hyperlink r:id="rId5402" ref="O2748"/>
    <hyperlink r:id="rId5403" ref="N2749"/>
    <hyperlink r:id="rId5404" ref="O2749"/>
    <hyperlink r:id="rId5405" ref="N2750"/>
    <hyperlink r:id="rId5406" ref="O2750"/>
    <hyperlink r:id="rId5407" ref="N2751"/>
    <hyperlink r:id="rId5408" ref="O2751"/>
    <hyperlink r:id="rId5409" ref="N2752"/>
    <hyperlink r:id="rId5410" ref="O2752"/>
    <hyperlink r:id="rId5411" ref="N2753"/>
    <hyperlink r:id="rId5412" ref="O2753"/>
    <hyperlink r:id="rId5413" ref="N2754"/>
    <hyperlink r:id="rId5414" ref="O2754"/>
    <hyperlink r:id="rId5415" ref="N2755"/>
    <hyperlink r:id="rId5416" ref="O2755"/>
    <hyperlink r:id="rId5417" ref="N2756"/>
    <hyperlink r:id="rId5418" ref="O2756"/>
    <hyperlink r:id="rId5419" ref="N2757"/>
    <hyperlink r:id="rId5420" ref="O2757"/>
    <hyperlink r:id="rId5421" ref="N2758"/>
    <hyperlink r:id="rId5422" ref="O2758"/>
    <hyperlink r:id="rId5423" ref="N2759"/>
    <hyperlink r:id="rId5424" ref="O2759"/>
    <hyperlink r:id="rId5425" ref="N2760"/>
    <hyperlink r:id="rId5426" ref="O2760"/>
    <hyperlink r:id="rId5427" ref="N2761"/>
    <hyperlink r:id="rId5428" ref="O2761"/>
    <hyperlink r:id="rId5429" ref="N2762"/>
    <hyperlink r:id="rId5430" ref="O2762"/>
    <hyperlink r:id="rId5431" ref="N2763"/>
    <hyperlink r:id="rId5432" ref="O2763"/>
    <hyperlink r:id="rId5433" ref="N2764"/>
    <hyperlink r:id="rId5434" ref="O2764"/>
    <hyperlink r:id="rId5435" ref="N2765"/>
    <hyperlink r:id="rId5436" ref="O2765"/>
    <hyperlink r:id="rId5437" ref="N2766"/>
    <hyperlink r:id="rId5438" ref="O2766"/>
    <hyperlink r:id="rId5439" ref="N2767"/>
    <hyperlink r:id="rId5440" ref="O2767"/>
    <hyperlink r:id="rId5441" ref="N2768"/>
    <hyperlink r:id="rId5442" ref="O2768"/>
    <hyperlink r:id="rId5443" ref="N2769"/>
    <hyperlink r:id="rId5444" ref="O2769"/>
    <hyperlink r:id="rId5445" ref="N2770"/>
    <hyperlink r:id="rId5446" ref="O2770"/>
    <hyperlink r:id="rId5447" ref="N2771"/>
    <hyperlink r:id="rId5448" ref="O2771"/>
    <hyperlink r:id="rId5449" ref="N2772"/>
    <hyperlink r:id="rId5450" ref="O2772"/>
    <hyperlink r:id="rId5451" ref="N2773"/>
    <hyperlink r:id="rId5452" ref="O2773"/>
    <hyperlink r:id="rId5453" ref="N2774"/>
    <hyperlink r:id="rId5454" ref="O2774"/>
    <hyperlink r:id="rId5455" ref="N2775"/>
    <hyperlink r:id="rId5456" ref="O2775"/>
    <hyperlink r:id="rId5457" ref="N2776"/>
    <hyperlink r:id="rId5458" ref="O2776"/>
    <hyperlink r:id="rId5459" ref="N2777"/>
    <hyperlink r:id="rId5460" ref="O2777"/>
    <hyperlink r:id="rId5461" ref="N2778"/>
    <hyperlink r:id="rId5462" ref="O2778"/>
    <hyperlink r:id="rId5463" ref="N2779"/>
    <hyperlink r:id="rId5464" ref="O2779"/>
    <hyperlink r:id="rId5465" ref="N2780"/>
    <hyperlink r:id="rId5466" ref="O2780"/>
    <hyperlink r:id="rId5467" ref="N2781"/>
    <hyperlink r:id="rId5468" ref="O2781"/>
    <hyperlink r:id="rId5469" ref="N2782"/>
    <hyperlink r:id="rId5470" ref="O2782"/>
    <hyperlink r:id="rId5471" ref="N2783"/>
    <hyperlink r:id="rId5472" ref="O2783"/>
    <hyperlink r:id="rId5473" ref="N2784"/>
    <hyperlink r:id="rId5474" ref="O2784"/>
    <hyperlink r:id="rId5475" ref="N2785"/>
    <hyperlink r:id="rId5476" ref="O2785"/>
    <hyperlink r:id="rId5477" ref="N2786"/>
    <hyperlink r:id="rId5478" ref="O2786"/>
    <hyperlink r:id="rId5479" ref="N2787"/>
    <hyperlink r:id="rId5480" ref="O2787"/>
    <hyperlink r:id="rId5481" ref="N2788"/>
    <hyperlink r:id="rId5482" ref="O2788"/>
    <hyperlink r:id="rId5483" ref="N2789"/>
    <hyperlink r:id="rId5484" ref="O2789"/>
    <hyperlink r:id="rId5485" ref="N2790"/>
    <hyperlink r:id="rId5486" ref="O2790"/>
    <hyperlink r:id="rId5487" ref="N2791"/>
    <hyperlink r:id="rId5488" ref="O2791"/>
    <hyperlink r:id="rId5489" ref="N2792"/>
    <hyperlink r:id="rId5490" ref="O2792"/>
    <hyperlink r:id="rId5491" ref="N2793"/>
    <hyperlink r:id="rId5492" ref="O2793"/>
    <hyperlink r:id="rId5493" ref="N2794"/>
    <hyperlink r:id="rId5494" ref="O2794"/>
    <hyperlink r:id="rId5495" ref="N2795"/>
    <hyperlink r:id="rId5496" ref="O2795"/>
    <hyperlink r:id="rId5497" ref="N2796"/>
    <hyperlink r:id="rId5498" ref="O2796"/>
    <hyperlink r:id="rId5499" ref="N2797"/>
    <hyperlink r:id="rId5500" ref="O2797"/>
    <hyperlink r:id="rId5501" ref="N2798"/>
    <hyperlink r:id="rId5502" ref="O2798"/>
    <hyperlink r:id="rId5503" ref="N2799"/>
    <hyperlink r:id="rId5504" ref="O2799"/>
    <hyperlink r:id="rId5505" ref="N2800"/>
    <hyperlink r:id="rId5506" ref="O2800"/>
    <hyperlink r:id="rId5507" ref="N2801"/>
    <hyperlink r:id="rId5508" ref="O2801"/>
    <hyperlink r:id="rId5509" ref="N2802"/>
    <hyperlink r:id="rId5510" ref="O2802"/>
    <hyperlink r:id="rId5511" ref="N2803"/>
    <hyperlink r:id="rId5512" ref="O2803"/>
    <hyperlink r:id="rId5513" ref="N2804"/>
    <hyperlink r:id="rId5514" ref="O2804"/>
    <hyperlink r:id="rId5515" ref="N2805"/>
    <hyperlink r:id="rId5516" ref="O2805"/>
    <hyperlink r:id="rId5517" ref="N2806"/>
    <hyperlink r:id="rId5518" ref="O2806"/>
    <hyperlink r:id="rId5519" ref="N2807"/>
    <hyperlink r:id="rId5520" ref="O2807"/>
    <hyperlink r:id="rId5521" ref="N2808"/>
    <hyperlink r:id="rId5522" ref="O2808"/>
    <hyperlink r:id="rId5523" ref="N2809"/>
    <hyperlink r:id="rId5524" ref="O2809"/>
    <hyperlink r:id="rId5525" ref="N2810"/>
    <hyperlink r:id="rId5526" ref="O2810"/>
    <hyperlink r:id="rId5527" ref="N2811"/>
    <hyperlink r:id="rId5528" ref="O2811"/>
    <hyperlink r:id="rId5529" ref="N2812"/>
    <hyperlink r:id="rId5530" ref="O2812"/>
    <hyperlink r:id="rId5531" ref="N2813"/>
    <hyperlink r:id="rId5532" ref="O2813"/>
    <hyperlink r:id="rId5533" ref="N2814"/>
    <hyperlink r:id="rId5534" ref="O2814"/>
    <hyperlink r:id="rId5535" ref="N2815"/>
    <hyperlink r:id="rId5536" ref="O2815"/>
    <hyperlink r:id="rId5537" ref="N2816"/>
    <hyperlink r:id="rId5538" ref="O2816"/>
    <hyperlink r:id="rId5539" ref="N2817"/>
    <hyperlink r:id="rId5540" ref="O2817"/>
    <hyperlink r:id="rId5541" ref="N2818"/>
    <hyperlink r:id="rId5542" ref="O2818"/>
    <hyperlink r:id="rId5543" ref="N2819"/>
    <hyperlink r:id="rId5544" ref="O2819"/>
    <hyperlink r:id="rId5545" ref="N2820"/>
    <hyperlink r:id="rId5546" ref="O2820"/>
    <hyperlink r:id="rId5547" ref="N2821"/>
    <hyperlink r:id="rId5548" ref="O2821"/>
    <hyperlink r:id="rId5549" ref="N2822"/>
    <hyperlink r:id="rId5550" ref="O2822"/>
    <hyperlink r:id="rId5551" ref="N2823"/>
    <hyperlink r:id="rId5552" ref="O2823"/>
    <hyperlink r:id="rId5553" ref="N2824"/>
    <hyperlink r:id="rId5554" ref="O2824"/>
    <hyperlink r:id="rId5555" ref="N2825"/>
    <hyperlink r:id="rId5556" ref="O2825"/>
    <hyperlink r:id="rId5557" ref="N2826"/>
    <hyperlink r:id="rId5558" ref="O2826"/>
    <hyperlink r:id="rId5559" ref="N2827"/>
    <hyperlink r:id="rId5560" ref="O2827"/>
    <hyperlink r:id="rId5561" ref="N2828"/>
    <hyperlink r:id="rId5562" ref="O2828"/>
    <hyperlink r:id="rId5563" ref="N2829"/>
    <hyperlink r:id="rId5564" ref="O2829"/>
    <hyperlink r:id="rId5565" ref="N2830"/>
    <hyperlink r:id="rId5566" ref="O2830"/>
    <hyperlink r:id="rId5567" ref="N2831"/>
    <hyperlink r:id="rId5568" ref="O2831"/>
    <hyperlink r:id="rId5569" ref="N2832"/>
    <hyperlink r:id="rId5570" ref="O2832"/>
    <hyperlink r:id="rId5571" ref="N2833"/>
    <hyperlink r:id="rId5572" ref="O2833"/>
    <hyperlink r:id="rId5573" ref="N2834"/>
    <hyperlink r:id="rId5574" ref="O2834"/>
    <hyperlink r:id="rId5575" ref="N2835"/>
    <hyperlink r:id="rId5576" ref="O2835"/>
    <hyperlink r:id="rId5577" ref="N2836"/>
    <hyperlink r:id="rId5578" ref="O2836"/>
    <hyperlink r:id="rId5579" ref="N2837"/>
    <hyperlink r:id="rId5580" ref="O2837"/>
    <hyperlink r:id="rId5581" ref="N2838"/>
    <hyperlink r:id="rId5582" ref="O2838"/>
    <hyperlink r:id="rId5583" ref="N2839"/>
    <hyperlink r:id="rId5584" ref="O2839"/>
    <hyperlink r:id="rId5585" ref="N2840"/>
    <hyperlink r:id="rId5586" ref="O2840"/>
    <hyperlink r:id="rId5587" ref="N2841"/>
    <hyperlink r:id="rId5588" ref="O2841"/>
    <hyperlink r:id="rId5589" ref="N2842"/>
    <hyperlink r:id="rId5590" ref="O2842"/>
    <hyperlink r:id="rId5591" ref="N2843"/>
    <hyperlink r:id="rId5592" ref="O2843"/>
    <hyperlink r:id="rId5593" ref="N2844"/>
    <hyperlink r:id="rId5594" ref="O2844"/>
    <hyperlink r:id="rId5595" ref="N2845"/>
    <hyperlink r:id="rId5596" ref="O2845"/>
    <hyperlink r:id="rId5597" ref="N2846"/>
    <hyperlink r:id="rId5598" ref="O2846"/>
    <hyperlink r:id="rId5599" ref="N2847"/>
    <hyperlink r:id="rId5600" ref="O2847"/>
    <hyperlink r:id="rId5601" ref="N2848"/>
    <hyperlink r:id="rId5602" ref="O2848"/>
    <hyperlink r:id="rId5603" ref="N2849"/>
    <hyperlink r:id="rId5604" ref="O2849"/>
    <hyperlink r:id="rId5605" ref="N2850"/>
    <hyperlink r:id="rId5606" ref="O2850"/>
    <hyperlink r:id="rId5607" ref="N2851"/>
    <hyperlink r:id="rId5608" ref="O2851"/>
    <hyperlink r:id="rId5609" ref="N2852"/>
    <hyperlink r:id="rId5610" ref="O2852"/>
    <hyperlink r:id="rId5611" ref="N2853"/>
    <hyperlink r:id="rId5612" ref="O2853"/>
    <hyperlink r:id="rId5613" ref="N2854"/>
    <hyperlink r:id="rId5614" ref="O2854"/>
    <hyperlink r:id="rId5615" ref="N2855"/>
    <hyperlink r:id="rId5616" ref="O2855"/>
    <hyperlink r:id="rId5617" ref="N2856"/>
    <hyperlink r:id="rId5618" ref="O2856"/>
    <hyperlink r:id="rId5619" ref="N2857"/>
    <hyperlink r:id="rId5620" ref="O2857"/>
    <hyperlink r:id="rId5621" ref="N2858"/>
    <hyperlink r:id="rId5622" ref="O2858"/>
    <hyperlink r:id="rId5623" ref="N2859"/>
    <hyperlink r:id="rId5624" ref="O2859"/>
    <hyperlink r:id="rId5625" ref="N2860"/>
    <hyperlink r:id="rId5626" ref="O2860"/>
    <hyperlink r:id="rId5627" ref="N2861"/>
    <hyperlink r:id="rId5628" ref="O2861"/>
    <hyperlink r:id="rId5629" ref="N2862"/>
    <hyperlink r:id="rId5630" ref="O2862"/>
    <hyperlink r:id="rId5631" ref="N2863"/>
    <hyperlink r:id="rId5632" ref="O2863"/>
    <hyperlink r:id="rId5633" ref="N2864"/>
    <hyperlink r:id="rId5634" ref="O2864"/>
    <hyperlink r:id="rId5635" ref="N2865"/>
    <hyperlink r:id="rId5636" ref="O2865"/>
    <hyperlink r:id="rId5637" ref="N2866"/>
    <hyperlink r:id="rId5638" ref="O2866"/>
    <hyperlink r:id="rId5639" ref="N2867"/>
    <hyperlink r:id="rId5640" ref="O2867"/>
    <hyperlink r:id="rId5641" ref="N2868"/>
    <hyperlink r:id="rId5642" ref="O2868"/>
    <hyperlink r:id="rId5643" ref="N2869"/>
    <hyperlink r:id="rId5644" ref="O2869"/>
    <hyperlink r:id="rId5645" ref="N2870"/>
    <hyperlink r:id="rId5646" ref="O2870"/>
    <hyperlink r:id="rId5647" ref="N2871"/>
    <hyperlink r:id="rId5648" ref="O2871"/>
    <hyperlink r:id="rId5649" ref="N2872"/>
    <hyperlink r:id="rId5650" ref="O2872"/>
    <hyperlink r:id="rId5651" ref="N2873"/>
    <hyperlink r:id="rId5652" ref="O2873"/>
    <hyperlink r:id="rId5653" ref="N2874"/>
    <hyperlink r:id="rId5654" ref="O2874"/>
    <hyperlink r:id="rId5655" ref="N2875"/>
    <hyperlink r:id="rId5656" ref="O2875"/>
    <hyperlink r:id="rId5657" ref="N2876"/>
    <hyperlink r:id="rId5658" ref="O2876"/>
    <hyperlink r:id="rId5659" ref="N2877"/>
    <hyperlink r:id="rId5660" ref="O2877"/>
    <hyperlink r:id="rId5661" ref="N2878"/>
    <hyperlink r:id="rId5662" ref="O2878"/>
    <hyperlink r:id="rId5663" ref="N2879"/>
    <hyperlink r:id="rId5664" ref="O2879"/>
    <hyperlink r:id="rId5665" ref="N2880"/>
    <hyperlink r:id="rId5666" ref="O2880"/>
    <hyperlink r:id="rId5667" ref="N2881"/>
    <hyperlink r:id="rId5668" ref="O2881"/>
    <hyperlink r:id="rId5669" ref="N2882"/>
    <hyperlink r:id="rId5670" ref="O2882"/>
    <hyperlink r:id="rId5671" ref="N2883"/>
    <hyperlink r:id="rId5672" ref="O2883"/>
    <hyperlink r:id="rId5673" ref="N2884"/>
    <hyperlink r:id="rId5674" ref="O2884"/>
    <hyperlink r:id="rId5675" ref="N2885"/>
    <hyperlink r:id="rId5676" ref="O2885"/>
    <hyperlink r:id="rId5677" ref="N2886"/>
    <hyperlink r:id="rId5678" ref="O2886"/>
    <hyperlink r:id="rId5679" ref="N2887"/>
    <hyperlink r:id="rId5680" ref="O2887"/>
    <hyperlink r:id="rId5681" ref="N2888"/>
    <hyperlink r:id="rId5682" ref="O2888"/>
    <hyperlink r:id="rId5683" ref="N2889"/>
    <hyperlink r:id="rId5684" ref="O2889"/>
    <hyperlink r:id="rId5685" ref="N2890"/>
    <hyperlink r:id="rId5686" ref="O2890"/>
    <hyperlink r:id="rId5687" ref="N2891"/>
    <hyperlink r:id="rId5688" ref="O2891"/>
    <hyperlink r:id="rId5689" ref="N2892"/>
    <hyperlink r:id="rId5690" ref="O2892"/>
    <hyperlink r:id="rId5691" ref="N2893"/>
    <hyperlink r:id="rId5692" ref="O2893"/>
    <hyperlink r:id="rId5693" ref="N2894"/>
    <hyperlink r:id="rId5694" ref="O2894"/>
    <hyperlink r:id="rId5695" ref="N2895"/>
    <hyperlink r:id="rId5696" ref="O2895"/>
    <hyperlink r:id="rId5697" ref="N2896"/>
    <hyperlink r:id="rId5698" ref="O2896"/>
    <hyperlink r:id="rId5699" ref="N2897"/>
    <hyperlink r:id="rId5700" ref="O2897"/>
    <hyperlink r:id="rId5701" ref="N2898"/>
    <hyperlink r:id="rId5702" ref="O2898"/>
    <hyperlink r:id="rId5703" ref="N2899"/>
    <hyperlink r:id="rId5704" ref="O2899"/>
    <hyperlink r:id="rId5705" ref="N2900"/>
    <hyperlink r:id="rId5706" ref="O2900"/>
    <hyperlink r:id="rId5707" ref="N2901"/>
    <hyperlink r:id="rId5708" ref="O2901"/>
    <hyperlink r:id="rId5709" ref="N2902"/>
    <hyperlink r:id="rId5710" ref="O2902"/>
    <hyperlink r:id="rId5711" ref="N2903"/>
    <hyperlink r:id="rId5712" ref="O2903"/>
    <hyperlink r:id="rId5713" ref="N2904"/>
    <hyperlink r:id="rId5714" ref="O2904"/>
    <hyperlink r:id="rId5715" ref="N2905"/>
    <hyperlink r:id="rId5716" ref="O2905"/>
    <hyperlink r:id="rId5717" ref="N2906"/>
    <hyperlink r:id="rId5718" ref="O2906"/>
    <hyperlink r:id="rId5719" ref="N2907"/>
    <hyperlink r:id="rId5720" ref="O2907"/>
    <hyperlink r:id="rId5721" ref="N2908"/>
    <hyperlink r:id="rId5722" ref="O2908"/>
    <hyperlink r:id="rId5723" ref="N2909"/>
    <hyperlink r:id="rId5724" ref="O2909"/>
    <hyperlink r:id="rId5725" ref="N2910"/>
    <hyperlink r:id="rId5726" ref="O2910"/>
    <hyperlink r:id="rId5727" ref="N2911"/>
    <hyperlink r:id="rId5728" ref="O2911"/>
    <hyperlink r:id="rId5729" ref="N2912"/>
    <hyperlink r:id="rId5730" ref="O2912"/>
    <hyperlink r:id="rId5731" ref="N2913"/>
    <hyperlink r:id="rId5732" ref="O2913"/>
    <hyperlink r:id="rId5733" ref="N2914"/>
    <hyperlink r:id="rId5734" ref="O2914"/>
    <hyperlink r:id="rId5735" ref="N2915"/>
    <hyperlink r:id="rId5736" ref="O2915"/>
    <hyperlink r:id="rId5737" ref="N2916"/>
    <hyperlink r:id="rId5738" ref="O2916"/>
    <hyperlink r:id="rId5739" ref="N2917"/>
    <hyperlink r:id="rId5740" ref="O2917"/>
    <hyperlink r:id="rId5741" ref="N2918"/>
    <hyperlink r:id="rId5742" ref="O2918"/>
    <hyperlink r:id="rId5743" ref="N2919"/>
    <hyperlink r:id="rId5744" ref="N2920"/>
    <hyperlink r:id="rId5745" ref="O2920"/>
    <hyperlink r:id="rId5746" ref="N2921"/>
    <hyperlink r:id="rId5747" ref="O2921"/>
    <hyperlink r:id="rId5748" ref="N2922"/>
    <hyperlink r:id="rId5749" ref="O2922"/>
    <hyperlink r:id="rId5750" ref="N2923"/>
    <hyperlink r:id="rId5751" ref="O2923"/>
    <hyperlink r:id="rId5752" ref="N2924"/>
    <hyperlink r:id="rId5753" ref="O2924"/>
    <hyperlink r:id="rId5754" ref="N2925"/>
    <hyperlink r:id="rId5755" ref="O2925"/>
    <hyperlink r:id="rId5756" ref="N2926"/>
    <hyperlink r:id="rId5757" ref="O2926"/>
    <hyperlink r:id="rId5758" ref="N2927"/>
    <hyperlink r:id="rId5759" ref="O2927"/>
    <hyperlink r:id="rId5760" ref="N2928"/>
    <hyperlink r:id="rId5761" ref="O2928"/>
    <hyperlink r:id="rId5762" ref="N2929"/>
    <hyperlink r:id="rId5763" ref="O2929"/>
    <hyperlink r:id="rId5764" ref="N2930"/>
    <hyperlink r:id="rId5765" ref="O2930"/>
    <hyperlink r:id="rId5766" ref="N2931"/>
    <hyperlink r:id="rId5767" ref="O2931"/>
    <hyperlink r:id="rId5768" ref="N2932"/>
    <hyperlink r:id="rId5769" ref="O2932"/>
    <hyperlink r:id="rId5770" ref="N2933"/>
    <hyperlink r:id="rId5771" ref="O2933"/>
    <hyperlink r:id="rId5772" ref="N2934"/>
    <hyperlink r:id="rId5773" ref="O2934"/>
    <hyperlink r:id="rId5774" ref="N2935"/>
    <hyperlink r:id="rId5775" ref="O2935"/>
    <hyperlink r:id="rId5776" ref="N2936"/>
    <hyperlink r:id="rId5777" ref="O2936"/>
    <hyperlink r:id="rId5778" ref="N2937"/>
    <hyperlink r:id="rId5779" ref="O2937"/>
    <hyperlink r:id="rId5780" ref="N2938"/>
    <hyperlink r:id="rId5781" ref="O2938"/>
    <hyperlink r:id="rId5782" ref="N2939"/>
    <hyperlink r:id="rId5783" ref="O2939"/>
    <hyperlink r:id="rId5784" ref="N2940"/>
    <hyperlink r:id="rId5785" ref="O2940"/>
    <hyperlink r:id="rId5786" ref="N2941"/>
    <hyperlink r:id="rId5787" ref="O2941"/>
    <hyperlink r:id="rId5788" ref="N2942"/>
    <hyperlink r:id="rId5789" ref="O2942"/>
    <hyperlink r:id="rId5790" ref="N2943"/>
    <hyperlink r:id="rId5791" ref="O2943"/>
    <hyperlink r:id="rId5792" ref="N2944"/>
    <hyperlink r:id="rId5793" ref="O2944"/>
    <hyperlink r:id="rId5794" ref="N2945"/>
    <hyperlink r:id="rId5795" ref="O2945"/>
    <hyperlink r:id="rId5796" ref="N2946"/>
    <hyperlink r:id="rId5797" ref="O2946"/>
    <hyperlink r:id="rId5798" ref="N2947"/>
    <hyperlink r:id="rId5799" ref="O2947"/>
    <hyperlink r:id="rId5800" ref="N2948"/>
    <hyperlink r:id="rId5801" ref="O2948"/>
    <hyperlink r:id="rId5802" ref="N2949"/>
    <hyperlink r:id="rId5803" ref="O2949"/>
    <hyperlink r:id="rId5804" ref="N2950"/>
    <hyperlink r:id="rId5805" ref="O2950"/>
    <hyperlink r:id="rId5806" ref="N2951"/>
    <hyperlink r:id="rId5807" ref="O2951"/>
    <hyperlink r:id="rId5808" ref="N2952"/>
    <hyperlink r:id="rId5809" ref="O2952"/>
    <hyperlink r:id="rId5810" ref="N2953"/>
    <hyperlink r:id="rId5811" ref="O2953"/>
    <hyperlink r:id="rId5812" ref="N2954"/>
    <hyperlink r:id="rId5813" ref="O2954"/>
    <hyperlink r:id="rId5814" ref="N2955"/>
    <hyperlink r:id="rId5815" ref="O2955"/>
    <hyperlink r:id="rId5816" ref="N2956"/>
    <hyperlink r:id="rId5817" ref="O2956"/>
    <hyperlink r:id="rId5818" ref="N2957"/>
    <hyperlink r:id="rId5819" ref="O2957"/>
    <hyperlink r:id="rId5820" ref="N2958"/>
    <hyperlink r:id="rId5821" ref="O2958"/>
    <hyperlink r:id="rId5822" ref="N2959"/>
    <hyperlink r:id="rId5823" ref="O2959"/>
    <hyperlink r:id="rId5824" ref="N2960"/>
    <hyperlink r:id="rId5825" ref="O2960"/>
    <hyperlink r:id="rId5826" ref="N2961"/>
    <hyperlink r:id="rId5827" ref="O2961"/>
    <hyperlink r:id="rId5828" ref="N2962"/>
    <hyperlink r:id="rId5829" ref="O2962"/>
    <hyperlink r:id="rId5830" ref="N2963"/>
    <hyperlink r:id="rId5831" ref="O2963"/>
    <hyperlink r:id="rId5832" ref="N2964"/>
    <hyperlink r:id="rId5833" ref="O2964"/>
    <hyperlink r:id="rId5834" ref="N2965"/>
    <hyperlink r:id="rId5835" ref="O2965"/>
    <hyperlink r:id="rId5836" ref="N2966"/>
    <hyperlink r:id="rId5837" ref="O2966"/>
    <hyperlink r:id="rId5838" ref="N2967"/>
    <hyperlink r:id="rId5839" ref="O2967"/>
    <hyperlink r:id="rId5840" ref="N2968"/>
    <hyperlink r:id="rId5841" ref="O2968"/>
    <hyperlink r:id="rId5842" ref="N2969"/>
    <hyperlink r:id="rId5843" ref="O2969"/>
    <hyperlink r:id="rId5844" ref="N2970"/>
    <hyperlink r:id="rId5845" ref="O2970"/>
    <hyperlink r:id="rId5846" ref="N2971"/>
    <hyperlink r:id="rId5847" ref="O2971"/>
    <hyperlink r:id="rId5848" ref="N2972"/>
    <hyperlink r:id="rId5849" ref="O2972"/>
    <hyperlink r:id="rId5850" ref="N2973"/>
    <hyperlink r:id="rId5851" ref="O2973"/>
    <hyperlink r:id="rId5852" ref="N2974"/>
    <hyperlink r:id="rId5853" ref="O2974"/>
    <hyperlink r:id="rId5854" ref="N2975"/>
    <hyperlink r:id="rId5855" ref="O2975"/>
    <hyperlink r:id="rId5856" ref="N2976"/>
    <hyperlink r:id="rId5857" ref="O2976"/>
    <hyperlink r:id="rId5858" ref="N2977"/>
    <hyperlink r:id="rId5859" ref="O2977"/>
    <hyperlink r:id="rId5860" ref="N2978"/>
    <hyperlink r:id="rId5861" ref="O2978"/>
    <hyperlink r:id="rId5862" ref="N2979"/>
    <hyperlink r:id="rId5863" ref="O2979"/>
    <hyperlink r:id="rId5864" ref="N2980"/>
    <hyperlink r:id="rId5865" ref="O2980"/>
    <hyperlink r:id="rId5866" ref="N2981"/>
    <hyperlink r:id="rId5867" ref="O2981"/>
    <hyperlink r:id="rId5868" ref="N2982"/>
    <hyperlink r:id="rId5869" ref="O2982"/>
    <hyperlink r:id="rId5870" ref="N2983"/>
    <hyperlink r:id="rId5871" ref="O2983"/>
    <hyperlink r:id="rId5872" ref="N2984"/>
    <hyperlink r:id="rId5873" ref="O2984"/>
    <hyperlink r:id="rId5874" ref="N2985"/>
    <hyperlink r:id="rId5875" ref="O2985"/>
    <hyperlink r:id="rId5876" ref="N2986"/>
    <hyperlink r:id="rId5877" ref="O2986"/>
    <hyperlink r:id="rId5878" ref="N2987"/>
    <hyperlink r:id="rId5879" ref="O2987"/>
    <hyperlink r:id="rId5880" ref="N2988"/>
    <hyperlink r:id="rId5881" ref="O2988"/>
    <hyperlink r:id="rId5882" ref="N2989"/>
    <hyperlink r:id="rId5883" ref="O2989"/>
    <hyperlink r:id="rId5884" ref="N2990"/>
    <hyperlink r:id="rId5885" ref="O2990"/>
    <hyperlink r:id="rId5886" ref="N2991"/>
    <hyperlink r:id="rId5887" ref="O2991"/>
    <hyperlink r:id="rId5888" ref="N2992"/>
    <hyperlink r:id="rId5889" ref="O2992"/>
    <hyperlink r:id="rId5890" ref="N2993"/>
    <hyperlink r:id="rId5891" ref="O2993"/>
    <hyperlink r:id="rId5892" ref="N2994"/>
    <hyperlink r:id="rId5893" ref="O2994"/>
    <hyperlink r:id="rId5894" ref="N2995"/>
    <hyperlink r:id="rId5895" ref="O2995"/>
    <hyperlink r:id="rId5896" ref="N2996"/>
    <hyperlink r:id="rId5897" ref="O2996"/>
    <hyperlink r:id="rId5898" ref="N2997"/>
    <hyperlink r:id="rId5899" ref="O2997"/>
    <hyperlink r:id="rId5900" ref="N2998"/>
    <hyperlink r:id="rId5901" ref="O2998"/>
    <hyperlink r:id="rId5902" ref="N2999"/>
    <hyperlink r:id="rId5903" ref="O2999"/>
    <hyperlink r:id="rId5904" ref="N3000"/>
    <hyperlink r:id="rId5905" ref="O3000"/>
    <hyperlink r:id="rId5906" ref="N3001"/>
    <hyperlink r:id="rId5907" ref="O3001"/>
    <hyperlink r:id="rId5908" ref="N3002"/>
    <hyperlink r:id="rId5909" ref="O3002"/>
    <hyperlink r:id="rId5910" ref="N3003"/>
    <hyperlink r:id="rId5911" ref="O3003"/>
    <hyperlink r:id="rId5912" ref="N3004"/>
    <hyperlink r:id="rId5913" ref="O3004"/>
    <hyperlink r:id="rId5914" ref="N3005"/>
    <hyperlink r:id="rId5915" ref="O3005"/>
    <hyperlink r:id="rId5916" ref="N3006"/>
    <hyperlink r:id="rId5917" ref="O3006"/>
    <hyperlink r:id="rId5918" ref="N3007"/>
    <hyperlink r:id="rId5919" ref="O3007"/>
    <hyperlink r:id="rId5920" ref="N3008"/>
    <hyperlink r:id="rId5921" ref="O3008"/>
    <hyperlink r:id="rId5922" ref="N3009"/>
    <hyperlink r:id="rId5923" ref="O3009"/>
    <hyperlink r:id="rId5924" ref="N3010"/>
    <hyperlink r:id="rId5925" ref="O3010"/>
    <hyperlink r:id="rId5926" ref="N3011"/>
    <hyperlink r:id="rId5927" ref="O3011"/>
    <hyperlink r:id="rId5928" ref="N3012"/>
    <hyperlink r:id="rId5929" ref="O3012"/>
    <hyperlink r:id="rId5930" ref="N3013"/>
    <hyperlink r:id="rId5931" ref="O3013"/>
    <hyperlink r:id="rId5932" ref="N3014"/>
    <hyperlink r:id="rId5933" ref="O3014"/>
    <hyperlink r:id="rId5934" ref="N3015"/>
    <hyperlink r:id="rId5935" ref="O3015"/>
    <hyperlink r:id="rId5936" ref="N3016"/>
    <hyperlink r:id="rId5937" ref="O3016"/>
    <hyperlink r:id="rId5938" ref="N3017"/>
    <hyperlink r:id="rId5939" ref="O3017"/>
    <hyperlink r:id="rId5940" ref="N3018"/>
    <hyperlink r:id="rId5941" ref="O3018"/>
    <hyperlink r:id="rId5942" ref="N3019"/>
    <hyperlink r:id="rId5943" ref="O3019"/>
    <hyperlink r:id="rId5944" ref="N3020"/>
    <hyperlink r:id="rId5945" ref="O3020"/>
    <hyperlink r:id="rId5946" ref="N3021"/>
    <hyperlink r:id="rId5947" ref="O3021"/>
    <hyperlink r:id="rId5948" ref="N3022"/>
    <hyperlink r:id="rId5949" ref="O3022"/>
    <hyperlink r:id="rId5950" ref="N3023"/>
    <hyperlink r:id="rId5951" ref="O3023"/>
    <hyperlink r:id="rId5952" ref="N3024"/>
    <hyperlink r:id="rId5953" ref="O3024"/>
    <hyperlink r:id="rId5954" ref="N3025"/>
    <hyperlink r:id="rId5955" ref="O3025"/>
    <hyperlink r:id="rId5956" ref="N3026"/>
    <hyperlink r:id="rId5957" ref="O3026"/>
    <hyperlink r:id="rId5958" ref="N3027"/>
    <hyperlink r:id="rId5959" ref="N3028"/>
    <hyperlink r:id="rId5960" ref="O3028"/>
    <hyperlink r:id="rId5961" ref="N3029"/>
    <hyperlink r:id="rId5962" ref="O3029"/>
    <hyperlink r:id="rId5963" ref="N3030"/>
    <hyperlink r:id="rId5964" ref="O3030"/>
    <hyperlink r:id="rId5965" ref="N3031"/>
    <hyperlink r:id="rId5966" ref="O3031"/>
    <hyperlink r:id="rId5967" ref="N3032"/>
    <hyperlink r:id="rId5968" ref="O3032"/>
    <hyperlink r:id="rId5969" ref="N3033"/>
    <hyperlink r:id="rId5970" ref="O3033"/>
    <hyperlink r:id="rId5971" ref="N3034"/>
    <hyperlink r:id="rId5972" ref="O3034"/>
    <hyperlink r:id="rId5973" ref="N3035"/>
    <hyperlink r:id="rId5974" ref="O3035"/>
    <hyperlink r:id="rId5975" ref="N3036"/>
    <hyperlink r:id="rId5976" ref="O3036"/>
    <hyperlink r:id="rId5977" ref="N3037"/>
    <hyperlink r:id="rId5978" ref="O3037"/>
    <hyperlink r:id="rId5979" ref="N3038"/>
    <hyperlink r:id="rId5980" ref="O3038"/>
    <hyperlink r:id="rId5981" ref="N3039"/>
    <hyperlink r:id="rId5982" ref="O3039"/>
    <hyperlink r:id="rId5983" ref="N3040"/>
    <hyperlink r:id="rId5984" ref="O3040"/>
    <hyperlink r:id="rId5985" ref="N3041"/>
    <hyperlink r:id="rId5986" ref="O3041"/>
    <hyperlink r:id="rId5987" ref="N3042"/>
    <hyperlink r:id="rId5988" ref="O3042"/>
    <hyperlink r:id="rId5989" ref="N3043"/>
    <hyperlink r:id="rId5990" ref="O3043"/>
    <hyperlink r:id="rId5991" ref="N3044"/>
    <hyperlink r:id="rId5992" ref="O3044"/>
    <hyperlink r:id="rId5993" ref="O3045"/>
    <hyperlink r:id="rId5994" ref="N3046"/>
    <hyperlink r:id="rId5995" ref="O3046"/>
    <hyperlink r:id="rId5996" ref="N3047"/>
    <hyperlink r:id="rId5997" ref="O3047"/>
    <hyperlink r:id="rId5998" ref="N3048"/>
    <hyperlink r:id="rId5999" ref="O3048"/>
    <hyperlink r:id="rId6000" ref="N3049"/>
    <hyperlink r:id="rId6001" ref="O3049"/>
  </hyperlinks>
  <drawing r:id="rId60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IFERROR(__xludf.DUMMYFUNCTION("QUERY(Data!A:O,""select A,B,C,D,E,F,G,H,I,J,K,L,M,N,O where C contains'ชั้นปีที่ 4'"")"),"ไอดี")</f>
        <v>ไอดี</v>
      </c>
      <c r="B1" s="3" t="str">
        <f>IFERROR(__xludf.DUMMYFUNCTION("""COMPUTED_VALUE"""),"ประทับเวลา")</f>
        <v>ประทับเวลา</v>
      </c>
      <c r="C1" s="3" t="str">
        <f>IFERROR(__xludf.DUMMYFUNCTION("""COMPUTED_VALUE"""),"ชั้นปีการศึกษา")</f>
        <v>ชั้นปีการศึกษา</v>
      </c>
      <c r="D1" s="3" t="str">
        <f>IFERROR(__xludf.DUMMYFUNCTION("""COMPUTED_VALUE"""),"รหัส นพอ.")</f>
        <v>รหัส นพอ.</v>
      </c>
      <c r="E1" s="3" t="str">
        <f>IFERROR(__xludf.DUMMYFUNCTION("""COMPUTED_VALUE"""),"เลขที่")</f>
        <v>เลขที่</v>
      </c>
      <c r="F1" s="3" t="str">
        <f>IFERROR(__xludf.DUMMYFUNCTION("""COMPUTED_VALUE"""),"ชื่อ-สกุล")</f>
        <v>ชื่อ-สกุล</v>
      </c>
      <c r="G1" s="3" t="str">
        <f>IFERROR(__xludf.DUMMYFUNCTION("""COMPUTED_VALUE"""),"ประเภทความดี")</f>
        <v>ประเภทความดี</v>
      </c>
      <c r="H1" s="3" t="str">
        <f>IFERROR(__xludf.DUMMYFUNCTION("""COMPUTED_VALUE"""),"ชื่อกิจกรรม")</f>
        <v>ชื่อกิจกรรม</v>
      </c>
      <c r="I1" s="3" t="str">
        <f>IFERROR(__xludf.DUMMYFUNCTION("""COMPUTED_VALUE"""),"สถานที่")</f>
        <v>สถานที่</v>
      </c>
      <c r="J1" s="3" t="str">
        <f>IFERROR(__xludf.DUMMYFUNCTION("""COMPUTED_VALUE"""),"วันทีทำกิจกรรม")</f>
        <v>วันทีทำกิจกรรม</v>
      </c>
      <c r="K1" s="3" t="str">
        <f>IFERROR(__xludf.DUMMYFUNCTION("""COMPUTED_VALUE"""),"ช่วงเวลาที่ทำ")</f>
        <v>ช่วงเวลาที่ทำ</v>
      </c>
      <c r="L1" s="3" t="str">
        <f>IFERROR(__xludf.DUMMYFUNCTION("""COMPUTED_VALUE"""),"จำนวนชั่วโมงที่ได้")</f>
        <v>จำนวนชั่วโมงที่ได้</v>
      </c>
      <c r="M1" s="3" t="str">
        <f>IFERROR(__xludf.DUMMYFUNCTION("""COMPUTED_VALUE"""),"ผู้ลงชื่อรับทราบ")</f>
        <v>ผู้ลงชื่อรับทราบ</v>
      </c>
      <c r="N1" s="3" t="str">
        <f>IFERROR(__xludf.DUMMYFUNCTION("""COMPUTED_VALUE"""),"รูปภาพ")</f>
        <v>รูปภาพ</v>
      </c>
      <c r="O1" s="3" t="str">
        <f>IFERROR(__xludf.DUMMYFUNCTION("""COMPUTED_VALUE"""),"PDF")</f>
        <v>PDF</v>
      </c>
    </row>
    <row r="2">
      <c r="A2" s="3">
        <f>IFERROR(__xludf.DUMMYFUNCTION("""COMPUTED_VALUE"""),34.0)</f>
        <v>34</v>
      </c>
      <c r="B2" s="11">
        <f>IFERROR(__xludf.DUMMYFUNCTION("""COMPUTED_VALUE"""),45980.63452569445)</f>
        <v>45980.63453</v>
      </c>
      <c r="C2" s="3" t="str">
        <f>IFERROR(__xludf.DUMMYFUNCTION("""COMPUTED_VALUE"""),"ชั้นปีที่ 4")</f>
        <v>ชั้นปีที่ 4</v>
      </c>
      <c r="D2" s="3" t="str">
        <f>IFERROR(__xludf.DUMMYFUNCTION("""COMPUTED_VALUE"""),"6503753")</f>
        <v>6503753</v>
      </c>
      <c r="E2" s="3" t="str">
        <f>IFERROR(__xludf.DUMMYFUNCTION("""COMPUTED_VALUE"""),"63")</f>
        <v>63</v>
      </c>
      <c r="F2" s="3" t="str">
        <f>IFERROR(__xludf.DUMMYFUNCTION("""COMPUTED_VALUE"""),"นพอ.อรกัญญา ทอนสูงเนิน")</f>
        <v>นพอ.อรกัญญา ทอนสูงเนิน</v>
      </c>
      <c r="G2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" s="3" t="str">
        <f>IFERROR(__xludf.DUMMYFUNCTION("""COMPUTED_VALUE"""),"บริจาคโลหิต")</f>
        <v>บริจาคโลหิต</v>
      </c>
      <c r="I2" s="3" t="str">
        <f>IFERROR(__xludf.DUMMYFUNCTION("""COMPUTED_VALUE"""),"สภากาชาดไทย จ.นครราชสีมา")</f>
        <v>สภากาชาดไทย จ.นครราชสีมา</v>
      </c>
      <c r="J2" s="12">
        <f>IFERROR(__xludf.DUMMYFUNCTION("""COMPUTED_VALUE"""),45878.0)</f>
        <v>45878</v>
      </c>
      <c r="K2" s="3" t="str">
        <f>IFERROR(__xludf.DUMMYFUNCTION("""COMPUTED_VALUE"""),"1400")</f>
        <v>1400</v>
      </c>
      <c r="L2" s="3">
        <f>IFERROR(__xludf.DUMMYFUNCTION("""COMPUTED_VALUE"""),8.0)</f>
        <v>8</v>
      </c>
      <c r="M2" s="3" t="str">
        <f>IFERROR(__xludf.DUMMYFUNCTION("""COMPUTED_VALUE"""),"นายปรุงศักดิ์ ทอนสูงเนิน")</f>
        <v>นายปรุงศักดิ์ ทอนสูงเนิน</v>
      </c>
      <c r="N2" s="14" t="str">
        <f>IFERROR(__xludf.DUMMYFUNCTION("""COMPUTED_VALUE"""),"https://lh5.googleusercontent.com/d/1I-cWams3n0rT_h2kxUyGE6R0iSQCoNHO")</f>
        <v>https://lh5.googleusercontent.com/d/1I-cWams3n0rT_h2kxUyGE6R0iSQCoNHO</v>
      </c>
      <c r="O2" s="14" t="str">
        <f>IFERROR(__xludf.DUMMYFUNCTION("""COMPUTED_VALUE"""),"https://drive.google.com/file/d/1_hZQNmFZuRjAy0O6K59fguQ2wt1yXozK/view?usp=drivesdk")</f>
        <v>https://drive.google.com/file/d/1_hZQNmFZuRjAy0O6K59fguQ2wt1yXozK/view?usp=drivesdk</v>
      </c>
    </row>
    <row r="3">
      <c r="A3" s="3">
        <f>IFERROR(__xludf.DUMMYFUNCTION("""COMPUTED_VALUE"""),35.0)</f>
        <v>35</v>
      </c>
      <c r="B3" s="11">
        <f>IFERROR(__xludf.DUMMYFUNCTION("""COMPUTED_VALUE"""),45980.63497460648)</f>
        <v>45980.63497</v>
      </c>
      <c r="C3" s="3" t="str">
        <f>IFERROR(__xludf.DUMMYFUNCTION("""COMPUTED_VALUE"""),"ชั้นปีที่ 4")</f>
        <v>ชั้นปีที่ 4</v>
      </c>
      <c r="D3" s="3" t="str">
        <f>IFERROR(__xludf.DUMMYFUNCTION("""COMPUTED_VALUE"""),"3717")</f>
        <v>3717</v>
      </c>
      <c r="E3" s="3" t="str">
        <f>IFERROR(__xludf.DUMMYFUNCTION("""COMPUTED_VALUE"""),"28")</f>
        <v>28</v>
      </c>
      <c r="F3" s="3" t="str">
        <f>IFERROR(__xludf.DUMMYFUNCTION("""COMPUTED_VALUE"""),"นพอ.ธีรภัทร อุดรพันธ์")</f>
        <v>นพอ.ธีรภัทร อุดรพันธ์</v>
      </c>
      <c r="G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" s="3" t="str">
        <f>IFERROR(__xludf.DUMMYFUNCTION("""COMPUTED_VALUE"""),"ตรวจสุขภาพที่ ชุมชนประทวน")</f>
        <v>ตรวจสุขภาพที่ ชุมชนประทวน</v>
      </c>
      <c r="I3" s="3" t="str">
        <f>IFERROR(__xludf.DUMMYFUNCTION("""COMPUTED_VALUE"""),"ทอ.")</f>
        <v>ทอ.</v>
      </c>
      <c r="J3" s="12">
        <f>IFERROR(__xludf.DUMMYFUNCTION("""COMPUTED_VALUE"""),45854.0)</f>
        <v>45854</v>
      </c>
      <c r="K3" s="3" t="str">
        <f>IFERROR(__xludf.DUMMYFUNCTION("""COMPUTED_VALUE"""),"08.00-12.00")</f>
        <v>08.00-12.00</v>
      </c>
      <c r="L3" s="3">
        <f>IFERROR(__xludf.DUMMYFUNCTION("""COMPUTED_VALUE"""),4.0)</f>
        <v>4</v>
      </c>
      <c r="M3" s="3" t="str">
        <f>IFERROR(__xludf.DUMMYFUNCTION("""COMPUTED_VALUE"""),"น.ต.หญิง ตวงทิพย์ ลดาวัลย์")</f>
        <v>น.ต.หญิง ตวงทิพย์ ลดาวัลย์</v>
      </c>
      <c r="N3" s="14" t="str">
        <f>IFERROR(__xludf.DUMMYFUNCTION("""COMPUTED_VALUE"""),"https://lh5.googleusercontent.com/d/10Bo0Y4CPPq8BEETbpfmGGjdszB6cot5_")</f>
        <v>https://lh5.googleusercontent.com/d/10Bo0Y4CPPq8BEETbpfmGGjdszB6cot5_</v>
      </c>
      <c r="O3" s="14" t="str">
        <f>IFERROR(__xludf.DUMMYFUNCTION("""COMPUTED_VALUE"""),"https://drive.google.com/file/d/15wzMfQum2_sbJ-PfEFkPUR4Q0JeH_B-m/view?usp=drivesdk")</f>
        <v>https://drive.google.com/file/d/15wzMfQum2_sbJ-PfEFkPUR4Q0JeH_B-m/view?usp=drivesdk</v>
      </c>
    </row>
    <row r="4">
      <c r="A4" s="3">
        <f>IFERROR(__xludf.DUMMYFUNCTION("""COMPUTED_VALUE"""),36.0)</f>
        <v>36</v>
      </c>
      <c r="B4" s="11">
        <f>IFERROR(__xludf.DUMMYFUNCTION("""COMPUTED_VALUE"""),45980.635999293976)</f>
        <v>45980.636</v>
      </c>
      <c r="C4" s="3" t="str">
        <f>IFERROR(__xludf.DUMMYFUNCTION("""COMPUTED_VALUE"""),"ชั้นปีที่ 4")</f>
        <v>ชั้นปีที่ 4</v>
      </c>
      <c r="D4" s="3" t="str">
        <f>IFERROR(__xludf.DUMMYFUNCTION("""COMPUTED_VALUE"""),"6503746")</f>
        <v>6503746</v>
      </c>
      <c r="E4" s="3" t="str">
        <f>IFERROR(__xludf.DUMMYFUNCTION("""COMPUTED_VALUE"""),"56")</f>
        <v>56</v>
      </c>
      <c r="F4" s="3" t="str">
        <f>IFERROR(__xludf.DUMMYFUNCTION("""COMPUTED_VALUE"""),"นพอ.ศิริวรรณ ประกอบสัตย์")</f>
        <v>นพอ.ศิริวรรณ ประกอบสัตย์</v>
      </c>
      <c r="G4" s="3" t="str">
        <f>IFERROR(__xludf.DUMMYFUNCTION("""COMPUTED_VALUE"""),"ทำนุบำรุงศาสนสถาน")</f>
        <v>ทำนุบำรุงศาสนสถาน</v>
      </c>
      <c r="H4" s="3" t="str">
        <f>IFERROR(__xludf.DUMMYFUNCTION("""COMPUTED_VALUE"""),"กวาดวัด")</f>
        <v>กวาดวัด</v>
      </c>
      <c r="I4" s="3" t="str">
        <f>IFERROR(__xludf.DUMMYFUNCTION("""COMPUTED_VALUE"""),"วัดวิเวกอาคม")</f>
        <v>วัดวิเวกอาคม</v>
      </c>
      <c r="J4" s="12">
        <f>IFERROR(__xludf.DUMMYFUNCTION("""COMPUTED_VALUE"""),45955.0)</f>
        <v>45955</v>
      </c>
      <c r="K4" s="3" t="str">
        <f>IFERROR(__xludf.DUMMYFUNCTION("""COMPUTED_VALUE"""),"0800-1200")</f>
        <v>0800-1200</v>
      </c>
      <c r="L4" s="3">
        <f>IFERROR(__xludf.DUMMYFUNCTION("""COMPUTED_VALUE"""),4.0)</f>
        <v>4</v>
      </c>
      <c r="M4" s="3" t="str">
        <f>IFERROR(__xludf.DUMMYFUNCTION("""COMPUTED_VALUE"""),"นายเวคิน เจียโหงว")</f>
        <v>นายเวคิน เจียโหงว</v>
      </c>
      <c r="N4" s="14" t="str">
        <f>IFERROR(__xludf.DUMMYFUNCTION("""COMPUTED_VALUE"""),"https://lh5.googleusercontent.com/d/1UnT2lOHCOxGI6gQkFn1PnDzYhSt2MBxU")</f>
        <v>https://lh5.googleusercontent.com/d/1UnT2lOHCOxGI6gQkFn1PnDzYhSt2MBxU</v>
      </c>
      <c r="O4" s="14" t="str">
        <f>IFERROR(__xludf.DUMMYFUNCTION("""COMPUTED_VALUE"""),"https://drive.google.com/file/d/1mZ7cbAqsD8kuxBYAuFr-YP44LJPyF3HO/view?usp=drivesdk")</f>
        <v>https://drive.google.com/file/d/1mZ7cbAqsD8kuxBYAuFr-YP44LJPyF3HO/view?usp=drivesdk</v>
      </c>
    </row>
    <row r="5">
      <c r="A5" s="3">
        <f>IFERROR(__xludf.DUMMYFUNCTION("""COMPUTED_VALUE"""),37.0)</f>
        <v>37</v>
      </c>
      <c r="B5" s="11">
        <f>IFERROR(__xludf.DUMMYFUNCTION("""COMPUTED_VALUE"""),45980.64086466435)</f>
        <v>45980.64086</v>
      </c>
      <c r="C5" s="3" t="str">
        <f>IFERROR(__xludf.DUMMYFUNCTION("""COMPUTED_VALUE"""),"ชั้นปีที่ 4")</f>
        <v>ชั้นปีที่ 4</v>
      </c>
      <c r="D5" s="3" t="str">
        <f>IFERROR(__xludf.DUMMYFUNCTION("""COMPUTED_VALUE"""),"3717")</f>
        <v>3717</v>
      </c>
      <c r="E5" s="3" t="str">
        <f>IFERROR(__xludf.DUMMYFUNCTION("""COMPUTED_VALUE"""),"28")</f>
        <v>28</v>
      </c>
      <c r="F5" s="3" t="str">
        <f>IFERROR(__xludf.DUMMYFUNCTION("""COMPUTED_VALUE"""),"นพอ.ธีรภัทร อุดรพันธ์")</f>
        <v>นพอ.ธีรภัทร อุดรพันธ์</v>
      </c>
      <c r="G5" s="3" t="str">
        <f>IFERROR(__xludf.DUMMYFUNCTION("""COMPUTED_VALUE"""),"ทำนุบำรุงศาสนสถาน")</f>
        <v>ทำนุบำรุงศาสนสถาน</v>
      </c>
      <c r="H5" s="3" t="str">
        <f>IFERROR(__xludf.DUMMYFUNCTION("""COMPUTED_VALUE"""),"ทำความสะอาดวัด")</f>
        <v>ทำความสะอาดวัด</v>
      </c>
      <c r="I5" s="3" t="str">
        <f>IFERROR(__xludf.DUMMYFUNCTION("""COMPUTED_VALUE"""),"วัดวิเวกอาคม")</f>
        <v>วัดวิเวกอาคม</v>
      </c>
      <c r="J5" s="12">
        <f>IFERROR(__xludf.DUMMYFUNCTION("""COMPUTED_VALUE"""),45955.0)</f>
        <v>45955</v>
      </c>
      <c r="K5" s="3" t="str">
        <f>IFERROR(__xludf.DUMMYFUNCTION("""COMPUTED_VALUE"""),"08.00-12-00")</f>
        <v>08.00-12-00</v>
      </c>
      <c r="L5" s="3">
        <f>IFERROR(__xludf.DUMMYFUNCTION("""COMPUTED_VALUE"""),4.0)</f>
        <v>4</v>
      </c>
      <c r="M5" s="3" t="str">
        <f>IFERROR(__xludf.DUMMYFUNCTION("""COMPUTED_VALUE"""),"นายเวคิน เจียงโหงว")</f>
        <v>นายเวคิน เจียงโหงว</v>
      </c>
      <c r="N5" s="14" t="str">
        <f>IFERROR(__xludf.DUMMYFUNCTION("""COMPUTED_VALUE"""),"https://lh5.googleusercontent.com/d/1mY3j3JaPUBXT06jZLaJhTsW76urMdbrC")</f>
        <v>https://lh5.googleusercontent.com/d/1mY3j3JaPUBXT06jZLaJhTsW76urMdbrC</v>
      </c>
      <c r="O5" s="14" t="str">
        <f>IFERROR(__xludf.DUMMYFUNCTION("""COMPUTED_VALUE"""),"https://drive.google.com/file/d/1YR-AEDymZgogNn7n3eJsc7Etpx0c_mIm/view?usp=drivesdk")</f>
        <v>https://drive.google.com/file/d/1YR-AEDymZgogNn7n3eJsc7Etpx0c_mIm/view?usp=drivesdk</v>
      </c>
    </row>
    <row r="6">
      <c r="A6" s="3">
        <f>IFERROR(__xludf.DUMMYFUNCTION("""COMPUTED_VALUE"""),38.0)</f>
        <v>38</v>
      </c>
      <c r="B6" s="11">
        <f>IFERROR(__xludf.DUMMYFUNCTION("""COMPUTED_VALUE"""),45980.64188971064)</f>
        <v>45980.64189</v>
      </c>
      <c r="C6" s="3" t="str">
        <f>IFERROR(__xludf.DUMMYFUNCTION("""COMPUTED_VALUE"""),"ชั้นปีที่ 4")</f>
        <v>ชั้นปีที่ 4</v>
      </c>
      <c r="D6" s="3" t="str">
        <f>IFERROR(__xludf.DUMMYFUNCTION("""COMPUTED_VALUE"""),"6503746")</f>
        <v>6503746</v>
      </c>
      <c r="E6" s="3" t="str">
        <f>IFERROR(__xludf.DUMMYFUNCTION("""COMPUTED_VALUE"""),"56")</f>
        <v>56</v>
      </c>
      <c r="F6" s="3" t="str">
        <f>IFERROR(__xludf.DUMMYFUNCTION("""COMPUTED_VALUE"""),"นพอ.ศิริวรรณ ประกอบสัตย์")</f>
        <v>นพอ.ศิริวรรณ ประกอบสัตย์</v>
      </c>
      <c r="G6" s="3" t="str">
        <f>IFERROR(__xludf.DUMMYFUNCTION("""COMPUTED_VALUE"""),"ทำนุบำรุงศาสนสถาน")</f>
        <v>ทำนุบำรุงศาสนสถาน</v>
      </c>
      <c r="H6" s="3" t="str">
        <f>IFERROR(__xludf.DUMMYFUNCTION("""COMPUTED_VALUE"""),"กวาดวัดและตอกเสาธง")</f>
        <v>กวาดวัดและตอกเสาธง</v>
      </c>
      <c r="I6" s="3" t="str">
        <f>IFERROR(__xludf.DUMMYFUNCTION("""COMPUTED_VALUE"""),"วัดใหม่(บางขวัญ)")</f>
        <v>วัดใหม่(บางขวัญ)</v>
      </c>
      <c r="J6" s="12">
        <f>IFERROR(__xludf.DUMMYFUNCTION("""COMPUTED_VALUE"""),45961.0)</f>
        <v>45961</v>
      </c>
      <c r="K6" s="3" t="str">
        <f>IFERROR(__xludf.DUMMYFUNCTION("""COMPUTED_VALUE"""),"0800-1200")</f>
        <v>0800-1200</v>
      </c>
      <c r="L6" s="3">
        <f>IFERROR(__xludf.DUMMYFUNCTION("""COMPUTED_VALUE"""),4.0)</f>
        <v>4</v>
      </c>
      <c r="M6" s="3" t="str">
        <f>IFERROR(__xludf.DUMMYFUNCTION("""COMPUTED_VALUE"""),"นายเวคิน เจียโหงว")</f>
        <v>นายเวคิน เจียโหงว</v>
      </c>
      <c r="N6" s="14" t="str">
        <f>IFERROR(__xludf.DUMMYFUNCTION("""COMPUTED_VALUE"""),"https://lh5.googleusercontent.com/d/1G-w9xzwpgPTsrn0cgaUc5zyUqDcLuIPN")</f>
        <v>https://lh5.googleusercontent.com/d/1G-w9xzwpgPTsrn0cgaUc5zyUqDcLuIPN</v>
      </c>
      <c r="O6" s="14" t="str">
        <f>IFERROR(__xludf.DUMMYFUNCTION("""COMPUTED_VALUE"""),"https://drive.google.com/file/d/1jJH5CQYTFwaj15rWjtlfvoVQUCIVrS5a/view?usp=drivesdk")</f>
        <v>https://drive.google.com/file/d/1jJH5CQYTFwaj15rWjtlfvoVQUCIVrS5a/view?usp=drivesdk</v>
      </c>
    </row>
    <row r="7">
      <c r="A7" s="3">
        <f>IFERROR(__xludf.DUMMYFUNCTION("""COMPUTED_VALUE"""),39.0)</f>
        <v>39</v>
      </c>
      <c r="B7" s="11">
        <f>IFERROR(__xludf.DUMMYFUNCTION("""COMPUTED_VALUE"""),45980.643535104165)</f>
        <v>45980.64354</v>
      </c>
      <c r="C7" s="3" t="str">
        <f>IFERROR(__xludf.DUMMYFUNCTION("""COMPUTED_VALUE"""),"ชั้นปีที่ 4")</f>
        <v>ชั้นปีที่ 4</v>
      </c>
      <c r="D7" s="3" t="str">
        <f>IFERROR(__xludf.DUMMYFUNCTION("""COMPUTED_VALUE"""),"6503746")</f>
        <v>6503746</v>
      </c>
      <c r="E7" s="3" t="str">
        <f>IFERROR(__xludf.DUMMYFUNCTION("""COMPUTED_VALUE"""),"56")</f>
        <v>56</v>
      </c>
      <c r="F7" s="3" t="str">
        <f>IFERROR(__xludf.DUMMYFUNCTION("""COMPUTED_VALUE"""),"นพอ.ศิริวรรณ ประกอบสัตย์")</f>
        <v>นพอ.ศิริวรรณ ประกอบสัตย์</v>
      </c>
      <c r="G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" s="3" t="str">
        <f>IFERROR(__xludf.DUMMYFUNCTION("""COMPUTED_VALUE"""),"แจกเฉาก๊วย")</f>
        <v>แจกเฉาก๊วย</v>
      </c>
      <c r="I7" s="3" t="str">
        <f>IFERROR(__xludf.DUMMYFUNCTION("""COMPUTED_VALUE"""),"วัดใหม่(บางขวัญ)")</f>
        <v>วัดใหม่(บางขวัญ)</v>
      </c>
      <c r="J7" s="12">
        <f>IFERROR(__xludf.DUMMYFUNCTION("""COMPUTED_VALUE"""),45963.0)</f>
        <v>45963</v>
      </c>
      <c r="K7" s="3" t="str">
        <f>IFERROR(__xludf.DUMMYFUNCTION("""COMPUTED_VALUE"""),"0800-1200")</f>
        <v>0800-1200</v>
      </c>
      <c r="L7" s="3">
        <f>IFERROR(__xludf.DUMMYFUNCTION("""COMPUTED_VALUE"""),4.0)</f>
        <v>4</v>
      </c>
      <c r="M7" s="3" t="str">
        <f>IFERROR(__xludf.DUMMYFUNCTION("""COMPUTED_VALUE"""),"นายเวคิน เจียโหงว")</f>
        <v>นายเวคิน เจียโหงว</v>
      </c>
      <c r="N7" s="14" t="str">
        <f>IFERROR(__xludf.DUMMYFUNCTION("""COMPUTED_VALUE"""),"https://lh5.googleusercontent.com/d/1rfXo28rDWjWU31fBUhFCu1h2cWe82nDO")</f>
        <v>https://lh5.googleusercontent.com/d/1rfXo28rDWjWU31fBUhFCu1h2cWe82nDO</v>
      </c>
      <c r="O7" s="14" t="str">
        <f>IFERROR(__xludf.DUMMYFUNCTION("""COMPUTED_VALUE"""),"https://drive.google.com/file/d/1pFqeojTTDC95GOsFARqOWwM2tmr9gd6w/view?usp=drivesdk")</f>
        <v>https://drive.google.com/file/d/1pFqeojTTDC95GOsFARqOWwM2tmr9gd6w/view?usp=drivesdk</v>
      </c>
    </row>
    <row r="8">
      <c r="A8" s="3">
        <f>IFERROR(__xludf.DUMMYFUNCTION("""COMPUTED_VALUE"""),40.0)</f>
        <v>40</v>
      </c>
      <c r="B8" s="11">
        <f>IFERROR(__xludf.DUMMYFUNCTION("""COMPUTED_VALUE"""),45980.64536065972)</f>
        <v>45980.64536</v>
      </c>
      <c r="C8" s="3" t="str">
        <f>IFERROR(__xludf.DUMMYFUNCTION("""COMPUTED_VALUE"""),"ชั้นปีที่ 4")</f>
        <v>ชั้นปีที่ 4</v>
      </c>
      <c r="D8" s="3" t="str">
        <f>IFERROR(__xludf.DUMMYFUNCTION("""COMPUTED_VALUE"""),"6503691")</f>
        <v>6503691</v>
      </c>
      <c r="E8" s="3" t="str">
        <f>IFERROR(__xludf.DUMMYFUNCTION("""COMPUTED_VALUE"""),"2")</f>
        <v>2</v>
      </c>
      <c r="F8" s="3" t="str">
        <f>IFERROR(__xludf.DUMMYFUNCTION("""COMPUTED_VALUE"""),"นพอ.กอปรทรัพย์ ธุรารัตน์")</f>
        <v>นพอ.กอปรทรัพย์ ธุรารัตน์</v>
      </c>
      <c r="G8" s="3" t="str">
        <f>IFERROR(__xludf.DUMMYFUNCTION("""COMPUTED_VALUE"""),"ทำนุบำรุงศาสนสถาน")</f>
        <v>ทำนุบำรุงศาสนสถาน</v>
      </c>
      <c r="H8" s="3" t="str">
        <f>IFERROR(__xludf.DUMMYFUNCTION("""COMPUTED_VALUE"""),"ทำกระทงช่วยหน่วยงานวัด")</f>
        <v>ทำกระทงช่วยหน่วยงานวัด</v>
      </c>
      <c r="I8" s="3" t="str">
        <f>IFERROR(__xludf.DUMMYFUNCTION("""COMPUTED_VALUE"""),"วัดหนามแดง")</f>
        <v>วัดหนามแดง</v>
      </c>
      <c r="J8" s="12">
        <f>IFERROR(__xludf.DUMMYFUNCTION("""COMPUTED_VALUE"""),45966.0)</f>
        <v>45966</v>
      </c>
      <c r="K8" s="3" t="str">
        <f>IFERROR(__xludf.DUMMYFUNCTION("""COMPUTED_VALUE"""),"0800-1200")</f>
        <v>0800-1200</v>
      </c>
      <c r="L8" s="3">
        <f>IFERROR(__xludf.DUMMYFUNCTION("""COMPUTED_VALUE"""),4.0)</f>
        <v>4</v>
      </c>
      <c r="M8" s="3" t="str">
        <f>IFERROR(__xludf.DUMMYFUNCTION("""COMPUTED_VALUE"""),"น.ท.หญิง ดร. ภัทรมน ทับสูงเนิน")</f>
        <v>น.ท.หญิง ดร. ภัทรมน ทับสูงเนิน</v>
      </c>
      <c r="N8" s="14" t="str">
        <f>IFERROR(__xludf.DUMMYFUNCTION("""COMPUTED_VALUE"""),"https://lh5.googleusercontent.com/d/16YqLEDDuaUmQCnS89dpMEUzYZ5e98hLL")</f>
        <v>https://lh5.googleusercontent.com/d/16YqLEDDuaUmQCnS89dpMEUzYZ5e98hLL</v>
      </c>
      <c r="O8" s="3"/>
    </row>
    <row r="9">
      <c r="A9" s="3">
        <f>IFERROR(__xludf.DUMMYFUNCTION("""COMPUTED_VALUE"""),40.0)</f>
        <v>40</v>
      </c>
      <c r="B9" s="11">
        <f>IFERROR(__xludf.DUMMYFUNCTION("""COMPUTED_VALUE"""),45980.64536296296)</f>
        <v>45980.64536</v>
      </c>
      <c r="C9" s="3" t="str">
        <f>IFERROR(__xludf.DUMMYFUNCTION("""COMPUTED_VALUE"""),"ชั้นปีที่ 4")</f>
        <v>ชั้นปีที่ 4</v>
      </c>
      <c r="D9" s="3" t="str">
        <f>IFERROR(__xludf.DUMMYFUNCTION("""COMPUTED_VALUE"""),"6503716")</f>
        <v>6503716</v>
      </c>
      <c r="E9" s="3" t="str">
        <f>IFERROR(__xludf.DUMMYFUNCTION("""COMPUTED_VALUE"""),"27")</f>
        <v>27</v>
      </c>
      <c r="F9" s="3" t="str">
        <f>IFERROR(__xludf.DUMMYFUNCTION("""COMPUTED_VALUE"""),"นพอ.ธันยาภัทร์ จิโรชนิธิกาญจน์")</f>
        <v>นพอ.ธันยาภัทร์ จิโรชนิธิกาญจน์</v>
      </c>
      <c r="G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9" s="3" t="str">
        <f>IFERROR(__xludf.DUMMYFUNCTION("""COMPUTED_VALUE"""),"สโมสรทหารอากาศชั้นประทวน")</f>
        <v>สโมสรทหารอากาศชั้นประทวน</v>
      </c>
      <c r="J9" s="12">
        <f>IFERROR(__xludf.DUMMYFUNCTION("""COMPUTED_VALUE"""),45854.0)</f>
        <v>45854</v>
      </c>
      <c r="K9" s="3" t="str">
        <f>IFERROR(__xludf.DUMMYFUNCTION("""COMPUTED_VALUE"""),"0700-1300")</f>
        <v>0700-1300</v>
      </c>
      <c r="L9" s="3">
        <f>IFERROR(__xludf.DUMMYFUNCTION("""COMPUTED_VALUE"""),6.0)</f>
        <v>6</v>
      </c>
      <c r="M9" s="3" t="str">
        <f>IFERROR(__xludf.DUMMYFUNCTION("""COMPUTED_VALUE"""),"น.ต.หญิง ตวงทิพย์ ลดาวัลย์")</f>
        <v>น.ต.หญิง ตวงทิพย์ ลดาวัลย์</v>
      </c>
      <c r="N9" s="14" t="str">
        <f>IFERROR(__xludf.DUMMYFUNCTION("""COMPUTED_VALUE"""),"https://lh5.googleusercontent.com/d/1t_3FYEPxVrVbKlJVF6jQHfs1y9Tf7Lpa")</f>
        <v>https://lh5.googleusercontent.com/d/1t_3FYEPxVrVbKlJVF6jQHfs1y9Tf7Lpa</v>
      </c>
      <c r="O9" s="14" t="str">
        <f>IFERROR(__xludf.DUMMYFUNCTION("""COMPUTED_VALUE"""),"https://drive.google.com/file/d/1Vw9FzXBwM9xSUbnoXG2IQFGCjWV8fvdh/view?usp=drivesdk")</f>
        <v>https://drive.google.com/file/d/1Vw9FzXBwM9xSUbnoXG2IQFGCjWV8fvdh/view?usp=drivesdk</v>
      </c>
    </row>
    <row r="10">
      <c r="A10" s="3">
        <f>IFERROR(__xludf.DUMMYFUNCTION("""COMPUTED_VALUE"""),41.0)</f>
        <v>41</v>
      </c>
      <c r="B10" s="11">
        <f>IFERROR(__xludf.DUMMYFUNCTION("""COMPUTED_VALUE"""),45980.64656840278)</f>
        <v>45980.64657</v>
      </c>
      <c r="C10" s="3" t="str">
        <f>IFERROR(__xludf.DUMMYFUNCTION("""COMPUTED_VALUE"""),"ชั้นปีที่ 4")</f>
        <v>ชั้นปีที่ 4</v>
      </c>
      <c r="D10" s="3" t="str">
        <f>IFERROR(__xludf.DUMMYFUNCTION("""COMPUTED_VALUE"""),"6503734")</f>
        <v>6503734</v>
      </c>
      <c r="E10" s="3" t="str">
        <f>IFERROR(__xludf.DUMMYFUNCTION("""COMPUTED_VALUE"""),"44")</f>
        <v>44</v>
      </c>
      <c r="F10" s="3" t="str">
        <f>IFERROR(__xludf.DUMMYFUNCTION("""COMPUTED_VALUE"""),"นพอ.มรกต จันทฤทธิ์")</f>
        <v>นพอ.มรกต จันทฤทธิ์</v>
      </c>
      <c r="G10" s="3" t="str">
        <f>IFERROR(__xludf.DUMMYFUNCTION("""COMPUTED_VALUE"""),"ช่วยเหลืองานภายใน วพอ.")</f>
        <v>ช่วยเหลืองานภายใน วพอ.</v>
      </c>
      <c r="H10" s="3" t="str">
        <f>IFERROR(__xludf.DUMMYFUNCTION("""COMPUTED_VALUE"""),"ต้อนรับคณะการตรวจประเมินคุณภาพการศึกษาภายใน ประจำปีการศึกษา 2567")</f>
        <v>ต้อนรับคณะการตรวจประเมินคุณภาพการศึกษาภายใน ประจำปีการศึกษา 2567</v>
      </c>
      <c r="I10" s="3" t="str">
        <f>IFERROR(__xludf.DUMMYFUNCTION("""COMPUTED_VALUE"""),"ห้องฝึกปฏิบัติการจิตเวช")</f>
        <v>ห้องฝึกปฏิบัติการจิตเวช</v>
      </c>
      <c r="J10" s="12">
        <f>IFERROR(__xludf.DUMMYFUNCTION("""COMPUTED_VALUE"""),45916.0)</f>
        <v>45916</v>
      </c>
      <c r="K10" s="3" t="str">
        <f>IFERROR(__xludf.DUMMYFUNCTION("""COMPUTED_VALUE"""),"0800-1200")</f>
        <v>0800-1200</v>
      </c>
      <c r="L10" s="3">
        <f>IFERROR(__xludf.DUMMYFUNCTION("""COMPUTED_VALUE"""),4.0)</f>
        <v>4</v>
      </c>
      <c r="M10" s="3" t="str">
        <f>IFERROR(__xludf.DUMMYFUNCTION("""COMPUTED_VALUE"""),"ร.อ.หญิง วิชยา พรหมสาขา ณ สกลนคร")</f>
        <v>ร.อ.หญิง วิชยา พรหมสาขา ณ สกลนคร</v>
      </c>
      <c r="N10" s="14" t="str">
        <f>IFERROR(__xludf.DUMMYFUNCTION("""COMPUTED_VALUE"""),"https://lh5.googleusercontent.com/d/1j_3jUbQyGksdp2jgwoD71_1OhBa5esGk")</f>
        <v>https://lh5.googleusercontent.com/d/1j_3jUbQyGksdp2jgwoD71_1OhBa5esGk</v>
      </c>
      <c r="O10" s="14" t="str">
        <f>IFERROR(__xludf.DUMMYFUNCTION("""COMPUTED_VALUE"""),"https://drive.google.com/file/d/1bLXGuleRRu6H0DLLWhbdAgKNMgq15aXe/view?usp=drivesdk")</f>
        <v>https://drive.google.com/file/d/1bLXGuleRRu6H0DLLWhbdAgKNMgq15aXe/view?usp=drivesdk</v>
      </c>
    </row>
    <row r="11">
      <c r="A11" s="3">
        <f>IFERROR(__xludf.DUMMYFUNCTION("""COMPUTED_VALUE"""),42.0)</f>
        <v>42</v>
      </c>
      <c r="B11" s="11">
        <f>IFERROR(__xludf.DUMMYFUNCTION("""COMPUTED_VALUE"""),45980.64672494213)</f>
        <v>45980.64672</v>
      </c>
      <c r="C11" s="3" t="str">
        <f>IFERROR(__xludf.DUMMYFUNCTION("""COMPUTED_VALUE"""),"ชั้นปีที่ 4")</f>
        <v>ชั้นปีที่ 4</v>
      </c>
      <c r="D11" s="3" t="str">
        <f>IFERROR(__xludf.DUMMYFUNCTION("""COMPUTED_VALUE"""),"6503746")</f>
        <v>6503746</v>
      </c>
      <c r="E11" s="3" t="str">
        <f>IFERROR(__xludf.DUMMYFUNCTION("""COMPUTED_VALUE"""),"56")</f>
        <v>56</v>
      </c>
      <c r="F11" s="3" t="str">
        <f>IFERROR(__xludf.DUMMYFUNCTION("""COMPUTED_VALUE"""),"นพอ.ศิริวรรณ ประกอบสัตย์")</f>
        <v>นพอ.ศิริวรรณ ประกอบสัตย์</v>
      </c>
      <c r="G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1" s="3" t="str">
        <f>IFERROR(__xludf.DUMMYFUNCTION("""COMPUTED_VALUE"""),"สโมสรทหารอากาศชั้นประทวน")</f>
        <v>สโมสรทหารอากาศชั้นประทวน</v>
      </c>
      <c r="J11" s="12">
        <f>IFERROR(__xludf.DUMMYFUNCTION("""COMPUTED_VALUE"""),45854.0)</f>
        <v>45854</v>
      </c>
      <c r="K11" s="3" t="str">
        <f>IFERROR(__xludf.DUMMYFUNCTION("""COMPUTED_VALUE"""),"0700-1300")</f>
        <v>0700-1300</v>
      </c>
      <c r="L11" s="3">
        <f>IFERROR(__xludf.DUMMYFUNCTION("""COMPUTED_VALUE"""),6.0)</f>
        <v>6</v>
      </c>
      <c r="M11" s="3" t="str">
        <f>IFERROR(__xludf.DUMMYFUNCTION("""COMPUTED_VALUE"""),"น.ต.หญิง ตวงทิพย์ ลดาวัลย์")</f>
        <v>น.ต.หญิง ตวงทิพย์ ลดาวัลย์</v>
      </c>
      <c r="N11" s="14" t="str">
        <f>IFERROR(__xludf.DUMMYFUNCTION("""COMPUTED_VALUE"""),"https://lh5.googleusercontent.com/d/1Ju055Fz_g7F6NpxEYMaTWhm-BmFeBHmX")</f>
        <v>https://lh5.googleusercontent.com/d/1Ju055Fz_g7F6NpxEYMaTWhm-BmFeBHmX</v>
      </c>
      <c r="O11" s="14" t="str">
        <f>IFERROR(__xludf.DUMMYFUNCTION("""COMPUTED_VALUE"""),"https://drive.google.com/file/d/1zSY7XOV5bWq5HeZ-Pma16P-W2h6X4DOC/view?usp=drivesdk")</f>
        <v>https://drive.google.com/file/d/1zSY7XOV5bWq5HeZ-Pma16P-W2h6X4DOC/view?usp=drivesdk</v>
      </c>
    </row>
    <row r="12">
      <c r="A12" s="3">
        <f>IFERROR(__xludf.DUMMYFUNCTION("""COMPUTED_VALUE"""),43.0)</f>
        <v>43</v>
      </c>
      <c r="B12" s="11">
        <f>IFERROR(__xludf.DUMMYFUNCTION("""COMPUTED_VALUE"""),45980.64889486111)</f>
        <v>45980.64889</v>
      </c>
      <c r="C12" s="3" t="str">
        <f>IFERROR(__xludf.DUMMYFUNCTION("""COMPUTED_VALUE"""),"ชั้นปีที่ 4")</f>
        <v>ชั้นปีที่ 4</v>
      </c>
      <c r="D12" s="3" t="str">
        <f>IFERROR(__xludf.DUMMYFUNCTION("""COMPUTED_VALUE"""),"6503746")</f>
        <v>6503746</v>
      </c>
      <c r="E12" s="3" t="str">
        <f>IFERROR(__xludf.DUMMYFUNCTION("""COMPUTED_VALUE"""),"56")</f>
        <v>56</v>
      </c>
      <c r="F12" s="3" t="str">
        <f>IFERROR(__xludf.DUMMYFUNCTION("""COMPUTED_VALUE"""),"นพอ.ศิริวรรณ ประกอบสัตย์")</f>
        <v>นพอ.ศิริวรรณ ประกอบสัตย์</v>
      </c>
      <c r="G12" s="3" t="str">
        <f>IFERROR(__xludf.DUMMYFUNCTION("""COMPUTED_VALUE"""),"ช่วยเหลืองานภายใน วพอ.")</f>
        <v>ช่วยเหลืองานภายใน วพอ.</v>
      </c>
      <c r="H12" s="3" t="str">
        <f>IFERROR(__xludf.DUMMYFUNCTION("""COMPUTED_VALUE"""),"งานเดิน วิ่ง ปั่น ป้องกันอัมพาต")</f>
        <v>งานเดิน วิ่ง ปั่น ป้องกันอัมพาต</v>
      </c>
      <c r="I12" s="3" t="str">
        <f>IFERROR(__xludf.DUMMYFUNCTION("""COMPUTED_VALUE"""),"ศาลากลางจังหวัดฉะเชิงเทรา")</f>
        <v>ศาลากลางจังหวัดฉะเชิงเทรา</v>
      </c>
      <c r="J12" s="12">
        <f>IFERROR(__xludf.DUMMYFUNCTION("""COMPUTED_VALUE"""),45956.0)</f>
        <v>45956</v>
      </c>
      <c r="K12" s="3" t="str">
        <f>IFERROR(__xludf.DUMMYFUNCTION("""COMPUTED_VALUE"""),"0500-0600")</f>
        <v>0500-0600</v>
      </c>
      <c r="L12" s="3">
        <f>IFERROR(__xludf.DUMMYFUNCTION("""COMPUTED_VALUE"""),1.0)</f>
        <v>1</v>
      </c>
      <c r="M12" s="3" t="str">
        <f>IFERROR(__xludf.DUMMYFUNCTION("""COMPUTED_VALUE"""),"นายเวคิน เจียโหงว")</f>
        <v>นายเวคิน เจียโหงว</v>
      </c>
      <c r="N12" s="14" t="str">
        <f>IFERROR(__xludf.DUMMYFUNCTION("""COMPUTED_VALUE"""),"https://lh5.googleusercontent.com/d/1x6_m7Z_WKlieNBo9tOVCtLw-KO_QfNqD")</f>
        <v>https://lh5.googleusercontent.com/d/1x6_m7Z_WKlieNBo9tOVCtLw-KO_QfNqD</v>
      </c>
      <c r="O12" s="14" t="str">
        <f>IFERROR(__xludf.DUMMYFUNCTION("""COMPUTED_VALUE"""),"https://drive.google.com/file/d/17UbzJwhCgry-bOOM2mkCcuVjgR0974zK/view?usp=drivesdk")</f>
        <v>https://drive.google.com/file/d/17UbzJwhCgry-bOOM2mkCcuVjgR0974zK/view?usp=drivesdk</v>
      </c>
    </row>
    <row r="13">
      <c r="A13" s="3">
        <f>IFERROR(__xludf.DUMMYFUNCTION("""COMPUTED_VALUE"""),44.0)</f>
        <v>44</v>
      </c>
      <c r="B13" s="11">
        <f>IFERROR(__xludf.DUMMYFUNCTION("""COMPUTED_VALUE"""),45980.65010248843)</f>
        <v>45980.6501</v>
      </c>
      <c r="C13" s="3" t="str">
        <f>IFERROR(__xludf.DUMMYFUNCTION("""COMPUTED_VALUE"""),"ชั้นปีที่ 4")</f>
        <v>ชั้นปีที่ 4</v>
      </c>
      <c r="D13" s="3" t="str">
        <f>IFERROR(__xludf.DUMMYFUNCTION("""COMPUTED_VALUE"""),"6503753")</f>
        <v>6503753</v>
      </c>
      <c r="E13" s="3" t="str">
        <f>IFERROR(__xludf.DUMMYFUNCTION("""COMPUTED_VALUE"""),"63")</f>
        <v>63</v>
      </c>
      <c r="F13" s="3" t="str">
        <f>IFERROR(__xludf.DUMMYFUNCTION("""COMPUTED_VALUE"""),"นพอ.อรกัญญา ทอนสูงเนิน")</f>
        <v>นพอ.อรกัญญา ทอนสูงเนิน</v>
      </c>
      <c r="G1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" s="3" t="str">
        <f>IFERROR(__xludf.DUMMYFUNCTION("""COMPUTED_VALUE"""),"ร่วมโครงการคัดกรองสุขภาพเชิงรุกกำลังพล ทอ.")</f>
        <v>ร่วมโครงการคัดกรองสุขภาพเชิงรุกกำลังพล ทอ.</v>
      </c>
      <c r="I13" s="3" t="str">
        <f>IFERROR(__xludf.DUMMYFUNCTION("""COMPUTED_VALUE"""),"สโมสรทหารอากาศชั้นประทวน")</f>
        <v>สโมสรทหารอากาศชั้นประทวน</v>
      </c>
      <c r="J13" s="12">
        <f>IFERROR(__xludf.DUMMYFUNCTION("""COMPUTED_VALUE"""),45854.0)</f>
        <v>45854</v>
      </c>
      <c r="K13" s="3" t="str">
        <f>IFERROR(__xludf.DUMMYFUNCTION("""COMPUTED_VALUE"""),"0700 - 1300")</f>
        <v>0700 - 1300</v>
      </c>
      <c r="L13" s="3">
        <f>IFERROR(__xludf.DUMMYFUNCTION("""COMPUTED_VALUE"""),6.0)</f>
        <v>6</v>
      </c>
      <c r="M13" s="3" t="str">
        <f>IFERROR(__xludf.DUMMYFUNCTION("""COMPUTED_VALUE"""),"น.ต.หญิง ตวงทิพย์ ลดาวัลย์")</f>
        <v>น.ต.หญิง ตวงทิพย์ ลดาวัลย์</v>
      </c>
      <c r="N13" s="14" t="str">
        <f>IFERROR(__xludf.DUMMYFUNCTION("""COMPUTED_VALUE"""),"https://lh5.googleusercontent.com/d/1sn_UxkYi8apZeVoC1WIAS_rIQakXN7YV")</f>
        <v>https://lh5.googleusercontent.com/d/1sn_UxkYi8apZeVoC1WIAS_rIQakXN7YV</v>
      </c>
      <c r="O13" s="14" t="str">
        <f>IFERROR(__xludf.DUMMYFUNCTION("""COMPUTED_VALUE"""),"https://drive.google.com/file/d/1Pu_IH0KxTcjrE4SOPf0rq_ps4mZO9Cco/view?usp=drivesdk")</f>
        <v>https://drive.google.com/file/d/1Pu_IH0KxTcjrE4SOPf0rq_ps4mZO9Cco/view?usp=drivesdk</v>
      </c>
    </row>
    <row r="14">
      <c r="A14" s="3">
        <f>IFERROR(__xludf.DUMMYFUNCTION("""COMPUTED_VALUE"""),45.0)</f>
        <v>45</v>
      </c>
      <c r="B14" s="11">
        <f>IFERROR(__xludf.DUMMYFUNCTION("""COMPUTED_VALUE"""),45980.65062483796)</f>
        <v>45980.65062</v>
      </c>
      <c r="C14" s="3" t="str">
        <f>IFERROR(__xludf.DUMMYFUNCTION("""COMPUTED_VALUE"""),"ชั้นปีที่ 4")</f>
        <v>ชั้นปีที่ 4</v>
      </c>
      <c r="D14" s="3" t="str">
        <f>IFERROR(__xludf.DUMMYFUNCTION("""COMPUTED_VALUE"""),"6503694")</f>
        <v>6503694</v>
      </c>
      <c r="E14" s="3" t="str">
        <f>IFERROR(__xludf.DUMMYFUNCTION("""COMPUTED_VALUE"""),"5")</f>
        <v>5</v>
      </c>
      <c r="F14" s="3" t="str">
        <f>IFERROR(__xludf.DUMMYFUNCTION("""COMPUTED_VALUE"""),"กุลธิดา ชัยนิสงค์")</f>
        <v>กุลธิดา ชัยนิสงค์</v>
      </c>
      <c r="G1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4" s="3" t="str">
        <f>IFERROR(__xludf.DUMMYFUNCTION("""COMPUTED_VALUE"""),"สโมสรทหารอากาศชั้นประทวน ")</f>
        <v>สโมสรทหารอากาศชั้นประทวน </v>
      </c>
      <c r="J14" s="12">
        <f>IFERROR(__xludf.DUMMYFUNCTION("""COMPUTED_VALUE"""),45854.0)</f>
        <v>45854</v>
      </c>
      <c r="K14" s="3" t="str">
        <f>IFERROR(__xludf.DUMMYFUNCTION("""COMPUTED_VALUE"""),"0700-1300")</f>
        <v>0700-1300</v>
      </c>
      <c r="L14" s="3">
        <f>IFERROR(__xludf.DUMMYFUNCTION("""COMPUTED_VALUE"""),6.0)</f>
        <v>6</v>
      </c>
      <c r="M14" s="3" t="str">
        <f>IFERROR(__xludf.DUMMYFUNCTION("""COMPUTED_VALUE"""),"น.ต.หญิง ตวงทิพย์ ลดาวัลย์")</f>
        <v>น.ต.หญิง ตวงทิพย์ ลดาวัลย์</v>
      </c>
      <c r="N14" s="14" t="str">
        <f>IFERROR(__xludf.DUMMYFUNCTION("""COMPUTED_VALUE"""),"https://lh5.googleusercontent.com/d/1WQIkwdGgpVPGF6lp-tNa5ufBFm8WC731")</f>
        <v>https://lh5.googleusercontent.com/d/1WQIkwdGgpVPGF6lp-tNa5ufBFm8WC731</v>
      </c>
      <c r="O14" s="14" t="str">
        <f>IFERROR(__xludf.DUMMYFUNCTION("""COMPUTED_VALUE"""),"https://drive.google.com/file/d/1YcbMvd3wb-R2iQz2Q6EZiZSokio9TDOj/view?usp=drivesdk")</f>
        <v>https://drive.google.com/file/d/1YcbMvd3wb-R2iQz2Q6EZiZSokio9TDOj/view?usp=drivesdk</v>
      </c>
    </row>
    <row r="15">
      <c r="A15" s="3">
        <f>IFERROR(__xludf.DUMMYFUNCTION("""COMPUTED_VALUE"""),46.0)</f>
        <v>46</v>
      </c>
      <c r="B15" s="11">
        <f>IFERROR(__xludf.DUMMYFUNCTION("""COMPUTED_VALUE"""),45980.652583020834)</f>
        <v>45980.65258</v>
      </c>
      <c r="C15" s="3" t="str">
        <f>IFERROR(__xludf.DUMMYFUNCTION("""COMPUTED_VALUE"""),"ชั้นปีที่ 4")</f>
        <v>ชั้นปีที่ 4</v>
      </c>
      <c r="D15" s="3" t="str">
        <f>IFERROR(__xludf.DUMMYFUNCTION("""COMPUTED_VALUE"""),"6503746")</f>
        <v>6503746</v>
      </c>
      <c r="E15" s="3" t="str">
        <f>IFERROR(__xludf.DUMMYFUNCTION("""COMPUTED_VALUE"""),"56")</f>
        <v>56</v>
      </c>
      <c r="F15" s="3" t="str">
        <f>IFERROR(__xludf.DUMMYFUNCTION("""COMPUTED_VALUE"""),"นพอ.ศิริวรรณ ประกอบสัตย์")</f>
        <v>นพอ.ศิริวรรณ ประกอบสัตย์</v>
      </c>
      <c r="G15" s="3" t="str">
        <f>IFERROR(__xludf.DUMMYFUNCTION("""COMPUTED_VALUE"""),"ทำนุบำรุงศาสนสถาน")</f>
        <v>ทำนุบำรุงศาสนสถาน</v>
      </c>
      <c r="H15" s="3" t="str">
        <f>IFERROR(__xludf.DUMMYFUNCTION("""COMPUTED_VALUE"""),"ทำกระทง")</f>
        <v>ทำกระทง</v>
      </c>
      <c r="I15" s="3" t="str">
        <f>IFERROR(__xludf.DUMMYFUNCTION("""COMPUTED_VALUE"""),"รพ.สต.บางขวัญ")</f>
        <v>รพ.สต.บางขวัญ</v>
      </c>
      <c r="J15" s="12">
        <f>IFERROR(__xludf.DUMMYFUNCTION("""COMPUTED_VALUE"""),45965.0)</f>
        <v>45965</v>
      </c>
      <c r="K15" s="3" t="str">
        <f>IFERROR(__xludf.DUMMYFUNCTION("""COMPUTED_VALUE"""),"1300-1700")</f>
        <v>1300-1700</v>
      </c>
      <c r="L15" s="3">
        <f>IFERROR(__xludf.DUMMYFUNCTION("""COMPUTED_VALUE"""),4.0)</f>
        <v>4</v>
      </c>
      <c r="M15" s="3" t="str">
        <f>IFERROR(__xludf.DUMMYFUNCTION("""COMPUTED_VALUE"""),"นายเวคิน เจียโหงว")</f>
        <v>นายเวคิน เจียโหงว</v>
      </c>
      <c r="N15" s="14" t="str">
        <f>IFERROR(__xludf.DUMMYFUNCTION("""COMPUTED_VALUE"""),"https://lh5.googleusercontent.com/d/1tDjYrt3pyGlzYKfJJhZptCYkAxiFHqQj")</f>
        <v>https://lh5.googleusercontent.com/d/1tDjYrt3pyGlzYKfJJhZptCYkAxiFHqQj</v>
      </c>
      <c r="O15" s="14" t="str">
        <f>IFERROR(__xludf.DUMMYFUNCTION("""COMPUTED_VALUE"""),"https://drive.google.com/file/d/1ukTfnuVjIgDa0mkpi26EeAMckOddNbsz/view?usp=drivesdk")</f>
        <v>https://drive.google.com/file/d/1ukTfnuVjIgDa0mkpi26EeAMckOddNbsz/view?usp=drivesdk</v>
      </c>
    </row>
    <row r="16">
      <c r="A16" s="3">
        <f>IFERROR(__xludf.DUMMYFUNCTION("""COMPUTED_VALUE"""),47.0)</f>
        <v>47</v>
      </c>
      <c r="B16" s="11">
        <f>IFERROR(__xludf.DUMMYFUNCTION("""COMPUTED_VALUE"""),45980.654011273145)</f>
        <v>45980.65401</v>
      </c>
      <c r="C16" s="3" t="str">
        <f>IFERROR(__xludf.DUMMYFUNCTION("""COMPUTED_VALUE"""),"ชั้นปีที่ 4")</f>
        <v>ชั้นปีที่ 4</v>
      </c>
      <c r="D16" s="3" t="str">
        <f>IFERROR(__xludf.DUMMYFUNCTION("""COMPUTED_VALUE"""),"6503746")</f>
        <v>6503746</v>
      </c>
      <c r="E16" s="3" t="str">
        <f>IFERROR(__xludf.DUMMYFUNCTION("""COMPUTED_VALUE"""),"56")</f>
        <v>56</v>
      </c>
      <c r="F16" s="3" t="str">
        <f>IFERROR(__xludf.DUMMYFUNCTION("""COMPUTED_VALUE"""),"นพอ.ศิริวรรณ ประกอบสัตย์")</f>
        <v>นพอ.ศิริวรรณ ประกอบสัตย์</v>
      </c>
      <c r="G16" s="3" t="str">
        <f>IFERROR(__xludf.DUMMYFUNCTION("""COMPUTED_VALUE"""),"งานฟรีทั่วไป")</f>
        <v>งานฟรีทั่วไป</v>
      </c>
      <c r="H16" s="3" t="str">
        <f>IFERROR(__xludf.DUMMYFUNCTION("""COMPUTED_VALUE"""),"วันรักต้นไม้ประจำปีของชาติ")</f>
        <v>วันรักต้นไม้ประจำปีของชาติ</v>
      </c>
      <c r="I16" s="3" t="str">
        <f>IFERROR(__xludf.DUMMYFUNCTION("""COMPUTED_VALUE"""),"รพ.สต.บางขวัญ")</f>
        <v>รพ.สต.บางขวัญ</v>
      </c>
      <c r="J16" s="12">
        <f>IFERROR(__xludf.DUMMYFUNCTION("""COMPUTED_VALUE"""),45982.0)</f>
        <v>45982</v>
      </c>
      <c r="K16" s="3" t="str">
        <f>IFERROR(__xludf.DUMMYFUNCTION("""COMPUTED_VALUE"""),"0800-1200")</f>
        <v>0800-1200</v>
      </c>
      <c r="L16" s="3">
        <f>IFERROR(__xludf.DUMMYFUNCTION("""COMPUTED_VALUE"""),4.0)</f>
        <v>4</v>
      </c>
      <c r="M16" s="3" t="str">
        <f>IFERROR(__xludf.DUMMYFUNCTION("""COMPUTED_VALUE"""),"นายเวคิน เจียโหงว")</f>
        <v>นายเวคิน เจียโหงว</v>
      </c>
      <c r="N16" s="14" t="str">
        <f>IFERROR(__xludf.DUMMYFUNCTION("""COMPUTED_VALUE"""),"https://lh5.googleusercontent.com/d/1sIgCx9eRsZzzl1LUTG-8XHQVcttJBBNa")</f>
        <v>https://lh5.googleusercontent.com/d/1sIgCx9eRsZzzl1LUTG-8XHQVcttJBBNa</v>
      </c>
      <c r="O16" s="14" t="str">
        <f>IFERROR(__xludf.DUMMYFUNCTION("""COMPUTED_VALUE"""),"https://drive.google.com/file/d/1v0ZvopSlBIBwiKNiBBKHuMIDEUODeVZO/view?usp=drivesdk")</f>
        <v>https://drive.google.com/file/d/1v0ZvopSlBIBwiKNiBBKHuMIDEUODeVZO/view?usp=drivesdk</v>
      </c>
    </row>
    <row r="17">
      <c r="A17" s="3">
        <f>IFERROR(__xludf.DUMMYFUNCTION("""COMPUTED_VALUE"""),49.0)</f>
        <v>49</v>
      </c>
      <c r="B17" s="11">
        <f>IFERROR(__xludf.DUMMYFUNCTION("""COMPUTED_VALUE"""),45980.81372534722)</f>
        <v>45980.81373</v>
      </c>
      <c r="C17" s="3" t="str">
        <f>IFERROR(__xludf.DUMMYFUNCTION("""COMPUTED_VALUE"""),"ชั้นปีที่ 4")</f>
        <v>ชั้นปีที่ 4</v>
      </c>
      <c r="D17" s="3" t="str">
        <f>IFERROR(__xludf.DUMMYFUNCTION("""COMPUTED_VALUE"""),"6503718")</f>
        <v>6503718</v>
      </c>
      <c r="E17" s="3" t="str">
        <f>IFERROR(__xludf.DUMMYFUNCTION("""COMPUTED_VALUE"""),"29")</f>
        <v>29</v>
      </c>
      <c r="F17" s="3" t="str">
        <f>IFERROR(__xludf.DUMMYFUNCTION("""COMPUTED_VALUE"""),"นพอ.นนทิชา แสงตาล")</f>
        <v>นพอ.นนทิชา แสงตาล</v>
      </c>
      <c r="G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7" s="3" t="str">
        <f>IFERROR(__xludf.DUMMYFUNCTION("""COMPUTED_VALUE"""),"สโมสรทหารอากาศชั้นประทวน")</f>
        <v>สโมสรทหารอากาศชั้นประทวน</v>
      </c>
      <c r="J17" s="12">
        <f>IFERROR(__xludf.DUMMYFUNCTION("""COMPUTED_VALUE"""),45854.0)</f>
        <v>45854</v>
      </c>
      <c r="K17" s="3" t="str">
        <f>IFERROR(__xludf.DUMMYFUNCTION("""COMPUTED_VALUE"""),"0700 - 1300")</f>
        <v>0700 - 1300</v>
      </c>
      <c r="L17" s="3">
        <f>IFERROR(__xludf.DUMMYFUNCTION("""COMPUTED_VALUE"""),6.0)</f>
        <v>6</v>
      </c>
      <c r="M17" s="3" t="str">
        <f>IFERROR(__xludf.DUMMYFUNCTION("""COMPUTED_VALUE"""),"น.ต.หญิง ตวงทิพย์ ลดาวัลย์")</f>
        <v>น.ต.หญิง ตวงทิพย์ ลดาวัลย์</v>
      </c>
      <c r="N17" s="14" t="str">
        <f>IFERROR(__xludf.DUMMYFUNCTION("""COMPUTED_VALUE"""),"https://lh5.googleusercontent.com/d/1iKElwFFIY1VY_GyGfCkHyXwShR2ZDlc-")</f>
        <v>https://lh5.googleusercontent.com/d/1iKElwFFIY1VY_GyGfCkHyXwShR2ZDlc-</v>
      </c>
      <c r="O17" s="14" t="str">
        <f>IFERROR(__xludf.DUMMYFUNCTION("""COMPUTED_VALUE"""),"https://drive.google.com/file/d/16NH7D49_SFlCjKTfJ6fBGFzeQhrdAG0g/view?usp=drivesdk")</f>
        <v>https://drive.google.com/file/d/16NH7D49_SFlCjKTfJ6fBGFzeQhrdAG0g/view?usp=drivesdk</v>
      </c>
    </row>
    <row r="18">
      <c r="A18" s="3">
        <f>IFERROR(__xludf.DUMMYFUNCTION("""COMPUTED_VALUE"""),50.0)</f>
        <v>50</v>
      </c>
      <c r="B18" s="11">
        <f>IFERROR(__xludf.DUMMYFUNCTION("""COMPUTED_VALUE"""),45980.82272265046)</f>
        <v>45980.82272</v>
      </c>
      <c r="C18" s="3" t="str">
        <f>IFERROR(__xludf.DUMMYFUNCTION("""COMPUTED_VALUE"""),"ชั้นปีที่ 4")</f>
        <v>ชั้นปีที่ 4</v>
      </c>
      <c r="D18" s="3" t="str">
        <f>IFERROR(__xludf.DUMMYFUNCTION("""COMPUTED_VALUE"""),"6503698")</f>
        <v>6503698</v>
      </c>
      <c r="E18" s="3" t="str">
        <f>IFERROR(__xludf.DUMMYFUNCTION("""COMPUTED_VALUE"""),"9")</f>
        <v>9</v>
      </c>
      <c r="F18" s="3" t="str">
        <f>IFERROR(__xludf.DUMMYFUNCTION("""COMPUTED_VALUE"""),"นพอ.จุฑานภัสร์ ฟ้าบรรเจิด")</f>
        <v>นพอ.จุฑานภัสร์ ฟ้าบรรเจิด</v>
      </c>
      <c r="G18" s="3" t="str">
        <f>IFERROR(__xludf.DUMMYFUNCTION("""COMPUTED_VALUE"""),"ช่วยเหลืองานภายใน วพอ.")</f>
        <v>ช่วยเหลืองานภายใน วพอ.</v>
      </c>
      <c r="H18" s="3" t="str">
        <f>IFERROR(__xludf.DUMMYFUNCTION("""COMPUTED_VALUE"""),"แต่งหน้านภาภิบาล")</f>
        <v>แต่งหน้านภาภิบาล</v>
      </c>
      <c r="I18" s="3" t="str">
        <f>IFERROR(__xludf.DUMMYFUNCTION("""COMPUTED_VALUE"""),"วพอ.พอ.")</f>
        <v>วพอ.พอ.</v>
      </c>
      <c r="J18" s="12">
        <f>IFERROR(__xludf.DUMMYFUNCTION("""COMPUTED_VALUE"""),45764.0)</f>
        <v>45764</v>
      </c>
      <c r="K18" s="3" t="str">
        <f>IFERROR(__xludf.DUMMYFUNCTION("""COMPUTED_VALUE"""),"1200-1300")</f>
        <v>1200-1300</v>
      </c>
      <c r="L18" s="3">
        <f>IFERROR(__xludf.DUMMYFUNCTION("""COMPUTED_VALUE"""),1.0)</f>
        <v>1</v>
      </c>
      <c r="M18" s="3" t="str">
        <f>IFERROR(__xludf.DUMMYFUNCTION("""COMPUTED_VALUE"""),"น.ท.หญิง ฤทัยวรรณ นวมพันธ์")</f>
        <v>น.ท.หญิง ฤทัยวรรณ นวมพันธ์</v>
      </c>
      <c r="N18" s="14" t="str">
        <f>IFERROR(__xludf.DUMMYFUNCTION("""COMPUTED_VALUE"""),"https://lh5.googleusercontent.com/d/1bL6oYgHSTAWt4y5D0HNR0PGI37vgyBs8")</f>
        <v>https://lh5.googleusercontent.com/d/1bL6oYgHSTAWt4y5D0HNR0PGI37vgyBs8</v>
      </c>
      <c r="O18" s="14" t="str">
        <f>IFERROR(__xludf.DUMMYFUNCTION("""COMPUTED_VALUE"""),"https://drive.google.com/file/d/177eTB4RQfShIF3W92jRv-X26Jgt0Qnl1/view?usp=drivesdk")</f>
        <v>https://drive.google.com/file/d/177eTB4RQfShIF3W92jRv-X26Jgt0Qnl1/view?usp=drivesdk</v>
      </c>
    </row>
    <row r="19">
      <c r="A19" s="3">
        <f>IFERROR(__xludf.DUMMYFUNCTION("""COMPUTED_VALUE"""),51.0)</f>
        <v>51</v>
      </c>
      <c r="B19" s="11">
        <f>IFERROR(__xludf.DUMMYFUNCTION("""COMPUTED_VALUE"""),45980.82288792825)</f>
        <v>45980.82289</v>
      </c>
      <c r="C19" s="3" t="str">
        <f>IFERROR(__xludf.DUMMYFUNCTION("""COMPUTED_VALUE"""),"ชั้นปีที่ 4")</f>
        <v>ชั้นปีที่ 4</v>
      </c>
      <c r="D19" s="3" t="str">
        <f>IFERROR(__xludf.DUMMYFUNCTION("""COMPUTED_VALUE"""),"6503713")</f>
        <v>6503713</v>
      </c>
      <c r="E19" s="3" t="str">
        <f>IFERROR(__xludf.DUMMYFUNCTION("""COMPUTED_VALUE"""),"24")</f>
        <v>24</v>
      </c>
      <c r="F19" s="3" t="str">
        <f>IFERROR(__xludf.DUMMYFUNCTION("""COMPUTED_VALUE"""),"นพอ.ดิษยา คงเจริญ")</f>
        <v>นพอ.ดิษยา คงเจริญ</v>
      </c>
      <c r="G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9" s="3" t="str">
        <f>IFERROR(__xludf.DUMMYFUNCTION("""COMPUTED_VALUE"""),"สโมสรทหารอากาศชั้นประทวน")</f>
        <v>สโมสรทหารอากาศชั้นประทวน</v>
      </c>
      <c r="J19" s="12">
        <f>IFERROR(__xludf.DUMMYFUNCTION("""COMPUTED_VALUE"""),45854.0)</f>
        <v>45854</v>
      </c>
      <c r="K19" s="3" t="str">
        <f>IFERROR(__xludf.DUMMYFUNCTION("""COMPUTED_VALUE"""),"0700-1300")</f>
        <v>0700-1300</v>
      </c>
      <c r="L19" s="3">
        <f>IFERROR(__xludf.DUMMYFUNCTION("""COMPUTED_VALUE"""),6.0)</f>
        <v>6</v>
      </c>
      <c r="M19" s="3" t="str">
        <f>IFERROR(__xludf.DUMMYFUNCTION("""COMPUTED_VALUE"""),"น.ต.หญิง ตวงทิพย์ ลดาวัลย์")</f>
        <v>น.ต.หญิง ตวงทิพย์ ลดาวัลย์</v>
      </c>
      <c r="N19" s="14" t="str">
        <f>IFERROR(__xludf.DUMMYFUNCTION("""COMPUTED_VALUE"""),"https://lh5.googleusercontent.com/d/16RalPVaVpVFFHZ_hm-7DaM4yFkDO74SX")</f>
        <v>https://lh5.googleusercontent.com/d/16RalPVaVpVFFHZ_hm-7DaM4yFkDO74SX</v>
      </c>
      <c r="O19" s="14" t="str">
        <f>IFERROR(__xludf.DUMMYFUNCTION("""COMPUTED_VALUE"""),"https://drive.google.com/file/d/12ahQqUwIKOHs4wLwOSE6rQNFPHBNLeq8/view?usp=drivesdk")</f>
        <v>https://drive.google.com/file/d/12ahQqUwIKOHs4wLwOSE6rQNFPHBNLeq8/view?usp=drivesdk</v>
      </c>
    </row>
    <row r="20">
      <c r="A20" s="3">
        <f>IFERROR(__xludf.DUMMYFUNCTION("""COMPUTED_VALUE"""),52.0)</f>
        <v>52</v>
      </c>
      <c r="B20" s="11">
        <f>IFERROR(__xludf.DUMMYFUNCTION("""COMPUTED_VALUE"""),45980.826966793975)</f>
        <v>45980.82697</v>
      </c>
      <c r="C20" s="3" t="str">
        <f>IFERROR(__xludf.DUMMYFUNCTION("""COMPUTED_VALUE"""),"ชั้นปีที่ 4")</f>
        <v>ชั้นปีที่ 4</v>
      </c>
      <c r="D20" s="3" t="str">
        <f>IFERROR(__xludf.DUMMYFUNCTION("""COMPUTED_VALUE"""),"6503698")</f>
        <v>6503698</v>
      </c>
      <c r="E20" s="3" t="str">
        <f>IFERROR(__xludf.DUMMYFUNCTION("""COMPUTED_VALUE"""),"9")</f>
        <v>9</v>
      </c>
      <c r="F20" s="3" t="str">
        <f>IFERROR(__xludf.DUMMYFUNCTION("""COMPUTED_VALUE"""),"นพอ.จุฑานภัสร์ ฟ้าบรรเจิด")</f>
        <v>นพอ.จุฑานภัสร์ ฟ้าบรรเจิด</v>
      </c>
      <c r="G20" s="3" t="str">
        <f>IFERROR(__xludf.DUMMYFUNCTION("""COMPUTED_VALUE"""),"ช่วยเหลืองานภายใน วพอ.")</f>
        <v>ช่วยเหลืองานภายใน วพอ.</v>
      </c>
      <c r="H20" s="3" t="str">
        <f>IFERROR(__xludf.DUMMYFUNCTION("""COMPUTED_VALUE"""),"แต่งหน้านภาภิบาล")</f>
        <v>แต่งหน้านภาภิบาล</v>
      </c>
      <c r="I20" s="3" t="str">
        <f>IFERROR(__xludf.DUMMYFUNCTION("""COMPUTED_VALUE"""),"วพอ.พอ.")</f>
        <v>วพอ.พอ.</v>
      </c>
      <c r="J20" s="12">
        <f>IFERROR(__xludf.DUMMYFUNCTION("""COMPUTED_VALUE"""),45765.0)</f>
        <v>45765</v>
      </c>
      <c r="K20" s="3" t="str">
        <f>IFERROR(__xludf.DUMMYFUNCTION("""COMPUTED_VALUE"""),"0400-0700")</f>
        <v>0400-0700</v>
      </c>
      <c r="L20" s="3">
        <f>IFERROR(__xludf.DUMMYFUNCTION("""COMPUTED_VALUE"""),3.0)</f>
        <v>3</v>
      </c>
      <c r="M20" s="3" t="str">
        <f>IFERROR(__xludf.DUMMYFUNCTION("""COMPUTED_VALUE"""),"น.ท.หญิง ฤทัยวรรณ นวมพันธ์")</f>
        <v>น.ท.หญิง ฤทัยวรรณ นวมพันธ์</v>
      </c>
      <c r="N20" s="14" t="str">
        <f>IFERROR(__xludf.DUMMYFUNCTION("""COMPUTED_VALUE"""),"https://lh5.googleusercontent.com/d/1ENS3ZPthqRL5SKTQSRxlTkL-ErHoOlI2")</f>
        <v>https://lh5.googleusercontent.com/d/1ENS3ZPthqRL5SKTQSRxlTkL-ErHoOlI2</v>
      </c>
      <c r="O20" s="14" t="str">
        <f>IFERROR(__xludf.DUMMYFUNCTION("""COMPUTED_VALUE"""),"https://drive.google.com/file/d/1j1hiINdZXSiaZ1e4yTMH0ZNNUYkScm8B/view?usp=drivesdk")</f>
        <v>https://drive.google.com/file/d/1j1hiINdZXSiaZ1e4yTMH0ZNNUYkScm8B/view?usp=drivesdk</v>
      </c>
    </row>
    <row r="21">
      <c r="A21" s="3">
        <f>IFERROR(__xludf.DUMMYFUNCTION("""COMPUTED_VALUE"""),53.0)</f>
        <v>53</v>
      </c>
      <c r="B21" s="11">
        <f>IFERROR(__xludf.DUMMYFUNCTION("""COMPUTED_VALUE"""),45980.829801423606)</f>
        <v>45980.8298</v>
      </c>
      <c r="C21" s="3" t="str">
        <f>IFERROR(__xludf.DUMMYFUNCTION("""COMPUTED_VALUE"""),"ชั้นปีที่ 4")</f>
        <v>ชั้นปีที่ 4</v>
      </c>
      <c r="D21" s="3" t="str">
        <f>IFERROR(__xludf.DUMMYFUNCTION("""COMPUTED_VALUE"""),"6503698")</f>
        <v>6503698</v>
      </c>
      <c r="E21" s="3" t="str">
        <f>IFERROR(__xludf.DUMMYFUNCTION("""COMPUTED_VALUE"""),"9")</f>
        <v>9</v>
      </c>
      <c r="F21" s="3" t="str">
        <f>IFERROR(__xludf.DUMMYFUNCTION("""COMPUTED_VALUE"""),"นพอ.จุฑานภัสร์ ฟ้าบรรเจิด")</f>
        <v>นพอ.จุฑานภัสร์ ฟ้าบรรเจิด</v>
      </c>
      <c r="G21" s="3" t="str">
        <f>IFERROR(__xludf.DUMMYFUNCTION("""COMPUTED_VALUE"""),"ช่วยเหลืองานภายใน วพอ.")</f>
        <v>ช่วยเหลืองานภายใน วพอ.</v>
      </c>
      <c r="H21" s="3" t="str">
        <f>IFERROR(__xludf.DUMMYFUNCTION("""COMPUTED_VALUE"""),"จัดสถานที่สัมภาษณ์นพอ.68")</f>
        <v>จัดสถานที่สัมภาษณ์นพอ.68</v>
      </c>
      <c r="I21" s="3" t="str">
        <f>IFERROR(__xludf.DUMMYFUNCTION("""COMPUTED_VALUE"""),"วพอ.พอ.")</f>
        <v>วพอ.พอ.</v>
      </c>
      <c r="J21" s="12">
        <f>IFERROR(__xludf.DUMMYFUNCTION("""COMPUTED_VALUE"""),45779.0)</f>
        <v>45779</v>
      </c>
      <c r="K21" s="3" t="str">
        <f>IFERROR(__xludf.DUMMYFUNCTION("""COMPUTED_VALUE"""),"0800-1200")</f>
        <v>0800-1200</v>
      </c>
      <c r="L21" s="3">
        <f>IFERROR(__xludf.DUMMYFUNCTION("""COMPUTED_VALUE"""),4.0)</f>
        <v>4</v>
      </c>
      <c r="M21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21" s="14" t="str">
        <f>IFERROR(__xludf.DUMMYFUNCTION("""COMPUTED_VALUE"""),"https://lh5.googleusercontent.com/d/1jX6Bidzeq3mxXXzpSs3PX4kRWVmsXyIZ")</f>
        <v>https://lh5.googleusercontent.com/d/1jX6Bidzeq3mxXXzpSs3PX4kRWVmsXyIZ</v>
      </c>
      <c r="O21" s="14" t="str">
        <f>IFERROR(__xludf.DUMMYFUNCTION("""COMPUTED_VALUE"""),"https://drive.google.com/file/d/1m-0c2RTVlOnmrGmkK3H-0XGl1xn3apB6/view?usp=drivesdk")</f>
        <v>https://drive.google.com/file/d/1m-0c2RTVlOnmrGmkK3H-0XGl1xn3apB6/view?usp=drivesdk</v>
      </c>
    </row>
    <row r="22">
      <c r="A22" s="3">
        <f>IFERROR(__xludf.DUMMYFUNCTION("""COMPUTED_VALUE"""),56.0)</f>
        <v>56</v>
      </c>
      <c r="B22" s="11">
        <f>IFERROR(__xludf.DUMMYFUNCTION("""COMPUTED_VALUE"""),45980.83302997686)</f>
        <v>45980.83303</v>
      </c>
      <c r="C22" s="3" t="str">
        <f>IFERROR(__xludf.DUMMYFUNCTION("""COMPUTED_VALUE"""),"ชั้นปีที่ 4")</f>
        <v>ชั้นปีที่ 4</v>
      </c>
      <c r="D22" s="3" t="str">
        <f>IFERROR(__xludf.DUMMYFUNCTION("""COMPUTED_VALUE"""),"6503698")</f>
        <v>6503698</v>
      </c>
      <c r="E22" s="3" t="str">
        <f>IFERROR(__xludf.DUMMYFUNCTION("""COMPUTED_VALUE"""),"9")</f>
        <v>9</v>
      </c>
      <c r="F22" s="3" t="str">
        <f>IFERROR(__xludf.DUMMYFUNCTION("""COMPUTED_VALUE"""),"นพอ.จุฑานภัสร์ ฟ้าบรรเจิด")</f>
        <v>นพอ.จุฑานภัสร์ ฟ้าบรรเจิด</v>
      </c>
      <c r="G22" s="3" t="str">
        <f>IFERROR(__xludf.DUMMYFUNCTION("""COMPUTED_VALUE"""),"ช่วยเหลืองานภายใน วพอ.")</f>
        <v>ช่วยเหลืองานภายใน วพอ.</v>
      </c>
      <c r="H22" s="3" t="str">
        <f>IFERROR(__xludf.DUMMYFUNCTION("""COMPUTED_VALUE"""),"จัดสถานที่สัมภาษณ์นพอ.68")</f>
        <v>จัดสถานที่สัมภาษณ์นพอ.68</v>
      </c>
      <c r="I22" s="3" t="str">
        <f>IFERROR(__xludf.DUMMYFUNCTION("""COMPUTED_VALUE"""),"วพอ.พอ.")</f>
        <v>วพอ.พอ.</v>
      </c>
      <c r="J22" s="12">
        <f>IFERROR(__xludf.DUMMYFUNCTION("""COMPUTED_VALUE"""),45779.0)</f>
        <v>45779</v>
      </c>
      <c r="K22" s="3" t="str">
        <f>IFERROR(__xludf.DUMMYFUNCTION("""COMPUTED_VALUE"""),"1300-1700")</f>
        <v>1300-1700</v>
      </c>
      <c r="L22" s="3">
        <f>IFERROR(__xludf.DUMMYFUNCTION("""COMPUTED_VALUE"""),4.0)</f>
        <v>4</v>
      </c>
      <c r="M22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22" s="14" t="str">
        <f>IFERROR(__xludf.DUMMYFUNCTION("""COMPUTED_VALUE"""),"https://lh5.googleusercontent.com/d/1NsmYisw67wLcZfB4zh2z59bQ7vkIi3ck")</f>
        <v>https://lh5.googleusercontent.com/d/1NsmYisw67wLcZfB4zh2z59bQ7vkIi3ck</v>
      </c>
      <c r="O22" s="14" t="str">
        <f>IFERROR(__xludf.DUMMYFUNCTION("""COMPUTED_VALUE"""),"https://drive.google.com/file/d/1Snqb11XZJ9ow7p2UliNzn_rD1UgGa0dk/view?usp=drivesdk")</f>
        <v>https://drive.google.com/file/d/1Snqb11XZJ9ow7p2UliNzn_rD1UgGa0dk/view?usp=drivesdk</v>
      </c>
    </row>
    <row r="23">
      <c r="A23" s="3">
        <f>IFERROR(__xludf.DUMMYFUNCTION("""COMPUTED_VALUE"""),58.0)</f>
        <v>58</v>
      </c>
      <c r="B23" s="11">
        <f>IFERROR(__xludf.DUMMYFUNCTION("""COMPUTED_VALUE"""),45980.8364943287)</f>
        <v>45980.83649</v>
      </c>
      <c r="C23" s="3" t="str">
        <f>IFERROR(__xludf.DUMMYFUNCTION("""COMPUTED_VALUE"""),"ชั้นปีที่ 4")</f>
        <v>ชั้นปีที่ 4</v>
      </c>
      <c r="D23" s="3" t="str">
        <f>IFERROR(__xludf.DUMMYFUNCTION("""COMPUTED_VALUE"""),"6503698")</f>
        <v>6503698</v>
      </c>
      <c r="E23" s="3" t="str">
        <f>IFERROR(__xludf.DUMMYFUNCTION("""COMPUTED_VALUE"""),"9")</f>
        <v>9</v>
      </c>
      <c r="F23" s="3" t="str">
        <f>IFERROR(__xludf.DUMMYFUNCTION("""COMPUTED_VALUE"""),"นพอ.จุฑานภัสร์ ฟ้าบรรเจิด")</f>
        <v>นพอ.จุฑานภัสร์ ฟ้าบรรเจิด</v>
      </c>
      <c r="G23" s="3" t="str">
        <f>IFERROR(__xludf.DUMMYFUNCTION("""COMPUTED_VALUE"""),"ช่วยเหลืองานภายใน วพอ.")</f>
        <v>ช่วยเหลืองานภายใน วพอ.</v>
      </c>
      <c r="H23" s="3" t="str">
        <f>IFERROR(__xludf.DUMMYFUNCTION("""COMPUTED_VALUE"""),"ทดสอบวิภาววิสัย")</f>
        <v>ทดสอบวิภาววิสัย</v>
      </c>
      <c r="I23" s="3" t="str">
        <f>IFERROR(__xludf.DUMMYFUNCTION("""COMPUTED_VALUE"""),"วพอ.พอ.")</f>
        <v>วพอ.พอ.</v>
      </c>
      <c r="J23" s="12">
        <f>IFERROR(__xludf.DUMMYFUNCTION("""COMPUTED_VALUE"""),45783.0)</f>
        <v>45783</v>
      </c>
      <c r="K23" s="3" t="str">
        <f>IFERROR(__xludf.DUMMYFUNCTION("""COMPUTED_VALUE"""),"1300-1700")</f>
        <v>1300-1700</v>
      </c>
      <c r="L23" s="3">
        <f>IFERROR(__xludf.DUMMYFUNCTION("""COMPUTED_VALUE"""),4.0)</f>
        <v>4</v>
      </c>
      <c r="M23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23" s="14" t="str">
        <f>IFERROR(__xludf.DUMMYFUNCTION("""COMPUTED_VALUE"""),"https://lh5.googleusercontent.com/d/15MOF85VXVPQ_2p52Igw76vpfa4_H8_fd")</f>
        <v>https://lh5.googleusercontent.com/d/15MOF85VXVPQ_2p52Igw76vpfa4_H8_fd</v>
      </c>
      <c r="O23" s="14" t="str">
        <f>IFERROR(__xludf.DUMMYFUNCTION("""COMPUTED_VALUE"""),"https://drive.google.com/file/d/1kuh1Y-uG3RPU_F0szTaxE6oT19tykEBB/view?usp=drivesdk")</f>
        <v>https://drive.google.com/file/d/1kuh1Y-uG3RPU_F0szTaxE6oT19tykEBB/view?usp=drivesdk</v>
      </c>
    </row>
    <row r="24">
      <c r="A24" s="3">
        <f>IFERROR(__xludf.DUMMYFUNCTION("""COMPUTED_VALUE"""),60.0)</f>
        <v>60</v>
      </c>
      <c r="B24" s="11">
        <f>IFERROR(__xludf.DUMMYFUNCTION("""COMPUTED_VALUE"""),45980.83867319444)</f>
        <v>45980.83867</v>
      </c>
      <c r="C24" s="3" t="str">
        <f>IFERROR(__xludf.DUMMYFUNCTION("""COMPUTED_VALUE"""),"ชั้นปีที่ 4")</f>
        <v>ชั้นปีที่ 4</v>
      </c>
      <c r="D24" s="3" t="str">
        <f>IFERROR(__xludf.DUMMYFUNCTION("""COMPUTED_VALUE"""),"6503713")</f>
        <v>6503713</v>
      </c>
      <c r="E24" s="3" t="str">
        <f>IFERROR(__xludf.DUMMYFUNCTION("""COMPUTED_VALUE"""),"24")</f>
        <v>24</v>
      </c>
      <c r="F24" s="3" t="str">
        <f>IFERROR(__xludf.DUMMYFUNCTION("""COMPUTED_VALUE"""),"นพอ.ดิษยา คงเจริญ")</f>
        <v>นพอ.ดิษยา คงเจริญ</v>
      </c>
      <c r="G24" s="3" t="str">
        <f>IFERROR(__xludf.DUMMYFUNCTION("""COMPUTED_VALUE"""),"ทำนุบำรุงศาสนสถาน")</f>
        <v>ทำนุบำรุงศาสนสถาน</v>
      </c>
      <c r="H24" s="3" t="str">
        <f>IFERROR(__xludf.DUMMYFUNCTION("""COMPUTED_VALUE"""),"ร่วมทำโรงทาน จากอาหาร")</f>
        <v>ร่วมทำโรงทาน จากอาหาร</v>
      </c>
      <c r="I24" s="3" t="str">
        <f>IFERROR(__xludf.DUMMYFUNCTION("""COMPUTED_VALUE"""),"วัดทดราษฎร์เจริญมณีฤทธิ์")</f>
        <v>วัดทดราษฎร์เจริญมณีฤทธิ์</v>
      </c>
      <c r="J24" s="12">
        <f>IFERROR(__xludf.DUMMYFUNCTION("""COMPUTED_VALUE"""),45949.0)</f>
        <v>45949</v>
      </c>
      <c r="K24" s="3" t="str">
        <f>IFERROR(__xludf.DUMMYFUNCTION("""COMPUTED_VALUE"""),"0700-1000")</f>
        <v>0700-1000</v>
      </c>
      <c r="L24" s="3">
        <f>IFERROR(__xludf.DUMMYFUNCTION("""COMPUTED_VALUE"""),3.0)</f>
        <v>3</v>
      </c>
      <c r="M24" s="3" t="str">
        <f>IFERROR(__xludf.DUMMYFUNCTION("""COMPUTED_VALUE"""),"นางสาววันวิสา ดำริมุ่งกิจ")</f>
        <v>นางสาววันวิสา ดำริมุ่งกิจ</v>
      </c>
      <c r="N24" s="14" t="str">
        <f>IFERROR(__xludf.DUMMYFUNCTION("""COMPUTED_VALUE"""),"https://lh5.googleusercontent.com/d/1I62JFQY8SyN-09xX-XVJa2Hx-H76kLpw")</f>
        <v>https://lh5.googleusercontent.com/d/1I62JFQY8SyN-09xX-XVJa2Hx-H76kLpw</v>
      </c>
      <c r="O24" s="14" t="str">
        <f>IFERROR(__xludf.DUMMYFUNCTION("""COMPUTED_VALUE"""),"https://drive.google.com/file/d/1ycDbuVZWKGxDDfvl8BvRQ6XCN37cSDD-/view?usp=drivesdk")</f>
        <v>https://drive.google.com/file/d/1ycDbuVZWKGxDDfvl8BvRQ6XCN37cSDD-/view?usp=drivesdk</v>
      </c>
    </row>
    <row r="25">
      <c r="A25" s="3">
        <f>IFERROR(__xludf.DUMMYFUNCTION("""COMPUTED_VALUE"""),61.0)</f>
        <v>61</v>
      </c>
      <c r="B25" s="11">
        <f>IFERROR(__xludf.DUMMYFUNCTION("""COMPUTED_VALUE"""),45980.840166562506)</f>
        <v>45980.84017</v>
      </c>
      <c r="C25" s="3" t="str">
        <f>IFERROR(__xludf.DUMMYFUNCTION("""COMPUTED_VALUE"""),"ชั้นปีที่ 4")</f>
        <v>ชั้นปีที่ 4</v>
      </c>
      <c r="D25" s="3" t="str">
        <f>IFERROR(__xludf.DUMMYFUNCTION("""COMPUTED_VALUE"""),"6503698")</f>
        <v>6503698</v>
      </c>
      <c r="E25" s="3" t="str">
        <f>IFERROR(__xludf.DUMMYFUNCTION("""COMPUTED_VALUE"""),"9")</f>
        <v>9</v>
      </c>
      <c r="F25" s="3" t="str">
        <f>IFERROR(__xludf.DUMMYFUNCTION("""COMPUTED_VALUE"""),"นพอ.จุฑานภัสร์ ฟ้าบรรเจิด")</f>
        <v>นพอ.จุฑานภัสร์ ฟ้าบรรเจิด</v>
      </c>
      <c r="G25" s="3" t="str">
        <f>IFERROR(__xludf.DUMMYFUNCTION("""COMPUTED_VALUE"""),"ช่วยเหลืองานภายใน วพอ.")</f>
        <v>ช่วยเหลืองานภายใน วพอ.</v>
      </c>
      <c r="H25" s="3" t="str">
        <f>IFERROR(__xludf.DUMMYFUNCTION("""COMPUTED_VALUE"""),"ทดสอบวิภาววิสัยและความถนัด")</f>
        <v>ทดสอบวิภาววิสัยและความถนัด</v>
      </c>
      <c r="I25" s="3" t="str">
        <f>IFERROR(__xludf.DUMMYFUNCTION("""COMPUTED_VALUE"""),"วพอ.พอ.")</f>
        <v>วพอ.พอ.</v>
      </c>
      <c r="J25" s="12">
        <f>IFERROR(__xludf.DUMMYFUNCTION("""COMPUTED_VALUE"""),45783.0)</f>
        <v>45783</v>
      </c>
      <c r="K25" s="3" t="str">
        <f>IFERROR(__xludf.DUMMYFUNCTION("""COMPUTED_VALUE"""),"0800-1200")</f>
        <v>0800-1200</v>
      </c>
      <c r="L25" s="3">
        <f>IFERROR(__xludf.DUMMYFUNCTION("""COMPUTED_VALUE"""),4.0)</f>
        <v>4</v>
      </c>
      <c r="M25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25" s="14" t="str">
        <f>IFERROR(__xludf.DUMMYFUNCTION("""COMPUTED_VALUE"""),"https://lh5.googleusercontent.com/d/1xlHBqzkS86YEuNNjzLU08JbG6ls29tbo")</f>
        <v>https://lh5.googleusercontent.com/d/1xlHBqzkS86YEuNNjzLU08JbG6ls29tbo</v>
      </c>
      <c r="O25" s="14" t="str">
        <f>IFERROR(__xludf.DUMMYFUNCTION("""COMPUTED_VALUE"""),"https://drive.google.com/file/d/1cbzl87hJ5aUQHN0n9bm_b0CfVN-AcwPS/view?usp=drivesdk")</f>
        <v>https://drive.google.com/file/d/1cbzl87hJ5aUQHN0n9bm_b0CfVN-AcwPS/view?usp=drivesdk</v>
      </c>
    </row>
    <row r="26">
      <c r="A26" s="3">
        <f>IFERROR(__xludf.DUMMYFUNCTION("""COMPUTED_VALUE"""),65.0)</f>
        <v>65</v>
      </c>
      <c r="B26" s="11">
        <f>IFERROR(__xludf.DUMMYFUNCTION("""COMPUTED_VALUE"""),45980.845250949074)</f>
        <v>45980.84525</v>
      </c>
      <c r="C26" s="3" t="str">
        <f>IFERROR(__xludf.DUMMYFUNCTION("""COMPUTED_VALUE"""),"ชั้นปีที่ 4")</f>
        <v>ชั้นปีที่ 4</v>
      </c>
      <c r="D26" s="3" t="str">
        <f>IFERROR(__xludf.DUMMYFUNCTION("""COMPUTED_VALUE"""),"6503698")</f>
        <v>6503698</v>
      </c>
      <c r="E26" s="3" t="str">
        <f>IFERROR(__xludf.DUMMYFUNCTION("""COMPUTED_VALUE"""),"9")</f>
        <v>9</v>
      </c>
      <c r="F26" s="3" t="str">
        <f>IFERROR(__xludf.DUMMYFUNCTION("""COMPUTED_VALUE"""),"นพอ.จุฑานภัสร์ ฟ้าบรรเจิด")</f>
        <v>นพอ.จุฑานภัสร์ ฟ้าบรรเจิด</v>
      </c>
      <c r="G26" s="3" t="str">
        <f>IFERROR(__xludf.DUMMYFUNCTION("""COMPUTED_VALUE"""),"ช่วยเหลืองานภายใน วพอ.")</f>
        <v>ช่วยเหลืองานภายใน วพอ.</v>
      </c>
      <c r="H26" s="3" t="str">
        <f>IFERROR(__xludf.DUMMYFUNCTION("""COMPUTED_VALUE"""),"ทดสอบวิภาววิสัยและความถนัด")</f>
        <v>ทดสอบวิภาววิสัยและความถนัด</v>
      </c>
      <c r="I26" s="3" t="str">
        <f>IFERROR(__xludf.DUMMYFUNCTION("""COMPUTED_VALUE"""),"วพอ.พอ.")</f>
        <v>วพอ.พอ.</v>
      </c>
      <c r="J26" s="12">
        <f>IFERROR(__xludf.DUMMYFUNCTION("""COMPUTED_VALUE"""),45783.0)</f>
        <v>45783</v>
      </c>
      <c r="K26" s="3" t="str">
        <f>IFERROR(__xludf.DUMMYFUNCTION("""COMPUTED_VALUE"""),"0600-0800")</f>
        <v>0600-0800</v>
      </c>
      <c r="L26" s="3">
        <f>IFERROR(__xludf.DUMMYFUNCTION("""COMPUTED_VALUE"""),2.0)</f>
        <v>2</v>
      </c>
      <c r="M26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26" s="14" t="str">
        <f>IFERROR(__xludf.DUMMYFUNCTION("""COMPUTED_VALUE"""),"https://lh5.googleusercontent.com/d/1dncskeXjWDm0RsP5Az2RupanUSDDYUJS")</f>
        <v>https://lh5.googleusercontent.com/d/1dncskeXjWDm0RsP5Az2RupanUSDDYUJS</v>
      </c>
      <c r="O26" s="14" t="str">
        <f>IFERROR(__xludf.DUMMYFUNCTION("""COMPUTED_VALUE"""),"https://drive.google.com/file/d/1dWCc8SuhQK0usZ_PsWH3qQxRow0EXfB1/view?usp=drivesdk")</f>
        <v>https://drive.google.com/file/d/1dWCc8SuhQK0usZ_PsWH3qQxRow0EXfB1/view?usp=drivesdk</v>
      </c>
    </row>
    <row r="27">
      <c r="A27" s="3">
        <f>IFERROR(__xludf.DUMMYFUNCTION("""COMPUTED_VALUE"""),66.0)</f>
        <v>66</v>
      </c>
      <c r="B27" s="11">
        <f>IFERROR(__xludf.DUMMYFUNCTION("""COMPUTED_VALUE"""),45980.84540003472)</f>
        <v>45980.8454</v>
      </c>
      <c r="C27" s="3" t="str">
        <f>IFERROR(__xludf.DUMMYFUNCTION("""COMPUTED_VALUE"""),"ชั้นปีที่ 4")</f>
        <v>ชั้นปีที่ 4</v>
      </c>
      <c r="D27" s="3" t="str">
        <f>IFERROR(__xludf.DUMMYFUNCTION("""COMPUTED_VALUE"""),"6503745")</f>
        <v>6503745</v>
      </c>
      <c r="E27" s="3" t="str">
        <f>IFERROR(__xludf.DUMMYFUNCTION("""COMPUTED_VALUE"""),"55")</f>
        <v>55</v>
      </c>
      <c r="F27" s="3" t="str">
        <f>IFERROR(__xludf.DUMMYFUNCTION("""COMPUTED_VALUE"""),"นพอ.ศิริขวัญ วามะลุน")</f>
        <v>นพอ.ศิริขวัญ วามะลุน</v>
      </c>
      <c r="G2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7" s="3" t="str">
        <f>IFERROR(__xludf.DUMMYFUNCTION("""COMPUTED_VALUE"""),"สโมสรทหารอากาศชั้นประทวน")</f>
        <v>สโมสรทหารอากาศชั้นประทวน</v>
      </c>
      <c r="J27" s="12">
        <f>IFERROR(__xludf.DUMMYFUNCTION("""COMPUTED_VALUE"""),45854.0)</f>
        <v>45854</v>
      </c>
      <c r="K27" s="3" t="str">
        <f>IFERROR(__xludf.DUMMYFUNCTION("""COMPUTED_VALUE"""),"0700-1300")</f>
        <v>0700-1300</v>
      </c>
      <c r="L27" s="3">
        <f>IFERROR(__xludf.DUMMYFUNCTION("""COMPUTED_VALUE"""),6.0)</f>
        <v>6</v>
      </c>
      <c r="M27" s="3" t="str">
        <f>IFERROR(__xludf.DUMMYFUNCTION("""COMPUTED_VALUE"""),"น.ต.หญิง ตวงทิพย์ ลดาวัลย์")</f>
        <v>น.ต.หญิง ตวงทิพย์ ลดาวัลย์</v>
      </c>
      <c r="N27" s="14" t="str">
        <f>IFERROR(__xludf.DUMMYFUNCTION("""COMPUTED_VALUE"""),"https://lh5.googleusercontent.com/d/1mE0gP3PGUDjjOZowUPNDnizdoSvYGUGx")</f>
        <v>https://lh5.googleusercontent.com/d/1mE0gP3PGUDjjOZowUPNDnizdoSvYGUGx</v>
      </c>
      <c r="O27" s="14" t="str">
        <f>IFERROR(__xludf.DUMMYFUNCTION("""COMPUTED_VALUE"""),"https://drive.google.com/file/d/1ullIao1mypdJ18ug02JNJLLe5zQD1QwT/view?usp=drivesdk")</f>
        <v>https://drive.google.com/file/d/1ullIao1mypdJ18ug02JNJLLe5zQD1QwT/view?usp=drivesdk</v>
      </c>
    </row>
    <row r="28">
      <c r="A28" s="3">
        <f>IFERROR(__xludf.DUMMYFUNCTION("""COMPUTED_VALUE"""),68.0)</f>
        <v>68</v>
      </c>
      <c r="B28" s="11">
        <f>IFERROR(__xludf.DUMMYFUNCTION("""COMPUTED_VALUE"""),45980.8476762037)</f>
        <v>45980.84768</v>
      </c>
      <c r="C28" s="3" t="str">
        <f>IFERROR(__xludf.DUMMYFUNCTION("""COMPUTED_VALUE"""),"ชั้นปีที่ 4")</f>
        <v>ชั้นปีที่ 4</v>
      </c>
      <c r="D28" s="3" t="str">
        <f>IFERROR(__xludf.DUMMYFUNCTION("""COMPUTED_VALUE"""),"6503698")</f>
        <v>6503698</v>
      </c>
      <c r="E28" s="3" t="str">
        <f>IFERROR(__xludf.DUMMYFUNCTION("""COMPUTED_VALUE"""),"9")</f>
        <v>9</v>
      </c>
      <c r="F28" s="3" t="str">
        <f>IFERROR(__xludf.DUMMYFUNCTION("""COMPUTED_VALUE"""),"นพอ.จุฑานภัสร์ ฟ้าบรรเจิด")</f>
        <v>นพอ.จุฑานภัสร์ ฟ้าบรรเจิด</v>
      </c>
      <c r="G28" s="3" t="str">
        <f>IFERROR(__xludf.DUMMYFUNCTION("""COMPUTED_VALUE"""),"ช่วยเหลืองานภายใน วพอ.")</f>
        <v>ช่วยเหลืองานภายใน วพอ.</v>
      </c>
      <c r="H28" s="3" t="str">
        <f>IFERROR(__xludf.DUMMYFUNCTION("""COMPUTED_VALUE"""),"ช่วยพับแผ่นพับประชาสัมพันธ์")</f>
        <v>ช่วยพับแผ่นพับประชาสัมพันธ์</v>
      </c>
      <c r="I28" s="3" t="str">
        <f>IFERROR(__xludf.DUMMYFUNCTION("""COMPUTED_VALUE"""),"วพอ.พอ.")</f>
        <v>วพอ.พอ.</v>
      </c>
      <c r="J28" s="12">
        <f>IFERROR(__xludf.DUMMYFUNCTION("""COMPUTED_VALUE"""),45841.0)</f>
        <v>45841</v>
      </c>
      <c r="K28" s="3" t="str">
        <f>IFERROR(__xludf.DUMMYFUNCTION("""COMPUTED_VALUE"""),"1630-1730")</f>
        <v>1630-1730</v>
      </c>
      <c r="L28" s="3">
        <f>IFERROR(__xludf.DUMMYFUNCTION("""COMPUTED_VALUE"""),1.0)</f>
        <v>1</v>
      </c>
      <c r="M2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8" s="14" t="str">
        <f>IFERROR(__xludf.DUMMYFUNCTION("""COMPUTED_VALUE"""),"https://lh5.googleusercontent.com/d/1vfAhDcQg3q_qOaG6nrXfJkfBNhIyRVBf")</f>
        <v>https://lh5.googleusercontent.com/d/1vfAhDcQg3q_qOaG6nrXfJkfBNhIyRVBf</v>
      </c>
      <c r="O28" s="14" t="str">
        <f>IFERROR(__xludf.DUMMYFUNCTION("""COMPUTED_VALUE"""),"https://drive.google.com/file/d/1sqYfComDoh6TdIFWhvIcahaX0uWb1HxP/view?usp=drivesdk")</f>
        <v>https://drive.google.com/file/d/1sqYfComDoh6TdIFWhvIcahaX0uWb1HxP/view?usp=drivesdk</v>
      </c>
    </row>
    <row r="29">
      <c r="A29" s="3">
        <f>IFERROR(__xludf.DUMMYFUNCTION("""COMPUTED_VALUE"""),69.0)</f>
        <v>69</v>
      </c>
      <c r="B29" s="11">
        <f>IFERROR(__xludf.DUMMYFUNCTION("""COMPUTED_VALUE"""),45980.84867733796)</f>
        <v>45980.84868</v>
      </c>
      <c r="C29" s="3" t="str">
        <f>IFERROR(__xludf.DUMMYFUNCTION("""COMPUTED_VALUE"""),"ชั้นปีที่ 4")</f>
        <v>ชั้นปีที่ 4</v>
      </c>
      <c r="D29" s="3" t="str">
        <f>IFERROR(__xludf.DUMMYFUNCTION("""COMPUTED_VALUE"""),"6503713")</f>
        <v>6503713</v>
      </c>
      <c r="E29" s="3" t="str">
        <f>IFERROR(__xludf.DUMMYFUNCTION("""COMPUTED_VALUE"""),"24")</f>
        <v>24</v>
      </c>
      <c r="F29" s="3" t="str">
        <f>IFERROR(__xludf.DUMMYFUNCTION("""COMPUTED_VALUE"""),"นพอ.ดิษยา คงเจริญ")</f>
        <v>นพอ.ดิษยา คงเจริญ</v>
      </c>
      <c r="G29" s="3" t="str">
        <f>IFERROR(__xludf.DUMMYFUNCTION("""COMPUTED_VALUE"""),"ทำนุบำรุงศาสนสถาน")</f>
        <v>ทำนุบำรุงศาสนสถาน</v>
      </c>
      <c r="H29" s="3" t="str">
        <f>IFERROR(__xludf.DUMMYFUNCTION("""COMPUTED_VALUE"""),"ช่วยรวบรวมเงินบริจาคและมอบให้แก่วัด")</f>
        <v>ช่วยรวบรวมเงินบริจาคและมอบให้แก่วัด</v>
      </c>
      <c r="I29" s="3" t="str">
        <f>IFERROR(__xludf.DUMMYFUNCTION("""COMPUTED_VALUE"""),"วัดทดราษฎร์เจริญมณีฤทธิ์")</f>
        <v>วัดทดราษฎร์เจริญมณีฤทธิ์</v>
      </c>
      <c r="J29" s="12">
        <f>IFERROR(__xludf.DUMMYFUNCTION("""COMPUTED_VALUE"""),45949.0)</f>
        <v>45949</v>
      </c>
      <c r="K29" s="3" t="str">
        <f>IFERROR(__xludf.DUMMYFUNCTION("""COMPUTED_VALUE"""),"1100")</f>
        <v>1100</v>
      </c>
      <c r="L29" s="3">
        <f>IFERROR(__xludf.DUMMYFUNCTION("""COMPUTED_VALUE"""),1.0)</f>
        <v>1</v>
      </c>
      <c r="M29" s="3" t="str">
        <f>IFERROR(__xludf.DUMMYFUNCTION("""COMPUTED_VALUE"""),"นางสาววันวิสา ดำริมุ่งกิจ")</f>
        <v>นางสาววันวิสา ดำริมุ่งกิจ</v>
      </c>
      <c r="N29" s="14" t="str">
        <f>IFERROR(__xludf.DUMMYFUNCTION("""COMPUTED_VALUE"""),"https://lh5.googleusercontent.com/d/1AjVK_KwuUMK4c6HueBAtCTg5o1BgUTpD")</f>
        <v>https://lh5.googleusercontent.com/d/1AjVK_KwuUMK4c6HueBAtCTg5o1BgUTpD</v>
      </c>
      <c r="O29" s="14" t="str">
        <f>IFERROR(__xludf.DUMMYFUNCTION("""COMPUTED_VALUE"""),"https://drive.google.com/file/d/1PHZrdVRz3L1JGoiG7ZMrmGsSbu0vqG34/view?usp=drivesdk")</f>
        <v>https://drive.google.com/file/d/1PHZrdVRz3L1JGoiG7ZMrmGsSbu0vqG34/view?usp=drivesdk</v>
      </c>
    </row>
    <row r="30">
      <c r="A30" s="3">
        <f>IFERROR(__xludf.DUMMYFUNCTION("""COMPUTED_VALUE"""),71.0)</f>
        <v>71</v>
      </c>
      <c r="B30" s="11">
        <f>IFERROR(__xludf.DUMMYFUNCTION("""COMPUTED_VALUE"""),45980.85457027777)</f>
        <v>45980.85457</v>
      </c>
      <c r="C30" s="3" t="str">
        <f>IFERROR(__xludf.DUMMYFUNCTION("""COMPUTED_VALUE"""),"ชั้นปีที่ 4")</f>
        <v>ชั้นปีที่ 4</v>
      </c>
      <c r="D30" s="3" t="str">
        <f>IFERROR(__xludf.DUMMYFUNCTION("""COMPUTED_VALUE"""),"6503698")</f>
        <v>6503698</v>
      </c>
      <c r="E30" s="3" t="str">
        <f>IFERROR(__xludf.DUMMYFUNCTION("""COMPUTED_VALUE"""),"9")</f>
        <v>9</v>
      </c>
      <c r="F30" s="3" t="str">
        <f>IFERROR(__xludf.DUMMYFUNCTION("""COMPUTED_VALUE"""),"นพอ.จุฑานภัสร์ ฟ้าบรรเจิด")</f>
        <v>นพอ.จุฑานภัสร์ ฟ้าบรรเจิด</v>
      </c>
      <c r="G30" s="3" t="str">
        <f>IFERROR(__xludf.DUMMYFUNCTION("""COMPUTED_VALUE"""),"ช่วยเหลืองานภายใน วพอ.")</f>
        <v>ช่วยเหลืองานภายใน วพอ.</v>
      </c>
      <c r="H30" s="3" t="str">
        <f>IFERROR(__xludf.DUMMYFUNCTION("""COMPUTED_VALUE"""),"แต่งแผล")</f>
        <v>แต่งแผล</v>
      </c>
      <c r="I30" s="3" t="str">
        <f>IFERROR(__xludf.DUMMYFUNCTION("""COMPUTED_VALUE"""),"ห้องสโมสร วพอ.พอ.")</f>
        <v>ห้องสโมสร วพอ.พอ.</v>
      </c>
      <c r="J30" s="12">
        <f>IFERROR(__xludf.DUMMYFUNCTION("""COMPUTED_VALUE"""),45847.0)</f>
        <v>45847</v>
      </c>
      <c r="K30" s="3" t="str">
        <f>IFERROR(__xludf.DUMMYFUNCTION("""COMPUTED_VALUE"""),"0700-0800")</f>
        <v>0700-0800</v>
      </c>
      <c r="L30" s="3">
        <f>IFERROR(__xludf.DUMMYFUNCTION("""COMPUTED_VALUE"""),1.0)</f>
        <v>1</v>
      </c>
      <c r="M30" s="3" t="str">
        <f>IFERROR(__xludf.DUMMYFUNCTION("""COMPUTED_VALUE"""),"น.ต.หญิง ตวงทิพย์ ลดาวัลย์")</f>
        <v>น.ต.หญิง ตวงทิพย์ ลดาวัลย์</v>
      </c>
      <c r="N30" s="14" t="str">
        <f>IFERROR(__xludf.DUMMYFUNCTION("""COMPUTED_VALUE"""),"https://lh5.googleusercontent.com/d/1ZBKY3VtYNHsabN_EcyhoD4L0X-RCbf0T")</f>
        <v>https://lh5.googleusercontent.com/d/1ZBKY3VtYNHsabN_EcyhoD4L0X-RCbf0T</v>
      </c>
      <c r="O30" s="14" t="str">
        <f>IFERROR(__xludf.DUMMYFUNCTION("""COMPUTED_VALUE"""),"https://drive.google.com/file/d/1XZcoXmdB5PQo5bYhZL2Zj3SN_uqDDKkf/view?usp=drivesdk")</f>
        <v>https://drive.google.com/file/d/1XZcoXmdB5PQo5bYhZL2Zj3SN_uqDDKkf/view?usp=drivesdk</v>
      </c>
    </row>
    <row r="31">
      <c r="A31" s="3">
        <f>IFERROR(__xludf.DUMMYFUNCTION("""COMPUTED_VALUE"""),77.0)</f>
        <v>77</v>
      </c>
      <c r="B31" s="11">
        <f>IFERROR(__xludf.DUMMYFUNCTION("""COMPUTED_VALUE"""),45980.87328601852)</f>
        <v>45980.87329</v>
      </c>
      <c r="C31" s="3" t="str">
        <f>IFERROR(__xludf.DUMMYFUNCTION("""COMPUTED_VALUE"""),"ชั้นปีที่ 4")</f>
        <v>ชั้นปีที่ 4</v>
      </c>
      <c r="D31" s="3" t="str">
        <f>IFERROR(__xludf.DUMMYFUNCTION("""COMPUTED_VALUE"""),"6503690")</f>
        <v>6503690</v>
      </c>
      <c r="E31" s="3" t="str">
        <f>IFERROR(__xludf.DUMMYFUNCTION("""COMPUTED_VALUE"""),"01")</f>
        <v>01</v>
      </c>
      <c r="F31" s="3" t="str">
        <f>IFERROR(__xludf.DUMMYFUNCTION("""COMPUTED_VALUE"""),"นพอ.กนกวรรณ ข่าขันมะลี")</f>
        <v>นพอ.กนกวรรณ ข่าขันมะลี</v>
      </c>
      <c r="G31" s="3" t="str">
        <f>IFERROR(__xludf.DUMMYFUNCTION("""COMPUTED_VALUE"""),"ทำนุบำรุงศาสนสถาน")</f>
        <v>ทำนุบำรุงศาสนสถาน</v>
      </c>
      <c r="H31" s="3" t="str">
        <f>IFERROR(__xludf.DUMMYFUNCTION("""COMPUTED_VALUE"""),"งานกฐิน วัดป่าคลองนา")</f>
        <v>งานกฐิน วัดป่าคลองนา</v>
      </c>
      <c r="I31" s="3" t="str">
        <f>IFERROR(__xludf.DUMMYFUNCTION("""COMPUTED_VALUE"""),"วัดป่าคลองนา จ.ฉะเชิงเทรา")</f>
        <v>วัดป่าคลองนา จ.ฉะเชิงเทรา</v>
      </c>
      <c r="J31" s="12">
        <f>IFERROR(__xludf.DUMMYFUNCTION("""COMPUTED_VALUE"""),45948.0)</f>
        <v>45948</v>
      </c>
      <c r="K31" s="3" t="str">
        <f>IFERROR(__xludf.DUMMYFUNCTION("""COMPUTED_VALUE"""),"08.00-12.00")</f>
        <v>08.00-12.00</v>
      </c>
      <c r="L31" s="3">
        <f>IFERROR(__xludf.DUMMYFUNCTION("""COMPUTED_VALUE"""),4.0)</f>
        <v>4</v>
      </c>
      <c r="M31" s="3" t="str">
        <f>IFERROR(__xludf.DUMMYFUNCTION("""COMPUTED_VALUE"""),"น.ส.ธนิดา หลักทอง")</f>
        <v>น.ส.ธนิดา หลักทอง</v>
      </c>
      <c r="N31" s="14" t="str">
        <f>IFERROR(__xludf.DUMMYFUNCTION("""COMPUTED_VALUE"""),"https://lh5.googleusercontent.com/d/1h4_OEB2AUFckRtE7i9UgJudq4mHEV8kL")</f>
        <v>https://lh5.googleusercontent.com/d/1h4_OEB2AUFckRtE7i9UgJudq4mHEV8kL</v>
      </c>
      <c r="O31" s="14" t="str">
        <f>IFERROR(__xludf.DUMMYFUNCTION("""COMPUTED_VALUE"""),"https://drive.google.com/file/d/1RNFo7mcIqrXYrmgW2tcAzxIegwmVQHz8/view?usp=drivesdk")</f>
        <v>https://drive.google.com/file/d/1RNFo7mcIqrXYrmgW2tcAzxIegwmVQHz8/view?usp=drivesdk</v>
      </c>
    </row>
    <row r="32">
      <c r="A32" s="3">
        <f>IFERROR(__xludf.DUMMYFUNCTION("""COMPUTED_VALUE"""),78.0)</f>
        <v>78</v>
      </c>
      <c r="B32" s="11">
        <f>IFERROR(__xludf.DUMMYFUNCTION("""COMPUTED_VALUE"""),45980.87853862269)</f>
        <v>45980.87854</v>
      </c>
      <c r="C32" s="3" t="str">
        <f>IFERROR(__xludf.DUMMYFUNCTION("""COMPUTED_VALUE"""),"ชั้นปีที่ 4")</f>
        <v>ชั้นปีที่ 4</v>
      </c>
      <c r="D32" s="3" t="str">
        <f>IFERROR(__xludf.DUMMYFUNCTION("""COMPUTED_VALUE"""),"6503690")</f>
        <v>6503690</v>
      </c>
      <c r="E32" s="3" t="str">
        <f>IFERROR(__xludf.DUMMYFUNCTION("""COMPUTED_VALUE"""),"01")</f>
        <v>01</v>
      </c>
      <c r="F32" s="3" t="str">
        <f>IFERROR(__xludf.DUMMYFUNCTION("""COMPUTED_VALUE"""),"นพอ.กนกวรรณ ข่าขันมะลี")</f>
        <v>นพอ.กนกวรรณ ข่าขันมะลี</v>
      </c>
      <c r="G32" s="3" t="str">
        <f>IFERROR(__xludf.DUMMYFUNCTION("""COMPUTED_VALUE"""),"งานฟรีทั่วไป")</f>
        <v>งานฟรีทั่วไป</v>
      </c>
      <c r="H32" s="3" t="str">
        <f>IFERROR(__xludf.DUMMYFUNCTION("""COMPUTED_VALUE"""),"งานกฐิน วัดพรหมสุวรรณ")</f>
        <v>งานกฐิน วัดพรหมสุวรรณ</v>
      </c>
      <c r="I32" s="3" t="str">
        <f>IFERROR(__xludf.DUMMYFUNCTION("""COMPUTED_VALUE"""),"วัดพรหมสุวรรณ")</f>
        <v>วัดพรหมสุวรรณ</v>
      </c>
      <c r="J32" s="12">
        <f>IFERROR(__xludf.DUMMYFUNCTION("""COMPUTED_VALUE"""),45949.0)</f>
        <v>45949</v>
      </c>
      <c r="K32" s="3" t="str">
        <f>IFERROR(__xludf.DUMMYFUNCTION("""COMPUTED_VALUE"""),"08.00-12.00")</f>
        <v>08.00-12.00</v>
      </c>
      <c r="L32" s="3">
        <f>IFERROR(__xludf.DUMMYFUNCTION("""COMPUTED_VALUE"""),4.0)</f>
        <v>4</v>
      </c>
      <c r="M32" s="3" t="str">
        <f>IFERROR(__xludf.DUMMYFUNCTION("""COMPUTED_VALUE"""),"น.ส.ธนิดา หลักทอง")</f>
        <v>น.ส.ธนิดา หลักทอง</v>
      </c>
      <c r="N32" s="14" t="str">
        <f>IFERROR(__xludf.DUMMYFUNCTION("""COMPUTED_VALUE"""),"https://lh5.googleusercontent.com/d/1u9v6UKDuIJMderzOLV0IAKMnXtWm6Sfy")</f>
        <v>https://lh5.googleusercontent.com/d/1u9v6UKDuIJMderzOLV0IAKMnXtWm6Sfy</v>
      </c>
      <c r="O32" s="14" t="str">
        <f>IFERROR(__xludf.DUMMYFUNCTION("""COMPUTED_VALUE"""),"https://drive.google.com/file/d/1VC6Di4yDTZBWsfVsWob5IfxlRm9KOLsS/view?usp=drivesdk")</f>
        <v>https://drive.google.com/file/d/1VC6Di4yDTZBWsfVsWob5IfxlRm9KOLsS/view?usp=drivesdk</v>
      </c>
    </row>
    <row r="33">
      <c r="A33" s="3">
        <f>IFERROR(__xludf.DUMMYFUNCTION("""COMPUTED_VALUE"""),79.0)</f>
        <v>79</v>
      </c>
      <c r="B33" s="11">
        <f>IFERROR(__xludf.DUMMYFUNCTION("""COMPUTED_VALUE"""),45980.880596608804)</f>
        <v>45980.8806</v>
      </c>
      <c r="C33" s="3" t="str">
        <f>IFERROR(__xludf.DUMMYFUNCTION("""COMPUTED_VALUE"""),"ชั้นปีที่ 4")</f>
        <v>ชั้นปีที่ 4</v>
      </c>
      <c r="D33" s="3" t="str">
        <f>IFERROR(__xludf.DUMMYFUNCTION("""COMPUTED_VALUE"""),"6503690")</f>
        <v>6503690</v>
      </c>
      <c r="E33" s="3" t="str">
        <f>IFERROR(__xludf.DUMMYFUNCTION("""COMPUTED_VALUE"""),"01")</f>
        <v>01</v>
      </c>
      <c r="F33" s="3" t="str">
        <f>IFERROR(__xludf.DUMMYFUNCTION("""COMPUTED_VALUE"""),"นพอ.กนกวรรณ ข่าขันมะลี")</f>
        <v>นพอ.กนกวรรณ ข่าขันมะลี</v>
      </c>
      <c r="G33" s="3" t="str">
        <f>IFERROR(__xludf.DUMMYFUNCTION("""COMPUTED_VALUE"""),"งานฟรีทั่วไป")</f>
        <v>งานฟรีทั่วไป</v>
      </c>
      <c r="H33" s="3" t="str">
        <f>IFERROR(__xludf.DUMMYFUNCTION("""COMPUTED_VALUE"""),"ช่วยเหลืองานลอยกระทง")</f>
        <v>ช่วยเหลืองานลอยกระทง</v>
      </c>
      <c r="I33" s="3" t="str">
        <f>IFERROR(__xludf.DUMMYFUNCTION("""COMPUTED_VALUE"""),"รพ.สต.คลองนา")</f>
        <v>รพ.สต.คลองนา</v>
      </c>
      <c r="J33" s="12">
        <f>IFERROR(__xludf.DUMMYFUNCTION("""COMPUTED_VALUE"""),45966.0)</f>
        <v>45966</v>
      </c>
      <c r="K33" s="3" t="str">
        <f>IFERROR(__xludf.DUMMYFUNCTION("""COMPUTED_VALUE"""),"08.00-12.00")</f>
        <v>08.00-12.00</v>
      </c>
      <c r="L33" s="3">
        <f>IFERROR(__xludf.DUMMYFUNCTION("""COMPUTED_VALUE"""),4.0)</f>
        <v>4</v>
      </c>
      <c r="M33" s="3" t="str">
        <f>IFERROR(__xludf.DUMMYFUNCTION("""COMPUTED_VALUE"""),"น.ส.ธนิดา หลักทอง")</f>
        <v>น.ส.ธนิดา หลักทอง</v>
      </c>
      <c r="N33" s="14" t="str">
        <f>IFERROR(__xludf.DUMMYFUNCTION("""COMPUTED_VALUE"""),"https://lh5.googleusercontent.com/d/1vxfLTpn7lweKCgtKQY_qFnZzUr2_B-6U")</f>
        <v>https://lh5.googleusercontent.com/d/1vxfLTpn7lweKCgtKQY_qFnZzUr2_B-6U</v>
      </c>
      <c r="O33" s="14" t="str">
        <f>IFERROR(__xludf.DUMMYFUNCTION("""COMPUTED_VALUE"""),"https://drive.google.com/file/d/1-iYVsfTXRDJCQ6pCtpom6bB7v0ghSZKu/view?usp=drivesdk")</f>
        <v>https://drive.google.com/file/d/1-iYVsfTXRDJCQ6pCtpom6bB7v0ghSZKu/view?usp=drivesdk</v>
      </c>
    </row>
    <row r="34">
      <c r="A34" s="3">
        <f>IFERROR(__xludf.DUMMYFUNCTION("""COMPUTED_VALUE"""),80.0)</f>
        <v>80</v>
      </c>
      <c r="B34" s="11">
        <f>IFERROR(__xludf.DUMMYFUNCTION("""COMPUTED_VALUE"""),45980.88488157408)</f>
        <v>45980.88488</v>
      </c>
      <c r="C34" s="3" t="str">
        <f>IFERROR(__xludf.DUMMYFUNCTION("""COMPUTED_VALUE"""),"ชั้นปีที่ 4")</f>
        <v>ชั้นปีที่ 4</v>
      </c>
      <c r="D34" s="3" t="str">
        <f>IFERROR(__xludf.DUMMYFUNCTION("""COMPUTED_VALUE"""),"6503690")</f>
        <v>6503690</v>
      </c>
      <c r="E34" s="3" t="str">
        <f>IFERROR(__xludf.DUMMYFUNCTION("""COMPUTED_VALUE"""),"01")</f>
        <v>01</v>
      </c>
      <c r="F34" s="3" t="str">
        <f>IFERROR(__xludf.DUMMYFUNCTION("""COMPUTED_VALUE"""),"นพอ.กนกวรรณ ข่าขันมะลี")</f>
        <v>นพอ.กนกวรรณ ข่าขันมะลี</v>
      </c>
      <c r="G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4" s="3" t="str">
        <f>IFERROR(__xludf.DUMMYFUNCTION("""COMPUTED_VALUE"""),"สโมสรทหารอากาศชั้นประทวน")</f>
        <v>สโมสรทหารอากาศชั้นประทวน</v>
      </c>
      <c r="J34" s="12">
        <f>IFERROR(__xludf.DUMMYFUNCTION("""COMPUTED_VALUE"""),45854.0)</f>
        <v>45854</v>
      </c>
      <c r="K34" s="3" t="str">
        <f>IFERROR(__xludf.DUMMYFUNCTION("""COMPUTED_VALUE"""),"07.00-13.00")</f>
        <v>07.00-13.00</v>
      </c>
      <c r="L34" s="3">
        <f>IFERROR(__xludf.DUMMYFUNCTION("""COMPUTED_VALUE"""),6.0)</f>
        <v>6</v>
      </c>
      <c r="M34" s="3" t="str">
        <f>IFERROR(__xludf.DUMMYFUNCTION("""COMPUTED_VALUE"""),"น.ต.หญิง ตวงทิพย์ ลดาวัลย์")</f>
        <v>น.ต.หญิง ตวงทิพย์ ลดาวัลย์</v>
      </c>
      <c r="N34" s="14" t="str">
        <f>IFERROR(__xludf.DUMMYFUNCTION("""COMPUTED_VALUE"""),"https://lh5.googleusercontent.com/d/16UNE3UqoEvS71wZ9VDkA1Mp-9ljKIMOH")</f>
        <v>https://lh5.googleusercontent.com/d/16UNE3UqoEvS71wZ9VDkA1Mp-9ljKIMOH</v>
      </c>
      <c r="O34" s="14" t="str">
        <f>IFERROR(__xludf.DUMMYFUNCTION("""COMPUTED_VALUE"""),"https://drive.google.com/file/d/1sIH76FK3yCs-rFOWHCvWL8uThw7nmOys/view?usp=drivesdk")</f>
        <v>https://drive.google.com/file/d/1sIH76FK3yCs-rFOWHCvWL8uThw7nmOys/view?usp=drivesdk</v>
      </c>
    </row>
    <row r="35">
      <c r="A35" s="3">
        <f>IFERROR(__xludf.DUMMYFUNCTION("""COMPUTED_VALUE"""),81.0)</f>
        <v>81</v>
      </c>
      <c r="B35" s="11">
        <f>IFERROR(__xludf.DUMMYFUNCTION("""COMPUTED_VALUE"""),45980.89255340277)</f>
        <v>45980.89255</v>
      </c>
      <c r="C35" s="3" t="str">
        <f>IFERROR(__xludf.DUMMYFUNCTION("""COMPUTED_VALUE"""),"ชั้นปีที่ 4")</f>
        <v>ชั้นปีที่ 4</v>
      </c>
      <c r="D35" s="3" t="str">
        <f>IFERROR(__xludf.DUMMYFUNCTION("""COMPUTED_VALUE"""),"6503690")</f>
        <v>6503690</v>
      </c>
      <c r="E35" s="3" t="str">
        <f>IFERROR(__xludf.DUMMYFUNCTION("""COMPUTED_VALUE"""),"01")</f>
        <v>01</v>
      </c>
      <c r="F35" s="3" t="str">
        <f>IFERROR(__xludf.DUMMYFUNCTION("""COMPUTED_VALUE"""),"นพอ.กนกวรรณ ข่าขันมะลี")</f>
        <v>นพอ.กนกวรรณ ข่าขันมะลี</v>
      </c>
      <c r="G3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" s="3" t="str">
        <f>IFERROR(__xludf.DUMMYFUNCTION("""COMPUTED_VALUE"""),"เดิน วิ่ง ปั่น ป้องกันอัมพาต")</f>
        <v>เดิน วิ่ง ปั่น ป้องกันอัมพาต</v>
      </c>
      <c r="I35" s="3" t="str">
        <f>IFERROR(__xludf.DUMMYFUNCTION("""COMPUTED_VALUE"""),"ศาลากลาง")</f>
        <v>ศาลากลาง</v>
      </c>
      <c r="J35" s="12">
        <f>IFERROR(__xludf.DUMMYFUNCTION("""COMPUTED_VALUE"""),45956.0)</f>
        <v>45956</v>
      </c>
      <c r="K35" s="3" t="str">
        <f>IFERROR(__xludf.DUMMYFUNCTION("""COMPUTED_VALUE"""),"05.00-08.00")</f>
        <v>05.00-08.00</v>
      </c>
      <c r="L35" s="3">
        <f>IFERROR(__xludf.DUMMYFUNCTION("""COMPUTED_VALUE"""),4.0)</f>
        <v>4</v>
      </c>
      <c r="M35" s="3" t="str">
        <f>IFERROR(__xludf.DUMMYFUNCTION("""COMPUTED_VALUE"""),"น.ส.ธนิดา หลักทอง")</f>
        <v>น.ส.ธนิดา หลักทอง</v>
      </c>
      <c r="N35" s="14" t="str">
        <f>IFERROR(__xludf.DUMMYFUNCTION("""COMPUTED_VALUE"""),"https://lh5.googleusercontent.com/d/1jHB6uk6ayIEIRK_TiRzoKCmyt57Zj4DW")</f>
        <v>https://lh5.googleusercontent.com/d/1jHB6uk6ayIEIRK_TiRzoKCmyt57Zj4DW</v>
      </c>
      <c r="O35" s="14" t="str">
        <f>IFERROR(__xludf.DUMMYFUNCTION("""COMPUTED_VALUE"""),"https://drive.google.com/file/d/1ShKUCdIbpcV1uIqGVgjvTxTG089Zri0L/view?usp=drivesdk")</f>
        <v>https://drive.google.com/file/d/1ShKUCdIbpcV1uIqGVgjvTxTG089Zri0L/view?usp=drivesdk</v>
      </c>
    </row>
    <row r="36">
      <c r="A36" s="3">
        <f>IFERROR(__xludf.DUMMYFUNCTION("""COMPUTED_VALUE"""),82.0)</f>
        <v>82</v>
      </c>
      <c r="B36" s="11">
        <f>IFERROR(__xludf.DUMMYFUNCTION("""COMPUTED_VALUE"""),45980.895601504635)</f>
        <v>45980.8956</v>
      </c>
      <c r="C36" s="3" t="str">
        <f>IFERROR(__xludf.DUMMYFUNCTION("""COMPUTED_VALUE"""),"ชั้นปีที่ 4")</f>
        <v>ชั้นปีที่ 4</v>
      </c>
      <c r="D36" s="3" t="str">
        <f>IFERROR(__xludf.DUMMYFUNCTION("""COMPUTED_VALUE"""),"6503698")</f>
        <v>6503698</v>
      </c>
      <c r="E36" s="3" t="str">
        <f>IFERROR(__xludf.DUMMYFUNCTION("""COMPUTED_VALUE"""),"9")</f>
        <v>9</v>
      </c>
      <c r="F36" s="3" t="str">
        <f>IFERROR(__xludf.DUMMYFUNCTION("""COMPUTED_VALUE"""),"นพอ.จุฑานภัสร์ ฟ้าบรรเจิด")</f>
        <v>นพอ.จุฑานภัสร์ ฟ้าบรรเจิด</v>
      </c>
      <c r="G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" s="3" t="str">
        <f>IFERROR(__xludf.DUMMYFUNCTION("""COMPUTED_VALUE"""),"ร่วมโครงการคัดกรองสุขภาพเชิงรุกกำลังพล ทอ.")</f>
        <v>ร่วมโครงการคัดกรองสุขภาพเชิงรุกกำลังพล ทอ.</v>
      </c>
      <c r="I36" s="3" t="str">
        <f>IFERROR(__xludf.DUMMYFUNCTION("""COMPUTED_VALUE"""),"สโมสรทหารอากาศชั้นประทวน")</f>
        <v>สโมสรทหารอากาศชั้นประทวน</v>
      </c>
      <c r="J36" s="12">
        <f>IFERROR(__xludf.DUMMYFUNCTION("""COMPUTED_VALUE"""),45854.0)</f>
        <v>45854</v>
      </c>
      <c r="K36" s="3" t="str">
        <f>IFERROR(__xludf.DUMMYFUNCTION("""COMPUTED_VALUE"""),"0700-1300")</f>
        <v>0700-1300</v>
      </c>
      <c r="L36" s="3">
        <f>IFERROR(__xludf.DUMMYFUNCTION("""COMPUTED_VALUE"""),6.0)</f>
        <v>6</v>
      </c>
      <c r="M36" s="3" t="str">
        <f>IFERROR(__xludf.DUMMYFUNCTION("""COMPUTED_VALUE"""),"น.ต.หญิง ตวงทิพย์ ลดาวัลย์")</f>
        <v>น.ต.หญิง ตวงทิพย์ ลดาวัลย์</v>
      </c>
      <c r="N36" s="14" t="str">
        <f>IFERROR(__xludf.DUMMYFUNCTION("""COMPUTED_VALUE"""),"https://lh5.googleusercontent.com/d/1b4pLdghDGc4F-Wqr2RD2isisVlowmcxn")</f>
        <v>https://lh5.googleusercontent.com/d/1b4pLdghDGc4F-Wqr2RD2isisVlowmcxn</v>
      </c>
      <c r="O36" s="14" t="str">
        <f>IFERROR(__xludf.DUMMYFUNCTION("""COMPUTED_VALUE"""),"https://drive.google.com/file/d/1fA_o4QTmz8c2EGmE0kfZxXTvh9jKhhsX/view?usp=drivesdk")</f>
        <v>https://drive.google.com/file/d/1fA_o4QTmz8c2EGmE0kfZxXTvh9jKhhsX/view?usp=drivesdk</v>
      </c>
    </row>
    <row r="37">
      <c r="A37" s="3">
        <f>IFERROR(__xludf.DUMMYFUNCTION("""COMPUTED_VALUE"""),83.0)</f>
        <v>83</v>
      </c>
      <c r="B37" s="11">
        <f>IFERROR(__xludf.DUMMYFUNCTION("""COMPUTED_VALUE"""),45980.896615543985)</f>
        <v>45980.89662</v>
      </c>
      <c r="C37" s="3" t="str">
        <f>IFERROR(__xludf.DUMMYFUNCTION("""COMPUTED_VALUE"""),"ชั้นปีที่ 4")</f>
        <v>ชั้นปีที่ 4</v>
      </c>
      <c r="D37" s="3" t="str">
        <f>IFERROR(__xludf.DUMMYFUNCTION("""COMPUTED_VALUE"""),"6503698")</f>
        <v>6503698</v>
      </c>
      <c r="E37" s="3" t="str">
        <f>IFERROR(__xludf.DUMMYFUNCTION("""COMPUTED_VALUE"""),"9")</f>
        <v>9</v>
      </c>
      <c r="F37" s="3" t="str">
        <f>IFERROR(__xludf.DUMMYFUNCTION("""COMPUTED_VALUE"""),"นพอ.จุฑานภัสร์ ฟ้าบรรเจิด")</f>
        <v>นพอ.จุฑานภัสร์ ฟ้าบรรเจิด</v>
      </c>
      <c r="G37" s="3" t="str">
        <f>IFERROR(__xludf.DUMMYFUNCTION("""COMPUTED_VALUE"""),"งานฟรีทั่วไป")</f>
        <v>งานฟรีทั่วไป</v>
      </c>
      <c r="H37" s="3" t="str">
        <f>IFERROR(__xludf.DUMMYFUNCTION("""COMPUTED_VALUE"""),"ช่วยเหลืองานลอยกระทง")</f>
        <v>ช่วยเหลืองานลอยกระทง</v>
      </c>
      <c r="I37" s="3" t="str">
        <f>IFERROR(__xludf.DUMMYFUNCTION("""COMPUTED_VALUE"""),"รพ.สต.คลองนา")</f>
        <v>รพ.สต.คลองนา</v>
      </c>
      <c r="J37" s="12">
        <f>IFERROR(__xludf.DUMMYFUNCTION("""COMPUTED_VALUE"""),45966.0)</f>
        <v>45966</v>
      </c>
      <c r="K37" s="3" t="str">
        <f>IFERROR(__xludf.DUMMYFUNCTION("""COMPUTED_VALUE"""),"0800-1200")</f>
        <v>0800-1200</v>
      </c>
      <c r="L37" s="3">
        <f>IFERROR(__xludf.DUMMYFUNCTION("""COMPUTED_VALUE"""),4.0)</f>
        <v>4</v>
      </c>
      <c r="M37" s="3" t="str">
        <f>IFERROR(__xludf.DUMMYFUNCTION("""COMPUTED_VALUE"""),"นางสาวธนิดา หลักทอง")</f>
        <v>นางสาวธนิดา หลักทอง</v>
      </c>
      <c r="N37" s="14" t="str">
        <f>IFERROR(__xludf.DUMMYFUNCTION("""COMPUTED_VALUE"""),"https://lh5.googleusercontent.com/d/12GnRPPz5ivE8C6tR1wu4gVY8SBd9cW9g")</f>
        <v>https://lh5.googleusercontent.com/d/12GnRPPz5ivE8C6tR1wu4gVY8SBd9cW9g</v>
      </c>
      <c r="O37" s="14" t="str">
        <f>IFERROR(__xludf.DUMMYFUNCTION("""COMPUTED_VALUE"""),"https://drive.google.com/file/d/1qrI0PTftdjqjOxN0IfOGexeWfdqELL0y/view?usp=drivesdk")</f>
        <v>https://drive.google.com/file/d/1qrI0PTftdjqjOxN0IfOGexeWfdqELL0y/view?usp=drivesdk</v>
      </c>
    </row>
    <row r="38">
      <c r="A38" s="3">
        <f>IFERROR(__xludf.DUMMYFUNCTION("""COMPUTED_VALUE"""),84.0)</f>
        <v>84</v>
      </c>
      <c r="B38" s="11">
        <f>IFERROR(__xludf.DUMMYFUNCTION("""COMPUTED_VALUE"""),45980.90769011574)</f>
        <v>45980.90769</v>
      </c>
      <c r="C38" s="3" t="str">
        <f>IFERROR(__xludf.DUMMYFUNCTION("""COMPUTED_VALUE"""),"ชั้นปีที่ 4")</f>
        <v>ชั้นปีที่ 4</v>
      </c>
      <c r="D38" s="3" t="str">
        <f>IFERROR(__xludf.DUMMYFUNCTION("""COMPUTED_VALUE"""),"6503698")</f>
        <v>6503698</v>
      </c>
      <c r="E38" s="3" t="str">
        <f>IFERROR(__xludf.DUMMYFUNCTION("""COMPUTED_VALUE"""),"9")</f>
        <v>9</v>
      </c>
      <c r="F38" s="3" t="str">
        <f>IFERROR(__xludf.DUMMYFUNCTION("""COMPUTED_VALUE"""),"นพอ.จุฑานภัสร์ ฟ้าบรรเจิด")</f>
        <v>นพอ.จุฑานภัสร์ ฟ้าบรรเจิด</v>
      </c>
      <c r="G38" s="3" t="str">
        <f>IFERROR(__xludf.DUMMYFUNCTION("""COMPUTED_VALUE"""),"ทำนุบำรุงศาสนสถาน")</f>
        <v>ทำนุบำรุงศาสนสถาน</v>
      </c>
      <c r="H38" s="3" t="str">
        <f>IFERROR(__xludf.DUMMYFUNCTION("""COMPUTED_VALUE"""),"งานกฐินวัดป่าคลองนา")</f>
        <v>งานกฐินวัดป่าคลองนา</v>
      </c>
      <c r="I38" s="3" t="str">
        <f>IFERROR(__xludf.DUMMYFUNCTION("""COMPUTED_VALUE"""),"วัดป่าคลองนา จังหวัดฉะเชิงเทรา")</f>
        <v>วัดป่าคลองนา จังหวัดฉะเชิงเทรา</v>
      </c>
      <c r="J38" s="12">
        <f>IFERROR(__xludf.DUMMYFUNCTION("""COMPUTED_VALUE"""),45948.0)</f>
        <v>45948</v>
      </c>
      <c r="K38" s="3" t="str">
        <f>IFERROR(__xludf.DUMMYFUNCTION("""COMPUTED_VALUE"""),"0800-1200")</f>
        <v>0800-1200</v>
      </c>
      <c r="L38" s="3">
        <f>IFERROR(__xludf.DUMMYFUNCTION("""COMPUTED_VALUE"""),4.0)</f>
        <v>4</v>
      </c>
      <c r="M38" s="3" t="str">
        <f>IFERROR(__xludf.DUMMYFUNCTION("""COMPUTED_VALUE"""),"นางสาวธนิดา หลักทอง")</f>
        <v>นางสาวธนิดา หลักทอง</v>
      </c>
      <c r="N38" s="14" t="str">
        <f>IFERROR(__xludf.DUMMYFUNCTION("""COMPUTED_VALUE"""),"https://lh5.googleusercontent.com/d/1dr0B24uPxBKhU2TwKKgk0Q_5dmjPN9Sx")</f>
        <v>https://lh5.googleusercontent.com/d/1dr0B24uPxBKhU2TwKKgk0Q_5dmjPN9Sx</v>
      </c>
      <c r="O38" s="14" t="str">
        <f>IFERROR(__xludf.DUMMYFUNCTION("""COMPUTED_VALUE"""),"https://drive.google.com/file/d/12Z1klwSgzNlwEvmiORVsw-1BPpf8yEop/view?usp=drivesdk")</f>
        <v>https://drive.google.com/file/d/12Z1klwSgzNlwEvmiORVsw-1BPpf8yEop/view?usp=drivesdk</v>
      </c>
    </row>
    <row r="39">
      <c r="A39" s="3">
        <f>IFERROR(__xludf.DUMMYFUNCTION("""COMPUTED_VALUE"""),85.0)</f>
        <v>85</v>
      </c>
      <c r="B39" s="11">
        <f>IFERROR(__xludf.DUMMYFUNCTION("""COMPUTED_VALUE"""),45980.90883210648)</f>
        <v>45980.90883</v>
      </c>
      <c r="C39" s="3" t="str">
        <f>IFERROR(__xludf.DUMMYFUNCTION("""COMPUTED_VALUE"""),"ชั้นปีที่ 4")</f>
        <v>ชั้นปีที่ 4</v>
      </c>
      <c r="D39" s="3" t="str">
        <f>IFERROR(__xludf.DUMMYFUNCTION("""COMPUTED_VALUE"""),"6503698")</f>
        <v>6503698</v>
      </c>
      <c r="E39" s="3" t="str">
        <f>IFERROR(__xludf.DUMMYFUNCTION("""COMPUTED_VALUE"""),"9")</f>
        <v>9</v>
      </c>
      <c r="F39" s="3" t="str">
        <f>IFERROR(__xludf.DUMMYFUNCTION("""COMPUTED_VALUE"""),"นพอ.จุฑานภัสร์ ฟ้าบรรเจิด")</f>
        <v>นพอ.จุฑานภัสร์ ฟ้าบรรเจิด</v>
      </c>
      <c r="G39" s="3" t="str">
        <f>IFERROR(__xludf.DUMMYFUNCTION("""COMPUTED_VALUE"""),"ทำนุบำรุงศาสนสถาน")</f>
        <v>ทำนุบำรุงศาสนสถาน</v>
      </c>
      <c r="H39" s="3" t="str">
        <f>IFERROR(__xludf.DUMMYFUNCTION("""COMPUTED_VALUE"""),"งานกฐิน วัดพรหมสุวรรณ")</f>
        <v>งานกฐิน วัดพรหมสุวรรณ</v>
      </c>
      <c r="I39" s="3" t="str">
        <f>IFERROR(__xludf.DUMMYFUNCTION("""COMPUTED_VALUE"""),"วัดพรหมสุวรรณ จังหวัดฉะเชิงเทรา")</f>
        <v>วัดพรหมสุวรรณ จังหวัดฉะเชิงเทรา</v>
      </c>
      <c r="J39" s="12">
        <f>IFERROR(__xludf.DUMMYFUNCTION("""COMPUTED_VALUE"""),45949.0)</f>
        <v>45949</v>
      </c>
      <c r="K39" s="3" t="str">
        <f>IFERROR(__xludf.DUMMYFUNCTION("""COMPUTED_VALUE"""),"0800-1200")</f>
        <v>0800-1200</v>
      </c>
      <c r="L39" s="3">
        <f>IFERROR(__xludf.DUMMYFUNCTION("""COMPUTED_VALUE"""),4.0)</f>
        <v>4</v>
      </c>
      <c r="M39" s="3" t="str">
        <f>IFERROR(__xludf.DUMMYFUNCTION("""COMPUTED_VALUE"""),"นางสาวธนิดา หลักทอง")</f>
        <v>นางสาวธนิดา หลักทอง</v>
      </c>
      <c r="N39" s="14" t="str">
        <f>IFERROR(__xludf.DUMMYFUNCTION("""COMPUTED_VALUE"""),"https://lh5.googleusercontent.com/d/11L1rB2qPNiFQixDXsVZbI1JB2X_QK91u")</f>
        <v>https://lh5.googleusercontent.com/d/11L1rB2qPNiFQixDXsVZbI1JB2X_QK91u</v>
      </c>
      <c r="O39" s="14" t="str">
        <f>IFERROR(__xludf.DUMMYFUNCTION("""COMPUTED_VALUE"""),"https://drive.google.com/file/d/1K0ZjAuoIRgtCWQPt_xZg8xMWNe699bIH/view?usp=drivesdk")</f>
        <v>https://drive.google.com/file/d/1K0ZjAuoIRgtCWQPt_xZg8xMWNe699bIH/view?usp=drivesdk</v>
      </c>
    </row>
    <row r="40">
      <c r="A40" s="3">
        <f>IFERROR(__xludf.DUMMYFUNCTION("""COMPUTED_VALUE"""),86.0)</f>
        <v>86</v>
      </c>
      <c r="B40" s="11">
        <f>IFERROR(__xludf.DUMMYFUNCTION("""COMPUTED_VALUE"""),45980.91022084491)</f>
        <v>45980.91022</v>
      </c>
      <c r="C40" s="3" t="str">
        <f>IFERROR(__xludf.DUMMYFUNCTION("""COMPUTED_VALUE"""),"ชั้นปีที่ 4")</f>
        <v>ชั้นปีที่ 4</v>
      </c>
      <c r="D40" s="3" t="str">
        <f>IFERROR(__xludf.DUMMYFUNCTION("""COMPUTED_VALUE"""),"6503698")</f>
        <v>6503698</v>
      </c>
      <c r="E40" s="3" t="str">
        <f>IFERROR(__xludf.DUMMYFUNCTION("""COMPUTED_VALUE"""),"9")</f>
        <v>9</v>
      </c>
      <c r="F40" s="3" t="str">
        <f>IFERROR(__xludf.DUMMYFUNCTION("""COMPUTED_VALUE"""),"นพอ.จุฑานภัสร์ ฟ้าบรรเจิด")</f>
        <v>นพอ.จุฑานภัสร์ ฟ้าบรรเจิด</v>
      </c>
      <c r="G40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0" s="3" t="str">
        <f>IFERROR(__xludf.DUMMYFUNCTION("""COMPUTED_VALUE"""),"เดิน วิ่ง ปั่น ป้องกันอัมพาต")</f>
        <v>เดิน วิ่ง ปั่น ป้องกันอัมพาต</v>
      </c>
      <c r="I40" s="3" t="str">
        <f>IFERROR(__xludf.DUMMYFUNCTION("""COMPUTED_VALUE"""),"ศาลากลาง")</f>
        <v>ศาลากลาง</v>
      </c>
      <c r="J40" s="12">
        <f>IFERROR(__xludf.DUMMYFUNCTION("""COMPUTED_VALUE"""),45956.0)</f>
        <v>45956</v>
      </c>
      <c r="K40" s="3" t="str">
        <f>IFERROR(__xludf.DUMMYFUNCTION("""COMPUTED_VALUE"""),"0500-0900")</f>
        <v>0500-0900</v>
      </c>
      <c r="L40" s="3">
        <f>IFERROR(__xludf.DUMMYFUNCTION("""COMPUTED_VALUE"""),4.0)</f>
        <v>4</v>
      </c>
      <c r="M40" s="3" t="str">
        <f>IFERROR(__xludf.DUMMYFUNCTION("""COMPUTED_VALUE"""),"นางสาวธนิดา หลักทอง")</f>
        <v>นางสาวธนิดา หลักทอง</v>
      </c>
      <c r="N40" s="14" t="str">
        <f>IFERROR(__xludf.DUMMYFUNCTION("""COMPUTED_VALUE"""),"https://lh5.googleusercontent.com/d/1hP2cYfcvhIUwXDiRXC6liWa29M_08HvK")</f>
        <v>https://lh5.googleusercontent.com/d/1hP2cYfcvhIUwXDiRXC6liWa29M_08HvK</v>
      </c>
      <c r="O40" s="14" t="str">
        <f>IFERROR(__xludf.DUMMYFUNCTION("""COMPUTED_VALUE"""),"https://drive.google.com/file/d/1XIxj1N6YFILkkCXzc1jfAuzKoQQpVYMb/view?usp=drivesdk")</f>
        <v>https://drive.google.com/file/d/1XIxj1N6YFILkkCXzc1jfAuzKoQQpVYMb/view?usp=drivesdk</v>
      </c>
    </row>
    <row r="41">
      <c r="A41" s="3">
        <f>IFERROR(__xludf.DUMMYFUNCTION("""COMPUTED_VALUE"""),87.0)</f>
        <v>87</v>
      </c>
      <c r="B41" s="11">
        <f>IFERROR(__xludf.DUMMYFUNCTION("""COMPUTED_VALUE"""),45980.95012748843)</f>
        <v>45980.95013</v>
      </c>
      <c r="C41" s="3" t="str">
        <f>IFERROR(__xludf.DUMMYFUNCTION("""COMPUTED_VALUE"""),"ชั้นปีที่ 4")</f>
        <v>ชั้นปีที่ 4</v>
      </c>
      <c r="D41" s="3" t="str">
        <f>IFERROR(__xludf.DUMMYFUNCTION("""COMPUTED_VALUE"""),"6503734")</f>
        <v>6503734</v>
      </c>
      <c r="E41" s="3" t="str">
        <f>IFERROR(__xludf.DUMMYFUNCTION("""COMPUTED_VALUE"""),"44")</f>
        <v>44</v>
      </c>
      <c r="F41" s="3" t="str">
        <f>IFERROR(__xludf.DUMMYFUNCTION("""COMPUTED_VALUE"""),"นพอ.มรกต จันทฤทธิ์")</f>
        <v>นพอ.มรกต จันทฤทธิ์</v>
      </c>
      <c r="G41" s="3" t="str">
        <f>IFERROR(__xludf.DUMMYFUNCTION("""COMPUTED_VALUE"""),"ทำนุบำรุงศาสนสถาน")</f>
        <v>ทำนุบำรุงศาสนสถาน</v>
      </c>
      <c r="H41" s="3" t="str">
        <f>IFERROR(__xludf.DUMMYFUNCTION("""COMPUTED_VALUE"""),"ช่วยเก็บของงานกฐิน")</f>
        <v>ช่วยเก็บของงานกฐิน</v>
      </c>
      <c r="I41" s="3" t="str">
        <f>IFERROR(__xludf.DUMMYFUNCTION("""COMPUTED_VALUE"""),"วัดบางแก้ว")</f>
        <v>วัดบางแก้ว</v>
      </c>
      <c r="J41" s="12">
        <f>IFERROR(__xludf.DUMMYFUNCTION("""COMPUTED_VALUE"""),45942.0)</f>
        <v>45942</v>
      </c>
      <c r="K41" s="3" t="str">
        <f>IFERROR(__xludf.DUMMYFUNCTION("""COMPUTED_VALUE"""),"0800-1200")</f>
        <v>0800-1200</v>
      </c>
      <c r="L41" s="3">
        <f>IFERROR(__xludf.DUMMYFUNCTION("""COMPUTED_VALUE"""),4.0)</f>
        <v>4</v>
      </c>
      <c r="M41" s="3" t="str">
        <f>IFERROR(__xludf.DUMMYFUNCTION("""COMPUTED_VALUE"""),"นางสาวสาวารส ยิ้มเจริญ")</f>
        <v>นางสาวสาวารส ยิ้มเจริญ</v>
      </c>
      <c r="N41" s="14" t="str">
        <f>IFERROR(__xludf.DUMMYFUNCTION("""COMPUTED_VALUE"""),"https://lh5.googleusercontent.com/d/1RpvRTh2XEb2dK55dwePCHCJz7RJrOKDd")</f>
        <v>https://lh5.googleusercontent.com/d/1RpvRTh2XEb2dK55dwePCHCJz7RJrOKDd</v>
      </c>
      <c r="O41" s="14" t="str">
        <f>IFERROR(__xludf.DUMMYFUNCTION("""COMPUTED_VALUE"""),"https://drive.google.com/file/d/1SRxhGBIsyXFOvut1wJYaj51__hD2jfZK/view?usp=drivesdk")</f>
        <v>https://drive.google.com/file/d/1SRxhGBIsyXFOvut1wJYaj51__hD2jfZK/view?usp=drivesdk</v>
      </c>
    </row>
    <row r="42">
      <c r="A42" s="3">
        <f>IFERROR(__xludf.DUMMYFUNCTION("""COMPUTED_VALUE"""),146.0)</f>
        <v>146</v>
      </c>
      <c r="B42" s="11">
        <f>IFERROR(__xludf.DUMMYFUNCTION("""COMPUTED_VALUE"""),45981.84898471065)</f>
        <v>45981.84898</v>
      </c>
      <c r="C42" s="3" t="str">
        <f>IFERROR(__xludf.DUMMYFUNCTION("""COMPUTED_VALUE"""),"ชั้นปีที่ 4")</f>
        <v>ชั้นปีที่ 4</v>
      </c>
      <c r="D42" s="3" t="str">
        <f>IFERROR(__xludf.DUMMYFUNCTION("""COMPUTED_VALUE"""),"6503702")</f>
        <v>6503702</v>
      </c>
      <c r="E42" s="3" t="str">
        <f>IFERROR(__xludf.DUMMYFUNCTION("""COMPUTED_VALUE"""),"13")</f>
        <v>13</v>
      </c>
      <c r="F42" s="3" t="str">
        <f>IFERROR(__xludf.DUMMYFUNCTION("""COMPUTED_VALUE"""),"นพอ.ชนิสรา น้อยสอาด")</f>
        <v>นพอ.ชนิสรา น้อยสอาด</v>
      </c>
      <c r="G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42" s="3" t="str">
        <f>IFERROR(__xludf.DUMMYFUNCTION("""COMPUTED_VALUE"""),"สโมสรทหารอากาศชั้นประทวน")</f>
        <v>สโมสรทหารอากาศชั้นประทวน</v>
      </c>
      <c r="J42" s="12">
        <f>IFERROR(__xludf.DUMMYFUNCTION("""COMPUTED_VALUE"""),45854.0)</f>
        <v>45854</v>
      </c>
      <c r="K42" s="3" t="str">
        <f>IFERROR(__xludf.DUMMYFUNCTION("""COMPUTED_VALUE"""),"0700-1300")</f>
        <v>0700-1300</v>
      </c>
      <c r="L42" s="3">
        <f>IFERROR(__xludf.DUMMYFUNCTION("""COMPUTED_VALUE"""),7.0)</f>
        <v>7</v>
      </c>
      <c r="M42" s="3" t="str">
        <f>IFERROR(__xludf.DUMMYFUNCTION("""COMPUTED_VALUE"""),"น.ต.หญิง ตวงทิพย์ ลดาวัลย์")</f>
        <v>น.ต.หญิง ตวงทิพย์ ลดาวัลย์</v>
      </c>
      <c r="N42" s="14" t="str">
        <f>IFERROR(__xludf.DUMMYFUNCTION("""COMPUTED_VALUE"""),"https://lh5.googleusercontent.com/d/1fx4zsSNCAzm8VfjGTLewtr4hDhyJ-WcQ")</f>
        <v>https://lh5.googleusercontent.com/d/1fx4zsSNCAzm8VfjGTLewtr4hDhyJ-WcQ</v>
      </c>
      <c r="O42" s="14" t="str">
        <f>IFERROR(__xludf.DUMMYFUNCTION("""COMPUTED_VALUE"""),"https://drive.google.com/file/d/1CQP0XWapS7xgYspilB9WeHE9mAuekPGg/view?usp=drivesdk")</f>
        <v>https://drive.google.com/file/d/1CQP0XWapS7xgYspilB9WeHE9mAuekPGg/view?usp=drivesdk</v>
      </c>
    </row>
    <row r="43">
      <c r="A43" s="3">
        <f>IFERROR(__xludf.DUMMYFUNCTION("""COMPUTED_VALUE"""),147.0)</f>
        <v>147</v>
      </c>
      <c r="B43" s="11">
        <f>IFERROR(__xludf.DUMMYFUNCTION("""COMPUTED_VALUE"""),45981.86290590278)</f>
        <v>45981.86291</v>
      </c>
      <c r="C43" s="3" t="str">
        <f>IFERROR(__xludf.DUMMYFUNCTION("""COMPUTED_VALUE"""),"ชั้นปีที่ 4")</f>
        <v>ชั้นปีที่ 4</v>
      </c>
      <c r="D43" s="3" t="str">
        <f>IFERROR(__xludf.DUMMYFUNCTION("""COMPUTED_VALUE"""),"6503750")</f>
        <v>6503750</v>
      </c>
      <c r="E43" s="3" t="str">
        <f>IFERROR(__xludf.DUMMYFUNCTION("""COMPUTED_VALUE"""),"60")</f>
        <v>60</v>
      </c>
      <c r="F43" s="3" t="str">
        <f>IFERROR(__xludf.DUMMYFUNCTION("""COMPUTED_VALUE"""),"นพอ.สุภัชสรา เชิดพุดซา")</f>
        <v>นพอ.สุภัชสรา เชิดพุดซา</v>
      </c>
      <c r="G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43" s="3" t="str">
        <f>IFERROR(__xludf.DUMMYFUNCTION("""COMPUTED_VALUE"""),"สโมสรทหารอากาศชั้นประทวน")</f>
        <v>สโมสรทหารอากาศชั้นประทวน</v>
      </c>
      <c r="J43" s="12">
        <f>IFERROR(__xludf.DUMMYFUNCTION("""COMPUTED_VALUE"""),45854.0)</f>
        <v>45854</v>
      </c>
      <c r="K43" s="3" t="str">
        <f>IFERROR(__xludf.DUMMYFUNCTION("""COMPUTED_VALUE"""),"0700-1300")</f>
        <v>0700-1300</v>
      </c>
      <c r="L43" s="3">
        <f>IFERROR(__xludf.DUMMYFUNCTION("""COMPUTED_VALUE"""),6.0)</f>
        <v>6</v>
      </c>
      <c r="M43" s="3" t="str">
        <f>IFERROR(__xludf.DUMMYFUNCTION("""COMPUTED_VALUE"""),"น.ต.หญิง ตวงทิพย์ ลดาวัลย์")</f>
        <v>น.ต.หญิง ตวงทิพย์ ลดาวัลย์</v>
      </c>
      <c r="N43" s="14" t="str">
        <f>IFERROR(__xludf.DUMMYFUNCTION("""COMPUTED_VALUE"""),"https://lh5.googleusercontent.com/d/177Ba2GL5Xi5Fem0e3M_w5UO0CCP78-md")</f>
        <v>https://lh5.googleusercontent.com/d/177Ba2GL5Xi5Fem0e3M_w5UO0CCP78-md</v>
      </c>
      <c r="O43" s="14" t="str">
        <f>IFERROR(__xludf.DUMMYFUNCTION("""COMPUTED_VALUE"""),"https://drive.google.com/file/d/1WelBYih3HqZnFkxS72Reg1E4snXo2VSe/view?usp=drivesdk")</f>
        <v>https://drive.google.com/file/d/1WelBYih3HqZnFkxS72Reg1E4snXo2VSe/view?usp=drivesdk</v>
      </c>
    </row>
    <row r="44">
      <c r="A44" s="3">
        <f>IFERROR(__xludf.DUMMYFUNCTION("""COMPUTED_VALUE"""),148.0)</f>
        <v>148</v>
      </c>
      <c r="B44" s="11">
        <f>IFERROR(__xludf.DUMMYFUNCTION("""COMPUTED_VALUE"""),45981.87009633102)</f>
        <v>45981.8701</v>
      </c>
      <c r="C44" s="3" t="str">
        <f>IFERROR(__xludf.DUMMYFUNCTION("""COMPUTED_VALUE"""),"ชั้นปีที่ 4")</f>
        <v>ชั้นปีที่ 4</v>
      </c>
      <c r="D44" s="3" t="str">
        <f>IFERROR(__xludf.DUMMYFUNCTION("""COMPUTED_VALUE"""),"6503750")</f>
        <v>6503750</v>
      </c>
      <c r="E44" s="3" t="str">
        <f>IFERROR(__xludf.DUMMYFUNCTION("""COMPUTED_VALUE"""),"60")</f>
        <v>60</v>
      </c>
      <c r="F44" s="3" t="str">
        <f>IFERROR(__xludf.DUMMYFUNCTION("""COMPUTED_VALUE"""),"นพอ.สุภัชสรา เชิดพุดซา")</f>
        <v>นพอ.สุภัชสรา เชิดพุดซา</v>
      </c>
      <c r="G4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4" s="3" t="str">
        <f>IFERROR(__xludf.DUMMYFUNCTION("""COMPUTED_VALUE"""),"ทำกระทงกับชาวบ้าน")</f>
        <v>ทำกระทงกับชาวบ้าน</v>
      </c>
      <c r="I44" s="3" t="str">
        <f>IFERROR(__xludf.DUMMYFUNCTION("""COMPUTED_VALUE"""),"วัดหนามแดง")</f>
        <v>วัดหนามแดง</v>
      </c>
      <c r="J44" s="12">
        <f>IFERROR(__xludf.DUMMYFUNCTION("""COMPUTED_VALUE"""),45966.0)</f>
        <v>45966</v>
      </c>
      <c r="K44" s="3" t="str">
        <f>IFERROR(__xludf.DUMMYFUNCTION("""COMPUTED_VALUE"""),"0800-1200")</f>
        <v>0800-1200</v>
      </c>
      <c r="L44" s="3">
        <f>IFERROR(__xludf.DUMMYFUNCTION("""COMPUTED_VALUE"""),4.0)</f>
        <v>4</v>
      </c>
      <c r="M44" s="3" t="str">
        <f>IFERROR(__xludf.DUMMYFUNCTION("""COMPUTED_VALUE"""),"น.ท.หญิง ดร. ภัทรมน ทับสูงเนิน")</f>
        <v>น.ท.หญิง ดร. ภัทรมน ทับสูงเนิน</v>
      </c>
      <c r="N44" s="14" t="str">
        <f>IFERROR(__xludf.DUMMYFUNCTION("""COMPUTED_VALUE"""),"https://lh5.googleusercontent.com/d/1RiBH11HFViEVTBh6b5lSGaLS4D3BpnYP")</f>
        <v>https://lh5.googleusercontent.com/d/1RiBH11HFViEVTBh6b5lSGaLS4D3BpnYP</v>
      </c>
      <c r="O44" s="14" t="str">
        <f>IFERROR(__xludf.DUMMYFUNCTION("""COMPUTED_VALUE"""),"https://drive.google.com/file/d/1m9HZ3dpmpoET8021HZ6rFjF6KJCDdC_Y/view?usp=drivesdk")</f>
        <v>https://drive.google.com/file/d/1m9HZ3dpmpoET8021HZ6rFjF6KJCDdC_Y/view?usp=drivesdk</v>
      </c>
    </row>
    <row r="45">
      <c r="A45" s="3">
        <f>IFERROR(__xludf.DUMMYFUNCTION("""COMPUTED_VALUE"""),149.0)</f>
        <v>149</v>
      </c>
      <c r="B45" s="11">
        <f>IFERROR(__xludf.DUMMYFUNCTION("""COMPUTED_VALUE"""),45981.88401651621)</f>
        <v>45981.88402</v>
      </c>
      <c r="C45" s="3" t="str">
        <f>IFERROR(__xludf.DUMMYFUNCTION("""COMPUTED_VALUE"""),"ชั้นปีที่ 4")</f>
        <v>ชั้นปีที่ 4</v>
      </c>
      <c r="D45" s="3" t="str">
        <f>IFERROR(__xludf.DUMMYFUNCTION("""COMPUTED_VALUE"""),"6503750")</f>
        <v>6503750</v>
      </c>
      <c r="E45" s="3" t="str">
        <f>IFERROR(__xludf.DUMMYFUNCTION("""COMPUTED_VALUE"""),"60")</f>
        <v>60</v>
      </c>
      <c r="F45" s="3" t="str">
        <f>IFERROR(__xludf.DUMMYFUNCTION("""COMPUTED_VALUE"""),"นพอ.สุภัชสรา เชิดพุดซา")</f>
        <v>นพอ.สุภัชสรา เชิดพุดซา</v>
      </c>
      <c r="G4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5" s="3" t="str">
        <f>IFERROR(__xludf.DUMMYFUNCTION("""COMPUTED_VALUE"""),"เต้นแอโรบิคร่วมกับชมรมผู้สูงอายุสานสัมพันธ์ชาวหนามแดง ")</f>
        <v>เต้นแอโรบิคร่วมกับชมรมผู้สูงอายุสานสัมพันธ์ชาวหนามแดง </v>
      </c>
      <c r="I45" s="3" t="str">
        <f>IFERROR(__xludf.DUMMYFUNCTION("""COMPUTED_VALUE"""),"วัดหนามแดง")</f>
        <v>วัดหนามแดง</v>
      </c>
      <c r="J45" s="12">
        <f>IFERROR(__xludf.DUMMYFUNCTION("""COMPUTED_VALUE"""),45971.0)</f>
        <v>45971</v>
      </c>
      <c r="K45" s="3" t="str">
        <f>IFERROR(__xludf.DUMMYFUNCTION("""COMPUTED_VALUE"""),"1700-1900")</f>
        <v>1700-1900</v>
      </c>
      <c r="L45" s="3">
        <f>IFERROR(__xludf.DUMMYFUNCTION("""COMPUTED_VALUE"""),2.0)</f>
        <v>2</v>
      </c>
      <c r="M45" s="3" t="str">
        <f>IFERROR(__xludf.DUMMYFUNCTION("""COMPUTED_VALUE"""),"น.ท.หญิง ดร. ภัทรมน ทับสูงเนิน")</f>
        <v>น.ท.หญิง ดร. ภัทรมน ทับสูงเนิน</v>
      </c>
      <c r="N45" s="14" t="str">
        <f>IFERROR(__xludf.DUMMYFUNCTION("""COMPUTED_VALUE"""),"https://lh5.googleusercontent.com/d/1bojFpA2uM6kyGbS7x0I9ERPfmL933h8m")</f>
        <v>https://lh5.googleusercontent.com/d/1bojFpA2uM6kyGbS7x0I9ERPfmL933h8m</v>
      </c>
      <c r="O45" s="14" t="str">
        <f>IFERROR(__xludf.DUMMYFUNCTION("""COMPUTED_VALUE"""),"https://drive.google.com/file/d/18wpz2VYyha_ze9lM8KgisK4sHqhWMvig/view?usp=drivesdk")</f>
        <v>https://drive.google.com/file/d/18wpz2VYyha_ze9lM8KgisK4sHqhWMvig/view?usp=drivesdk</v>
      </c>
    </row>
    <row r="46">
      <c r="A46" s="3">
        <f>IFERROR(__xludf.DUMMYFUNCTION("""COMPUTED_VALUE"""),150.0)</f>
        <v>150</v>
      </c>
      <c r="B46" s="11">
        <f>IFERROR(__xludf.DUMMYFUNCTION("""COMPUTED_VALUE"""),45981.886405914345)</f>
        <v>45981.88641</v>
      </c>
      <c r="C46" s="3" t="str">
        <f>IFERROR(__xludf.DUMMYFUNCTION("""COMPUTED_VALUE"""),"ชั้นปีที่ 4")</f>
        <v>ชั้นปีที่ 4</v>
      </c>
      <c r="D46" s="3" t="str">
        <f>IFERROR(__xludf.DUMMYFUNCTION("""COMPUTED_VALUE"""),"6503750")</f>
        <v>6503750</v>
      </c>
      <c r="E46" s="3" t="str">
        <f>IFERROR(__xludf.DUMMYFUNCTION("""COMPUTED_VALUE"""),"60")</f>
        <v>60</v>
      </c>
      <c r="F46" s="3" t="str">
        <f>IFERROR(__xludf.DUMMYFUNCTION("""COMPUTED_VALUE"""),"นพอ.สุภัชสรา เชิดพุดซา")</f>
        <v>นพอ.สุภัชสรา เชิดพุดซา</v>
      </c>
      <c r="G4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6" s="3" t="str">
        <f>IFERROR(__xludf.DUMMYFUNCTION("""COMPUTED_VALUE"""),"เต้นแอโรบิคร่วมกับชมรมผู้สูงอายุสานสัมพันธ์ชาวหนามแดง ")</f>
        <v>เต้นแอโรบิคร่วมกับชมรมผู้สูงอายุสานสัมพันธ์ชาวหนามแดง </v>
      </c>
      <c r="I46" s="3" t="str">
        <f>IFERROR(__xludf.DUMMYFUNCTION("""COMPUTED_VALUE"""),"วัดหนามแดง")</f>
        <v>วัดหนามแดง</v>
      </c>
      <c r="J46" s="12">
        <f>IFERROR(__xludf.DUMMYFUNCTION("""COMPUTED_VALUE"""),45947.0)</f>
        <v>45947</v>
      </c>
      <c r="K46" s="3" t="str">
        <f>IFERROR(__xludf.DUMMYFUNCTION("""COMPUTED_VALUE"""),"1700-1900")</f>
        <v>1700-1900</v>
      </c>
      <c r="L46" s="3">
        <f>IFERROR(__xludf.DUMMYFUNCTION("""COMPUTED_VALUE"""),2.0)</f>
        <v>2</v>
      </c>
      <c r="M46" s="3" t="str">
        <f>IFERROR(__xludf.DUMMYFUNCTION("""COMPUTED_VALUE"""),"น.ท.หญิง ดร. ภัทรมน ทับสูงเนิน")</f>
        <v>น.ท.หญิง ดร. ภัทรมน ทับสูงเนิน</v>
      </c>
      <c r="N46" s="14" t="str">
        <f>IFERROR(__xludf.DUMMYFUNCTION("""COMPUTED_VALUE"""),"https://lh5.googleusercontent.com/d/16c6FAbF2WOWwRJbispsad6BzbrN26sJD")</f>
        <v>https://lh5.googleusercontent.com/d/16c6FAbF2WOWwRJbispsad6BzbrN26sJD</v>
      </c>
      <c r="O46" s="14" t="str">
        <f>IFERROR(__xludf.DUMMYFUNCTION("""COMPUTED_VALUE"""),"https://drive.google.com/file/d/1b0jay_hlIsgGyXXFX0Gf2BGol4MT3byT/view?usp=drivesdk")</f>
        <v>https://drive.google.com/file/d/1b0jay_hlIsgGyXXFX0Gf2BGol4MT3byT/view?usp=drivesdk</v>
      </c>
    </row>
    <row r="47">
      <c r="A47" s="3">
        <f>IFERROR(__xludf.DUMMYFUNCTION("""COMPUTED_VALUE"""),151.0)</f>
        <v>151</v>
      </c>
      <c r="B47" s="11">
        <f>IFERROR(__xludf.DUMMYFUNCTION("""COMPUTED_VALUE"""),45981.89196623842)</f>
        <v>45981.89197</v>
      </c>
      <c r="C47" s="3" t="str">
        <f>IFERROR(__xludf.DUMMYFUNCTION("""COMPUTED_VALUE"""),"ชั้นปีที่ 4")</f>
        <v>ชั้นปีที่ 4</v>
      </c>
      <c r="D47" s="3" t="str">
        <f>IFERROR(__xludf.DUMMYFUNCTION("""COMPUTED_VALUE"""),"6503753")</f>
        <v>6503753</v>
      </c>
      <c r="E47" s="3" t="str">
        <f>IFERROR(__xludf.DUMMYFUNCTION("""COMPUTED_VALUE"""),"63")</f>
        <v>63</v>
      </c>
      <c r="F47" s="3" t="str">
        <f>IFERROR(__xludf.DUMMYFUNCTION("""COMPUTED_VALUE"""),"นพอ.อรกัญญา ทอนสูงเนิน")</f>
        <v>นพอ.อรกัญญา ทอนสูงเนิน</v>
      </c>
      <c r="G4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7" s="3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47" s="3" t="str">
        <f>IFERROR(__xludf.DUMMYFUNCTION("""COMPUTED_VALUE"""),"วัดสุวรรณาราม")</f>
        <v>วัดสุวรรณาราม</v>
      </c>
      <c r="J47" s="12">
        <f>IFERROR(__xludf.DUMMYFUNCTION("""COMPUTED_VALUE"""),45942.0)</f>
        <v>45942</v>
      </c>
      <c r="K47" s="3" t="str">
        <f>IFERROR(__xludf.DUMMYFUNCTION("""COMPUTED_VALUE"""),"0800 - 1300")</f>
        <v>0800 - 1300</v>
      </c>
      <c r="L47" s="3">
        <f>IFERROR(__xludf.DUMMYFUNCTION("""COMPUTED_VALUE"""),6.0)</f>
        <v>6</v>
      </c>
      <c r="M47" s="3" t="str">
        <f>IFERROR(__xludf.DUMMYFUNCTION("""COMPUTED_VALUE"""),"คุณเกสร เจริญสิทธิสงค์")</f>
        <v>คุณเกสร เจริญสิทธิสงค์</v>
      </c>
      <c r="N47" s="14" t="str">
        <f>IFERROR(__xludf.DUMMYFUNCTION("""COMPUTED_VALUE"""),"https://lh5.googleusercontent.com/d/1y85emSdEdm37m6s7mEWB-wMszWbOqtV9")</f>
        <v>https://lh5.googleusercontent.com/d/1y85emSdEdm37m6s7mEWB-wMszWbOqtV9</v>
      </c>
      <c r="O47" s="14" t="str">
        <f>IFERROR(__xludf.DUMMYFUNCTION("""COMPUTED_VALUE"""),"https://drive.google.com/file/d/1CC5AI6CjTmHhZ7EmQVmn2cZB-pBmPwPM/view?usp=drivesdk")</f>
        <v>https://drive.google.com/file/d/1CC5AI6CjTmHhZ7EmQVmn2cZB-pBmPwPM/view?usp=drivesdk</v>
      </c>
    </row>
    <row r="48">
      <c r="A48" s="3">
        <f>IFERROR(__xludf.DUMMYFUNCTION("""COMPUTED_VALUE"""),152.0)</f>
        <v>152</v>
      </c>
      <c r="B48" s="11">
        <f>IFERROR(__xludf.DUMMYFUNCTION("""COMPUTED_VALUE"""),45981.896424652776)</f>
        <v>45981.89642</v>
      </c>
      <c r="C48" s="3" t="str">
        <f>IFERROR(__xludf.DUMMYFUNCTION("""COMPUTED_VALUE"""),"ชั้นปีที่ 4")</f>
        <v>ชั้นปีที่ 4</v>
      </c>
      <c r="D48" s="3" t="str">
        <f>IFERROR(__xludf.DUMMYFUNCTION("""COMPUTED_VALUE"""),"6503716")</f>
        <v>6503716</v>
      </c>
      <c r="E48" s="3" t="str">
        <f>IFERROR(__xludf.DUMMYFUNCTION("""COMPUTED_VALUE"""),"27")</f>
        <v>27</v>
      </c>
      <c r="F48" s="3" t="str">
        <f>IFERROR(__xludf.DUMMYFUNCTION("""COMPUTED_VALUE"""),"นพอ.ธันยาภัทร์ จิโรชนิธิกาญจน์")</f>
        <v>นพอ.ธันยาภัทร์ จิโรชนิธิกาญจน์</v>
      </c>
      <c r="G4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8" s="3" t="str">
        <f>IFERROR(__xludf.DUMMYFUNCTION("""COMPUTED_VALUE"""),"เฝ้าระวังและคัดกรองโรคเบาหวานความดันโลหิตสูง")</f>
        <v>เฝ้าระวังและคัดกรองโรคเบาหวานความดันโลหิตสูง</v>
      </c>
      <c r="I48" s="3" t="str">
        <f>IFERROR(__xludf.DUMMYFUNCTION("""COMPUTED_VALUE"""),"วัดสุวรรณาราม")</f>
        <v>วัดสุวรรณาราม</v>
      </c>
      <c r="J48" s="12">
        <f>IFERROR(__xludf.DUMMYFUNCTION("""COMPUTED_VALUE"""),45942.0)</f>
        <v>45942</v>
      </c>
      <c r="K48" s="3" t="str">
        <f>IFERROR(__xludf.DUMMYFUNCTION("""COMPUTED_VALUE"""),"0700-1200")</f>
        <v>0700-1200</v>
      </c>
      <c r="L48" s="3">
        <f>IFERROR(__xludf.DUMMYFUNCTION("""COMPUTED_VALUE"""),6.0)</f>
        <v>6</v>
      </c>
      <c r="M48" s="3" t="str">
        <f>IFERROR(__xludf.DUMMYFUNCTION("""COMPUTED_VALUE"""),"คุณเกสร เจริญสิทธิสงค์")</f>
        <v>คุณเกสร เจริญสิทธิสงค์</v>
      </c>
      <c r="N48" s="14" t="str">
        <f>IFERROR(__xludf.DUMMYFUNCTION("""COMPUTED_VALUE"""),"https://lh5.googleusercontent.com/d/1LQxtQxrL9YqKf83UP6mtA-PoY4RgbGq9")</f>
        <v>https://lh5.googleusercontent.com/d/1LQxtQxrL9YqKf83UP6mtA-PoY4RgbGq9</v>
      </c>
      <c r="O48" s="14" t="str">
        <f>IFERROR(__xludf.DUMMYFUNCTION("""COMPUTED_VALUE"""),"https://drive.google.com/file/d/1IEj7-LXZS8f04Q9EtQBAVWvK8NVx1NUb/view?usp=drivesdk")</f>
        <v>https://drive.google.com/file/d/1IEj7-LXZS8f04Q9EtQBAVWvK8NVx1NUb/view?usp=drivesdk</v>
      </c>
    </row>
    <row r="49">
      <c r="A49" s="3">
        <f>IFERROR(__xludf.DUMMYFUNCTION("""COMPUTED_VALUE"""),153.0)</f>
        <v>153</v>
      </c>
      <c r="B49" s="11">
        <f>IFERROR(__xludf.DUMMYFUNCTION("""COMPUTED_VALUE"""),45981.89977697917)</f>
        <v>45981.89978</v>
      </c>
      <c r="C49" s="3" t="str">
        <f>IFERROR(__xludf.DUMMYFUNCTION("""COMPUTED_VALUE"""),"ชั้นปีที่ 4")</f>
        <v>ชั้นปีที่ 4</v>
      </c>
      <c r="D49" s="3" t="str">
        <f>IFERROR(__xludf.DUMMYFUNCTION("""COMPUTED_VALUE"""),"6503750")</f>
        <v>6503750</v>
      </c>
      <c r="E49" s="3" t="str">
        <f>IFERROR(__xludf.DUMMYFUNCTION("""COMPUTED_VALUE"""),"60")</f>
        <v>60</v>
      </c>
      <c r="F49" s="3" t="str">
        <f>IFERROR(__xludf.DUMMYFUNCTION("""COMPUTED_VALUE"""),"นพอ.สุภัชสรา เชิดพุดซา")</f>
        <v>นพอ.สุภัชสรา เชิดพุดซา</v>
      </c>
      <c r="G4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9" s="3" t="str">
        <f>IFERROR(__xludf.DUMMYFUNCTION("""COMPUTED_VALUE"""),"เต้นแอโรบิคร่วมกับชมรมผู้สูงอายุสานสัมพันธ์ชาวหนามแดง ")</f>
        <v>เต้นแอโรบิคร่วมกับชมรมผู้สูงอายุสานสัมพันธ์ชาวหนามแดง </v>
      </c>
      <c r="I49" s="3" t="str">
        <f>IFERROR(__xludf.DUMMYFUNCTION("""COMPUTED_VALUE"""),"วัดหนามแดง")</f>
        <v>วัดหนามแดง</v>
      </c>
      <c r="J49" s="12">
        <f>IFERROR(__xludf.DUMMYFUNCTION("""COMPUTED_VALUE"""),45975.0)</f>
        <v>45975</v>
      </c>
      <c r="K49" s="3" t="str">
        <f>IFERROR(__xludf.DUMMYFUNCTION("""COMPUTED_VALUE"""),"1700-1900")</f>
        <v>1700-1900</v>
      </c>
      <c r="L49" s="3">
        <f>IFERROR(__xludf.DUMMYFUNCTION("""COMPUTED_VALUE"""),2.0)</f>
        <v>2</v>
      </c>
      <c r="M49" s="3" t="str">
        <f>IFERROR(__xludf.DUMMYFUNCTION("""COMPUTED_VALUE"""),"น.ท.หญิง ดร. ภัทรมน ทับสูงเนิน")</f>
        <v>น.ท.หญิง ดร. ภัทรมน ทับสูงเนิน</v>
      </c>
      <c r="N49" s="14" t="str">
        <f>IFERROR(__xludf.DUMMYFUNCTION("""COMPUTED_VALUE"""),"https://lh5.googleusercontent.com/d/1m22vKpeJUN1DWJlEClKg1Ghg0P4A_5co")</f>
        <v>https://lh5.googleusercontent.com/d/1m22vKpeJUN1DWJlEClKg1Ghg0P4A_5co</v>
      </c>
      <c r="O49" s="14" t="str">
        <f>IFERROR(__xludf.DUMMYFUNCTION("""COMPUTED_VALUE"""),"https://drive.google.com/file/d/1pkncT8jj-5B3fv2Vl2l4uebWM5EIkpVe/view?usp=drivesdk")</f>
        <v>https://drive.google.com/file/d/1pkncT8jj-5B3fv2Vl2l4uebWM5EIkpVe/view?usp=drivesdk</v>
      </c>
    </row>
    <row r="50">
      <c r="A50" s="3">
        <f>IFERROR(__xludf.DUMMYFUNCTION("""COMPUTED_VALUE"""),154.0)</f>
        <v>154</v>
      </c>
      <c r="B50" s="11">
        <f>IFERROR(__xludf.DUMMYFUNCTION("""COMPUTED_VALUE"""),45981.901568148154)</f>
        <v>45981.90157</v>
      </c>
      <c r="C50" s="3" t="str">
        <f>IFERROR(__xludf.DUMMYFUNCTION("""COMPUTED_VALUE"""),"ชั้นปีที่ 4")</f>
        <v>ชั้นปีที่ 4</v>
      </c>
      <c r="D50" s="3" t="str">
        <f>IFERROR(__xludf.DUMMYFUNCTION("""COMPUTED_VALUE"""),"6503750")</f>
        <v>6503750</v>
      </c>
      <c r="E50" s="3" t="str">
        <f>IFERROR(__xludf.DUMMYFUNCTION("""COMPUTED_VALUE"""),"60")</f>
        <v>60</v>
      </c>
      <c r="F50" s="3" t="str">
        <f>IFERROR(__xludf.DUMMYFUNCTION("""COMPUTED_VALUE"""),"นพอ.สุภัชสรา เชิดพุดซา")</f>
        <v>นพอ.สุภัชสรา เชิดพุดซา</v>
      </c>
      <c r="G50" s="3" t="str">
        <f>IFERROR(__xludf.DUMMYFUNCTION("""COMPUTED_VALUE"""),"ทำนุบำรุงศาสนสถาน")</f>
        <v>ทำนุบำรุงศาสนสถาน</v>
      </c>
      <c r="H50" s="3" t="str">
        <f>IFERROR(__xludf.DUMMYFUNCTION("""COMPUTED_VALUE"""),"ทอดกฐินวัดขวัญสะอาด")</f>
        <v>ทอดกฐินวัดขวัญสะอาด</v>
      </c>
      <c r="I50" s="3" t="str">
        <f>IFERROR(__xludf.DUMMYFUNCTION("""COMPUTED_VALUE"""),"วัดขวัญสะอาด")</f>
        <v>วัดขวัญสะอาด</v>
      </c>
      <c r="J50" s="12">
        <f>IFERROR(__xludf.DUMMYFUNCTION("""COMPUTED_VALUE"""),45963.0)</f>
        <v>45963</v>
      </c>
      <c r="K50" s="3" t="str">
        <f>IFERROR(__xludf.DUMMYFUNCTION("""COMPUTED_VALUE"""),"0800-1200")</f>
        <v>0800-1200</v>
      </c>
      <c r="L50" s="3">
        <f>IFERROR(__xludf.DUMMYFUNCTION("""COMPUTED_VALUE"""),4.0)</f>
        <v>4</v>
      </c>
      <c r="M50" s="3" t="str">
        <f>IFERROR(__xludf.DUMMYFUNCTION("""COMPUTED_VALUE"""),"น.ท.หญิง ดร. ภัทรมน ทับสูงเนิน")</f>
        <v>น.ท.หญิง ดร. ภัทรมน ทับสูงเนิน</v>
      </c>
      <c r="N50" s="14" t="str">
        <f>IFERROR(__xludf.DUMMYFUNCTION("""COMPUTED_VALUE"""),"https://lh5.googleusercontent.com/d/114aW79Z5QeW9OaUcZqqnrd6F2jY-iBoX")</f>
        <v>https://lh5.googleusercontent.com/d/114aW79Z5QeW9OaUcZqqnrd6F2jY-iBoX</v>
      </c>
      <c r="O50" s="14" t="str">
        <f>IFERROR(__xludf.DUMMYFUNCTION("""COMPUTED_VALUE"""),"https://drive.google.com/file/d/1wNq7fYH-c_yI8txioxErtGBVnfJsvJ25/view?usp=drivesdk")</f>
        <v>https://drive.google.com/file/d/1wNq7fYH-c_yI8txioxErtGBVnfJsvJ25/view?usp=drivesdk</v>
      </c>
    </row>
    <row r="51">
      <c r="A51" s="3">
        <f>IFERROR(__xludf.DUMMYFUNCTION("""COMPUTED_VALUE"""),155.0)</f>
        <v>155</v>
      </c>
      <c r="B51" s="11">
        <f>IFERROR(__xludf.DUMMYFUNCTION("""COMPUTED_VALUE"""),45981.90217923611)</f>
        <v>45981.90218</v>
      </c>
      <c r="C51" s="3" t="str">
        <f>IFERROR(__xludf.DUMMYFUNCTION("""COMPUTED_VALUE"""),"ชั้นปีที่ 4")</f>
        <v>ชั้นปีที่ 4</v>
      </c>
      <c r="D51" s="3" t="str">
        <f>IFERROR(__xludf.DUMMYFUNCTION("""COMPUTED_VALUE"""),"6503753")</f>
        <v>6503753</v>
      </c>
      <c r="E51" s="3" t="str">
        <f>IFERROR(__xludf.DUMMYFUNCTION("""COMPUTED_VALUE"""),"63")</f>
        <v>63</v>
      </c>
      <c r="F51" s="3" t="str">
        <f>IFERROR(__xludf.DUMMYFUNCTION("""COMPUTED_VALUE"""),"นพอ.อรกัญญา ทอนสูงเนิน")</f>
        <v>นพอ.อรกัญญา ทอนสูงเนิน</v>
      </c>
      <c r="G5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1" s="3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51" s="3" t="str">
        <f>IFERROR(__xludf.DUMMYFUNCTION("""COMPUTED_VALUE"""),"วัดสุวรรณาราม")</f>
        <v>วัดสุวรรณาราม</v>
      </c>
      <c r="J51" s="12">
        <f>IFERROR(__xludf.DUMMYFUNCTION("""COMPUTED_VALUE"""),45942.0)</f>
        <v>45942</v>
      </c>
      <c r="K51" s="3" t="str">
        <f>IFERROR(__xludf.DUMMYFUNCTION("""COMPUTED_VALUE"""),"0800 - 1200")</f>
        <v>0800 - 1200</v>
      </c>
      <c r="L51" s="3">
        <f>IFERROR(__xludf.DUMMYFUNCTION("""COMPUTED_VALUE"""),4.0)</f>
        <v>4</v>
      </c>
      <c r="M51" s="3" t="str">
        <f>IFERROR(__xludf.DUMMYFUNCTION("""COMPUTED_VALUE"""),"คุณเกสร เจริญสิทธิสงค์")</f>
        <v>คุณเกสร เจริญสิทธิสงค์</v>
      </c>
      <c r="N51" s="14" t="str">
        <f>IFERROR(__xludf.DUMMYFUNCTION("""COMPUTED_VALUE"""),"https://lh5.googleusercontent.com/d/1EoyCgCDaVfW5OfqPf7YD8iD7R8a6VklJ")</f>
        <v>https://lh5.googleusercontent.com/d/1EoyCgCDaVfW5OfqPf7YD8iD7R8a6VklJ</v>
      </c>
      <c r="O51" s="14" t="str">
        <f>IFERROR(__xludf.DUMMYFUNCTION("""COMPUTED_VALUE"""),"https://drive.google.com/file/d/1WsleQKB-_VYoslHqTd-uP3FfP9vnvKth/view?usp=drivesdk")</f>
        <v>https://drive.google.com/file/d/1WsleQKB-_VYoslHqTd-uP3FfP9vnvKth/view?usp=drivesdk</v>
      </c>
    </row>
    <row r="52">
      <c r="A52" s="3">
        <f>IFERROR(__xludf.DUMMYFUNCTION("""COMPUTED_VALUE"""),156.0)</f>
        <v>156</v>
      </c>
      <c r="B52" s="11">
        <f>IFERROR(__xludf.DUMMYFUNCTION("""COMPUTED_VALUE"""),45981.903306493055)</f>
        <v>45981.90331</v>
      </c>
      <c r="C52" s="3" t="str">
        <f>IFERROR(__xludf.DUMMYFUNCTION("""COMPUTED_VALUE"""),"ชั้นปีที่ 4")</f>
        <v>ชั้นปีที่ 4</v>
      </c>
      <c r="D52" s="3" t="str">
        <f>IFERROR(__xludf.DUMMYFUNCTION("""COMPUTED_VALUE"""),"6503750")</f>
        <v>6503750</v>
      </c>
      <c r="E52" s="3" t="str">
        <f>IFERROR(__xludf.DUMMYFUNCTION("""COMPUTED_VALUE"""),"60")</f>
        <v>60</v>
      </c>
      <c r="F52" s="3" t="str">
        <f>IFERROR(__xludf.DUMMYFUNCTION("""COMPUTED_VALUE"""),"นพอ.สุภัชสรา เชิดพุดซา")</f>
        <v>นพอ.สุภัชสรา เชิดพุดซา</v>
      </c>
      <c r="G52" s="3" t="str">
        <f>IFERROR(__xludf.DUMMYFUNCTION("""COMPUTED_VALUE"""),"ทำนุบำรุงศาสนสถาน")</f>
        <v>ทำนุบำรุงศาสนสถาน</v>
      </c>
      <c r="H52" s="3" t="str">
        <f>IFERROR(__xludf.DUMMYFUNCTION("""COMPUTED_VALUE"""),"ทอดกฐินวัดหนามแดง")</f>
        <v>ทอดกฐินวัดหนามแดง</v>
      </c>
      <c r="I52" s="3" t="str">
        <f>IFERROR(__xludf.DUMMYFUNCTION("""COMPUTED_VALUE"""),"วัดหนามแดง")</f>
        <v>วัดหนามแดง</v>
      </c>
      <c r="J52" s="12">
        <f>IFERROR(__xludf.DUMMYFUNCTION("""COMPUTED_VALUE"""),45942.0)</f>
        <v>45942</v>
      </c>
      <c r="K52" s="3" t="str">
        <f>IFERROR(__xludf.DUMMYFUNCTION("""COMPUTED_VALUE"""),"0800-1200")</f>
        <v>0800-1200</v>
      </c>
      <c r="L52" s="3">
        <f>IFERROR(__xludf.DUMMYFUNCTION("""COMPUTED_VALUE"""),4.0)</f>
        <v>4</v>
      </c>
      <c r="M52" s="3" t="str">
        <f>IFERROR(__xludf.DUMMYFUNCTION("""COMPUTED_VALUE"""),"น.ท.หญิง ดร. ภัทรมน ทับสูงเนิน")</f>
        <v>น.ท.หญิง ดร. ภัทรมน ทับสูงเนิน</v>
      </c>
      <c r="N52" s="14" t="str">
        <f>IFERROR(__xludf.DUMMYFUNCTION("""COMPUTED_VALUE"""),"https://lh5.googleusercontent.com/d/1UNCWmLiFOxUEI5nkrEy20CXe6FCKd9MA")</f>
        <v>https://lh5.googleusercontent.com/d/1UNCWmLiFOxUEI5nkrEy20CXe6FCKd9MA</v>
      </c>
      <c r="O52" s="14" t="str">
        <f>IFERROR(__xludf.DUMMYFUNCTION("""COMPUTED_VALUE"""),"https://drive.google.com/file/d/14R2DhA0_SZMLsNkWdx_bxXQ-qzpFo8_V/view?usp=drivesdk")</f>
        <v>https://drive.google.com/file/d/14R2DhA0_SZMLsNkWdx_bxXQ-qzpFo8_V/view?usp=drivesdk</v>
      </c>
    </row>
    <row r="53">
      <c r="A53" s="3">
        <f>IFERROR(__xludf.DUMMYFUNCTION("""COMPUTED_VALUE"""),157.0)</f>
        <v>157</v>
      </c>
      <c r="B53" s="11">
        <f>IFERROR(__xludf.DUMMYFUNCTION("""COMPUTED_VALUE"""),45981.90817850694)</f>
        <v>45981.90818</v>
      </c>
      <c r="C53" s="3" t="str">
        <f>IFERROR(__xludf.DUMMYFUNCTION("""COMPUTED_VALUE"""),"ชั้นปีที่ 4")</f>
        <v>ชั้นปีที่ 4</v>
      </c>
      <c r="D53" s="3" t="str">
        <f>IFERROR(__xludf.DUMMYFUNCTION("""COMPUTED_VALUE"""),"6503702")</f>
        <v>6503702</v>
      </c>
      <c r="E53" s="3" t="str">
        <f>IFERROR(__xludf.DUMMYFUNCTION("""COMPUTED_VALUE"""),"13")</f>
        <v>13</v>
      </c>
      <c r="F53" s="3" t="str">
        <f>IFERROR(__xludf.DUMMYFUNCTION("""COMPUTED_VALUE"""),"นพอ.ชนิสรา น้อยสอาด")</f>
        <v>นพอ.ชนิสรา น้อยสอาด</v>
      </c>
      <c r="G53" s="3" t="str">
        <f>IFERROR(__xludf.DUMMYFUNCTION("""COMPUTED_VALUE"""),"ทำนุบำรุงศาสนสถาน")</f>
        <v>ทำนุบำรุงศาสนสถาน</v>
      </c>
      <c r="H53" s="3" t="str">
        <f>IFERROR(__xludf.DUMMYFUNCTION("""COMPUTED_VALUE"""),"ทอดกฐิน")</f>
        <v>ทอดกฐิน</v>
      </c>
      <c r="I53" s="3" t="str">
        <f>IFERROR(__xludf.DUMMYFUNCTION("""COMPUTED_VALUE"""),"วัดคลองนา (วัดป่าชินรังสี)")</f>
        <v>วัดคลองนา (วัดป่าชินรังสี)</v>
      </c>
      <c r="J53" s="12">
        <f>IFERROR(__xludf.DUMMYFUNCTION("""COMPUTED_VALUE"""),45948.0)</f>
        <v>45948</v>
      </c>
      <c r="K53" s="3" t="str">
        <f>IFERROR(__xludf.DUMMYFUNCTION("""COMPUTED_VALUE"""),"0800-1200")</f>
        <v>0800-1200</v>
      </c>
      <c r="L53" s="3">
        <f>IFERROR(__xludf.DUMMYFUNCTION("""COMPUTED_VALUE"""),4.0)</f>
        <v>4</v>
      </c>
      <c r="M53" s="3" t="str">
        <f>IFERROR(__xludf.DUMMYFUNCTION("""COMPUTED_VALUE"""),"น.ส. ธนิดา หลักทอง")</f>
        <v>น.ส. ธนิดา หลักทอง</v>
      </c>
      <c r="N53" s="14" t="str">
        <f>IFERROR(__xludf.DUMMYFUNCTION("""COMPUTED_VALUE"""),"https://lh5.googleusercontent.com/d/1ncbY_whOpcjuVhnixvx7fbISsGPTs3UY")</f>
        <v>https://lh5.googleusercontent.com/d/1ncbY_whOpcjuVhnixvx7fbISsGPTs3UY</v>
      </c>
      <c r="O53" s="14" t="str">
        <f>IFERROR(__xludf.DUMMYFUNCTION("""COMPUTED_VALUE"""),"https://drive.google.com/file/d/1Svdl8e6hxlg16t-Wj-PsB02KijHNc2GL/view?usp=drivesdk")</f>
        <v>https://drive.google.com/file/d/1Svdl8e6hxlg16t-Wj-PsB02KijHNc2GL/view?usp=drivesdk</v>
      </c>
    </row>
    <row r="54">
      <c r="A54" s="3">
        <f>IFERROR(__xludf.DUMMYFUNCTION("""COMPUTED_VALUE"""),158.0)</f>
        <v>158</v>
      </c>
      <c r="B54" s="11">
        <f>IFERROR(__xludf.DUMMYFUNCTION("""COMPUTED_VALUE"""),45981.91227891203)</f>
        <v>45981.91228</v>
      </c>
      <c r="C54" s="3" t="str">
        <f>IFERROR(__xludf.DUMMYFUNCTION("""COMPUTED_VALUE"""),"ชั้นปีที่ 4")</f>
        <v>ชั้นปีที่ 4</v>
      </c>
      <c r="D54" s="3" t="str">
        <f>IFERROR(__xludf.DUMMYFUNCTION("""COMPUTED_VALUE"""),"6503753")</f>
        <v>6503753</v>
      </c>
      <c r="E54" s="3" t="str">
        <f>IFERROR(__xludf.DUMMYFUNCTION("""COMPUTED_VALUE"""),"63")</f>
        <v>63</v>
      </c>
      <c r="F54" s="3" t="str">
        <f>IFERROR(__xludf.DUMMYFUNCTION("""COMPUTED_VALUE"""),"นพอ.อรกัญญา ทอนสูงเนิน")</f>
        <v>นพอ.อรกัญญา ทอนสูงเนิน</v>
      </c>
      <c r="G5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4" s="3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54" s="3" t="str">
        <f>IFERROR(__xludf.DUMMYFUNCTION("""COMPUTED_VALUE"""),"วัดสุวรรณาราม")</f>
        <v>วัดสุวรรณาราม</v>
      </c>
      <c r="J54" s="12">
        <f>IFERROR(__xludf.DUMMYFUNCTION("""COMPUTED_VALUE"""),45942.0)</f>
        <v>45942</v>
      </c>
      <c r="K54" s="3" t="str">
        <f>IFERROR(__xludf.DUMMYFUNCTION("""COMPUTED_VALUE"""),"0800 - 1200")</f>
        <v>0800 - 1200</v>
      </c>
      <c r="L54" s="3">
        <f>IFERROR(__xludf.DUMMYFUNCTION("""COMPUTED_VALUE"""),4.0)</f>
        <v>4</v>
      </c>
      <c r="M54" s="3" t="str">
        <f>IFERROR(__xludf.DUMMYFUNCTION("""COMPUTED_VALUE"""),"คุณเกสร เจริญสิทธิสงค์")</f>
        <v>คุณเกสร เจริญสิทธิสงค์</v>
      </c>
      <c r="N54" s="14" t="str">
        <f>IFERROR(__xludf.DUMMYFUNCTION("""COMPUTED_VALUE"""),"https://lh5.googleusercontent.com/d/11n-63pMtHnBRzHCSwwZz4UtaICxjcu3O")</f>
        <v>https://lh5.googleusercontent.com/d/11n-63pMtHnBRzHCSwwZz4UtaICxjcu3O</v>
      </c>
      <c r="O54" s="14" t="str">
        <f>IFERROR(__xludf.DUMMYFUNCTION("""COMPUTED_VALUE"""),"https://drive.google.com/file/d/1vwQwMRUsEP8HCga4pYf7y4FNRbniHC38/view?usp=drivesdk")</f>
        <v>https://drive.google.com/file/d/1vwQwMRUsEP8HCga4pYf7y4FNRbniHC38/view?usp=drivesdk</v>
      </c>
    </row>
    <row r="55">
      <c r="A55" s="3">
        <f>IFERROR(__xludf.DUMMYFUNCTION("""COMPUTED_VALUE"""),159.0)</f>
        <v>159</v>
      </c>
      <c r="B55" s="11">
        <f>IFERROR(__xludf.DUMMYFUNCTION("""COMPUTED_VALUE"""),45981.916091736115)</f>
        <v>45981.91609</v>
      </c>
      <c r="C55" s="3" t="str">
        <f>IFERROR(__xludf.DUMMYFUNCTION("""COMPUTED_VALUE"""),"ชั้นปีที่ 4")</f>
        <v>ชั้นปีที่ 4</v>
      </c>
      <c r="D55" s="3" t="str">
        <f>IFERROR(__xludf.DUMMYFUNCTION("""COMPUTED_VALUE"""),"6503753")</f>
        <v>6503753</v>
      </c>
      <c r="E55" s="3" t="str">
        <f>IFERROR(__xludf.DUMMYFUNCTION("""COMPUTED_VALUE"""),"63")</f>
        <v>63</v>
      </c>
      <c r="F55" s="3" t="str">
        <f>IFERROR(__xludf.DUMMYFUNCTION("""COMPUTED_VALUE"""),"นพอ.อรกัญญา ทอนสูงเนิน")</f>
        <v>นพอ.อรกัญญา ทอนสูงเนิน</v>
      </c>
      <c r="G5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5" s="3" t="str">
        <f>IFERROR(__xludf.DUMMYFUNCTION("""COMPUTED_VALUE"""),"วันรักตันไม้ประจำปีของชาติ ")</f>
        <v>วันรักตันไม้ประจำปีของชาติ </v>
      </c>
      <c r="I55" s="3" t="str">
        <f>IFERROR(__xludf.DUMMYFUNCTION("""COMPUTED_VALUE"""),"โรงพยาบาลส่งเสริมสุขภาพตำบลบางตีนเป็ด")</f>
        <v>โรงพยาบาลส่งเสริมสุขภาพตำบลบางตีนเป็ด</v>
      </c>
      <c r="J55" s="12">
        <f>IFERROR(__xludf.DUMMYFUNCTION("""COMPUTED_VALUE"""),45949.0)</f>
        <v>45949</v>
      </c>
      <c r="K55" s="3" t="str">
        <f>IFERROR(__xludf.DUMMYFUNCTION("""COMPUTED_VALUE"""),"1300 - 1700")</f>
        <v>1300 - 1700</v>
      </c>
      <c r="L55" s="3">
        <f>IFERROR(__xludf.DUMMYFUNCTION("""COMPUTED_VALUE"""),4.0)</f>
        <v>4</v>
      </c>
      <c r="M55" s="3" t="str">
        <f>IFERROR(__xludf.DUMMYFUNCTION("""COMPUTED_VALUE"""),"คุณเกสร เจริญสิทธิสงค์")</f>
        <v>คุณเกสร เจริญสิทธิสงค์</v>
      </c>
      <c r="N55" s="14" t="str">
        <f>IFERROR(__xludf.DUMMYFUNCTION("""COMPUTED_VALUE"""),"https://lh5.googleusercontent.com/d/1qblfB5RlHHgpVaDUomRivPqcjM0j8CwT")</f>
        <v>https://lh5.googleusercontent.com/d/1qblfB5RlHHgpVaDUomRivPqcjM0j8CwT</v>
      </c>
      <c r="O55" s="14" t="str">
        <f>IFERROR(__xludf.DUMMYFUNCTION("""COMPUTED_VALUE"""),"https://drive.google.com/file/d/14mJvR1EiOynG7I2yrGoTx1Gr5ynMnE_z/view?usp=drivesdk")</f>
        <v>https://drive.google.com/file/d/14mJvR1EiOynG7I2yrGoTx1Gr5ynMnE_z/view?usp=drivesdk</v>
      </c>
    </row>
    <row r="56">
      <c r="A56" s="3">
        <f>IFERROR(__xludf.DUMMYFUNCTION("""COMPUTED_VALUE"""),160.0)</f>
        <v>160</v>
      </c>
      <c r="B56" s="11">
        <f>IFERROR(__xludf.DUMMYFUNCTION("""COMPUTED_VALUE"""),45981.91644716436)</f>
        <v>45981.91645</v>
      </c>
      <c r="C56" s="3" t="str">
        <f>IFERROR(__xludf.DUMMYFUNCTION("""COMPUTED_VALUE"""),"ชั้นปีที่ 4")</f>
        <v>ชั้นปีที่ 4</v>
      </c>
      <c r="D56" s="3" t="str">
        <f>IFERROR(__xludf.DUMMYFUNCTION("""COMPUTED_VALUE"""),"6503745")</f>
        <v>6503745</v>
      </c>
      <c r="E56" s="3" t="str">
        <f>IFERROR(__xludf.DUMMYFUNCTION("""COMPUTED_VALUE"""),"55")</f>
        <v>55</v>
      </c>
      <c r="F56" s="3" t="str">
        <f>IFERROR(__xludf.DUMMYFUNCTION("""COMPUTED_VALUE"""),"นพอ.ศิริขวัญ วามะลุน")</f>
        <v>นพอ.ศิริขวัญ วามะลุน</v>
      </c>
      <c r="G5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6" s="3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56" s="3" t="str">
        <f>IFERROR(__xludf.DUMMYFUNCTION("""COMPUTED_VALUE"""),"วัดสุวรรณาราม")</f>
        <v>วัดสุวรรณาราม</v>
      </c>
      <c r="J56" s="12">
        <f>IFERROR(__xludf.DUMMYFUNCTION("""COMPUTED_VALUE"""),45942.0)</f>
        <v>45942</v>
      </c>
      <c r="K56" s="3" t="str">
        <f>IFERROR(__xludf.DUMMYFUNCTION("""COMPUTED_VALUE"""),"0600-1200")</f>
        <v>0600-1200</v>
      </c>
      <c r="L56" s="3">
        <f>IFERROR(__xludf.DUMMYFUNCTION("""COMPUTED_VALUE"""),6.0)</f>
        <v>6</v>
      </c>
      <c r="M56" s="3" t="str">
        <f>IFERROR(__xludf.DUMMYFUNCTION("""COMPUTED_VALUE"""),"คุณเกสร เจริญสิทธิสงค์")</f>
        <v>คุณเกสร เจริญสิทธิสงค์</v>
      </c>
      <c r="N56" s="14" t="str">
        <f>IFERROR(__xludf.DUMMYFUNCTION("""COMPUTED_VALUE"""),"https://lh5.googleusercontent.com/d/1_eDRifSgFc09P5vqPxm4OFuL_TSRliDl")</f>
        <v>https://lh5.googleusercontent.com/d/1_eDRifSgFc09P5vqPxm4OFuL_TSRliDl</v>
      </c>
      <c r="O56" s="14" t="str">
        <f>IFERROR(__xludf.DUMMYFUNCTION("""COMPUTED_VALUE"""),"https://drive.google.com/file/d/1umPfpLoJ2VmOE-Kto3ToQvgyp97Fp_1z/view?usp=drivesdk")</f>
        <v>https://drive.google.com/file/d/1umPfpLoJ2VmOE-Kto3ToQvgyp97Fp_1z/view?usp=drivesdk</v>
      </c>
    </row>
    <row r="57">
      <c r="A57" s="3">
        <f>IFERROR(__xludf.DUMMYFUNCTION("""COMPUTED_VALUE"""),161.0)</f>
        <v>161</v>
      </c>
      <c r="B57" s="11">
        <f>IFERROR(__xludf.DUMMYFUNCTION("""COMPUTED_VALUE"""),45981.91755626157)</f>
        <v>45981.91756</v>
      </c>
      <c r="C57" s="3" t="str">
        <f>IFERROR(__xludf.DUMMYFUNCTION("""COMPUTED_VALUE"""),"ชั้นปีที่ 4")</f>
        <v>ชั้นปีที่ 4</v>
      </c>
      <c r="D57" s="3" t="str">
        <f>IFERROR(__xludf.DUMMYFUNCTION("""COMPUTED_VALUE"""),"6503753")</f>
        <v>6503753</v>
      </c>
      <c r="E57" s="3" t="str">
        <f>IFERROR(__xludf.DUMMYFUNCTION("""COMPUTED_VALUE"""),"63")</f>
        <v>63</v>
      </c>
      <c r="F57" s="3" t="str">
        <f>IFERROR(__xludf.DUMMYFUNCTION("""COMPUTED_VALUE"""),"นพอ.อรกัญญา ทอนสูงเนิน")</f>
        <v>นพอ.อรกัญญา ทอนสูงเนิน</v>
      </c>
      <c r="G5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7" s="3" t="str">
        <f>IFERROR(__xludf.DUMMYFUNCTION("""COMPUTED_VALUE"""),"แผนการซ้อมดับเพลิงและอพยพหนีไฟ ประจำปี 2568")</f>
        <v>แผนการซ้อมดับเพลิงและอพยพหนีไฟ ประจำปี 2568</v>
      </c>
      <c r="I57" s="3" t="str">
        <f>IFERROR(__xludf.DUMMYFUNCTION("""COMPUTED_VALUE"""),"โรงเรียนสันติภาพ")</f>
        <v>โรงเรียนสันติภาพ</v>
      </c>
      <c r="J57" s="12">
        <f>IFERROR(__xludf.DUMMYFUNCTION("""COMPUTED_VALUE"""),45965.0)</f>
        <v>45965</v>
      </c>
      <c r="K57" s="3" t="str">
        <f>IFERROR(__xludf.DUMMYFUNCTION("""COMPUTED_VALUE"""),"0800 - 1200")</f>
        <v>0800 - 1200</v>
      </c>
      <c r="L57" s="3">
        <f>IFERROR(__xludf.DUMMYFUNCTION("""COMPUTED_VALUE"""),4.0)</f>
        <v>4</v>
      </c>
      <c r="M57" s="3" t="str">
        <f>IFERROR(__xludf.DUMMYFUNCTION("""COMPUTED_VALUE"""),"คุณเกสร เจริญสิทธิสงค์")</f>
        <v>คุณเกสร เจริญสิทธิสงค์</v>
      </c>
      <c r="N57" s="14" t="str">
        <f>IFERROR(__xludf.DUMMYFUNCTION("""COMPUTED_VALUE"""),"https://lh5.googleusercontent.com/d/11vcaFvIQJockRUGj4K6I4y9kROilGaA3")</f>
        <v>https://lh5.googleusercontent.com/d/11vcaFvIQJockRUGj4K6I4y9kROilGaA3</v>
      </c>
      <c r="O57" s="14" t="str">
        <f>IFERROR(__xludf.DUMMYFUNCTION("""COMPUTED_VALUE"""),"https://drive.google.com/file/d/1n0a-2cXSyEMPaYPJqJVkta_HhDewHRbr/view?usp=drivesdk")</f>
        <v>https://drive.google.com/file/d/1n0a-2cXSyEMPaYPJqJVkta_HhDewHRbr/view?usp=drivesdk</v>
      </c>
    </row>
    <row r="58">
      <c r="A58" s="3">
        <f>IFERROR(__xludf.DUMMYFUNCTION("""COMPUTED_VALUE"""),162.0)</f>
        <v>162</v>
      </c>
      <c r="B58" s="11">
        <f>IFERROR(__xludf.DUMMYFUNCTION("""COMPUTED_VALUE"""),45981.92440795139)</f>
        <v>45981.92441</v>
      </c>
      <c r="C58" s="3" t="str">
        <f>IFERROR(__xludf.DUMMYFUNCTION("""COMPUTED_VALUE"""),"ชั้นปีที่ 4")</f>
        <v>ชั้นปีที่ 4</v>
      </c>
      <c r="D58" s="3" t="str">
        <f>IFERROR(__xludf.DUMMYFUNCTION("""COMPUTED_VALUE"""),"6503745")</f>
        <v>6503745</v>
      </c>
      <c r="E58" s="3" t="str">
        <f>IFERROR(__xludf.DUMMYFUNCTION("""COMPUTED_VALUE"""),"55")</f>
        <v>55</v>
      </c>
      <c r="F58" s="3" t="str">
        <f>IFERROR(__xludf.DUMMYFUNCTION("""COMPUTED_VALUE"""),"นพอ.ศิริขวัญ วามะลุน")</f>
        <v>นพอ.ศิริขวัญ วามะลุน</v>
      </c>
      <c r="G5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8" s="3" t="str">
        <f>IFERROR(__xludf.DUMMYFUNCTION("""COMPUTED_VALUE"""),"วันรักตันไม้ประจำปีของชาติ")</f>
        <v>วันรักตันไม้ประจำปีของชาติ</v>
      </c>
      <c r="I58" s="3" t="str">
        <f>IFERROR(__xludf.DUMMYFUNCTION("""COMPUTED_VALUE"""),"โรงพยาบาลส่งเสริมสุขภาพตำบลบางตีนเป็ด")</f>
        <v>โรงพยาบาลส่งเสริมสุขภาพตำบลบางตีนเป็ด</v>
      </c>
      <c r="J58" s="12">
        <f>IFERROR(__xludf.DUMMYFUNCTION("""COMPUTED_VALUE"""),45949.0)</f>
        <v>45949</v>
      </c>
      <c r="K58" s="3" t="str">
        <f>IFERROR(__xludf.DUMMYFUNCTION("""COMPUTED_VALUE"""),"1300-1700")</f>
        <v>1300-1700</v>
      </c>
      <c r="L58" s="3">
        <f>IFERROR(__xludf.DUMMYFUNCTION("""COMPUTED_VALUE"""),4.0)</f>
        <v>4</v>
      </c>
      <c r="M58" s="3" t="str">
        <f>IFERROR(__xludf.DUMMYFUNCTION("""COMPUTED_VALUE"""),"คุณเกสร เจริญสิทธิสงค์")</f>
        <v>คุณเกสร เจริญสิทธิสงค์</v>
      </c>
      <c r="N58" s="14" t="str">
        <f>IFERROR(__xludf.DUMMYFUNCTION("""COMPUTED_VALUE"""),"https://lh5.googleusercontent.com/d/1B6bQ7VvVlISvmb-nyvDmQ9i7hrYbvhwD")</f>
        <v>https://lh5.googleusercontent.com/d/1B6bQ7VvVlISvmb-nyvDmQ9i7hrYbvhwD</v>
      </c>
      <c r="O58" s="14" t="str">
        <f>IFERROR(__xludf.DUMMYFUNCTION("""COMPUTED_VALUE"""),"https://drive.google.com/file/d/1zuO5B2MsJ0fnOziZ07O3KXI46vIsDOPU/view?usp=drivesdk")</f>
        <v>https://drive.google.com/file/d/1zuO5B2MsJ0fnOziZ07O3KXI46vIsDOPU/view?usp=drivesdk</v>
      </c>
    </row>
    <row r="59">
      <c r="A59" s="3">
        <f>IFERROR(__xludf.DUMMYFUNCTION("""COMPUTED_VALUE"""),163.0)</f>
        <v>163</v>
      </c>
      <c r="B59" s="11">
        <f>IFERROR(__xludf.DUMMYFUNCTION("""COMPUTED_VALUE"""),45981.93188221064)</f>
        <v>45981.93188</v>
      </c>
      <c r="C59" s="3" t="str">
        <f>IFERROR(__xludf.DUMMYFUNCTION("""COMPUTED_VALUE"""),"ชั้นปีที่ 4")</f>
        <v>ชั้นปีที่ 4</v>
      </c>
      <c r="D59" s="3" t="str">
        <f>IFERROR(__xludf.DUMMYFUNCTION("""COMPUTED_VALUE"""),"6503745")</f>
        <v>6503745</v>
      </c>
      <c r="E59" s="3" t="str">
        <f>IFERROR(__xludf.DUMMYFUNCTION("""COMPUTED_VALUE"""),"55")</f>
        <v>55</v>
      </c>
      <c r="F59" s="3" t="str">
        <f>IFERROR(__xludf.DUMMYFUNCTION("""COMPUTED_VALUE"""),"นพอ.ศิริขวัญ วามะลุน")</f>
        <v>นพอ.ศิริขวัญ วามะลุน</v>
      </c>
      <c r="G5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9" s="3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59" s="3" t="str">
        <f>IFERROR(__xludf.DUMMYFUNCTION("""COMPUTED_VALUE"""),"วัดสุวรรณาราม")</f>
        <v>วัดสุวรรณาราม</v>
      </c>
      <c r="J59" s="12">
        <f>IFERROR(__xludf.DUMMYFUNCTION("""COMPUTED_VALUE"""),45942.0)</f>
        <v>45942</v>
      </c>
      <c r="K59" s="3" t="str">
        <f>IFERROR(__xludf.DUMMYFUNCTION("""COMPUTED_VALUE"""),"0800-1200")</f>
        <v>0800-1200</v>
      </c>
      <c r="L59" s="3">
        <f>IFERROR(__xludf.DUMMYFUNCTION("""COMPUTED_VALUE"""),4.0)</f>
        <v>4</v>
      </c>
      <c r="M59" s="3" t="str">
        <f>IFERROR(__xludf.DUMMYFUNCTION("""COMPUTED_VALUE"""),"คุณเกสร เจริญสิทธิสงค์")</f>
        <v>คุณเกสร เจริญสิทธิสงค์</v>
      </c>
      <c r="N59" s="14" t="str">
        <f>IFERROR(__xludf.DUMMYFUNCTION("""COMPUTED_VALUE"""),"https://lh5.googleusercontent.com/d/1i8GjX1wIV5OTMQCXNyP_Y3yn1pBEjhgF")</f>
        <v>https://lh5.googleusercontent.com/d/1i8GjX1wIV5OTMQCXNyP_Y3yn1pBEjhgF</v>
      </c>
      <c r="O59" s="14" t="str">
        <f>IFERROR(__xludf.DUMMYFUNCTION("""COMPUTED_VALUE"""),"https://drive.google.com/file/d/1t1OGqYtGTMH3r7Ti77xn5O-9njdjGXwr/view?usp=drivesdk")</f>
        <v>https://drive.google.com/file/d/1t1OGqYtGTMH3r7Ti77xn5O-9njdjGXwr/view?usp=drivesdk</v>
      </c>
    </row>
    <row r="60">
      <c r="A60" s="3">
        <f>IFERROR(__xludf.DUMMYFUNCTION("""COMPUTED_VALUE"""),164.0)</f>
        <v>164</v>
      </c>
      <c r="B60" s="11">
        <f>IFERROR(__xludf.DUMMYFUNCTION("""COMPUTED_VALUE"""),45981.935216446764)</f>
        <v>45981.93522</v>
      </c>
      <c r="C60" s="3" t="str">
        <f>IFERROR(__xludf.DUMMYFUNCTION("""COMPUTED_VALUE"""),"ชั้นปีที่ 4")</f>
        <v>ชั้นปีที่ 4</v>
      </c>
      <c r="D60" s="3" t="str">
        <f>IFERROR(__xludf.DUMMYFUNCTION("""COMPUTED_VALUE"""),"6503745")</f>
        <v>6503745</v>
      </c>
      <c r="E60" s="3" t="str">
        <f>IFERROR(__xludf.DUMMYFUNCTION("""COMPUTED_VALUE"""),"55")</f>
        <v>55</v>
      </c>
      <c r="F60" s="3" t="str">
        <f>IFERROR(__xludf.DUMMYFUNCTION("""COMPUTED_VALUE"""),"นพอ.ศิริขวัญ วามะลุน")</f>
        <v>นพอ.ศิริขวัญ วามะลุน</v>
      </c>
      <c r="G60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60" s="3" t="str">
        <f>IFERROR(__xludf.DUMMYFUNCTION("""COMPUTED_VALUE"""),"แผนการซ้อมดับเพลิงและอพยพหนีไฟ ประจำปี 2568")</f>
        <v>แผนการซ้อมดับเพลิงและอพยพหนีไฟ ประจำปี 2568</v>
      </c>
      <c r="I60" s="3" t="str">
        <f>IFERROR(__xludf.DUMMYFUNCTION("""COMPUTED_VALUE"""),"โรงเรียนสันติภาพ")</f>
        <v>โรงเรียนสันติภาพ</v>
      </c>
      <c r="J60" s="12">
        <f>IFERROR(__xludf.DUMMYFUNCTION("""COMPUTED_VALUE"""),45965.0)</f>
        <v>45965</v>
      </c>
      <c r="K60" s="3" t="str">
        <f>IFERROR(__xludf.DUMMYFUNCTION("""COMPUTED_VALUE"""),"0800-1200")</f>
        <v>0800-1200</v>
      </c>
      <c r="L60" s="3">
        <f>IFERROR(__xludf.DUMMYFUNCTION("""COMPUTED_VALUE"""),4.0)</f>
        <v>4</v>
      </c>
      <c r="M60" s="3" t="str">
        <f>IFERROR(__xludf.DUMMYFUNCTION("""COMPUTED_VALUE"""),"คุณเกสร เจริญสิทธิสงค์")</f>
        <v>คุณเกสร เจริญสิทธิสงค์</v>
      </c>
      <c r="N60" s="14" t="str">
        <f>IFERROR(__xludf.DUMMYFUNCTION("""COMPUTED_VALUE"""),"https://lh5.googleusercontent.com/d/16ei8ytaLqxaarAAHd0R1ENkb3Je2IRgf")</f>
        <v>https://lh5.googleusercontent.com/d/16ei8ytaLqxaarAAHd0R1ENkb3Je2IRgf</v>
      </c>
      <c r="O60" s="14" t="str">
        <f>IFERROR(__xludf.DUMMYFUNCTION("""COMPUTED_VALUE"""),"https://drive.google.com/file/d/1dls27RcfAO7y7v7h-PSXuZmnBu4s4jCv/view?usp=drivesdk")</f>
        <v>https://drive.google.com/file/d/1dls27RcfAO7y7v7h-PSXuZmnBu4s4jCv/view?usp=drivesdk</v>
      </c>
    </row>
    <row r="61">
      <c r="A61" s="3">
        <f>IFERROR(__xludf.DUMMYFUNCTION("""COMPUTED_VALUE"""),181.0)</f>
        <v>181</v>
      </c>
      <c r="B61" s="11">
        <f>IFERROR(__xludf.DUMMYFUNCTION("""COMPUTED_VALUE"""),45982.89282313657)</f>
        <v>45982.89282</v>
      </c>
      <c r="C61" s="3" t="str">
        <f>IFERROR(__xludf.DUMMYFUNCTION("""COMPUTED_VALUE"""),"ชั้นปีที่ 4")</f>
        <v>ชั้นปีที่ 4</v>
      </c>
      <c r="D61" s="3" t="str">
        <f>IFERROR(__xludf.DUMMYFUNCTION("""COMPUTED_VALUE"""),"6503744")</f>
        <v>6503744</v>
      </c>
      <c r="E61" s="3" t="str">
        <f>IFERROR(__xludf.DUMMYFUNCTION("""COMPUTED_VALUE"""),"54")</f>
        <v>54</v>
      </c>
      <c r="F61" s="3" t="str">
        <f>IFERROR(__xludf.DUMMYFUNCTION("""COMPUTED_VALUE"""),"นพอ.ศศิประภา จันทร์กระจ่าง")</f>
        <v>นพอ.ศศิประภา จันทร์กระจ่าง</v>
      </c>
      <c r="G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61" s="3" t="str">
        <f>IFERROR(__xludf.DUMMYFUNCTION("""COMPUTED_VALUE"""),"สโมสรทหารอากาศชั้นประทวน")</f>
        <v>สโมสรทหารอากาศชั้นประทวน</v>
      </c>
      <c r="J61" s="12">
        <f>IFERROR(__xludf.DUMMYFUNCTION("""COMPUTED_VALUE"""),45854.0)</f>
        <v>45854</v>
      </c>
      <c r="K61" s="3" t="str">
        <f>IFERROR(__xludf.DUMMYFUNCTION("""COMPUTED_VALUE"""),"0700-1300")</f>
        <v>0700-1300</v>
      </c>
      <c r="L61" s="3">
        <f>IFERROR(__xludf.DUMMYFUNCTION("""COMPUTED_VALUE"""),6.0)</f>
        <v>6</v>
      </c>
      <c r="M61" s="3" t="str">
        <f>IFERROR(__xludf.DUMMYFUNCTION("""COMPUTED_VALUE"""),"น.ต.หญิง ตวงทิพย์ ลดาวัลย์")</f>
        <v>น.ต.หญิง ตวงทิพย์ ลดาวัลย์</v>
      </c>
      <c r="N61" s="14" t="str">
        <f>IFERROR(__xludf.DUMMYFUNCTION("""COMPUTED_VALUE"""),"https://lh5.googleusercontent.com/d/1HaFzSV4qCwaAiS5y7-_k0cm80GJyeDyE")</f>
        <v>https://lh5.googleusercontent.com/d/1HaFzSV4qCwaAiS5y7-_k0cm80GJyeDyE</v>
      </c>
      <c r="O61" s="14" t="str">
        <f>IFERROR(__xludf.DUMMYFUNCTION("""COMPUTED_VALUE"""),"https://drive.google.com/file/d/1rai2eU9J6LCbSUXFdk8nH4j7lbYKVpCJ/view?usp=drivesdk")</f>
        <v>https://drive.google.com/file/d/1rai2eU9J6LCbSUXFdk8nH4j7lbYKVpCJ/view?usp=drivesdk</v>
      </c>
    </row>
    <row r="62">
      <c r="A62" s="3">
        <f>IFERROR(__xludf.DUMMYFUNCTION("""COMPUTED_VALUE"""),303.0)</f>
        <v>303</v>
      </c>
      <c r="B62" s="11">
        <f>IFERROR(__xludf.DUMMYFUNCTION("""COMPUTED_VALUE"""),45985.91912652778)</f>
        <v>45985.91913</v>
      </c>
      <c r="C62" s="3" t="str">
        <f>IFERROR(__xludf.DUMMYFUNCTION("""COMPUTED_VALUE"""),"ชั้นปีที่ 4")</f>
        <v>ชั้นปีที่ 4</v>
      </c>
      <c r="D62" s="3" t="str">
        <f>IFERROR(__xludf.DUMMYFUNCTION("""COMPUTED_VALUE"""),"6503714")</f>
        <v>6503714</v>
      </c>
      <c r="E62" s="3" t="str">
        <f>IFERROR(__xludf.DUMMYFUNCTION("""COMPUTED_VALUE"""),"25")</f>
        <v>25</v>
      </c>
      <c r="F62" s="3" t="str">
        <f>IFERROR(__xludf.DUMMYFUNCTION("""COMPUTED_VALUE"""),"นพอ.ธนภา อมตวณิชกุล")</f>
        <v>นพอ.ธนภา อมตวณิชกุล</v>
      </c>
      <c r="G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62" s="3" t="str">
        <f>IFERROR(__xludf.DUMMYFUNCTION("""COMPUTED_VALUE"""),"สโมสรทหารอากาศชั้นประทวน")</f>
        <v>สโมสรทหารอากาศชั้นประทวน</v>
      </c>
      <c r="J62" s="12">
        <f>IFERROR(__xludf.DUMMYFUNCTION("""COMPUTED_VALUE"""),45854.0)</f>
        <v>45854</v>
      </c>
      <c r="K62" s="3" t="str">
        <f>IFERROR(__xludf.DUMMYFUNCTION("""COMPUTED_VALUE"""),"0700-1300")</f>
        <v>0700-1300</v>
      </c>
      <c r="L62" s="3">
        <f>IFERROR(__xludf.DUMMYFUNCTION("""COMPUTED_VALUE"""),6.0)</f>
        <v>6</v>
      </c>
      <c r="M62" s="3" t="str">
        <f>IFERROR(__xludf.DUMMYFUNCTION("""COMPUTED_VALUE"""),"น.ต.หญิง ตวงทิพย์ ลดาวัลย์")</f>
        <v>น.ต.หญิง ตวงทิพย์ ลดาวัลย์</v>
      </c>
      <c r="N62" s="14" t="str">
        <f>IFERROR(__xludf.DUMMYFUNCTION("""COMPUTED_VALUE"""),"https://lh5.googleusercontent.com/d/1v-1zpEA7Dq2K42kctXFiZFtKXPb6jQGr")</f>
        <v>https://lh5.googleusercontent.com/d/1v-1zpEA7Dq2K42kctXFiZFtKXPb6jQGr</v>
      </c>
      <c r="O62" s="14" t="str">
        <f>IFERROR(__xludf.DUMMYFUNCTION("""COMPUTED_VALUE"""),"https://drive.google.com/file/d/1XBF5ZYZFEeo3GFhbDWt8r2zvdBNC7kSs/view?usp=drivesdk")</f>
        <v>https://drive.google.com/file/d/1XBF5ZYZFEeo3GFhbDWt8r2zvdBNC7kSs/view?usp=drivesdk</v>
      </c>
    </row>
    <row r="63">
      <c r="A63" s="3">
        <f>IFERROR(__xludf.DUMMYFUNCTION("""COMPUTED_VALUE"""),329.0)</f>
        <v>329</v>
      </c>
      <c r="B63" s="11">
        <f>IFERROR(__xludf.DUMMYFUNCTION("""COMPUTED_VALUE"""),45986.82850841435)</f>
        <v>45986.82851</v>
      </c>
      <c r="C63" s="3" t="str">
        <f>IFERROR(__xludf.DUMMYFUNCTION("""COMPUTED_VALUE"""),"ชั้นปีที่ 4")</f>
        <v>ชั้นปีที่ 4</v>
      </c>
      <c r="D63" s="3" t="str">
        <f>IFERROR(__xludf.DUMMYFUNCTION("""COMPUTED_VALUE"""),"6503738")</f>
        <v>6503738</v>
      </c>
      <c r="E63" s="3" t="str">
        <f>IFERROR(__xludf.DUMMYFUNCTION("""COMPUTED_VALUE"""),"48")</f>
        <v>48</v>
      </c>
      <c r="F63" s="3" t="str">
        <f>IFERROR(__xludf.DUMMYFUNCTION("""COMPUTED_VALUE"""),"ลักษมน มาลัย")</f>
        <v>ลักษมน มาลัย</v>
      </c>
      <c r="G63" s="3" t="str">
        <f>IFERROR(__xludf.DUMMYFUNCTION("""COMPUTED_VALUE"""),"ทำนุบำรุงศาสนสถาน")</f>
        <v>ทำนุบำรุงศาสนสถาน</v>
      </c>
      <c r="H63" s="3" t="str">
        <f>IFERROR(__xludf.DUMMYFUNCTION("""COMPUTED_VALUE"""),"ร่วมทำบุญงานกฐินชุมชน")</f>
        <v>ร่วมทำบุญงานกฐินชุมชน</v>
      </c>
      <c r="I63" s="3" t="str">
        <f>IFERROR(__xludf.DUMMYFUNCTION("""COMPUTED_VALUE"""),"วัดแพรกกวังตะเคียน")</f>
        <v>วัดแพรกกวังตะเคียน</v>
      </c>
      <c r="J63" s="12">
        <f>IFERROR(__xludf.DUMMYFUNCTION("""COMPUTED_VALUE"""),45986.0)</f>
        <v>45986</v>
      </c>
      <c r="K63" s="3" t="str">
        <f>IFERROR(__xludf.DUMMYFUNCTION("""COMPUTED_VALUE"""),"19 ต.ค.68")</f>
        <v>19 ต.ค.68</v>
      </c>
      <c r="L63" s="3">
        <f>IFERROR(__xludf.DUMMYFUNCTION("""COMPUTED_VALUE"""),4.0)</f>
        <v>4</v>
      </c>
      <c r="M63" s="3" t="str">
        <f>IFERROR(__xludf.DUMMYFUNCTION("""COMPUTED_VALUE"""),"นายธนู เล็กชะอุ่ม")</f>
        <v>นายธนู เล็กชะอุ่ม</v>
      </c>
      <c r="N63" s="14" t="str">
        <f>IFERROR(__xludf.DUMMYFUNCTION("""COMPUTED_VALUE"""),"https://lh5.googleusercontent.com/d/1ZUImgKU99YyrOM06GR1zgpPNAO-fTSCQ")</f>
        <v>https://lh5.googleusercontent.com/d/1ZUImgKU99YyrOM06GR1zgpPNAO-fTSCQ</v>
      </c>
      <c r="O63" s="14" t="str">
        <f>IFERROR(__xludf.DUMMYFUNCTION("""COMPUTED_VALUE"""),"https://drive.google.com/file/d/1RH3jlI0VxOoUsry5lmTXkVwD2alxlyFr/view?usp=drivesdk")</f>
        <v>https://drive.google.com/file/d/1RH3jlI0VxOoUsry5lmTXkVwD2alxlyFr/view?usp=drivesdk</v>
      </c>
    </row>
    <row r="64">
      <c r="A64" s="3">
        <f>IFERROR(__xludf.DUMMYFUNCTION("""COMPUTED_VALUE"""),330.0)</f>
        <v>330</v>
      </c>
      <c r="B64" s="11">
        <f>IFERROR(__xludf.DUMMYFUNCTION("""COMPUTED_VALUE"""),45986.8298584375)</f>
        <v>45986.82986</v>
      </c>
      <c r="C64" s="3" t="str">
        <f>IFERROR(__xludf.DUMMYFUNCTION("""COMPUTED_VALUE"""),"ชั้นปีที่ 4")</f>
        <v>ชั้นปีที่ 4</v>
      </c>
      <c r="D64" s="3" t="str">
        <f>IFERROR(__xludf.DUMMYFUNCTION("""COMPUTED_VALUE"""),"6503738")</f>
        <v>6503738</v>
      </c>
      <c r="E64" s="3" t="str">
        <f>IFERROR(__xludf.DUMMYFUNCTION("""COMPUTED_VALUE"""),"48")</f>
        <v>48</v>
      </c>
      <c r="F64" s="3" t="str">
        <f>IFERROR(__xludf.DUMMYFUNCTION("""COMPUTED_VALUE"""),"นพอ.ลักษมน มาลัย")</f>
        <v>นพอ.ลักษมน มาลัย</v>
      </c>
      <c r="G64" s="3" t="str">
        <f>IFERROR(__xludf.DUMMYFUNCTION("""COMPUTED_VALUE"""),"ทำนุบำรุงศาสนสถาน")</f>
        <v>ทำนุบำรุงศาสนสถาน</v>
      </c>
      <c r="H64" s="3" t="str">
        <f>IFERROR(__xludf.DUMMYFUNCTION("""COMPUTED_VALUE"""),"เก็บกวาดวัด")</f>
        <v>เก็บกวาดวัด</v>
      </c>
      <c r="I64" s="3" t="str">
        <f>IFERROR(__xludf.DUMMYFUNCTION("""COMPUTED_VALUE"""),"วัดแพรกวังตะเคียน")</f>
        <v>วัดแพรกวังตะเคียน</v>
      </c>
      <c r="J64" s="12">
        <f>IFERROR(__xludf.DUMMYFUNCTION("""COMPUTED_VALUE"""),45980.0)</f>
        <v>45980</v>
      </c>
      <c r="K64" s="3" t="str">
        <f>IFERROR(__xludf.DUMMYFUNCTION("""COMPUTED_VALUE"""),"19ต.ค.68")</f>
        <v>19ต.ค.68</v>
      </c>
      <c r="L64" s="3">
        <f>IFERROR(__xludf.DUMMYFUNCTION("""COMPUTED_VALUE"""),4.0)</f>
        <v>4</v>
      </c>
      <c r="M64" s="3" t="str">
        <f>IFERROR(__xludf.DUMMYFUNCTION("""COMPUTED_VALUE"""),"นายธนู เล็กชะอุ่ม")</f>
        <v>นายธนู เล็กชะอุ่ม</v>
      </c>
      <c r="N64" s="14" t="str">
        <f>IFERROR(__xludf.DUMMYFUNCTION("""COMPUTED_VALUE"""),"https://lh5.googleusercontent.com/d/1wkzjQyi9Vm5SPS91aU2nY2KPadC0PeMZ")</f>
        <v>https://lh5.googleusercontent.com/d/1wkzjQyi9Vm5SPS91aU2nY2KPadC0PeMZ</v>
      </c>
      <c r="O64" s="14" t="str">
        <f>IFERROR(__xludf.DUMMYFUNCTION("""COMPUTED_VALUE"""),"https://drive.google.com/file/d/142VQnlW4ZMm2FwnKpMJNrzkk8v0SPJJA/view?usp=drivesdk")</f>
        <v>https://drive.google.com/file/d/142VQnlW4ZMm2FwnKpMJNrzkk8v0SPJJA/view?usp=drivesdk</v>
      </c>
    </row>
    <row r="65">
      <c r="A65" s="3">
        <f>IFERROR(__xludf.DUMMYFUNCTION("""COMPUTED_VALUE"""),331.0)</f>
        <v>331</v>
      </c>
      <c r="B65" s="11">
        <f>IFERROR(__xludf.DUMMYFUNCTION("""COMPUTED_VALUE"""),45986.83323127315)</f>
        <v>45986.83323</v>
      </c>
      <c r="C65" s="3" t="str">
        <f>IFERROR(__xludf.DUMMYFUNCTION("""COMPUTED_VALUE"""),"ชั้นปีที่ 4")</f>
        <v>ชั้นปีที่ 4</v>
      </c>
      <c r="D65" s="3" t="str">
        <f>IFERROR(__xludf.DUMMYFUNCTION("""COMPUTED_VALUE"""),"6503738")</f>
        <v>6503738</v>
      </c>
      <c r="E65" s="3" t="str">
        <f>IFERROR(__xludf.DUMMYFUNCTION("""COMPUTED_VALUE"""),"48")</f>
        <v>48</v>
      </c>
      <c r="F65" s="3" t="str">
        <f>IFERROR(__xludf.DUMMYFUNCTION("""COMPUTED_VALUE"""),"นพอ.ลักษมน มาลัย")</f>
        <v>นพอ.ลักษมน มาลัย</v>
      </c>
      <c r="G65" s="3" t="str">
        <f>IFERROR(__xludf.DUMMYFUNCTION("""COMPUTED_VALUE"""),"งานฟรีทั่วไป")</f>
        <v>งานฟรีทั่วไป</v>
      </c>
      <c r="H65" s="3" t="str">
        <f>IFERROR(__xludf.DUMMYFUNCTION("""COMPUTED_VALUE"""),"ขูดมะละกอช่วยชาวบ้าน")</f>
        <v>ขูดมะละกอช่วยชาวบ้าน</v>
      </c>
      <c r="I65" s="3" t="str">
        <f>IFERROR(__xludf.DUMMYFUNCTION("""COMPUTED_VALUE"""),"รพ.สต.วังตะเคียน")</f>
        <v>รพ.สต.วังตะเคียน</v>
      </c>
      <c r="J65" s="12">
        <f>IFERROR(__xludf.DUMMYFUNCTION("""COMPUTED_VALUE"""),45948.0)</f>
        <v>45948</v>
      </c>
      <c r="K65" s="3" t="str">
        <f>IFERROR(__xludf.DUMMYFUNCTION("""COMPUTED_VALUE"""),"1200")</f>
        <v>1200</v>
      </c>
      <c r="L65" s="3">
        <f>IFERROR(__xludf.DUMMYFUNCTION("""COMPUTED_VALUE"""),4.0)</f>
        <v>4</v>
      </c>
      <c r="M65" s="3" t="str">
        <f>IFERROR(__xludf.DUMMYFUNCTION("""COMPUTED_VALUE"""),"นางสาวจารุภรณ")</f>
        <v>นางสาวจารุภรณ</v>
      </c>
      <c r="N65" s="3"/>
      <c r="O65" s="3"/>
    </row>
    <row r="66">
      <c r="A66" s="3">
        <f>IFERROR(__xludf.DUMMYFUNCTION("""COMPUTED_VALUE"""),332.0)</f>
        <v>332</v>
      </c>
      <c r="B66" s="11">
        <f>IFERROR(__xludf.DUMMYFUNCTION("""COMPUTED_VALUE"""),45986.83774552083)</f>
        <v>45986.83775</v>
      </c>
      <c r="C66" s="3" t="str">
        <f>IFERROR(__xludf.DUMMYFUNCTION("""COMPUTED_VALUE"""),"ชั้นปีที่ 4")</f>
        <v>ชั้นปีที่ 4</v>
      </c>
      <c r="D66" s="3" t="str">
        <f>IFERROR(__xludf.DUMMYFUNCTION("""COMPUTED_VALUE"""),"6503738")</f>
        <v>6503738</v>
      </c>
      <c r="E66" s="3" t="str">
        <f>IFERROR(__xludf.DUMMYFUNCTION("""COMPUTED_VALUE"""),"48")</f>
        <v>48</v>
      </c>
      <c r="F66" s="3" t="str">
        <f>IFERROR(__xludf.DUMMYFUNCTION("""COMPUTED_VALUE"""),"นพอ.ลักษมน มาลัย")</f>
        <v>นพอ.ลักษมน มาลัย</v>
      </c>
      <c r="G66" s="3" t="str">
        <f>IFERROR(__xludf.DUMMYFUNCTION("""COMPUTED_VALUE"""),"งานฟรีทั่วไป")</f>
        <v>งานฟรีทั่วไป</v>
      </c>
      <c r="H66" s="3" t="str">
        <f>IFERROR(__xludf.DUMMYFUNCTION("""COMPUTED_VALUE"""),"จัดสวน")</f>
        <v>จัดสวน</v>
      </c>
      <c r="I66" s="3" t="str">
        <f>IFERROR(__xludf.DUMMYFUNCTION("""COMPUTED_VALUE"""),"รพ.สต.วังตะเคียน")</f>
        <v>รพ.สต.วังตะเคียน</v>
      </c>
      <c r="J66" s="12">
        <f>IFERROR(__xludf.DUMMYFUNCTION("""COMPUTED_VALUE"""),45970.0)</f>
        <v>45970</v>
      </c>
      <c r="K66" s="3" t="str">
        <f>IFERROR(__xludf.DUMMYFUNCTION("""COMPUTED_VALUE"""),"1400")</f>
        <v>1400</v>
      </c>
      <c r="L66" s="3">
        <f>IFERROR(__xludf.DUMMYFUNCTION("""COMPUTED_VALUE"""),4.0)</f>
        <v>4</v>
      </c>
      <c r="M66" s="3" t="str">
        <f>IFERROR(__xludf.DUMMYFUNCTION("""COMPUTED_VALUE"""),"น.ส.จารุภรณ์ พินิจนอก")</f>
        <v>น.ส.จารุภรณ์ พินิจนอก</v>
      </c>
      <c r="N66" s="14" t="str">
        <f>IFERROR(__xludf.DUMMYFUNCTION("""COMPUTED_VALUE"""),"https://lh5.googleusercontent.com/d/1qND4YlDS2SfJXDt6z5vjVi7FmWta0b-2")</f>
        <v>https://lh5.googleusercontent.com/d/1qND4YlDS2SfJXDt6z5vjVi7FmWta0b-2</v>
      </c>
      <c r="O66" s="14" t="str">
        <f>IFERROR(__xludf.DUMMYFUNCTION("""COMPUTED_VALUE"""),"https://drive.google.com/file/d/1WClkqkszsatKqd4qPV4wSQYnfw9divM-/view?usp=drivesdk")</f>
        <v>https://drive.google.com/file/d/1WClkqkszsatKqd4qPV4wSQYnfw9divM-/view?usp=drivesdk</v>
      </c>
    </row>
    <row r="67">
      <c r="A67" s="3">
        <f>IFERROR(__xludf.DUMMYFUNCTION("""COMPUTED_VALUE"""),333.0)</f>
        <v>333</v>
      </c>
      <c r="B67" s="11">
        <f>IFERROR(__xludf.DUMMYFUNCTION("""COMPUTED_VALUE"""),45986.84040097222)</f>
        <v>45986.8404</v>
      </c>
      <c r="C67" s="3" t="str">
        <f>IFERROR(__xludf.DUMMYFUNCTION("""COMPUTED_VALUE"""),"ชั้นปีที่ 4")</f>
        <v>ชั้นปีที่ 4</v>
      </c>
      <c r="D67" s="3" t="str">
        <f>IFERROR(__xludf.DUMMYFUNCTION("""COMPUTED_VALUE"""),"6503738")</f>
        <v>6503738</v>
      </c>
      <c r="E67" s="3" t="str">
        <f>IFERROR(__xludf.DUMMYFUNCTION("""COMPUTED_VALUE"""),"48")</f>
        <v>48</v>
      </c>
      <c r="F67" s="3" t="str">
        <f>IFERROR(__xludf.DUMMYFUNCTION("""COMPUTED_VALUE"""),"นพอ.ลักษมน มาลัย")</f>
        <v>นพอ.ลักษมน มาลัย</v>
      </c>
      <c r="G67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67" s="3" t="str">
        <f>IFERROR(__xludf.DUMMYFUNCTION("""COMPUTED_VALUE"""),"ล้อมผ้าถวายความอาลัย")</f>
        <v>ล้อมผ้าถวายความอาลัย</v>
      </c>
      <c r="I67" s="3" t="str">
        <f>IFERROR(__xludf.DUMMYFUNCTION("""COMPUTED_VALUE"""),"รพ.สต.วังตะเคียน")</f>
        <v>รพ.สต.วังตะเคียน</v>
      </c>
      <c r="J67" s="12">
        <f>IFERROR(__xludf.DUMMYFUNCTION("""COMPUTED_VALUE"""),45965.0)</f>
        <v>45965</v>
      </c>
      <c r="K67" s="3" t="str">
        <f>IFERROR(__xludf.DUMMYFUNCTION("""COMPUTED_VALUE"""),"1600")</f>
        <v>1600</v>
      </c>
      <c r="L67" s="3">
        <f>IFERROR(__xludf.DUMMYFUNCTION("""COMPUTED_VALUE"""),4.0)</f>
        <v>4</v>
      </c>
      <c r="M67" s="3" t="str">
        <f>IFERROR(__xludf.DUMMYFUNCTION("""COMPUTED_VALUE"""),"นายธรรม พิศสวาท")</f>
        <v>นายธรรม พิศสวาท</v>
      </c>
      <c r="N67" s="14" t="str">
        <f>IFERROR(__xludf.DUMMYFUNCTION("""COMPUTED_VALUE"""),"https://lh5.googleusercontent.com/d/1jGH5JwuG5C6O7h5gFWgWTRtkVQreR9af")</f>
        <v>https://lh5.googleusercontent.com/d/1jGH5JwuG5C6O7h5gFWgWTRtkVQreR9af</v>
      </c>
      <c r="O67" s="14" t="str">
        <f>IFERROR(__xludf.DUMMYFUNCTION("""COMPUTED_VALUE"""),"https://drive.google.com/file/d/1oy9jR5UlTkf17kQtnyUO9QSpHuLV48Ru/view?usp=drivesdk")</f>
        <v>https://drive.google.com/file/d/1oy9jR5UlTkf17kQtnyUO9QSpHuLV48Ru/view?usp=drivesdk</v>
      </c>
    </row>
    <row r="68">
      <c r="A68" s="3">
        <f>IFERROR(__xludf.DUMMYFUNCTION("""COMPUTED_VALUE"""),334.0)</f>
        <v>334</v>
      </c>
      <c r="B68" s="11">
        <f>IFERROR(__xludf.DUMMYFUNCTION("""COMPUTED_VALUE"""),45986.84377255786)</f>
        <v>45986.84377</v>
      </c>
      <c r="C68" s="3" t="str">
        <f>IFERROR(__xludf.DUMMYFUNCTION("""COMPUTED_VALUE"""),"ชั้นปีที่ 4")</f>
        <v>ชั้นปีที่ 4</v>
      </c>
      <c r="D68" s="3" t="str">
        <f>IFERROR(__xludf.DUMMYFUNCTION("""COMPUTED_VALUE"""),"6503738")</f>
        <v>6503738</v>
      </c>
      <c r="E68" s="3" t="str">
        <f>IFERROR(__xludf.DUMMYFUNCTION("""COMPUTED_VALUE"""),"48")</f>
        <v>48</v>
      </c>
      <c r="F68" s="3" t="str">
        <f>IFERROR(__xludf.DUMMYFUNCTION("""COMPUTED_VALUE"""),"นพอ.ลักษมน")</f>
        <v>นพอ.ลักษมน</v>
      </c>
      <c r="G68" s="3" t="str">
        <f>IFERROR(__xludf.DUMMYFUNCTION("""COMPUTED_VALUE"""),"ช่วยเหลืองานภายใน วพอ.")</f>
        <v>ช่วยเหลืองานภายใน วพอ.</v>
      </c>
      <c r="H68" s="3" t="str">
        <f>IFERROR(__xludf.DUMMYFUNCTION("""COMPUTED_VALUE"""),"ดุริยางค์เข้าแถววตอนเช้า")</f>
        <v>ดุริยางค์เข้าแถววตอนเช้า</v>
      </c>
      <c r="I68" s="3" t="str">
        <f>IFERROR(__xludf.DUMMYFUNCTION("""COMPUTED_VALUE"""),"วพอ.")</f>
        <v>วพอ.</v>
      </c>
      <c r="J68" s="12">
        <f>IFERROR(__xludf.DUMMYFUNCTION("""COMPUTED_VALUE"""),45908.0)</f>
        <v>45908</v>
      </c>
      <c r="K68" s="3" t="str">
        <f>IFERROR(__xludf.DUMMYFUNCTION("""COMPUTED_VALUE"""),"0700")</f>
        <v>0700</v>
      </c>
      <c r="L68" s="3">
        <f>IFERROR(__xludf.DUMMYFUNCTION("""COMPUTED_VALUE"""),1.0)</f>
        <v>1</v>
      </c>
      <c r="M68" s="3" t="str">
        <f>IFERROR(__xludf.DUMMYFUNCTION("""COMPUTED_VALUE"""),"ร.อ.อนุชิต ทำจะดี")</f>
        <v>ร.อ.อนุชิต ทำจะดี</v>
      </c>
      <c r="N68" s="14" t="str">
        <f>IFERROR(__xludf.DUMMYFUNCTION("""COMPUTED_VALUE"""),"https://lh5.googleusercontent.com/d/1CdT_KPYsEtTtS455VZ3VHvNuIVdUlYAb")</f>
        <v>https://lh5.googleusercontent.com/d/1CdT_KPYsEtTtS455VZ3VHvNuIVdUlYAb</v>
      </c>
      <c r="O68" s="14" t="str">
        <f>IFERROR(__xludf.DUMMYFUNCTION("""COMPUTED_VALUE"""),"https://drive.google.com/file/d/184OzNZjKcAbNX-D57INH2xXFFrDbB3hI/view?usp=drivesdk")</f>
        <v>https://drive.google.com/file/d/184OzNZjKcAbNX-D57INH2xXFFrDbB3hI/view?usp=drivesdk</v>
      </c>
    </row>
    <row r="69">
      <c r="A69" s="3">
        <f>IFERROR(__xludf.DUMMYFUNCTION("""COMPUTED_VALUE"""),335.0)</f>
        <v>335</v>
      </c>
      <c r="B69" s="11">
        <f>IFERROR(__xludf.DUMMYFUNCTION("""COMPUTED_VALUE"""),45986.847250555555)</f>
        <v>45986.84725</v>
      </c>
      <c r="C69" s="3" t="str">
        <f>IFERROR(__xludf.DUMMYFUNCTION("""COMPUTED_VALUE"""),"ชั้นปีที่ 4")</f>
        <v>ชั้นปีที่ 4</v>
      </c>
      <c r="D69" s="3" t="str">
        <f>IFERROR(__xludf.DUMMYFUNCTION("""COMPUTED_VALUE"""),"6503738")</f>
        <v>6503738</v>
      </c>
      <c r="E69" s="3" t="str">
        <f>IFERROR(__xludf.DUMMYFUNCTION("""COMPUTED_VALUE"""),"48")</f>
        <v>48</v>
      </c>
      <c r="F69" s="3" t="str">
        <f>IFERROR(__xludf.DUMMYFUNCTION("""COMPUTED_VALUE"""),"นพอ.ลักษมน")</f>
        <v>นพอ.ลักษมน</v>
      </c>
      <c r="G6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" s="3" t="str">
        <f>IFERROR(__xludf.DUMMYFUNCTION("""COMPUTED_VALUE""")," ร่วมโครงการคัดกรองสุขภาพเชิงรุกกำลังพลทอ.")</f>
        <v> ร่วมโครงการคัดกรองสุขภาพเชิงรุกกำลังพลทอ.</v>
      </c>
      <c r="I69" s="3" t="str">
        <f>IFERROR(__xludf.DUMMYFUNCTION("""COMPUTED_VALUE"""),"สโมสรทหารอากาศชั้นประทวน")</f>
        <v>สโมสรทหารอากาศชั้นประทวน</v>
      </c>
      <c r="J69" s="17">
        <f>IFERROR(__xludf.DUMMYFUNCTION("""COMPUTED_VALUE"""),45854.0)</f>
        <v>45854</v>
      </c>
      <c r="K69" s="3" t="str">
        <f>IFERROR(__xludf.DUMMYFUNCTION("""COMPUTED_VALUE"""),"0700-1300")</f>
        <v>0700-1300</v>
      </c>
      <c r="L69" s="3">
        <f>IFERROR(__xludf.DUMMYFUNCTION("""COMPUTED_VALUE"""),6.0)</f>
        <v>6</v>
      </c>
      <c r="M69" s="3" t="str">
        <f>IFERROR(__xludf.DUMMYFUNCTION("""COMPUTED_VALUE"""),"น.ต.หญิง ตวงทิพย์ ลดาวัลย์")</f>
        <v>น.ต.หญิง ตวงทิพย์ ลดาวัลย์</v>
      </c>
      <c r="N69" s="14" t="str">
        <f>IFERROR(__xludf.DUMMYFUNCTION("""COMPUTED_VALUE"""),"https://lh5.googleusercontent.com/d/1zqRFmmufDDpQ86PqQ6IYRP8WigrqTGnz")</f>
        <v>https://lh5.googleusercontent.com/d/1zqRFmmufDDpQ86PqQ6IYRP8WigrqTGnz</v>
      </c>
      <c r="O69" s="14" t="str">
        <f>IFERROR(__xludf.DUMMYFUNCTION("""COMPUTED_VALUE"""),"https://drive.google.com/file/d/1t-OZrfJXNug7s-mZDzFawjmzcr1fuYxR/view?usp=drivesdk")</f>
        <v>https://drive.google.com/file/d/1t-OZrfJXNug7s-mZDzFawjmzcr1fuYxR/view?usp=drivesdk</v>
      </c>
    </row>
    <row r="70">
      <c r="A70" s="3">
        <f>IFERROR(__xludf.DUMMYFUNCTION("""COMPUTED_VALUE"""),336.0)</f>
        <v>336</v>
      </c>
      <c r="B70" s="11">
        <f>IFERROR(__xludf.DUMMYFUNCTION("""COMPUTED_VALUE"""),45986.89932012732)</f>
        <v>45986.89932</v>
      </c>
      <c r="C70" s="3" t="str">
        <f>IFERROR(__xludf.DUMMYFUNCTION("""COMPUTED_VALUE"""),"ชั้นปีที่ 4")</f>
        <v>ชั้นปีที่ 4</v>
      </c>
      <c r="D70" s="3" t="str">
        <f>IFERROR(__xludf.DUMMYFUNCTION("""COMPUTED_VALUE"""),"6503720")</f>
        <v>6503720</v>
      </c>
      <c r="E70" s="3" t="str">
        <f>IFERROR(__xludf.DUMMYFUNCTION("""COMPUTED_VALUE"""),"30")</f>
        <v>30</v>
      </c>
      <c r="F70" s="3" t="str">
        <f>IFERROR(__xludf.DUMMYFUNCTION("""COMPUTED_VALUE"""),"นพอ.นิศารัตน์  ปลุกใจ")</f>
        <v>นพอ.นิศารัตน์  ปลุกใจ</v>
      </c>
      <c r="G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" s="3" t="str">
        <f>IFERROR(__xludf.DUMMYFUNCTION("""COMPUTED_VALUE"""),"ร่วมโครงการคัดกรองสุขภาพเชิงรุกกำลังพล ทอ.")</f>
        <v>ร่วมโครงการคัดกรองสุขภาพเชิงรุกกำลังพล ทอ.</v>
      </c>
      <c r="I70" s="3" t="str">
        <f>IFERROR(__xludf.DUMMYFUNCTION("""COMPUTED_VALUE"""),"สโมสรทหารอากาศชั้นประทวน")</f>
        <v>สโมสรทหารอากาศชั้นประทวน</v>
      </c>
      <c r="J70" s="12">
        <f>IFERROR(__xludf.DUMMYFUNCTION("""COMPUTED_VALUE"""),45854.0)</f>
        <v>45854</v>
      </c>
      <c r="K70" s="3" t="str">
        <f>IFERROR(__xludf.DUMMYFUNCTION("""COMPUTED_VALUE"""),"0700-1300")</f>
        <v>0700-1300</v>
      </c>
      <c r="L70" s="3">
        <f>IFERROR(__xludf.DUMMYFUNCTION("""COMPUTED_VALUE"""),6.0)</f>
        <v>6</v>
      </c>
      <c r="M70" s="3" t="str">
        <f>IFERROR(__xludf.DUMMYFUNCTION("""COMPUTED_VALUE"""),"น.ต.หญิง ตวงทิพย์  ลดาวัลย์")</f>
        <v>น.ต.หญิง ตวงทิพย์  ลดาวัลย์</v>
      </c>
      <c r="N70" s="14" t="str">
        <f>IFERROR(__xludf.DUMMYFUNCTION("""COMPUTED_VALUE"""),"https://lh5.googleusercontent.com/d/1QaEQFXGhkGPUjjc-YX2DCc-kU4pUzAbi")</f>
        <v>https://lh5.googleusercontent.com/d/1QaEQFXGhkGPUjjc-YX2DCc-kU4pUzAbi</v>
      </c>
      <c r="O70" s="14" t="str">
        <f>IFERROR(__xludf.DUMMYFUNCTION("""COMPUTED_VALUE"""),"https://drive.google.com/file/d/1R5k__b4d3WCs026Lo1R3uHrI3kN6xPy_/view?usp=drivesdk")</f>
        <v>https://drive.google.com/file/d/1R5k__b4d3WCs026Lo1R3uHrI3kN6xPy_/view?usp=drivesdk</v>
      </c>
    </row>
    <row r="71">
      <c r="A71" s="3">
        <f>IFERROR(__xludf.DUMMYFUNCTION("""COMPUTED_VALUE"""),337.0)</f>
        <v>337</v>
      </c>
      <c r="B71" s="11">
        <f>IFERROR(__xludf.DUMMYFUNCTION("""COMPUTED_VALUE"""),45986.90933630787)</f>
        <v>45986.90934</v>
      </c>
      <c r="C71" s="3" t="str">
        <f>IFERROR(__xludf.DUMMYFUNCTION("""COMPUTED_VALUE"""),"ชั้นปีที่ 4")</f>
        <v>ชั้นปีที่ 4</v>
      </c>
      <c r="D71" s="3" t="str">
        <f>IFERROR(__xludf.DUMMYFUNCTION("""COMPUTED_VALUE"""),"6503720")</f>
        <v>6503720</v>
      </c>
      <c r="E71" s="3" t="str">
        <f>IFERROR(__xludf.DUMMYFUNCTION("""COMPUTED_VALUE"""),"30")</f>
        <v>30</v>
      </c>
      <c r="F71" s="3" t="str">
        <f>IFERROR(__xludf.DUMMYFUNCTION("""COMPUTED_VALUE"""),"นพอ.นิศารัตน์  ปลุกใจ")</f>
        <v>นพอ.นิศารัตน์  ปลุกใจ</v>
      </c>
      <c r="G71" s="3" t="str">
        <f>IFERROR(__xludf.DUMMYFUNCTION("""COMPUTED_VALUE"""),"ช่วยเหลืองานภายใน วพอ.")</f>
        <v>ช่วยเหลืองานภายใน วพอ.</v>
      </c>
      <c r="H71" s="3" t="str">
        <f>IFERROR(__xludf.DUMMYFUNCTION("""COMPUTED_VALUE"""),"ตรวจสอบอุปกรณ์ฝ่ายคอมพิวเตอร์ ประจำเดือนสิงหาคม ปี 2568")</f>
        <v>ตรวจสอบอุปกรณ์ฝ่ายคอมพิวเตอร์ ประจำเดือนสิงหาคม ปี 2568</v>
      </c>
      <c r="I71" s="3" t="str">
        <f>IFERROR(__xludf.DUMMYFUNCTION("""COMPUTED_VALUE"""),"ห้องศึกษาด้วยตนเอง หอพักนพอ.ชั้น 2")</f>
        <v>ห้องศึกษาด้วยตนเอง หอพักนพอ.ชั้น 2</v>
      </c>
      <c r="J71" s="12">
        <f>IFERROR(__xludf.DUMMYFUNCTION("""COMPUTED_VALUE"""),45885.0)</f>
        <v>45885</v>
      </c>
      <c r="K71" s="3" t="str">
        <f>IFERROR(__xludf.DUMMYFUNCTION("""COMPUTED_VALUE"""),"1900-2100")</f>
        <v>1900-2100</v>
      </c>
      <c r="L71" s="3">
        <f>IFERROR(__xludf.DUMMYFUNCTION("""COMPUTED_VALUE"""),3.0)</f>
        <v>3</v>
      </c>
      <c r="M71" s="3" t="str">
        <f>IFERROR(__xludf.DUMMYFUNCTION("""COMPUTED_VALUE"""),"น.อ.หญิง ดร.สกาวเนตร  ไทรแจ่มจันทร์")</f>
        <v>น.อ.หญิง ดร.สกาวเนตร  ไทรแจ่มจันทร์</v>
      </c>
      <c r="N71" s="3"/>
      <c r="O71" s="3"/>
    </row>
    <row r="72">
      <c r="A72" s="3">
        <f>IFERROR(__xludf.DUMMYFUNCTION("""COMPUTED_VALUE"""),338.0)</f>
        <v>338</v>
      </c>
      <c r="B72" s="11">
        <f>IFERROR(__xludf.DUMMYFUNCTION("""COMPUTED_VALUE"""),45986.919630972225)</f>
        <v>45986.91963</v>
      </c>
      <c r="C72" s="3" t="str">
        <f>IFERROR(__xludf.DUMMYFUNCTION("""COMPUTED_VALUE"""),"ชั้นปีที่ 4")</f>
        <v>ชั้นปีที่ 4</v>
      </c>
      <c r="D72" s="3" t="str">
        <f>IFERROR(__xludf.DUMMYFUNCTION("""COMPUTED_VALUE"""),"6503720")</f>
        <v>6503720</v>
      </c>
      <c r="E72" s="3" t="str">
        <f>IFERROR(__xludf.DUMMYFUNCTION("""COMPUTED_VALUE"""),"30")</f>
        <v>30</v>
      </c>
      <c r="F72" s="3" t="str">
        <f>IFERROR(__xludf.DUMMYFUNCTION("""COMPUTED_VALUE"""),"นพอ.นิศารัตน์  ปลุกใจ")</f>
        <v>นพอ.นิศารัตน์  ปลุกใจ</v>
      </c>
      <c r="G72" s="3" t="str">
        <f>IFERROR(__xludf.DUMMYFUNCTION("""COMPUTED_VALUE"""),"ทำนุบำรุงศาสนสถาน")</f>
        <v>ทำนุบำรุงศาสนสถาน</v>
      </c>
      <c r="H72" s="3" t="str">
        <f>IFERROR(__xludf.DUMMYFUNCTION("""COMPUTED_VALUE"""),"ช่วยทำความสะอาด และกวาดลานวัด")</f>
        <v>ช่วยทำความสะอาด และกวาดลานวัด</v>
      </c>
      <c r="I72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72" s="12">
        <f>IFERROR(__xludf.DUMMYFUNCTION("""COMPUTED_VALUE"""),45892.0)</f>
        <v>45892</v>
      </c>
      <c r="K72" s="3" t="str">
        <f>IFERROR(__xludf.DUMMYFUNCTION("""COMPUTED_VALUE"""),"1300-1500")</f>
        <v>1300-1500</v>
      </c>
      <c r="L72" s="3">
        <f>IFERROR(__xludf.DUMMYFUNCTION("""COMPUTED_VALUE"""),3.0)</f>
        <v>3</v>
      </c>
      <c r="M72" s="3" t="str">
        <f>IFERROR(__xludf.DUMMYFUNCTION("""COMPUTED_VALUE"""),"พระพรหมมุนี เจ้าอาวาสวัด")</f>
        <v>พระพรหมมุนี เจ้าอาวาสวัด</v>
      </c>
      <c r="N72" s="14" t="str">
        <f>IFERROR(__xludf.DUMMYFUNCTION("""COMPUTED_VALUE"""),"https://lh5.googleusercontent.com/d/1ukECXl3pSBa2AV1nemISXT8sDCS6tgAz")</f>
        <v>https://lh5.googleusercontent.com/d/1ukECXl3pSBa2AV1nemISXT8sDCS6tgAz</v>
      </c>
      <c r="O72" s="14" t="str">
        <f>IFERROR(__xludf.DUMMYFUNCTION("""COMPUTED_VALUE"""),"https://drive.google.com/file/d/1000eHcsL3OQXMqA78patmKJRXeOlmUho/view?usp=drivesdk")</f>
        <v>https://drive.google.com/file/d/1000eHcsL3OQXMqA78patmKJRXeOlmUho/view?usp=drivesdk</v>
      </c>
    </row>
    <row r="73">
      <c r="A73" s="3">
        <f>IFERROR(__xludf.DUMMYFUNCTION("""COMPUTED_VALUE"""),339.0)</f>
        <v>339</v>
      </c>
      <c r="B73" s="11">
        <f>IFERROR(__xludf.DUMMYFUNCTION("""COMPUTED_VALUE"""),45986.92603707176)</f>
        <v>45986.92604</v>
      </c>
      <c r="C73" s="3" t="str">
        <f>IFERROR(__xludf.DUMMYFUNCTION("""COMPUTED_VALUE"""),"ชั้นปีที่ 4")</f>
        <v>ชั้นปีที่ 4</v>
      </c>
      <c r="D73" s="3" t="str">
        <f>IFERROR(__xludf.DUMMYFUNCTION("""COMPUTED_VALUE"""),"6503720")</f>
        <v>6503720</v>
      </c>
      <c r="E73" s="3" t="str">
        <f>IFERROR(__xludf.DUMMYFUNCTION("""COMPUTED_VALUE"""),"30")</f>
        <v>30</v>
      </c>
      <c r="F73" s="3" t="str">
        <f>IFERROR(__xludf.DUMMYFUNCTION("""COMPUTED_VALUE"""),"นพอ.นิศารัตน์  ปลุกใจ")</f>
        <v>นพอ.นิศารัตน์  ปลุกใจ</v>
      </c>
      <c r="G73" s="3" t="str">
        <f>IFERROR(__xludf.DUMMYFUNCTION("""COMPUTED_VALUE"""),"ช่วยเหลืองานภายใน วพอ.")</f>
        <v>ช่วยเหลืองานภายใน วพอ.</v>
      </c>
      <c r="H73" s="3" t="str">
        <f>IFERROR(__xludf.DUMMYFUNCTION("""COMPUTED_VALUE"""),"ตรวจสอบอุปกรณ์ฝ่ายคอมพิวเตอร์ประจำเดือนกันยายนและติดตั้งปริ้นเตอร์เครื่องใหม่ 4 ชั้นปี")</f>
        <v>ตรวจสอบอุปกรณ์ฝ่ายคอมพิวเตอร์ประจำเดือนกันยายนและติดตั้งปริ้นเตอร์เครื่องใหม่ 4 ชั้นปี</v>
      </c>
      <c r="I73" s="3" t="str">
        <f>IFERROR(__xludf.DUMMYFUNCTION("""COMPUTED_VALUE"""),"ห้องศึกษาด้วยตนเอง หอพัก นพอ.ชั้น 2")</f>
        <v>ห้องศึกษาด้วยตนเอง หอพัก นพอ.ชั้น 2</v>
      </c>
      <c r="J73" s="12">
        <f>IFERROR(__xludf.DUMMYFUNCTION("""COMPUTED_VALUE"""),45926.0)</f>
        <v>45926</v>
      </c>
      <c r="K73" s="3" t="str">
        <f>IFERROR(__xludf.DUMMYFUNCTION("""COMPUTED_VALUE"""),"1900-2200")</f>
        <v>1900-2200</v>
      </c>
      <c r="L73" s="3">
        <f>IFERROR(__xludf.DUMMYFUNCTION("""COMPUTED_VALUE"""),6.0)</f>
        <v>6</v>
      </c>
      <c r="M73" s="3" t="str">
        <f>IFERROR(__xludf.DUMMYFUNCTION("""COMPUTED_VALUE"""),"น.อ.หญิง ดร. สกาวเนตร  ไทรแจ่มจันทร์")</f>
        <v>น.อ.หญิง ดร. สกาวเนตร  ไทรแจ่มจันทร์</v>
      </c>
      <c r="N73" s="14" t="str">
        <f>IFERROR(__xludf.DUMMYFUNCTION("""COMPUTED_VALUE"""),"https://lh5.googleusercontent.com/d/15ajr7kJEswHOAO1e2ULmhMUb62Ppy5gU")</f>
        <v>https://lh5.googleusercontent.com/d/15ajr7kJEswHOAO1e2ULmhMUb62Ppy5gU</v>
      </c>
      <c r="O73" s="14" t="str">
        <f>IFERROR(__xludf.DUMMYFUNCTION("""COMPUTED_VALUE"""),"https://drive.google.com/file/d/1HpeKf2XLu7kY8zocc2yRzGQhwNtjTvt7/view?usp=drivesdk")</f>
        <v>https://drive.google.com/file/d/1HpeKf2XLu7kY8zocc2yRzGQhwNtjTvt7/view?usp=drivesdk</v>
      </c>
    </row>
    <row r="74">
      <c r="A74" s="3">
        <f>IFERROR(__xludf.DUMMYFUNCTION("""COMPUTED_VALUE"""),340.0)</f>
        <v>340</v>
      </c>
      <c r="B74" s="11">
        <f>IFERROR(__xludf.DUMMYFUNCTION("""COMPUTED_VALUE"""),45986.936848067126)</f>
        <v>45986.93685</v>
      </c>
      <c r="C74" s="3" t="str">
        <f>IFERROR(__xludf.DUMMYFUNCTION("""COMPUTED_VALUE"""),"ชั้นปีที่ 4")</f>
        <v>ชั้นปีที่ 4</v>
      </c>
      <c r="D74" s="3" t="str">
        <f>IFERROR(__xludf.DUMMYFUNCTION("""COMPUTED_VALUE"""),"6503720")</f>
        <v>6503720</v>
      </c>
      <c r="E74" s="3" t="str">
        <f>IFERROR(__xludf.DUMMYFUNCTION("""COMPUTED_VALUE"""),"30")</f>
        <v>30</v>
      </c>
      <c r="F74" s="3" t="str">
        <f>IFERROR(__xludf.DUMMYFUNCTION("""COMPUTED_VALUE"""),"นพอ.นิศารัตน์  ปลุกใจ")</f>
        <v>นพอ.นิศารัตน์  ปลุกใจ</v>
      </c>
      <c r="G74" s="3" t="str">
        <f>IFERROR(__xludf.DUMMYFUNCTION("""COMPUTED_VALUE"""),"ช่วยเหลืองานภายใน วพอ.")</f>
        <v>ช่วยเหลืองานภายใน วพอ.</v>
      </c>
      <c r="H74" s="3" t="str">
        <f>IFERROR(__xludf.DUMMYFUNCTION("""COMPUTED_VALUE"""),"ตรวจสอบอุปกรณ์ฝ่ายคอมพิวเตอร์ประจำเดือนตุลาคม สำหรับออกอนามัยชุมชน และติดตั้งปริ้นเตอร์ใหม่ 4 ชั้นปี")</f>
        <v>ตรวจสอบอุปกรณ์ฝ่ายคอมพิวเตอร์ประจำเดือนตุลาคม สำหรับออกอนามัยชุมชน และติดตั้งปริ้นเตอร์ใหม่ 4 ชั้นปี</v>
      </c>
      <c r="I74" s="3" t="str">
        <f>IFERROR(__xludf.DUMMYFUNCTION("""COMPUTED_VALUE"""),"ห้องศึกษาด้วยตนเอง หอพัก นพอ.ชั้น 2")</f>
        <v>ห้องศึกษาด้วยตนเอง หอพัก นพอ.ชั้น 2</v>
      </c>
      <c r="J74" s="12">
        <f>IFERROR(__xludf.DUMMYFUNCTION("""COMPUTED_VALUE"""),45935.0)</f>
        <v>45935</v>
      </c>
      <c r="K74" s="3" t="str">
        <f>IFERROR(__xludf.DUMMYFUNCTION("""COMPUTED_VALUE"""),"1900-2300")</f>
        <v>1900-2300</v>
      </c>
      <c r="L74" s="3">
        <f>IFERROR(__xludf.DUMMYFUNCTION("""COMPUTED_VALUE"""),6.0)</f>
        <v>6</v>
      </c>
      <c r="M74" s="3" t="str">
        <f>IFERROR(__xludf.DUMMYFUNCTION("""COMPUTED_VALUE"""),"น.อ.หญิง ดร.สกาวเนตร  ไทรแจ่มจันทร์")</f>
        <v>น.อ.หญิง ดร.สกาวเนตร  ไทรแจ่มจันทร์</v>
      </c>
      <c r="N74" s="14" t="str">
        <f>IFERROR(__xludf.DUMMYFUNCTION("""COMPUTED_VALUE"""),"https://lh5.googleusercontent.com/d/17EgZKQoDDI7s-OaGugNr79z5iSyFiCbL")</f>
        <v>https://lh5.googleusercontent.com/d/17EgZKQoDDI7s-OaGugNr79z5iSyFiCbL</v>
      </c>
      <c r="O74" s="14" t="str">
        <f>IFERROR(__xludf.DUMMYFUNCTION("""COMPUTED_VALUE"""),"https://drive.google.com/file/d/1CeHqjV7aDWOTK6ztncWtZ6NTs2qxnL-d/view?usp=drivesdk")</f>
        <v>https://drive.google.com/file/d/1CeHqjV7aDWOTK6ztncWtZ6NTs2qxnL-d/view?usp=drivesdk</v>
      </c>
    </row>
    <row r="75">
      <c r="A75" s="3">
        <f>IFERROR(__xludf.DUMMYFUNCTION("""COMPUTED_VALUE"""),341.0)</f>
        <v>341</v>
      </c>
      <c r="B75" s="11">
        <f>IFERROR(__xludf.DUMMYFUNCTION("""COMPUTED_VALUE"""),45986.94150878473)</f>
        <v>45986.94151</v>
      </c>
      <c r="C75" s="3" t="str">
        <f>IFERROR(__xludf.DUMMYFUNCTION("""COMPUTED_VALUE"""),"ชั้นปีที่ 4")</f>
        <v>ชั้นปีที่ 4</v>
      </c>
      <c r="D75" s="3" t="str">
        <f>IFERROR(__xludf.DUMMYFUNCTION("""COMPUTED_VALUE"""),"6503720")</f>
        <v>6503720</v>
      </c>
      <c r="E75" s="3" t="str">
        <f>IFERROR(__xludf.DUMMYFUNCTION("""COMPUTED_VALUE"""),"30")</f>
        <v>30</v>
      </c>
      <c r="F75" s="3" t="str">
        <f>IFERROR(__xludf.DUMMYFUNCTION("""COMPUTED_VALUE"""),"นพอ.นิศารัตน์  ปลุกใจ")</f>
        <v>นพอ.นิศารัตน์  ปลุกใจ</v>
      </c>
      <c r="G75" s="3" t="str">
        <f>IFERROR(__xludf.DUMMYFUNCTION("""COMPUTED_VALUE"""),"ช่วยเหลืองานภายใน วพอ.")</f>
        <v>ช่วยเหลืองานภายใน วพอ.</v>
      </c>
      <c r="H75" s="3" t="str">
        <f>IFERROR(__xludf.DUMMYFUNCTION("""COMPUTED_VALUE"""),"ตรวจสอบอุปกรณ์ฝ่ายคอมพิวเตอร์ประจำเดือนพฤศจิกายน")</f>
        <v>ตรวจสอบอุปกรณ์ฝ่ายคอมพิวเตอร์ประจำเดือนพฤศจิกายน</v>
      </c>
      <c r="I75" s="3" t="str">
        <f>IFERROR(__xludf.DUMMYFUNCTION("""COMPUTED_VALUE"""),"ห้องศึกษาด้วยตนเอง หอพักนพอ. ชั้น 2")</f>
        <v>ห้องศึกษาด้วยตนเอง หอพักนพอ. ชั้น 2</v>
      </c>
      <c r="J75" s="12">
        <f>IFERROR(__xludf.DUMMYFUNCTION("""COMPUTED_VALUE"""),45986.0)</f>
        <v>45986</v>
      </c>
      <c r="K75" s="3" t="str">
        <f>IFERROR(__xludf.DUMMYFUNCTION("""COMPUTED_VALUE"""),"1900-2100")</f>
        <v>1900-2100</v>
      </c>
      <c r="L75" s="3">
        <f>IFERROR(__xludf.DUMMYFUNCTION("""COMPUTED_VALUE"""),3.0)</f>
        <v>3</v>
      </c>
      <c r="M75" s="3" t="str">
        <f>IFERROR(__xludf.DUMMYFUNCTION("""COMPUTED_VALUE"""),"น.อ.หญิง ดร.สกาวเนตร  ไทรแจ่มจันทร์")</f>
        <v>น.อ.หญิง ดร.สกาวเนตร  ไทรแจ่มจันทร์</v>
      </c>
      <c r="N75" s="14" t="str">
        <f>IFERROR(__xludf.DUMMYFUNCTION("""COMPUTED_VALUE"""),"https://lh5.googleusercontent.com/d/1BXU9DIoMC7e1RXbfOwi2RapJLo2uC-0E")</f>
        <v>https://lh5.googleusercontent.com/d/1BXU9DIoMC7e1RXbfOwi2RapJLo2uC-0E</v>
      </c>
      <c r="O75" s="14" t="str">
        <f>IFERROR(__xludf.DUMMYFUNCTION("""COMPUTED_VALUE"""),"https://drive.google.com/file/d/1d8b5mMsgxpJBeh37b4mMKQcs941q0GN4/view?usp=drivesdk")</f>
        <v>https://drive.google.com/file/d/1d8b5mMsgxpJBeh37b4mMKQcs941q0GN4/view?usp=drivesdk</v>
      </c>
    </row>
    <row r="76">
      <c r="A76" s="3">
        <f>IFERROR(__xludf.DUMMYFUNCTION("""COMPUTED_VALUE"""),395.0)</f>
        <v>395</v>
      </c>
      <c r="B76" s="11">
        <f>IFERROR(__xludf.DUMMYFUNCTION("""COMPUTED_VALUE"""),45988.66832576389)</f>
        <v>45988.66833</v>
      </c>
      <c r="C76" s="3" t="str">
        <f>IFERROR(__xludf.DUMMYFUNCTION("""COMPUTED_VALUE"""),"ชั้นปีที่ 4")</f>
        <v>ชั้นปีที่ 4</v>
      </c>
      <c r="D76" s="3" t="str">
        <f>IFERROR(__xludf.DUMMYFUNCTION("""COMPUTED_VALUE"""),"6503703")</f>
        <v>6503703</v>
      </c>
      <c r="E76" s="3" t="str">
        <f>IFERROR(__xludf.DUMMYFUNCTION("""COMPUTED_VALUE"""),"14")</f>
        <v>14</v>
      </c>
      <c r="F76" s="3" t="str">
        <f>IFERROR(__xludf.DUMMYFUNCTION("""COMPUTED_VALUE"""),"นพอ.ชัญญากานต์ พุฒิพงศ์กวิน")</f>
        <v>นพอ.ชัญญากานต์ พุฒิพงศ์กวิน</v>
      </c>
      <c r="G7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76" s="3" t="str">
        <f>IFERROR(__xludf.DUMMYFUNCTION("""COMPUTED_VALUE"""),"สโมสรทหารอากาศชั้นประทวน")</f>
        <v>สโมสรทหารอากาศชั้นประทวน</v>
      </c>
      <c r="J76" s="12">
        <f>IFERROR(__xludf.DUMMYFUNCTION("""COMPUTED_VALUE"""),45854.0)</f>
        <v>45854</v>
      </c>
      <c r="K76" s="3" t="str">
        <f>IFERROR(__xludf.DUMMYFUNCTION("""COMPUTED_VALUE"""),"0700-1300")</f>
        <v>0700-1300</v>
      </c>
      <c r="L76" s="3">
        <f>IFERROR(__xludf.DUMMYFUNCTION("""COMPUTED_VALUE"""),6.0)</f>
        <v>6</v>
      </c>
      <c r="M76" s="3" t="str">
        <f>IFERROR(__xludf.DUMMYFUNCTION("""COMPUTED_VALUE"""),"น.ต.หญิง ตวงทิพย์ ลดาวัลย์")</f>
        <v>น.ต.หญิง ตวงทิพย์ ลดาวัลย์</v>
      </c>
      <c r="N76" s="14" t="str">
        <f>IFERROR(__xludf.DUMMYFUNCTION("""COMPUTED_VALUE"""),"https://lh5.googleusercontent.com/d/1E-3OwrPFFhjPhjAPUVzfR1ARcGNFlHn9")</f>
        <v>https://lh5.googleusercontent.com/d/1E-3OwrPFFhjPhjAPUVzfR1ARcGNFlHn9</v>
      </c>
      <c r="O76" s="14" t="str">
        <f>IFERROR(__xludf.DUMMYFUNCTION("""COMPUTED_VALUE"""),"https://drive.google.com/file/d/10YtsA_h_sDf216MfbWRIxhm8MH3MgxED/view?usp=drivesdk")</f>
        <v>https://drive.google.com/file/d/10YtsA_h_sDf216MfbWRIxhm8MH3MgxED/view?usp=drivesdk</v>
      </c>
    </row>
    <row r="77">
      <c r="A77" s="3">
        <f>IFERROR(__xludf.DUMMYFUNCTION("""COMPUTED_VALUE"""),463.0)</f>
        <v>463</v>
      </c>
      <c r="B77" s="11">
        <f>IFERROR(__xludf.DUMMYFUNCTION("""COMPUTED_VALUE"""),45990.80857040509)</f>
        <v>45990.80857</v>
      </c>
      <c r="C77" s="3" t="str">
        <f>IFERROR(__xludf.DUMMYFUNCTION("""COMPUTED_VALUE"""),"ชั้นปีที่ 4")</f>
        <v>ชั้นปีที่ 4</v>
      </c>
      <c r="D77" s="3" t="str">
        <f>IFERROR(__xludf.DUMMYFUNCTION("""COMPUTED_VALUE"""),"6503749")</f>
        <v>6503749</v>
      </c>
      <c r="E77" s="3" t="str">
        <f>IFERROR(__xludf.DUMMYFUNCTION("""COMPUTED_VALUE"""),"59")</f>
        <v>59</v>
      </c>
      <c r="F77" s="3" t="str">
        <f>IFERROR(__xludf.DUMMYFUNCTION("""COMPUTED_VALUE"""),"นพอ.สิริกร พรมศรี")</f>
        <v>นพอ.สิริกร พรมศรี</v>
      </c>
      <c r="G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77" s="3" t="str">
        <f>IFERROR(__xludf.DUMMYFUNCTION("""COMPUTED_VALUE"""),"สโมสรทหารอากาศชั้นประทวน")</f>
        <v>สโมสรทหารอากาศชั้นประทวน</v>
      </c>
      <c r="J77" s="12">
        <f>IFERROR(__xludf.DUMMYFUNCTION("""COMPUTED_VALUE"""),45854.0)</f>
        <v>45854</v>
      </c>
      <c r="K77" s="3" t="str">
        <f>IFERROR(__xludf.DUMMYFUNCTION("""COMPUTED_VALUE"""),"0700-1300")</f>
        <v>0700-1300</v>
      </c>
      <c r="L77" s="3">
        <f>IFERROR(__xludf.DUMMYFUNCTION("""COMPUTED_VALUE"""),6.0)</f>
        <v>6</v>
      </c>
      <c r="M77" s="3" t="str">
        <f>IFERROR(__xludf.DUMMYFUNCTION("""COMPUTED_VALUE"""),"น.ต.หญิง ตวงทิพย์ ลดาวัลย์")</f>
        <v>น.ต.หญิง ตวงทิพย์ ลดาวัลย์</v>
      </c>
      <c r="N77" s="14" t="str">
        <f>IFERROR(__xludf.DUMMYFUNCTION("""COMPUTED_VALUE"""),"https://lh5.googleusercontent.com/d/1Yn2w7X1WXzJtkWHgQn0mhDgNdkmRBF4g")</f>
        <v>https://lh5.googleusercontent.com/d/1Yn2w7X1WXzJtkWHgQn0mhDgNdkmRBF4g</v>
      </c>
      <c r="O77" s="14" t="str">
        <f>IFERROR(__xludf.DUMMYFUNCTION("""COMPUTED_VALUE"""),"https://drive.google.com/file/d/10Lo7SX9c0k3bw2KNmJzAsU0x9WFCnl_g/view?usp=drivesdk")</f>
        <v>https://drive.google.com/file/d/10Lo7SX9c0k3bw2KNmJzAsU0x9WFCnl_g/view?usp=drivesdk</v>
      </c>
    </row>
    <row r="78">
      <c r="A78" s="3">
        <f>IFERROR(__xludf.DUMMYFUNCTION("""COMPUTED_VALUE"""),464.0)</f>
        <v>464</v>
      </c>
      <c r="B78" s="11">
        <f>IFERROR(__xludf.DUMMYFUNCTION("""COMPUTED_VALUE"""),45990.81186807871)</f>
        <v>45990.81187</v>
      </c>
      <c r="C78" s="3" t="str">
        <f>IFERROR(__xludf.DUMMYFUNCTION("""COMPUTED_VALUE"""),"ชั้นปีที่ 4")</f>
        <v>ชั้นปีที่ 4</v>
      </c>
      <c r="D78" s="3" t="str">
        <f>IFERROR(__xludf.DUMMYFUNCTION("""COMPUTED_VALUE"""),"6503749")</f>
        <v>6503749</v>
      </c>
      <c r="E78" s="3" t="str">
        <f>IFERROR(__xludf.DUMMYFUNCTION("""COMPUTED_VALUE"""),"59")</f>
        <v>59</v>
      </c>
      <c r="F78" s="3" t="str">
        <f>IFERROR(__xludf.DUMMYFUNCTION("""COMPUTED_VALUE"""),"นพอ.สิริกร พรมศรี")</f>
        <v>นพอ.สิริกร พรมศรี</v>
      </c>
      <c r="G78" s="3" t="str">
        <f>IFERROR(__xludf.DUMMYFUNCTION("""COMPUTED_VALUE"""),"ทำนุบำรุงศาสนสถาน")</f>
        <v>ทำนุบำรุงศาสนสถาน</v>
      </c>
      <c r="H78" s="3" t="str">
        <f>IFERROR(__xludf.DUMMYFUNCTION("""COMPUTED_VALUE"""),"ช่วยเก็บของงานกฐิน")</f>
        <v>ช่วยเก็บของงานกฐิน</v>
      </c>
      <c r="I78" s="3" t="str">
        <f>IFERROR(__xludf.DUMMYFUNCTION("""COMPUTED_VALUE"""),"วัดบางแก้ว")</f>
        <v>วัดบางแก้ว</v>
      </c>
      <c r="J78" s="12">
        <f>IFERROR(__xludf.DUMMYFUNCTION("""COMPUTED_VALUE"""),45942.0)</f>
        <v>45942</v>
      </c>
      <c r="K78" s="3" t="str">
        <f>IFERROR(__xludf.DUMMYFUNCTION("""COMPUTED_VALUE"""),"0800-1200")</f>
        <v>0800-1200</v>
      </c>
      <c r="L78" s="3">
        <f>IFERROR(__xludf.DUMMYFUNCTION("""COMPUTED_VALUE"""),4.0)</f>
        <v>4</v>
      </c>
      <c r="M78" s="3" t="str">
        <f>IFERROR(__xludf.DUMMYFUNCTION("""COMPUTED_VALUE"""),"นางสาวสาวารส ยิ้มเจริญ")</f>
        <v>นางสาวสาวารส ยิ้มเจริญ</v>
      </c>
      <c r="N78" s="14" t="str">
        <f>IFERROR(__xludf.DUMMYFUNCTION("""COMPUTED_VALUE"""),"https://lh5.googleusercontent.com/d/1KxrrnhOIE0tc_dpMZ2dmsZ_DbNeayLC2")</f>
        <v>https://lh5.googleusercontent.com/d/1KxrrnhOIE0tc_dpMZ2dmsZ_DbNeayLC2</v>
      </c>
      <c r="O78" s="14" t="str">
        <f>IFERROR(__xludf.DUMMYFUNCTION("""COMPUTED_VALUE"""),"https://drive.google.com/file/d/15AcohbynR8iKAa68CztLAemu24ytHVRo/view?usp=drivesdk")</f>
        <v>https://drive.google.com/file/d/15AcohbynR8iKAa68CztLAemu24ytHVRo/view?usp=drivesdk</v>
      </c>
    </row>
    <row r="79">
      <c r="A79" s="3">
        <f>IFERROR(__xludf.DUMMYFUNCTION("""COMPUTED_VALUE"""),465.0)</f>
        <v>465</v>
      </c>
      <c r="B79" s="11">
        <f>IFERROR(__xludf.DUMMYFUNCTION("""COMPUTED_VALUE"""),45990.81424619213)</f>
        <v>45990.81425</v>
      </c>
      <c r="C79" s="3" t="str">
        <f>IFERROR(__xludf.DUMMYFUNCTION("""COMPUTED_VALUE"""),"ชั้นปีที่ 4")</f>
        <v>ชั้นปีที่ 4</v>
      </c>
      <c r="D79" s="3" t="str">
        <f>IFERROR(__xludf.DUMMYFUNCTION("""COMPUTED_VALUE"""),"6503722")</f>
        <v>6503722</v>
      </c>
      <c r="E79" s="3" t="str">
        <f>IFERROR(__xludf.DUMMYFUNCTION("""COMPUTED_VALUE"""),"32")</f>
        <v>32</v>
      </c>
      <c r="F79" s="3" t="str">
        <f>IFERROR(__xludf.DUMMYFUNCTION("""COMPUTED_VALUE"""),"นพอ.ปภาดา เกยูรวรรณ")</f>
        <v>นพอ.ปภาดา เกยูรวรรณ</v>
      </c>
      <c r="G7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9" s="3" t="str">
        <f>IFERROR(__xludf.DUMMYFUNCTION("""COMPUTED_VALUE"""),"ช่วยงานกฐิน")</f>
        <v>ช่วยงานกฐิน</v>
      </c>
      <c r="I79" s="3" t="str">
        <f>IFERROR(__xludf.DUMMYFUNCTION("""COMPUTED_VALUE"""),"วัดป่าคลองนาชินรังสี")</f>
        <v>วัดป่าคลองนาชินรังสี</v>
      </c>
      <c r="J79" s="12">
        <f>IFERROR(__xludf.DUMMYFUNCTION("""COMPUTED_VALUE"""),45955.0)</f>
        <v>45955</v>
      </c>
      <c r="K79" s="3" t="str">
        <f>IFERROR(__xludf.DUMMYFUNCTION("""COMPUTED_VALUE"""),"0800-1200")</f>
        <v>0800-1200</v>
      </c>
      <c r="L79" s="3">
        <f>IFERROR(__xludf.DUMMYFUNCTION("""COMPUTED_VALUE"""),4.0)</f>
        <v>4</v>
      </c>
      <c r="M79" s="3" t="str">
        <f>IFERROR(__xludf.DUMMYFUNCTION("""COMPUTED_VALUE"""),"ร.อ.หญิง เบญญาดา บุรีรัตน์")</f>
        <v>ร.อ.หญิง เบญญาดา บุรีรัตน์</v>
      </c>
      <c r="N79" s="14" t="str">
        <f>IFERROR(__xludf.DUMMYFUNCTION("""COMPUTED_VALUE"""),"https://lh5.googleusercontent.com/d/1RufDqyBpSEVkOO16ZlRfEqfKm1wDK8V_")</f>
        <v>https://lh5.googleusercontent.com/d/1RufDqyBpSEVkOO16ZlRfEqfKm1wDK8V_</v>
      </c>
      <c r="O79" s="14" t="str">
        <f>IFERROR(__xludf.DUMMYFUNCTION("""COMPUTED_VALUE"""),"https://drive.google.com/file/d/179mvYcq_UnzXhqg_9GBvM70ikkTyvSsF/view?usp=drivesdk")</f>
        <v>https://drive.google.com/file/d/179mvYcq_UnzXhqg_9GBvM70ikkTyvSsF/view?usp=drivesdk</v>
      </c>
    </row>
    <row r="80">
      <c r="A80" s="3">
        <f>IFERROR(__xludf.DUMMYFUNCTION("""COMPUTED_VALUE"""),466.0)</f>
        <v>466</v>
      </c>
      <c r="B80" s="11">
        <f>IFERROR(__xludf.DUMMYFUNCTION("""COMPUTED_VALUE"""),45990.81859549768)</f>
        <v>45990.8186</v>
      </c>
      <c r="C80" s="3" t="str">
        <f>IFERROR(__xludf.DUMMYFUNCTION("""COMPUTED_VALUE"""),"ชั้นปีที่ 4")</f>
        <v>ชั้นปีที่ 4</v>
      </c>
      <c r="D80" s="3" t="str">
        <f>IFERROR(__xludf.DUMMYFUNCTION("""COMPUTED_VALUE"""),"6503722")</f>
        <v>6503722</v>
      </c>
      <c r="E80" s="3" t="str">
        <f>IFERROR(__xludf.DUMMYFUNCTION("""COMPUTED_VALUE"""),"32")</f>
        <v>32</v>
      </c>
      <c r="F80" s="3" t="str">
        <f>IFERROR(__xludf.DUMMYFUNCTION("""COMPUTED_VALUE"""),"นพอ.ปภาดา เกยูรวรรณ")</f>
        <v>นพอ.ปภาดา เกยูรวรรณ</v>
      </c>
      <c r="G80" s="3" t="str">
        <f>IFERROR(__xludf.DUMMYFUNCTION("""COMPUTED_VALUE"""),"ช่วยเหลืองานภายใน วพอ.")</f>
        <v>ช่วยเหลืองานภายใน วพอ.</v>
      </c>
      <c r="H80" s="3" t="str">
        <f>IFERROR(__xludf.DUMMYFUNCTION("""COMPUTED_VALUE"""),"ช่วยงานตรวจคัดกรองมะเร็งเต้านม")</f>
        <v>ช่วยงานตรวจคัดกรองมะเร็งเต้านม</v>
      </c>
      <c r="I80" s="3" t="str">
        <f>IFERROR(__xludf.DUMMYFUNCTION("""COMPUTED_VALUE"""),"สโมสรประทวน")</f>
        <v>สโมสรประทวน</v>
      </c>
      <c r="J80" s="12">
        <f>IFERROR(__xludf.DUMMYFUNCTION("""COMPUTED_VALUE"""),45861.0)</f>
        <v>45861</v>
      </c>
      <c r="K80" s="3" t="str">
        <f>IFERROR(__xludf.DUMMYFUNCTION("""COMPUTED_VALUE"""),"0700-1200")</f>
        <v>0700-1200</v>
      </c>
      <c r="L80" s="3">
        <f>IFERROR(__xludf.DUMMYFUNCTION("""COMPUTED_VALUE"""),5.0)</f>
        <v>5</v>
      </c>
      <c r="M80" s="3" t="str">
        <f>IFERROR(__xludf.DUMMYFUNCTION("""COMPUTED_VALUE"""),"ร.อ.ฤทธิพล อ้วนสิงห์")</f>
        <v>ร.อ.ฤทธิพล อ้วนสิงห์</v>
      </c>
      <c r="N80" s="14" t="str">
        <f>IFERROR(__xludf.DUMMYFUNCTION("""COMPUTED_VALUE"""),"https://lh5.googleusercontent.com/d/1bYCKbxV02940OJ6cL9L1VU12Vq_UbHZE")</f>
        <v>https://lh5.googleusercontent.com/d/1bYCKbxV02940OJ6cL9L1VU12Vq_UbHZE</v>
      </c>
      <c r="O80" s="14" t="str">
        <f>IFERROR(__xludf.DUMMYFUNCTION("""COMPUTED_VALUE"""),"https://drive.google.com/file/d/19WHTP8Q_LoIT4ZQVfDSWZxE_x8yIREbb/view?usp=drivesdk")</f>
        <v>https://drive.google.com/file/d/19WHTP8Q_LoIT4ZQVfDSWZxE_x8yIREbb/view?usp=drivesdk</v>
      </c>
    </row>
    <row r="81">
      <c r="A81" s="3">
        <f>IFERROR(__xludf.DUMMYFUNCTION("""COMPUTED_VALUE"""),467.0)</f>
        <v>467</v>
      </c>
      <c r="B81" s="11">
        <f>IFERROR(__xludf.DUMMYFUNCTION("""COMPUTED_VALUE"""),45990.83062284722)</f>
        <v>45990.83062</v>
      </c>
      <c r="C81" s="3" t="str">
        <f>IFERROR(__xludf.DUMMYFUNCTION("""COMPUTED_VALUE"""),"ชั้นปีที่ 4")</f>
        <v>ชั้นปีที่ 4</v>
      </c>
      <c r="D81" s="3" t="str">
        <f>IFERROR(__xludf.DUMMYFUNCTION("""COMPUTED_VALUE"""),"6503722")</f>
        <v>6503722</v>
      </c>
      <c r="E81" s="3" t="str">
        <f>IFERROR(__xludf.DUMMYFUNCTION("""COMPUTED_VALUE"""),"32")</f>
        <v>32</v>
      </c>
      <c r="F81" s="3" t="str">
        <f>IFERROR(__xludf.DUMMYFUNCTION("""COMPUTED_VALUE"""),"นพอ.ปภาดา เดยูรวรรณ")</f>
        <v>นพอ.ปภาดา เดยูรวรรณ</v>
      </c>
      <c r="G8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1" s="3" t="str">
        <f>IFERROR(__xludf.DUMMYFUNCTION("""COMPUTED_VALUE"""),"ช่วยงานตรวจสุขภาพชุมชนคลองเตย")</f>
        <v>ช่วยงานตรวจสุขภาพชุมชนคลองเตย</v>
      </c>
      <c r="I81" s="3" t="str">
        <f>IFERROR(__xludf.DUMMYFUNCTION("""COMPUTED_VALUE"""),"รพ.สตคลองเตย")</f>
        <v>รพ.สตคลองเตย</v>
      </c>
      <c r="J81" s="12">
        <f>IFERROR(__xludf.DUMMYFUNCTION("""COMPUTED_VALUE"""),45962.0)</f>
        <v>45962</v>
      </c>
      <c r="K81" s="3" t="str">
        <f>IFERROR(__xludf.DUMMYFUNCTION("""COMPUTED_VALUE"""),"0700-1200")</f>
        <v>0700-1200</v>
      </c>
      <c r="L81" s="3">
        <f>IFERROR(__xludf.DUMMYFUNCTION("""COMPUTED_VALUE"""),5.0)</f>
        <v>5</v>
      </c>
      <c r="M81" s="3" t="str">
        <f>IFERROR(__xludf.DUMMYFUNCTION("""COMPUTED_VALUE"""),"ร.อ.เบญญาดา บุรีรัตน์")</f>
        <v>ร.อ.เบญญาดา บุรีรัตน์</v>
      </c>
      <c r="N81" s="14" t="str">
        <f>IFERROR(__xludf.DUMMYFUNCTION("""COMPUTED_VALUE"""),"https://lh5.googleusercontent.com/d/137R_g6eIgMiG88x29PgxZ9Ur2OI2okLd")</f>
        <v>https://lh5.googleusercontent.com/d/137R_g6eIgMiG88x29PgxZ9Ur2OI2okLd</v>
      </c>
      <c r="O81" s="14" t="str">
        <f>IFERROR(__xludf.DUMMYFUNCTION("""COMPUTED_VALUE"""),"https://drive.google.com/file/d/1SDh68uaCoYznMaFPOGmDsWfYEGpm1Tlc/view?usp=drivesdk")</f>
        <v>https://drive.google.com/file/d/1SDh68uaCoYznMaFPOGmDsWfYEGpm1Tlc/view?usp=drivesdk</v>
      </c>
    </row>
    <row r="82">
      <c r="A82" s="3">
        <f>IFERROR(__xludf.DUMMYFUNCTION("""COMPUTED_VALUE"""),468.0)</f>
        <v>468</v>
      </c>
      <c r="B82" s="11">
        <f>IFERROR(__xludf.DUMMYFUNCTION("""COMPUTED_VALUE"""),45990.83406498843)</f>
        <v>45990.83406</v>
      </c>
      <c r="C82" s="3" t="str">
        <f>IFERROR(__xludf.DUMMYFUNCTION("""COMPUTED_VALUE"""),"ชั้นปีที่ 4")</f>
        <v>ชั้นปีที่ 4</v>
      </c>
      <c r="D82" s="3" t="str">
        <f>IFERROR(__xludf.DUMMYFUNCTION("""COMPUTED_VALUE"""),"6503722")</f>
        <v>6503722</v>
      </c>
      <c r="E82" s="3" t="str">
        <f>IFERROR(__xludf.DUMMYFUNCTION("""COMPUTED_VALUE"""),"32")</f>
        <v>32</v>
      </c>
      <c r="F82" s="3" t="str">
        <f>IFERROR(__xludf.DUMMYFUNCTION("""COMPUTED_VALUE"""),"นพอ.ปภาดา เกยูรวรรณ")</f>
        <v>นพอ.ปภาดา เกยูรวรรณ</v>
      </c>
      <c r="G8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2" s="3" t="str">
        <f>IFERROR(__xludf.DUMMYFUNCTION("""COMPUTED_VALUE"""),"งานวิ่งอสม")</f>
        <v>งานวิ่งอสม</v>
      </c>
      <c r="I82" s="3" t="str">
        <f>IFERROR(__xludf.DUMMYFUNCTION("""COMPUTED_VALUE"""),"ศาลากลางจังหวัดฉะเชิงเทรา")</f>
        <v>ศาลากลางจังหวัดฉะเชิงเทรา</v>
      </c>
      <c r="J82" s="12">
        <f>IFERROR(__xludf.DUMMYFUNCTION("""COMPUTED_VALUE"""),45948.0)</f>
        <v>45948</v>
      </c>
      <c r="K82" s="3" t="str">
        <f>IFERROR(__xludf.DUMMYFUNCTION("""COMPUTED_VALUE"""),"0500-1000")</f>
        <v>0500-1000</v>
      </c>
      <c r="L82" s="3">
        <f>IFERROR(__xludf.DUMMYFUNCTION("""COMPUTED_VALUE"""),5.0)</f>
        <v>5</v>
      </c>
      <c r="M82" s="3" t="str">
        <f>IFERROR(__xludf.DUMMYFUNCTION("""COMPUTED_VALUE"""),"ร.อ.เบญญา บุรีรัตน์")</f>
        <v>ร.อ.เบญญา บุรีรัตน์</v>
      </c>
      <c r="N82" s="14" t="str">
        <f>IFERROR(__xludf.DUMMYFUNCTION("""COMPUTED_VALUE"""),"https://lh5.googleusercontent.com/d/1R-SvbdFm78v36Cs1jxYRi-Zz6Xp73V05")</f>
        <v>https://lh5.googleusercontent.com/d/1R-SvbdFm78v36Cs1jxYRi-Zz6Xp73V05</v>
      </c>
      <c r="O82" s="14" t="str">
        <f>IFERROR(__xludf.DUMMYFUNCTION("""COMPUTED_VALUE"""),"https://drive.google.com/file/d/1QlhzbJ91hQ2tihOO1ahVYAOm24_sECiz/view?usp=drivesdk")</f>
        <v>https://drive.google.com/file/d/1QlhzbJ91hQ2tihOO1ahVYAOm24_sECiz/view?usp=drivesdk</v>
      </c>
    </row>
    <row r="83">
      <c r="A83" s="3">
        <f>IFERROR(__xludf.DUMMYFUNCTION("""COMPUTED_VALUE"""),469.0)</f>
        <v>469</v>
      </c>
      <c r="B83" s="11">
        <f>IFERROR(__xludf.DUMMYFUNCTION("""COMPUTED_VALUE"""),45990.83895655093)</f>
        <v>45990.83896</v>
      </c>
      <c r="C83" s="3" t="str">
        <f>IFERROR(__xludf.DUMMYFUNCTION("""COMPUTED_VALUE"""),"ชั้นปีที่ 4")</f>
        <v>ชั้นปีที่ 4</v>
      </c>
      <c r="D83" s="3" t="str">
        <f>IFERROR(__xludf.DUMMYFUNCTION("""COMPUTED_VALUE"""),"6503722")</f>
        <v>6503722</v>
      </c>
      <c r="E83" s="3" t="str">
        <f>IFERROR(__xludf.DUMMYFUNCTION("""COMPUTED_VALUE"""),"32")</f>
        <v>32</v>
      </c>
      <c r="F83" s="3" t="str">
        <f>IFERROR(__xludf.DUMMYFUNCTION("""COMPUTED_VALUE"""),"นพอ.ปภาดา เกยูรวรรณ")</f>
        <v>นพอ.ปภาดา เกยูรวรรณ</v>
      </c>
      <c r="G83" s="3" t="str">
        <f>IFERROR(__xludf.DUMMYFUNCTION("""COMPUTED_VALUE"""),"ทำนุบำรุงศาสนสถาน")</f>
        <v>ทำนุบำรุงศาสนสถาน</v>
      </c>
      <c r="H83" s="3" t="str">
        <f>IFERROR(__xludf.DUMMYFUNCTION("""COMPUTED_VALUE"""),"งานกฐิน")</f>
        <v>งานกฐิน</v>
      </c>
      <c r="I83" s="3" t="str">
        <f>IFERROR(__xludf.DUMMYFUNCTION("""COMPUTED_VALUE"""),"วัดพรหมสุวรรณ")</f>
        <v>วัดพรหมสุวรรณ</v>
      </c>
      <c r="J83" s="12">
        <f>IFERROR(__xludf.DUMMYFUNCTION("""COMPUTED_VALUE"""),45956.0)</f>
        <v>45956</v>
      </c>
      <c r="K83" s="3" t="str">
        <f>IFERROR(__xludf.DUMMYFUNCTION("""COMPUTED_VALUE"""),"0800-1200")</f>
        <v>0800-1200</v>
      </c>
      <c r="L83" s="3">
        <f>IFERROR(__xludf.DUMMYFUNCTION("""COMPUTED_VALUE"""),4.0)</f>
        <v>4</v>
      </c>
      <c r="M83" s="3" t="str">
        <f>IFERROR(__xludf.DUMMYFUNCTION("""COMPUTED_VALUE"""),"ร.อ.เบญญาดา บุรีรัตน์")</f>
        <v>ร.อ.เบญญาดา บุรีรัตน์</v>
      </c>
      <c r="N83" s="14" t="str">
        <f>IFERROR(__xludf.DUMMYFUNCTION("""COMPUTED_VALUE"""),"https://lh5.googleusercontent.com/d/1cNvOx0GOp-W66WXNnebffOx333rd-a3I")</f>
        <v>https://lh5.googleusercontent.com/d/1cNvOx0GOp-W66WXNnebffOx333rd-a3I</v>
      </c>
      <c r="O83" s="14" t="str">
        <f>IFERROR(__xludf.DUMMYFUNCTION("""COMPUTED_VALUE"""),"https://drive.google.com/file/d/1R824vb1W98iDwDZS4L23g56KHChaCINO/view?usp=drivesdk")</f>
        <v>https://drive.google.com/file/d/1R824vb1W98iDwDZS4L23g56KHChaCINO/view?usp=drivesdk</v>
      </c>
    </row>
    <row r="84">
      <c r="A84" s="3">
        <f>IFERROR(__xludf.DUMMYFUNCTION("""COMPUTED_VALUE"""),470.0)</f>
        <v>470</v>
      </c>
      <c r="B84" s="11">
        <f>IFERROR(__xludf.DUMMYFUNCTION("""COMPUTED_VALUE"""),45990.84724407407)</f>
        <v>45990.84724</v>
      </c>
      <c r="C84" s="3" t="str">
        <f>IFERROR(__xludf.DUMMYFUNCTION("""COMPUTED_VALUE"""),"ชั้นปีที่ 4")</f>
        <v>ชั้นปีที่ 4</v>
      </c>
      <c r="D84" s="3" t="str">
        <f>IFERROR(__xludf.DUMMYFUNCTION("""COMPUTED_VALUE"""),"6503722")</f>
        <v>6503722</v>
      </c>
      <c r="E84" s="3" t="str">
        <f>IFERROR(__xludf.DUMMYFUNCTION("""COMPUTED_VALUE"""),"32")</f>
        <v>32</v>
      </c>
      <c r="F84" s="3" t="str">
        <f>IFERROR(__xludf.DUMMYFUNCTION("""COMPUTED_VALUE"""),"นพอ.ปภาดา เกยูรวรรณ")</f>
        <v>นพอ.ปภาดา เกยูรวรรณ</v>
      </c>
      <c r="G84" s="3" t="str">
        <f>IFERROR(__xludf.DUMMYFUNCTION("""COMPUTED_VALUE"""),"งานฟรีทั่วไป")</f>
        <v>งานฟรีทั่วไป</v>
      </c>
      <c r="H84" s="3" t="str">
        <f>IFERROR(__xludf.DUMMYFUNCTION("""COMPUTED_VALUE"""),"ทำบุญ")</f>
        <v>ทำบุญ</v>
      </c>
      <c r="I84" s="3" t="str">
        <f>IFERROR(__xludf.DUMMYFUNCTION("""COMPUTED_VALUE"""),"วัดอรุณ")</f>
        <v>วัดอรุณ</v>
      </c>
      <c r="J84" s="12">
        <f>IFERROR(__xludf.DUMMYFUNCTION("""COMPUTED_VALUE"""),45934.0)</f>
        <v>45934</v>
      </c>
      <c r="K84" s="3" t="str">
        <f>IFERROR(__xludf.DUMMYFUNCTION("""COMPUTED_VALUE"""),"0800-1200")</f>
        <v>0800-1200</v>
      </c>
      <c r="L84" s="3">
        <f>IFERROR(__xludf.DUMMYFUNCTION("""COMPUTED_VALUE"""),4.0)</f>
        <v>4</v>
      </c>
      <c r="M84" s="3" t="str">
        <f>IFERROR(__xludf.DUMMYFUNCTION("""COMPUTED_VALUE"""),"ร.อ.ธนเดช เกยูรวรรณ")</f>
        <v>ร.อ.ธนเดช เกยูรวรรณ</v>
      </c>
      <c r="N84" s="14" t="str">
        <f>IFERROR(__xludf.DUMMYFUNCTION("""COMPUTED_VALUE"""),"https://lh5.googleusercontent.com/d/1x5x53FXAwenVz3BEd4-w6pApvHjakKmr")</f>
        <v>https://lh5.googleusercontent.com/d/1x5x53FXAwenVz3BEd4-w6pApvHjakKmr</v>
      </c>
      <c r="O84" s="14" t="str">
        <f>IFERROR(__xludf.DUMMYFUNCTION("""COMPUTED_VALUE"""),"https://drive.google.com/file/d/173yKGBUcGokettRRIvZ2pNUTXuC5tBLK/view?usp=drivesdk")</f>
        <v>https://drive.google.com/file/d/173yKGBUcGokettRRIvZ2pNUTXuC5tBLK/view?usp=drivesdk</v>
      </c>
    </row>
    <row r="85">
      <c r="A85" s="3">
        <f>IFERROR(__xludf.DUMMYFUNCTION("""COMPUTED_VALUE"""),502.0)</f>
        <v>502</v>
      </c>
      <c r="B85" s="11">
        <f>IFERROR(__xludf.DUMMYFUNCTION("""COMPUTED_VALUE"""),45991.32216486111)</f>
        <v>45991.32216</v>
      </c>
      <c r="C85" s="3" t="str">
        <f>IFERROR(__xludf.DUMMYFUNCTION("""COMPUTED_VALUE"""),"ชั้นปีที่ 4")</f>
        <v>ชั้นปีที่ 4</v>
      </c>
      <c r="D85" s="3" t="str">
        <f>IFERROR(__xludf.DUMMYFUNCTION("""COMPUTED_VALUE"""),"6503713")</f>
        <v>6503713</v>
      </c>
      <c r="E85" s="3" t="str">
        <f>IFERROR(__xludf.DUMMYFUNCTION("""COMPUTED_VALUE"""),"24")</f>
        <v>24</v>
      </c>
      <c r="F85" s="3" t="str">
        <f>IFERROR(__xludf.DUMMYFUNCTION("""COMPUTED_VALUE"""),"นพอ.ดิษยา คงเจริญ")</f>
        <v>นพอ.ดิษยา คงเจริญ</v>
      </c>
      <c r="G8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5" s="3" t="str">
        <f>IFERROR(__xludf.DUMMYFUNCTION("""COMPUTED_VALUE"""),"บริจาคโลหิต")</f>
        <v>บริจาคโลหิต</v>
      </c>
      <c r="I85" s="3" t="str">
        <f>IFERROR(__xludf.DUMMYFUNCTION("""COMPUTED_VALUE"""),"สภากาชาด")</f>
        <v>สภากาชาด</v>
      </c>
      <c r="J85" s="12">
        <f>IFERROR(__xludf.DUMMYFUNCTION("""COMPUTED_VALUE"""),45990.0)</f>
        <v>45990</v>
      </c>
      <c r="K85" s="3" t="str">
        <f>IFERROR(__xludf.DUMMYFUNCTION("""COMPUTED_VALUE"""),"0800-1600")</f>
        <v>0800-1600</v>
      </c>
      <c r="L85" s="3">
        <f>IFERROR(__xludf.DUMMYFUNCTION("""COMPUTED_VALUE"""),8.0)</f>
        <v>8</v>
      </c>
      <c r="M85" s="3" t="str">
        <f>IFERROR(__xludf.DUMMYFUNCTION("""COMPUTED_VALUE"""),"จ.ส.อ.ดาวรุ่ง คงเจริญ")</f>
        <v>จ.ส.อ.ดาวรุ่ง คงเจริญ</v>
      </c>
      <c r="N85" s="14" t="str">
        <f>IFERROR(__xludf.DUMMYFUNCTION("""COMPUTED_VALUE"""),"https://lh5.googleusercontent.com/d/1Mf5hSnsr7E6OOR2IT8Vm3mJ1RleKlMS1")</f>
        <v>https://lh5.googleusercontent.com/d/1Mf5hSnsr7E6OOR2IT8Vm3mJ1RleKlMS1</v>
      </c>
      <c r="O85" s="14" t="str">
        <f>IFERROR(__xludf.DUMMYFUNCTION("""COMPUTED_VALUE"""),"https://drive.google.com/file/d/1TujxeeqlX-J6whOIwW6A1OEA3R3FS86L/view?usp=drivesdk")</f>
        <v>https://drive.google.com/file/d/1TujxeeqlX-J6whOIwW6A1OEA3R3FS86L/view?usp=drivesdk</v>
      </c>
    </row>
    <row r="86">
      <c r="A86" s="3">
        <f>IFERROR(__xludf.DUMMYFUNCTION("""COMPUTED_VALUE"""),506.0)</f>
        <v>506</v>
      </c>
      <c r="B86" s="11">
        <f>IFERROR(__xludf.DUMMYFUNCTION("""COMPUTED_VALUE"""),45991.336079409724)</f>
        <v>45991.33608</v>
      </c>
      <c r="C86" s="3" t="str">
        <f>IFERROR(__xludf.DUMMYFUNCTION("""COMPUTED_VALUE"""),"ชั้นปีที่ 4")</f>
        <v>ชั้นปีที่ 4</v>
      </c>
      <c r="D86" s="3" t="str">
        <f>IFERROR(__xludf.DUMMYFUNCTION("""COMPUTED_VALUE"""),"6503740")</f>
        <v>6503740</v>
      </c>
      <c r="E86" s="3" t="str">
        <f>IFERROR(__xludf.DUMMYFUNCTION("""COMPUTED_VALUE"""),"50")</f>
        <v>50</v>
      </c>
      <c r="F86" s="3" t="str">
        <f>IFERROR(__xludf.DUMMYFUNCTION("""COMPUTED_VALUE"""),"นพอ.วรวลัญช์ เกตุแก้ว")</f>
        <v>นพอ.วรวลัญช์ เกตุแก้ว</v>
      </c>
      <c r="G86" s="3" t="str">
        <f>IFERROR(__xludf.DUMMYFUNCTION("""COMPUTED_VALUE"""),"งานฟรีทั่วไป")</f>
        <v>งานฟรีทั่วไป</v>
      </c>
      <c r="H86" s="3" t="str">
        <f>IFERROR(__xludf.DUMMYFUNCTION("""COMPUTED_VALUE"""),"ทำสวน")</f>
        <v>ทำสวน</v>
      </c>
      <c r="I86" s="3" t="str">
        <f>IFERROR(__xludf.DUMMYFUNCTION("""COMPUTED_VALUE"""),"รพ.สต.วังตะเคียน")</f>
        <v>รพ.สต.วังตะเคียน</v>
      </c>
      <c r="J86" s="12">
        <f>IFERROR(__xludf.DUMMYFUNCTION("""COMPUTED_VALUE"""),45970.0)</f>
        <v>45970</v>
      </c>
      <c r="K86" s="3" t="str">
        <f>IFERROR(__xludf.DUMMYFUNCTION("""COMPUTED_VALUE"""),"15.35")</f>
        <v>15.35</v>
      </c>
      <c r="L86" s="3">
        <f>IFERROR(__xludf.DUMMYFUNCTION("""COMPUTED_VALUE"""),4.0)</f>
        <v>4</v>
      </c>
      <c r="M86" s="3" t="str">
        <f>IFERROR(__xludf.DUMMYFUNCTION("""COMPUTED_VALUE"""),"น.ส.นุสรา เนียมสูงเนิน")</f>
        <v>น.ส.นุสรา เนียมสูงเนิน</v>
      </c>
      <c r="N86" s="14" t="str">
        <f>IFERROR(__xludf.DUMMYFUNCTION("""COMPUTED_VALUE"""),"https://lh5.googleusercontent.com/d/14ea6Hn5-GlijFo2lfYnxN18ODw--hafJ")</f>
        <v>https://lh5.googleusercontent.com/d/14ea6Hn5-GlijFo2lfYnxN18ODw--hafJ</v>
      </c>
      <c r="O86" s="14" t="str">
        <f>IFERROR(__xludf.DUMMYFUNCTION("""COMPUTED_VALUE"""),"https://drive.google.com/file/d/1HD6Eqzt7CWwkcSiOsd_JRGkcSJyL5zx2/view?usp=drivesdk")</f>
        <v>https://drive.google.com/file/d/1HD6Eqzt7CWwkcSiOsd_JRGkcSJyL5zx2/view?usp=drivesdk</v>
      </c>
    </row>
    <row r="87">
      <c r="A87" s="3">
        <f>IFERROR(__xludf.DUMMYFUNCTION("""COMPUTED_VALUE"""),509.0)</f>
        <v>509</v>
      </c>
      <c r="B87" s="11">
        <f>IFERROR(__xludf.DUMMYFUNCTION("""COMPUTED_VALUE"""),45991.341975601856)</f>
        <v>45991.34198</v>
      </c>
      <c r="C87" s="3" t="str">
        <f>IFERROR(__xludf.DUMMYFUNCTION("""COMPUTED_VALUE"""),"ชั้นปีที่ 4")</f>
        <v>ชั้นปีที่ 4</v>
      </c>
      <c r="D87" s="3" t="str">
        <f>IFERROR(__xludf.DUMMYFUNCTION("""COMPUTED_VALUE"""),"6503740")</f>
        <v>6503740</v>
      </c>
      <c r="E87" s="3" t="str">
        <f>IFERROR(__xludf.DUMMYFUNCTION("""COMPUTED_VALUE"""),"50")</f>
        <v>50</v>
      </c>
      <c r="F87" s="3" t="str">
        <f>IFERROR(__xludf.DUMMYFUNCTION("""COMPUTED_VALUE"""),"นพอ.วรวลัญช์ เกตุแก้ว")</f>
        <v>นพอ.วรวลัญช์ เกตุแก้ว</v>
      </c>
      <c r="G8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7" s="3" t="str">
        <f>IFERROR(__xludf.DUMMYFUNCTION("""COMPUTED_VALUE"""),"ขูดมะละกอเตรียมงานกฐิน")</f>
        <v>ขูดมะละกอเตรียมงานกฐิน</v>
      </c>
      <c r="I87" s="3" t="str">
        <f>IFERROR(__xludf.DUMMYFUNCTION("""COMPUTED_VALUE"""),"รพ.สต.วังตะเคียน")</f>
        <v>รพ.สต.วังตะเคียน</v>
      </c>
      <c r="J87" s="12">
        <f>IFERROR(__xludf.DUMMYFUNCTION("""COMPUTED_VALUE"""),45948.0)</f>
        <v>45948</v>
      </c>
      <c r="K87" s="3" t="str">
        <f>IFERROR(__xludf.DUMMYFUNCTION("""COMPUTED_VALUE"""),"1030")</f>
        <v>1030</v>
      </c>
      <c r="L87" s="3">
        <f>IFERROR(__xludf.DUMMYFUNCTION("""COMPUTED_VALUE"""),4.0)</f>
        <v>4</v>
      </c>
      <c r="M87" s="3" t="str">
        <f>IFERROR(__xludf.DUMMYFUNCTION("""COMPUTED_VALUE"""),"น.ส.จิราภรณ์ พินิจนอก")</f>
        <v>น.ส.จิราภรณ์ พินิจนอก</v>
      </c>
      <c r="N87" s="14" t="str">
        <f>IFERROR(__xludf.DUMMYFUNCTION("""COMPUTED_VALUE"""),"https://lh5.googleusercontent.com/d/1sBMmlVmoBo6jZ_snK3dVjdyEVZddSNTi")</f>
        <v>https://lh5.googleusercontent.com/d/1sBMmlVmoBo6jZ_snK3dVjdyEVZddSNTi</v>
      </c>
      <c r="O87" s="14" t="str">
        <f>IFERROR(__xludf.DUMMYFUNCTION("""COMPUTED_VALUE"""),"https://drive.google.com/file/d/1hNMO5h1KjSLa0Cr8-AAxd6L3QcUEORNI/view?usp=drivesdk")</f>
        <v>https://drive.google.com/file/d/1hNMO5h1KjSLa0Cr8-AAxd6L3QcUEORNI/view?usp=drivesdk</v>
      </c>
    </row>
    <row r="88">
      <c r="A88" s="3">
        <f>IFERROR(__xludf.DUMMYFUNCTION("""COMPUTED_VALUE"""),510.0)</f>
        <v>510</v>
      </c>
      <c r="B88" s="11">
        <f>IFERROR(__xludf.DUMMYFUNCTION("""COMPUTED_VALUE"""),45991.344114583335)</f>
        <v>45991.34411</v>
      </c>
      <c r="C88" s="3" t="str">
        <f>IFERROR(__xludf.DUMMYFUNCTION("""COMPUTED_VALUE"""),"ชั้นปีที่ 4")</f>
        <v>ชั้นปีที่ 4</v>
      </c>
      <c r="D88" s="3" t="str">
        <f>IFERROR(__xludf.DUMMYFUNCTION("""COMPUTED_VALUE"""),"6503740")</f>
        <v>6503740</v>
      </c>
      <c r="E88" s="3" t="str">
        <f>IFERROR(__xludf.DUMMYFUNCTION("""COMPUTED_VALUE"""),"50")</f>
        <v>50</v>
      </c>
      <c r="F88" s="3" t="str">
        <f>IFERROR(__xludf.DUMMYFUNCTION("""COMPUTED_VALUE"""),"นพอ.วรวลัญช์ เกตุแก้ว")</f>
        <v>นพอ.วรวลัญช์ เกตุแก้ว</v>
      </c>
      <c r="G88" s="3" t="str">
        <f>IFERROR(__xludf.DUMMYFUNCTION("""COMPUTED_VALUE"""),"ทำนุบำรุงศาสนสถาน")</f>
        <v>ทำนุบำรุงศาสนสถาน</v>
      </c>
      <c r="H88" s="3" t="str">
        <f>IFERROR(__xludf.DUMMYFUNCTION("""COMPUTED_VALUE"""),"ทำบุญงานกฐิน")</f>
        <v>ทำบุญงานกฐิน</v>
      </c>
      <c r="I88" s="3" t="str">
        <f>IFERROR(__xludf.DUMMYFUNCTION("""COMPUTED_VALUE"""),"วัดแพรกวังตะเคียน")</f>
        <v>วัดแพรกวังตะเคียน</v>
      </c>
      <c r="J88" s="12">
        <f>IFERROR(__xludf.DUMMYFUNCTION("""COMPUTED_VALUE"""),45949.0)</f>
        <v>45949</v>
      </c>
      <c r="K88" s="3" t="str">
        <f>IFERROR(__xludf.DUMMYFUNCTION("""COMPUTED_VALUE"""),"0930")</f>
        <v>0930</v>
      </c>
      <c r="L88" s="3">
        <f>IFERROR(__xludf.DUMMYFUNCTION("""COMPUTED_VALUE"""),4.0)</f>
        <v>4</v>
      </c>
      <c r="M88" s="3" t="str">
        <f>IFERROR(__xludf.DUMMYFUNCTION("""COMPUTED_VALUE"""),"น.ส.จิราภรณ์ พินิจนอก")</f>
        <v>น.ส.จิราภรณ์ พินิจนอก</v>
      </c>
      <c r="N88" s="14" t="str">
        <f>IFERROR(__xludf.DUMMYFUNCTION("""COMPUTED_VALUE"""),"https://lh5.googleusercontent.com/d/1xKKhVIercZ-8w_RPltUAvU6551wv8juT")</f>
        <v>https://lh5.googleusercontent.com/d/1xKKhVIercZ-8w_RPltUAvU6551wv8juT</v>
      </c>
      <c r="O88" s="14" t="str">
        <f>IFERROR(__xludf.DUMMYFUNCTION("""COMPUTED_VALUE"""),"https://drive.google.com/file/d/1hVa_jW_v-1smmsL7NqVcfVgQAAIjbcTc/view?usp=drivesdk")</f>
        <v>https://drive.google.com/file/d/1hVa_jW_v-1smmsL7NqVcfVgQAAIjbcTc/view?usp=drivesdk</v>
      </c>
    </row>
    <row r="89">
      <c r="A89" s="3">
        <f>IFERROR(__xludf.DUMMYFUNCTION("""COMPUTED_VALUE"""),512.0)</f>
        <v>512</v>
      </c>
      <c r="B89" s="11">
        <f>IFERROR(__xludf.DUMMYFUNCTION("""COMPUTED_VALUE"""),45991.34729747685)</f>
        <v>45991.3473</v>
      </c>
      <c r="C89" s="3" t="str">
        <f>IFERROR(__xludf.DUMMYFUNCTION("""COMPUTED_VALUE"""),"ชั้นปีที่ 4")</f>
        <v>ชั้นปีที่ 4</v>
      </c>
      <c r="D89" s="3" t="str">
        <f>IFERROR(__xludf.DUMMYFUNCTION("""COMPUTED_VALUE"""),"6503740")</f>
        <v>6503740</v>
      </c>
      <c r="E89" s="3" t="str">
        <f>IFERROR(__xludf.DUMMYFUNCTION("""COMPUTED_VALUE"""),"50")</f>
        <v>50</v>
      </c>
      <c r="F89" s="3" t="str">
        <f>IFERROR(__xludf.DUMMYFUNCTION("""COMPUTED_VALUE"""),"นพอ.วรวลัญช์ เกตุแก้ว")</f>
        <v>นพอ.วรวลัญช์ เกตุแก้ว</v>
      </c>
      <c r="G89" s="3" t="str">
        <f>IFERROR(__xludf.DUMMYFUNCTION("""COMPUTED_VALUE"""),"ทำนุบำรุงศาสนสถาน")</f>
        <v>ทำนุบำรุงศาสนสถาน</v>
      </c>
      <c r="H89" s="3" t="str">
        <f>IFERROR(__xludf.DUMMYFUNCTION("""COMPUTED_VALUE"""),"ช่วยวัดเก็บของ")</f>
        <v>ช่วยวัดเก็บของ</v>
      </c>
      <c r="I89" s="3" t="str">
        <f>IFERROR(__xludf.DUMMYFUNCTION("""COMPUTED_VALUE"""),"วัดแพรกวังตะเคียน")</f>
        <v>วัดแพรกวังตะเคียน</v>
      </c>
      <c r="J89" s="12">
        <f>IFERROR(__xludf.DUMMYFUNCTION("""COMPUTED_VALUE"""),45949.0)</f>
        <v>45949</v>
      </c>
      <c r="K89" s="3" t="str">
        <f>IFERROR(__xludf.DUMMYFUNCTION("""COMPUTED_VALUE"""),"1130")</f>
        <v>1130</v>
      </c>
      <c r="L89" s="3">
        <f>IFERROR(__xludf.DUMMYFUNCTION("""COMPUTED_VALUE"""),4.0)</f>
        <v>4</v>
      </c>
      <c r="M89" s="3" t="str">
        <f>IFERROR(__xludf.DUMMYFUNCTION("""COMPUTED_VALUE"""),"น.ส.นุสรา เนียมสูงเนิน")</f>
        <v>น.ส.นุสรา เนียมสูงเนิน</v>
      </c>
      <c r="N89" s="14" t="str">
        <f>IFERROR(__xludf.DUMMYFUNCTION("""COMPUTED_VALUE"""),"https://lh5.googleusercontent.com/d/1PGeWuV5VqQrQQDmeM6z2QHcGSU2EgnhE")</f>
        <v>https://lh5.googleusercontent.com/d/1PGeWuV5VqQrQQDmeM6z2QHcGSU2EgnhE</v>
      </c>
      <c r="O89" s="14" t="str">
        <f>IFERROR(__xludf.DUMMYFUNCTION("""COMPUTED_VALUE"""),"https://drive.google.com/file/d/1mgO3YZ1az-0iNnLP5ireyamSYO9JNr3w/view?usp=drivesdk")</f>
        <v>https://drive.google.com/file/d/1mgO3YZ1az-0iNnLP5ireyamSYO9JNr3w/view?usp=drivesdk</v>
      </c>
    </row>
    <row r="90">
      <c r="A90" s="3">
        <f>IFERROR(__xludf.DUMMYFUNCTION("""COMPUTED_VALUE"""),541.0)</f>
        <v>541</v>
      </c>
      <c r="B90" s="11">
        <f>IFERROR(__xludf.DUMMYFUNCTION("""COMPUTED_VALUE"""),45991.45486721065)</f>
        <v>45991.45487</v>
      </c>
      <c r="C90" s="3" t="str">
        <f>IFERROR(__xludf.DUMMYFUNCTION("""COMPUTED_VALUE"""),"ชั้นปีที่ 4")</f>
        <v>ชั้นปีที่ 4</v>
      </c>
      <c r="D90" s="3" t="str">
        <f>IFERROR(__xludf.DUMMYFUNCTION("""COMPUTED_VALUE"""),"6503690")</f>
        <v>6503690</v>
      </c>
      <c r="E90" s="3" t="str">
        <f>IFERROR(__xludf.DUMMYFUNCTION("""COMPUTED_VALUE"""),"1")</f>
        <v>1</v>
      </c>
      <c r="F90" s="3" t="str">
        <f>IFERROR(__xludf.DUMMYFUNCTION("""COMPUTED_VALUE"""),"นพอ.กนกวรรณ ข่าขันมะลี")</f>
        <v>นพอ.กนกวรรณ ข่าขันมะลี</v>
      </c>
      <c r="G90" s="3" t="str">
        <f>IFERROR(__xludf.DUMMYFUNCTION("""COMPUTED_VALUE"""),"ช่วยเหลืองานภายใน วพอ.")</f>
        <v>ช่วยเหลืองานภายใน วพอ.</v>
      </c>
      <c r="H90" s="3" t="str">
        <f>IFERROR(__xludf.DUMMYFUNCTION("""COMPUTED_VALUE"""),"ขนย้ายของ หอนพอ.ชาย")</f>
        <v>ขนย้ายของ หอนพอ.ชาย</v>
      </c>
      <c r="I90" s="3" t="str">
        <f>IFERROR(__xludf.DUMMYFUNCTION("""COMPUTED_VALUE"""),"วพอ.พอ ตึกศูนย์การเรียนรู้")</f>
        <v>วพอ.พอ ตึกศูนย์การเรียนรู้</v>
      </c>
      <c r="J90" s="12">
        <f>IFERROR(__xludf.DUMMYFUNCTION("""COMPUTED_VALUE"""),45876.0)</f>
        <v>45876</v>
      </c>
      <c r="K90" s="3" t="str">
        <f>IFERROR(__xludf.DUMMYFUNCTION("""COMPUTED_VALUE"""),"1600-1800")</f>
        <v>1600-1800</v>
      </c>
      <c r="L90" s="3">
        <f>IFERROR(__xludf.DUMMYFUNCTION("""COMPUTED_VALUE"""),4.0)</f>
        <v>4</v>
      </c>
      <c r="M9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0" s="14" t="str">
        <f>IFERROR(__xludf.DUMMYFUNCTION("""COMPUTED_VALUE"""),"https://lh5.googleusercontent.com/d/1L9HbhTpoag8dWzuqXRpAQniycF93R9fq")</f>
        <v>https://lh5.googleusercontent.com/d/1L9HbhTpoag8dWzuqXRpAQniycF93R9fq</v>
      </c>
      <c r="O90" s="14" t="str">
        <f>IFERROR(__xludf.DUMMYFUNCTION("""COMPUTED_VALUE"""),"https://drive.google.com/file/d/1EAxujLxG7VSaiQn5mOoA4EbxoBko5RT1/view?usp=drivesdk")</f>
        <v>https://drive.google.com/file/d/1EAxujLxG7VSaiQn5mOoA4EbxoBko5RT1/view?usp=drivesdk</v>
      </c>
    </row>
    <row r="91">
      <c r="A91" s="3">
        <f>IFERROR(__xludf.DUMMYFUNCTION("""COMPUTED_VALUE"""),555.0)</f>
        <v>555</v>
      </c>
      <c r="B91" s="11">
        <f>IFERROR(__xludf.DUMMYFUNCTION("""COMPUTED_VALUE"""),45991.49827567129)</f>
        <v>45991.49828</v>
      </c>
      <c r="C91" s="3" t="str">
        <f>IFERROR(__xludf.DUMMYFUNCTION("""COMPUTED_VALUE"""),"ชั้นปีที่ 4")</f>
        <v>ชั้นปีที่ 4</v>
      </c>
      <c r="D91" s="3" t="str">
        <f>IFERROR(__xludf.DUMMYFUNCTION("""COMPUTED_VALUE"""),"6503703")</f>
        <v>6503703</v>
      </c>
      <c r="E91" s="3" t="str">
        <f>IFERROR(__xludf.DUMMYFUNCTION("""COMPUTED_VALUE"""),"14")</f>
        <v>14</v>
      </c>
      <c r="F91" s="3" t="str">
        <f>IFERROR(__xludf.DUMMYFUNCTION("""COMPUTED_VALUE"""),"นพอ.ชัญญากานต์ พุฒิพงศ์กวิน")</f>
        <v>นพอ.ชัญญากานต์ พุฒิพงศ์กวิน</v>
      </c>
      <c r="G9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91" s="3" t="str">
        <f>IFERROR(__xludf.DUMMYFUNCTION("""COMPUTED_VALUE"""),"บริจาคโลหิต")</f>
        <v>บริจาคโลหิต</v>
      </c>
      <c r="I91" s="3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91" s="12">
        <f>IFERROR(__xludf.DUMMYFUNCTION("""COMPUTED_VALUE"""),45990.0)</f>
        <v>45990</v>
      </c>
      <c r="K91" s="3" t="str">
        <f>IFERROR(__xludf.DUMMYFUNCTION("""COMPUTED_VALUE"""),"1000-1800")</f>
        <v>1000-1800</v>
      </c>
      <c r="L91" s="3">
        <f>IFERROR(__xludf.DUMMYFUNCTION("""COMPUTED_VALUE"""),8.0)</f>
        <v>8</v>
      </c>
      <c r="M91" s="3" t="str">
        <f>IFERROR(__xludf.DUMMYFUNCTION("""COMPUTED_VALUE"""),"สิณีนาฏ อุทา")</f>
        <v>สิณีนาฏ อุทา</v>
      </c>
      <c r="N91" s="14" t="str">
        <f>IFERROR(__xludf.DUMMYFUNCTION("""COMPUTED_VALUE"""),"https://lh5.googleusercontent.com/d/1CFDfchqPcKuhOl90osS2sBRYpA8hF7vt")</f>
        <v>https://lh5.googleusercontent.com/d/1CFDfchqPcKuhOl90osS2sBRYpA8hF7vt</v>
      </c>
      <c r="O91" s="14" t="str">
        <f>IFERROR(__xludf.DUMMYFUNCTION("""COMPUTED_VALUE"""),"https://drive.google.com/file/d/1x7Ci0vBxlV8ijFeV9uEffSI8O32pgHCC/view?usp=drivesdk")</f>
        <v>https://drive.google.com/file/d/1x7Ci0vBxlV8ijFeV9uEffSI8O32pgHCC/view?usp=drivesdk</v>
      </c>
    </row>
    <row r="92">
      <c r="A92" s="3">
        <f>IFERROR(__xludf.DUMMYFUNCTION("""COMPUTED_VALUE"""),563.0)</f>
        <v>563</v>
      </c>
      <c r="B92" s="11">
        <f>IFERROR(__xludf.DUMMYFUNCTION("""COMPUTED_VALUE"""),45991.54902826389)</f>
        <v>45991.54903</v>
      </c>
      <c r="C92" s="3" t="str">
        <f>IFERROR(__xludf.DUMMYFUNCTION("""COMPUTED_VALUE"""),"ชั้นปีที่ 4")</f>
        <v>ชั้นปีที่ 4</v>
      </c>
      <c r="D92" s="3" t="str">
        <f>IFERROR(__xludf.DUMMYFUNCTION("""COMPUTED_VALUE"""),"6503737")</f>
        <v>6503737</v>
      </c>
      <c r="E92" s="3" t="str">
        <f>IFERROR(__xludf.DUMMYFUNCTION("""COMPUTED_VALUE"""),"47")</f>
        <v>47</v>
      </c>
      <c r="F92" s="3" t="str">
        <f>IFERROR(__xludf.DUMMYFUNCTION("""COMPUTED_VALUE"""),"นพอ.รุจิรดา  ศรีไชยกิจ")</f>
        <v>นพอ.รุจิรดา  ศรีไชยกิจ</v>
      </c>
      <c r="G9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92" s="3" t="str">
        <f>IFERROR(__xludf.DUMMYFUNCTION("""COMPUTED_VALUE"""),"ช่วยงานกฐิน")</f>
        <v>ช่วยงานกฐิน</v>
      </c>
      <c r="I92" s="3" t="str">
        <f>IFERROR(__xludf.DUMMYFUNCTION("""COMPUTED_VALUE"""),"วันบ้านนา")</f>
        <v>วันบ้านนา</v>
      </c>
      <c r="J92" s="12">
        <f>IFERROR(__xludf.DUMMYFUNCTION("""COMPUTED_VALUE"""),45955.0)</f>
        <v>45955</v>
      </c>
      <c r="K92" s="3" t="str">
        <f>IFERROR(__xludf.DUMMYFUNCTION("""COMPUTED_VALUE"""),"0800-1200")</f>
        <v>0800-1200</v>
      </c>
      <c r="L92" s="3">
        <f>IFERROR(__xludf.DUMMYFUNCTION("""COMPUTED_VALUE"""),4.0)</f>
        <v>4</v>
      </c>
      <c r="M92" s="3" t="str">
        <f>IFERROR(__xludf.DUMMYFUNCTION("""COMPUTED_VALUE"""),"นางรัตติกาล หงษ์ศิริ")</f>
        <v>นางรัตติกาล หงษ์ศิริ</v>
      </c>
      <c r="N92" s="14" t="str">
        <f>IFERROR(__xludf.DUMMYFUNCTION("""COMPUTED_VALUE"""),"https://lh5.googleusercontent.com/d/1yeCF95hGQzsJ-UjUeMBRdZq9PaGAX-w6")</f>
        <v>https://lh5.googleusercontent.com/d/1yeCF95hGQzsJ-UjUeMBRdZq9PaGAX-w6</v>
      </c>
      <c r="O92" s="14" t="str">
        <f>IFERROR(__xludf.DUMMYFUNCTION("""COMPUTED_VALUE"""),"https://drive.google.com/file/d/1T3I9gCby_u73DgCRO_Af7VCZT446g3v6/view?usp=drivesdk")</f>
        <v>https://drive.google.com/file/d/1T3I9gCby_u73DgCRO_Af7VCZT446g3v6/view?usp=drivesdk</v>
      </c>
    </row>
    <row r="93">
      <c r="A93" s="3">
        <f>IFERROR(__xludf.DUMMYFUNCTION("""COMPUTED_VALUE"""),564.0)</f>
        <v>564</v>
      </c>
      <c r="B93" s="11">
        <f>IFERROR(__xludf.DUMMYFUNCTION("""COMPUTED_VALUE"""),45991.54957344907)</f>
        <v>45991.54957</v>
      </c>
      <c r="C93" s="3" t="str">
        <f>IFERROR(__xludf.DUMMYFUNCTION("""COMPUTED_VALUE"""),"ชั้นปีที่ 4")</f>
        <v>ชั้นปีที่ 4</v>
      </c>
      <c r="D93" s="3" t="str">
        <f>IFERROR(__xludf.DUMMYFUNCTION("""COMPUTED_VALUE"""),"6503748")</f>
        <v>6503748</v>
      </c>
      <c r="E93" s="3" t="str">
        <f>IFERROR(__xludf.DUMMYFUNCTION("""COMPUTED_VALUE"""),"58")</f>
        <v>58</v>
      </c>
      <c r="F93" s="3" t="str">
        <f>IFERROR(__xludf.DUMMYFUNCTION("""COMPUTED_VALUE"""),"นพอ.สรัญญา ขุนสังวาลย์")</f>
        <v>นพอ.สรัญญา ขุนสังวาลย์</v>
      </c>
      <c r="G9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3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93" s="3" t="str">
        <f>IFERROR(__xludf.DUMMYFUNCTION("""COMPUTED_VALUE"""),"สโมสรทหารอากาศชั้นประทวน")</f>
        <v>สโมสรทหารอากาศชั้นประทวน</v>
      </c>
      <c r="J93" s="12">
        <f>IFERROR(__xludf.DUMMYFUNCTION("""COMPUTED_VALUE"""),45854.0)</f>
        <v>45854</v>
      </c>
      <c r="K93" s="3" t="str">
        <f>IFERROR(__xludf.DUMMYFUNCTION("""COMPUTED_VALUE"""),"0700-1300")</f>
        <v>0700-1300</v>
      </c>
      <c r="L93" s="3">
        <f>IFERROR(__xludf.DUMMYFUNCTION("""COMPUTED_VALUE"""),6.0)</f>
        <v>6</v>
      </c>
      <c r="M93" s="3" t="str">
        <f>IFERROR(__xludf.DUMMYFUNCTION("""COMPUTED_VALUE"""),"น.ต.หญิง ตวงทิพย์ ลดาวัลย์")</f>
        <v>น.ต.หญิง ตวงทิพย์ ลดาวัลย์</v>
      </c>
      <c r="N93" s="14" t="str">
        <f>IFERROR(__xludf.DUMMYFUNCTION("""COMPUTED_VALUE"""),"https://lh5.googleusercontent.com/d/1UI0m9OZ0p2vRLlbOVVDY93CQVPLzYC4L")</f>
        <v>https://lh5.googleusercontent.com/d/1UI0m9OZ0p2vRLlbOVVDY93CQVPLzYC4L</v>
      </c>
      <c r="O93" s="14" t="str">
        <f>IFERROR(__xludf.DUMMYFUNCTION("""COMPUTED_VALUE"""),"https://drive.google.com/file/d/1xd3rpLYczBnxN043W2ftHgdoSMw2EVx3/view?usp=drivesdk")</f>
        <v>https://drive.google.com/file/d/1xd3rpLYczBnxN043W2ftHgdoSMw2EVx3/view?usp=drivesdk</v>
      </c>
    </row>
    <row r="94">
      <c r="A94" s="3">
        <f>IFERROR(__xludf.DUMMYFUNCTION("""COMPUTED_VALUE"""),568.0)</f>
        <v>568</v>
      </c>
      <c r="B94" s="11">
        <f>IFERROR(__xludf.DUMMYFUNCTION("""COMPUTED_VALUE"""),45991.55361721065)</f>
        <v>45991.55362</v>
      </c>
      <c r="C94" s="3" t="str">
        <f>IFERROR(__xludf.DUMMYFUNCTION("""COMPUTED_VALUE"""),"ชั้นปีที่ 4")</f>
        <v>ชั้นปีที่ 4</v>
      </c>
      <c r="D94" s="3" t="str">
        <f>IFERROR(__xludf.DUMMYFUNCTION("""COMPUTED_VALUE"""),"6503737")</f>
        <v>6503737</v>
      </c>
      <c r="E94" s="3" t="str">
        <f>IFERROR(__xludf.DUMMYFUNCTION("""COMPUTED_VALUE"""),"47")</f>
        <v>47</v>
      </c>
      <c r="F94" s="3" t="str">
        <f>IFERROR(__xludf.DUMMYFUNCTION("""COMPUTED_VALUE"""),"นพอ.รุจิรดา  ศรีไชยกิจ")</f>
        <v>นพอ.รุจิรดา  ศรีไชยกิจ</v>
      </c>
      <c r="G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4" s="3" t="str">
        <f>IFERROR(__xludf.DUMMYFUNCTION("""COMPUTED_VALUE"""),"ร่วมโครงการคัดกรองสุขภาพเชิงรุกกำลังพล ทอ.")</f>
        <v>ร่วมโครงการคัดกรองสุขภาพเชิงรุกกำลังพล ทอ.</v>
      </c>
      <c r="I94" s="3" t="str">
        <f>IFERROR(__xludf.DUMMYFUNCTION("""COMPUTED_VALUE"""),"สโมสรทหารอากาศชั้นประทวน")</f>
        <v>สโมสรทหารอากาศชั้นประทวน</v>
      </c>
      <c r="J94" s="12">
        <f>IFERROR(__xludf.DUMMYFUNCTION("""COMPUTED_VALUE"""),45854.0)</f>
        <v>45854</v>
      </c>
      <c r="K94" s="3" t="str">
        <f>IFERROR(__xludf.DUMMYFUNCTION("""COMPUTED_VALUE"""),"0700-1300")</f>
        <v>0700-1300</v>
      </c>
      <c r="L94" s="3">
        <f>IFERROR(__xludf.DUMMYFUNCTION("""COMPUTED_VALUE"""),6.0)</f>
        <v>6</v>
      </c>
      <c r="M94" s="3" t="str">
        <f>IFERROR(__xludf.DUMMYFUNCTION("""COMPUTED_VALUE"""),"น.ต.หญิงตวงทิพย์  ลดาวัลย์")</f>
        <v>น.ต.หญิงตวงทิพย์  ลดาวัลย์</v>
      </c>
      <c r="N94" s="14" t="str">
        <f>IFERROR(__xludf.DUMMYFUNCTION("""COMPUTED_VALUE"""),"https://lh5.googleusercontent.com/d/173R7x1XTizcoXxqV4HC2DQIC6DOkeFzc")</f>
        <v>https://lh5.googleusercontent.com/d/173R7x1XTizcoXxqV4HC2DQIC6DOkeFzc</v>
      </c>
      <c r="O94" s="14" t="str">
        <f>IFERROR(__xludf.DUMMYFUNCTION("""COMPUTED_VALUE"""),"https://drive.google.com/file/d/1C7V9QU6Vyx9DEHmf4-U2sfHGvvTQn4iY/view?usp=drivesdk")</f>
        <v>https://drive.google.com/file/d/1C7V9QU6Vyx9DEHmf4-U2sfHGvvTQn4iY/view?usp=drivesdk</v>
      </c>
    </row>
    <row r="95">
      <c r="A95" s="3">
        <f>IFERROR(__xludf.DUMMYFUNCTION("""COMPUTED_VALUE"""),569.0)</f>
        <v>569</v>
      </c>
      <c r="B95" s="11">
        <f>IFERROR(__xludf.DUMMYFUNCTION("""COMPUTED_VALUE"""),45991.55381744213)</f>
        <v>45991.55382</v>
      </c>
      <c r="C95" s="3" t="str">
        <f>IFERROR(__xludf.DUMMYFUNCTION("""COMPUTED_VALUE"""),"ชั้นปีที่ 4")</f>
        <v>ชั้นปีที่ 4</v>
      </c>
      <c r="D95" s="3" t="str">
        <f>IFERROR(__xludf.DUMMYFUNCTION("""COMPUTED_VALUE"""),"6503748")</f>
        <v>6503748</v>
      </c>
      <c r="E95" s="3" t="str">
        <f>IFERROR(__xludf.DUMMYFUNCTION("""COMPUTED_VALUE"""),"58")</f>
        <v>58</v>
      </c>
      <c r="F95" s="3" t="str">
        <f>IFERROR(__xludf.DUMMYFUNCTION("""COMPUTED_VALUE"""),"นพอ.สรัญญา ขุนสังวาลย์")</f>
        <v>นพอ.สรัญญา ขุนสังวาลย์</v>
      </c>
      <c r="G95" s="3" t="str">
        <f>IFERROR(__xludf.DUMMYFUNCTION("""COMPUTED_VALUE"""),"ช่วยเหลืองานภายใน วพอ.")</f>
        <v>ช่วยเหลืองานภายใน วพอ.</v>
      </c>
      <c r="H95" s="3" t="str">
        <f>IFERROR(__xludf.DUMMYFUNCTION("""COMPUTED_VALUE"""),"ช่วยยกของหอชาย")</f>
        <v>ช่วยยกของหอชาย</v>
      </c>
      <c r="I95" s="3" t="str">
        <f>IFERROR(__xludf.DUMMYFUNCTION("""COMPUTED_VALUE"""),"ศูนย์การเรียนรู้")</f>
        <v>ศูนย์การเรียนรู้</v>
      </c>
      <c r="J95" s="12">
        <f>IFERROR(__xludf.DUMMYFUNCTION("""COMPUTED_VALUE"""),45876.0)</f>
        <v>45876</v>
      </c>
      <c r="K95" s="3" t="str">
        <f>IFERROR(__xludf.DUMMYFUNCTION("""COMPUTED_VALUE"""),"1800-2000")</f>
        <v>1800-2000</v>
      </c>
      <c r="L95" s="3">
        <f>IFERROR(__xludf.DUMMYFUNCTION("""COMPUTED_VALUE"""),2.0)</f>
        <v>2</v>
      </c>
      <c r="M95" s="3" t="str">
        <f>IFERROR(__xludf.DUMMYFUNCTION("""COMPUTED_VALUE"""),"ร.อ.อนุชิต ทำจะดี")</f>
        <v>ร.อ.อนุชิต ทำจะดี</v>
      </c>
      <c r="N95" s="14" t="str">
        <f>IFERROR(__xludf.DUMMYFUNCTION("""COMPUTED_VALUE"""),"https://lh5.googleusercontent.com/d/1mXiVc23Hd8feYrkCeEYXDutJulXgsJ9w")</f>
        <v>https://lh5.googleusercontent.com/d/1mXiVc23Hd8feYrkCeEYXDutJulXgsJ9w</v>
      </c>
      <c r="O95" s="14" t="str">
        <f>IFERROR(__xludf.DUMMYFUNCTION("""COMPUTED_VALUE"""),"https://drive.google.com/file/d/1mvPpAzeVR7SpdUJ8GI3cR-DKYlTLnJtm/view?usp=drivesdk")</f>
        <v>https://drive.google.com/file/d/1mvPpAzeVR7SpdUJ8GI3cR-DKYlTLnJtm/view?usp=drivesdk</v>
      </c>
    </row>
    <row r="96">
      <c r="A96" s="3">
        <f>IFERROR(__xludf.DUMMYFUNCTION("""COMPUTED_VALUE"""),571.0)</f>
        <v>571</v>
      </c>
      <c r="B96" s="11">
        <f>IFERROR(__xludf.DUMMYFUNCTION("""COMPUTED_VALUE"""),45991.555733877314)</f>
        <v>45991.55573</v>
      </c>
      <c r="C96" s="3" t="str">
        <f>IFERROR(__xludf.DUMMYFUNCTION("""COMPUTED_VALUE"""),"ชั้นปีที่ 4")</f>
        <v>ชั้นปีที่ 4</v>
      </c>
      <c r="D96" s="3" t="str">
        <f>IFERROR(__xludf.DUMMYFUNCTION("""COMPUTED_VALUE"""),"6503737")</f>
        <v>6503737</v>
      </c>
      <c r="E96" s="3" t="str">
        <f>IFERROR(__xludf.DUMMYFUNCTION("""COMPUTED_VALUE"""),"47")</f>
        <v>47</v>
      </c>
      <c r="F96" s="3" t="str">
        <f>IFERROR(__xludf.DUMMYFUNCTION("""COMPUTED_VALUE"""),"นพอ.รุจิรดา  ศรีไชยกิจ")</f>
        <v>นพอ.รุจิรดา  ศรีไชยกิจ</v>
      </c>
      <c r="G96" s="3" t="str">
        <f>IFERROR(__xludf.DUMMYFUNCTION("""COMPUTED_VALUE"""),"ช่วยเหลืองานภายใน วพอ.")</f>
        <v>ช่วยเหลืองานภายใน วพอ.</v>
      </c>
      <c r="H96" s="3" t="str">
        <f>IFERROR(__xludf.DUMMYFUNCTION("""COMPUTED_VALUE"""),"ขนของหอชาย")</f>
        <v>ขนของหอชาย</v>
      </c>
      <c r="I96" s="3" t="str">
        <f>IFERROR(__xludf.DUMMYFUNCTION("""COMPUTED_VALUE"""),"วพอ.")</f>
        <v>วพอ.</v>
      </c>
      <c r="J96" s="12">
        <f>IFERROR(__xludf.DUMMYFUNCTION("""COMPUTED_VALUE"""),45876.0)</f>
        <v>45876</v>
      </c>
      <c r="K96" s="3" t="str">
        <f>IFERROR(__xludf.DUMMYFUNCTION("""COMPUTED_VALUE"""),"1800-2000")</f>
        <v>1800-2000</v>
      </c>
      <c r="L96" s="3">
        <f>IFERROR(__xludf.DUMMYFUNCTION("""COMPUTED_VALUE"""),2.0)</f>
        <v>2</v>
      </c>
      <c r="M96" s="3" t="str">
        <f>IFERROR(__xludf.DUMMYFUNCTION("""COMPUTED_VALUE"""),"ร.อ.อนุชิต  ทำจะดี")</f>
        <v>ร.อ.อนุชิต  ทำจะดี</v>
      </c>
      <c r="N96" s="14" t="str">
        <f>IFERROR(__xludf.DUMMYFUNCTION("""COMPUTED_VALUE"""),"https://lh5.googleusercontent.com/d/1k6foeVaFkcD-DMwprsfBkMfgGJBj1x12")</f>
        <v>https://lh5.googleusercontent.com/d/1k6foeVaFkcD-DMwprsfBkMfgGJBj1x12</v>
      </c>
      <c r="O96" s="14" t="str">
        <f>IFERROR(__xludf.DUMMYFUNCTION("""COMPUTED_VALUE"""),"https://drive.google.com/file/d/17FXR938mYwjUnMIuF3g364U43b6lDsZk/view?usp=drivesdk")</f>
        <v>https://drive.google.com/file/d/17FXR938mYwjUnMIuF3g364U43b6lDsZk/view?usp=drivesdk</v>
      </c>
    </row>
    <row r="97">
      <c r="A97" s="3">
        <f>IFERROR(__xludf.DUMMYFUNCTION("""COMPUTED_VALUE"""),573.0)</f>
        <v>573</v>
      </c>
      <c r="B97" s="11">
        <f>IFERROR(__xludf.DUMMYFUNCTION("""COMPUTED_VALUE"""),45991.559106446766)</f>
        <v>45991.55911</v>
      </c>
      <c r="C97" s="3" t="str">
        <f>IFERROR(__xludf.DUMMYFUNCTION("""COMPUTED_VALUE"""),"ชั้นปีที่ 4")</f>
        <v>ชั้นปีที่ 4</v>
      </c>
      <c r="D97" s="3" t="str">
        <f>IFERROR(__xludf.DUMMYFUNCTION("""COMPUTED_VALUE"""),"6503737")</f>
        <v>6503737</v>
      </c>
      <c r="E97" s="3" t="str">
        <f>IFERROR(__xludf.DUMMYFUNCTION("""COMPUTED_VALUE"""),"47")</f>
        <v>47</v>
      </c>
      <c r="F97" s="3" t="str">
        <f>IFERROR(__xludf.DUMMYFUNCTION("""COMPUTED_VALUE"""),"นพอ.รุจิรดา  ศรีไชยกิจ")</f>
        <v>นพอ.รุจิรดา  ศรีไชยกิจ</v>
      </c>
      <c r="G9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97" s="3" t="str">
        <f>IFERROR(__xludf.DUMMYFUNCTION("""COMPUTED_VALUE"""),"ทำความสะอาดบริเวณรอบรพ.สต.")</f>
        <v>ทำความสะอาดบริเวณรอบรพ.สต.</v>
      </c>
      <c r="I97" s="3" t="str">
        <f>IFERROR(__xludf.DUMMYFUNCTION("""COMPUTED_VALUE"""),"รพ.สต.บางกะไห")</f>
        <v>รพ.สต.บางกะไห</v>
      </c>
      <c r="J97" s="12">
        <f>IFERROR(__xludf.DUMMYFUNCTION("""COMPUTED_VALUE"""),45947.0)</f>
        <v>45947</v>
      </c>
      <c r="K97" s="3" t="str">
        <f>IFERROR(__xludf.DUMMYFUNCTION("""COMPUTED_VALUE"""),"0800-1200")</f>
        <v>0800-1200</v>
      </c>
      <c r="L97" s="3">
        <f>IFERROR(__xludf.DUMMYFUNCTION("""COMPUTED_VALUE"""),4.0)</f>
        <v>4</v>
      </c>
      <c r="M97" s="3" t="str">
        <f>IFERROR(__xludf.DUMMYFUNCTION("""COMPUTED_VALUE"""),"นางรัตติกาล  หงษ์ศิริ")</f>
        <v>นางรัตติกาล  หงษ์ศิริ</v>
      </c>
      <c r="N97" s="14" t="str">
        <f>IFERROR(__xludf.DUMMYFUNCTION("""COMPUTED_VALUE"""),"https://lh5.googleusercontent.com/d/1NpAlgEnoMn9USA8ajwJiPmo3i_3HsQg2")</f>
        <v>https://lh5.googleusercontent.com/d/1NpAlgEnoMn9USA8ajwJiPmo3i_3HsQg2</v>
      </c>
      <c r="O97" s="14" t="str">
        <f>IFERROR(__xludf.DUMMYFUNCTION("""COMPUTED_VALUE"""),"https://drive.google.com/file/d/1oMbHJyCiZQ11k6ijmY_74aO0slAzWvUe/view?usp=drivesdk")</f>
        <v>https://drive.google.com/file/d/1oMbHJyCiZQ11k6ijmY_74aO0slAzWvUe/view?usp=drivesdk</v>
      </c>
    </row>
    <row r="98">
      <c r="A98" s="3">
        <f>IFERROR(__xludf.DUMMYFUNCTION("""COMPUTED_VALUE"""),575.0)</f>
        <v>575</v>
      </c>
      <c r="B98" s="11">
        <f>IFERROR(__xludf.DUMMYFUNCTION("""COMPUTED_VALUE"""),45991.560525925925)</f>
        <v>45991.56053</v>
      </c>
      <c r="C98" s="3" t="str">
        <f>IFERROR(__xludf.DUMMYFUNCTION("""COMPUTED_VALUE"""),"ชั้นปีที่ 4")</f>
        <v>ชั้นปีที่ 4</v>
      </c>
      <c r="D98" s="3" t="str">
        <f>IFERROR(__xludf.DUMMYFUNCTION("""COMPUTED_VALUE"""),"6503737")</f>
        <v>6503737</v>
      </c>
      <c r="E98" s="3" t="str">
        <f>IFERROR(__xludf.DUMMYFUNCTION("""COMPUTED_VALUE"""),"47")</f>
        <v>47</v>
      </c>
      <c r="F98" s="3" t="str">
        <f>IFERROR(__xludf.DUMMYFUNCTION("""COMPUTED_VALUE"""),"นพอ.รุจิรดา  ศรีไชยกิจ")</f>
        <v>นพอ.รุจิรดา  ศรีไชยกิจ</v>
      </c>
      <c r="G9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98" s="3" t="str">
        <f>IFERROR(__xludf.DUMMYFUNCTION("""COMPUTED_VALUE"""),"ทำความสะอาดบริเวณโรงเรียนวัดบ้านนา")</f>
        <v>ทำความสะอาดบริเวณโรงเรียนวัดบ้านนา</v>
      </c>
      <c r="I98" s="3" t="str">
        <f>IFERROR(__xludf.DUMMYFUNCTION("""COMPUTED_VALUE"""),"โรงเรียนวัดบ้านนา")</f>
        <v>โรงเรียนวัดบ้านนา</v>
      </c>
      <c r="J98" s="12">
        <f>IFERROR(__xludf.DUMMYFUNCTION("""COMPUTED_VALUE"""),45946.0)</f>
        <v>45946</v>
      </c>
      <c r="K98" s="3" t="str">
        <f>IFERROR(__xludf.DUMMYFUNCTION("""COMPUTED_VALUE"""),"0800-1200")</f>
        <v>0800-1200</v>
      </c>
      <c r="L98" s="3">
        <f>IFERROR(__xludf.DUMMYFUNCTION("""COMPUTED_VALUE"""),4.0)</f>
        <v>4</v>
      </c>
      <c r="M98" s="3" t="str">
        <f>IFERROR(__xludf.DUMMYFUNCTION("""COMPUTED_VALUE"""),"นางรัตติกาล หงษ์ศิริ")</f>
        <v>นางรัตติกาล หงษ์ศิริ</v>
      </c>
      <c r="N98" s="14" t="str">
        <f>IFERROR(__xludf.DUMMYFUNCTION("""COMPUTED_VALUE"""),"https://lh5.googleusercontent.com/d/1D_dpA0P1QEAN27dS0grDkwJZ-gCjlFos")</f>
        <v>https://lh5.googleusercontent.com/d/1D_dpA0P1QEAN27dS0grDkwJZ-gCjlFos</v>
      </c>
      <c r="O98" s="14" t="str">
        <f>IFERROR(__xludf.DUMMYFUNCTION("""COMPUTED_VALUE"""),"https://drive.google.com/file/d/1uG4WEmx_y_OsvxSMebohF-qVhnMQ48BR/view?usp=drivesdk")</f>
        <v>https://drive.google.com/file/d/1uG4WEmx_y_OsvxSMebohF-qVhnMQ48BR/view?usp=drivesdk</v>
      </c>
    </row>
    <row r="99">
      <c r="A99" s="3">
        <f>IFERROR(__xludf.DUMMYFUNCTION("""COMPUTED_VALUE"""),588.0)</f>
        <v>588</v>
      </c>
      <c r="B99" s="11">
        <f>IFERROR(__xludf.DUMMYFUNCTION("""COMPUTED_VALUE"""),45991.5834174537)</f>
        <v>45991.58342</v>
      </c>
      <c r="C99" s="3" t="str">
        <f>IFERROR(__xludf.DUMMYFUNCTION("""COMPUTED_VALUE"""),"ชั้นปีที่ 4")</f>
        <v>ชั้นปีที่ 4</v>
      </c>
      <c r="D99" s="3" t="str">
        <f>IFERROR(__xludf.DUMMYFUNCTION("""COMPUTED_VALUE"""),"6503733")</f>
        <v>6503733</v>
      </c>
      <c r="E99" s="3" t="str">
        <f>IFERROR(__xludf.DUMMYFUNCTION("""COMPUTED_VALUE"""),"43")</f>
        <v>43</v>
      </c>
      <c r="F99" s="3" t="str">
        <f>IFERROR(__xludf.DUMMYFUNCTION("""COMPUTED_VALUE"""),"นพอ.ภุมวดี พิมศรี")</f>
        <v>นพอ.ภุมวดี พิมศรี</v>
      </c>
      <c r="G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9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99" s="3" t="str">
        <f>IFERROR(__xludf.DUMMYFUNCTION("""COMPUTED_VALUE"""),"สโมสรทหารอากาศชั้นประทวน")</f>
        <v>สโมสรทหารอากาศชั้นประทวน</v>
      </c>
      <c r="J99" s="12">
        <f>IFERROR(__xludf.DUMMYFUNCTION("""COMPUTED_VALUE"""),45854.0)</f>
        <v>45854</v>
      </c>
      <c r="K99" s="3" t="str">
        <f>IFERROR(__xludf.DUMMYFUNCTION("""COMPUTED_VALUE"""),"0700-1300")</f>
        <v>0700-1300</v>
      </c>
      <c r="L99" s="3">
        <f>IFERROR(__xludf.DUMMYFUNCTION("""COMPUTED_VALUE"""),6.0)</f>
        <v>6</v>
      </c>
      <c r="M99" s="3" t="str">
        <f>IFERROR(__xludf.DUMMYFUNCTION("""COMPUTED_VALUE"""),"น.ต.หญิง ตวงทิพย์ ลดาวัลย์")</f>
        <v>น.ต.หญิง ตวงทิพย์ ลดาวัลย์</v>
      </c>
      <c r="N99" s="14" t="str">
        <f>IFERROR(__xludf.DUMMYFUNCTION("""COMPUTED_VALUE"""),"https://lh5.googleusercontent.com/d/1ZzVYzs789r_UtsdVOCGLS4b6KkIwL76J")</f>
        <v>https://lh5.googleusercontent.com/d/1ZzVYzs789r_UtsdVOCGLS4b6KkIwL76J</v>
      </c>
      <c r="O99" s="14" t="str">
        <f>IFERROR(__xludf.DUMMYFUNCTION("""COMPUTED_VALUE"""),"https://drive.google.com/file/d/1UkGaws8dOCWVzK8fOkYQSUo2pDMJnrwf/view?usp=drivesdk")</f>
        <v>https://drive.google.com/file/d/1UkGaws8dOCWVzK8fOkYQSUo2pDMJnrwf/view?usp=drivesdk</v>
      </c>
    </row>
    <row r="100">
      <c r="A100" s="3">
        <f>IFERROR(__xludf.DUMMYFUNCTION("""COMPUTED_VALUE"""),591.0)</f>
        <v>591</v>
      </c>
      <c r="B100" s="11">
        <f>IFERROR(__xludf.DUMMYFUNCTION("""COMPUTED_VALUE"""),45991.58751693287)</f>
        <v>45991.58752</v>
      </c>
      <c r="C100" s="3" t="str">
        <f>IFERROR(__xludf.DUMMYFUNCTION("""COMPUTED_VALUE"""),"ชั้นปีที่ 4")</f>
        <v>ชั้นปีที่ 4</v>
      </c>
      <c r="D100" s="3" t="str">
        <f>IFERROR(__xludf.DUMMYFUNCTION("""COMPUTED_VALUE"""),"6503727")</f>
        <v>6503727</v>
      </c>
      <c r="E100" s="3" t="str">
        <f>IFERROR(__xludf.DUMMYFUNCTION("""COMPUTED_VALUE"""),"37")</f>
        <v>37</v>
      </c>
      <c r="F100" s="3" t="str">
        <f>IFERROR(__xludf.DUMMYFUNCTION("""COMPUTED_VALUE"""),"นพอ.ผกาวรรณ เรืองเนตร")</f>
        <v>นพอ.ผกาวรรณ เรืองเนตร</v>
      </c>
      <c r="G10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0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00" s="3" t="str">
        <f>IFERROR(__xludf.DUMMYFUNCTION("""COMPUTED_VALUE"""),"สโมสรทหาอากาศชั้นประทวน")</f>
        <v>สโมสรทหาอากาศชั้นประทวน</v>
      </c>
      <c r="J100" s="12">
        <f>IFERROR(__xludf.DUMMYFUNCTION("""COMPUTED_VALUE"""),45854.0)</f>
        <v>45854</v>
      </c>
      <c r="K100" s="3" t="str">
        <f>IFERROR(__xludf.DUMMYFUNCTION("""COMPUTED_VALUE"""),"0700-1300")</f>
        <v>0700-1300</v>
      </c>
      <c r="L100" s="3">
        <f>IFERROR(__xludf.DUMMYFUNCTION("""COMPUTED_VALUE"""),6.0)</f>
        <v>6</v>
      </c>
      <c r="M100" s="3" t="str">
        <f>IFERROR(__xludf.DUMMYFUNCTION("""COMPUTED_VALUE"""),"น.ต.หญิง ตวงทิพย์ ลดาวัลย์")</f>
        <v>น.ต.หญิง ตวงทิพย์ ลดาวัลย์</v>
      </c>
      <c r="N100" s="14" t="str">
        <f>IFERROR(__xludf.DUMMYFUNCTION("""COMPUTED_VALUE"""),"https://lh5.googleusercontent.com/d/1J249vehdxxmwxGtUoQMg91MhZxA0IaKb")</f>
        <v>https://lh5.googleusercontent.com/d/1J249vehdxxmwxGtUoQMg91MhZxA0IaKb</v>
      </c>
      <c r="O100" s="14" t="str">
        <f>IFERROR(__xludf.DUMMYFUNCTION("""COMPUTED_VALUE"""),"https://drive.google.com/file/d/16TQ4wztodjZbOehNIdquXY5vRu5IcaKp/view?usp=drivesdk")</f>
        <v>https://drive.google.com/file/d/16TQ4wztodjZbOehNIdquXY5vRu5IcaKp/view?usp=drivesdk</v>
      </c>
    </row>
    <row r="101">
      <c r="A101" s="3">
        <f>IFERROR(__xludf.DUMMYFUNCTION("""COMPUTED_VALUE"""),592.0)</f>
        <v>592</v>
      </c>
      <c r="B101" s="11">
        <f>IFERROR(__xludf.DUMMYFUNCTION("""COMPUTED_VALUE"""),45991.58789887731)</f>
        <v>45991.5879</v>
      </c>
      <c r="C101" s="3" t="str">
        <f>IFERROR(__xludf.DUMMYFUNCTION("""COMPUTED_VALUE"""),"ชั้นปีที่ 4")</f>
        <v>ชั้นปีที่ 4</v>
      </c>
      <c r="D101" s="3" t="str">
        <f>IFERROR(__xludf.DUMMYFUNCTION("""COMPUTED_VALUE"""),"6503733")</f>
        <v>6503733</v>
      </c>
      <c r="E101" s="3" t="str">
        <f>IFERROR(__xludf.DUMMYFUNCTION("""COMPUTED_VALUE"""),"43")</f>
        <v>43</v>
      </c>
      <c r="F101" s="3" t="str">
        <f>IFERROR(__xludf.DUMMYFUNCTION("""COMPUTED_VALUE"""),"นพอ.ภุมวดี พิมศรี")</f>
        <v>นพอ.ภุมวดี พิมศรี</v>
      </c>
      <c r="G10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01" s="3" t="str">
        <f>IFERROR(__xludf.DUMMYFUNCTION("""COMPUTED_VALUE"""),"บริจาคเลือด")</f>
        <v>บริจาคเลือด</v>
      </c>
      <c r="I101" s="3" t="str">
        <f>IFERROR(__xludf.DUMMYFUNCTION("""COMPUTED_VALUE"""),"โรงพยาบาลสิริกิติ์")</f>
        <v>โรงพยาบาลสิริกิติ์</v>
      </c>
      <c r="J101" s="12">
        <f>IFERROR(__xludf.DUMMYFUNCTION("""COMPUTED_VALUE"""),45990.0)</f>
        <v>45990</v>
      </c>
      <c r="K101" s="3" t="str">
        <f>IFERROR(__xludf.DUMMYFUNCTION("""COMPUTED_VALUE"""),"1000-1800")</f>
        <v>1000-1800</v>
      </c>
      <c r="L101" s="3">
        <f>IFERROR(__xludf.DUMMYFUNCTION("""COMPUTED_VALUE"""),8.0)</f>
        <v>8</v>
      </c>
      <c r="M101" s="3" t="str">
        <f>IFERROR(__xludf.DUMMYFUNCTION("""COMPUTED_VALUE"""),"ร.อ.อนุชิต ทำจะดี")</f>
        <v>ร.อ.อนุชิต ทำจะดี</v>
      </c>
      <c r="N101" s="14" t="str">
        <f>IFERROR(__xludf.DUMMYFUNCTION("""COMPUTED_VALUE"""),"https://lh5.googleusercontent.com/d/1vKAla8P2_1y590xueVzdtK9h7qyODldS")</f>
        <v>https://lh5.googleusercontent.com/d/1vKAla8P2_1y590xueVzdtK9h7qyODldS</v>
      </c>
      <c r="O101" s="14" t="str">
        <f>IFERROR(__xludf.DUMMYFUNCTION("""COMPUTED_VALUE"""),"https://drive.google.com/file/d/1TSDTYmC9HTlGZCr-BX_54SuEoAcWxa_M/view?usp=drivesdk")</f>
        <v>https://drive.google.com/file/d/1TSDTYmC9HTlGZCr-BX_54SuEoAcWxa_M/view?usp=drivesdk</v>
      </c>
    </row>
    <row r="102">
      <c r="A102" s="3">
        <f>IFERROR(__xludf.DUMMYFUNCTION("""COMPUTED_VALUE"""),593.0)</f>
        <v>593</v>
      </c>
      <c r="B102" s="11">
        <f>IFERROR(__xludf.DUMMYFUNCTION("""COMPUTED_VALUE"""),45991.58949756945)</f>
        <v>45991.5895</v>
      </c>
      <c r="C102" s="3" t="str">
        <f>IFERROR(__xludf.DUMMYFUNCTION("""COMPUTED_VALUE"""),"ชั้นปีที่ 4")</f>
        <v>ชั้นปีที่ 4</v>
      </c>
      <c r="D102" s="3" t="str">
        <f>IFERROR(__xludf.DUMMYFUNCTION("""COMPUTED_VALUE"""),"6503727")</f>
        <v>6503727</v>
      </c>
      <c r="E102" s="3" t="str">
        <f>IFERROR(__xludf.DUMMYFUNCTION("""COMPUTED_VALUE"""),"37")</f>
        <v>37</v>
      </c>
      <c r="F102" s="3" t="str">
        <f>IFERROR(__xludf.DUMMYFUNCTION("""COMPUTED_VALUE"""),"นพอ.ผกาวรรณ เรืองเนตร")</f>
        <v>นพอ.ผกาวรรณ เรืองเนตร</v>
      </c>
      <c r="G10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2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02" s="3" t="str">
        <f>IFERROR(__xludf.DUMMYFUNCTION("""COMPUTED_VALUE"""),"สโมสรทหารอากาศชั้นประทวน")</f>
        <v>สโมสรทหารอากาศชั้นประทวน</v>
      </c>
      <c r="J102" s="12">
        <f>IFERROR(__xludf.DUMMYFUNCTION("""COMPUTED_VALUE"""),45854.0)</f>
        <v>45854</v>
      </c>
      <c r="K102" s="3" t="str">
        <f>IFERROR(__xludf.DUMMYFUNCTION("""COMPUTED_VALUE"""),"0700-1300")</f>
        <v>0700-1300</v>
      </c>
      <c r="L102" s="3">
        <f>IFERROR(__xludf.DUMMYFUNCTION("""COMPUTED_VALUE"""),6.0)</f>
        <v>6</v>
      </c>
      <c r="M102" s="3" t="str">
        <f>IFERROR(__xludf.DUMMYFUNCTION("""COMPUTED_VALUE"""),"น.ต.หญิง ตวงทิพย์ ลดาวัลย์")</f>
        <v>น.ต.หญิง ตวงทิพย์ ลดาวัลย์</v>
      </c>
      <c r="N102" s="14" t="str">
        <f>IFERROR(__xludf.DUMMYFUNCTION("""COMPUTED_VALUE"""),"https://lh5.googleusercontent.com/d/1dfLj-I-RrrYTEVDAFBRGfJZxLbD_iRSl")</f>
        <v>https://lh5.googleusercontent.com/d/1dfLj-I-RrrYTEVDAFBRGfJZxLbD_iRSl</v>
      </c>
      <c r="O102" s="14" t="str">
        <f>IFERROR(__xludf.DUMMYFUNCTION("""COMPUTED_VALUE"""),"https://drive.google.com/file/d/1VNMp-I_lK-c7USEu0kSpg1pWDKddAhh5/view?usp=drivesdk")</f>
        <v>https://drive.google.com/file/d/1VNMp-I_lK-c7USEu0kSpg1pWDKddAhh5/view?usp=drivesdk</v>
      </c>
    </row>
    <row r="103">
      <c r="A103" s="3">
        <f>IFERROR(__xludf.DUMMYFUNCTION("""COMPUTED_VALUE"""),594.0)</f>
        <v>594</v>
      </c>
      <c r="B103" s="11">
        <f>IFERROR(__xludf.DUMMYFUNCTION("""COMPUTED_VALUE"""),45991.58964028935)</f>
        <v>45991.58964</v>
      </c>
      <c r="C103" s="3" t="str">
        <f>IFERROR(__xludf.DUMMYFUNCTION("""COMPUTED_VALUE"""),"ชั้นปีที่ 4")</f>
        <v>ชั้นปีที่ 4</v>
      </c>
      <c r="D103" s="3" t="str">
        <f>IFERROR(__xludf.DUMMYFUNCTION("""COMPUTED_VALUE"""),"6503750")</f>
        <v>6503750</v>
      </c>
      <c r="E103" s="3" t="str">
        <f>IFERROR(__xludf.DUMMYFUNCTION("""COMPUTED_VALUE"""),"60")</f>
        <v>60</v>
      </c>
      <c r="F103" s="3" t="str">
        <f>IFERROR(__xludf.DUMMYFUNCTION("""COMPUTED_VALUE"""),"นพอ.สุภัชสรา เชิดพุดซา")</f>
        <v>นพอ.สุภัชสรา เชิดพุดซา</v>
      </c>
      <c r="G103" s="3" t="str">
        <f>IFERROR(__xludf.DUMMYFUNCTION("""COMPUTED_VALUE"""),"งานฟรีทั่วไป")</f>
        <v>งานฟรีทั่วไป</v>
      </c>
      <c r="H103" s="3" t="str">
        <f>IFERROR(__xludf.DUMMYFUNCTION("""COMPUTED_VALUE"""),"ทำงานบ้าน")</f>
        <v>ทำงานบ้าน</v>
      </c>
      <c r="I103" s="3" t="str">
        <f>IFERROR(__xludf.DUMMYFUNCTION("""COMPUTED_VALUE"""),"Plus condo")</f>
        <v>Plus condo</v>
      </c>
      <c r="J103" s="12">
        <f>IFERROR(__xludf.DUMMYFUNCTION("""COMPUTED_VALUE"""),45983.0)</f>
        <v>45983</v>
      </c>
      <c r="K103" s="3" t="str">
        <f>IFERROR(__xludf.DUMMYFUNCTION("""COMPUTED_VALUE"""),"1000-1100")</f>
        <v>1000-1100</v>
      </c>
      <c r="L103" s="3">
        <f>IFERROR(__xludf.DUMMYFUNCTION("""COMPUTED_VALUE"""),1.0)</f>
        <v>1</v>
      </c>
      <c r="M103" s="3" t="str">
        <f>IFERROR(__xludf.DUMMYFUNCTION("""COMPUTED_VALUE"""),"ร.ต.อ.วิชยุตม์ เชิดพุดซา ")</f>
        <v>ร.ต.อ.วิชยุตม์ เชิดพุดซา </v>
      </c>
      <c r="N103" s="14" t="str">
        <f>IFERROR(__xludf.DUMMYFUNCTION("""COMPUTED_VALUE"""),"https://lh5.googleusercontent.com/d/1eZquCjJ-hy_RvSzHRsQf7FWarksIuRrW")</f>
        <v>https://lh5.googleusercontent.com/d/1eZquCjJ-hy_RvSzHRsQf7FWarksIuRrW</v>
      </c>
      <c r="O103" s="14" t="str">
        <f>IFERROR(__xludf.DUMMYFUNCTION("""COMPUTED_VALUE"""),"https://drive.google.com/file/d/1eKgf40TLe0BPJOWasu968urBU2lRAx3e/view?usp=drivesdk")</f>
        <v>https://drive.google.com/file/d/1eKgf40TLe0BPJOWasu968urBU2lRAx3e/view?usp=drivesdk</v>
      </c>
    </row>
    <row r="104">
      <c r="A104" s="3">
        <f>IFERROR(__xludf.DUMMYFUNCTION("""COMPUTED_VALUE"""),595.0)</f>
        <v>595</v>
      </c>
      <c r="B104" s="11">
        <f>IFERROR(__xludf.DUMMYFUNCTION("""COMPUTED_VALUE"""),45991.590304467594)</f>
        <v>45991.5903</v>
      </c>
      <c r="C104" s="3" t="str">
        <f>IFERROR(__xludf.DUMMYFUNCTION("""COMPUTED_VALUE"""),"ชั้นปีที่ 4")</f>
        <v>ชั้นปีที่ 4</v>
      </c>
      <c r="D104" s="3" t="str">
        <f>IFERROR(__xludf.DUMMYFUNCTION("""COMPUTED_VALUE"""),"6503737 ")</f>
        <v>6503737 </v>
      </c>
      <c r="E104" s="3" t="str">
        <f>IFERROR(__xludf.DUMMYFUNCTION("""COMPUTED_VALUE"""),"47")</f>
        <v>47</v>
      </c>
      <c r="F104" s="3" t="str">
        <f>IFERROR(__xludf.DUMMYFUNCTION("""COMPUTED_VALUE"""),"นพอ.รุจิรดา  ศรีไชยกิจ")</f>
        <v>นพอ.รุจิรดา  ศรีไชยกิจ</v>
      </c>
      <c r="G10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04" s="3" t="str">
        <f>IFERROR(__xludf.DUMMYFUNCTION("""COMPUTED_VALUE"""),"จัดทำบอร์ดประชาสัมพันธ์ให้ความรู้สุขภาพ")</f>
        <v>จัดทำบอร์ดประชาสัมพันธ์ให้ความรู้สุขภาพ</v>
      </c>
      <c r="I104" s="3" t="str">
        <f>IFERROR(__xludf.DUMMYFUNCTION("""COMPUTED_VALUE"""),"รพ.สต.บางกะไห")</f>
        <v>รพ.สต.บางกะไห</v>
      </c>
      <c r="J104" s="12">
        <f>IFERROR(__xludf.DUMMYFUNCTION("""COMPUTED_VALUE"""),45979.0)</f>
        <v>45979</v>
      </c>
      <c r="K104" s="3" t="str">
        <f>IFERROR(__xludf.DUMMYFUNCTION("""COMPUTED_VALUE"""),"1800-2000")</f>
        <v>1800-2000</v>
      </c>
      <c r="L104" s="3">
        <f>IFERROR(__xludf.DUMMYFUNCTION("""COMPUTED_VALUE"""),2.0)</f>
        <v>2</v>
      </c>
      <c r="M104" s="3" t="str">
        <f>IFERROR(__xludf.DUMMYFUNCTION("""COMPUTED_VALUE"""),"นางเปรมฤดี ศิริตาหนึง")</f>
        <v>นางเปรมฤดี ศิริตาหนึง</v>
      </c>
      <c r="N104" s="14" t="str">
        <f>IFERROR(__xludf.DUMMYFUNCTION("""COMPUTED_VALUE"""),"https://lh5.googleusercontent.com/d/1JljuT7vrDxgqlyABh_Ea1cw8UVBtP8qu")</f>
        <v>https://lh5.googleusercontent.com/d/1JljuT7vrDxgqlyABh_Ea1cw8UVBtP8qu</v>
      </c>
      <c r="O104" s="14" t="str">
        <f>IFERROR(__xludf.DUMMYFUNCTION("""COMPUTED_VALUE"""),"https://drive.google.com/file/d/1D_jgPiGWAAvJgTl_HPK3UdEPCUTYv8oo/view?usp=drivesdk")</f>
        <v>https://drive.google.com/file/d/1D_jgPiGWAAvJgTl_HPK3UdEPCUTYv8oo/view?usp=drivesdk</v>
      </c>
    </row>
    <row r="105">
      <c r="A105" s="3">
        <f>IFERROR(__xludf.DUMMYFUNCTION("""COMPUTED_VALUE"""),596.0)</f>
        <v>596</v>
      </c>
      <c r="B105" s="11">
        <f>IFERROR(__xludf.DUMMYFUNCTION("""COMPUTED_VALUE"""),45991.59111930556)</f>
        <v>45991.59112</v>
      </c>
      <c r="C105" s="3" t="str">
        <f>IFERROR(__xludf.DUMMYFUNCTION("""COMPUTED_VALUE"""),"ชั้นปีที่ 4")</f>
        <v>ชั้นปีที่ 4</v>
      </c>
      <c r="D105" s="3" t="str">
        <f>IFERROR(__xludf.DUMMYFUNCTION("""COMPUTED_VALUE"""),"6503727")</f>
        <v>6503727</v>
      </c>
      <c r="E105" s="3" t="str">
        <f>IFERROR(__xludf.DUMMYFUNCTION("""COMPUTED_VALUE"""),"37")</f>
        <v>37</v>
      </c>
      <c r="F105" s="3" t="str">
        <f>IFERROR(__xludf.DUMMYFUNCTION("""COMPUTED_VALUE"""),"นพอ.ผกาวรรณ เรืองเนตร")</f>
        <v>นพอ.ผกาวรรณ เรืองเนตร</v>
      </c>
      <c r="G105" s="3" t="str">
        <f>IFERROR(__xludf.DUMMYFUNCTION("""COMPUTED_VALUE"""),"ทำนุบำรุงศาสนสถาน")</f>
        <v>ทำนุบำรุงศาสนสถาน</v>
      </c>
      <c r="H105" s="3" t="str">
        <f>IFERROR(__xludf.DUMMYFUNCTION("""COMPUTED_VALUE"""),"ช่วยเก็บของงานกฐิน")</f>
        <v>ช่วยเก็บของงานกฐิน</v>
      </c>
      <c r="I105" s="3" t="str">
        <f>IFERROR(__xludf.DUMMYFUNCTION("""COMPUTED_VALUE"""),"วัดบางแก้ว")</f>
        <v>วัดบางแก้ว</v>
      </c>
      <c r="J105" s="12">
        <f>IFERROR(__xludf.DUMMYFUNCTION("""COMPUTED_VALUE"""),45942.0)</f>
        <v>45942</v>
      </c>
      <c r="K105" s="3" t="str">
        <f>IFERROR(__xludf.DUMMYFUNCTION("""COMPUTED_VALUE"""),"0800-1200")</f>
        <v>0800-1200</v>
      </c>
      <c r="L105" s="3">
        <f>IFERROR(__xludf.DUMMYFUNCTION("""COMPUTED_VALUE"""),4.0)</f>
        <v>4</v>
      </c>
      <c r="M105" s="3" t="str">
        <f>IFERROR(__xludf.DUMMYFUNCTION("""COMPUTED_VALUE"""),"นางสาว สาวารส ยิ้มเจริญ")</f>
        <v>นางสาว สาวารส ยิ้มเจริญ</v>
      </c>
      <c r="N105" s="14" t="str">
        <f>IFERROR(__xludf.DUMMYFUNCTION("""COMPUTED_VALUE"""),"https://lh5.googleusercontent.com/d/1Amssjz0ol6Z93hk08-xfldY-IgHDXf6Q")</f>
        <v>https://lh5.googleusercontent.com/d/1Amssjz0ol6Z93hk08-xfldY-IgHDXf6Q</v>
      </c>
      <c r="O105" s="14" t="str">
        <f>IFERROR(__xludf.DUMMYFUNCTION("""COMPUTED_VALUE"""),"https://drive.google.com/file/d/16fzXVtDdk3TLG93X9g02WH4YMDY_anTb/view?usp=drivesdk")</f>
        <v>https://drive.google.com/file/d/16fzXVtDdk3TLG93X9g02WH4YMDY_anTb/view?usp=drivesdk</v>
      </c>
    </row>
    <row r="106">
      <c r="A106" s="3">
        <f>IFERROR(__xludf.DUMMYFUNCTION("""COMPUTED_VALUE"""),597.0)</f>
        <v>597</v>
      </c>
      <c r="B106" s="11">
        <f>IFERROR(__xludf.DUMMYFUNCTION("""COMPUTED_VALUE"""),45991.59360663195)</f>
        <v>45991.59361</v>
      </c>
      <c r="C106" s="3" t="str">
        <f>IFERROR(__xludf.DUMMYFUNCTION("""COMPUTED_VALUE"""),"ชั้นปีที่ 4")</f>
        <v>ชั้นปีที่ 4</v>
      </c>
      <c r="D106" s="3" t="str">
        <f>IFERROR(__xludf.DUMMYFUNCTION("""COMPUTED_VALUE"""),"6503733")</f>
        <v>6503733</v>
      </c>
      <c r="E106" s="3" t="str">
        <f>IFERROR(__xludf.DUMMYFUNCTION("""COMPUTED_VALUE"""),"43")</f>
        <v>43</v>
      </c>
      <c r="F106" s="3" t="str">
        <f>IFERROR(__xludf.DUMMYFUNCTION("""COMPUTED_VALUE"""),"นพอ.ภุมวดี พิมศรี")</f>
        <v>นพอ.ภุมวดี พิมศรี</v>
      </c>
      <c r="G106" s="3" t="str">
        <f>IFERROR(__xludf.DUMMYFUNCTION("""COMPUTED_VALUE"""),"งานฟรีทั่วไป")</f>
        <v>งานฟรีทั่วไป</v>
      </c>
      <c r="H106" s="3" t="str">
        <f>IFERROR(__xludf.DUMMYFUNCTION("""COMPUTED_VALUE"""),"ช่วยแม่ทำงานบ้าน")</f>
        <v>ช่วยแม่ทำงานบ้าน</v>
      </c>
      <c r="I106" s="3" t="str">
        <f>IFERROR(__xludf.DUMMYFUNCTION("""COMPUTED_VALUE"""),"้บ้าน")</f>
        <v>้บ้าน</v>
      </c>
      <c r="J106" s="12">
        <f>IFERROR(__xludf.DUMMYFUNCTION("""COMPUTED_VALUE"""),45990.0)</f>
        <v>45990</v>
      </c>
      <c r="K106" s="3" t="str">
        <f>IFERROR(__xludf.DUMMYFUNCTION("""COMPUTED_VALUE"""),"0800-1000")</f>
        <v>0800-1000</v>
      </c>
      <c r="L106" s="3">
        <f>IFERROR(__xludf.DUMMYFUNCTION("""COMPUTED_VALUE"""),2.0)</f>
        <v>2</v>
      </c>
      <c r="M106" s="3" t="str">
        <f>IFERROR(__xludf.DUMMYFUNCTION("""COMPUTED_VALUE"""),"นางอมรรัตน์ พิมศรี")</f>
        <v>นางอมรรัตน์ พิมศรี</v>
      </c>
      <c r="N106" s="14" t="str">
        <f>IFERROR(__xludf.DUMMYFUNCTION("""COMPUTED_VALUE"""),"https://lh5.googleusercontent.com/d/1I4f7iFbfAEEfZGP8wy-EjTGvhgeHc97i")</f>
        <v>https://lh5.googleusercontent.com/d/1I4f7iFbfAEEfZGP8wy-EjTGvhgeHc97i</v>
      </c>
      <c r="O106" s="14" t="str">
        <f>IFERROR(__xludf.DUMMYFUNCTION("""COMPUTED_VALUE"""),"https://drive.google.com/file/d/1Bz4LJ1YEGRrOcPSL8nAvBDJXrDgojTTV/view?usp=drivesdk")</f>
        <v>https://drive.google.com/file/d/1Bz4LJ1YEGRrOcPSL8nAvBDJXrDgojTTV/view?usp=drivesdk</v>
      </c>
    </row>
    <row r="107">
      <c r="A107" s="3">
        <f>IFERROR(__xludf.DUMMYFUNCTION("""COMPUTED_VALUE"""),598.0)</f>
        <v>598</v>
      </c>
      <c r="B107" s="11">
        <f>IFERROR(__xludf.DUMMYFUNCTION("""COMPUTED_VALUE"""),45991.594450289354)</f>
        <v>45991.59445</v>
      </c>
      <c r="C107" s="3" t="str">
        <f>IFERROR(__xludf.DUMMYFUNCTION("""COMPUTED_VALUE"""),"ชั้นปีที่ 4")</f>
        <v>ชั้นปีที่ 4</v>
      </c>
      <c r="D107" s="3" t="str">
        <f>IFERROR(__xludf.DUMMYFUNCTION("""COMPUTED_VALUE"""),"6503737")</f>
        <v>6503737</v>
      </c>
      <c r="E107" s="3" t="str">
        <f>IFERROR(__xludf.DUMMYFUNCTION("""COMPUTED_VALUE"""),"47")</f>
        <v>47</v>
      </c>
      <c r="F107" s="3" t="str">
        <f>IFERROR(__xludf.DUMMYFUNCTION("""COMPUTED_VALUE"""),"นพอ.รุจิรดา  ศรีไชยกิจ")</f>
        <v>นพอ.รุจิรดา  ศรีไชยกิจ</v>
      </c>
      <c r="G10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07" s="3" t="str">
        <f>IFERROR(__xludf.DUMMYFUNCTION("""COMPUTED_VALUE"""),"จัดและตรวจสอบวันหมดอายุของเวชภัณฑ์")</f>
        <v>จัดและตรวจสอบวันหมดอายุของเวชภัณฑ์</v>
      </c>
      <c r="I107" s="3" t="str">
        <f>IFERROR(__xludf.DUMMYFUNCTION("""COMPUTED_VALUE"""),"รพ.สต.บางกะไห")</f>
        <v>รพ.สต.บางกะไห</v>
      </c>
      <c r="J107" s="12">
        <f>IFERROR(__xludf.DUMMYFUNCTION("""COMPUTED_VALUE"""),45960.0)</f>
        <v>45960</v>
      </c>
      <c r="K107" s="3" t="str">
        <f>IFERROR(__xludf.DUMMYFUNCTION("""COMPUTED_VALUE"""),"0900-1200")</f>
        <v>0900-1200</v>
      </c>
      <c r="L107" s="3">
        <f>IFERROR(__xludf.DUMMYFUNCTION("""COMPUTED_VALUE"""),3.0)</f>
        <v>3</v>
      </c>
      <c r="M107" s="3" t="str">
        <f>IFERROR(__xludf.DUMMYFUNCTION("""COMPUTED_VALUE"""),"นางรัตติกาล  หงษ์ศิริ")</f>
        <v>นางรัตติกาล  หงษ์ศิริ</v>
      </c>
      <c r="N107" s="14" t="str">
        <f>IFERROR(__xludf.DUMMYFUNCTION("""COMPUTED_VALUE"""),"https://lh5.googleusercontent.com/d/1uFdwwzMGJbCJKphGjrjUWLngFR1Gt-Vw")</f>
        <v>https://lh5.googleusercontent.com/d/1uFdwwzMGJbCJKphGjrjUWLngFR1Gt-Vw</v>
      </c>
      <c r="O107" s="14" t="str">
        <f>IFERROR(__xludf.DUMMYFUNCTION("""COMPUTED_VALUE"""),"https://drive.google.com/file/d/1zV0FVX_nFggMOnQc13NSMt-_XU-lkuty/view?usp=drivesdk")</f>
        <v>https://drive.google.com/file/d/1zV0FVX_nFggMOnQc13NSMt-_XU-lkuty/view?usp=drivesdk</v>
      </c>
    </row>
    <row r="108">
      <c r="A108" s="3">
        <f>IFERROR(__xludf.DUMMYFUNCTION("""COMPUTED_VALUE"""),599.0)</f>
        <v>599</v>
      </c>
      <c r="B108" s="11">
        <f>IFERROR(__xludf.DUMMYFUNCTION("""COMPUTED_VALUE"""),45991.59742002315)</f>
        <v>45991.59742</v>
      </c>
      <c r="C108" s="3" t="str">
        <f>IFERROR(__xludf.DUMMYFUNCTION("""COMPUTED_VALUE"""),"ชั้นปีที่ 4")</f>
        <v>ชั้นปีที่ 4</v>
      </c>
      <c r="D108" s="3" t="str">
        <f>IFERROR(__xludf.DUMMYFUNCTION("""COMPUTED_VALUE"""),"6503733")</f>
        <v>6503733</v>
      </c>
      <c r="E108" s="3" t="str">
        <f>IFERROR(__xludf.DUMMYFUNCTION("""COMPUTED_VALUE"""),"43")</f>
        <v>43</v>
      </c>
      <c r="F108" s="3" t="str">
        <f>IFERROR(__xludf.DUMMYFUNCTION("""COMPUTED_VALUE"""),"นพอ.ภุมวดี พิมศรี")</f>
        <v>นพอ.ภุมวดี พิมศรี</v>
      </c>
      <c r="G108" s="3" t="str">
        <f>IFERROR(__xludf.DUMMYFUNCTION("""COMPUTED_VALUE"""),"งานฟรีทั่วไป")</f>
        <v>งานฟรีทั่วไป</v>
      </c>
      <c r="H108" s="3" t="str">
        <f>IFERROR(__xludf.DUMMYFUNCTION("""COMPUTED_VALUE"""),"ช่วยแม่ทำงานบ้าน")</f>
        <v>ช่วยแม่ทำงานบ้าน</v>
      </c>
      <c r="I108" s="3" t="str">
        <f>IFERROR(__xludf.DUMMYFUNCTION("""COMPUTED_VALUE"""),"บ้าน")</f>
        <v>บ้าน</v>
      </c>
      <c r="J108" s="12">
        <f>IFERROR(__xludf.DUMMYFUNCTION("""COMPUTED_VALUE"""),45990.0)</f>
        <v>45990</v>
      </c>
      <c r="K108" s="3" t="str">
        <f>IFERROR(__xludf.DUMMYFUNCTION("""COMPUTED_VALUE"""),"1600-1800")</f>
        <v>1600-1800</v>
      </c>
      <c r="L108" s="3">
        <f>IFERROR(__xludf.DUMMYFUNCTION("""COMPUTED_VALUE"""),2.0)</f>
        <v>2</v>
      </c>
      <c r="M108" s="3" t="str">
        <f>IFERROR(__xludf.DUMMYFUNCTION("""COMPUTED_VALUE"""),"นางอมรรัตน์ พิมศรี")</f>
        <v>นางอมรรัตน์ พิมศรี</v>
      </c>
      <c r="N108" s="14" t="str">
        <f>IFERROR(__xludf.DUMMYFUNCTION("""COMPUTED_VALUE"""),"https://lh5.googleusercontent.com/d/1WjRJnF66bAGME67L0Kzchb2EPN05DhsN")</f>
        <v>https://lh5.googleusercontent.com/d/1WjRJnF66bAGME67L0Kzchb2EPN05DhsN</v>
      </c>
      <c r="O108" s="14" t="str">
        <f>IFERROR(__xludf.DUMMYFUNCTION("""COMPUTED_VALUE"""),"https://drive.google.com/file/d/14mDFHbeBXy94_g7mKHjNgH2mkhck1EiX/view?usp=drivesdk")</f>
        <v>https://drive.google.com/file/d/14mDFHbeBXy94_g7mKHjNgH2mkhck1EiX/view?usp=drivesdk</v>
      </c>
    </row>
    <row r="109">
      <c r="A109" s="3">
        <f>IFERROR(__xludf.DUMMYFUNCTION("""COMPUTED_VALUE"""),603.0)</f>
        <v>603</v>
      </c>
      <c r="B109" s="11">
        <f>IFERROR(__xludf.DUMMYFUNCTION("""COMPUTED_VALUE"""),45991.604118854164)</f>
        <v>45991.60412</v>
      </c>
      <c r="C109" s="3" t="str">
        <f>IFERROR(__xludf.DUMMYFUNCTION("""COMPUTED_VALUE"""),"ชั้นปีที่ 4")</f>
        <v>ชั้นปีที่ 4</v>
      </c>
      <c r="D109" s="3" t="str">
        <f>IFERROR(__xludf.DUMMYFUNCTION("""COMPUTED_VALUE"""),"6503733")</f>
        <v>6503733</v>
      </c>
      <c r="E109" s="3" t="str">
        <f>IFERROR(__xludf.DUMMYFUNCTION("""COMPUTED_VALUE"""),"43")</f>
        <v>43</v>
      </c>
      <c r="F109" s="3" t="str">
        <f>IFERROR(__xludf.DUMMYFUNCTION("""COMPUTED_VALUE"""),"นพอ.ภุมวดี พิมศรี")</f>
        <v>นพอ.ภุมวดี พิมศรี</v>
      </c>
      <c r="G109" s="3" t="str">
        <f>IFERROR(__xludf.DUMMYFUNCTION("""COMPUTED_VALUE"""),"ทำนุบำรุงศาสนสถาน")</f>
        <v>ทำนุบำรุงศาสนสถาน</v>
      </c>
      <c r="H109" s="3" t="str">
        <f>IFERROR(__xludf.DUMMYFUNCTION("""COMPUTED_VALUE"""),"แยกข้าวสารอาหารแห้ง")</f>
        <v>แยกข้าวสารอาหารแห้ง</v>
      </c>
      <c r="I109" s="3" t="str">
        <f>IFERROR(__xludf.DUMMYFUNCTION("""COMPUTED_VALUE"""),"วัดทดราษฎร์เจริญมณีฤทธิ์")</f>
        <v>วัดทดราษฎร์เจริญมณีฤทธิ์</v>
      </c>
      <c r="J109" s="12">
        <f>IFERROR(__xludf.DUMMYFUNCTION("""COMPUTED_VALUE"""),45943.0)</f>
        <v>45943</v>
      </c>
      <c r="K109" s="3" t="str">
        <f>IFERROR(__xludf.DUMMYFUNCTION("""COMPUTED_VALUE"""),"0700-1100")</f>
        <v>0700-1100</v>
      </c>
      <c r="L109" s="3">
        <f>IFERROR(__xludf.DUMMYFUNCTION("""COMPUTED_VALUE"""),4.0)</f>
        <v>4</v>
      </c>
      <c r="M109" s="3" t="str">
        <f>IFERROR(__xludf.DUMMYFUNCTION("""COMPUTED_VALUE"""),"นางสาววันวิสา ดำรงมุ่งกิจ")</f>
        <v>นางสาววันวิสา ดำรงมุ่งกิจ</v>
      </c>
      <c r="N109" s="14" t="str">
        <f>IFERROR(__xludf.DUMMYFUNCTION("""COMPUTED_VALUE"""),"https://lh5.googleusercontent.com/d/1wJAKzf96KzgHfD2eJWWnuAXo0SvGB0wC")</f>
        <v>https://lh5.googleusercontent.com/d/1wJAKzf96KzgHfD2eJWWnuAXo0SvGB0wC</v>
      </c>
      <c r="O109" s="14" t="str">
        <f>IFERROR(__xludf.DUMMYFUNCTION("""COMPUTED_VALUE"""),"https://drive.google.com/file/d/1s-m2yuxVTtdoNwtWyTB6gYwcLmUN5vp8/view?usp=drivesdk")</f>
        <v>https://drive.google.com/file/d/1s-m2yuxVTtdoNwtWyTB6gYwcLmUN5vp8/view?usp=drivesdk</v>
      </c>
    </row>
    <row r="110">
      <c r="A110" s="3">
        <f>IFERROR(__xludf.DUMMYFUNCTION("""COMPUTED_VALUE"""),604.0)</f>
        <v>604</v>
      </c>
      <c r="B110" s="11">
        <f>IFERROR(__xludf.DUMMYFUNCTION("""COMPUTED_VALUE"""),45991.605683009264)</f>
        <v>45991.60568</v>
      </c>
      <c r="C110" s="3" t="str">
        <f>IFERROR(__xludf.DUMMYFUNCTION("""COMPUTED_VALUE"""),"ชั้นปีที่ 4")</f>
        <v>ชั้นปีที่ 4</v>
      </c>
      <c r="D110" s="3" t="str">
        <f>IFERROR(__xludf.DUMMYFUNCTION("""COMPUTED_VALUE"""),"6503733")</f>
        <v>6503733</v>
      </c>
      <c r="E110" s="3" t="str">
        <f>IFERROR(__xludf.DUMMYFUNCTION("""COMPUTED_VALUE"""),"43")</f>
        <v>43</v>
      </c>
      <c r="F110" s="3" t="str">
        <f>IFERROR(__xludf.DUMMYFUNCTION("""COMPUTED_VALUE"""),"นพอ.ภุมวดี พิมศรี")</f>
        <v>นพอ.ภุมวดี พิมศรี</v>
      </c>
      <c r="G110" s="3" t="str">
        <f>IFERROR(__xludf.DUMMYFUNCTION("""COMPUTED_VALUE"""),"ทำนุบำรุงศาสนสถาน")</f>
        <v>ทำนุบำรุงศาสนสถาน</v>
      </c>
      <c r="H110" s="3" t="str">
        <f>IFERROR(__xludf.DUMMYFUNCTION("""COMPUTED_VALUE"""),"ทำบุญตักบาตรข้าวสารอาหารแห้ง")</f>
        <v>ทำบุญตักบาตรข้าวสารอาหารแห้ง</v>
      </c>
      <c r="I110" s="3" t="str">
        <f>IFERROR(__xludf.DUMMYFUNCTION("""COMPUTED_VALUE"""),"วัดทดราษฎร์เจริญมณีฤทธิ์")</f>
        <v>วัดทดราษฎร์เจริญมณีฤทธิ์</v>
      </c>
      <c r="J110" s="12">
        <f>IFERROR(__xludf.DUMMYFUNCTION("""COMPUTED_VALUE"""),45943.0)</f>
        <v>45943</v>
      </c>
      <c r="K110" s="3" t="str">
        <f>IFERROR(__xludf.DUMMYFUNCTION("""COMPUTED_VALUE"""),"0700-1100")</f>
        <v>0700-1100</v>
      </c>
      <c r="L110" s="3">
        <f>IFERROR(__xludf.DUMMYFUNCTION("""COMPUTED_VALUE"""),4.0)</f>
        <v>4</v>
      </c>
      <c r="M110" s="3" t="str">
        <f>IFERROR(__xludf.DUMMYFUNCTION("""COMPUTED_VALUE"""),"นางสาววันวิสา ดำรงมุ่งกิจ")</f>
        <v>นางสาววันวิสา ดำรงมุ่งกิจ</v>
      </c>
      <c r="N110" s="14" t="str">
        <f>IFERROR(__xludf.DUMMYFUNCTION("""COMPUTED_VALUE"""),"https://lh5.googleusercontent.com/d/1gkNmst57XiHEbEwgQMwxUZRfzKIKx4hg")</f>
        <v>https://lh5.googleusercontent.com/d/1gkNmst57XiHEbEwgQMwxUZRfzKIKx4hg</v>
      </c>
      <c r="O110" s="14" t="str">
        <f>IFERROR(__xludf.DUMMYFUNCTION("""COMPUTED_VALUE"""),"https://drive.google.com/file/d/1zWBlcA7XW3ZSiiLzj7LwU2K8ScLWVC3c/view?usp=drivesdk")</f>
        <v>https://drive.google.com/file/d/1zWBlcA7XW3ZSiiLzj7LwU2K8ScLWVC3c/view?usp=drivesdk</v>
      </c>
    </row>
    <row r="111">
      <c r="A111" s="3">
        <f>IFERROR(__xludf.DUMMYFUNCTION("""COMPUTED_VALUE"""),621.0)</f>
        <v>621</v>
      </c>
      <c r="B111" s="11">
        <f>IFERROR(__xludf.DUMMYFUNCTION("""COMPUTED_VALUE"""),45991.63368579861)</f>
        <v>45991.63369</v>
      </c>
      <c r="C111" s="3" t="str">
        <f>IFERROR(__xludf.DUMMYFUNCTION("""COMPUTED_VALUE"""),"ชั้นปีที่ 4")</f>
        <v>ชั้นปีที่ 4</v>
      </c>
      <c r="D111" s="3" t="str">
        <f>IFERROR(__xludf.DUMMYFUNCTION("""COMPUTED_VALUE"""),"6503742")</f>
        <v>6503742</v>
      </c>
      <c r="E111" s="3" t="str">
        <f>IFERROR(__xludf.DUMMYFUNCTION("""COMPUTED_VALUE"""),"52")</f>
        <v>52</v>
      </c>
      <c r="F111" s="3" t="str">
        <f>IFERROR(__xludf.DUMMYFUNCTION("""COMPUTED_VALUE"""),"นพอ.วลัญช์ มานิตย์")</f>
        <v>นพอ.วลัญช์ มานิตย์</v>
      </c>
      <c r="G11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11" s="3" t="str">
        <f>IFERROR(__xludf.DUMMYFUNCTION("""COMPUTED_VALUE"""),"ทำกระทฃ")</f>
        <v>ทำกระทฃ</v>
      </c>
      <c r="I111" s="3" t="str">
        <f>IFERROR(__xludf.DUMMYFUNCTION("""COMPUTED_VALUE"""),"วัดหนามแดง ฉะเชิงเทรา")</f>
        <v>วัดหนามแดง ฉะเชิงเทรา</v>
      </c>
      <c r="J111" s="12">
        <f>IFERROR(__xludf.DUMMYFUNCTION("""COMPUTED_VALUE"""),45966.0)</f>
        <v>45966</v>
      </c>
      <c r="K111" s="3" t="str">
        <f>IFERROR(__xludf.DUMMYFUNCTION("""COMPUTED_VALUE"""),"0800-1200")</f>
        <v>0800-1200</v>
      </c>
      <c r="L111" s="3">
        <f>IFERROR(__xludf.DUMMYFUNCTION("""COMPUTED_VALUE"""),4.0)</f>
        <v>4</v>
      </c>
      <c r="M111" s="3" t="str">
        <f>IFERROR(__xludf.DUMMYFUNCTION("""COMPUTED_VALUE"""),"น.ท.หญิง ดร.ภัทรมน ทับสูงเนิน")</f>
        <v>น.ท.หญิง ดร.ภัทรมน ทับสูงเนิน</v>
      </c>
      <c r="N111" s="14" t="str">
        <f>IFERROR(__xludf.DUMMYFUNCTION("""COMPUTED_VALUE"""),"https://lh5.googleusercontent.com/d/1dM7caV8pQz0sipWGUPu9WCvlgY5ZeWvX")</f>
        <v>https://lh5.googleusercontent.com/d/1dM7caV8pQz0sipWGUPu9WCvlgY5ZeWvX</v>
      </c>
      <c r="O111" s="14" t="str">
        <f>IFERROR(__xludf.DUMMYFUNCTION("""COMPUTED_VALUE"""),"https://drive.google.com/file/d/1V9tH12n2dkGUPNwNI1n08sXmW5o2XBQa/view?usp=drivesdk")</f>
        <v>https://drive.google.com/file/d/1V9tH12n2dkGUPNwNI1n08sXmW5o2XBQa/view?usp=drivesdk</v>
      </c>
    </row>
    <row r="112">
      <c r="A112" s="3">
        <f>IFERROR(__xludf.DUMMYFUNCTION("""COMPUTED_VALUE"""),624.0)</f>
        <v>624</v>
      </c>
      <c r="B112" s="11">
        <f>IFERROR(__xludf.DUMMYFUNCTION("""COMPUTED_VALUE"""),45991.63688645833)</f>
        <v>45991.63689</v>
      </c>
      <c r="C112" s="3" t="str">
        <f>IFERROR(__xludf.DUMMYFUNCTION("""COMPUTED_VALUE"""),"ชั้นปีที่ 4")</f>
        <v>ชั้นปีที่ 4</v>
      </c>
      <c r="D112" s="3" t="str">
        <f>IFERROR(__xludf.DUMMYFUNCTION("""COMPUTED_VALUE"""),"6503742")</f>
        <v>6503742</v>
      </c>
      <c r="E112" s="3" t="str">
        <f>IFERROR(__xludf.DUMMYFUNCTION("""COMPUTED_VALUE"""),"52")</f>
        <v>52</v>
      </c>
      <c r="F112" s="3" t="str">
        <f>IFERROR(__xludf.DUMMYFUNCTION("""COMPUTED_VALUE"""),"นพอ.วลัญช์ มานิตย์")</f>
        <v>นพอ.วลัญช์ มานิตย์</v>
      </c>
      <c r="G112" s="3" t="str">
        <f>IFERROR(__xludf.DUMMYFUNCTION("""COMPUTED_VALUE"""),"ทำนุบำรุงศาสนสถาน")</f>
        <v>ทำนุบำรุงศาสนสถาน</v>
      </c>
      <c r="H112" s="3" t="str">
        <f>IFERROR(__xludf.DUMMYFUNCTION("""COMPUTED_VALUE"""),"ช่วยงาน ทอดกฐินวัดขวัญสะอาด ")</f>
        <v>ช่วยงาน ทอดกฐินวัดขวัญสะอาด </v>
      </c>
      <c r="I112" s="3" t="str">
        <f>IFERROR(__xludf.DUMMYFUNCTION("""COMPUTED_VALUE"""),"วัดขวัญสะอาด ")</f>
        <v>วัดขวัญสะอาด </v>
      </c>
      <c r="J112" s="12">
        <f>IFERROR(__xludf.DUMMYFUNCTION("""COMPUTED_VALUE"""),45963.0)</f>
        <v>45963</v>
      </c>
      <c r="K112" s="3" t="str">
        <f>IFERROR(__xludf.DUMMYFUNCTION("""COMPUTED_VALUE"""),"0800-1200")</f>
        <v>0800-1200</v>
      </c>
      <c r="L112" s="3">
        <f>IFERROR(__xludf.DUMMYFUNCTION("""COMPUTED_VALUE"""),4.0)</f>
        <v>4</v>
      </c>
      <c r="M112" s="3" t="str">
        <f>IFERROR(__xludf.DUMMYFUNCTION("""COMPUTED_VALUE"""),"น.ท.หญิง ดร. ภัทรมน ทับสูงเนิน")</f>
        <v>น.ท.หญิง ดร. ภัทรมน ทับสูงเนิน</v>
      </c>
      <c r="N112" s="3"/>
      <c r="O112" s="3"/>
    </row>
    <row r="113">
      <c r="A113" s="3">
        <f>IFERROR(__xludf.DUMMYFUNCTION("""COMPUTED_VALUE"""),649.0)</f>
        <v>649</v>
      </c>
      <c r="B113" s="11">
        <f>IFERROR(__xludf.DUMMYFUNCTION("""COMPUTED_VALUE"""),45991.71393590277)</f>
        <v>45991.71394</v>
      </c>
      <c r="C113" s="3" t="str">
        <f>IFERROR(__xludf.DUMMYFUNCTION("""COMPUTED_VALUE"""),"ชั้นปีที่ 4")</f>
        <v>ชั้นปีที่ 4</v>
      </c>
      <c r="D113" s="3" t="str">
        <f>IFERROR(__xludf.DUMMYFUNCTION("""COMPUTED_VALUE"""),"6503745")</f>
        <v>6503745</v>
      </c>
      <c r="E113" s="3" t="str">
        <f>IFERROR(__xludf.DUMMYFUNCTION("""COMPUTED_VALUE"""),"55")</f>
        <v>55</v>
      </c>
      <c r="F113" s="3" t="str">
        <f>IFERROR(__xludf.DUMMYFUNCTION("""COMPUTED_VALUE"""),"นพอ.ศิริขวัญ วามะลุน")</f>
        <v>นพอ.ศิริขวัญ วามะลุน</v>
      </c>
      <c r="G11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13" s="3" t="str">
        <f>IFERROR(__xludf.DUMMYFUNCTION("""COMPUTED_VALUE"""),"บริจาคโลหิต")</f>
        <v>บริจาคโลหิต</v>
      </c>
      <c r="I113" s="3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113" s="12">
        <f>IFERROR(__xludf.DUMMYFUNCTION("""COMPUTED_VALUE"""),45990.0)</f>
        <v>45990</v>
      </c>
      <c r="K113" s="3" t="str">
        <f>IFERROR(__xludf.DUMMYFUNCTION("""COMPUTED_VALUE"""),"0800-1600")</f>
        <v>0800-1600</v>
      </c>
      <c r="L113" s="3">
        <f>IFERROR(__xludf.DUMMYFUNCTION("""COMPUTED_VALUE"""),8.0)</f>
        <v>8</v>
      </c>
      <c r="M113" s="3" t="str">
        <f>IFERROR(__xludf.DUMMYFUNCTION("""COMPUTED_VALUE"""),"นางนิภา วามะลุน")</f>
        <v>นางนิภา วามะลุน</v>
      </c>
      <c r="N113" s="14" t="str">
        <f>IFERROR(__xludf.DUMMYFUNCTION("""COMPUTED_VALUE"""),"https://lh5.googleusercontent.com/d/16nbQFAaNl0VoZW9KkDLDSvVagu0JYvjO")</f>
        <v>https://lh5.googleusercontent.com/d/16nbQFAaNl0VoZW9KkDLDSvVagu0JYvjO</v>
      </c>
      <c r="O113" s="14" t="str">
        <f>IFERROR(__xludf.DUMMYFUNCTION("""COMPUTED_VALUE"""),"https://drive.google.com/file/d/1AKBWpy9FmsY6DmTRJBv9UaSWWlpx4RzQ/view?usp=drivesdk")</f>
        <v>https://drive.google.com/file/d/1AKBWpy9FmsY6DmTRJBv9UaSWWlpx4RzQ/view?usp=drivesdk</v>
      </c>
    </row>
    <row r="114">
      <c r="A114" s="3">
        <f>IFERROR(__xludf.DUMMYFUNCTION("""COMPUTED_VALUE"""),651.0)</f>
        <v>651</v>
      </c>
      <c r="B114" s="11">
        <f>IFERROR(__xludf.DUMMYFUNCTION("""COMPUTED_VALUE"""),45991.714941712955)</f>
        <v>45991.71494</v>
      </c>
      <c r="C114" s="3" t="str">
        <f>IFERROR(__xludf.DUMMYFUNCTION("""COMPUTED_VALUE"""),"ชั้นปีที่ 4")</f>
        <v>ชั้นปีที่ 4</v>
      </c>
      <c r="D114" s="3" t="str">
        <f>IFERROR(__xludf.DUMMYFUNCTION("""COMPUTED_VALUE"""),"6503734")</f>
        <v>6503734</v>
      </c>
      <c r="E114" s="3" t="str">
        <f>IFERROR(__xludf.DUMMYFUNCTION("""COMPUTED_VALUE"""),"44")</f>
        <v>44</v>
      </c>
      <c r="F114" s="3" t="str">
        <f>IFERROR(__xludf.DUMMYFUNCTION("""COMPUTED_VALUE"""),"นพอ.มรกต จันทฤทธิ์")</f>
        <v>นพอ.มรกต จันทฤทธิ์</v>
      </c>
      <c r="G11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14" s="3" t="str">
        <f>IFERROR(__xludf.DUMMYFUNCTION("""COMPUTED_VALUE"""),"บริจาคโลหิต")</f>
        <v>บริจาคโลหิต</v>
      </c>
      <c r="I114" s="3" t="str">
        <f>IFERROR(__xludf.DUMMYFUNCTION("""COMPUTED_VALUE"""),"หน่วยรับบริจาคโลหิตเคลื่อนที่")</f>
        <v>หน่วยรับบริจาคโลหิตเคลื่อนที่</v>
      </c>
      <c r="J114" s="12">
        <f>IFERROR(__xludf.DUMMYFUNCTION("""COMPUTED_VALUE"""),45879.0)</f>
        <v>45879</v>
      </c>
      <c r="K114" s="3" t="str">
        <f>IFERROR(__xludf.DUMMYFUNCTION("""COMPUTED_VALUE"""),"0900-1700")</f>
        <v>0900-1700</v>
      </c>
      <c r="L114" s="3">
        <f>IFERROR(__xludf.DUMMYFUNCTION("""COMPUTED_VALUE"""),8.0)</f>
        <v>8</v>
      </c>
      <c r="M114" s="3" t="str">
        <f>IFERROR(__xludf.DUMMYFUNCTION("""COMPUTED_VALUE"""),"ร.อ.อนุชิต ทำจะดี")</f>
        <v>ร.อ.อนุชิต ทำจะดี</v>
      </c>
      <c r="N114" s="14" t="str">
        <f>IFERROR(__xludf.DUMMYFUNCTION("""COMPUTED_VALUE"""),"https://lh5.googleusercontent.com/d/1cJBQU5Yg5iTc0IquAaWQ9JDkVM7ZjoiR")</f>
        <v>https://lh5.googleusercontent.com/d/1cJBQU5Yg5iTc0IquAaWQ9JDkVM7ZjoiR</v>
      </c>
      <c r="O114" s="14" t="str">
        <f>IFERROR(__xludf.DUMMYFUNCTION("""COMPUTED_VALUE"""),"https://drive.google.com/file/d/1akWNdnDfJx4MmqFPnMHt7qFHsnUQNsJJ/view?usp=drivesdk")</f>
        <v>https://drive.google.com/file/d/1akWNdnDfJx4MmqFPnMHt7qFHsnUQNsJJ/view?usp=drivesdk</v>
      </c>
    </row>
    <row r="115">
      <c r="A115" s="3">
        <f>IFERROR(__xludf.DUMMYFUNCTION("""COMPUTED_VALUE"""),654.0)</f>
        <v>654</v>
      </c>
      <c r="B115" s="11">
        <f>IFERROR(__xludf.DUMMYFUNCTION("""COMPUTED_VALUE"""),45991.71703097222)</f>
        <v>45991.71703</v>
      </c>
      <c r="C115" s="3" t="str">
        <f>IFERROR(__xludf.DUMMYFUNCTION("""COMPUTED_VALUE"""),"ชั้นปีที่ 4")</f>
        <v>ชั้นปีที่ 4</v>
      </c>
      <c r="D115" s="3" t="str">
        <f>IFERROR(__xludf.DUMMYFUNCTION("""COMPUTED_VALUE"""),"6503742")</f>
        <v>6503742</v>
      </c>
      <c r="E115" s="3" t="str">
        <f>IFERROR(__xludf.DUMMYFUNCTION("""COMPUTED_VALUE"""),"52")</f>
        <v>52</v>
      </c>
      <c r="F115" s="3" t="str">
        <f>IFERROR(__xludf.DUMMYFUNCTION("""COMPUTED_VALUE"""),"นพอ.วลัญช์ มานิตย์")</f>
        <v>นพอ.วลัญช์ มานิตย์</v>
      </c>
      <c r="G115" s="3" t="str">
        <f>IFERROR(__xludf.DUMMYFUNCTION("""COMPUTED_VALUE"""),"ทำนุบำรุงศาสนสถาน")</f>
        <v>ทำนุบำรุงศาสนสถาน</v>
      </c>
      <c r="H115" s="3" t="str">
        <f>IFERROR(__xludf.DUMMYFUNCTION("""COMPUTED_VALUE"""),"ช่วยงานทอดกฐินวัดหนามแด")</f>
        <v>ช่วยงานทอดกฐินวัดหนามแด</v>
      </c>
      <c r="I115" s="3" t="str">
        <f>IFERROR(__xludf.DUMMYFUNCTION("""COMPUTED_VALUE"""),"วัดหนามแดง ฉะเชิงเทรา")</f>
        <v>วัดหนามแดง ฉะเชิงเทรา</v>
      </c>
      <c r="J115" s="12">
        <f>IFERROR(__xludf.DUMMYFUNCTION("""COMPUTED_VALUE"""),45942.0)</f>
        <v>45942</v>
      </c>
      <c r="K115" s="3" t="str">
        <f>IFERROR(__xludf.DUMMYFUNCTION("""COMPUTED_VALUE"""),"0800-1200")</f>
        <v>0800-1200</v>
      </c>
      <c r="L115" s="3">
        <f>IFERROR(__xludf.DUMMYFUNCTION("""COMPUTED_VALUE"""),4.0)</f>
        <v>4</v>
      </c>
      <c r="M115" s="3" t="str">
        <f>IFERROR(__xludf.DUMMYFUNCTION("""COMPUTED_VALUE"""),"น.ท.หญิง ดร ภัทรมน ทับสูงเนิน")</f>
        <v>น.ท.หญิง ดร ภัทรมน ทับสูงเนิน</v>
      </c>
      <c r="N115" s="14" t="str">
        <f>IFERROR(__xludf.DUMMYFUNCTION("""COMPUTED_VALUE"""),"https://lh5.googleusercontent.com/d/1TYRCkvJ6gKoxOLCnz3tpyZLhvP1Lzvqt")</f>
        <v>https://lh5.googleusercontent.com/d/1TYRCkvJ6gKoxOLCnz3tpyZLhvP1Lzvqt</v>
      </c>
      <c r="O115" s="3"/>
    </row>
    <row r="116">
      <c r="A116" s="3">
        <f>IFERROR(__xludf.DUMMYFUNCTION("""COMPUTED_VALUE"""),655.0)</f>
        <v>655</v>
      </c>
      <c r="B116" s="11">
        <f>IFERROR(__xludf.DUMMYFUNCTION("""COMPUTED_VALUE"""),45991.71707416667)</f>
        <v>45991.71707</v>
      </c>
      <c r="C116" s="3" t="str">
        <f>IFERROR(__xludf.DUMMYFUNCTION("""COMPUTED_VALUE"""),"ชั้นปีที่ 4")</f>
        <v>ชั้นปีที่ 4</v>
      </c>
      <c r="D116" s="3" t="str">
        <f>IFERROR(__xludf.DUMMYFUNCTION("""COMPUTED_VALUE"""),"6503747")</f>
        <v>6503747</v>
      </c>
      <c r="E116" s="3" t="str">
        <f>IFERROR(__xludf.DUMMYFUNCTION("""COMPUTED_VALUE"""),"57")</f>
        <v>57</v>
      </c>
      <c r="F116" s="3" t="str">
        <f>IFERROR(__xludf.DUMMYFUNCTION("""COMPUTED_VALUE"""),"นพอ.ศุภิสรา สุพรรณนอก")</f>
        <v>นพอ.ศุภิสรา สุพรรณนอก</v>
      </c>
      <c r="G1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6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16" s="3" t="str">
        <f>IFERROR(__xludf.DUMMYFUNCTION("""COMPUTED_VALUE"""),"สโมสรทหารอากาศชั้นประทวน")</f>
        <v>สโมสรทหารอากาศชั้นประทวน</v>
      </c>
      <c r="J116" s="12">
        <f>IFERROR(__xludf.DUMMYFUNCTION("""COMPUTED_VALUE"""),45854.0)</f>
        <v>45854</v>
      </c>
      <c r="K116" s="3" t="str">
        <f>IFERROR(__xludf.DUMMYFUNCTION("""COMPUTED_VALUE"""),"0700-1300")</f>
        <v>0700-1300</v>
      </c>
      <c r="L116" s="3">
        <f>IFERROR(__xludf.DUMMYFUNCTION("""COMPUTED_VALUE"""),6.0)</f>
        <v>6</v>
      </c>
      <c r="M116" s="3" t="str">
        <f>IFERROR(__xludf.DUMMYFUNCTION("""COMPUTED_VALUE"""),"น.ต.หญิง ตวงทิพย์ ลดาวัลย์")</f>
        <v>น.ต.หญิง ตวงทิพย์ ลดาวัลย์</v>
      </c>
      <c r="N116" s="14" t="str">
        <f>IFERROR(__xludf.DUMMYFUNCTION("""COMPUTED_VALUE"""),"https://lh5.googleusercontent.com/d/1Z8D9Jywgootc7pDAgEVuHGgaCJnnFMYL")</f>
        <v>https://lh5.googleusercontent.com/d/1Z8D9Jywgootc7pDAgEVuHGgaCJnnFMYL</v>
      </c>
      <c r="O116" s="3"/>
    </row>
    <row r="117">
      <c r="A117" s="3">
        <f>IFERROR(__xludf.DUMMYFUNCTION("""COMPUTED_VALUE"""),659.0)</f>
        <v>659</v>
      </c>
      <c r="B117" s="11">
        <f>IFERROR(__xludf.DUMMYFUNCTION("""COMPUTED_VALUE"""),45991.71925324074)</f>
        <v>45991.71925</v>
      </c>
      <c r="C117" s="3" t="str">
        <f>IFERROR(__xludf.DUMMYFUNCTION("""COMPUTED_VALUE"""),"ชั้นปีที่ 4")</f>
        <v>ชั้นปีที่ 4</v>
      </c>
      <c r="D117" s="3" t="str">
        <f>IFERROR(__xludf.DUMMYFUNCTION("""COMPUTED_VALUE"""),"6503734")</f>
        <v>6503734</v>
      </c>
      <c r="E117" s="3" t="str">
        <f>IFERROR(__xludf.DUMMYFUNCTION("""COMPUTED_VALUE"""),"44")</f>
        <v>44</v>
      </c>
      <c r="F117" s="3" t="str">
        <f>IFERROR(__xludf.DUMMYFUNCTION("""COMPUTED_VALUE"""),"นพอ.มรกต จันทฤทธิ์")</f>
        <v>นพอ.มรกต จันทฤทธิ์</v>
      </c>
      <c r="G117" s="3" t="str">
        <f>IFERROR(__xludf.DUMMYFUNCTION("""COMPUTED_VALUE"""),"ช่วยเหลืองานภายใน วพอ.")</f>
        <v>ช่วยเหลืองานภายใน วพอ.</v>
      </c>
      <c r="H117" s="3" t="str">
        <f>IFERROR(__xludf.DUMMYFUNCTION("""COMPUTED_VALUE"""),"ขนของหอชาย")</f>
        <v>ขนของหอชาย</v>
      </c>
      <c r="I117" s="3" t="str">
        <f>IFERROR(__xludf.DUMMYFUNCTION("""COMPUTED_VALUE"""),"อาคารศูนย์การเรียนรู้")</f>
        <v>อาคารศูนย์การเรียนรู้</v>
      </c>
      <c r="J117" s="12">
        <f>IFERROR(__xludf.DUMMYFUNCTION("""COMPUTED_VALUE"""),45876.0)</f>
        <v>45876</v>
      </c>
      <c r="K117" s="3" t="str">
        <f>IFERROR(__xludf.DUMMYFUNCTION("""COMPUTED_VALUE"""),"1800-2000")</f>
        <v>1800-2000</v>
      </c>
      <c r="L117" s="3">
        <f>IFERROR(__xludf.DUMMYFUNCTION("""COMPUTED_VALUE"""),2.0)</f>
        <v>2</v>
      </c>
      <c r="M117" s="3" t="str">
        <f>IFERROR(__xludf.DUMMYFUNCTION("""COMPUTED_VALUE"""),"ร.อ.อนุชิต ทำจะดี")</f>
        <v>ร.อ.อนุชิต ทำจะดี</v>
      </c>
      <c r="N117" s="14" t="str">
        <f>IFERROR(__xludf.DUMMYFUNCTION("""COMPUTED_VALUE"""),"https://lh5.googleusercontent.com/d/1ntaS2whOCNZ86MlLtqJ6bX8RBPB9H2BP")</f>
        <v>https://lh5.googleusercontent.com/d/1ntaS2whOCNZ86MlLtqJ6bX8RBPB9H2BP</v>
      </c>
      <c r="O117" s="14" t="str">
        <f>IFERROR(__xludf.DUMMYFUNCTION("""COMPUTED_VALUE"""),"https://drive.google.com/file/d/1_lf-_B4hRi5Kz9H7IGbI-QieFAWHp_WN/view?usp=drivesdk")</f>
        <v>https://drive.google.com/file/d/1_lf-_B4hRi5Kz9H7IGbI-QieFAWHp_WN/view?usp=drivesdk</v>
      </c>
    </row>
    <row r="118">
      <c r="A118" s="3">
        <f>IFERROR(__xludf.DUMMYFUNCTION("""COMPUTED_VALUE"""),661.0)</f>
        <v>661</v>
      </c>
      <c r="B118" s="11">
        <f>IFERROR(__xludf.DUMMYFUNCTION("""COMPUTED_VALUE"""),45991.72379640047)</f>
        <v>45991.7238</v>
      </c>
      <c r="C118" s="3" t="str">
        <f>IFERROR(__xludf.DUMMYFUNCTION("""COMPUTED_VALUE"""),"ชั้นปีที่ 4")</f>
        <v>ชั้นปีที่ 4</v>
      </c>
      <c r="D118" s="3" t="str">
        <f>IFERROR(__xludf.DUMMYFUNCTION("""COMPUTED_VALUE"""),"6503734")</f>
        <v>6503734</v>
      </c>
      <c r="E118" s="3" t="str">
        <f>IFERROR(__xludf.DUMMYFUNCTION("""COMPUTED_VALUE"""),"44")</f>
        <v>44</v>
      </c>
      <c r="F118" s="3" t="str">
        <f>IFERROR(__xludf.DUMMYFUNCTION("""COMPUTED_VALUE"""),"นพอ.มรกต จันทฤทธิ์")</f>
        <v>นพอ.มรกต จันทฤทธิ์</v>
      </c>
      <c r="G1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8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18" s="3" t="str">
        <f>IFERROR(__xludf.DUMMYFUNCTION("""COMPUTED_VALUE"""),"สโมสรทหารอากาศชั้นประทวน")</f>
        <v>สโมสรทหารอากาศชั้นประทวน</v>
      </c>
      <c r="J118" s="12">
        <f>IFERROR(__xludf.DUMMYFUNCTION("""COMPUTED_VALUE"""),45854.0)</f>
        <v>45854</v>
      </c>
      <c r="K118" s="3" t="str">
        <f>IFERROR(__xludf.DUMMYFUNCTION("""COMPUTED_VALUE"""),"0700-1300")</f>
        <v>0700-1300</v>
      </c>
      <c r="L118" s="3">
        <f>IFERROR(__xludf.DUMMYFUNCTION("""COMPUTED_VALUE"""),6.0)</f>
        <v>6</v>
      </c>
      <c r="M118" s="3" t="str">
        <f>IFERROR(__xludf.DUMMYFUNCTION("""COMPUTED_VALUE"""),"น.ต.หญิง ตวงทิพย์ ลดาวัลย์")</f>
        <v>น.ต.หญิง ตวงทิพย์ ลดาวัลย์</v>
      </c>
      <c r="N118" s="14" t="str">
        <f>IFERROR(__xludf.DUMMYFUNCTION("""COMPUTED_VALUE"""),"https://lh5.googleusercontent.com/d/10r6Dku1HzDwaI6COqqAF7NJSHXlaHQAA")</f>
        <v>https://lh5.googleusercontent.com/d/10r6Dku1HzDwaI6COqqAF7NJSHXlaHQAA</v>
      </c>
      <c r="O118" s="14" t="str">
        <f>IFERROR(__xludf.DUMMYFUNCTION("""COMPUTED_VALUE"""),"https://drive.google.com/file/d/1FkwUFB646T5Gzn4Nx7gxZCKDtiYN6Ud-/view?usp=drivesdk")</f>
        <v>https://drive.google.com/file/d/1FkwUFB646T5Gzn4Nx7gxZCKDtiYN6Ud-/view?usp=drivesdk</v>
      </c>
    </row>
    <row r="119">
      <c r="A119" s="3">
        <f>IFERROR(__xludf.DUMMYFUNCTION("""COMPUTED_VALUE"""),662.0)</f>
        <v>662</v>
      </c>
      <c r="B119" s="11">
        <f>IFERROR(__xludf.DUMMYFUNCTION("""COMPUTED_VALUE"""),45991.72796888889)</f>
        <v>45991.72797</v>
      </c>
      <c r="C119" s="3" t="str">
        <f>IFERROR(__xludf.DUMMYFUNCTION("""COMPUTED_VALUE"""),"ชั้นปีที่ 4")</f>
        <v>ชั้นปีที่ 4</v>
      </c>
      <c r="D119" s="3" t="str">
        <f>IFERROR(__xludf.DUMMYFUNCTION("""COMPUTED_VALUE"""),"6503734")</f>
        <v>6503734</v>
      </c>
      <c r="E119" s="3" t="str">
        <f>IFERROR(__xludf.DUMMYFUNCTION("""COMPUTED_VALUE"""),"44")</f>
        <v>44</v>
      </c>
      <c r="F119" s="3" t="str">
        <f>IFERROR(__xludf.DUMMYFUNCTION("""COMPUTED_VALUE"""),"นพอ.มรกต จันทฤทธิ์")</f>
        <v>นพอ.มรกต จันทฤทธิ์</v>
      </c>
      <c r="G119" s="3" t="str">
        <f>IFERROR(__xludf.DUMMYFUNCTION("""COMPUTED_VALUE"""),"ทำนุบำรุงศาสนสถาน")</f>
        <v>ทำนุบำรุงศาสนสถาน</v>
      </c>
      <c r="H119" s="3" t="str">
        <f>IFERROR(__xludf.DUMMYFUNCTION("""COMPUTED_VALUE"""),"ร่วมกิจกรรมรับหลวงพ่อทางน้ำ")</f>
        <v>ร่วมกิจกรรมรับหลวงพ่อทางน้ำ</v>
      </c>
      <c r="I119" s="3" t="str">
        <f>IFERROR(__xludf.DUMMYFUNCTION("""COMPUTED_VALUE"""),"วัดสัมปทวน")</f>
        <v>วัดสัมปทวน</v>
      </c>
      <c r="J119" s="12">
        <f>IFERROR(__xludf.DUMMYFUNCTION("""COMPUTED_VALUE"""),45966.0)</f>
        <v>45966</v>
      </c>
      <c r="K119" s="3" t="str">
        <f>IFERROR(__xludf.DUMMYFUNCTION("""COMPUTED_VALUE"""),"0800-0900")</f>
        <v>0800-0900</v>
      </c>
      <c r="L119" s="3">
        <f>IFERROR(__xludf.DUMMYFUNCTION("""COMPUTED_VALUE"""),1.0)</f>
        <v>1</v>
      </c>
      <c r="M119" s="3" t="str">
        <f>IFERROR(__xludf.DUMMYFUNCTION("""COMPUTED_VALUE"""),"นายโสฬส จูเจริญ")</f>
        <v>นายโสฬส จูเจริญ</v>
      </c>
      <c r="N119" s="14" t="str">
        <f>IFERROR(__xludf.DUMMYFUNCTION("""COMPUTED_VALUE"""),"https://lh5.googleusercontent.com/d/1mL6b03wKwDGYZ0RDC-i2Z3yz9ybbFi7r")</f>
        <v>https://lh5.googleusercontent.com/d/1mL6b03wKwDGYZ0RDC-i2Z3yz9ybbFi7r</v>
      </c>
      <c r="O119" s="14" t="str">
        <f>IFERROR(__xludf.DUMMYFUNCTION("""COMPUTED_VALUE"""),"https://drive.google.com/file/d/1svOfDYoCG4sU5OchXM77BeJt5No6rUd0/view?usp=drivesdk")</f>
        <v>https://drive.google.com/file/d/1svOfDYoCG4sU5OchXM77BeJt5No6rUd0/view?usp=drivesdk</v>
      </c>
    </row>
    <row r="120">
      <c r="A120" s="3">
        <f>IFERROR(__xludf.DUMMYFUNCTION("""COMPUTED_VALUE"""),673.0)</f>
        <v>673</v>
      </c>
      <c r="B120" s="11">
        <f>IFERROR(__xludf.DUMMYFUNCTION("""COMPUTED_VALUE"""),45991.78527162037)</f>
        <v>45991.78527</v>
      </c>
      <c r="C120" s="3" t="str">
        <f>IFERROR(__xludf.DUMMYFUNCTION("""COMPUTED_VALUE"""),"ชั้นปีที่ 4")</f>
        <v>ชั้นปีที่ 4</v>
      </c>
      <c r="D120" s="3" t="str">
        <f>IFERROR(__xludf.DUMMYFUNCTION("""COMPUTED_VALUE"""),"6503733")</f>
        <v>6503733</v>
      </c>
      <c r="E120" s="3" t="str">
        <f>IFERROR(__xludf.DUMMYFUNCTION("""COMPUTED_VALUE"""),"43")</f>
        <v>43</v>
      </c>
      <c r="F120" s="3" t="str">
        <f>IFERROR(__xludf.DUMMYFUNCTION("""COMPUTED_VALUE"""),"นพอ.ภุมวดี พิมศรี")</f>
        <v>นพอ.ภุมวดี พิมศรี</v>
      </c>
      <c r="G120" s="3" t="str">
        <f>IFERROR(__xludf.DUMMYFUNCTION("""COMPUTED_VALUE"""),"งานฟรีทั่วไป")</f>
        <v>งานฟรีทั่วไป</v>
      </c>
      <c r="H120" s="3" t="str">
        <f>IFERROR(__xludf.DUMMYFUNCTION("""COMPUTED_VALUE"""),"ช่วยพ่อล้างรถ")</f>
        <v>ช่วยพ่อล้างรถ</v>
      </c>
      <c r="I120" s="3" t="str">
        <f>IFERROR(__xludf.DUMMYFUNCTION("""COMPUTED_VALUE"""),"บ้าน")</f>
        <v>บ้าน</v>
      </c>
      <c r="J120" s="12">
        <f>IFERROR(__xludf.DUMMYFUNCTION("""COMPUTED_VALUE"""),45983.0)</f>
        <v>45983</v>
      </c>
      <c r="K120" s="3" t="str">
        <f>IFERROR(__xludf.DUMMYFUNCTION("""COMPUTED_VALUE"""),"1600-1800")</f>
        <v>1600-1800</v>
      </c>
      <c r="L120" s="3">
        <f>IFERROR(__xludf.DUMMYFUNCTION("""COMPUTED_VALUE"""),2.0)</f>
        <v>2</v>
      </c>
      <c r="M120" s="3" t="str">
        <f>IFERROR(__xludf.DUMMYFUNCTION("""COMPUTED_VALUE"""),"พ.จ.อ.มงคล พิมศรี")</f>
        <v>พ.จ.อ.มงคล พิมศรี</v>
      </c>
      <c r="N120" s="14" t="str">
        <f>IFERROR(__xludf.DUMMYFUNCTION("""COMPUTED_VALUE"""),"https://lh5.googleusercontent.com/d/12tN49i_jpLyEXg50IgkojdtLH_KdGjjM")</f>
        <v>https://lh5.googleusercontent.com/d/12tN49i_jpLyEXg50IgkojdtLH_KdGjjM</v>
      </c>
      <c r="O120" s="14" t="str">
        <f>IFERROR(__xludf.DUMMYFUNCTION("""COMPUTED_VALUE"""),"https://drive.google.com/file/d/1dRngk6dG4bZjs-IU4x_bBYJh82Lpc64G/view?usp=drivesdk")</f>
        <v>https://drive.google.com/file/d/1dRngk6dG4bZjs-IU4x_bBYJh82Lpc64G/view?usp=drivesdk</v>
      </c>
    </row>
    <row r="121">
      <c r="A121" s="3">
        <f>IFERROR(__xludf.DUMMYFUNCTION("""COMPUTED_VALUE"""),694.0)</f>
        <v>694</v>
      </c>
      <c r="B121" s="11">
        <f>IFERROR(__xludf.DUMMYFUNCTION("""COMPUTED_VALUE"""),45991.79769396991)</f>
        <v>45991.79769</v>
      </c>
      <c r="C121" s="3" t="str">
        <f>IFERROR(__xludf.DUMMYFUNCTION("""COMPUTED_VALUE"""),"ชั้นปีที่ 4")</f>
        <v>ชั้นปีที่ 4</v>
      </c>
      <c r="D121" s="3" t="str">
        <f>IFERROR(__xludf.DUMMYFUNCTION("""COMPUTED_VALUE"""),"6503730")</f>
        <v>6503730</v>
      </c>
      <c r="E121" s="3" t="str">
        <f>IFERROR(__xludf.DUMMYFUNCTION("""COMPUTED_VALUE"""),"40")</f>
        <v>40</v>
      </c>
      <c r="F121" s="3" t="str">
        <f>IFERROR(__xludf.DUMMYFUNCTION("""COMPUTED_VALUE"""),"นพอ.พันธ์ทิพย์ แก้วดอนโมง")</f>
        <v>นพอ.พันธ์ทิพย์ แก้วดอนโมง</v>
      </c>
      <c r="G12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1" s="3" t="str">
        <f>IFERROR(__xludf.DUMMYFUNCTION("""COMPUTED_VALUE"""),"เข้าร่วมโครงการคัดกรองสุขภาพเชิงรุกกำลังพลทอ.")</f>
        <v>เข้าร่วมโครงการคัดกรองสุขภาพเชิงรุกกำลังพลทอ.</v>
      </c>
      <c r="I121" s="3" t="str">
        <f>IFERROR(__xludf.DUMMYFUNCTION("""COMPUTED_VALUE"""),"สโมสรทหารอากาศชั้นประทวน")</f>
        <v>สโมสรทหารอากาศชั้นประทวน</v>
      </c>
      <c r="J121" s="12">
        <f>IFERROR(__xludf.DUMMYFUNCTION("""COMPUTED_VALUE"""),45854.0)</f>
        <v>45854</v>
      </c>
      <c r="K121" s="3" t="str">
        <f>IFERROR(__xludf.DUMMYFUNCTION("""COMPUTED_VALUE"""),"0700-1300")</f>
        <v>0700-1300</v>
      </c>
      <c r="L121" s="3">
        <f>IFERROR(__xludf.DUMMYFUNCTION("""COMPUTED_VALUE"""),6.0)</f>
        <v>6</v>
      </c>
      <c r="M121" s="3" t="str">
        <f>IFERROR(__xludf.DUMMYFUNCTION("""COMPUTED_VALUE"""),"น.ต.หญิง ตวงทิพย์ ลดาวัลย์")</f>
        <v>น.ต.หญิง ตวงทิพย์ ลดาวัลย์</v>
      </c>
      <c r="N121" s="14" t="str">
        <f>IFERROR(__xludf.DUMMYFUNCTION("""COMPUTED_VALUE"""),"https://lh5.googleusercontent.com/d/1AqW07G33OoSFuWjZ4Gf1xAl7TsBy3eQt")</f>
        <v>https://lh5.googleusercontent.com/d/1AqW07G33OoSFuWjZ4Gf1xAl7TsBy3eQt</v>
      </c>
      <c r="O121" s="14" t="str">
        <f>IFERROR(__xludf.DUMMYFUNCTION("""COMPUTED_VALUE"""),"https://drive.google.com/file/d/1-83unL6VRF-EerXOdTKn8hOKuEXv6fN9/view?usp=drivesdk")</f>
        <v>https://drive.google.com/file/d/1-83unL6VRF-EerXOdTKn8hOKuEXv6fN9/view?usp=drivesdk</v>
      </c>
    </row>
    <row r="122">
      <c r="A122" s="3">
        <f>IFERROR(__xludf.DUMMYFUNCTION("""COMPUTED_VALUE"""),735.0)</f>
        <v>735</v>
      </c>
      <c r="B122" s="11">
        <f>IFERROR(__xludf.DUMMYFUNCTION("""COMPUTED_VALUE"""),45991.81846594908)</f>
        <v>45991.81847</v>
      </c>
      <c r="C122" s="3" t="str">
        <f>IFERROR(__xludf.DUMMYFUNCTION("""COMPUTED_VALUE"""),"ชั้นปีที่ 4")</f>
        <v>ชั้นปีที่ 4</v>
      </c>
      <c r="D122" s="3" t="str">
        <f>IFERROR(__xludf.DUMMYFUNCTION("""COMPUTED_VALUE"""),"6503715")</f>
        <v>6503715</v>
      </c>
      <c r="E122" s="3" t="str">
        <f>IFERROR(__xludf.DUMMYFUNCTION("""COMPUTED_VALUE"""),"26")</f>
        <v>26</v>
      </c>
      <c r="F122" s="3" t="str">
        <f>IFERROR(__xludf.DUMMYFUNCTION("""COMPUTED_VALUE"""),"นพอ.ธัญพิชชา ฤกษ์นาวี")</f>
        <v>นพอ.ธัญพิชชา ฤกษ์นาวี</v>
      </c>
      <c r="G122" s="3" t="str">
        <f>IFERROR(__xludf.DUMMYFUNCTION("""COMPUTED_VALUE"""),"ทำนุบำรุงศาสนสถาน")</f>
        <v>ทำนุบำรุงศาสนสถาน</v>
      </c>
      <c r="H122" s="3" t="str">
        <f>IFERROR(__xludf.DUMMYFUNCTION("""COMPUTED_VALUE"""),"ช่วยเก็บของงานกฐิน")</f>
        <v>ช่วยเก็บของงานกฐิน</v>
      </c>
      <c r="I122" s="3" t="str">
        <f>IFERROR(__xludf.DUMMYFUNCTION("""COMPUTED_VALUE"""),"วัดบางแก้ว")</f>
        <v>วัดบางแก้ว</v>
      </c>
      <c r="J122" s="12">
        <f>IFERROR(__xludf.DUMMYFUNCTION("""COMPUTED_VALUE"""),45942.0)</f>
        <v>45942</v>
      </c>
      <c r="K122" s="3" t="str">
        <f>IFERROR(__xludf.DUMMYFUNCTION("""COMPUTED_VALUE"""),"0800-1200")</f>
        <v>0800-1200</v>
      </c>
      <c r="L122" s="3">
        <f>IFERROR(__xludf.DUMMYFUNCTION("""COMPUTED_VALUE"""),4.0)</f>
        <v>4</v>
      </c>
      <c r="M122" s="3" t="str">
        <f>IFERROR(__xludf.DUMMYFUNCTION("""COMPUTED_VALUE"""),"นางสาวสาวารส ยิ้มเจริญ")</f>
        <v>นางสาวสาวารส ยิ้มเจริญ</v>
      </c>
      <c r="N122" s="14" t="str">
        <f>IFERROR(__xludf.DUMMYFUNCTION("""COMPUTED_VALUE"""),"https://lh5.googleusercontent.com/d/1vihV5G1cwOZvCiqH1uqO9_71lsroDB8v")</f>
        <v>https://lh5.googleusercontent.com/d/1vihV5G1cwOZvCiqH1uqO9_71lsroDB8v</v>
      </c>
      <c r="O122" s="14" t="str">
        <f>IFERROR(__xludf.DUMMYFUNCTION("""COMPUTED_VALUE"""),"https://drive.google.com/file/d/1Mnqqx7AS_XqLJ7XnsHbRNRFlMlP7Dd5n/view?usp=drivesdk")</f>
        <v>https://drive.google.com/file/d/1Mnqqx7AS_XqLJ7XnsHbRNRFlMlP7Dd5n/view?usp=drivesdk</v>
      </c>
    </row>
    <row r="123">
      <c r="A123" s="3">
        <f>IFERROR(__xludf.DUMMYFUNCTION("""COMPUTED_VALUE"""),818.0)</f>
        <v>818</v>
      </c>
      <c r="B123" s="11">
        <f>IFERROR(__xludf.DUMMYFUNCTION("""COMPUTED_VALUE"""),45991.8561631713)</f>
        <v>45991.85616</v>
      </c>
      <c r="C123" s="3" t="str">
        <f>IFERROR(__xludf.DUMMYFUNCTION("""COMPUTED_VALUE"""),"ชั้นปีที่ 4")</f>
        <v>ชั้นปีที่ 4</v>
      </c>
      <c r="D123" s="3" t="str">
        <f>IFERROR(__xludf.DUMMYFUNCTION("""COMPUTED_VALUE"""),"6503723")</f>
        <v>6503723</v>
      </c>
      <c r="E123" s="3" t="str">
        <f>IFERROR(__xludf.DUMMYFUNCTION("""COMPUTED_VALUE"""),"33")</f>
        <v>33</v>
      </c>
      <c r="F123" s="3" t="str">
        <f>IFERROR(__xludf.DUMMYFUNCTION("""COMPUTED_VALUE"""),"ประภัสสร ธีรศรัณยานนท์")</f>
        <v>ประภัสสร ธีรศรัณยานนท์</v>
      </c>
      <c r="G1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3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23" s="3" t="str">
        <f>IFERROR(__xludf.DUMMYFUNCTION("""COMPUTED_VALUE"""),"สโมสรทหารอากาศชั้นประทวน")</f>
        <v>สโมสรทหารอากาศชั้นประทวน</v>
      </c>
      <c r="J123" s="12">
        <f>IFERROR(__xludf.DUMMYFUNCTION("""COMPUTED_VALUE"""),45854.0)</f>
        <v>45854</v>
      </c>
      <c r="K123" s="3" t="str">
        <f>IFERROR(__xludf.DUMMYFUNCTION("""COMPUTED_VALUE"""),"0600-1200")</f>
        <v>0600-1200</v>
      </c>
      <c r="L123" s="3">
        <f>IFERROR(__xludf.DUMMYFUNCTION("""COMPUTED_VALUE"""),6.0)</f>
        <v>6</v>
      </c>
      <c r="M123" s="3" t="str">
        <f>IFERROR(__xludf.DUMMYFUNCTION("""COMPUTED_VALUE"""),"น.ต.หญิง ตวงทิพย์ ลดาวัลย์")</f>
        <v>น.ต.หญิง ตวงทิพย์ ลดาวัลย์</v>
      </c>
      <c r="N123" s="14" t="str">
        <f>IFERROR(__xludf.DUMMYFUNCTION("""COMPUTED_VALUE"""),"https://lh5.googleusercontent.com/d/1I8HJVON05aAoaXe1a_SbF5LcvyJdpAdX")</f>
        <v>https://lh5.googleusercontent.com/d/1I8HJVON05aAoaXe1a_SbF5LcvyJdpAdX</v>
      </c>
      <c r="O123" s="14" t="str">
        <f>IFERROR(__xludf.DUMMYFUNCTION("""COMPUTED_VALUE"""),"https://drive.google.com/file/d/10-DJlUXMbSolAJ-bKMvqf6o694zZS_A5/view?usp=drivesdk")</f>
        <v>https://drive.google.com/file/d/10-DJlUXMbSolAJ-bKMvqf6o694zZS_A5/view?usp=drivesdk</v>
      </c>
    </row>
    <row r="124">
      <c r="A124" s="3">
        <f>IFERROR(__xludf.DUMMYFUNCTION("""COMPUTED_VALUE"""),830.0)</f>
        <v>830</v>
      </c>
      <c r="B124" s="11">
        <f>IFERROR(__xludf.DUMMYFUNCTION("""COMPUTED_VALUE"""),45991.87993142362)</f>
        <v>45991.87993</v>
      </c>
      <c r="C124" s="3" t="str">
        <f>IFERROR(__xludf.DUMMYFUNCTION("""COMPUTED_VALUE"""),"ชั้นปีที่ 4")</f>
        <v>ชั้นปีที่ 4</v>
      </c>
      <c r="D124" s="3" t="str">
        <f>IFERROR(__xludf.DUMMYFUNCTION("""COMPUTED_VALUE"""),"6503703")</f>
        <v>6503703</v>
      </c>
      <c r="E124" s="3" t="str">
        <f>IFERROR(__xludf.DUMMYFUNCTION("""COMPUTED_VALUE"""),"14")</f>
        <v>14</v>
      </c>
      <c r="F124" s="3" t="str">
        <f>IFERROR(__xludf.DUMMYFUNCTION("""COMPUTED_VALUE"""),"นพอ.ชัญญากานต์ พุฒิพงศ์กวิน")</f>
        <v>นพอ.ชัญญากานต์ พุฒิพงศ์กวิน</v>
      </c>
      <c r="G12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24" s="3" t="str">
        <f>IFERROR(__xludf.DUMMYFUNCTION("""COMPUTED_VALUE"""),"Big cleaning day วัดประชารัฐสร้างสุข")</f>
        <v>Big cleaning day วัดประชารัฐสร้างสุข</v>
      </c>
      <c r="I124" s="3" t="str">
        <f>IFERROR(__xludf.DUMMYFUNCTION("""COMPUTED_VALUE""")," ตำบลบางไผ่ อำเภอเมืองฉะเชิงเทรา ")</f>
        <v> ตำบลบางไผ่ อำเภอเมืองฉะเชิงเทรา </v>
      </c>
      <c r="J124" s="12">
        <f>IFERROR(__xludf.DUMMYFUNCTION("""COMPUTED_VALUE"""),45945.0)</f>
        <v>45945</v>
      </c>
      <c r="K124" s="3" t="str">
        <f>IFERROR(__xludf.DUMMYFUNCTION("""COMPUTED_VALUE"""),"0800-1200")</f>
        <v>0800-1200</v>
      </c>
      <c r="L124" s="3">
        <f>IFERROR(__xludf.DUMMYFUNCTION("""COMPUTED_VALUE"""),4.0)</f>
        <v>4</v>
      </c>
      <c r="M124" s="3" t="str">
        <f>IFERROR(__xludf.DUMMYFUNCTION("""COMPUTED_VALUE"""),"วันวิสา ดำริมุ่งกิจ")</f>
        <v>วันวิสา ดำริมุ่งกิจ</v>
      </c>
      <c r="N124" s="14" t="str">
        <f>IFERROR(__xludf.DUMMYFUNCTION("""COMPUTED_VALUE"""),"https://lh5.googleusercontent.com/d/1gjmkCmy8Km_Fzmnu3ENDw_PpwWaIz7LA")</f>
        <v>https://lh5.googleusercontent.com/d/1gjmkCmy8Km_Fzmnu3ENDw_PpwWaIz7LA</v>
      </c>
      <c r="O124" s="14" t="str">
        <f>IFERROR(__xludf.DUMMYFUNCTION("""COMPUTED_VALUE"""),"https://drive.google.com/file/d/1b2lzt_nFjibb77cyNzyeuIpCwoSk2VLw/view?usp=drivesdk")</f>
        <v>https://drive.google.com/file/d/1b2lzt_nFjibb77cyNzyeuIpCwoSk2VLw/view?usp=drivesdk</v>
      </c>
    </row>
    <row r="125">
      <c r="A125" s="3">
        <f>IFERROR(__xludf.DUMMYFUNCTION("""COMPUTED_VALUE"""),835.0)</f>
        <v>835</v>
      </c>
      <c r="B125" s="11">
        <f>IFERROR(__xludf.DUMMYFUNCTION("""COMPUTED_VALUE"""),45991.89495811343)</f>
        <v>45991.89496</v>
      </c>
      <c r="C125" s="3" t="str">
        <f>IFERROR(__xludf.DUMMYFUNCTION("""COMPUTED_VALUE"""),"ชั้นปีที่ 4")</f>
        <v>ชั้นปีที่ 4</v>
      </c>
      <c r="D125" s="3" t="str">
        <f>IFERROR(__xludf.DUMMYFUNCTION("""COMPUTED_VALUE"""),"6503703")</f>
        <v>6503703</v>
      </c>
      <c r="E125" s="3" t="str">
        <f>IFERROR(__xludf.DUMMYFUNCTION("""COMPUTED_VALUE"""),"14")</f>
        <v>14</v>
      </c>
      <c r="F125" s="3" t="str">
        <f>IFERROR(__xludf.DUMMYFUNCTION("""COMPUTED_VALUE"""),"นพอ.ชัญญากานต์ พุฒิพงศ์กวิน")</f>
        <v>นพอ.ชัญญากานต์ พุฒิพงศ์กวิน</v>
      </c>
      <c r="G125" s="3" t="str">
        <f>IFERROR(__xludf.DUMMYFUNCTION("""COMPUTED_VALUE"""),"ทำนุบำรุงศาสนสถาน")</f>
        <v>ทำนุบำรุงศาสนสถาน</v>
      </c>
      <c r="H125" s="3" t="str">
        <f>IFERROR(__xludf.DUMMYFUNCTION("""COMPUTED_VALUE"""),"ทำบุญทอดกฐิน")</f>
        <v>ทำบุญทอดกฐิน</v>
      </c>
      <c r="I125" s="3" t="str">
        <f>IFERROR(__xludf.DUMMYFUNCTION("""COMPUTED_VALUE"""),"วัดทดราษฎร์เจริญมณีฤทธิ์")</f>
        <v>วัดทดราษฎร์เจริญมณีฤทธิ์</v>
      </c>
      <c r="J125" s="12">
        <f>IFERROR(__xludf.DUMMYFUNCTION("""COMPUTED_VALUE"""),45960.0)</f>
        <v>45960</v>
      </c>
      <c r="K125" s="3" t="str">
        <f>IFERROR(__xludf.DUMMYFUNCTION("""COMPUTED_VALUE"""),"0800-1200")</f>
        <v>0800-1200</v>
      </c>
      <c r="L125" s="3">
        <f>IFERROR(__xludf.DUMMYFUNCTION("""COMPUTED_VALUE"""),4.0)</f>
        <v>4</v>
      </c>
      <c r="M125" s="3" t="str">
        <f>IFERROR(__xludf.DUMMYFUNCTION("""COMPUTED_VALUE"""),"วันวิสา ดำริมุ่งกิจ")</f>
        <v>วันวิสา ดำริมุ่งกิจ</v>
      </c>
      <c r="N125" s="14" t="str">
        <f>IFERROR(__xludf.DUMMYFUNCTION("""COMPUTED_VALUE"""),"https://lh5.googleusercontent.com/d/1DF_ZyBFq2v2OBCjp5Dvd_Gq-R40k8CMk")</f>
        <v>https://lh5.googleusercontent.com/d/1DF_ZyBFq2v2OBCjp5Dvd_Gq-R40k8CMk</v>
      </c>
      <c r="O125" s="14" t="str">
        <f>IFERROR(__xludf.DUMMYFUNCTION("""COMPUTED_VALUE"""),"https://drive.google.com/file/d/1OkslaZJvAi8NfIHcxE0SVOqSr8ty96mU/view?usp=drivesdk")</f>
        <v>https://drive.google.com/file/d/1OkslaZJvAi8NfIHcxE0SVOqSr8ty96mU/view?usp=drivesdk</v>
      </c>
    </row>
    <row r="126">
      <c r="A126" s="3">
        <f>IFERROR(__xludf.DUMMYFUNCTION("""COMPUTED_VALUE"""),839.0)</f>
        <v>839</v>
      </c>
      <c r="B126" s="11">
        <f>IFERROR(__xludf.DUMMYFUNCTION("""COMPUTED_VALUE"""),45991.89772168981)</f>
        <v>45991.89772</v>
      </c>
      <c r="C126" s="3" t="str">
        <f>IFERROR(__xludf.DUMMYFUNCTION("""COMPUTED_VALUE"""),"ชั้นปีที่ 4")</f>
        <v>ชั้นปีที่ 4</v>
      </c>
      <c r="D126" s="3" t="str">
        <f>IFERROR(__xludf.DUMMYFUNCTION("""COMPUTED_VALUE"""),"6503743")</f>
        <v>6503743</v>
      </c>
      <c r="E126" s="3" t="str">
        <f>IFERROR(__xludf.DUMMYFUNCTION("""COMPUTED_VALUE"""),"53")</f>
        <v>53</v>
      </c>
      <c r="F126" s="3" t="str">
        <f>IFERROR(__xludf.DUMMYFUNCTION("""COMPUTED_VALUE"""),"นพอ.ศศิกานต์ ไคลมี")</f>
        <v>นพอ.ศศิกานต์ ไคลมี</v>
      </c>
      <c r="G126" s="3" t="str">
        <f>IFERROR(__xludf.DUMMYFUNCTION("""COMPUTED_VALUE"""),"ทำนุบำรุงศาสนสถาน")</f>
        <v>ทำนุบำรุงศาสนสถาน</v>
      </c>
      <c r="H126" s="3" t="str">
        <f>IFERROR(__xludf.DUMMYFUNCTION("""COMPUTED_VALUE"""),"ช่วยงานกฐิน ณ วัดบ้านนา")</f>
        <v>ช่วยงานกฐิน ณ วัดบ้านนา</v>
      </c>
      <c r="I126" s="3" t="str">
        <f>IFERROR(__xludf.DUMMYFUNCTION("""COMPUTED_VALUE"""),"วัดบ้านนา ฉะเชิงเทรา")</f>
        <v>วัดบ้านนา ฉะเชิงเทรา</v>
      </c>
      <c r="J126" s="12">
        <f>IFERROR(__xludf.DUMMYFUNCTION("""COMPUTED_VALUE"""),45955.0)</f>
        <v>45955</v>
      </c>
      <c r="K126" s="3" t="str">
        <f>IFERROR(__xludf.DUMMYFUNCTION("""COMPUTED_VALUE"""),"0800-1200")</f>
        <v>0800-1200</v>
      </c>
      <c r="L126" s="3">
        <f>IFERROR(__xludf.DUMMYFUNCTION("""COMPUTED_VALUE"""),4.0)</f>
        <v>4</v>
      </c>
      <c r="M126" s="3" t="str">
        <f>IFERROR(__xludf.DUMMYFUNCTION("""COMPUTED_VALUE"""),"นางรัตติกาล หงษ์ศิริ")</f>
        <v>นางรัตติกาล หงษ์ศิริ</v>
      </c>
      <c r="N126" s="14" t="str">
        <f>IFERROR(__xludf.DUMMYFUNCTION("""COMPUTED_VALUE"""),"https://lh5.googleusercontent.com/d/1TQB-Eqaau0y76BQFdBrLlRMWhMGz5t5x")</f>
        <v>https://lh5.googleusercontent.com/d/1TQB-Eqaau0y76BQFdBrLlRMWhMGz5t5x</v>
      </c>
      <c r="O126" s="14" t="str">
        <f>IFERROR(__xludf.DUMMYFUNCTION("""COMPUTED_VALUE"""),"https://drive.google.com/file/d/1hVlD1nLkTelJ3ZCoOGOm_SaWk1WfjEZF/view?usp=drivesdk")</f>
        <v>https://drive.google.com/file/d/1hVlD1nLkTelJ3ZCoOGOm_SaWk1WfjEZF/view?usp=drivesdk</v>
      </c>
    </row>
    <row r="127">
      <c r="A127" s="3">
        <f>IFERROR(__xludf.DUMMYFUNCTION("""COMPUTED_VALUE"""),842.0)</f>
        <v>842</v>
      </c>
      <c r="B127" s="11">
        <f>IFERROR(__xludf.DUMMYFUNCTION("""COMPUTED_VALUE"""),45991.898841284725)</f>
        <v>45991.89884</v>
      </c>
      <c r="C127" s="3" t="str">
        <f>IFERROR(__xludf.DUMMYFUNCTION("""COMPUTED_VALUE"""),"ชั้นปีที่ 4")</f>
        <v>ชั้นปีที่ 4</v>
      </c>
      <c r="D127" s="3" t="str">
        <f>IFERROR(__xludf.DUMMYFUNCTION("""COMPUTED_VALUE"""),"6503735")</f>
        <v>6503735</v>
      </c>
      <c r="E127" s="3" t="str">
        <f>IFERROR(__xludf.DUMMYFUNCTION("""COMPUTED_VALUE"""),"45")</f>
        <v>45</v>
      </c>
      <c r="F127" s="3" t="str">
        <f>IFERROR(__xludf.DUMMYFUNCTION("""COMPUTED_VALUE"""),"นพอ.มัญชุสา อภิรมย์ชวาล")</f>
        <v>นพอ.มัญชุสา อภิรมย์ชวาล</v>
      </c>
      <c r="G127" s="3" t="str">
        <f>IFERROR(__xludf.DUMMYFUNCTION("""COMPUTED_VALUE"""),"ทำนุบำรุงศาสนสถาน")</f>
        <v>ทำนุบำรุงศาสนสถาน</v>
      </c>
      <c r="H127" s="3" t="str">
        <f>IFERROR(__xludf.DUMMYFUNCTION("""COMPUTED_VALUE"""),"ช่วยงานกฐิน ณ วัดบ้านนา")</f>
        <v>ช่วยงานกฐิน ณ วัดบ้านนา</v>
      </c>
      <c r="I127" s="3" t="str">
        <f>IFERROR(__xludf.DUMMYFUNCTION("""COMPUTED_VALUE"""),"วันบ้านนา")</f>
        <v>วันบ้านนา</v>
      </c>
      <c r="J127" s="12">
        <f>IFERROR(__xludf.DUMMYFUNCTION("""COMPUTED_VALUE"""),45955.0)</f>
        <v>45955</v>
      </c>
      <c r="K127" s="3" t="str">
        <f>IFERROR(__xludf.DUMMYFUNCTION("""COMPUTED_VALUE"""),"0800-1200")</f>
        <v>0800-1200</v>
      </c>
      <c r="L127" s="3">
        <f>IFERROR(__xludf.DUMMYFUNCTION("""COMPUTED_VALUE"""),4.0)</f>
        <v>4</v>
      </c>
      <c r="M127" s="3" t="str">
        <f>IFERROR(__xludf.DUMMYFUNCTION("""COMPUTED_VALUE"""),"นางรัตติกาล หงษ์ศิริ")</f>
        <v>นางรัตติกาล หงษ์ศิริ</v>
      </c>
      <c r="N127" s="14" t="str">
        <f>IFERROR(__xludf.DUMMYFUNCTION("""COMPUTED_VALUE"""),"https://lh5.googleusercontent.com/d/1OwDILFeLzKjBNbNNx730pa7T-lJlmRIQ")</f>
        <v>https://lh5.googleusercontent.com/d/1OwDILFeLzKjBNbNNx730pa7T-lJlmRIQ</v>
      </c>
      <c r="O127" s="14" t="str">
        <f>IFERROR(__xludf.DUMMYFUNCTION("""COMPUTED_VALUE"""),"https://drive.google.com/file/d/11o1fh6l6kxYYkXJnqzwOL6MVdLQmKV0z/view?usp=drivesdk")</f>
        <v>https://drive.google.com/file/d/11o1fh6l6kxYYkXJnqzwOL6MVdLQmKV0z/view?usp=drivesdk</v>
      </c>
    </row>
    <row r="128">
      <c r="A128" s="3">
        <f>IFERROR(__xludf.DUMMYFUNCTION("""COMPUTED_VALUE"""),844.0)</f>
        <v>844</v>
      </c>
      <c r="B128" s="11">
        <f>IFERROR(__xludf.DUMMYFUNCTION("""COMPUTED_VALUE"""),45991.89998291667)</f>
        <v>45991.89998</v>
      </c>
      <c r="C128" s="3" t="str">
        <f>IFERROR(__xludf.DUMMYFUNCTION("""COMPUTED_VALUE"""),"ชั้นปีที่ 4")</f>
        <v>ชั้นปีที่ 4</v>
      </c>
      <c r="D128" s="3" t="str">
        <f>IFERROR(__xludf.DUMMYFUNCTION("""COMPUTED_VALUE"""),"6503741")</f>
        <v>6503741</v>
      </c>
      <c r="E128" s="3" t="str">
        <f>IFERROR(__xludf.DUMMYFUNCTION("""COMPUTED_VALUE"""),"51")</f>
        <v>51</v>
      </c>
      <c r="F128" s="3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2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28" s="3" t="str">
        <f>IFERROR(__xludf.DUMMYFUNCTION("""COMPUTED_VALUE"""),"ทำกระทง")</f>
        <v>ทำกระทง</v>
      </c>
      <c r="I128" s="3" t="str">
        <f>IFERROR(__xludf.DUMMYFUNCTION("""COMPUTED_VALUE"""),"วัดหนามแดง")</f>
        <v>วัดหนามแดง</v>
      </c>
      <c r="J128" s="12">
        <f>IFERROR(__xludf.DUMMYFUNCTION("""COMPUTED_VALUE"""),45966.0)</f>
        <v>45966</v>
      </c>
      <c r="K128" s="3" t="str">
        <f>IFERROR(__xludf.DUMMYFUNCTION("""COMPUTED_VALUE"""),"0800-1200")</f>
        <v>0800-1200</v>
      </c>
      <c r="L128" s="3">
        <f>IFERROR(__xludf.DUMMYFUNCTION("""COMPUTED_VALUE"""),4.0)</f>
        <v>4</v>
      </c>
      <c r="M128" s="3" t="str">
        <f>IFERROR(__xludf.DUMMYFUNCTION("""COMPUTED_VALUE"""),"นาวาอากาศโทหญิง ดร.ภัทรมน ทับสูงเนิน")</f>
        <v>นาวาอากาศโทหญิง ดร.ภัทรมน ทับสูงเนิน</v>
      </c>
      <c r="N128" s="14" t="str">
        <f>IFERROR(__xludf.DUMMYFUNCTION("""COMPUTED_VALUE"""),"https://lh5.googleusercontent.com/d/1eXDq9JXr143lCnEnzCgsBd130qIwBrbz")</f>
        <v>https://lh5.googleusercontent.com/d/1eXDq9JXr143lCnEnzCgsBd130qIwBrbz</v>
      </c>
      <c r="O128" s="14" t="str">
        <f>IFERROR(__xludf.DUMMYFUNCTION("""COMPUTED_VALUE"""),"https://drive.google.com/file/d/1Ryi_PbtmZSHiQvJx0w4gCSOs-5Sca9lM/view?usp=drivesdk")</f>
        <v>https://drive.google.com/file/d/1Ryi_PbtmZSHiQvJx0w4gCSOs-5Sca9lM/view?usp=drivesdk</v>
      </c>
    </row>
    <row r="129">
      <c r="A129" s="3">
        <f>IFERROR(__xludf.DUMMYFUNCTION("""COMPUTED_VALUE"""),852.0)</f>
        <v>852</v>
      </c>
      <c r="B129" s="11">
        <f>IFERROR(__xludf.DUMMYFUNCTION("""COMPUTED_VALUE"""),45991.90455584491)</f>
        <v>45991.90456</v>
      </c>
      <c r="C129" s="3" t="str">
        <f>IFERROR(__xludf.DUMMYFUNCTION("""COMPUTED_VALUE"""),"ชั้นปีที่ 4")</f>
        <v>ชั้นปีที่ 4</v>
      </c>
      <c r="D129" s="3" t="str">
        <f>IFERROR(__xludf.DUMMYFUNCTION("""COMPUTED_VALUE"""),"6503741")</f>
        <v>6503741</v>
      </c>
      <c r="E129" s="3" t="str">
        <f>IFERROR(__xludf.DUMMYFUNCTION("""COMPUTED_VALUE"""),"51")</f>
        <v>51</v>
      </c>
      <c r="F129" s="3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29" s="3" t="str">
        <f>IFERROR(__xludf.DUMMYFUNCTION("""COMPUTED_VALUE"""),"ทำนุบำรุงศาสนสถาน")</f>
        <v>ทำนุบำรุงศาสนสถาน</v>
      </c>
      <c r="H129" s="3" t="str">
        <f>IFERROR(__xludf.DUMMYFUNCTION("""COMPUTED_VALUE"""),"ทอดกฐินวัดหนามแดง")</f>
        <v>ทอดกฐินวัดหนามแดง</v>
      </c>
      <c r="I129" s="3" t="str">
        <f>IFERROR(__xludf.DUMMYFUNCTION("""COMPUTED_VALUE"""),"วัดหนามแดง")</f>
        <v>วัดหนามแดง</v>
      </c>
      <c r="J129" s="12">
        <f>IFERROR(__xludf.DUMMYFUNCTION("""COMPUTED_VALUE"""),45942.0)</f>
        <v>45942</v>
      </c>
      <c r="K129" s="3" t="str">
        <f>IFERROR(__xludf.DUMMYFUNCTION("""COMPUTED_VALUE"""),"0800-1200")</f>
        <v>0800-1200</v>
      </c>
      <c r="L129" s="3">
        <f>IFERROR(__xludf.DUMMYFUNCTION("""COMPUTED_VALUE"""),4.0)</f>
        <v>4</v>
      </c>
      <c r="M129" s="3" t="str">
        <f>IFERROR(__xludf.DUMMYFUNCTION("""COMPUTED_VALUE"""),"นาวาอากาศโทหญิง ดร.ภัทรมน ทับสูงเนิน")</f>
        <v>นาวาอากาศโทหญิง ดร.ภัทรมน ทับสูงเนิน</v>
      </c>
      <c r="N129" s="14" t="str">
        <f>IFERROR(__xludf.DUMMYFUNCTION("""COMPUTED_VALUE"""),"https://lh5.googleusercontent.com/d/1Fgd7__bv-L7IesXMSrhyvSKkEw-5wCJH")</f>
        <v>https://lh5.googleusercontent.com/d/1Fgd7__bv-L7IesXMSrhyvSKkEw-5wCJH</v>
      </c>
      <c r="O129" s="14" t="str">
        <f>IFERROR(__xludf.DUMMYFUNCTION("""COMPUTED_VALUE"""),"https://drive.google.com/file/d/1jPifP-KlAMccm1VArDCSe9Lr0LBWuiIN/view?usp=drivesdk")</f>
        <v>https://drive.google.com/file/d/1jPifP-KlAMccm1VArDCSe9Lr0LBWuiIN/view?usp=drivesdk</v>
      </c>
    </row>
    <row r="130">
      <c r="A130" s="3">
        <f>IFERROR(__xludf.DUMMYFUNCTION("""COMPUTED_VALUE"""),853.0)</f>
        <v>853</v>
      </c>
      <c r="B130" s="11">
        <f>IFERROR(__xludf.DUMMYFUNCTION("""COMPUTED_VALUE"""),45991.90475912037)</f>
        <v>45991.90476</v>
      </c>
      <c r="C130" s="3" t="str">
        <f>IFERROR(__xludf.DUMMYFUNCTION("""COMPUTED_VALUE"""),"ชั้นปีที่ 4")</f>
        <v>ชั้นปีที่ 4</v>
      </c>
      <c r="D130" s="3" t="str">
        <f>IFERROR(__xludf.DUMMYFUNCTION("""COMPUTED_VALUE"""),"6503709")</f>
        <v>6503709</v>
      </c>
      <c r="E130" s="3" t="str">
        <f>IFERROR(__xludf.DUMMYFUNCTION("""COMPUTED_VALUE"""),"20")</f>
        <v>20</v>
      </c>
      <c r="F130" s="3" t="str">
        <f>IFERROR(__xludf.DUMMYFUNCTION("""COMPUTED_VALUE"""),"นพอ.ณัฐณิชา ริดใย")</f>
        <v>นพอ.ณัฐณิชา ริดใย</v>
      </c>
      <c r="G130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0" s="3" t="str">
        <f>IFERROR(__xludf.DUMMYFUNCTION("""COMPUTED_VALUE"""),"โครงการ วัด ประชา รัฐ สร้างสุข")</f>
        <v>โครงการ วัด ประชา รัฐ สร้างสุข</v>
      </c>
      <c r="I130" s="3" t="str">
        <f>IFERROR(__xludf.DUMMYFUNCTION("""COMPUTED_VALUE"""),"บ้ายหัวสวน ต.บางไผ่ ")</f>
        <v>บ้ายหัวสวน ต.บางไผ่ </v>
      </c>
      <c r="J130" s="12">
        <f>IFERROR(__xludf.DUMMYFUNCTION("""COMPUTED_VALUE"""),45940.0)</f>
        <v>45940</v>
      </c>
      <c r="K130" s="3" t="str">
        <f>IFERROR(__xludf.DUMMYFUNCTION("""COMPUTED_VALUE"""),"0800-1200")</f>
        <v>0800-1200</v>
      </c>
      <c r="L130" s="3">
        <f>IFERROR(__xludf.DUMMYFUNCTION("""COMPUTED_VALUE"""),4.0)</f>
        <v>4</v>
      </c>
      <c r="M130" s="3" t="str">
        <f>IFERROR(__xludf.DUMMYFUNCTION("""COMPUTED_VALUE"""),"น.ส.วันวิสา ดำริมุ่งกิจ")</f>
        <v>น.ส.วันวิสา ดำริมุ่งกิจ</v>
      </c>
      <c r="N130" s="14" t="str">
        <f>IFERROR(__xludf.DUMMYFUNCTION("""COMPUTED_VALUE"""),"https://lh5.googleusercontent.com/d/1h9mR-MIlVJXdGplEGVnXMlR1EKxApBSD")</f>
        <v>https://lh5.googleusercontent.com/d/1h9mR-MIlVJXdGplEGVnXMlR1EKxApBSD</v>
      </c>
      <c r="O130" s="14" t="str">
        <f>IFERROR(__xludf.DUMMYFUNCTION("""COMPUTED_VALUE"""),"https://drive.google.com/file/d/1I_nS1biHeJQjE8rns_FuQhPkclNepxiN/view?usp=drivesdk")</f>
        <v>https://drive.google.com/file/d/1I_nS1biHeJQjE8rns_FuQhPkclNepxiN/view?usp=drivesdk</v>
      </c>
    </row>
    <row r="131">
      <c r="A131" s="3">
        <f>IFERROR(__xludf.DUMMYFUNCTION("""COMPUTED_VALUE"""),855.0)</f>
        <v>855</v>
      </c>
      <c r="B131" s="11">
        <f>IFERROR(__xludf.DUMMYFUNCTION("""COMPUTED_VALUE"""),45991.906366840274)</f>
        <v>45991.90637</v>
      </c>
      <c r="C131" s="3" t="str">
        <f>IFERROR(__xludf.DUMMYFUNCTION("""COMPUTED_VALUE"""),"ชั้นปีที่ 4")</f>
        <v>ชั้นปีที่ 4</v>
      </c>
      <c r="D131" s="3" t="str">
        <f>IFERROR(__xludf.DUMMYFUNCTION("""COMPUTED_VALUE"""),"6503741")</f>
        <v>6503741</v>
      </c>
      <c r="E131" s="3" t="str">
        <f>IFERROR(__xludf.DUMMYFUNCTION("""COMPUTED_VALUE"""),"51")</f>
        <v>51</v>
      </c>
      <c r="F131" s="3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1" s="3" t="str">
        <f>IFERROR(__xludf.DUMMYFUNCTION("""COMPUTED_VALUE"""),"แอโรบิคชมรมผู้สูงอายุสานสัมพันธ์ชาวหนามแดง")</f>
        <v>แอโรบิคชมรมผู้สูงอายุสานสัมพันธ์ชาวหนามแดง</v>
      </c>
      <c r="I131" s="3" t="str">
        <f>IFERROR(__xludf.DUMMYFUNCTION("""COMPUTED_VALUE"""),"วัดหนามแดง")</f>
        <v>วัดหนามแดง</v>
      </c>
      <c r="J131" s="12">
        <f>IFERROR(__xludf.DUMMYFUNCTION("""COMPUTED_VALUE"""),45940.0)</f>
        <v>45940</v>
      </c>
      <c r="K131" s="3" t="str">
        <f>IFERROR(__xludf.DUMMYFUNCTION("""COMPUTED_VALUE"""),"1700-1900")</f>
        <v>1700-1900</v>
      </c>
      <c r="L131" s="3">
        <f>IFERROR(__xludf.DUMMYFUNCTION("""COMPUTED_VALUE"""),2.0)</f>
        <v>2</v>
      </c>
      <c r="M131" s="3" t="str">
        <f>IFERROR(__xludf.DUMMYFUNCTION("""COMPUTED_VALUE"""),"นาวาอากาศโทหญิง ดร.ภัทรมน ทับสูงเนิน")</f>
        <v>นาวาอากาศโทหญิง ดร.ภัทรมน ทับสูงเนิน</v>
      </c>
      <c r="N131" s="14" t="str">
        <f>IFERROR(__xludf.DUMMYFUNCTION("""COMPUTED_VALUE"""),"https://lh5.googleusercontent.com/d/17H22QbLDD786h83N8XaTzLIzNLYkwJMl")</f>
        <v>https://lh5.googleusercontent.com/d/17H22QbLDD786h83N8XaTzLIzNLYkwJMl</v>
      </c>
      <c r="O131" s="14" t="str">
        <f>IFERROR(__xludf.DUMMYFUNCTION("""COMPUTED_VALUE"""),"https://drive.google.com/file/d/15Y4Wz_aKURjghaoUif80HEUAJ7wdN9K5/view?usp=drivesdk")</f>
        <v>https://drive.google.com/file/d/15Y4Wz_aKURjghaoUif80HEUAJ7wdN9K5/view?usp=drivesdk</v>
      </c>
    </row>
    <row r="132">
      <c r="A132" s="3">
        <f>IFERROR(__xludf.DUMMYFUNCTION("""COMPUTED_VALUE"""),861.0)</f>
        <v>861</v>
      </c>
      <c r="B132" s="11">
        <f>IFERROR(__xludf.DUMMYFUNCTION("""COMPUTED_VALUE"""),45991.91263805555)</f>
        <v>45991.91264</v>
      </c>
      <c r="C132" s="3" t="str">
        <f>IFERROR(__xludf.DUMMYFUNCTION("""COMPUTED_VALUE"""),"ชั้นปีที่ 4")</f>
        <v>ชั้นปีที่ 4</v>
      </c>
      <c r="D132" s="3" t="str">
        <f>IFERROR(__xludf.DUMMYFUNCTION("""COMPUTED_VALUE"""),"6503741")</f>
        <v>6503741</v>
      </c>
      <c r="E132" s="3" t="str">
        <f>IFERROR(__xludf.DUMMYFUNCTION("""COMPUTED_VALUE"""),"51")</f>
        <v>51</v>
      </c>
      <c r="F132" s="3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2" s="3" t="str">
        <f>IFERROR(__xludf.DUMMYFUNCTION("""COMPUTED_VALUE"""),"ทำนุบำรุงศาสนสถาน")</f>
        <v>ทำนุบำรุงศาสนสถาน</v>
      </c>
      <c r="H132" s="3" t="str">
        <f>IFERROR(__xludf.DUMMYFUNCTION("""COMPUTED_VALUE"""),"ทอดกฐินวัดขวัญสะอาด")</f>
        <v>ทอดกฐินวัดขวัญสะอาด</v>
      </c>
      <c r="I132" s="3" t="str">
        <f>IFERROR(__xludf.DUMMYFUNCTION("""COMPUTED_VALUE"""),"วัดขวัญสะอาด")</f>
        <v>วัดขวัญสะอาด</v>
      </c>
      <c r="J132" s="12">
        <f>IFERROR(__xludf.DUMMYFUNCTION("""COMPUTED_VALUE"""),45963.0)</f>
        <v>45963</v>
      </c>
      <c r="K132" s="3" t="str">
        <f>IFERROR(__xludf.DUMMYFUNCTION("""COMPUTED_VALUE"""),"0800-1200")</f>
        <v>0800-1200</v>
      </c>
      <c r="L132" s="3">
        <f>IFERROR(__xludf.DUMMYFUNCTION("""COMPUTED_VALUE"""),4.0)</f>
        <v>4</v>
      </c>
      <c r="M132" s="3" t="str">
        <f>IFERROR(__xludf.DUMMYFUNCTION("""COMPUTED_VALUE"""),"นาวาอากาศโทหญิง ดร.ภัทรมน ทับสูงเนิน")</f>
        <v>นาวาอากาศโทหญิง ดร.ภัทรมน ทับสูงเนิน</v>
      </c>
      <c r="N132" s="14" t="str">
        <f>IFERROR(__xludf.DUMMYFUNCTION("""COMPUTED_VALUE"""),"https://lh5.googleusercontent.com/d/1-n6wqLKFMQSq9eL02tYqrKP4k80Ey5vr")</f>
        <v>https://lh5.googleusercontent.com/d/1-n6wqLKFMQSq9eL02tYqrKP4k80Ey5vr</v>
      </c>
      <c r="O132" s="14" t="str">
        <f>IFERROR(__xludf.DUMMYFUNCTION("""COMPUTED_VALUE"""),"https://drive.google.com/file/d/1VD_UFXN3qTmlm23KNVLo9qUsF5xnLSDp/view?usp=drivesdk")</f>
        <v>https://drive.google.com/file/d/1VD_UFXN3qTmlm23KNVLo9qUsF5xnLSDp/view?usp=drivesdk</v>
      </c>
    </row>
    <row r="133">
      <c r="A133" s="3">
        <f>IFERROR(__xludf.DUMMYFUNCTION("""COMPUTED_VALUE"""),862.0)</f>
        <v>862</v>
      </c>
      <c r="B133" s="11">
        <f>IFERROR(__xludf.DUMMYFUNCTION("""COMPUTED_VALUE"""),45991.91400106481)</f>
        <v>45991.914</v>
      </c>
      <c r="C133" s="3" t="str">
        <f>IFERROR(__xludf.DUMMYFUNCTION("""COMPUTED_VALUE"""),"ชั้นปีที่ 4")</f>
        <v>ชั้นปีที่ 4</v>
      </c>
      <c r="D133" s="3" t="str">
        <f>IFERROR(__xludf.DUMMYFUNCTION("""COMPUTED_VALUE"""),"6503709")</f>
        <v>6503709</v>
      </c>
      <c r="E133" s="3" t="str">
        <f>IFERROR(__xludf.DUMMYFUNCTION("""COMPUTED_VALUE"""),"20")</f>
        <v>20</v>
      </c>
      <c r="F133" s="3" t="str">
        <f>IFERROR(__xludf.DUMMYFUNCTION("""COMPUTED_VALUE"""),"นพอ.ณัฐณิชา ริดใย")</f>
        <v>นพอ.ณัฐณิชา ริดใย</v>
      </c>
      <c r="G13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3" s="3" t="str">
        <f>IFERROR(__xludf.DUMMYFUNCTION("""COMPUTED_VALUE"""),"ทอดกฐิน")</f>
        <v>ทอดกฐิน</v>
      </c>
      <c r="I133" s="3" t="str">
        <f>IFERROR(__xludf.DUMMYFUNCTION("""COMPUTED_VALUE"""),"วัดทดราษฎร์เจริญมณีฤทธิ์")</f>
        <v>วัดทดราษฎร์เจริญมณีฤทธิ์</v>
      </c>
      <c r="J133" s="12">
        <f>IFERROR(__xludf.DUMMYFUNCTION("""COMPUTED_VALUE"""),45949.0)</f>
        <v>45949</v>
      </c>
      <c r="K133" s="3" t="str">
        <f>IFERROR(__xludf.DUMMYFUNCTION("""COMPUTED_VALUE"""),"0700-1200")</f>
        <v>0700-1200</v>
      </c>
      <c r="L133" s="3">
        <f>IFERROR(__xludf.DUMMYFUNCTION("""COMPUTED_VALUE"""),5.0)</f>
        <v>5</v>
      </c>
      <c r="M133" s="3" t="str">
        <f>IFERROR(__xludf.DUMMYFUNCTION("""COMPUTED_VALUE"""),"น.ส.วันวิสา ดำริมุ่งกิจ")</f>
        <v>น.ส.วันวิสา ดำริมุ่งกิจ</v>
      </c>
      <c r="N133" s="14" t="str">
        <f>IFERROR(__xludf.DUMMYFUNCTION("""COMPUTED_VALUE"""),"https://lh5.googleusercontent.com/d/1S61VYILwIpCgLwdXiD3_7yVB9pFb2K-F")</f>
        <v>https://lh5.googleusercontent.com/d/1S61VYILwIpCgLwdXiD3_7yVB9pFb2K-F</v>
      </c>
      <c r="O133" s="14" t="str">
        <f>IFERROR(__xludf.DUMMYFUNCTION("""COMPUTED_VALUE"""),"https://drive.google.com/file/d/1eulX_IDeQtAerSqS7CXdTo0aklNp5e6j/view?usp=drivesdk")</f>
        <v>https://drive.google.com/file/d/1eulX_IDeQtAerSqS7CXdTo0aklNp5e6j/view?usp=drivesdk</v>
      </c>
    </row>
    <row r="134">
      <c r="A134" s="3">
        <f>IFERROR(__xludf.DUMMYFUNCTION("""COMPUTED_VALUE"""),865.0)</f>
        <v>865</v>
      </c>
      <c r="B134" s="11">
        <f>IFERROR(__xludf.DUMMYFUNCTION("""COMPUTED_VALUE"""),45991.91524854166)</f>
        <v>45991.91525</v>
      </c>
      <c r="C134" s="3" t="str">
        <f>IFERROR(__xludf.DUMMYFUNCTION("""COMPUTED_VALUE"""),"ชั้นปีที่ 4")</f>
        <v>ชั้นปีที่ 4</v>
      </c>
      <c r="D134" s="3" t="str">
        <f>IFERROR(__xludf.DUMMYFUNCTION("""COMPUTED_VALUE"""),"6503741")</f>
        <v>6503741</v>
      </c>
      <c r="E134" s="3" t="str">
        <f>IFERROR(__xludf.DUMMYFUNCTION("""COMPUTED_VALUE"""),"51")</f>
        <v>51</v>
      </c>
      <c r="F134" s="3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4" s="3" t="str">
        <f>IFERROR(__xludf.DUMMYFUNCTION("""COMPUTED_VALUE"""),"โครงการคัดกรองสุขภาพเชิงรุกกำลังพลทอ.")</f>
        <v>โครงการคัดกรองสุขภาพเชิงรุกกำลังพลทอ.</v>
      </c>
      <c r="I134" s="3" t="str">
        <f>IFERROR(__xludf.DUMMYFUNCTION("""COMPUTED_VALUE"""),"สโมสรทหารอากาศชั้นประทวน")</f>
        <v>สโมสรทหารอากาศชั้นประทวน</v>
      </c>
      <c r="J134" s="12">
        <f>IFERROR(__xludf.DUMMYFUNCTION("""COMPUTED_VALUE"""),45854.0)</f>
        <v>45854</v>
      </c>
      <c r="K134" s="3" t="str">
        <f>IFERROR(__xludf.DUMMYFUNCTION("""COMPUTED_VALUE"""),"0700-1300")</f>
        <v>0700-1300</v>
      </c>
      <c r="L134" s="3">
        <f>IFERROR(__xludf.DUMMYFUNCTION("""COMPUTED_VALUE"""),6.0)</f>
        <v>6</v>
      </c>
      <c r="M134" s="3" t="str">
        <f>IFERROR(__xludf.DUMMYFUNCTION("""COMPUTED_VALUE"""),"น.ต.หญิง ตวงทิพย์ ลดาวัลย์")</f>
        <v>น.ต.หญิง ตวงทิพย์ ลดาวัลย์</v>
      </c>
      <c r="N134" s="14" t="str">
        <f>IFERROR(__xludf.DUMMYFUNCTION("""COMPUTED_VALUE"""),"https://lh5.googleusercontent.com/d/1rl5r_TdNxhMAZm4spPLzzvHDp97q_vFL")</f>
        <v>https://lh5.googleusercontent.com/d/1rl5r_TdNxhMAZm4spPLzzvHDp97q_vFL</v>
      </c>
      <c r="O134" s="14" t="str">
        <f>IFERROR(__xludf.DUMMYFUNCTION("""COMPUTED_VALUE"""),"https://drive.google.com/file/d/1_yH6FBoCOo56Tdbf8mB_lxfAj7x4Nb1c/view?usp=drivesdk")</f>
        <v>https://drive.google.com/file/d/1_yH6FBoCOo56Tdbf8mB_lxfAj7x4Nb1c/view?usp=drivesdk</v>
      </c>
    </row>
    <row r="135">
      <c r="A135" s="3">
        <f>IFERROR(__xludf.DUMMYFUNCTION("""COMPUTED_VALUE"""),869.0)</f>
        <v>869</v>
      </c>
      <c r="B135" s="11">
        <f>IFERROR(__xludf.DUMMYFUNCTION("""COMPUTED_VALUE"""),45991.919619837965)</f>
        <v>45991.91962</v>
      </c>
      <c r="C135" s="3" t="str">
        <f>IFERROR(__xludf.DUMMYFUNCTION("""COMPUTED_VALUE"""),"ชั้นปีที่ 4")</f>
        <v>ชั้นปีที่ 4</v>
      </c>
      <c r="D135" s="3" t="str">
        <f>IFERROR(__xludf.DUMMYFUNCTION("""COMPUTED_VALUE"""),"6503709")</f>
        <v>6503709</v>
      </c>
      <c r="E135" s="3" t="str">
        <f>IFERROR(__xludf.DUMMYFUNCTION("""COMPUTED_VALUE"""),"20")</f>
        <v>20</v>
      </c>
      <c r="F135" s="3" t="str">
        <f>IFERROR(__xludf.DUMMYFUNCTION("""COMPUTED_VALUE"""),"นพอ.ณัฐณิชา ริดใย")</f>
        <v>นพอ.ณัฐณิชา ริดใย</v>
      </c>
      <c r="G13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5" s="3" t="str">
        <f>IFERROR(__xludf.DUMMYFUNCTION("""COMPUTED_VALUE"""),"เดิน วิ่ง ปั่น ป้องกันอัมพาต")</f>
        <v>เดิน วิ่ง ปั่น ป้องกันอัมพาต</v>
      </c>
      <c r="I135" s="3" t="str">
        <f>IFERROR(__xludf.DUMMYFUNCTION("""COMPUTED_VALUE"""),"ศาลากลางจังหวัดฉะเชิงเทรา")</f>
        <v>ศาลากลางจังหวัดฉะเชิงเทรา</v>
      </c>
      <c r="J135" s="12">
        <f>IFERROR(__xludf.DUMMYFUNCTION("""COMPUTED_VALUE"""),45956.0)</f>
        <v>45956</v>
      </c>
      <c r="K135" s="3" t="str">
        <f>IFERROR(__xludf.DUMMYFUNCTION("""COMPUTED_VALUE"""),"0500-0900")</f>
        <v>0500-0900</v>
      </c>
      <c r="L135" s="3">
        <f>IFERROR(__xludf.DUMMYFUNCTION("""COMPUTED_VALUE"""),4.0)</f>
        <v>4</v>
      </c>
      <c r="M135" s="3" t="str">
        <f>IFERROR(__xludf.DUMMYFUNCTION("""COMPUTED_VALUE"""),"น.ส.วันวิสา ดำริมุ่งกิจ")</f>
        <v>น.ส.วันวิสา ดำริมุ่งกิจ</v>
      </c>
      <c r="N135" s="14" t="str">
        <f>IFERROR(__xludf.DUMMYFUNCTION("""COMPUTED_VALUE"""),"https://lh5.googleusercontent.com/d/1Jhywrsc71vvJnqhaUvXRIF5cibkv_yel")</f>
        <v>https://lh5.googleusercontent.com/d/1Jhywrsc71vvJnqhaUvXRIF5cibkv_yel</v>
      </c>
      <c r="O135" s="14" t="str">
        <f>IFERROR(__xludf.DUMMYFUNCTION("""COMPUTED_VALUE"""),"https://drive.google.com/file/d/1_LhY3TBd05TkQnwL5vWdevMUZrWp9joJ/view?usp=drivesdk")</f>
        <v>https://drive.google.com/file/d/1_LhY3TBd05TkQnwL5vWdevMUZrWp9joJ/view?usp=drivesdk</v>
      </c>
    </row>
    <row r="136">
      <c r="A136" s="3">
        <f>IFERROR(__xludf.DUMMYFUNCTION("""COMPUTED_VALUE"""),876.0)</f>
        <v>876</v>
      </c>
      <c r="B136" s="11">
        <f>IFERROR(__xludf.DUMMYFUNCTION("""COMPUTED_VALUE"""),45991.92414822917)</f>
        <v>45991.92415</v>
      </c>
      <c r="C136" s="3" t="str">
        <f>IFERROR(__xludf.DUMMYFUNCTION("""COMPUTED_VALUE"""),"ชั้นปีที่ 4")</f>
        <v>ชั้นปีที่ 4</v>
      </c>
      <c r="D136" s="3" t="str">
        <f>IFERROR(__xludf.DUMMYFUNCTION("""COMPUTED_VALUE"""),"6503741")</f>
        <v>6503741</v>
      </c>
      <c r="E136" s="3" t="str">
        <f>IFERROR(__xludf.DUMMYFUNCTION("""COMPUTED_VALUE"""),"51")</f>
        <v>51</v>
      </c>
      <c r="F136" s="3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6" s="3" t="str">
        <f>IFERROR(__xludf.DUMMYFUNCTION("""COMPUTED_VALUE"""),"ช่วยเหลืองานภายใน วพอ.")</f>
        <v>ช่วยเหลืองานภายใน วพอ.</v>
      </c>
      <c r="H136" s="3" t="str">
        <f>IFERROR(__xludf.DUMMYFUNCTION("""COMPUTED_VALUE"""),"ดุริยางค์")</f>
        <v>ดุริยางค์</v>
      </c>
      <c r="I136" s="3" t="str">
        <f>IFERROR(__xludf.DUMMYFUNCTION("""COMPUTED_VALUE"""),"วพอ.พอ.")</f>
        <v>วพอ.พอ.</v>
      </c>
      <c r="J136" s="12">
        <f>IFERROR(__xludf.DUMMYFUNCTION("""COMPUTED_VALUE"""),45826.0)</f>
        <v>45826</v>
      </c>
      <c r="K136" s="3" t="str">
        <f>IFERROR(__xludf.DUMMYFUNCTION("""COMPUTED_VALUE"""),"0700-0800")</f>
        <v>0700-0800</v>
      </c>
      <c r="L136" s="3">
        <f>IFERROR(__xludf.DUMMYFUNCTION("""COMPUTED_VALUE"""),1.0)</f>
        <v>1</v>
      </c>
      <c r="M136" s="3" t="str">
        <f>IFERROR(__xludf.DUMMYFUNCTION("""COMPUTED_VALUE"""),"ร.อ. อนุชิต ทำจะดี")</f>
        <v>ร.อ. อนุชิต ทำจะดี</v>
      </c>
      <c r="N136" s="14" t="str">
        <f>IFERROR(__xludf.DUMMYFUNCTION("""COMPUTED_VALUE"""),"https://lh5.googleusercontent.com/d/1LaNIqzBDaSSApW-lpHlREK96BXimQ95m")</f>
        <v>https://lh5.googleusercontent.com/d/1LaNIqzBDaSSApW-lpHlREK96BXimQ95m</v>
      </c>
      <c r="O136" s="3"/>
    </row>
    <row r="137">
      <c r="A137" s="3">
        <f>IFERROR(__xludf.DUMMYFUNCTION("""COMPUTED_VALUE"""),879.0)</f>
        <v>879</v>
      </c>
      <c r="B137" s="11">
        <f>IFERROR(__xludf.DUMMYFUNCTION("""COMPUTED_VALUE"""),45991.92614724537)</f>
        <v>45991.92615</v>
      </c>
      <c r="C137" s="3" t="str">
        <f>IFERROR(__xludf.DUMMYFUNCTION("""COMPUTED_VALUE"""),"ชั้นปีที่ 4")</f>
        <v>ชั้นปีที่ 4</v>
      </c>
      <c r="D137" s="3" t="str">
        <f>IFERROR(__xludf.DUMMYFUNCTION("""COMPUTED_VALUE"""),"6503743")</f>
        <v>6503743</v>
      </c>
      <c r="E137" s="3" t="str">
        <f>IFERROR(__xludf.DUMMYFUNCTION("""COMPUTED_VALUE"""),"53")</f>
        <v>53</v>
      </c>
      <c r="F137" s="3" t="str">
        <f>IFERROR(__xludf.DUMMYFUNCTION("""COMPUTED_VALUE"""),"นพอ.ศศิกานต์ ไคลมี")</f>
        <v>นพอ.ศศิกานต์ ไคลมี</v>
      </c>
      <c r="G137" s="3" t="str">
        <f>IFERROR(__xludf.DUMMYFUNCTION("""COMPUTED_VALUE"""),"ทำนุบำรุงศาสนสถาน")</f>
        <v>ทำนุบำรุงศาสนสถาน</v>
      </c>
      <c r="H137" s="3" t="str">
        <f>IFERROR(__xludf.DUMMYFUNCTION("""COMPUTED_VALUE"""),"งานกฐิน")</f>
        <v>งานกฐิน</v>
      </c>
      <c r="I137" s="3" t="str">
        <f>IFERROR(__xludf.DUMMYFUNCTION("""COMPUTED_VALUE"""),"วันบ้านนา ฉะเชิงเทรา")</f>
        <v>วันบ้านนา ฉะเชิงเทรา</v>
      </c>
      <c r="J137" s="12">
        <f>IFERROR(__xludf.DUMMYFUNCTION("""COMPUTED_VALUE"""),45955.0)</f>
        <v>45955</v>
      </c>
      <c r="K137" s="3" t="str">
        <f>IFERROR(__xludf.DUMMYFUNCTION("""COMPUTED_VALUE"""),"0800-1200")</f>
        <v>0800-1200</v>
      </c>
      <c r="L137" s="3">
        <f>IFERROR(__xludf.DUMMYFUNCTION("""COMPUTED_VALUE"""),4.0)</f>
        <v>4</v>
      </c>
      <c r="M137" s="3" t="str">
        <f>IFERROR(__xludf.DUMMYFUNCTION("""COMPUTED_VALUE"""),"นางรัตติกาล หงษ์สิริ")</f>
        <v>นางรัตติกาล หงษ์สิริ</v>
      </c>
      <c r="N137" s="14" t="str">
        <f>IFERROR(__xludf.DUMMYFUNCTION("""COMPUTED_VALUE"""),"https://lh5.googleusercontent.com/d/1rOmsXI9QkLYFXLxVntSyhcZGrnGQuS2-")</f>
        <v>https://lh5.googleusercontent.com/d/1rOmsXI9QkLYFXLxVntSyhcZGrnGQuS2-</v>
      </c>
      <c r="O137" s="14" t="str">
        <f>IFERROR(__xludf.DUMMYFUNCTION("""COMPUTED_VALUE"""),"https://drive.google.com/file/d/1165hYSNUa9WiaZa59WRZyV0opci4YzGb/view?usp=drivesdk")</f>
        <v>https://drive.google.com/file/d/1165hYSNUa9WiaZa59WRZyV0opci4YzGb/view?usp=drivesdk</v>
      </c>
    </row>
    <row r="138">
      <c r="A138" s="3">
        <f>IFERROR(__xludf.DUMMYFUNCTION("""COMPUTED_VALUE"""),880.0)</f>
        <v>880</v>
      </c>
      <c r="B138" s="11">
        <f>IFERROR(__xludf.DUMMYFUNCTION("""COMPUTED_VALUE"""),45991.92654034722)</f>
        <v>45991.92654</v>
      </c>
      <c r="C138" s="3" t="str">
        <f>IFERROR(__xludf.DUMMYFUNCTION("""COMPUTED_VALUE"""),"ชั้นปีที่ 4")</f>
        <v>ชั้นปีที่ 4</v>
      </c>
      <c r="D138" s="3" t="str">
        <f>IFERROR(__xludf.DUMMYFUNCTION("""COMPUTED_VALUE"""),"3741")</f>
        <v>3741</v>
      </c>
      <c r="E138" s="3" t="str">
        <f>IFERROR(__xludf.DUMMYFUNCTION("""COMPUTED_VALUE"""),"51")</f>
        <v>51</v>
      </c>
      <c r="F138" s="3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8" s="3" t="str">
        <f>IFERROR(__xludf.DUMMYFUNCTION("""COMPUTED_VALUE"""),"ทำนุบำรุงศาสนสถาน")</f>
        <v>ทำนุบำรุงศาสนสถาน</v>
      </c>
      <c r="H138" s="3" t="str">
        <f>IFERROR(__xludf.DUMMYFUNCTION("""COMPUTED_VALUE"""),"ตักบาตร")</f>
        <v>ตักบาตร</v>
      </c>
      <c r="I138" s="3" t="str">
        <f>IFERROR(__xludf.DUMMYFUNCTION("""COMPUTED_VALUE"""),"รพ.ภูมิพลอดุลยเดช")</f>
        <v>รพ.ภูมิพลอดุลยเดช</v>
      </c>
      <c r="J138" s="12">
        <f>IFERROR(__xludf.DUMMYFUNCTION("""COMPUTED_VALUE"""),45813.0)</f>
        <v>45813</v>
      </c>
      <c r="K138" s="3" t="str">
        <f>IFERROR(__xludf.DUMMYFUNCTION("""COMPUTED_VALUE"""),"0630-0730")</f>
        <v>0630-0730</v>
      </c>
      <c r="L138" s="3">
        <f>IFERROR(__xludf.DUMMYFUNCTION("""COMPUTED_VALUE"""),1.0)</f>
        <v>1</v>
      </c>
      <c r="M138" s="3" t="str">
        <f>IFERROR(__xludf.DUMMYFUNCTION("""COMPUTED_VALUE"""),"ร.ท. ฤทธิพล อ้วนสิงห์")</f>
        <v>ร.ท. ฤทธิพล อ้วนสิงห์</v>
      </c>
      <c r="N138" s="14" t="str">
        <f>IFERROR(__xludf.DUMMYFUNCTION("""COMPUTED_VALUE"""),"https://lh5.googleusercontent.com/d/1R5Jc7A2ZEa1KNH6LJwcxuiytUfCSP6-9")</f>
        <v>https://lh5.googleusercontent.com/d/1R5Jc7A2ZEa1KNH6LJwcxuiytUfCSP6-9</v>
      </c>
      <c r="O138" s="14" t="str">
        <f>IFERROR(__xludf.DUMMYFUNCTION("""COMPUTED_VALUE"""),"https://drive.google.com/file/d/1TOl2o-b0MyqtvHpFuiot3EwHreNlvyUp/view?usp=drivesdk")</f>
        <v>https://drive.google.com/file/d/1TOl2o-b0MyqtvHpFuiot3EwHreNlvyUp/view?usp=drivesdk</v>
      </c>
    </row>
    <row r="139">
      <c r="A139" s="3">
        <f>IFERROR(__xludf.DUMMYFUNCTION("""COMPUTED_VALUE"""),888.0)</f>
        <v>888</v>
      </c>
      <c r="B139" s="11">
        <f>IFERROR(__xludf.DUMMYFUNCTION("""COMPUTED_VALUE"""),45991.93095076388)</f>
        <v>45991.93095</v>
      </c>
      <c r="C139" s="3" t="str">
        <f>IFERROR(__xludf.DUMMYFUNCTION("""COMPUTED_VALUE"""),"ชั้นปีที่ 4")</f>
        <v>ชั้นปีที่ 4</v>
      </c>
      <c r="D139" s="3" t="str">
        <f>IFERROR(__xludf.DUMMYFUNCTION("""COMPUTED_VALUE"""),"6503741")</f>
        <v>6503741</v>
      </c>
      <c r="E139" s="3" t="str">
        <f>IFERROR(__xludf.DUMMYFUNCTION("""COMPUTED_VALUE"""),"51")</f>
        <v>51</v>
      </c>
      <c r="F139" s="3" t="str">
        <f>IFERROR(__xludf.DUMMYFUNCTION("""COMPUTED_VALUE"""),"นพอ.วรินันท์ ประสิทธิ์ลาภสกุล")</f>
        <v>นพอ.วรินันท์ ประสิทธิ์ลาภสกุล</v>
      </c>
      <c r="G13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9" s="3" t="str">
        <f>IFERROR(__xludf.DUMMYFUNCTION("""COMPUTED_VALUE"""),"เดิน วิ่ง ปั่น ป้องกันอัมพาต")</f>
        <v>เดิน วิ่ง ปั่น ป้องกันอัมพาต</v>
      </c>
      <c r="I139" s="3" t="str">
        <f>IFERROR(__xludf.DUMMYFUNCTION("""COMPUTED_VALUE"""),"สวนสาธารณะเฉลิมพระเกียรติ ฉะเชิงเทรา")</f>
        <v>สวนสาธารณะเฉลิมพระเกียรติ ฉะเชิงเทรา</v>
      </c>
      <c r="J139" s="12">
        <f>IFERROR(__xludf.DUMMYFUNCTION("""COMPUTED_VALUE"""),45956.0)</f>
        <v>45956</v>
      </c>
      <c r="K139" s="3" t="str">
        <f>IFERROR(__xludf.DUMMYFUNCTION("""COMPUTED_VALUE"""),"0530-1030")</f>
        <v>0530-1030</v>
      </c>
      <c r="L139" s="3">
        <f>IFERROR(__xludf.DUMMYFUNCTION("""COMPUTED_VALUE"""),5.0)</f>
        <v>5</v>
      </c>
      <c r="M139" s="3" t="str">
        <f>IFERROR(__xludf.DUMMYFUNCTION("""COMPUTED_VALUE"""),"นางสาวพนิดา เกิดผักแว่น")</f>
        <v>นางสาวพนิดา เกิดผักแว่น</v>
      </c>
      <c r="N139" s="14" t="str">
        <f>IFERROR(__xludf.DUMMYFUNCTION("""COMPUTED_VALUE"""),"https://lh5.googleusercontent.com/d/1ha8GLdr6eWbMnUUQ2L-kA5hEcjXk8noV")</f>
        <v>https://lh5.googleusercontent.com/d/1ha8GLdr6eWbMnUUQ2L-kA5hEcjXk8noV</v>
      </c>
      <c r="O139" s="14" t="str">
        <f>IFERROR(__xludf.DUMMYFUNCTION("""COMPUTED_VALUE"""),"https://drive.google.com/file/d/1VFzh3keiwZy37oaUxC2Rp_ifcK36A1AL/view?usp=drivesdk")</f>
        <v>https://drive.google.com/file/d/1VFzh3keiwZy37oaUxC2Rp_ifcK36A1AL/view?usp=drivesdk</v>
      </c>
    </row>
    <row r="140">
      <c r="A140" s="3">
        <f>IFERROR(__xludf.DUMMYFUNCTION("""COMPUTED_VALUE"""),889.0)</f>
        <v>889</v>
      </c>
      <c r="B140" s="11">
        <f>IFERROR(__xludf.DUMMYFUNCTION("""COMPUTED_VALUE"""),45991.93127792824)</f>
        <v>45991.93128</v>
      </c>
      <c r="C140" s="3" t="str">
        <f>IFERROR(__xludf.DUMMYFUNCTION("""COMPUTED_VALUE"""),"ชั้นปีที่ 4")</f>
        <v>ชั้นปีที่ 4</v>
      </c>
      <c r="D140" s="3" t="str">
        <f>IFERROR(__xludf.DUMMYFUNCTION("""COMPUTED_VALUE"""),"6503735")</f>
        <v>6503735</v>
      </c>
      <c r="E140" s="3" t="str">
        <f>IFERROR(__xludf.DUMMYFUNCTION("""COMPUTED_VALUE"""),"45")</f>
        <v>45</v>
      </c>
      <c r="F140" s="3" t="str">
        <f>IFERROR(__xludf.DUMMYFUNCTION("""COMPUTED_VALUE"""),"นพอ.มัญชุสา อภิรมย์ชวาล")</f>
        <v>นพอ.มัญชุสา อภิรมย์ชวาล</v>
      </c>
      <c r="G140" s="3" t="str">
        <f>IFERROR(__xludf.DUMMYFUNCTION("""COMPUTED_VALUE"""),"งานฟรีทั่วไป")</f>
        <v>งานฟรีทั่วไป</v>
      </c>
      <c r="H140" s="3" t="str">
        <f>IFERROR(__xludf.DUMMYFUNCTION("""COMPUTED_VALUE"""),"5ส.อนามัย")</f>
        <v>5ส.อนามัย</v>
      </c>
      <c r="I140" s="3" t="str">
        <f>IFERROR(__xludf.DUMMYFUNCTION("""COMPUTED_VALUE"""),"อนามัยวัดบ้านนา")</f>
        <v>อนามัยวัดบ้านนา</v>
      </c>
      <c r="J140" s="12">
        <f>IFERROR(__xludf.DUMMYFUNCTION("""COMPUTED_VALUE"""),45947.0)</f>
        <v>45947</v>
      </c>
      <c r="K140" s="3" t="str">
        <f>IFERROR(__xludf.DUMMYFUNCTION("""COMPUTED_VALUE"""),"1000-1300")</f>
        <v>1000-1300</v>
      </c>
      <c r="L140" s="3">
        <f>IFERROR(__xludf.DUMMYFUNCTION("""COMPUTED_VALUE"""),3.0)</f>
        <v>3</v>
      </c>
      <c r="M140" s="3" t="str">
        <f>IFERROR(__xludf.DUMMYFUNCTION("""COMPUTED_VALUE"""),"นางรัตติกาล หงษ์ศิริ")</f>
        <v>นางรัตติกาล หงษ์ศิริ</v>
      </c>
      <c r="N140" s="14" t="str">
        <f>IFERROR(__xludf.DUMMYFUNCTION("""COMPUTED_VALUE"""),"https://lh5.googleusercontent.com/d/19yvo5rcNCCGRkmlZxrmdCGbO2_WztH8s")</f>
        <v>https://lh5.googleusercontent.com/d/19yvo5rcNCCGRkmlZxrmdCGbO2_WztH8s</v>
      </c>
      <c r="O140" s="14" t="str">
        <f>IFERROR(__xludf.DUMMYFUNCTION("""COMPUTED_VALUE"""),"https://drive.google.com/file/d/1JZTs9mna2ltBQ-8jPLQKPdggCTtOdBlt/view?usp=drivesdk")</f>
        <v>https://drive.google.com/file/d/1JZTs9mna2ltBQ-8jPLQKPdggCTtOdBlt/view?usp=drivesdk</v>
      </c>
    </row>
    <row r="141">
      <c r="A141" s="3">
        <f>IFERROR(__xludf.DUMMYFUNCTION("""COMPUTED_VALUE"""),897.0)</f>
        <v>897</v>
      </c>
      <c r="B141" s="11">
        <f>IFERROR(__xludf.DUMMYFUNCTION("""COMPUTED_VALUE"""),45991.93414653935)</f>
        <v>45991.93415</v>
      </c>
      <c r="C141" s="3" t="str">
        <f>IFERROR(__xludf.DUMMYFUNCTION("""COMPUTED_VALUE"""),"ชั้นปีที่ 4")</f>
        <v>ชั้นปีที่ 4</v>
      </c>
      <c r="D141" s="3" t="str">
        <f>IFERROR(__xludf.DUMMYFUNCTION("""COMPUTED_VALUE"""),"6503743")</f>
        <v>6503743</v>
      </c>
      <c r="E141" s="3" t="str">
        <f>IFERROR(__xludf.DUMMYFUNCTION("""COMPUTED_VALUE"""),"53")</f>
        <v>53</v>
      </c>
      <c r="F141" s="3" t="str">
        <f>IFERROR(__xludf.DUMMYFUNCTION("""COMPUTED_VALUE"""),"นพอ.ศศิกานต์ ไคลมี")</f>
        <v>นพอ.ศศิกานต์ ไคลมี</v>
      </c>
      <c r="G141" s="3" t="str">
        <f>IFERROR(__xludf.DUMMYFUNCTION("""COMPUTED_VALUE"""),"งานฟรีทั่วไป")</f>
        <v>งานฟรีทั่วไป</v>
      </c>
      <c r="H141" s="3" t="str">
        <f>IFERROR(__xludf.DUMMYFUNCTION("""COMPUTED_VALUE"""),"5ส.อนามัย")</f>
        <v>5ส.อนามัย</v>
      </c>
      <c r="I141" s="3" t="str">
        <f>IFERROR(__xludf.DUMMYFUNCTION("""COMPUTED_VALUE"""),"โรงเรียนวัดบ้านนา")</f>
        <v>โรงเรียนวัดบ้านนา</v>
      </c>
      <c r="J141" s="12">
        <f>IFERROR(__xludf.DUMMYFUNCTION("""COMPUTED_VALUE"""),45947.0)</f>
        <v>45947</v>
      </c>
      <c r="K141" s="3" t="str">
        <f>IFERROR(__xludf.DUMMYFUNCTION("""COMPUTED_VALUE"""),"1000-1300")</f>
        <v>1000-1300</v>
      </c>
      <c r="L141" s="3">
        <f>IFERROR(__xludf.DUMMYFUNCTION("""COMPUTED_VALUE"""),3.0)</f>
        <v>3</v>
      </c>
      <c r="M141" s="3" t="str">
        <f>IFERROR(__xludf.DUMMYFUNCTION("""COMPUTED_VALUE"""),"นางรัตติกาล หงษ์ศิริ")</f>
        <v>นางรัตติกาล หงษ์ศิริ</v>
      </c>
      <c r="N141" s="14" t="str">
        <f>IFERROR(__xludf.DUMMYFUNCTION("""COMPUTED_VALUE"""),"https://lh5.googleusercontent.com/d/1KhJ976ftEg9v3y9ztK9u28XbOaugJpr-")</f>
        <v>https://lh5.googleusercontent.com/d/1KhJ976ftEg9v3y9ztK9u28XbOaugJpr-</v>
      </c>
      <c r="O141" s="14" t="str">
        <f>IFERROR(__xludf.DUMMYFUNCTION("""COMPUTED_VALUE"""),"https://drive.google.com/file/d/1PkfwYpL-gZp-5TJhBWYgWlYaffiRh8a3/view?usp=drivesdk")</f>
        <v>https://drive.google.com/file/d/1PkfwYpL-gZp-5TJhBWYgWlYaffiRh8a3/view?usp=drivesdk</v>
      </c>
    </row>
    <row r="142">
      <c r="A142" s="3">
        <f>IFERROR(__xludf.DUMMYFUNCTION("""COMPUTED_VALUE"""),938.0)</f>
        <v>938</v>
      </c>
      <c r="B142" s="11">
        <f>IFERROR(__xludf.DUMMYFUNCTION("""COMPUTED_VALUE"""),45991.973635277776)</f>
        <v>45991.97364</v>
      </c>
      <c r="C142" s="3" t="str">
        <f>IFERROR(__xludf.DUMMYFUNCTION("""COMPUTED_VALUE"""),"ชั้นปีที่ 4")</f>
        <v>ชั้นปีที่ 4</v>
      </c>
      <c r="D142" s="3" t="str">
        <f>IFERROR(__xludf.DUMMYFUNCTION("""COMPUTED_VALUE"""),"6503711")</f>
        <v>6503711</v>
      </c>
      <c r="E142" s="3" t="str">
        <f>IFERROR(__xludf.DUMMYFUNCTION("""COMPUTED_VALUE"""),"22")</f>
        <v>22</v>
      </c>
      <c r="F142" s="3" t="str">
        <f>IFERROR(__xludf.DUMMYFUNCTION("""COMPUTED_VALUE"""),"ณิชกานต์ เคนออง")</f>
        <v>ณิชกานต์ เคนออง</v>
      </c>
      <c r="G14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42" s="3" t="str">
        <f>IFERROR(__xludf.DUMMYFUNCTION("""COMPUTED_VALUE"""),"เดิน วิ่ง ปั่น ป้องกัน อัมพาต ครั้งที่ 11 เฉลิมพระเกียรติ")</f>
        <v>เดิน วิ่ง ปั่น ป้องกัน อัมพาต ครั้งที่ 11 เฉลิมพระเกียรติ</v>
      </c>
      <c r="I142" s="3" t="str">
        <f>IFERROR(__xludf.DUMMYFUNCTION("""COMPUTED_VALUE"""),"ศาลากลาง จะ.ฉะเชิงเทรา")</f>
        <v>ศาลากลาง จะ.ฉะเชิงเทรา</v>
      </c>
      <c r="J142" s="12">
        <f>IFERROR(__xludf.DUMMYFUNCTION("""COMPUTED_VALUE"""),45956.0)</f>
        <v>45956</v>
      </c>
      <c r="K142" s="3" t="str">
        <f>IFERROR(__xludf.DUMMYFUNCTION("""COMPUTED_VALUE"""),"0500-0900 ")</f>
        <v>0500-0900 </v>
      </c>
      <c r="L142" s="3">
        <f>IFERROR(__xludf.DUMMYFUNCTION("""COMPUTED_VALUE"""),4.0)</f>
        <v>4</v>
      </c>
      <c r="M142" s="3" t="str">
        <f>IFERROR(__xludf.DUMMYFUNCTION("""COMPUTED_VALUE"""),"นางสาววันวิสา ดำรงมุ่งกิจ")</f>
        <v>นางสาววันวิสา ดำรงมุ่งกิจ</v>
      </c>
      <c r="N142" s="14" t="str">
        <f>IFERROR(__xludf.DUMMYFUNCTION("""COMPUTED_VALUE"""),"https://lh5.googleusercontent.com/d/1uHb1iXcLe_Q23KjhuPxszI9Fj-FVNigX")</f>
        <v>https://lh5.googleusercontent.com/d/1uHb1iXcLe_Q23KjhuPxszI9Fj-FVNigX</v>
      </c>
      <c r="O142" s="14" t="str">
        <f>IFERROR(__xludf.DUMMYFUNCTION("""COMPUTED_VALUE"""),"https://drive.google.com/file/d/1SaeCxg1OKxQI6YAsZKfhFGvqbbeaqos5/view?usp=drivesdk")</f>
        <v>https://drive.google.com/file/d/1SaeCxg1OKxQI6YAsZKfhFGvqbbeaqos5/view?usp=drivesdk</v>
      </c>
    </row>
    <row r="143">
      <c r="A143" s="3">
        <f>IFERROR(__xludf.DUMMYFUNCTION("""COMPUTED_VALUE"""),944.0)</f>
        <v>944</v>
      </c>
      <c r="B143" s="11">
        <f>IFERROR(__xludf.DUMMYFUNCTION("""COMPUTED_VALUE"""),45991.979987164355)</f>
        <v>45991.97999</v>
      </c>
      <c r="C143" s="3" t="str">
        <f>IFERROR(__xludf.DUMMYFUNCTION("""COMPUTED_VALUE"""),"ชั้นปีที่ 4")</f>
        <v>ชั้นปีที่ 4</v>
      </c>
      <c r="D143" s="3" t="str">
        <f>IFERROR(__xludf.DUMMYFUNCTION("""COMPUTED_VALUE"""),"6503711")</f>
        <v>6503711</v>
      </c>
      <c r="E143" s="3" t="str">
        <f>IFERROR(__xludf.DUMMYFUNCTION("""COMPUTED_VALUE"""),"22")</f>
        <v>22</v>
      </c>
      <c r="F143" s="3" t="str">
        <f>IFERROR(__xludf.DUMMYFUNCTION("""COMPUTED_VALUE"""),"ณิชกานต์ เคนออง")</f>
        <v>ณิชกานต์ เคนออง</v>
      </c>
      <c r="G143" s="3" t="str">
        <f>IFERROR(__xludf.DUMMYFUNCTION("""COMPUTED_VALUE"""),"ทำนุบำรุงศาสนสถาน")</f>
        <v>ทำนุบำรุงศาสนสถาน</v>
      </c>
      <c r="H143" s="3" t="str">
        <f>IFERROR(__xludf.DUMMYFUNCTION("""COMPUTED_VALUE"""),"งานกฐินวัดทดราษฎร์เจริญมณีฤทธิ์")</f>
        <v>งานกฐินวัดทดราษฎร์เจริญมณีฤทธิ์</v>
      </c>
      <c r="I143" s="3" t="str">
        <f>IFERROR(__xludf.DUMMYFUNCTION("""COMPUTED_VALUE"""),"ต.บางไผ่ อ.เมือง จ.ฉะเชิงเทรา ")</f>
        <v>ต.บางไผ่ อ.เมือง จ.ฉะเชิงเทรา </v>
      </c>
      <c r="J143" s="12">
        <f>IFERROR(__xludf.DUMMYFUNCTION("""COMPUTED_VALUE"""),45949.0)</f>
        <v>45949</v>
      </c>
      <c r="K143" s="3" t="str">
        <f>IFERROR(__xludf.DUMMYFUNCTION("""COMPUTED_VALUE"""),"0830-1230")</f>
        <v>0830-1230</v>
      </c>
      <c r="L143" s="3">
        <f>IFERROR(__xludf.DUMMYFUNCTION("""COMPUTED_VALUE"""),4.0)</f>
        <v>4</v>
      </c>
      <c r="M143" s="3" t="str">
        <f>IFERROR(__xludf.DUMMYFUNCTION("""COMPUTED_VALUE"""),"นางสาววันวิสา ดำรงมุ่งกิจ")</f>
        <v>นางสาววันวิสา ดำรงมุ่งกิจ</v>
      </c>
      <c r="N143" s="14" t="str">
        <f>IFERROR(__xludf.DUMMYFUNCTION("""COMPUTED_VALUE"""),"https://lh5.googleusercontent.com/d/1NiLrxII8aO-VbLTJT0fD3rPf1ymuq0ZW")</f>
        <v>https://lh5.googleusercontent.com/d/1NiLrxII8aO-VbLTJT0fD3rPf1ymuq0ZW</v>
      </c>
      <c r="O143" s="14" t="str">
        <f>IFERROR(__xludf.DUMMYFUNCTION("""COMPUTED_VALUE"""),"https://drive.google.com/file/d/1x0-rIuoC2YVIsp-PHu6lHC9gt_eXRZJb/view?usp=drivesdk")</f>
        <v>https://drive.google.com/file/d/1x0-rIuoC2YVIsp-PHu6lHC9gt_eXRZJb/view?usp=drivesdk</v>
      </c>
    </row>
    <row r="144">
      <c r="A144" s="3">
        <f>IFERROR(__xludf.DUMMYFUNCTION("""COMPUTED_VALUE"""),948.0)</f>
        <v>948</v>
      </c>
      <c r="B144" s="11">
        <f>IFERROR(__xludf.DUMMYFUNCTION("""COMPUTED_VALUE"""),45991.98762961805)</f>
        <v>45991.98763</v>
      </c>
      <c r="C144" s="3" t="str">
        <f>IFERROR(__xludf.DUMMYFUNCTION("""COMPUTED_VALUE"""),"ชั้นปีที่ 4")</f>
        <v>ชั้นปีที่ 4</v>
      </c>
      <c r="D144" s="3" t="str">
        <f>IFERROR(__xludf.DUMMYFUNCTION("""COMPUTED_VALUE"""),"6503711")</f>
        <v>6503711</v>
      </c>
      <c r="E144" s="3" t="str">
        <f>IFERROR(__xludf.DUMMYFUNCTION("""COMPUTED_VALUE"""),"22")</f>
        <v>22</v>
      </c>
      <c r="F144" s="3" t="str">
        <f>IFERROR(__xludf.DUMMYFUNCTION("""COMPUTED_VALUE"""),"ณิชกานต์ เคนออง")</f>
        <v>ณิชกานต์ เคนออง</v>
      </c>
      <c r="G144" s="3" t="str">
        <f>IFERROR(__xludf.DUMMYFUNCTION("""COMPUTED_VALUE"""),"ทำนุบำรุงศาสนสถาน")</f>
        <v>ทำนุบำรุงศาสนสถาน</v>
      </c>
      <c r="H144" s="3" t="str">
        <f>IFERROR(__xludf.DUMMYFUNCTION("""COMPUTED_VALUE"""),"งานทำบุญตักบาตรเนื่องในวันสวรรคต")</f>
        <v>งานทำบุญตักบาตรเนื่องในวันสวรรคต</v>
      </c>
      <c r="I144" s="3" t="str">
        <f>IFERROR(__xludf.DUMMYFUNCTION("""COMPUTED_VALUE"""),"ต.บางไผ่ อ.เมือง จ.ฉะเชิงเทรา")</f>
        <v>ต.บางไผ่ อ.เมือง จ.ฉะเชิงเทรา</v>
      </c>
      <c r="J144" s="12">
        <f>IFERROR(__xludf.DUMMYFUNCTION("""COMPUTED_VALUE"""),45943.0)</f>
        <v>45943</v>
      </c>
      <c r="K144" s="3" t="str">
        <f>IFERROR(__xludf.DUMMYFUNCTION("""COMPUTED_VALUE"""),"0730-0930")</f>
        <v>0730-0930</v>
      </c>
      <c r="L144" s="3">
        <f>IFERROR(__xludf.DUMMYFUNCTION("""COMPUTED_VALUE"""),2.0)</f>
        <v>2</v>
      </c>
      <c r="M144" s="3" t="str">
        <f>IFERROR(__xludf.DUMMYFUNCTION("""COMPUTED_VALUE"""),"นางสาววันวิสา ดำรงมุ่งกิจ")</f>
        <v>นางสาววันวิสา ดำรงมุ่งกิจ</v>
      </c>
      <c r="N144" s="14" t="str">
        <f>IFERROR(__xludf.DUMMYFUNCTION("""COMPUTED_VALUE"""),"https://lh5.googleusercontent.com/d/1WYvOAavMoniOU0KkGEx17mFelZQ-XK7c")</f>
        <v>https://lh5.googleusercontent.com/d/1WYvOAavMoniOU0KkGEx17mFelZQ-XK7c</v>
      </c>
      <c r="O144" s="14" t="str">
        <f>IFERROR(__xludf.DUMMYFUNCTION("""COMPUTED_VALUE"""),"https://drive.google.com/file/d/1EmFrvljhYS3m786Owz7LCcKGNYu9iE22/view?usp=drivesdk")</f>
        <v>https://drive.google.com/file/d/1EmFrvljhYS3m786Owz7LCcKGNYu9iE22/view?usp=drivesdk</v>
      </c>
    </row>
    <row r="145">
      <c r="A145" s="3">
        <f>IFERROR(__xludf.DUMMYFUNCTION("""COMPUTED_VALUE"""),953.0)</f>
        <v>953</v>
      </c>
      <c r="B145" s="11">
        <f>IFERROR(__xludf.DUMMYFUNCTION("""COMPUTED_VALUE"""),45991.991171331014)</f>
        <v>45991.99117</v>
      </c>
      <c r="C145" s="3" t="str">
        <f>IFERROR(__xludf.DUMMYFUNCTION("""COMPUTED_VALUE"""),"ชั้นปีที่ 4")</f>
        <v>ชั้นปีที่ 4</v>
      </c>
      <c r="D145" s="3" t="str">
        <f>IFERROR(__xludf.DUMMYFUNCTION("""COMPUTED_VALUE"""),"6503711")</f>
        <v>6503711</v>
      </c>
      <c r="E145" s="3" t="str">
        <f>IFERROR(__xludf.DUMMYFUNCTION("""COMPUTED_VALUE"""),"22")</f>
        <v>22</v>
      </c>
      <c r="F145" s="3" t="str">
        <f>IFERROR(__xludf.DUMMYFUNCTION("""COMPUTED_VALUE"""),"ณิชกานต์ เคนออง")</f>
        <v>ณิชกานต์ เคนออง</v>
      </c>
      <c r="G14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45" s="3" t="str">
        <f>IFERROR(__xludf.DUMMYFUNCTION("""COMPUTED_VALUE"""),"โครงการ วัด ประชา รัฐ สร้างสุข")</f>
        <v>โครงการ วัด ประชา รัฐ สร้างสุข</v>
      </c>
      <c r="I145" s="3" t="str">
        <f>IFERROR(__xludf.DUMMYFUNCTION("""COMPUTED_VALUE"""),"ต.บางไผ่ อ.เมือง จ.ฉะเชิงเทรา")</f>
        <v>ต.บางไผ่ อ.เมือง จ.ฉะเชิงเทรา</v>
      </c>
      <c r="J145" s="12">
        <f>IFERROR(__xludf.DUMMYFUNCTION("""COMPUTED_VALUE"""),45940.0)</f>
        <v>45940</v>
      </c>
      <c r="K145" s="3" t="str">
        <f>IFERROR(__xludf.DUMMYFUNCTION("""COMPUTED_VALUE"""),"0830-1230")</f>
        <v>0830-1230</v>
      </c>
      <c r="L145" s="3">
        <f>IFERROR(__xludf.DUMMYFUNCTION("""COMPUTED_VALUE"""),4.0)</f>
        <v>4</v>
      </c>
      <c r="M145" s="3" t="str">
        <f>IFERROR(__xludf.DUMMYFUNCTION("""COMPUTED_VALUE"""),"นางสาววันวิสา ดำรงมุ่งกิจ")</f>
        <v>นางสาววันวิสา ดำรงมุ่งกิจ</v>
      </c>
      <c r="N145" s="14" t="str">
        <f>IFERROR(__xludf.DUMMYFUNCTION("""COMPUTED_VALUE"""),"https://lh5.googleusercontent.com/d/1_lYUJ55YKSx7jfcCtuaWkTwC_VsJZJP3")</f>
        <v>https://lh5.googleusercontent.com/d/1_lYUJ55YKSx7jfcCtuaWkTwC_VsJZJP3</v>
      </c>
      <c r="O145" s="14" t="str">
        <f>IFERROR(__xludf.DUMMYFUNCTION("""COMPUTED_VALUE"""),"https://drive.google.com/file/d/1igbarmgyZmq-hYQ-ObfhpujVZoCYD4Gy/view?usp=drivesdk")</f>
        <v>https://drive.google.com/file/d/1igbarmgyZmq-hYQ-ObfhpujVZoCYD4Gy/view?usp=drivesdk</v>
      </c>
    </row>
    <row r="146">
      <c r="A146" s="3">
        <f>IFERROR(__xludf.DUMMYFUNCTION("""COMPUTED_VALUE"""),957.0)</f>
        <v>957</v>
      </c>
      <c r="B146" s="11">
        <f>IFERROR(__xludf.DUMMYFUNCTION("""COMPUTED_VALUE"""),45991.995950046294)</f>
        <v>45991.99595</v>
      </c>
      <c r="C146" s="3" t="str">
        <f>IFERROR(__xludf.DUMMYFUNCTION("""COMPUTED_VALUE"""),"ชั้นปีที่ 4")</f>
        <v>ชั้นปีที่ 4</v>
      </c>
      <c r="D146" s="3" t="str">
        <f>IFERROR(__xludf.DUMMYFUNCTION("""COMPUTED_VALUE"""),"6503711")</f>
        <v>6503711</v>
      </c>
      <c r="E146" s="3" t="str">
        <f>IFERROR(__xludf.DUMMYFUNCTION("""COMPUTED_VALUE"""),"22")</f>
        <v>22</v>
      </c>
      <c r="F146" s="3" t="str">
        <f>IFERROR(__xludf.DUMMYFUNCTION("""COMPUTED_VALUE"""),"ณิชกานต์ เคนออง")</f>
        <v>ณิชกานต์ เคนออง</v>
      </c>
      <c r="G14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46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46" s="3" t="str">
        <f>IFERROR(__xludf.DUMMYFUNCTION("""COMPUTED_VALUE"""),"สโมสรทหารอากาศชั้นประทวน")</f>
        <v>สโมสรทหารอากาศชั้นประทวน</v>
      </c>
      <c r="J146" s="12">
        <f>IFERROR(__xludf.DUMMYFUNCTION("""COMPUTED_VALUE"""),45854.0)</f>
        <v>45854</v>
      </c>
      <c r="K146" s="3" t="str">
        <f>IFERROR(__xludf.DUMMYFUNCTION("""COMPUTED_VALUE"""),"0700-1300")</f>
        <v>0700-1300</v>
      </c>
      <c r="L146" s="3">
        <f>IFERROR(__xludf.DUMMYFUNCTION("""COMPUTED_VALUE"""),6.0)</f>
        <v>6</v>
      </c>
      <c r="M146" s="3" t="str">
        <f>IFERROR(__xludf.DUMMYFUNCTION("""COMPUTED_VALUE"""),"น.ต.หญิง ตวงทิพย์ ลดาวัลย์")</f>
        <v>น.ต.หญิง ตวงทิพย์ ลดาวัลย์</v>
      </c>
      <c r="N146" s="14" t="str">
        <f>IFERROR(__xludf.DUMMYFUNCTION("""COMPUTED_VALUE"""),"https://lh5.googleusercontent.com/d/1KsOjLA1zDA69YyYhkCpdsBM04kGwe-YJ")</f>
        <v>https://lh5.googleusercontent.com/d/1KsOjLA1zDA69YyYhkCpdsBM04kGwe-YJ</v>
      </c>
      <c r="O146" s="14" t="str">
        <f>IFERROR(__xludf.DUMMYFUNCTION("""COMPUTED_VALUE"""),"https://drive.google.com/file/d/1rF1ByfnjMImn_6ly7s-95cHmJi9s1amQ/view?usp=drivesdk")</f>
        <v>https://drive.google.com/file/d/1rF1ByfnjMImn_6ly7s-95cHmJi9s1amQ/view?usp=drivesdk</v>
      </c>
    </row>
    <row r="147">
      <c r="A147" s="3">
        <f>IFERROR(__xludf.DUMMYFUNCTION("""COMPUTED_VALUE"""),961.0)</f>
        <v>961</v>
      </c>
      <c r="B147" s="11">
        <f>IFERROR(__xludf.DUMMYFUNCTION("""COMPUTED_VALUE"""),45991.999050370374)</f>
        <v>45991.99905</v>
      </c>
      <c r="C147" s="3" t="str">
        <f>IFERROR(__xludf.DUMMYFUNCTION("""COMPUTED_VALUE"""),"ชั้นปีที่ 4")</f>
        <v>ชั้นปีที่ 4</v>
      </c>
      <c r="D147" s="3" t="str">
        <f>IFERROR(__xludf.DUMMYFUNCTION("""COMPUTED_VALUE"""),"6503711")</f>
        <v>6503711</v>
      </c>
      <c r="E147" s="3" t="str">
        <f>IFERROR(__xludf.DUMMYFUNCTION("""COMPUTED_VALUE"""),"22")</f>
        <v>22</v>
      </c>
      <c r="F147" s="3" t="str">
        <f>IFERROR(__xludf.DUMMYFUNCTION("""COMPUTED_VALUE"""),"ณิชกานต์ เคนออง")</f>
        <v>ณิชกานต์ เคนออง</v>
      </c>
      <c r="G14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47" s="3" t="str">
        <f>IFERROR(__xludf.DUMMYFUNCTION("""COMPUTED_VALUE"""),"ร่วมงานนมัสการหลวงพ่อโสธร ปี68")</f>
        <v>ร่วมงานนมัสการหลวงพ่อโสธร ปี68</v>
      </c>
      <c r="I147" s="3" t="str">
        <f>IFERROR(__xludf.DUMMYFUNCTION("""COMPUTED_VALUE"""),"วัดหลวงพ่อโสธร")</f>
        <v>วัดหลวงพ่อโสธร</v>
      </c>
      <c r="J147" s="12">
        <f>IFERROR(__xludf.DUMMYFUNCTION("""COMPUTED_VALUE"""),45963.0)</f>
        <v>45963</v>
      </c>
      <c r="K147" s="3" t="str">
        <f>IFERROR(__xludf.DUMMYFUNCTION("""COMPUTED_VALUE"""),"0700-1100")</f>
        <v>0700-1100</v>
      </c>
      <c r="L147" s="3">
        <f>IFERROR(__xludf.DUMMYFUNCTION("""COMPUTED_VALUE"""),4.0)</f>
        <v>4</v>
      </c>
      <c r="M147" s="3" t="str">
        <f>IFERROR(__xludf.DUMMYFUNCTION("""COMPUTED_VALUE"""),"นางสาว วันวิสา ดำรงมุ่งกิจ")</f>
        <v>นางสาว วันวิสา ดำรงมุ่งกิจ</v>
      </c>
      <c r="N147" s="14" t="str">
        <f>IFERROR(__xludf.DUMMYFUNCTION("""COMPUTED_VALUE"""),"https://lh5.googleusercontent.com/d/1yyLL3OzxDWUeBo8yDEMhkU2vBMDwIulj")</f>
        <v>https://lh5.googleusercontent.com/d/1yyLL3OzxDWUeBo8yDEMhkU2vBMDwIulj</v>
      </c>
      <c r="O147" s="14" t="str">
        <f>IFERROR(__xludf.DUMMYFUNCTION("""COMPUTED_VALUE"""),"https://drive.google.com/file/d/1a4q1VcnyUMp1vENAWso_NmMoo450tGBa/view?usp=drivesdk")</f>
        <v>https://drive.google.com/file/d/1a4q1VcnyUMp1vENAWso_NmMoo450tGBa/view?usp=drivesdk</v>
      </c>
    </row>
    <row r="148">
      <c r="A148" s="3">
        <f>IFERROR(__xludf.DUMMYFUNCTION("""COMPUTED_VALUE"""),991.0)</f>
        <v>991</v>
      </c>
      <c r="B148" s="11">
        <f>IFERROR(__xludf.DUMMYFUNCTION("""COMPUTED_VALUE"""),45992.31892486111)</f>
        <v>45992.31892</v>
      </c>
      <c r="C148" s="3" t="str">
        <f>IFERROR(__xludf.DUMMYFUNCTION("""COMPUTED_VALUE"""),"ชั้นปีที่ 4")</f>
        <v>ชั้นปีที่ 4</v>
      </c>
      <c r="D148" s="3" t="str">
        <f>IFERROR(__xludf.DUMMYFUNCTION("""COMPUTED_VALUE"""),"6503728")</f>
        <v>6503728</v>
      </c>
      <c r="E148" s="3" t="str">
        <f>IFERROR(__xludf.DUMMYFUNCTION("""COMPUTED_VALUE"""),"38")</f>
        <v>38</v>
      </c>
      <c r="F148" s="3" t="str">
        <f>IFERROR(__xludf.DUMMYFUNCTION("""COMPUTED_VALUE"""),"นพอ.พรปราณี อุทัยวรรณ")</f>
        <v>นพอ.พรปราณี อุทัยวรรณ</v>
      </c>
      <c r="G148" s="3" t="str">
        <f>IFERROR(__xludf.DUMMYFUNCTION("""COMPUTED_VALUE"""),"ทำนุบำรุงศาสนสถาน")</f>
        <v>ทำนุบำรุงศาสนสถาน</v>
      </c>
      <c r="H148" s="3" t="str">
        <f>IFERROR(__xludf.DUMMYFUNCTION("""COMPUTED_VALUE"""),"งานทอดกฐิน")</f>
        <v>งานทอดกฐิน</v>
      </c>
      <c r="I148" s="3" t="str">
        <f>IFERROR(__xludf.DUMMYFUNCTION("""COMPUTED_VALUE"""),"วัดบ้านนา")</f>
        <v>วัดบ้านนา</v>
      </c>
      <c r="J148" s="12">
        <f>IFERROR(__xludf.DUMMYFUNCTION("""COMPUTED_VALUE"""),45955.0)</f>
        <v>45955</v>
      </c>
      <c r="K148" s="3" t="str">
        <f>IFERROR(__xludf.DUMMYFUNCTION("""COMPUTED_VALUE"""),"0800-1200")</f>
        <v>0800-1200</v>
      </c>
      <c r="L148" s="3">
        <f>IFERROR(__xludf.DUMMYFUNCTION("""COMPUTED_VALUE"""),4.0)</f>
        <v>4</v>
      </c>
      <c r="M148" s="3" t="str">
        <f>IFERROR(__xludf.DUMMYFUNCTION("""COMPUTED_VALUE"""),"นางรัตติกาล หงษ์ศิริ")</f>
        <v>นางรัตติกาล หงษ์ศิริ</v>
      </c>
      <c r="N148" s="14" t="str">
        <f>IFERROR(__xludf.DUMMYFUNCTION("""COMPUTED_VALUE"""),"https://lh5.googleusercontent.com/d/1TF8dqam6I1oS-9LPuimruJLPnuGhoe_a")</f>
        <v>https://lh5.googleusercontent.com/d/1TF8dqam6I1oS-9LPuimruJLPnuGhoe_a</v>
      </c>
      <c r="O148" s="14" t="str">
        <f>IFERROR(__xludf.DUMMYFUNCTION("""COMPUTED_VALUE"""),"https://drive.google.com/file/d/1eqDwq37K4WRI1bQsVR53SBSE8Sy4sk-n/view?usp=drivesdk")</f>
        <v>https://drive.google.com/file/d/1eqDwq37K4WRI1bQsVR53SBSE8Sy4sk-n/view?usp=drivesdk</v>
      </c>
    </row>
    <row r="149">
      <c r="A149" s="3">
        <f>IFERROR(__xludf.DUMMYFUNCTION("""COMPUTED_VALUE"""),992.0)</f>
        <v>992</v>
      </c>
      <c r="B149" s="11">
        <f>IFERROR(__xludf.DUMMYFUNCTION("""COMPUTED_VALUE"""),45992.321216620374)</f>
        <v>45992.32122</v>
      </c>
      <c r="C149" s="3" t="str">
        <f>IFERROR(__xludf.DUMMYFUNCTION("""COMPUTED_VALUE"""),"ชั้นปีที่ 4")</f>
        <v>ชั้นปีที่ 4</v>
      </c>
      <c r="D149" s="3" t="str">
        <f>IFERROR(__xludf.DUMMYFUNCTION("""COMPUTED_VALUE"""),"6503728")</f>
        <v>6503728</v>
      </c>
      <c r="E149" s="3" t="str">
        <f>IFERROR(__xludf.DUMMYFUNCTION("""COMPUTED_VALUE"""),"38")</f>
        <v>38</v>
      </c>
      <c r="F149" s="3" t="str">
        <f>IFERROR(__xludf.DUMMYFUNCTION("""COMPUTED_VALUE"""),"นพอ.พรปราณี อุทัยวรรณ")</f>
        <v>นพอ.พรปราณี อุทัยวรรณ</v>
      </c>
      <c r="G1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9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49" s="3" t="str">
        <f>IFERROR(__xludf.DUMMYFUNCTION("""COMPUTED_VALUE"""),"สโมสรทหารอากาศชั้นประทวน")</f>
        <v>สโมสรทหารอากาศชั้นประทวน</v>
      </c>
      <c r="J149" s="12">
        <f>IFERROR(__xludf.DUMMYFUNCTION("""COMPUTED_VALUE"""),45854.0)</f>
        <v>45854</v>
      </c>
      <c r="K149" s="3" t="str">
        <f>IFERROR(__xludf.DUMMYFUNCTION("""COMPUTED_VALUE"""),"0700-1300")</f>
        <v>0700-1300</v>
      </c>
      <c r="L149" s="3">
        <f>IFERROR(__xludf.DUMMYFUNCTION("""COMPUTED_VALUE"""),6.0)</f>
        <v>6</v>
      </c>
      <c r="M149" s="3" t="str">
        <f>IFERROR(__xludf.DUMMYFUNCTION("""COMPUTED_VALUE"""),"น.ต.หญิง ตวงทิพย์ ลดาวัลย์")</f>
        <v>น.ต.หญิง ตวงทิพย์ ลดาวัลย์</v>
      </c>
      <c r="N149" s="3"/>
      <c r="O149" s="3"/>
    </row>
    <row r="150">
      <c r="A150" s="3">
        <f>IFERROR(__xludf.DUMMYFUNCTION("""COMPUTED_VALUE"""),993.0)</f>
        <v>993</v>
      </c>
      <c r="B150" s="11">
        <f>IFERROR(__xludf.DUMMYFUNCTION("""COMPUTED_VALUE"""),45992.383221365744)</f>
        <v>45992.38322</v>
      </c>
      <c r="C150" s="3" t="str">
        <f>IFERROR(__xludf.DUMMYFUNCTION("""COMPUTED_VALUE"""),"ชั้นปีที่ 4")</f>
        <v>ชั้นปีที่ 4</v>
      </c>
      <c r="D150" s="3" t="str">
        <f>IFERROR(__xludf.DUMMYFUNCTION("""COMPUTED_VALUE"""),"6503728")</f>
        <v>6503728</v>
      </c>
      <c r="E150" s="3" t="str">
        <f>IFERROR(__xludf.DUMMYFUNCTION("""COMPUTED_VALUE"""),"38")</f>
        <v>38</v>
      </c>
      <c r="F150" s="3" t="str">
        <f>IFERROR(__xludf.DUMMYFUNCTION("""COMPUTED_VALUE"""),"นพอ.พรปราณี อุทัยวรรณ")</f>
        <v>นพอ.พรปราณี อุทัยวรรณ</v>
      </c>
      <c r="G1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0" s="3" t="str">
        <f>IFERROR(__xludf.DUMMYFUNCTION("""COMPUTED_VALUE""")," ร่วมโครงการคัดกรองสุขภาพเชิงรุกกำลังพลทอ.")</f>
        <v> ร่วมโครงการคัดกรองสุขภาพเชิงรุกกำลังพลทอ.</v>
      </c>
      <c r="I150" s="3" t="str">
        <f>IFERROR(__xludf.DUMMYFUNCTION("""COMPUTED_VALUE"""),"สโมสรทหารอากาศชั้นประทวน")</f>
        <v>สโมสรทหารอากาศชั้นประทวน</v>
      </c>
      <c r="J150" s="12">
        <f>IFERROR(__xludf.DUMMYFUNCTION("""COMPUTED_VALUE"""),45854.0)</f>
        <v>45854</v>
      </c>
      <c r="K150" s="3" t="str">
        <f>IFERROR(__xludf.DUMMYFUNCTION("""COMPUTED_VALUE"""),"0700-1300")</f>
        <v>0700-1300</v>
      </c>
      <c r="L150" s="3">
        <f>IFERROR(__xludf.DUMMYFUNCTION("""COMPUTED_VALUE"""),6.0)</f>
        <v>6</v>
      </c>
      <c r="M150" s="3" t="str">
        <f>IFERROR(__xludf.DUMMYFUNCTION("""COMPUTED_VALUE"""),"น.ต.หญิง ตวงทิพย์ ลดาวัลย์")</f>
        <v>น.ต.หญิง ตวงทิพย์ ลดาวัลย์</v>
      </c>
      <c r="N150" s="14" t="str">
        <f>IFERROR(__xludf.DUMMYFUNCTION("""COMPUTED_VALUE"""),"https://lh5.googleusercontent.com/d/1z_d6gXEQs72KtZIaaD3bu1E-MQxerhrC")</f>
        <v>https://lh5.googleusercontent.com/d/1z_d6gXEQs72KtZIaaD3bu1E-MQxerhrC</v>
      </c>
      <c r="O150" s="14" t="str">
        <f>IFERROR(__xludf.DUMMYFUNCTION("""COMPUTED_VALUE"""),"https://drive.google.com/file/d/1efkPdnGfFWutbWGHpgmf8lyAbhcjkB_n/view?usp=drivesdk")</f>
        <v>https://drive.google.com/file/d/1efkPdnGfFWutbWGHpgmf8lyAbhcjkB_n/view?usp=drivesdk</v>
      </c>
    </row>
    <row r="151">
      <c r="A151" s="3">
        <f>IFERROR(__xludf.DUMMYFUNCTION("""COMPUTED_VALUE"""),1037.0)</f>
        <v>1037</v>
      </c>
      <c r="B151" s="11">
        <f>IFERROR(__xludf.DUMMYFUNCTION("""COMPUTED_VALUE"""),45992.61456591436)</f>
        <v>45992.61457</v>
      </c>
      <c r="C151" s="3" t="str">
        <f>IFERROR(__xludf.DUMMYFUNCTION("""COMPUTED_VALUE"""),"ชั้นปีที่ 4")</f>
        <v>ชั้นปีที่ 4</v>
      </c>
      <c r="D151" s="3" t="str">
        <f>IFERROR(__xludf.DUMMYFUNCTION("""COMPUTED_VALUE"""),"6503751")</f>
        <v>6503751</v>
      </c>
      <c r="E151" s="3" t="str">
        <f>IFERROR(__xludf.DUMMYFUNCTION("""COMPUTED_VALUE"""),"61")</f>
        <v>61</v>
      </c>
      <c r="F151" s="3" t="str">
        <f>IFERROR(__xludf.DUMMYFUNCTION("""COMPUTED_VALUE"""),"นพอ.เสฏฐวุฒิ เฮียงโฮม")</f>
        <v>นพอ.เสฏฐวุฒิ เฮียงโฮม</v>
      </c>
      <c r="G1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1" s="3" t="str">
        <f>IFERROR(__xludf.DUMMYFUNCTION("""COMPUTED_VALUE"""),"ร่วมกิจกรรมคัดกรองกำลังพลเชิงรุกกำลังพลทอ.")</f>
        <v>ร่วมกิจกรรมคัดกรองกำลังพลเชิงรุกกำลังพลทอ.</v>
      </c>
      <c r="I151" s="3" t="str">
        <f>IFERROR(__xludf.DUMMYFUNCTION("""COMPUTED_VALUE"""),"สโมสรทหารอากาศชั้นประทวน")</f>
        <v>สโมสรทหารอากาศชั้นประทวน</v>
      </c>
      <c r="J151" s="12">
        <f>IFERROR(__xludf.DUMMYFUNCTION("""COMPUTED_VALUE"""),45854.0)</f>
        <v>45854</v>
      </c>
      <c r="K151" s="3" t="str">
        <f>IFERROR(__xludf.DUMMYFUNCTION("""COMPUTED_VALUE"""),"0700-1300")</f>
        <v>0700-1300</v>
      </c>
      <c r="L151" s="3">
        <f>IFERROR(__xludf.DUMMYFUNCTION("""COMPUTED_VALUE"""),6.0)</f>
        <v>6</v>
      </c>
      <c r="M151" s="3" t="str">
        <f>IFERROR(__xludf.DUMMYFUNCTION("""COMPUTED_VALUE"""),"น.ต.หญิง ตวงทิพย์ ลดาวัลย์")</f>
        <v>น.ต.หญิง ตวงทิพย์ ลดาวัลย์</v>
      </c>
      <c r="N151" s="14" t="str">
        <f>IFERROR(__xludf.DUMMYFUNCTION("""COMPUTED_VALUE"""),"https://lh5.googleusercontent.com/d/1dMrU-V1dx73EncoJ3z73j6qyduAPprKs")</f>
        <v>https://lh5.googleusercontent.com/d/1dMrU-V1dx73EncoJ3z73j6qyduAPprKs</v>
      </c>
      <c r="O151" s="14" t="str">
        <f>IFERROR(__xludf.DUMMYFUNCTION("""COMPUTED_VALUE"""),"https://drive.google.com/file/d/1_FthUXvFm9vYvOvTf7oPHF7kEeO93-Cc/view?usp=drivesdk")</f>
        <v>https://drive.google.com/file/d/1_FthUXvFm9vYvOvTf7oPHF7kEeO93-Cc/view?usp=drivesdk</v>
      </c>
    </row>
    <row r="152">
      <c r="A152" s="3">
        <f>IFERROR(__xludf.DUMMYFUNCTION("""COMPUTED_VALUE"""),1038.0)</f>
        <v>1038</v>
      </c>
      <c r="B152" s="11">
        <f>IFERROR(__xludf.DUMMYFUNCTION("""COMPUTED_VALUE"""),45992.61975253472)</f>
        <v>45992.61975</v>
      </c>
      <c r="C152" s="3" t="str">
        <f>IFERROR(__xludf.DUMMYFUNCTION("""COMPUTED_VALUE"""),"ชั้นปีที่ 4")</f>
        <v>ชั้นปีที่ 4</v>
      </c>
      <c r="D152" s="3" t="str">
        <f>IFERROR(__xludf.DUMMYFUNCTION("""COMPUTED_VALUE"""),"6503744")</f>
        <v>6503744</v>
      </c>
      <c r="E152" s="3" t="str">
        <f>IFERROR(__xludf.DUMMYFUNCTION("""COMPUTED_VALUE"""),"54")</f>
        <v>54</v>
      </c>
      <c r="F152" s="3" t="str">
        <f>IFERROR(__xludf.DUMMYFUNCTION("""COMPUTED_VALUE"""),"นพอ.ศศิประภา จันทร์กระจ่าง")</f>
        <v>นพอ.ศศิประภา จันทร์กระจ่าง</v>
      </c>
      <c r="G152" s="3" t="str">
        <f>IFERROR(__xludf.DUMMYFUNCTION("""COMPUTED_VALUE"""),"ทำนุบำรุงศาสนสถาน")</f>
        <v>ทำนุบำรุงศาสนสถาน</v>
      </c>
      <c r="H152" s="3" t="str">
        <f>IFERROR(__xludf.DUMMYFUNCTION("""COMPUTED_VALUE"""),"เก็บกวาดวันและตำส้มตำวันงานกฐิน")</f>
        <v>เก็บกวาดวันและตำส้มตำวันงานกฐิน</v>
      </c>
      <c r="I152" s="3" t="str">
        <f>IFERROR(__xludf.DUMMYFUNCTION("""COMPUTED_VALUE"""),"วัดแพรกวังตะเคียน")</f>
        <v>วัดแพรกวังตะเคียน</v>
      </c>
      <c r="J152" s="12">
        <f>IFERROR(__xludf.DUMMYFUNCTION("""COMPUTED_VALUE"""),45949.0)</f>
        <v>45949</v>
      </c>
      <c r="K152" s="3" t="str">
        <f>IFERROR(__xludf.DUMMYFUNCTION("""COMPUTED_VALUE"""),"0800-1200")</f>
        <v>0800-1200</v>
      </c>
      <c r="L152" s="3">
        <f>IFERROR(__xludf.DUMMYFUNCTION("""COMPUTED_VALUE"""),4.0)</f>
        <v>4</v>
      </c>
      <c r="M152" s="3" t="str">
        <f>IFERROR(__xludf.DUMMYFUNCTION("""COMPUTED_VALUE"""),"นางสาวแพรวตา หมอกเจริญ ผอ.รพ.สต.วังตะเคียน")</f>
        <v>นางสาวแพรวตา หมอกเจริญ ผอ.รพ.สต.วังตะเคียน</v>
      </c>
      <c r="N152" s="14" t="str">
        <f>IFERROR(__xludf.DUMMYFUNCTION("""COMPUTED_VALUE"""),"https://lh5.googleusercontent.com/d/1QlUUS5u-CLp6xXAodJh002xqMFGYh3Om")</f>
        <v>https://lh5.googleusercontent.com/d/1QlUUS5u-CLp6xXAodJh002xqMFGYh3Om</v>
      </c>
      <c r="O152" s="14" t="str">
        <f>IFERROR(__xludf.DUMMYFUNCTION("""COMPUTED_VALUE"""),"https://drive.google.com/file/d/1fXWbHEbkUJF0NKzoccqDtvxb1lntedu1/view?usp=drivesdk")</f>
        <v>https://drive.google.com/file/d/1fXWbHEbkUJF0NKzoccqDtvxb1lntedu1/view?usp=drivesdk</v>
      </c>
    </row>
    <row r="153">
      <c r="A153" s="3">
        <f>IFERROR(__xludf.DUMMYFUNCTION("""COMPUTED_VALUE"""),1041.0)</f>
        <v>1041</v>
      </c>
      <c r="B153" s="11">
        <f>IFERROR(__xludf.DUMMYFUNCTION("""COMPUTED_VALUE"""),45992.62725012731)</f>
        <v>45992.62725</v>
      </c>
      <c r="C153" s="3" t="str">
        <f>IFERROR(__xludf.DUMMYFUNCTION("""COMPUTED_VALUE"""),"ชั้นปีที่ 4")</f>
        <v>ชั้นปีที่ 4</v>
      </c>
      <c r="D153" s="3" t="str">
        <f>IFERROR(__xludf.DUMMYFUNCTION("""COMPUTED_VALUE"""),"6503751")</f>
        <v>6503751</v>
      </c>
      <c r="E153" s="3" t="str">
        <f>IFERROR(__xludf.DUMMYFUNCTION("""COMPUTED_VALUE"""),"61")</f>
        <v>61</v>
      </c>
      <c r="F153" s="3" t="str">
        <f>IFERROR(__xludf.DUMMYFUNCTION("""COMPUTED_VALUE"""),"นพอ.เสฏฐวุฒิ เฮียงโฮม")</f>
        <v>นพอ.เสฏฐวุฒิ เฮียงโฮม</v>
      </c>
      <c r="G15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53" s="3" t="str">
        <f>IFERROR(__xludf.DUMMYFUNCTION("""COMPUTED_VALUE"""),"เข้าร่วมโครงการ แสงนำใจไทยทั้งชาติ เดิน วิ่ง ปั่น ป้องกันอัมพาต ครั้งที่ 11 เฉลิมพระเกียรติ")</f>
        <v>เข้าร่วมโครงการ แสงนำใจไทยทั้งชาติ เดิน วิ่ง ปั่น ป้องกันอัมพาต ครั้งที่ 11 เฉลิมพระเกียรติ</v>
      </c>
      <c r="I153" s="3" t="str">
        <f>IFERROR(__xludf.DUMMYFUNCTION("""COMPUTED_VALUE"""),"สวนสาธารณะเฉลิมพระเกียรติหน้าวัดโสธรวราราม วรวิหาร ")</f>
        <v>สวนสาธารณะเฉลิมพระเกียรติหน้าวัดโสธรวราราม วรวิหาร </v>
      </c>
      <c r="J153" s="12">
        <f>IFERROR(__xludf.DUMMYFUNCTION("""COMPUTED_VALUE"""),45956.0)</f>
        <v>45956</v>
      </c>
      <c r="K153" s="3" t="str">
        <f>IFERROR(__xludf.DUMMYFUNCTION("""COMPUTED_VALUE"""),"0500-0800")</f>
        <v>0500-0800</v>
      </c>
      <c r="L153" s="3">
        <f>IFERROR(__xludf.DUMMYFUNCTION("""COMPUTED_VALUE"""),3.0)</f>
        <v>3</v>
      </c>
      <c r="M153" s="3" t="str">
        <f>IFERROR(__xludf.DUMMYFUNCTION("""COMPUTED_VALUE"""),"นางสาวแพรวตา หมอกเจริญ ")</f>
        <v>นางสาวแพรวตา หมอกเจริญ </v>
      </c>
      <c r="N153" s="14" t="str">
        <f>IFERROR(__xludf.DUMMYFUNCTION("""COMPUTED_VALUE"""),"https://lh5.googleusercontent.com/d/1DVzqCnyLqvnxE6s2IL3jbAknMu-dA3eT")</f>
        <v>https://lh5.googleusercontent.com/d/1DVzqCnyLqvnxE6s2IL3jbAknMu-dA3eT</v>
      </c>
      <c r="O153" s="14" t="str">
        <f>IFERROR(__xludf.DUMMYFUNCTION("""COMPUTED_VALUE"""),"https://drive.google.com/file/d/1fNOnHG3fZSPPpMbxOf3eZ_fG2wbeeJjW/view?usp=drivesdk")</f>
        <v>https://drive.google.com/file/d/1fNOnHG3fZSPPpMbxOf3eZ_fG2wbeeJjW/view?usp=drivesdk</v>
      </c>
    </row>
    <row r="154">
      <c r="A154" s="3">
        <f>IFERROR(__xludf.DUMMYFUNCTION("""COMPUTED_VALUE"""),1042.0)</f>
        <v>1042</v>
      </c>
      <c r="B154" s="11">
        <f>IFERROR(__xludf.DUMMYFUNCTION("""COMPUTED_VALUE"""),45992.633669710645)</f>
        <v>45992.63367</v>
      </c>
      <c r="C154" s="3" t="str">
        <f>IFERROR(__xludf.DUMMYFUNCTION("""COMPUTED_VALUE"""),"ชั้นปีที่ 4")</f>
        <v>ชั้นปีที่ 4</v>
      </c>
      <c r="D154" s="3" t="str">
        <f>IFERROR(__xludf.DUMMYFUNCTION("""COMPUTED_VALUE"""),"6503751")</f>
        <v>6503751</v>
      </c>
      <c r="E154" s="3" t="str">
        <f>IFERROR(__xludf.DUMMYFUNCTION("""COMPUTED_VALUE"""),"61")</f>
        <v>61</v>
      </c>
      <c r="F154" s="3" t="str">
        <f>IFERROR(__xludf.DUMMYFUNCTION("""COMPUTED_VALUE"""),"นพอ.เสฏฐวุฒิ เฮียงโฮม")</f>
        <v>นพอ.เสฏฐวุฒิ เฮียงโฮม</v>
      </c>
      <c r="G154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54" s="3" t="str">
        <f>IFERROR(__xludf.DUMMYFUNCTION("""COMPUTED_VALUE"""),"ช่วยประดับผ้าแสดงความอาลัย")</f>
        <v>ช่วยประดับผ้าแสดงความอาลัย</v>
      </c>
      <c r="I154" s="3" t="str">
        <f>IFERROR(__xludf.DUMMYFUNCTION("""COMPUTED_VALUE"""),"รพ.สต.วังตะเคียน")</f>
        <v>รพ.สต.วังตะเคียน</v>
      </c>
      <c r="J154" s="12">
        <f>IFERROR(__xludf.DUMMYFUNCTION("""COMPUTED_VALUE"""),45965.0)</f>
        <v>45965</v>
      </c>
      <c r="K154" s="3" t="str">
        <f>IFERROR(__xludf.DUMMYFUNCTION("""COMPUTED_VALUE"""),"1500-1700")</f>
        <v>1500-1700</v>
      </c>
      <c r="L154" s="3">
        <f>IFERROR(__xludf.DUMMYFUNCTION("""COMPUTED_VALUE"""),2.0)</f>
        <v>2</v>
      </c>
      <c r="M154" s="3" t="str">
        <f>IFERROR(__xludf.DUMMYFUNCTION("""COMPUTED_VALUE"""),"นางสาวแพรวตา หมอกเจริญ ")</f>
        <v>นางสาวแพรวตา หมอกเจริญ </v>
      </c>
      <c r="N154" s="14" t="str">
        <f>IFERROR(__xludf.DUMMYFUNCTION("""COMPUTED_VALUE"""),"https://lh5.googleusercontent.com/d/1vcnGCOn1glS1K_whu0qSjNhPFBsUvGle")</f>
        <v>https://lh5.googleusercontent.com/d/1vcnGCOn1glS1K_whu0qSjNhPFBsUvGle</v>
      </c>
      <c r="O154" s="14" t="str">
        <f>IFERROR(__xludf.DUMMYFUNCTION("""COMPUTED_VALUE"""),"https://drive.google.com/file/d/1RAPkQnPmyoy6-Dm3uGDRd25o4W9u2nHM/view?usp=drivesdk")</f>
        <v>https://drive.google.com/file/d/1RAPkQnPmyoy6-Dm3uGDRd25o4W9u2nHM/view?usp=drivesdk</v>
      </c>
    </row>
    <row r="155">
      <c r="A155" s="3">
        <f>IFERROR(__xludf.DUMMYFUNCTION("""COMPUTED_VALUE"""),1045.0)</f>
        <v>1045</v>
      </c>
      <c r="B155" s="11">
        <f>IFERROR(__xludf.DUMMYFUNCTION("""COMPUTED_VALUE"""),45992.63933837963)</f>
        <v>45992.63934</v>
      </c>
      <c r="C155" s="3" t="str">
        <f>IFERROR(__xludf.DUMMYFUNCTION("""COMPUTED_VALUE"""),"ชั้นปีที่ 4")</f>
        <v>ชั้นปีที่ 4</v>
      </c>
      <c r="D155" s="3" t="str">
        <f>IFERROR(__xludf.DUMMYFUNCTION("""COMPUTED_VALUE"""),"6503751")</f>
        <v>6503751</v>
      </c>
      <c r="E155" s="3" t="str">
        <f>IFERROR(__xludf.DUMMYFUNCTION("""COMPUTED_VALUE"""),"61")</f>
        <v>61</v>
      </c>
      <c r="F155" s="3" t="str">
        <f>IFERROR(__xludf.DUMMYFUNCTION("""COMPUTED_VALUE"""),"นพอ.เสฏฐวุฒิ")</f>
        <v>นพอ.เสฏฐวุฒิ</v>
      </c>
      <c r="G155" s="3" t="str">
        <f>IFERROR(__xludf.DUMMYFUNCTION("""COMPUTED_VALUE"""),"ทำนุบำรุงศาสนสถาน")</f>
        <v>ทำนุบำรุงศาสนสถาน</v>
      </c>
      <c r="H155" s="3" t="str">
        <f>IFERROR(__xludf.DUMMYFUNCTION("""COMPUTED_VALUE"""),"ช่วยเตรียมงานทอดกฐิน")</f>
        <v>ช่วยเตรียมงานทอดกฐิน</v>
      </c>
      <c r="I155" s="3" t="str">
        <f>IFERROR(__xludf.DUMMYFUNCTION("""COMPUTED_VALUE"""),"รพ.สต.วังตะเคียน")</f>
        <v>รพ.สต.วังตะเคียน</v>
      </c>
      <c r="J155" s="12">
        <f>IFERROR(__xludf.DUMMYFUNCTION("""COMPUTED_VALUE"""),45948.0)</f>
        <v>45948</v>
      </c>
      <c r="K155" s="3" t="str">
        <f>IFERROR(__xludf.DUMMYFUNCTION("""COMPUTED_VALUE"""),"0700-1200")</f>
        <v>0700-1200</v>
      </c>
      <c r="L155" s="3">
        <f>IFERROR(__xludf.DUMMYFUNCTION("""COMPUTED_VALUE"""),4.0)</f>
        <v>4</v>
      </c>
      <c r="M155" s="3" t="str">
        <f>IFERROR(__xludf.DUMMYFUNCTION("""COMPUTED_VALUE"""),"นางสาวแพรวตา หมอกเจริญ ")</f>
        <v>นางสาวแพรวตา หมอกเจริญ </v>
      </c>
      <c r="N155" s="14" t="str">
        <f>IFERROR(__xludf.DUMMYFUNCTION("""COMPUTED_VALUE"""),"https://lh5.googleusercontent.com/d/10Tdabe48rE_vmPjq2YLGt52KXDI_xG33")</f>
        <v>https://lh5.googleusercontent.com/d/10Tdabe48rE_vmPjq2YLGt52KXDI_xG33</v>
      </c>
      <c r="O155" s="14" t="str">
        <f>IFERROR(__xludf.DUMMYFUNCTION("""COMPUTED_VALUE"""),"https://drive.google.com/file/d/15X9GsAxRLP1kZ6BeZgZ-1TXiMS_l6jjN/view?usp=drivesdk")</f>
        <v>https://drive.google.com/file/d/15X9GsAxRLP1kZ6BeZgZ-1TXiMS_l6jjN/view?usp=drivesdk</v>
      </c>
    </row>
    <row r="156">
      <c r="A156" s="3">
        <f>IFERROR(__xludf.DUMMYFUNCTION("""COMPUTED_VALUE"""),1047.0)</f>
        <v>1047</v>
      </c>
      <c r="B156" s="11">
        <f>IFERROR(__xludf.DUMMYFUNCTION("""COMPUTED_VALUE"""),45992.642997905095)</f>
        <v>45992.643</v>
      </c>
      <c r="C156" s="3" t="str">
        <f>IFERROR(__xludf.DUMMYFUNCTION("""COMPUTED_VALUE"""),"ชั้นปีที่ 4")</f>
        <v>ชั้นปีที่ 4</v>
      </c>
      <c r="D156" s="3" t="str">
        <f>IFERROR(__xludf.DUMMYFUNCTION("""COMPUTED_VALUE"""),"6503751")</f>
        <v>6503751</v>
      </c>
      <c r="E156" s="3" t="str">
        <f>IFERROR(__xludf.DUMMYFUNCTION("""COMPUTED_VALUE"""),"61")</f>
        <v>61</v>
      </c>
      <c r="F156" s="3" t="str">
        <f>IFERROR(__xludf.DUMMYFUNCTION("""COMPUTED_VALUE"""),"นพอ.เสฏฐวุฒิ เฮียงโฮม")</f>
        <v>นพอ.เสฏฐวุฒิ เฮียงโฮม</v>
      </c>
      <c r="G156" s="3" t="str">
        <f>IFERROR(__xludf.DUMMYFUNCTION("""COMPUTED_VALUE"""),"ทำนุบำรุงศาสนสถาน")</f>
        <v>ทำนุบำรุงศาสนสถาน</v>
      </c>
      <c r="H156" s="3" t="str">
        <f>IFERROR(__xludf.DUMMYFUNCTION("""COMPUTED_VALUE"""),"งานกฐิน")</f>
        <v>งานกฐิน</v>
      </c>
      <c r="I156" s="3" t="str">
        <f>IFERROR(__xludf.DUMMYFUNCTION("""COMPUTED_VALUE"""),"วัดแพรกวังตะเคียน")</f>
        <v>วัดแพรกวังตะเคียน</v>
      </c>
      <c r="J156" s="12">
        <f>IFERROR(__xludf.DUMMYFUNCTION("""COMPUTED_VALUE"""),45949.0)</f>
        <v>45949</v>
      </c>
      <c r="K156" s="3" t="str">
        <f>IFERROR(__xludf.DUMMYFUNCTION("""COMPUTED_VALUE"""),"0700-1300")</f>
        <v>0700-1300</v>
      </c>
      <c r="L156" s="3">
        <f>IFERROR(__xludf.DUMMYFUNCTION("""COMPUTED_VALUE"""),4.0)</f>
        <v>4</v>
      </c>
      <c r="M156" s="3" t="str">
        <f>IFERROR(__xludf.DUMMYFUNCTION("""COMPUTED_VALUE"""),"นายธรรม พิศวาท")</f>
        <v>นายธรรม พิศวาท</v>
      </c>
      <c r="N156" s="14" t="str">
        <f>IFERROR(__xludf.DUMMYFUNCTION("""COMPUTED_VALUE"""),"https://lh5.googleusercontent.com/d/1U-85b6JIIGwOWbyIrXXCWO0VeXZuUCVy")</f>
        <v>https://lh5.googleusercontent.com/d/1U-85b6JIIGwOWbyIrXXCWO0VeXZuUCVy</v>
      </c>
      <c r="O156" s="14" t="str">
        <f>IFERROR(__xludf.DUMMYFUNCTION("""COMPUTED_VALUE"""),"https://drive.google.com/file/d/1CeCkJ5O-f3qklmJaBDi_mGyQXz0ZAfJN/view?usp=drivesdk")</f>
        <v>https://drive.google.com/file/d/1CeCkJ5O-f3qklmJaBDi_mGyQXz0ZAfJN/view?usp=drivesdk</v>
      </c>
    </row>
    <row r="157">
      <c r="A157" s="3">
        <f>IFERROR(__xludf.DUMMYFUNCTION("""COMPUTED_VALUE"""),1048.0)</f>
        <v>1048</v>
      </c>
      <c r="B157" s="11">
        <f>IFERROR(__xludf.DUMMYFUNCTION("""COMPUTED_VALUE"""),45992.64716864583)</f>
        <v>45992.64717</v>
      </c>
      <c r="C157" s="3" t="str">
        <f>IFERROR(__xludf.DUMMYFUNCTION("""COMPUTED_VALUE"""),"ชั้นปีที่ 4")</f>
        <v>ชั้นปีที่ 4</v>
      </c>
      <c r="D157" s="3" t="str">
        <f>IFERROR(__xludf.DUMMYFUNCTION("""COMPUTED_VALUE"""),"6503751")</f>
        <v>6503751</v>
      </c>
      <c r="E157" s="3" t="str">
        <f>IFERROR(__xludf.DUMMYFUNCTION("""COMPUTED_VALUE"""),"61")</f>
        <v>61</v>
      </c>
      <c r="F157" s="3" t="str">
        <f>IFERROR(__xludf.DUMMYFUNCTION("""COMPUTED_VALUE"""),"นพอ.เสฏฐวุฒิ เฮียงโฮม")</f>
        <v>นพอ.เสฏฐวุฒิ เฮียงโฮม</v>
      </c>
      <c r="G15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57" s="3" t="str">
        <f>IFERROR(__xludf.DUMMYFUNCTION("""COMPUTED_VALUE"""),"ช่วยทำนุบำรุงรพ.สต.")</f>
        <v>ช่วยทำนุบำรุงรพ.สต.</v>
      </c>
      <c r="I157" s="3" t="str">
        <f>IFERROR(__xludf.DUMMYFUNCTION("""COMPUTED_VALUE"""),"รพ.สต.วังตะเคียน")</f>
        <v>รพ.สต.วังตะเคียน</v>
      </c>
      <c r="J157" s="12">
        <f>IFERROR(__xludf.DUMMYFUNCTION("""COMPUTED_VALUE"""),45970.0)</f>
        <v>45970</v>
      </c>
      <c r="K157" s="3" t="str">
        <f>IFERROR(__xludf.DUMMYFUNCTION("""COMPUTED_VALUE"""),"1400-1800")</f>
        <v>1400-1800</v>
      </c>
      <c r="L157" s="3">
        <f>IFERROR(__xludf.DUMMYFUNCTION("""COMPUTED_VALUE"""),4.0)</f>
        <v>4</v>
      </c>
      <c r="M157" s="3" t="str">
        <f>IFERROR(__xludf.DUMMYFUNCTION("""COMPUTED_VALUE"""),"นางสาว นุศรา เนียบสูงเนิน")</f>
        <v>นางสาว นุศรา เนียบสูงเนิน</v>
      </c>
      <c r="N157" s="14" t="str">
        <f>IFERROR(__xludf.DUMMYFUNCTION("""COMPUTED_VALUE"""),"https://lh5.googleusercontent.com/d/1PdkB0mm3fcorlyiB79DdFvHj_WXW-0zr")</f>
        <v>https://lh5.googleusercontent.com/d/1PdkB0mm3fcorlyiB79DdFvHj_WXW-0zr</v>
      </c>
      <c r="O157" s="14" t="str">
        <f>IFERROR(__xludf.DUMMYFUNCTION("""COMPUTED_VALUE"""),"https://drive.google.com/file/d/1_FiX3PPND-LBMtV1UJQZzuM8R5BHDwgC/view?usp=drivesdk")</f>
        <v>https://drive.google.com/file/d/1_FiX3PPND-LBMtV1UJQZzuM8R5BHDwgC/view?usp=drivesdk</v>
      </c>
    </row>
    <row r="158">
      <c r="A158" s="3">
        <f>IFERROR(__xludf.DUMMYFUNCTION("""COMPUTED_VALUE"""),1049.0)</f>
        <v>1049</v>
      </c>
      <c r="B158" s="11">
        <f>IFERROR(__xludf.DUMMYFUNCTION("""COMPUTED_VALUE"""),45992.65050870371)</f>
        <v>45992.65051</v>
      </c>
      <c r="C158" s="3" t="str">
        <f>IFERROR(__xludf.DUMMYFUNCTION("""COMPUTED_VALUE"""),"ชั้นปีที่ 4")</f>
        <v>ชั้นปีที่ 4</v>
      </c>
      <c r="D158" s="3" t="str">
        <f>IFERROR(__xludf.DUMMYFUNCTION("""COMPUTED_VALUE"""),"6503751")</f>
        <v>6503751</v>
      </c>
      <c r="E158" s="3" t="str">
        <f>IFERROR(__xludf.DUMMYFUNCTION("""COMPUTED_VALUE"""),"61")</f>
        <v>61</v>
      </c>
      <c r="F158" s="3" t="str">
        <f>IFERROR(__xludf.DUMMYFUNCTION("""COMPUTED_VALUE"""),"นพอ.เสฏฐวุฒิ เฮียงโฮม")</f>
        <v>นพอ.เสฏฐวุฒิ เฮียงโฮม</v>
      </c>
      <c r="G158" s="3" t="str">
        <f>IFERROR(__xludf.DUMMYFUNCTION("""COMPUTED_VALUE"""),"ทำนุบำรุงศาสนสถาน")</f>
        <v>ทำนุบำรุงศาสนสถาน</v>
      </c>
      <c r="H158" s="3" t="str">
        <f>IFERROR(__xludf.DUMMYFUNCTION("""COMPUTED_VALUE"""),"ช่วยเก็บของที่วัด")</f>
        <v>ช่วยเก็บของที่วัด</v>
      </c>
      <c r="I158" s="3" t="str">
        <f>IFERROR(__xludf.DUMMYFUNCTION("""COMPUTED_VALUE"""),"วัดแพรกวังตะเคียน")</f>
        <v>วัดแพรกวังตะเคียน</v>
      </c>
      <c r="J158" s="12">
        <f>IFERROR(__xludf.DUMMYFUNCTION("""COMPUTED_VALUE"""),45949.0)</f>
        <v>45949</v>
      </c>
      <c r="K158" s="3" t="str">
        <f>IFERROR(__xludf.DUMMYFUNCTION("""COMPUTED_VALUE"""),"1400-1600")</f>
        <v>1400-1600</v>
      </c>
      <c r="L158" s="3">
        <f>IFERROR(__xludf.DUMMYFUNCTION("""COMPUTED_VALUE"""),2.0)</f>
        <v>2</v>
      </c>
      <c r="M158" s="3" t="str">
        <f>IFERROR(__xludf.DUMMYFUNCTION("""COMPUTED_VALUE"""),"นายธรรม พิศวาท")</f>
        <v>นายธรรม พิศวาท</v>
      </c>
      <c r="N158" s="14" t="str">
        <f>IFERROR(__xludf.DUMMYFUNCTION("""COMPUTED_VALUE"""),"https://lh5.googleusercontent.com/d/1rIpXSH1MRojFixSaeOr1lt0MQaCG-A3H")</f>
        <v>https://lh5.googleusercontent.com/d/1rIpXSH1MRojFixSaeOr1lt0MQaCG-A3H</v>
      </c>
      <c r="O158" s="14" t="str">
        <f>IFERROR(__xludf.DUMMYFUNCTION("""COMPUTED_VALUE"""),"https://drive.google.com/file/d/1ZhNF26ZUkEH0rSKnH0o0JHUBSf54duul/view?usp=drivesdk")</f>
        <v>https://drive.google.com/file/d/1ZhNF26ZUkEH0rSKnH0o0JHUBSf54duul/view?usp=drivesdk</v>
      </c>
    </row>
    <row r="159">
      <c r="A159" s="3">
        <f>IFERROR(__xludf.DUMMYFUNCTION("""COMPUTED_VALUE"""),1050.0)</f>
        <v>1050</v>
      </c>
      <c r="B159" s="11">
        <f>IFERROR(__xludf.DUMMYFUNCTION("""COMPUTED_VALUE"""),45992.65430884259)</f>
        <v>45992.65431</v>
      </c>
      <c r="C159" s="3" t="str">
        <f>IFERROR(__xludf.DUMMYFUNCTION("""COMPUTED_VALUE"""),"ชั้นปีที่ 4")</f>
        <v>ชั้นปีที่ 4</v>
      </c>
      <c r="D159" s="3" t="str">
        <f>IFERROR(__xludf.DUMMYFUNCTION("""COMPUTED_VALUE"""),"6503751")</f>
        <v>6503751</v>
      </c>
      <c r="E159" s="3" t="str">
        <f>IFERROR(__xludf.DUMMYFUNCTION("""COMPUTED_VALUE"""),"61")</f>
        <v>61</v>
      </c>
      <c r="F159" s="3" t="str">
        <f>IFERROR(__xludf.DUMMYFUNCTION("""COMPUTED_VALUE"""),"นพอ.เสฏฐวุฒิ เฮียงโฮม")</f>
        <v>นพอ.เสฏฐวุฒิ เฮียงโฮม</v>
      </c>
      <c r="G159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59" s="3" t="str">
        <f>IFERROR(__xludf.DUMMYFUNCTION("""COMPUTED_VALUE"""),"ช่วยประดับผ้า ไว้อาลัย")</f>
        <v>ช่วยประดับผ้า ไว้อาลัย</v>
      </c>
      <c r="I159" s="3" t="str">
        <f>IFERROR(__xludf.DUMMYFUNCTION("""COMPUTED_VALUE"""),"รพ.สต.วังตะเคียน")</f>
        <v>รพ.สต.วังตะเคียน</v>
      </c>
      <c r="J159" s="12">
        <f>IFERROR(__xludf.DUMMYFUNCTION("""COMPUTED_VALUE"""),45964.0)</f>
        <v>45964</v>
      </c>
      <c r="K159" s="3" t="str">
        <f>IFERROR(__xludf.DUMMYFUNCTION("""COMPUTED_VALUE"""),"1500-1700")</f>
        <v>1500-1700</v>
      </c>
      <c r="L159" s="3">
        <f>IFERROR(__xludf.DUMMYFUNCTION("""COMPUTED_VALUE"""),2.0)</f>
        <v>2</v>
      </c>
      <c r="M159" s="3" t="str">
        <f>IFERROR(__xludf.DUMMYFUNCTION("""COMPUTED_VALUE"""),"นางสาวแพรวตา หมอกเจริญ")</f>
        <v>นางสาวแพรวตา หมอกเจริญ</v>
      </c>
      <c r="N159" s="14" t="str">
        <f>IFERROR(__xludf.DUMMYFUNCTION("""COMPUTED_VALUE"""),"https://lh5.googleusercontent.com/d/16BVDTwjLyUQ8KZf54U4EDmUrh6Bl_6ww")</f>
        <v>https://lh5.googleusercontent.com/d/16BVDTwjLyUQ8KZf54U4EDmUrh6Bl_6ww</v>
      </c>
      <c r="O159" s="14" t="str">
        <f>IFERROR(__xludf.DUMMYFUNCTION("""COMPUTED_VALUE"""),"https://drive.google.com/file/d/1qx_bE26vjd9E6WH9scRUuQoRmSrSYOxo/view?usp=drivesdk")</f>
        <v>https://drive.google.com/file/d/1qx_bE26vjd9E6WH9scRUuQoRmSrSYOxo/view?usp=drivesdk</v>
      </c>
    </row>
    <row r="160">
      <c r="A160" s="3">
        <f>IFERROR(__xludf.DUMMYFUNCTION("""COMPUTED_VALUE"""),1053.0)</f>
        <v>1053</v>
      </c>
      <c r="B160" s="11">
        <f>IFERROR(__xludf.DUMMYFUNCTION("""COMPUTED_VALUE"""),45992.788145949075)</f>
        <v>45992.78815</v>
      </c>
      <c r="C160" s="3" t="str">
        <f>IFERROR(__xludf.DUMMYFUNCTION("""COMPUTED_VALUE"""),"ชั้นปีที่ 4")</f>
        <v>ชั้นปีที่ 4</v>
      </c>
      <c r="D160" s="3" t="str">
        <f>IFERROR(__xludf.DUMMYFUNCTION("""COMPUTED_VALUE"""),"6503744")</f>
        <v>6503744</v>
      </c>
      <c r="E160" s="3" t="str">
        <f>IFERROR(__xludf.DUMMYFUNCTION("""COMPUTED_VALUE"""),"54")</f>
        <v>54</v>
      </c>
      <c r="F160" s="3" t="str">
        <f>IFERROR(__xludf.DUMMYFUNCTION("""COMPUTED_VALUE"""),"นพอ.ศศิประภา จันทร์กระจ่าง")</f>
        <v>นพอ.ศศิประภา จันทร์กระจ่าง</v>
      </c>
      <c r="G160" s="3" t="str">
        <f>IFERROR(__xludf.DUMMYFUNCTION("""COMPUTED_VALUE"""),"ทำนุบำรุงศาสนสถาน")</f>
        <v>ทำนุบำรุงศาสนสถาน</v>
      </c>
      <c r="H160" s="3" t="str">
        <f>IFERROR(__xludf.DUMMYFUNCTION("""COMPUTED_VALUE"""),"เก็บกวาดวัดและตำส้มตำงานกฐิน")</f>
        <v>เก็บกวาดวัดและตำส้มตำงานกฐิน</v>
      </c>
      <c r="I160" s="3" t="str">
        <f>IFERROR(__xludf.DUMMYFUNCTION("""COMPUTED_VALUE"""),"วัดแพรกวังตะเคียน")</f>
        <v>วัดแพรกวังตะเคียน</v>
      </c>
      <c r="J160" s="12">
        <f>IFERROR(__xludf.DUMMYFUNCTION("""COMPUTED_VALUE"""),45949.0)</f>
        <v>45949</v>
      </c>
      <c r="K160" s="3" t="str">
        <f>IFERROR(__xludf.DUMMYFUNCTION("""COMPUTED_VALUE"""),"0800-1200")</f>
        <v>0800-1200</v>
      </c>
      <c r="L160" s="3">
        <f>IFERROR(__xludf.DUMMYFUNCTION("""COMPUTED_VALUE"""),4.0)</f>
        <v>4</v>
      </c>
      <c r="M160" s="3" t="str">
        <f>IFERROR(__xludf.DUMMYFUNCTION("""COMPUTED_VALUE"""),"น.ส.แพรวตา หมอกเจริญ ผอ.รพ.สต.วังตะเคียน")</f>
        <v>น.ส.แพรวตา หมอกเจริญ ผอ.รพ.สต.วังตะเคียน</v>
      </c>
      <c r="N160" s="14" t="str">
        <f>IFERROR(__xludf.DUMMYFUNCTION("""COMPUTED_VALUE"""),"https://lh5.googleusercontent.com/d/1GoPD4JZ9pnMDXmh782x5VXTCCEpwi49I")</f>
        <v>https://lh5.googleusercontent.com/d/1GoPD4JZ9pnMDXmh782x5VXTCCEpwi49I</v>
      </c>
      <c r="O160" s="14" t="str">
        <f>IFERROR(__xludf.DUMMYFUNCTION("""COMPUTED_VALUE"""),"https://drive.google.com/file/d/1RDt84_hRHVS1V93qTsz4z94_yM6mz0Fj/view?usp=drivesdk")</f>
        <v>https://drive.google.com/file/d/1RDt84_hRHVS1V93qTsz4z94_yM6mz0Fj/view?usp=drivesdk</v>
      </c>
    </row>
    <row r="161">
      <c r="A161" s="3">
        <f>IFERROR(__xludf.DUMMYFUNCTION("""COMPUTED_VALUE"""),1054.0)</f>
        <v>1054</v>
      </c>
      <c r="B161" s="11">
        <f>IFERROR(__xludf.DUMMYFUNCTION("""COMPUTED_VALUE"""),45992.793842673615)</f>
        <v>45992.79384</v>
      </c>
      <c r="C161" s="3" t="str">
        <f>IFERROR(__xludf.DUMMYFUNCTION("""COMPUTED_VALUE"""),"ชั้นปีที่ 4")</f>
        <v>ชั้นปีที่ 4</v>
      </c>
      <c r="D161" s="3" t="str">
        <f>IFERROR(__xludf.DUMMYFUNCTION("""COMPUTED_VALUE"""),"6503744")</f>
        <v>6503744</v>
      </c>
      <c r="E161" s="3" t="str">
        <f>IFERROR(__xludf.DUMMYFUNCTION("""COMPUTED_VALUE"""),"54")</f>
        <v>54</v>
      </c>
      <c r="F161" s="3" t="str">
        <f>IFERROR(__xludf.DUMMYFUNCTION("""COMPUTED_VALUE"""),"นพอ.ศศิประภา จันทร์กระจ่าง")</f>
        <v>นพอ.ศศิประภา จันทร์กระจ่าง</v>
      </c>
      <c r="G161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61" s="3" t="str">
        <f>IFERROR(__xludf.DUMMYFUNCTION("""COMPUTED_VALUE"""),"จับผ้าถวายความอาลัย")</f>
        <v>จับผ้าถวายความอาลัย</v>
      </c>
      <c r="I161" s="3" t="str">
        <f>IFERROR(__xludf.DUMMYFUNCTION("""COMPUTED_VALUE"""),"รพ.สต.วังตะเคียน")</f>
        <v>รพ.สต.วังตะเคียน</v>
      </c>
      <c r="J161" s="12">
        <f>IFERROR(__xludf.DUMMYFUNCTION("""COMPUTED_VALUE"""),45965.0)</f>
        <v>45965</v>
      </c>
      <c r="K161" s="3" t="str">
        <f>IFERROR(__xludf.DUMMYFUNCTION("""COMPUTED_VALUE"""),"1500-1700")</f>
        <v>1500-1700</v>
      </c>
      <c r="L161" s="3">
        <f>IFERROR(__xludf.DUMMYFUNCTION("""COMPUTED_VALUE"""),2.0)</f>
        <v>2</v>
      </c>
      <c r="M161" s="3" t="str">
        <f>IFERROR(__xludf.DUMMYFUNCTION("""COMPUTED_VALUE"""),"น.ส.แพรวตา หมอกเจริญ ผอ.รพ.สต.วังตะเคียน")</f>
        <v>น.ส.แพรวตา หมอกเจริญ ผอ.รพ.สต.วังตะเคียน</v>
      </c>
      <c r="N161" s="14" t="str">
        <f>IFERROR(__xludf.DUMMYFUNCTION("""COMPUTED_VALUE"""),"https://lh5.googleusercontent.com/d/1iNGf0p04eUN2xZeiksftTTg9pbSUix6t")</f>
        <v>https://lh5.googleusercontent.com/d/1iNGf0p04eUN2xZeiksftTTg9pbSUix6t</v>
      </c>
      <c r="O161" s="14" t="str">
        <f>IFERROR(__xludf.DUMMYFUNCTION("""COMPUTED_VALUE"""),"https://drive.google.com/file/d/1XUkKmxBBsXqlvLHHcHZ2F5U3gTbHnWF-/view?usp=drivesdk")</f>
        <v>https://drive.google.com/file/d/1XUkKmxBBsXqlvLHHcHZ2F5U3gTbHnWF-/view?usp=drivesdk</v>
      </c>
    </row>
    <row r="162">
      <c r="A162" s="3">
        <f>IFERROR(__xludf.DUMMYFUNCTION("""COMPUTED_VALUE"""),1055.0)</f>
        <v>1055</v>
      </c>
      <c r="B162" s="11">
        <f>IFERROR(__xludf.DUMMYFUNCTION("""COMPUTED_VALUE"""),45992.795354421294)</f>
        <v>45992.79535</v>
      </c>
      <c r="C162" s="3" t="str">
        <f>IFERROR(__xludf.DUMMYFUNCTION("""COMPUTED_VALUE"""),"ชั้นปีที่ 4")</f>
        <v>ชั้นปีที่ 4</v>
      </c>
      <c r="D162" s="3" t="str">
        <f>IFERROR(__xludf.DUMMYFUNCTION("""COMPUTED_VALUE"""),"6503744")</f>
        <v>6503744</v>
      </c>
      <c r="E162" s="3" t="str">
        <f>IFERROR(__xludf.DUMMYFUNCTION("""COMPUTED_VALUE"""),"54")</f>
        <v>54</v>
      </c>
      <c r="F162" s="3" t="str">
        <f>IFERROR(__xludf.DUMMYFUNCTION("""COMPUTED_VALUE"""),"นพอ.ศศิประภา จันทร์กระจ่าง")</f>
        <v>นพอ.ศศิประภา จันทร์กระจ่าง</v>
      </c>
      <c r="G162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62" s="3" t="str">
        <f>IFERROR(__xludf.DUMMYFUNCTION("""COMPUTED_VALUE"""),"จับผ้าถวายความอาลัย")</f>
        <v>จับผ้าถวายความอาลัย</v>
      </c>
      <c r="I162" s="3" t="str">
        <f>IFERROR(__xludf.DUMMYFUNCTION("""COMPUTED_VALUE"""),"รพ.สต.วังตะเคียน")</f>
        <v>รพ.สต.วังตะเคียน</v>
      </c>
      <c r="J162" s="12">
        <f>IFERROR(__xludf.DUMMYFUNCTION("""COMPUTED_VALUE"""),45966.0)</f>
        <v>45966</v>
      </c>
      <c r="K162" s="3" t="str">
        <f>IFERROR(__xludf.DUMMYFUNCTION("""COMPUTED_VALUE"""),"1400-1600")</f>
        <v>1400-1600</v>
      </c>
      <c r="L162" s="3">
        <f>IFERROR(__xludf.DUMMYFUNCTION("""COMPUTED_VALUE"""),2.0)</f>
        <v>2</v>
      </c>
      <c r="M162" s="3" t="str">
        <f>IFERROR(__xludf.DUMMYFUNCTION("""COMPUTED_VALUE"""),"น.ส.แพรวตา หมอกเจริญ ผอ.รพ.สต.วังตะเคียน")</f>
        <v>น.ส.แพรวตา หมอกเจริญ ผอ.รพ.สต.วังตะเคียน</v>
      </c>
      <c r="N162" s="14" t="str">
        <f>IFERROR(__xludf.DUMMYFUNCTION("""COMPUTED_VALUE"""),"https://lh5.googleusercontent.com/d/1s2eVDucDV7ydCW4aOVt_2fuEXzKfhLfb")</f>
        <v>https://lh5.googleusercontent.com/d/1s2eVDucDV7ydCW4aOVt_2fuEXzKfhLfb</v>
      </c>
      <c r="O162" s="14" t="str">
        <f>IFERROR(__xludf.DUMMYFUNCTION("""COMPUTED_VALUE"""),"https://drive.google.com/file/d/1-SE5DgaXUuKZPgupif0BwvGoTMjZLajn/view?usp=drivesdk")</f>
        <v>https://drive.google.com/file/d/1-SE5DgaXUuKZPgupif0BwvGoTMjZLajn/view?usp=drivesdk</v>
      </c>
    </row>
    <row r="163">
      <c r="A163" s="3">
        <f>IFERROR(__xludf.DUMMYFUNCTION("""COMPUTED_VALUE"""),1056.0)</f>
        <v>1056</v>
      </c>
      <c r="B163" s="11">
        <f>IFERROR(__xludf.DUMMYFUNCTION("""COMPUTED_VALUE"""),45992.797942303245)</f>
        <v>45992.79794</v>
      </c>
      <c r="C163" s="3" t="str">
        <f>IFERROR(__xludf.DUMMYFUNCTION("""COMPUTED_VALUE"""),"ชั้นปีที่ 4")</f>
        <v>ชั้นปีที่ 4</v>
      </c>
      <c r="D163" s="3" t="str">
        <f>IFERROR(__xludf.DUMMYFUNCTION("""COMPUTED_VALUE"""),"6503744")</f>
        <v>6503744</v>
      </c>
      <c r="E163" s="3" t="str">
        <f>IFERROR(__xludf.DUMMYFUNCTION("""COMPUTED_VALUE"""),"54")</f>
        <v>54</v>
      </c>
      <c r="F163" s="3" t="str">
        <f>IFERROR(__xludf.DUMMYFUNCTION("""COMPUTED_VALUE"""),"นพอ.ศศิประภา จันทร์กระจ่าง")</f>
        <v>นพอ.ศศิประภา จันทร์กระจ่าง</v>
      </c>
      <c r="G163" s="3" t="str">
        <f>IFERROR(__xludf.DUMMYFUNCTION("""COMPUTED_VALUE"""),"งานฟรีทั่วไป")</f>
        <v>งานฟรีทั่วไป</v>
      </c>
      <c r="H163" s="3" t="str">
        <f>IFERROR(__xludf.DUMMYFUNCTION("""COMPUTED_VALUE"""),"จัดสวนรพ.สต.")</f>
        <v>จัดสวนรพ.สต.</v>
      </c>
      <c r="I163" s="3" t="str">
        <f>IFERROR(__xludf.DUMMYFUNCTION("""COMPUTED_VALUE"""),"รพ.สต.วังตะเคียน")</f>
        <v>รพ.สต.วังตะเคียน</v>
      </c>
      <c r="J163" s="12">
        <f>IFERROR(__xludf.DUMMYFUNCTION("""COMPUTED_VALUE"""),45970.0)</f>
        <v>45970</v>
      </c>
      <c r="K163" s="3" t="str">
        <f>IFERROR(__xludf.DUMMYFUNCTION("""COMPUTED_VALUE"""),"1300-1700")</f>
        <v>1300-1700</v>
      </c>
      <c r="L163" s="3">
        <f>IFERROR(__xludf.DUMMYFUNCTION("""COMPUTED_VALUE"""),4.0)</f>
        <v>4</v>
      </c>
      <c r="M163" s="3" t="str">
        <f>IFERROR(__xludf.DUMMYFUNCTION("""COMPUTED_VALUE"""),"น.ส.แพรวตา หมอกเจริญ ผอ.รพ.สต.วังตะเคียน")</f>
        <v>น.ส.แพรวตา หมอกเจริญ ผอ.รพ.สต.วังตะเคียน</v>
      </c>
      <c r="N163" s="14" t="str">
        <f>IFERROR(__xludf.DUMMYFUNCTION("""COMPUTED_VALUE"""),"https://lh5.googleusercontent.com/d/1Ggo9hF8tX6A3rf7Zv2FmEVMAy3ULp_rH")</f>
        <v>https://lh5.googleusercontent.com/d/1Ggo9hF8tX6A3rf7Zv2FmEVMAy3ULp_rH</v>
      </c>
      <c r="O163" s="14" t="str">
        <f>IFERROR(__xludf.DUMMYFUNCTION("""COMPUTED_VALUE"""),"https://drive.google.com/file/d/1VfHJGSSp3R6F41wl_W503azuqfU9cUL6/view?usp=drivesdk")</f>
        <v>https://drive.google.com/file/d/1VfHJGSSp3R6F41wl_W503azuqfU9cUL6/view?usp=drivesdk</v>
      </c>
    </row>
    <row r="164">
      <c r="A164" s="3">
        <f>IFERROR(__xludf.DUMMYFUNCTION("""COMPUTED_VALUE"""),1057.0)</f>
        <v>1057</v>
      </c>
      <c r="B164" s="11">
        <f>IFERROR(__xludf.DUMMYFUNCTION("""COMPUTED_VALUE"""),45992.801574074074)</f>
        <v>45992.80157</v>
      </c>
      <c r="C164" s="3" t="str">
        <f>IFERROR(__xludf.DUMMYFUNCTION("""COMPUTED_VALUE"""),"ชั้นปีที่ 4")</f>
        <v>ชั้นปีที่ 4</v>
      </c>
      <c r="D164" s="3" t="str">
        <f>IFERROR(__xludf.DUMMYFUNCTION("""COMPUTED_VALUE"""),"6503693")</f>
        <v>6503693</v>
      </c>
      <c r="E164" s="3" t="str">
        <f>IFERROR(__xludf.DUMMYFUNCTION("""COMPUTED_VALUE"""),"4")</f>
        <v>4</v>
      </c>
      <c r="F164" s="3" t="str">
        <f>IFERROR(__xludf.DUMMYFUNCTION("""COMPUTED_VALUE"""),"นพอ.กัลยกร บุญลา")</f>
        <v>นพอ.กัลยกร บุญลา</v>
      </c>
      <c r="G16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4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64" s="3" t="str">
        <f>IFERROR(__xludf.DUMMYFUNCTION("""COMPUTED_VALUE"""),"สโมสรทหารอากาศชั้นประทวน")</f>
        <v>สโมสรทหารอากาศชั้นประทวน</v>
      </c>
      <c r="J164" s="12">
        <f>IFERROR(__xludf.DUMMYFUNCTION("""COMPUTED_VALUE"""),45854.0)</f>
        <v>45854</v>
      </c>
      <c r="K164" s="3" t="str">
        <f>IFERROR(__xludf.DUMMYFUNCTION("""COMPUTED_VALUE"""),"0700-1300")</f>
        <v>0700-1300</v>
      </c>
      <c r="L164" s="3">
        <f>IFERROR(__xludf.DUMMYFUNCTION("""COMPUTED_VALUE"""),6.0)</f>
        <v>6</v>
      </c>
      <c r="M164" s="3" t="str">
        <f>IFERROR(__xludf.DUMMYFUNCTION("""COMPUTED_VALUE"""),"น.ต.หญิง ตวงทิพย์ ลดาวัลย์")</f>
        <v>น.ต.หญิง ตวงทิพย์ ลดาวัลย์</v>
      </c>
      <c r="N164" s="14" t="str">
        <f>IFERROR(__xludf.DUMMYFUNCTION("""COMPUTED_VALUE"""),"https://lh5.googleusercontent.com/d/1gfnI-Cr40sOj6qtkK0-UgK2epc4cGlDc")</f>
        <v>https://lh5.googleusercontent.com/d/1gfnI-Cr40sOj6qtkK0-UgK2epc4cGlDc</v>
      </c>
      <c r="O164" s="14" t="str">
        <f>IFERROR(__xludf.DUMMYFUNCTION("""COMPUTED_VALUE"""),"https://drive.google.com/file/d/1m6zjI22bSvNqadsN4jmem-9Etcij864b/view?usp=drivesdk")</f>
        <v>https://drive.google.com/file/d/1m6zjI22bSvNqadsN4jmem-9Etcij864b/view?usp=drivesdk</v>
      </c>
    </row>
    <row r="165">
      <c r="A165" s="3">
        <f>IFERROR(__xludf.DUMMYFUNCTION("""COMPUTED_VALUE"""),1058.0)</f>
        <v>1058</v>
      </c>
      <c r="B165" s="11">
        <f>IFERROR(__xludf.DUMMYFUNCTION("""COMPUTED_VALUE"""),45992.804475150464)</f>
        <v>45992.80448</v>
      </c>
      <c r="C165" s="3" t="str">
        <f>IFERROR(__xludf.DUMMYFUNCTION("""COMPUTED_VALUE"""),"ชั้นปีที่ 4")</f>
        <v>ชั้นปีที่ 4</v>
      </c>
      <c r="D165" s="3" t="str">
        <f>IFERROR(__xludf.DUMMYFUNCTION("""COMPUTED_VALUE"""),"6503743")</f>
        <v>6503743</v>
      </c>
      <c r="E165" s="3" t="str">
        <f>IFERROR(__xludf.DUMMYFUNCTION("""COMPUTED_VALUE"""),"53")</f>
        <v>53</v>
      </c>
      <c r="F165" s="3" t="str">
        <f>IFERROR(__xludf.DUMMYFUNCTION("""COMPUTED_VALUE"""),"นพอ.ศศิกานต์ ไคลมี")</f>
        <v>นพอ.ศศิกานต์ ไคลมี</v>
      </c>
      <c r="G1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5" s="3" t="str">
        <f>IFERROR(__xludf.DUMMYFUNCTION("""COMPUTED_VALUE"""),"ร่วมโครงการคัดกรองสุขภาพเชิงรุกกำลพลทอ.")</f>
        <v>ร่วมโครงการคัดกรองสุขภาพเชิงรุกกำลพลทอ.</v>
      </c>
      <c r="I165" s="3" t="str">
        <f>IFERROR(__xludf.DUMMYFUNCTION("""COMPUTED_VALUE"""),"สโมสรทหารอากาศชั้นประทวน")</f>
        <v>สโมสรทหารอากาศชั้นประทวน</v>
      </c>
      <c r="J165" s="12">
        <f>IFERROR(__xludf.DUMMYFUNCTION("""COMPUTED_VALUE"""),45854.0)</f>
        <v>45854</v>
      </c>
      <c r="K165" s="3" t="str">
        <f>IFERROR(__xludf.DUMMYFUNCTION("""COMPUTED_VALUE"""),"0700-1300")</f>
        <v>0700-1300</v>
      </c>
      <c r="L165" s="3">
        <f>IFERROR(__xludf.DUMMYFUNCTION("""COMPUTED_VALUE"""),6.0)</f>
        <v>6</v>
      </c>
      <c r="M165" s="3" t="str">
        <f>IFERROR(__xludf.DUMMYFUNCTION("""COMPUTED_VALUE"""),"น.ต.หญิง ตวงทิพย์ ลดาวัลย์")</f>
        <v>น.ต.หญิง ตวงทิพย์ ลดาวัลย์</v>
      </c>
      <c r="N165" s="14" t="str">
        <f>IFERROR(__xludf.DUMMYFUNCTION("""COMPUTED_VALUE"""),"https://lh5.googleusercontent.com/d/1BohN4vVXrQ4A8TEwGY2FidJVaQqWysPS")</f>
        <v>https://lh5.googleusercontent.com/d/1BohN4vVXrQ4A8TEwGY2FidJVaQqWysPS</v>
      </c>
      <c r="O165" s="14" t="str">
        <f>IFERROR(__xludf.DUMMYFUNCTION("""COMPUTED_VALUE"""),"https://drive.google.com/file/d/1ME7KoWQ3NvKdXWPCgSNfU7avGxXVqXfY/view?usp=drivesdk")</f>
        <v>https://drive.google.com/file/d/1ME7KoWQ3NvKdXWPCgSNfU7avGxXVqXfY/view?usp=drivesdk</v>
      </c>
    </row>
    <row r="166">
      <c r="A166" s="3">
        <f>IFERROR(__xludf.DUMMYFUNCTION("""COMPUTED_VALUE"""),1059.0)</f>
        <v>1059</v>
      </c>
      <c r="B166" s="11">
        <f>IFERROR(__xludf.DUMMYFUNCTION("""COMPUTED_VALUE"""),45992.80758949074)</f>
        <v>45992.80759</v>
      </c>
      <c r="C166" s="3" t="str">
        <f>IFERROR(__xludf.DUMMYFUNCTION("""COMPUTED_VALUE"""),"ชั้นปีที่ 4")</f>
        <v>ชั้นปีที่ 4</v>
      </c>
      <c r="D166" s="3" t="str">
        <f>IFERROR(__xludf.DUMMYFUNCTION("""COMPUTED_VALUE"""),"6503693")</f>
        <v>6503693</v>
      </c>
      <c r="E166" s="3" t="str">
        <f>IFERROR(__xludf.DUMMYFUNCTION("""COMPUTED_VALUE"""),"4")</f>
        <v>4</v>
      </c>
      <c r="F166" s="3" t="str">
        <f>IFERROR(__xludf.DUMMYFUNCTION("""COMPUTED_VALUE"""),"นพอ.กัลยกร บุญลา")</f>
        <v>นพอ.กัลยกร บุญลา</v>
      </c>
      <c r="G16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66" s="3" t="str">
        <f>IFERROR(__xludf.DUMMYFUNCTION("""COMPUTED_VALUE"""),"จับผ้าเนื่องในโอกาสถวายความอาลัยสมเด็จพระพันปีหลวง")</f>
        <v>จับผ้าเนื่องในโอกาสถวายความอาลัยสมเด็จพระพันปีหลวง</v>
      </c>
      <c r="I166" s="3" t="str">
        <f>IFERROR(__xludf.DUMMYFUNCTION("""COMPUTED_VALUE"""),"รพ.สต.วังตะเคียน")</f>
        <v>รพ.สต.วังตะเคียน</v>
      </c>
      <c r="J166" s="12">
        <f>IFERROR(__xludf.DUMMYFUNCTION("""COMPUTED_VALUE"""),45965.0)</f>
        <v>45965</v>
      </c>
      <c r="K166" s="3" t="str">
        <f>IFERROR(__xludf.DUMMYFUNCTION("""COMPUTED_VALUE"""),"1600-1800")</f>
        <v>1600-1800</v>
      </c>
      <c r="L166" s="3">
        <f>IFERROR(__xludf.DUMMYFUNCTION("""COMPUTED_VALUE"""),2.0)</f>
        <v>2</v>
      </c>
      <c r="M166" s="3" t="str">
        <f>IFERROR(__xludf.DUMMYFUNCTION("""COMPUTED_VALUE"""),"น.ส.จิรวรรณ พิมพ์แก้ว")</f>
        <v>น.ส.จิรวรรณ พิมพ์แก้ว</v>
      </c>
      <c r="N166" s="14" t="str">
        <f>IFERROR(__xludf.DUMMYFUNCTION("""COMPUTED_VALUE"""),"https://lh5.googleusercontent.com/d/1BCfUGLTCoVYird1A_MBocJOBdsQHGabX")</f>
        <v>https://lh5.googleusercontent.com/d/1BCfUGLTCoVYird1A_MBocJOBdsQHGabX</v>
      </c>
      <c r="O166" s="14" t="str">
        <f>IFERROR(__xludf.DUMMYFUNCTION("""COMPUTED_VALUE"""),"https://drive.google.com/file/d/1v1TBIXrjBNuNlFtGrAq98XWe0S1Jev7D/view?usp=drivesdk")</f>
        <v>https://drive.google.com/file/d/1v1TBIXrjBNuNlFtGrAq98XWe0S1Jev7D/view?usp=drivesdk</v>
      </c>
    </row>
    <row r="167">
      <c r="A167" s="3">
        <f>IFERROR(__xludf.DUMMYFUNCTION("""COMPUTED_VALUE"""),1060.0)</f>
        <v>1060</v>
      </c>
      <c r="B167" s="11">
        <f>IFERROR(__xludf.DUMMYFUNCTION("""COMPUTED_VALUE"""),45992.809338969906)</f>
        <v>45992.80934</v>
      </c>
      <c r="C167" s="3" t="str">
        <f>IFERROR(__xludf.DUMMYFUNCTION("""COMPUTED_VALUE"""),"ชั้นปีที่ 4")</f>
        <v>ชั้นปีที่ 4</v>
      </c>
      <c r="D167" s="3" t="str">
        <f>IFERROR(__xludf.DUMMYFUNCTION("""COMPUTED_VALUE"""),"นพอ.กัลยกร บุญลา")</f>
        <v>นพอ.กัลยกร บุญลา</v>
      </c>
      <c r="E167" s="3" t="str">
        <f>IFERROR(__xludf.DUMMYFUNCTION("""COMPUTED_VALUE"""),"4")</f>
        <v>4</v>
      </c>
      <c r="F167" s="3" t="str">
        <f>IFERROR(__xludf.DUMMYFUNCTION("""COMPUTED_VALUE"""),"นพอ.กัลยกร บุญลา")</f>
        <v>นพอ.กัลยกร บุญลา</v>
      </c>
      <c r="G16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67" s="3" t="str">
        <f>IFERROR(__xludf.DUMMYFUNCTION("""COMPUTED_VALUE"""),"จับผ้าเนื่องในโอกาสถวายความอาลัยสมเด็จพระพันปีหลวง")</f>
        <v>จับผ้าเนื่องในโอกาสถวายความอาลัยสมเด็จพระพันปีหลวง</v>
      </c>
      <c r="I167" s="3" t="str">
        <f>IFERROR(__xludf.DUMMYFUNCTION("""COMPUTED_VALUE"""),"รพ.สต.วังตะเคียน")</f>
        <v>รพ.สต.วังตะเคียน</v>
      </c>
      <c r="J167" s="12">
        <f>IFERROR(__xludf.DUMMYFUNCTION("""COMPUTED_VALUE"""),45966.0)</f>
        <v>45966</v>
      </c>
      <c r="K167" s="3" t="str">
        <f>IFERROR(__xludf.DUMMYFUNCTION("""COMPUTED_VALUE"""),"1600-1800")</f>
        <v>1600-1800</v>
      </c>
      <c r="L167" s="3">
        <f>IFERROR(__xludf.DUMMYFUNCTION("""COMPUTED_VALUE"""),2.0)</f>
        <v>2</v>
      </c>
      <c r="M167" s="3" t="str">
        <f>IFERROR(__xludf.DUMMYFUNCTION("""COMPUTED_VALUE"""),"น.ส.จิรวรรณ พิมพ์แก้ว")</f>
        <v>น.ส.จิรวรรณ พิมพ์แก้ว</v>
      </c>
      <c r="N167" s="14" t="str">
        <f>IFERROR(__xludf.DUMMYFUNCTION("""COMPUTED_VALUE"""),"https://lh5.googleusercontent.com/d/1JdcLgjiReee8qmlfjD1b0RA0glpbmLXU")</f>
        <v>https://lh5.googleusercontent.com/d/1JdcLgjiReee8qmlfjD1b0RA0glpbmLXU</v>
      </c>
      <c r="O167" s="14" t="str">
        <f>IFERROR(__xludf.DUMMYFUNCTION("""COMPUTED_VALUE"""),"https://drive.google.com/file/d/1a5hP7QU7tNrYKgnGZ1mT5FksTXlnWmBy/view?usp=drivesdk")</f>
        <v>https://drive.google.com/file/d/1a5hP7QU7tNrYKgnGZ1mT5FksTXlnWmBy/view?usp=drivesdk</v>
      </c>
    </row>
    <row r="168">
      <c r="A168" s="3">
        <f>IFERROR(__xludf.DUMMYFUNCTION("""COMPUTED_VALUE"""),1061.0)</f>
        <v>1061</v>
      </c>
      <c r="B168" s="11">
        <f>IFERROR(__xludf.DUMMYFUNCTION("""COMPUTED_VALUE"""),45992.81155063657)</f>
        <v>45992.81155</v>
      </c>
      <c r="C168" s="3" t="str">
        <f>IFERROR(__xludf.DUMMYFUNCTION("""COMPUTED_VALUE"""),"ชั้นปีที่ 4")</f>
        <v>ชั้นปีที่ 4</v>
      </c>
      <c r="D168" s="3" t="str">
        <f>IFERROR(__xludf.DUMMYFUNCTION("""COMPUTED_VALUE"""),"6503693")</f>
        <v>6503693</v>
      </c>
      <c r="E168" s="3" t="str">
        <f>IFERROR(__xludf.DUMMYFUNCTION("""COMPUTED_VALUE"""),"4")</f>
        <v>4</v>
      </c>
      <c r="F168" s="3" t="str">
        <f>IFERROR(__xludf.DUMMYFUNCTION("""COMPUTED_VALUE"""),"นพอ.กัลยกร บุญลา")</f>
        <v>นพอ.กัลยกร บุญลา</v>
      </c>
      <c r="G16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68" s="3" t="str">
        <f>IFERROR(__xludf.DUMMYFUNCTION("""COMPUTED_VALUE"""),"จับผ้าเนื่องในโอกาสถวายความอาลัยสมเด็จพระพันปีหลวง")</f>
        <v>จับผ้าเนื่องในโอกาสถวายความอาลัยสมเด็จพระพันปีหลวง</v>
      </c>
      <c r="I168" s="3" t="str">
        <f>IFERROR(__xludf.DUMMYFUNCTION("""COMPUTED_VALUE"""),"รพ.สต.วังตะเคียน")</f>
        <v>รพ.สต.วังตะเคียน</v>
      </c>
      <c r="J168" s="12">
        <f>IFERROR(__xludf.DUMMYFUNCTION("""COMPUTED_VALUE"""),45966.0)</f>
        <v>45966</v>
      </c>
      <c r="K168" s="3" t="str">
        <f>IFERROR(__xludf.DUMMYFUNCTION("""COMPUTED_VALUE"""),"1600-1800")</f>
        <v>1600-1800</v>
      </c>
      <c r="L168" s="3">
        <f>IFERROR(__xludf.DUMMYFUNCTION("""COMPUTED_VALUE"""),2.0)</f>
        <v>2</v>
      </c>
      <c r="M168" s="3" t="str">
        <f>IFERROR(__xludf.DUMMYFUNCTION("""COMPUTED_VALUE"""),"น.ส.จิรวรรณ พิมพ์แก้ว")</f>
        <v>น.ส.จิรวรรณ พิมพ์แก้ว</v>
      </c>
      <c r="N168" s="14" t="str">
        <f>IFERROR(__xludf.DUMMYFUNCTION("""COMPUTED_VALUE"""),"https://lh5.googleusercontent.com/d/1sl4priVeVNPxjepHfEAg6_tCI26JPSbn")</f>
        <v>https://lh5.googleusercontent.com/d/1sl4priVeVNPxjepHfEAg6_tCI26JPSbn</v>
      </c>
      <c r="O168" s="14" t="str">
        <f>IFERROR(__xludf.DUMMYFUNCTION("""COMPUTED_VALUE"""),"https://drive.google.com/file/d/1tYTUEeoMWQRgiLv0eUL3vQ-ZrrTOPetu/view?usp=drivesdk")</f>
        <v>https://drive.google.com/file/d/1tYTUEeoMWQRgiLv0eUL3vQ-ZrrTOPetu/view?usp=drivesdk</v>
      </c>
    </row>
    <row r="169">
      <c r="A169" s="3">
        <f>IFERROR(__xludf.DUMMYFUNCTION("""COMPUTED_VALUE"""),1062.0)</f>
        <v>1062</v>
      </c>
      <c r="B169" s="11">
        <f>IFERROR(__xludf.DUMMYFUNCTION("""COMPUTED_VALUE"""),45992.81180915509)</f>
        <v>45992.81181</v>
      </c>
      <c r="C169" s="3" t="str">
        <f>IFERROR(__xludf.DUMMYFUNCTION("""COMPUTED_VALUE"""),"ชั้นปีที่ 4")</f>
        <v>ชั้นปีที่ 4</v>
      </c>
      <c r="D169" s="3" t="str">
        <f>IFERROR(__xludf.DUMMYFUNCTION("""COMPUTED_VALUE"""),"6503710")</f>
        <v>6503710</v>
      </c>
      <c r="E169" s="3" t="str">
        <f>IFERROR(__xludf.DUMMYFUNCTION("""COMPUTED_VALUE"""),"21")</f>
        <v>21</v>
      </c>
      <c r="F169" s="3" t="str">
        <f>IFERROR(__xludf.DUMMYFUNCTION("""COMPUTED_VALUE"""),"นพอ.ณัทณิชา สุวะเสน")</f>
        <v>นพอ.ณัทณิชา สุวะเสน</v>
      </c>
      <c r="G16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9" s="3" t="str">
        <f>IFERROR(__xludf.DUMMYFUNCTION("""COMPUTED_VALUE"""),"โครงการคัดกรองสุขภาพเขิงรุกกำลังพลทอ.")</f>
        <v>โครงการคัดกรองสุขภาพเขิงรุกกำลังพลทอ.</v>
      </c>
      <c r="I169" s="3" t="str">
        <f>IFERROR(__xludf.DUMMYFUNCTION("""COMPUTED_VALUE"""),"สโมสรทหารอากาศชั้นประทวน")</f>
        <v>สโมสรทหารอากาศชั้นประทวน</v>
      </c>
      <c r="J169" s="12">
        <f>IFERROR(__xludf.DUMMYFUNCTION("""COMPUTED_VALUE"""),45854.0)</f>
        <v>45854</v>
      </c>
      <c r="K169" s="3" t="str">
        <f>IFERROR(__xludf.DUMMYFUNCTION("""COMPUTED_VALUE"""),"0700-1300")</f>
        <v>0700-1300</v>
      </c>
      <c r="L169" s="3">
        <f>IFERROR(__xludf.DUMMYFUNCTION("""COMPUTED_VALUE"""),6.0)</f>
        <v>6</v>
      </c>
      <c r="M169" s="3" t="str">
        <f>IFERROR(__xludf.DUMMYFUNCTION("""COMPUTED_VALUE"""),"น.ต.หญิง ตวงทิพย์ ลดาวัลย์")</f>
        <v>น.ต.หญิง ตวงทิพย์ ลดาวัลย์</v>
      </c>
      <c r="N169" s="14" t="str">
        <f>IFERROR(__xludf.DUMMYFUNCTION("""COMPUTED_VALUE"""),"https://lh5.googleusercontent.com/d/1Y1XrPhx7yCVS7SO9ggaOk-M1OKtvY7nO")</f>
        <v>https://lh5.googleusercontent.com/d/1Y1XrPhx7yCVS7SO9ggaOk-M1OKtvY7nO</v>
      </c>
      <c r="O169" s="14" t="str">
        <f>IFERROR(__xludf.DUMMYFUNCTION("""COMPUTED_VALUE"""),"https://drive.google.com/file/d/1nDRALfraMLMVRCqV-5-XlNmpxJ_h34YP/view?usp=drivesdk")</f>
        <v>https://drive.google.com/file/d/1nDRALfraMLMVRCqV-5-XlNmpxJ_h34YP/view?usp=drivesdk</v>
      </c>
    </row>
    <row r="170">
      <c r="A170" s="3">
        <f>IFERROR(__xludf.DUMMYFUNCTION("""COMPUTED_VALUE"""),1063.0)</f>
        <v>1063</v>
      </c>
      <c r="B170" s="11">
        <f>IFERROR(__xludf.DUMMYFUNCTION("""COMPUTED_VALUE"""),45992.815876458335)</f>
        <v>45992.81588</v>
      </c>
      <c r="C170" s="3" t="str">
        <f>IFERROR(__xludf.DUMMYFUNCTION("""COMPUTED_VALUE"""),"ชั้นปีที่ 4")</f>
        <v>ชั้นปีที่ 4</v>
      </c>
      <c r="D170" s="3" t="str">
        <f>IFERROR(__xludf.DUMMYFUNCTION("""COMPUTED_VALUE"""),"6503710")</f>
        <v>6503710</v>
      </c>
      <c r="E170" s="3" t="str">
        <f>IFERROR(__xludf.DUMMYFUNCTION("""COMPUTED_VALUE"""),"21")</f>
        <v>21</v>
      </c>
      <c r="F170" s="3" t="str">
        <f>IFERROR(__xludf.DUMMYFUNCTION("""COMPUTED_VALUE"""),"นพอ.ณัทณิชา สุวะเสน")</f>
        <v>นพอ.ณัทณิชา สุวะเสน</v>
      </c>
      <c r="G170" s="3" t="str">
        <f>IFERROR(__xludf.DUMMYFUNCTION("""COMPUTED_VALUE"""),"งานฟรีทั่วไป")</f>
        <v>งานฟรีทั่วไป</v>
      </c>
      <c r="H170" s="3" t="str">
        <f>IFERROR(__xludf.DUMMYFUNCTION("""COMPUTED_VALUE"""),"กิจกรรมวันรักต้นไม้ประจำปีของชาติ")</f>
        <v>กิจกรรมวันรักต้นไม้ประจำปีของชาติ</v>
      </c>
      <c r="I170" s="3" t="str">
        <f>IFERROR(__xludf.DUMMYFUNCTION("""COMPUTED_VALUE"""),"โรงพยาบาลส่งเสริมสุขภาพตำบลบางขวัญ")</f>
        <v>โรงพยาบาลส่งเสริมสุขภาพตำบลบางขวัญ</v>
      </c>
      <c r="J170" s="12">
        <f>IFERROR(__xludf.DUMMYFUNCTION("""COMPUTED_VALUE"""),45951.0)</f>
        <v>45951</v>
      </c>
      <c r="K170" s="3" t="str">
        <f>IFERROR(__xludf.DUMMYFUNCTION("""COMPUTED_VALUE"""),"1300-1700")</f>
        <v>1300-1700</v>
      </c>
      <c r="L170" s="3">
        <f>IFERROR(__xludf.DUMMYFUNCTION("""COMPUTED_VALUE"""),4.0)</f>
        <v>4</v>
      </c>
      <c r="M170" s="3" t="str">
        <f>IFERROR(__xludf.DUMMYFUNCTION("""COMPUTED_VALUE"""),"นายเวคิน เจียโหงว")</f>
        <v>นายเวคิน เจียโหงว</v>
      </c>
      <c r="N170" s="14" t="str">
        <f>IFERROR(__xludf.DUMMYFUNCTION("""COMPUTED_VALUE"""),"https://lh5.googleusercontent.com/d/1PRDzmtAyga_Lad-ynYX1hs1IdfkflcBc")</f>
        <v>https://lh5.googleusercontent.com/d/1PRDzmtAyga_Lad-ynYX1hs1IdfkflcBc</v>
      </c>
      <c r="O170" s="3"/>
    </row>
    <row r="171">
      <c r="A171" s="3">
        <f>IFERROR(__xludf.DUMMYFUNCTION("""COMPUTED_VALUE"""),1064.0)</f>
        <v>1064</v>
      </c>
      <c r="B171" s="11">
        <f>IFERROR(__xludf.DUMMYFUNCTION("""COMPUTED_VALUE"""),45992.815932314814)</f>
        <v>45992.81593</v>
      </c>
      <c r="C171" s="3" t="str">
        <f>IFERROR(__xludf.DUMMYFUNCTION("""COMPUTED_VALUE"""),"ชั้นปีที่ 4")</f>
        <v>ชั้นปีที่ 4</v>
      </c>
      <c r="D171" s="3" t="str">
        <f>IFERROR(__xludf.DUMMYFUNCTION("""COMPUTED_VALUE"""),"6503693")</f>
        <v>6503693</v>
      </c>
      <c r="E171" s="3" t="str">
        <f>IFERROR(__xludf.DUMMYFUNCTION("""COMPUTED_VALUE"""),"4")</f>
        <v>4</v>
      </c>
      <c r="F171" s="3" t="str">
        <f>IFERROR(__xludf.DUMMYFUNCTION("""COMPUTED_VALUE"""),"นพอ.กัลยกร บุญลา")</f>
        <v>นพอ.กัลยกร บุญลา</v>
      </c>
      <c r="G171" s="3" t="str">
        <f>IFERROR(__xludf.DUMMYFUNCTION("""COMPUTED_VALUE"""),"ทำนุบำรุงศาสนสถาน")</f>
        <v>ทำนุบำรุงศาสนสถาน</v>
      </c>
      <c r="H171" s="3" t="str">
        <f>IFERROR(__xludf.DUMMYFUNCTION("""COMPUTED_VALUE"""),"จัดสถานที่และเก็บงานช่วยวัด")</f>
        <v>จัดสถานที่และเก็บงานช่วยวัด</v>
      </c>
      <c r="I171" s="3" t="str">
        <f>IFERROR(__xludf.DUMMYFUNCTION("""COMPUTED_VALUE"""),"วัดแพรกวังตะเคียน")</f>
        <v>วัดแพรกวังตะเคียน</v>
      </c>
      <c r="J171" s="12">
        <f>IFERROR(__xludf.DUMMYFUNCTION("""COMPUTED_VALUE"""),45949.0)</f>
        <v>45949</v>
      </c>
      <c r="K171" s="3" t="str">
        <f>IFERROR(__xludf.DUMMYFUNCTION("""COMPUTED_VALUE"""),"0600-1000")</f>
        <v>0600-1000</v>
      </c>
      <c r="L171" s="3">
        <f>IFERROR(__xludf.DUMMYFUNCTION("""COMPUTED_VALUE"""),4.0)</f>
        <v>4</v>
      </c>
      <c r="M171" s="3" t="str">
        <f>IFERROR(__xludf.DUMMYFUNCTION("""COMPUTED_VALUE"""),"นายธนู เล็กชะอุ่ม ")</f>
        <v>นายธนู เล็กชะอุ่ม </v>
      </c>
      <c r="N171" s="14" t="str">
        <f>IFERROR(__xludf.DUMMYFUNCTION("""COMPUTED_VALUE"""),"https://lh5.googleusercontent.com/d/1Cazm6NdI9U0CliAZTdwQwGsX8fc3oL-v")</f>
        <v>https://lh5.googleusercontent.com/d/1Cazm6NdI9U0CliAZTdwQwGsX8fc3oL-v</v>
      </c>
      <c r="O171" s="14" t="str">
        <f>IFERROR(__xludf.DUMMYFUNCTION("""COMPUTED_VALUE"""),"https://drive.google.com/file/d/1Gmg5dBhG2laVPXeYMNjshvpQ6EOpIDKC/view?usp=drivesdk")</f>
        <v>https://drive.google.com/file/d/1Gmg5dBhG2laVPXeYMNjshvpQ6EOpIDKC/view?usp=drivesdk</v>
      </c>
    </row>
    <row r="172">
      <c r="A172" s="3">
        <f>IFERROR(__xludf.DUMMYFUNCTION("""COMPUTED_VALUE"""),1065.0)</f>
        <v>1065</v>
      </c>
      <c r="B172" s="11">
        <f>IFERROR(__xludf.DUMMYFUNCTION("""COMPUTED_VALUE"""),45992.81623984954)</f>
        <v>45992.81624</v>
      </c>
      <c r="C172" s="3" t="str">
        <f>IFERROR(__xludf.DUMMYFUNCTION("""COMPUTED_VALUE"""),"ชั้นปีที่ 4")</f>
        <v>ชั้นปีที่ 4</v>
      </c>
      <c r="D172" s="3" t="str">
        <f>IFERROR(__xludf.DUMMYFUNCTION("""COMPUTED_VALUE"""),"6503698")</f>
        <v>6503698</v>
      </c>
      <c r="E172" s="3" t="str">
        <f>IFERROR(__xludf.DUMMYFUNCTION("""COMPUTED_VALUE"""),"9")</f>
        <v>9</v>
      </c>
      <c r="F172" s="3" t="str">
        <f>IFERROR(__xludf.DUMMYFUNCTION("""COMPUTED_VALUE"""),"นพอ.จุฑานภัสร์ ฟ้าบรรเจิด")</f>
        <v>นพอ.จุฑานภัสร์ ฟ้าบรรเจิด</v>
      </c>
      <c r="G17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72" s="3" t="str">
        <f>IFERROR(__xludf.DUMMYFUNCTION("""COMPUTED_VALUE"""),"เดิน วิ่ง ปั่น ป้องกันอัมพาต")</f>
        <v>เดิน วิ่ง ปั่น ป้องกันอัมพาต</v>
      </c>
      <c r="I172" s="3" t="str">
        <f>IFERROR(__xludf.DUMMYFUNCTION("""COMPUTED_VALUE"""),"ศาลากลาง")</f>
        <v>ศาลากลาง</v>
      </c>
      <c r="J172" s="12">
        <f>IFERROR(__xludf.DUMMYFUNCTION("""COMPUTED_VALUE"""),45956.0)</f>
        <v>45956</v>
      </c>
      <c r="K172" s="3" t="str">
        <f>IFERROR(__xludf.DUMMYFUNCTION("""COMPUTED_VALUE"""),"0500-0900")</f>
        <v>0500-0900</v>
      </c>
      <c r="L172" s="3">
        <f>IFERROR(__xludf.DUMMYFUNCTION("""COMPUTED_VALUE"""),4.0)</f>
        <v>4</v>
      </c>
      <c r="M172" s="3" t="str">
        <f>IFERROR(__xludf.DUMMYFUNCTION("""COMPUTED_VALUE"""),"นางสาวธนิดา หลักทอง")</f>
        <v>นางสาวธนิดา หลักทอง</v>
      </c>
      <c r="N172" s="14" t="str">
        <f>IFERROR(__xludf.DUMMYFUNCTION("""COMPUTED_VALUE"""),"https://lh5.googleusercontent.com/d/1TkOro2c_Ixib1OcUMchcJ7zWjCwFdBfz")</f>
        <v>https://lh5.googleusercontent.com/d/1TkOro2c_Ixib1OcUMchcJ7zWjCwFdBfz</v>
      </c>
      <c r="O172" s="14" t="str">
        <f>IFERROR(__xludf.DUMMYFUNCTION("""COMPUTED_VALUE"""),"https://drive.google.com/file/d/11EHsYvhqQ35vpPma4ApA955fbDUVlHKd/view?usp=drivesdk")</f>
        <v>https://drive.google.com/file/d/11EHsYvhqQ35vpPma4ApA955fbDUVlHKd/view?usp=drivesdk</v>
      </c>
    </row>
    <row r="173">
      <c r="A173" s="3">
        <f>IFERROR(__xludf.DUMMYFUNCTION("""COMPUTED_VALUE"""),1067.0)</f>
        <v>1067</v>
      </c>
      <c r="B173" s="11">
        <f>IFERROR(__xludf.DUMMYFUNCTION("""COMPUTED_VALUE"""),45992.82050783565)</f>
        <v>45992.82051</v>
      </c>
      <c r="C173" s="3" t="str">
        <f>IFERROR(__xludf.DUMMYFUNCTION("""COMPUTED_VALUE"""),"ชั้นปีที่ 4")</f>
        <v>ชั้นปีที่ 4</v>
      </c>
      <c r="D173" s="3" t="str">
        <f>IFERROR(__xludf.DUMMYFUNCTION("""COMPUTED_VALUE"""),"6503693")</f>
        <v>6503693</v>
      </c>
      <c r="E173" s="3" t="str">
        <f>IFERROR(__xludf.DUMMYFUNCTION("""COMPUTED_VALUE"""),"4")</f>
        <v>4</v>
      </c>
      <c r="F173" s="3" t="str">
        <f>IFERROR(__xludf.DUMMYFUNCTION("""COMPUTED_VALUE"""),"นพอ.กัลยกร บุญลา")</f>
        <v>นพอ.กัลยกร บุญลา</v>
      </c>
      <c r="G173" s="3" t="str">
        <f>IFERROR(__xludf.DUMMYFUNCTION("""COMPUTED_VALUE"""),"งานฟรีทั่วไป")</f>
        <v>งานฟรีทั่วไป</v>
      </c>
      <c r="H173" s="3" t="str">
        <f>IFERROR(__xludf.DUMMYFUNCTION("""COMPUTED_VALUE"""),"ช่วยขูดมะละกอทำโรงทาน")</f>
        <v>ช่วยขูดมะละกอทำโรงทาน</v>
      </c>
      <c r="I173" s="3" t="str">
        <f>IFERROR(__xludf.DUMMYFUNCTION("""COMPUTED_VALUE"""),"บ้านแพรกวังตะเคียน")</f>
        <v>บ้านแพรกวังตะเคียน</v>
      </c>
      <c r="J173" s="12">
        <f>IFERROR(__xludf.DUMMYFUNCTION("""COMPUTED_VALUE"""),45948.0)</f>
        <v>45948</v>
      </c>
      <c r="K173" s="3" t="str">
        <f>IFERROR(__xludf.DUMMYFUNCTION("""COMPUTED_VALUE"""),"0800-1200")</f>
        <v>0800-1200</v>
      </c>
      <c r="L173" s="3">
        <f>IFERROR(__xludf.DUMMYFUNCTION("""COMPUTED_VALUE"""),4.0)</f>
        <v>4</v>
      </c>
      <c r="M173" s="3" t="str">
        <f>IFERROR(__xludf.DUMMYFUNCTION("""COMPUTED_VALUE"""),"น.ส.จารุภรณ์ พินิจนอก")</f>
        <v>น.ส.จารุภรณ์ พินิจนอก</v>
      </c>
      <c r="N173" s="14" t="str">
        <f>IFERROR(__xludf.DUMMYFUNCTION("""COMPUTED_VALUE"""),"https://lh5.googleusercontent.com/d/183iAefvNS8JiMijZeJ97XqQBfpw971Q5")</f>
        <v>https://lh5.googleusercontent.com/d/183iAefvNS8JiMijZeJ97XqQBfpw971Q5</v>
      </c>
      <c r="O173" s="14" t="str">
        <f>IFERROR(__xludf.DUMMYFUNCTION("""COMPUTED_VALUE"""),"https://drive.google.com/file/d/1KUoIsInO2ehwrd9C3xcvYOIkJY3xqiE0/view?usp=drivesdk")</f>
        <v>https://drive.google.com/file/d/1KUoIsInO2ehwrd9C3xcvYOIkJY3xqiE0/view?usp=drivesdk</v>
      </c>
    </row>
    <row r="174">
      <c r="A174" s="3">
        <f>IFERROR(__xludf.DUMMYFUNCTION("""COMPUTED_VALUE"""),1068.0)</f>
        <v>1068</v>
      </c>
      <c r="B174" s="11">
        <f>IFERROR(__xludf.DUMMYFUNCTION("""COMPUTED_VALUE"""),45992.82175540509)</f>
        <v>45992.82176</v>
      </c>
      <c r="C174" s="3" t="str">
        <f>IFERROR(__xludf.DUMMYFUNCTION("""COMPUTED_VALUE"""),"ชั้นปีที่ 4")</f>
        <v>ชั้นปีที่ 4</v>
      </c>
      <c r="D174" s="3" t="str">
        <f>IFERROR(__xludf.DUMMYFUNCTION("""COMPUTED_VALUE"""),"6503710")</f>
        <v>6503710</v>
      </c>
      <c r="E174" s="3" t="str">
        <f>IFERROR(__xludf.DUMMYFUNCTION("""COMPUTED_VALUE"""),"21")</f>
        <v>21</v>
      </c>
      <c r="F174" s="3" t="str">
        <f>IFERROR(__xludf.DUMMYFUNCTION("""COMPUTED_VALUE"""),"นพอ.ณัทณิชา สุวะเสน")</f>
        <v>นพอ.ณัทณิชา สุวะเสน</v>
      </c>
      <c r="G174" s="3" t="str">
        <f>IFERROR(__xludf.DUMMYFUNCTION("""COMPUTED_VALUE"""),"งานฟรีทั่วไป")</f>
        <v>งานฟรีทั่วไป</v>
      </c>
      <c r="H174" s="3" t="str">
        <f>IFERROR(__xludf.DUMMYFUNCTION("""COMPUTED_VALUE"""),"วันรักต้นไม้แห่งชาติ")</f>
        <v>วันรักต้นไม้แห่งชาติ</v>
      </c>
      <c r="I174" s="3" t="str">
        <f>IFERROR(__xludf.DUMMYFUNCTION("""COMPUTED_VALUE"""),"รพ.สต.บางขวัญ")</f>
        <v>รพ.สต.บางขวัญ</v>
      </c>
      <c r="J174" s="12">
        <f>IFERROR(__xludf.DUMMYFUNCTION("""COMPUTED_VALUE"""),45951.0)</f>
        <v>45951</v>
      </c>
      <c r="K174" s="3" t="str">
        <f>IFERROR(__xludf.DUMMYFUNCTION("""COMPUTED_VALUE"""),"1300-1600")</f>
        <v>1300-1600</v>
      </c>
      <c r="L174" s="3">
        <f>IFERROR(__xludf.DUMMYFUNCTION("""COMPUTED_VALUE"""),4.0)</f>
        <v>4</v>
      </c>
      <c r="M174" s="3" t="str">
        <f>IFERROR(__xludf.DUMMYFUNCTION("""COMPUTED_VALUE"""),"นายเวคิน เจียโหงว (ผอ.รพ.สต.)")</f>
        <v>นายเวคิน เจียโหงว (ผอ.รพ.สต.)</v>
      </c>
      <c r="N174" s="14" t="str">
        <f>IFERROR(__xludf.DUMMYFUNCTION("""COMPUTED_VALUE"""),"https://lh5.googleusercontent.com/d/1As6oG37RG2no0Rr9sPmspu9sN73aG52a")</f>
        <v>https://lh5.googleusercontent.com/d/1As6oG37RG2no0Rr9sPmspu9sN73aG52a</v>
      </c>
      <c r="O174" s="14" t="str">
        <f>IFERROR(__xludf.DUMMYFUNCTION("""COMPUTED_VALUE"""),"https://drive.google.com/file/d/1WoeJS8nsVJxLMb0kT0kj5hMFmVPhK6jw/view?usp=drivesdk")</f>
        <v>https://drive.google.com/file/d/1WoeJS8nsVJxLMb0kT0kj5hMFmVPhK6jw/view?usp=drivesdk</v>
      </c>
    </row>
    <row r="175">
      <c r="A175" s="3">
        <f>IFERROR(__xludf.DUMMYFUNCTION("""COMPUTED_VALUE"""),1069.0)</f>
        <v>1069</v>
      </c>
      <c r="B175" s="11">
        <f>IFERROR(__xludf.DUMMYFUNCTION("""COMPUTED_VALUE"""),45992.82367329861)</f>
        <v>45992.82367</v>
      </c>
      <c r="C175" s="3" t="str">
        <f>IFERROR(__xludf.DUMMYFUNCTION("""COMPUTED_VALUE"""),"ชั้นปีที่ 4")</f>
        <v>ชั้นปีที่ 4</v>
      </c>
      <c r="D175" s="3" t="str">
        <f>IFERROR(__xludf.DUMMYFUNCTION("""COMPUTED_VALUE"""),"6503693")</f>
        <v>6503693</v>
      </c>
      <c r="E175" s="3" t="str">
        <f>IFERROR(__xludf.DUMMYFUNCTION("""COMPUTED_VALUE"""),"4")</f>
        <v>4</v>
      </c>
      <c r="F175" s="3" t="str">
        <f>IFERROR(__xludf.DUMMYFUNCTION("""COMPUTED_VALUE"""),"นพอ.กัลยกร บุญลา")</f>
        <v>นพอ.กัลยกร บุญลา</v>
      </c>
      <c r="G175" s="3" t="str">
        <f>IFERROR(__xludf.DUMMYFUNCTION("""COMPUTED_VALUE"""),"งานฟรีทั่วไป")</f>
        <v>งานฟรีทั่วไป</v>
      </c>
      <c r="H175" s="3" t="str">
        <f>IFERROR(__xludf.DUMMYFUNCTION("""COMPUTED_VALUE"""),"ช่วยจัดสวน")</f>
        <v>ช่วยจัดสวน</v>
      </c>
      <c r="I175" s="3" t="str">
        <f>IFERROR(__xludf.DUMMYFUNCTION("""COMPUTED_VALUE"""),"รพ.สต.วังตะเคียน")</f>
        <v>รพ.สต.วังตะเคียน</v>
      </c>
      <c r="J175" s="12">
        <f>IFERROR(__xludf.DUMMYFUNCTION("""COMPUTED_VALUE"""),45970.0)</f>
        <v>45970</v>
      </c>
      <c r="K175" s="3" t="str">
        <f>IFERROR(__xludf.DUMMYFUNCTION("""COMPUTED_VALUE"""),"1300-1700")</f>
        <v>1300-1700</v>
      </c>
      <c r="L175" s="3">
        <f>IFERROR(__xludf.DUMMYFUNCTION("""COMPUTED_VALUE"""),4.0)</f>
        <v>4</v>
      </c>
      <c r="M175" s="3" t="str">
        <f>IFERROR(__xludf.DUMMYFUNCTION("""COMPUTED_VALUE"""),"น.ส.นุศรา เนียมสูงเนิน")</f>
        <v>น.ส.นุศรา เนียมสูงเนิน</v>
      </c>
      <c r="N175" s="14" t="str">
        <f>IFERROR(__xludf.DUMMYFUNCTION("""COMPUTED_VALUE"""),"https://lh5.googleusercontent.com/d/1n880R0MV7KTHeOgISKuQD33rk3U7-Cce")</f>
        <v>https://lh5.googleusercontent.com/d/1n880R0MV7KTHeOgISKuQD33rk3U7-Cce</v>
      </c>
      <c r="O175" s="14" t="str">
        <f>IFERROR(__xludf.DUMMYFUNCTION("""COMPUTED_VALUE"""),"https://drive.google.com/file/d/1-EQIhCbzP70BZuR5KWdEOCRHSvrtjLHf/view?usp=drivesdk")</f>
        <v>https://drive.google.com/file/d/1-EQIhCbzP70BZuR5KWdEOCRHSvrtjLHf/view?usp=drivesdk</v>
      </c>
    </row>
    <row r="176">
      <c r="A176" s="3">
        <f>IFERROR(__xludf.DUMMYFUNCTION("""COMPUTED_VALUE"""),1070.0)</f>
        <v>1070</v>
      </c>
      <c r="B176" s="11">
        <f>IFERROR(__xludf.DUMMYFUNCTION("""COMPUTED_VALUE"""),45992.82584386574)</f>
        <v>45992.82584</v>
      </c>
      <c r="C176" s="3" t="str">
        <f>IFERROR(__xludf.DUMMYFUNCTION("""COMPUTED_VALUE"""),"ชั้นปีที่ 4")</f>
        <v>ชั้นปีที่ 4</v>
      </c>
      <c r="D176" s="3" t="str">
        <f>IFERROR(__xludf.DUMMYFUNCTION("""COMPUTED_VALUE"""),"6503701")</f>
        <v>6503701</v>
      </c>
      <c r="E176" s="3" t="str">
        <f>IFERROR(__xludf.DUMMYFUNCTION("""COMPUTED_VALUE"""),"12")</f>
        <v>12</v>
      </c>
      <c r="F176" s="3" t="str">
        <f>IFERROR(__xludf.DUMMYFUNCTION("""COMPUTED_VALUE"""),"นพอ.ชนิกานต์ จันไชยยศ")</f>
        <v>นพอ.ชนิกานต์ จันไชยยศ</v>
      </c>
      <c r="G17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6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76" s="3" t="str">
        <f>IFERROR(__xludf.DUMMYFUNCTION("""COMPUTED_VALUE"""),"สโมสรทหารอากาศชั้นประทวน")</f>
        <v>สโมสรทหารอากาศชั้นประทวน</v>
      </c>
      <c r="J176" s="12">
        <f>IFERROR(__xludf.DUMMYFUNCTION("""COMPUTED_VALUE"""),45854.0)</f>
        <v>45854</v>
      </c>
      <c r="K176" s="3" t="str">
        <f>IFERROR(__xludf.DUMMYFUNCTION("""COMPUTED_VALUE"""),"0700-1300")</f>
        <v>0700-1300</v>
      </c>
      <c r="L176" s="3">
        <f>IFERROR(__xludf.DUMMYFUNCTION("""COMPUTED_VALUE"""),6.0)</f>
        <v>6</v>
      </c>
      <c r="M176" s="3" t="str">
        <f>IFERROR(__xludf.DUMMYFUNCTION("""COMPUTED_VALUE"""),"น.ต.หญิง ตวงทิพย์ ลดาวัลย์")</f>
        <v>น.ต.หญิง ตวงทิพย์ ลดาวัลย์</v>
      </c>
      <c r="N176" s="14" t="str">
        <f>IFERROR(__xludf.DUMMYFUNCTION("""COMPUTED_VALUE"""),"https://lh5.googleusercontent.com/d/1MAfkOtGYdZDsaAw6OU-y9vVuGHarGrcc")</f>
        <v>https://lh5.googleusercontent.com/d/1MAfkOtGYdZDsaAw6OU-y9vVuGHarGrcc</v>
      </c>
      <c r="O176" s="14" t="str">
        <f>IFERROR(__xludf.DUMMYFUNCTION("""COMPUTED_VALUE"""),"https://drive.google.com/file/d/1sfXlmfnZoEH6OxFNE1PxrE0jIIKChfjS/view?usp=drivesdk")</f>
        <v>https://drive.google.com/file/d/1sfXlmfnZoEH6OxFNE1PxrE0jIIKChfjS/view?usp=drivesdk</v>
      </c>
    </row>
    <row r="177">
      <c r="A177" s="3">
        <f>IFERROR(__xludf.DUMMYFUNCTION("""COMPUTED_VALUE"""),1071.0)</f>
        <v>1071</v>
      </c>
      <c r="B177" s="11">
        <f>IFERROR(__xludf.DUMMYFUNCTION("""COMPUTED_VALUE"""),45992.827597268515)</f>
        <v>45992.8276</v>
      </c>
      <c r="C177" s="3" t="str">
        <f>IFERROR(__xludf.DUMMYFUNCTION("""COMPUTED_VALUE"""),"ชั้นปีที่ 4")</f>
        <v>ชั้นปีที่ 4</v>
      </c>
      <c r="D177" s="3" t="str">
        <f>IFERROR(__xludf.DUMMYFUNCTION("""COMPUTED_VALUE"""),"6503710")</f>
        <v>6503710</v>
      </c>
      <c r="E177" s="3" t="str">
        <f>IFERROR(__xludf.DUMMYFUNCTION("""COMPUTED_VALUE"""),"21")</f>
        <v>21</v>
      </c>
      <c r="F177" s="3" t="str">
        <f>IFERROR(__xludf.DUMMYFUNCTION("""COMPUTED_VALUE"""),"นพอ.ณัทณิชา สุวะเสน")</f>
        <v>นพอ.ณัทณิชา สุวะเสน</v>
      </c>
      <c r="G177" s="3" t="str">
        <f>IFERROR(__xludf.DUMMYFUNCTION("""COMPUTED_VALUE"""),"ทำนุบำรุงศาสนสถาน")</f>
        <v>ทำนุบำรุงศาสนสถาน</v>
      </c>
      <c r="H177" s="3" t="str">
        <f>IFERROR(__xludf.DUMMYFUNCTION("""COMPUTED_VALUE"""),"ทำความสะอาดวัด")</f>
        <v>ทำความสะอาดวัด</v>
      </c>
      <c r="I177" s="3" t="str">
        <f>IFERROR(__xludf.DUMMYFUNCTION("""COMPUTED_VALUE"""),"วัดวิเวกอาคม อ.เมือง จ.ฉะเชิงเทรา")</f>
        <v>วัดวิเวกอาคม อ.เมือง จ.ฉะเชิงเทรา</v>
      </c>
      <c r="J177" s="12">
        <f>IFERROR(__xludf.DUMMYFUNCTION("""COMPUTED_VALUE"""),45955.0)</f>
        <v>45955</v>
      </c>
      <c r="K177" s="3" t="str">
        <f>IFERROR(__xludf.DUMMYFUNCTION("""COMPUTED_VALUE"""),"0800-1200")</f>
        <v>0800-1200</v>
      </c>
      <c r="L177" s="3">
        <f>IFERROR(__xludf.DUMMYFUNCTION("""COMPUTED_VALUE"""),4.0)</f>
        <v>4</v>
      </c>
      <c r="M177" s="3" t="str">
        <f>IFERROR(__xludf.DUMMYFUNCTION("""COMPUTED_VALUE"""),"นางธัญญพัทธ์ นพพรธนพัฒน์")</f>
        <v>นางธัญญพัทธ์ นพพรธนพัฒน์</v>
      </c>
      <c r="N177" s="14" t="str">
        <f>IFERROR(__xludf.DUMMYFUNCTION("""COMPUTED_VALUE"""),"https://lh5.googleusercontent.com/d/16SLy53TqBp3k8G9HbOUVwWLtf-H4wNch")</f>
        <v>https://lh5.googleusercontent.com/d/16SLy53TqBp3k8G9HbOUVwWLtf-H4wNch</v>
      </c>
      <c r="O177" s="14" t="str">
        <f>IFERROR(__xludf.DUMMYFUNCTION("""COMPUTED_VALUE"""),"https://drive.google.com/file/d/1tE0Yg_p9l51q3y4vlf4hGOw3lYwYoXq4/view?usp=drivesdk")</f>
        <v>https://drive.google.com/file/d/1tE0Yg_p9l51q3y4vlf4hGOw3lYwYoXq4/view?usp=drivesdk</v>
      </c>
    </row>
    <row r="178">
      <c r="A178" s="3">
        <f>IFERROR(__xludf.DUMMYFUNCTION("""COMPUTED_VALUE"""),1072.0)</f>
        <v>1072</v>
      </c>
      <c r="B178" s="11">
        <f>IFERROR(__xludf.DUMMYFUNCTION("""COMPUTED_VALUE"""),45992.829157025466)</f>
        <v>45992.82916</v>
      </c>
      <c r="C178" s="3" t="str">
        <f>IFERROR(__xludf.DUMMYFUNCTION("""COMPUTED_VALUE"""),"ชั้นปีที่ 4")</f>
        <v>ชั้นปีที่ 4</v>
      </c>
      <c r="D178" s="3" t="str">
        <f>IFERROR(__xludf.DUMMYFUNCTION("""COMPUTED_VALUE"""),"6503701")</f>
        <v>6503701</v>
      </c>
      <c r="E178" s="3" t="str">
        <f>IFERROR(__xludf.DUMMYFUNCTION("""COMPUTED_VALUE"""),"12")</f>
        <v>12</v>
      </c>
      <c r="F178" s="3" t="str">
        <f>IFERROR(__xludf.DUMMYFUNCTION("""COMPUTED_VALUE"""),"นพอ.ชนิกานต์ จันไชยยศ")</f>
        <v>นพอ.ชนิกานต์ จันไชยยศ</v>
      </c>
      <c r="G17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78" s="3" t="str">
        <f>IFERROR(__xludf.DUMMYFUNCTION("""COMPUTED_VALUE"""),"ช่วยงานกฐิน ณ วัดบ้านนา")</f>
        <v>ช่วยงานกฐิน ณ วัดบ้านนา</v>
      </c>
      <c r="I178" s="3" t="str">
        <f>IFERROR(__xludf.DUMMYFUNCTION("""COMPUTED_VALUE"""),"วัดบ้านนาเทพธาราม ")</f>
        <v>วัดบ้านนาเทพธาราม </v>
      </c>
      <c r="J178" s="12">
        <f>IFERROR(__xludf.DUMMYFUNCTION("""COMPUTED_VALUE"""),45955.0)</f>
        <v>45955</v>
      </c>
      <c r="K178" s="3" t="str">
        <f>IFERROR(__xludf.DUMMYFUNCTION("""COMPUTED_VALUE"""),"0800-1200")</f>
        <v>0800-1200</v>
      </c>
      <c r="L178" s="3">
        <f>IFERROR(__xludf.DUMMYFUNCTION("""COMPUTED_VALUE"""),4.0)</f>
        <v>4</v>
      </c>
      <c r="M178" s="3" t="str">
        <f>IFERROR(__xludf.DUMMYFUNCTION("""COMPUTED_VALUE"""),"นางรัตติกาล หงษ์ศิริ")</f>
        <v>นางรัตติกาล หงษ์ศิริ</v>
      </c>
      <c r="N178" s="14" t="str">
        <f>IFERROR(__xludf.DUMMYFUNCTION("""COMPUTED_VALUE"""),"https://lh5.googleusercontent.com/d/1dKHPYeaoVkE45jkq6lDufvVZlb_VTEh6")</f>
        <v>https://lh5.googleusercontent.com/d/1dKHPYeaoVkE45jkq6lDufvVZlb_VTEh6</v>
      </c>
      <c r="O178" s="14" t="str">
        <f>IFERROR(__xludf.DUMMYFUNCTION("""COMPUTED_VALUE"""),"https://drive.google.com/file/d/1_zB8ixXD87EbQFw8BpdaRw2dBB8gyjXU/view?usp=drivesdk")</f>
        <v>https://drive.google.com/file/d/1_zB8ixXD87EbQFw8BpdaRw2dBB8gyjXU/view?usp=drivesdk</v>
      </c>
    </row>
    <row r="179">
      <c r="A179" s="3">
        <f>IFERROR(__xludf.DUMMYFUNCTION("""COMPUTED_VALUE"""),1073.0)</f>
        <v>1073</v>
      </c>
      <c r="B179" s="11">
        <f>IFERROR(__xludf.DUMMYFUNCTION("""COMPUTED_VALUE"""),45992.83331069445)</f>
        <v>45992.83331</v>
      </c>
      <c r="C179" s="3" t="str">
        <f>IFERROR(__xludf.DUMMYFUNCTION("""COMPUTED_VALUE"""),"ชั้นปีที่ 4")</f>
        <v>ชั้นปีที่ 4</v>
      </c>
      <c r="D179" s="3" t="str">
        <f>IFERROR(__xludf.DUMMYFUNCTION("""COMPUTED_VALUE"""),"6503710")</f>
        <v>6503710</v>
      </c>
      <c r="E179" s="3" t="str">
        <f>IFERROR(__xludf.DUMMYFUNCTION("""COMPUTED_VALUE"""),"21")</f>
        <v>21</v>
      </c>
      <c r="F179" s="3" t="str">
        <f>IFERROR(__xludf.DUMMYFUNCTION("""COMPUTED_VALUE"""),"นพอ.ณัทณิชา สุวะเสน")</f>
        <v>นพอ.ณัทณิชา สุวะเสน</v>
      </c>
      <c r="G179" s="3" t="str">
        <f>IFERROR(__xludf.DUMMYFUNCTION("""COMPUTED_VALUE"""),"ทำนุบำรุงศาสนสถาน")</f>
        <v>ทำนุบำรุงศาสนสถาน</v>
      </c>
      <c r="H179" s="3" t="str">
        <f>IFERROR(__xludf.DUMMYFUNCTION("""COMPUTED_VALUE"""),"ช่วยงานกฐิน")</f>
        <v>ช่วยงานกฐิน</v>
      </c>
      <c r="I179" s="3" t="str">
        <f>IFERROR(__xludf.DUMMYFUNCTION("""COMPUTED_VALUE"""),"วัดใหม่บางขวัญ")</f>
        <v>วัดใหม่บางขวัญ</v>
      </c>
      <c r="J179" s="12">
        <f>IFERROR(__xludf.DUMMYFUNCTION("""COMPUTED_VALUE"""),45963.0)</f>
        <v>45963</v>
      </c>
      <c r="K179" s="3" t="str">
        <f>IFERROR(__xludf.DUMMYFUNCTION("""COMPUTED_VALUE"""),"1300-1700")</f>
        <v>1300-1700</v>
      </c>
      <c r="L179" s="3">
        <f>IFERROR(__xludf.DUMMYFUNCTION("""COMPUTED_VALUE"""),4.0)</f>
        <v>4</v>
      </c>
      <c r="M179" s="3" t="str">
        <f>IFERROR(__xludf.DUMMYFUNCTION("""COMPUTED_VALUE"""),"นางธัญญพัทธ์ นพพรธนพัฒน์")</f>
        <v>นางธัญญพัทธ์ นพพรธนพัฒน์</v>
      </c>
      <c r="N179" s="14" t="str">
        <f>IFERROR(__xludf.DUMMYFUNCTION("""COMPUTED_VALUE"""),"https://lh5.googleusercontent.com/d/1a4pSjoyiquqEavmrTqxrAE2j-2iexz6m")</f>
        <v>https://lh5.googleusercontent.com/d/1a4pSjoyiquqEavmrTqxrAE2j-2iexz6m</v>
      </c>
      <c r="O179" s="14" t="str">
        <f>IFERROR(__xludf.DUMMYFUNCTION("""COMPUTED_VALUE"""),"https://drive.google.com/file/d/1OAeh8R0beJnib3FEE5RVmD5jelJfgzqz/view?usp=drivesdk")</f>
        <v>https://drive.google.com/file/d/1OAeh8R0beJnib3FEE5RVmD5jelJfgzqz/view?usp=drivesdk</v>
      </c>
    </row>
    <row r="180">
      <c r="A180" s="3">
        <f>IFERROR(__xludf.DUMMYFUNCTION("""COMPUTED_VALUE"""),1074.0)</f>
        <v>1074</v>
      </c>
      <c r="B180" s="11">
        <f>IFERROR(__xludf.DUMMYFUNCTION("""COMPUTED_VALUE"""),45992.836125127316)</f>
        <v>45992.83613</v>
      </c>
      <c r="C180" s="3" t="str">
        <f>IFERROR(__xludf.DUMMYFUNCTION("""COMPUTED_VALUE"""),"ชั้นปีที่ 4")</f>
        <v>ชั้นปีที่ 4</v>
      </c>
      <c r="D180" s="3" t="str">
        <f>IFERROR(__xludf.DUMMYFUNCTION("""COMPUTED_VALUE"""),"6503701")</f>
        <v>6503701</v>
      </c>
      <c r="E180" s="3" t="str">
        <f>IFERROR(__xludf.DUMMYFUNCTION("""COMPUTED_VALUE"""),"12")</f>
        <v>12</v>
      </c>
      <c r="F180" s="3" t="str">
        <f>IFERROR(__xludf.DUMMYFUNCTION("""COMPUTED_VALUE"""),"นพอ.ชนิกานต์ จันไชยยศ")</f>
        <v>นพอ.ชนิกานต์ จันไชยยศ</v>
      </c>
      <c r="G180" s="3" t="str">
        <f>IFERROR(__xludf.DUMMYFUNCTION("""COMPUTED_VALUE"""),"งานฟรีทั่วไป")</f>
        <v>งานฟรีทั่วไป</v>
      </c>
      <c r="H180" s="3" t="str">
        <f>IFERROR(__xludf.DUMMYFUNCTION("""COMPUTED_VALUE"""),"ช่วยทำความสะอาดบริเวณหน้าโรงเรียน")</f>
        <v>ช่วยทำความสะอาดบริเวณหน้าโรงเรียน</v>
      </c>
      <c r="I180" s="3" t="str">
        <f>IFERROR(__xludf.DUMMYFUNCTION("""COMPUTED_VALUE"""),"โรงเรียนวัดบ้านนา (ประชาชนรังสฤษฎิ์) ")</f>
        <v>โรงเรียนวัดบ้านนา (ประชาชนรังสฤษฎิ์) </v>
      </c>
      <c r="J180" s="12">
        <f>IFERROR(__xludf.DUMMYFUNCTION("""COMPUTED_VALUE"""),45947.0)</f>
        <v>45947</v>
      </c>
      <c r="K180" s="3" t="str">
        <f>IFERROR(__xludf.DUMMYFUNCTION("""COMPUTED_VALUE"""),"1500-1800")</f>
        <v>1500-1800</v>
      </c>
      <c r="L180" s="3">
        <f>IFERROR(__xludf.DUMMYFUNCTION("""COMPUTED_VALUE"""),3.0)</f>
        <v>3</v>
      </c>
      <c r="M180" s="3" t="str">
        <f>IFERROR(__xludf.DUMMYFUNCTION("""COMPUTED_VALUE"""),"นางรัตติกาล หงษ์ศิริ")</f>
        <v>นางรัตติกาล หงษ์ศิริ</v>
      </c>
      <c r="N180" s="14" t="str">
        <f>IFERROR(__xludf.DUMMYFUNCTION("""COMPUTED_VALUE"""),"https://lh5.googleusercontent.com/d/1ARhjQA4JEA2D5MGOewi4HYvWykQZpYJe")</f>
        <v>https://lh5.googleusercontent.com/d/1ARhjQA4JEA2D5MGOewi4HYvWykQZpYJe</v>
      </c>
      <c r="O180" s="14" t="str">
        <f>IFERROR(__xludf.DUMMYFUNCTION("""COMPUTED_VALUE"""),"https://drive.google.com/file/d/1RrzaWb-4zlhK3NPnG8zNmVTqVvxJUNoQ/view?usp=drivesdk")</f>
        <v>https://drive.google.com/file/d/1RrzaWb-4zlhK3NPnG8zNmVTqVvxJUNoQ/view?usp=drivesdk</v>
      </c>
    </row>
    <row r="181">
      <c r="A181" s="3">
        <f>IFERROR(__xludf.DUMMYFUNCTION("""COMPUTED_VALUE"""),1078.0)</f>
        <v>1078</v>
      </c>
      <c r="B181" s="11">
        <f>IFERROR(__xludf.DUMMYFUNCTION("""COMPUTED_VALUE"""),45992.84459862269)</f>
        <v>45992.8446</v>
      </c>
      <c r="C181" s="3" t="str">
        <f>IFERROR(__xludf.DUMMYFUNCTION("""COMPUTED_VALUE"""),"ชั้นปีที่ 4")</f>
        <v>ชั้นปีที่ 4</v>
      </c>
      <c r="D181" s="3" t="str">
        <f>IFERROR(__xludf.DUMMYFUNCTION("""COMPUTED_VALUE"""),"6503701")</f>
        <v>6503701</v>
      </c>
      <c r="E181" s="3" t="str">
        <f>IFERROR(__xludf.DUMMYFUNCTION("""COMPUTED_VALUE"""),"12")</f>
        <v>12</v>
      </c>
      <c r="F181" s="3" t="str">
        <f>IFERROR(__xludf.DUMMYFUNCTION("""COMPUTED_VALUE"""),"นพอ.ชนิกานต์ จันไชยยศ")</f>
        <v>นพอ.ชนิกานต์ จันไชยยศ</v>
      </c>
      <c r="G181" s="3" t="str">
        <f>IFERROR(__xludf.DUMMYFUNCTION("""COMPUTED_VALUE"""),"งานฟรีทั่วไป")</f>
        <v>งานฟรีทั่วไป</v>
      </c>
      <c r="H181" s="3" t="str">
        <f>IFERROR(__xludf.DUMMYFUNCTION("""COMPUTED_VALUE"""),"ช่วยจัดเก็บของในรพ.สต.")</f>
        <v>ช่วยจัดเก็บของในรพ.สต.</v>
      </c>
      <c r="I181" s="3" t="str">
        <f>IFERROR(__xludf.DUMMYFUNCTION("""COMPUTED_VALUE"""),"รพ.สต.บางกะไห")</f>
        <v>รพ.สต.บางกะไห</v>
      </c>
      <c r="J181" s="12">
        <f>IFERROR(__xludf.DUMMYFUNCTION("""COMPUTED_VALUE"""),45960.0)</f>
        <v>45960</v>
      </c>
      <c r="K181" s="3" t="str">
        <f>IFERROR(__xludf.DUMMYFUNCTION("""COMPUTED_VALUE"""),"1300-1600")</f>
        <v>1300-1600</v>
      </c>
      <c r="L181" s="3">
        <f>IFERROR(__xludf.DUMMYFUNCTION("""COMPUTED_VALUE"""),3.0)</f>
        <v>3</v>
      </c>
      <c r="M181" s="3" t="str">
        <f>IFERROR(__xludf.DUMMYFUNCTION("""COMPUTED_VALUE"""),"นางรัตติกาล หงษ์ศิริ")</f>
        <v>นางรัตติกาล หงษ์ศิริ</v>
      </c>
      <c r="N181" s="14" t="str">
        <f>IFERROR(__xludf.DUMMYFUNCTION("""COMPUTED_VALUE"""),"https://lh5.googleusercontent.com/d/15HIePK1-LEshlLXSLeleZqOdF8FfGAI7")</f>
        <v>https://lh5.googleusercontent.com/d/15HIePK1-LEshlLXSLeleZqOdF8FfGAI7</v>
      </c>
      <c r="O181" s="14" t="str">
        <f>IFERROR(__xludf.DUMMYFUNCTION("""COMPUTED_VALUE"""),"https://drive.google.com/file/d/1c53v9oeLPpFM0mVNU3n1uHW7TIoip55u/view?usp=drivesdk")</f>
        <v>https://drive.google.com/file/d/1c53v9oeLPpFM0mVNU3n1uHW7TIoip55u/view?usp=drivesdk</v>
      </c>
    </row>
    <row r="182">
      <c r="A182" s="3">
        <f>IFERROR(__xludf.DUMMYFUNCTION("""COMPUTED_VALUE"""),1081.0)</f>
        <v>1081</v>
      </c>
      <c r="B182" s="11">
        <f>IFERROR(__xludf.DUMMYFUNCTION("""COMPUTED_VALUE"""),45992.85032736111)</f>
        <v>45992.85033</v>
      </c>
      <c r="C182" s="3" t="str">
        <f>IFERROR(__xludf.DUMMYFUNCTION("""COMPUTED_VALUE"""),"ชั้นปีที่ 4")</f>
        <v>ชั้นปีที่ 4</v>
      </c>
      <c r="D182" s="3" t="str">
        <f>IFERROR(__xludf.DUMMYFUNCTION("""COMPUTED_VALUE"""),"6503710")</f>
        <v>6503710</v>
      </c>
      <c r="E182" s="3" t="str">
        <f>IFERROR(__xludf.DUMMYFUNCTION("""COMPUTED_VALUE"""),"21")</f>
        <v>21</v>
      </c>
      <c r="F182" s="3" t="str">
        <f>IFERROR(__xludf.DUMMYFUNCTION("""COMPUTED_VALUE"""),"นพอ.ณัทณิชา สุวะเสน")</f>
        <v>นพอ.ณัทณิชา สุวะเสน</v>
      </c>
      <c r="G18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82" s="3" t="str">
        <f>IFERROR(__xludf.DUMMYFUNCTION("""COMPUTED_VALUE"""),"ออกหน่วยงานหลวงพ่อโสธร")</f>
        <v>ออกหน่วยงานหลวงพ่อโสธร</v>
      </c>
      <c r="I182" s="3" t="str">
        <f>IFERROR(__xludf.DUMMYFUNCTION("""COMPUTED_VALUE"""),"วัดชลประทาน อ.เมือง จ.ฉะเชิงเทรา")</f>
        <v>วัดชลประทาน อ.เมือง จ.ฉะเชิงเทรา</v>
      </c>
      <c r="J182" s="12">
        <f>IFERROR(__xludf.DUMMYFUNCTION("""COMPUTED_VALUE"""),45966.0)</f>
        <v>45966</v>
      </c>
      <c r="K182" s="3" t="str">
        <f>IFERROR(__xludf.DUMMYFUNCTION("""COMPUTED_VALUE"""),"0700-0900")</f>
        <v>0700-0900</v>
      </c>
      <c r="L182" s="3">
        <f>IFERROR(__xludf.DUMMYFUNCTION("""COMPUTED_VALUE"""),2.0)</f>
        <v>2</v>
      </c>
      <c r="M182" s="3" t="str">
        <f>IFERROR(__xludf.DUMMYFUNCTION("""COMPUTED_VALUE"""),"นางธัญญพัทธ์ นพพรธนพัฒน์")</f>
        <v>นางธัญญพัทธ์ นพพรธนพัฒน์</v>
      </c>
      <c r="N182" s="14" t="str">
        <f>IFERROR(__xludf.DUMMYFUNCTION("""COMPUTED_VALUE"""),"https://lh5.googleusercontent.com/d/1q2N8fR0lqtcc9L79q-EfcNzxt7yp9XMy")</f>
        <v>https://lh5.googleusercontent.com/d/1q2N8fR0lqtcc9L79q-EfcNzxt7yp9XMy</v>
      </c>
      <c r="O182" s="14" t="str">
        <f>IFERROR(__xludf.DUMMYFUNCTION("""COMPUTED_VALUE"""),"https://drive.google.com/file/d/1U8rwArfnRfWnBDMiTvUQRLBButxdMqOg/view?usp=drivesdk")</f>
        <v>https://drive.google.com/file/d/1U8rwArfnRfWnBDMiTvUQRLBButxdMqOg/view?usp=drivesdk</v>
      </c>
    </row>
    <row r="183">
      <c r="A183" s="3">
        <f>IFERROR(__xludf.DUMMYFUNCTION("""COMPUTED_VALUE"""),1082.0)</f>
        <v>1082</v>
      </c>
      <c r="B183" s="11">
        <f>IFERROR(__xludf.DUMMYFUNCTION("""COMPUTED_VALUE"""),45992.8510546412)</f>
        <v>45992.85105</v>
      </c>
      <c r="C183" s="3" t="str">
        <f>IFERROR(__xludf.DUMMYFUNCTION("""COMPUTED_VALUE"""),"ชั้นปีที่ 4")</f>
        <v>ชั้นปีที่ 4</v>
      </c>
      <c r="D183" s="3" t="str">
        <f>IFERROR(__xludf.DUMMYFUNCTION("""COMPUTED_VALUE"""),"6503747")</f>
        <v>6503747</v>
      </c>
      <c r="E183" s="3" t="str">
        <f>IFERROR(__xludf.DUMMYFUNCTION("""COMPUTED_VALUE"""),"58")</f>
        <v>58</v>
      </c>
      <c r="F183" s="3" t="str">
        <f>IFERROR(__xludf.DUMMYFUNCTION("""COMPUTED_VALUE"""),"นพอ.ศุภิสรา สุพรรณนอก")</f>
        <v>นพอ.ศุภิสรา สุพรรณนอก</v>
      </c>
      <c r="G183" s="3" t="str">
        <f>IFERROR(__xludf.DUMMYFUNCTION("""COMPUTED_VALUE"""),"ช่วยเหลืองานภายใน วพอ.")</f>
        <v>ช่วยเหลืองานภายใน วพอ.</v>
      </c>
      <c r="H183" s="3" t="str">
        <f>IFERROR(__xludf.DUMMYFUNCTION("""COMPUTED_VALUE"""),"ช่วยขนของหอชาย")</f>
        <v>ช่วยขนของหอชาย</v>
      </c>
      <c r="I183" s="3" t="str">
        <f>IFERROR(__xludf.DUMMYFUNCTION("""COMPUTED_VALUE"""),"อาคารศูนย์การเรียนรู้")</f>
        <v>อาคารศูนย์การเรียนรู้</v>
      </c>
      <c r="J183" s="12">
        <f>IFERROR(__xludf.DUMMYFUNCTION("""COMPUTED_VALUE"""),45876.0)</f>
        <v>45876</v>
      </c>
      <c r="K183" s="3" t="str">
        <f>IFERROR(__xludf.DUMMYFUNCTION("""COMPUTED_VALUE"""),"1800-2000")</f>
        <v>1800-2000</v>
      </c>
      <c r="L183" s="3">
        <f>IFERROR(__xludf.DUMMYFUNCTION("""COMPUTED_VALUE"""),2.0)</f>
        <v>2</v>
      </c>
      <c r="M183" s="3" t="str">
        <f>IFERROR(__xludf.DUMMYFUNCTION("""COMPUTED_VALUE"""),"ร.อ.อนุชิต ทำจะดี")</f>
        <v>ร.อ.อนุชิต ทำจะดี</v>
      </c>
      <c r="N183" s="14" t="str">
        <f>IFERROR(__xludf.DUMMYFUNCTION("""COMPUTED_VALUE"""),"https://lh5.googleusercontent.com/d/1xVOhMJgH0aKvOgVjuodUBtZ4QIDe1iPV")</f>
        <v>https://lh5.googleusercontent.com/d/1xVOhMJgH0aKvOgVjuodUBtZ4QIDe1iPV</v>
      </c>
      <c r="O183" s="14" t="str">
        <f>IFERROR(__xludf.DUMMYFUNCTION("""COMPUTED_VALUE"""),"https://drive.google.com/file/d/16Hdt7NWBYq7T3IE_SXE0bGTmXrgoUsW-/view?usp=drivesdk")</f>
        <v>https://drive.google.com/file/d/16Hdt7NWBYq7T3IE_SXE0bGTmXrgoUsW-/view?usp=drivesdk</v>
      </c>
    </row>
    <row r="184">
      <c r="A184" s="3">
        <f>IFERROR(__xludf.DUMMYFUNCTION("""COMPUTED_VALUE"""),1083.0)</f>
        <v>1083</v>
      </c>
      <c r="B184" s="11">
        <f>IFERROR(__xludf.DUMMYFUNCTION("""COMPUTED_VALUE"""),45992.85397531249)</f>
        <v>45992.85398</v>
      </c>
      <c r="C184" s="3" t="str">
        <f>IFERROR(__xludf.DUMMYFUNCTION("""COMPUTED_VALUE"""),"ชั้นปีที่ 4")</f>
        <v>ชั้นปีที่ 4</v>
      </c>
      <c r="D184" s="3" t="str">
        <f>IFERROR(__xludf.DUMMYFUNCTION("""COMPUTED_VALUE"""),"6503693")</f>
        <v>6503693</v>
      </c>
      <c r="E184" s="3" t="str">
        <f>IFERROR(__xludf.DUMMYFUNCTION("""COMPUTED_VALUE"""),"4")</f>
        <v>4</v>
      </c>
      <c r="F184" s="3" t="str">
        <f>IFERROR(__xludf.DUMMYFUNCTION("""COMPUTED_VALUE"""),"นพอ.กัลยกร บุญลา")</f>
        <v>นพอ.กัลยกร บุญลา</v>
      </c>
      <c r="G184" s="3" t="str">
        <f>IFERROR(__xludf.DUMMYFUNCTION("""COMPUTED_VALUE"""),"ช่วยเหลืองานภายใน วพอ.")</f>
        <v>ช่วยเหลืองานภายใน วพอ.</v>
      </c>
      <c r="H184" s="3" t="str">
        <f>IFERROR(__xludf.DUMMYFUNCTION("""COMPUTED_VALUE"""),"จัดสถานที่สัมภาษณ์นพอ.68")</f>
        <v>จัดสถานที่สัมภาษณ์นพอ.68</v>
      </c>
      <c r="I184" s="3" t="str">
        <f>IFERROR(__xludf.DUMMYFUNCTION("""COMPUTED_VALUE"""),"วพอ.พอ.")</f>
        <v>วพอ.พอ.</v>
      </c>
      <c r="J184" s="12">
        <f>IFERROR(__xludf.DUMMYFUNCTION("""COMPUTED_VALUE"""),45779.0)</f>
        <v>45779</v>
      </c>
      <c r="K184" s="3" t="str">
        <f>IFERROR(__xludf.DUMMYFUNCTION("""COMPUTED_VALUE"""),"1300-1700")</f>
        <v>1300-1700</v>
      </c>
      <c r="L184" s="3">
        <f>IFERROR(__xludf.DUMMYFUNCTION("""COMPUTED_VALUE"""),4.0)</f>
        <v>4</v>
      </c>
      <c r="M184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184" s="14" t="str">
        <f>IFERROR(__xludf.DUMMYFUNCTION("""COMPUTED_VALUE"""),"https://lh5.googleusercontent.com/d/1AmOv5eSOiUnMqXm6ilO8eYxxfEwkr85e")</f>
        <v>https://lh5.googleusercontent.com/d/1AmOv5eSOiUnMqXm6ilO8eYxxfEwkr85e</v>
      </c>
      <c r="O184" s="14" t="str">
        <f>IFERROR(__xludf.DUMMYFUNCTION("""COMPUTED_VALUE"""),"https://drive.google.com/file/d/14_gqRnRZg6aiKofsEj8WUWuJcqEiI7Xp/view?usp=drivesdk")</f>
        <v>https://drive.google.com/file/d/14_gqRnRZg6aiKofsEj8WUWuJcqEiI7Xp/view?usp=drivesdk</v>
      </c>
    </row>
    <row r="185">
      <c r="A185" s="3">
        <f>IFERROR(__xludf.DUMMYFUNCTION("""COMPUTED_VALUE"""),1084.0)</f>
        <v>1084</v>
      </c>
      <c r="B185" s="11">
        <f>IFERROR(__xludf.DUMMYFUNCTION("""COMPUTED_VALUE"""),45992.85662410879)</f>
        <v>45992.85662</v>
      </c>
      <c r="C185" s="3" t="str">
        <f>IFERROR(__xludf.DUMMYFUNCTION("""COMPUTED_VALUE"""),"ชั้นปีที่ 4")</f>
        <v>ชั้นปีที่ 4</v>
      </c>
      <c r="D185" s="3" t="str">
        <f>IFERROR(__xludf.DUMMYFUNCTION("""COMPUTED_VALUE"""),"6503693")</f>
        <v>6503693</v>
      </c>
      <c r="E185" s="3" t="str">
        <f>IFERROR(__xludf.DUMMYFUNCTION("""COMPUTED_VALUE"""),"4")</f>
        <v>4</v>
      </c>
      <c r="F185" s="3" t="str">
        <f>IFERROR(__xludf.DUMMYFUNCTION("""COMPUTED_VALUE"""),"นพอ.กัลยกร บุญลา")</f>
        <v>นพอ.กัลยกร บุญลา</v>
      </c>
      <c r="G185" s="3" t="str">
        <f>IFERROR(__xludf.DUMMYFUNCTION("""COMPUTED_VALUE"""),"ช่วยเหลืองานภายใน วพอ.")</f>
        <v>ช่วยเหลืองานภายใน วพอ.</v>
      </c>
      <c r="H185" s="3" t="str">
        <f>IFERROR(__xludf.DUMMYFUNCTION("""COMPUTED_VALUE"""),"นพอ.กัลยกร บุญลา")</f>
        <v>นพอ.กัลยกร บุญลา</v>
      </c>
      <c r="I185" s="3" t="str">
        <f>IFERROR(__xludf.DUMMYFUNCTION("""COMPUTED_VALUE"""),"วพอ.พอ.")</f>
        <v>วพอ.พอ.</v>
      </c>
      <c r="J185" s="12">
        <f>IFERROR(__xludf.DUMMYFUNCTION("""COMPUTED_VALUE"""),45783.0)</f>
        <v>45783</v>
      </c>
      <c r="K185" s="3" t="str">
        <f>IFERROR(__xludf.DUMMYFUNCTION("""COMPUTED_VALUE"""),"0800-1600")</f>
        <v>0800-1600</v>
      </c>
      <c r="L185" s="3">
        <f>IFERROR(__xludf.DUMMYFUNCTION("""COMPUTED_VALUE"""),8.0)</f>
        <v>8</v>
      </c>
      <c r="M185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185" s="14" t="str">
        <f>IFERROR(__xludf.DUMMYFUNCTION("""COMPUTED_VALUE"""),"https://lh5.googleusercontent.com/d/12khODlDjV9fHhvnINe8gSSb2BX_q-qrX")</f>
        <v>https://lh5.googleusercontent.com/d/12khODlDjV9fHhvnINe8gSSb2BX_q-qrX</v>
      </c>
      <c r="O185" s="14" t="str">
        <f>IFERROR(__xludf.DUMMYFUNCTION("""COMPUTED_VALUE"""),"https://drive.google.com/file/d/14s56sBA1Ik5qIEYPwXND8m6rsfSYYS6i/view?usp=drivesdk")</f>
        <v>https://drive.google.com/file/d/14s56sBA1Ik5qIEYPwXND8m6rsfSYYS6i/view?usp=drivesdk</v>
      </c>
    </row>
    <row r="186">
      <c r="A186" s="3">
        <f>IFERROR(__xludf.DUMMYFUNCTION("""COMPUTED_VALUE"""),1085.0)</f>
        <v>1085</v>
      </c>
      <c r="B186" s="11">
        <f>IFERROR(__xludf.DUMMYFUNCTION("""COMPUTED_VALUE"""),45992.85926668982)</f>
        <v>45992.85927</v>
      </c>
      <c r="C186" s="3" t="str">
        <f>IFERROR(__xludf.DUMMYFUNCTION("""COMPUTED_VALUE"""),"ชั้นปีที่ 4")</f>
        <v>ชั้นปีที่ 4</v>
      </c>
      <c r="D186" s="3" t="str">
        <f>IFERROR(__xludf.DUMMYFUNCTION("""COMPUTED_VALUE"""),"6503701")</f>
        <v>6503701</v>
      </c>
      <c r="E186" s="3" t="str">
        <f>IFERROR(__xludf.DUMMYFUNCTION("""COMPUTED_VALUE"""),"12")</f>
        <v>12</v>
      </c>
      <c r="F186" s="3" t="str">
        <f>IFERROR(__xludf.DUMMYFUNCTION("""COMPUTED_VALUE"""),"นพอ.ชนิกานต์ จันไชยยศ")</f>
        <v>นพอ.ชนิกานต์ จันไชยยศ</v>
      </c>
      <c r="G186" s="3" t="str">
        <f>IFERROR(__xludf.DUMMYFUNCTION("""COMPUTED_VALUE"""),"ช่วยเหลืองานภายใน วพอ.")</f>
        <v>ช่วยเหลืองานภายใน วพอ.</v>
      </c>
      <c r="H186" s="3" t="str">
        <f>IFERROR(__xludf.DUMMYFUNCTION("""COMPUTED_VALUE"""),"จัดสถานที่สัมภาษณ์นพอ.68")</f>
        <v>จัดสถานที่สัมภาษณ์นพอ.68</v>
      </c>
      <c r="I186" s="3" t="str">
        <f>IFERROR(__xludf.DUMMYFUNCTION("""COMPUTED_VALUE"""),"วพอ.พอ.")</f>
        <v>วพอ.พอ.</v>
      </c>
      <c r="J186" s="12">
        <f>IFERROR(__xludf.DUMMYFUNCTION("""COMPUTED_VALUE"""),45779.0)</f>
        <v>45779</v>
      </c>
      <c r="K186" s="3" t="str">
        <f>IFERROR(__xludf.DUMMYFUNCTION("""COMPUTED_VALUE"""),"1300-1800")</f>
        <v>1300-1800</v>
      </c>
      <c r="L186" s="3">
        <f>IFERROR(__xludf.DUMMYFUNCTION("""COMPUTED_VALUE"""),4.0)</f>
        <v>4</v>
      </c>
      <c r="M186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186" s="14" t="str">
        <f>IFERROR(__xludf.DUMMYFUNCTION("""COMPUTED_VALUE"""),"https://lh5.googleusercontent.com/d/19UjdcrpJ2z60CfxJ7CQe28SwUcLkqIgr")</f>
        <v>https://lh5.googleusercontent.com/d/19UjdcrpJ2z60CfxJ7CQe28SwUcLkqIgr</v>
      </c>
      <c r="O186" s="14" t="str">
        <f>IFERROR(__xludf.DUMMYFUNCTION("""COMPUTED_VALUE"""),"https://drive.google.com/file/d/1EVJYLEC1Q1NtJA5qTLDsVElBepE-qCaQ/view?usp=drivesdk")</f>
        <v>https://drive.google.com/file/d/1EVJYLEC1Q1NtJA5qTLDsVElBepE-qCaQ/view?usp=drivesdk</v>
      </c>
    </row>
    <row r="187">
      <c r="A187" s="3">
        <f>IFERROR(__xludf.DUMMYFUNCTION("""COMPUTED_VALUE"""),1086.0)</f>
        <v>1086</v>
      </c>
      <c r="B187" s="11">
        <f>IFERROR(__xludf.DUMMYFUNCTION("""COMPUTED_VALUE"""),45992.85938783564)</f>
        <v>45992.85939</v>
      </c>
      <c r="C187" s="3" t="str">
        <f>IFERROR(__xludf.DUMMYFUNCTION("""COMPUTED_VALUE"""),"ชั้นปีที่ 4")</f>
        <v>ชั้นปีที่ 4</v>
      </c>
      <c r="D187" s="3" t="str">
        <f>IFERROR(__xludf.DUMMYFUNCTION("""COMPUTED_VALUE"""),"6503693")</f>
        <v>6503693</v>
      </c>
      <c r="E187" s="3" t="str">
        <f>IFERROR(__xludf.DUMMYFUNCTION("""COMPUTED_VALUE"""),"4")</f>
        <v>4</v>
      </c>
      <c r="F187" s="3" t="str">
        <f>IFERROR(__xludf.DUMMYFUNCTION("""COMPUTED_VALUE"""),"นพอ.กัลยกร บุญลา")</f>
        <v>นพอ.กัลยกร บุญลา</v>
      </c>
      <c r="G187" s="3" t="str">
        <f>IFERROR(__xludf.DUMMYFUNCTION("""COMPUTED_VALUE"""),"ช่วยเหลืองานภายใน วพอ.")</f>
        <v>ช่วยเหลืองานภายใน วพอ.</v>
      </c>
      <c r="H187" s="3" t="str">
        <f>IFERROR(__xludf.DUMMYFUNCTION("""COMPUTED_VALUE"""),"ทดสอบวิภาววิสัย")</f>
        <v>ทดสอบวิภาววิสัย</v>
      </c>
      <c r="I187" s="3" t="str">
        <f>IFERROR(__xludf.DUMMYFUNCTION("""COMPUTED_VALUE"""),"วพอ.พอ.")</f>
        <v>วพอ.พอ.</v>
      </c>
      <c r="J187" s="12">
        <f>IFERROR(__xludf.DUMMYFUNCTION("""COMPUTED_VALUE"""),45783.0)</f>
        <v>45783</v>
      </c>
      <c r="K187" s="3" t="str">
        <f>IFERROR(__xludf.DUMMYFUNCTION("""COMPUTED_VALUE"""),"0800-1600")</f>
        <v>0800-1600</v>
      </c>
      <c r="L187" s="3">
        <f>IFERROR(__xludf.DUMMYFUNCTION("""COMPUTED_VALUE"""),8.0)</f>
        <v>8</v>
      </c>
      <c r="M187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187" s="14" t="str">
        <f>IFERROR(__xludf.DUMMYFUNCTION("""COMPUTED_VALUE"""),"https://lh5.googleusercontent.com/d/1TIYcJ2N2MYePSc9QnGRlE6Czn2Ie05gO")</f>
        <v>https://lh5.googleusercontent.com/d/1TIYcJ2N2MYePSc9QnGRlE6Czn2Ie05gO</v>
      </c>
      <c r="O187" s="14" t="str">
        <f>IFERROR(__xludf.DUMMYFUNCTION("""COMPUTED_VALUE"""),"https://drive.google.com/file/d/1whrYWCF5e9wojqV2IlLavO4u67iBNSlB/view?usp=drivesdk")</f>
        <v>https://drive.google.com/file/d/1whrYWCF5e9wojqV2IlLavO4u67iBNSlB/view?usp=drivesdk</v>
      </c>
    </row>
    <row r="188">
      <c r="A188" s="3">
        <f>IFERROR(__xludf.DUMMYFUNCTION("""COMPUTED_VALUE"""),1087.0)</f>
        <v>1087</v>
      </c>
      <c r="B188" s="11">
        <f>IFERROR(__xludf.DUMMYFUNCTION("""COMPUTED_VALUE"""),45992.86046306713)</f>
        <v>45992.86046</v>
      </c>
      <c r="C188" s="3" t="str">
        <f>IFERROR(__xludf.DUMMYFUNCTION("""COMPUTED_VALUE"""),"ชั้นปีที่ 4")</f>
        <v>ชั้นปีที่ 4</v>
      </c>
      <c r="D188" s="3" t="str">
        <f>IFERROR(__xludf.DUMMYFUNCTION("""COMPUTED_VALUE"""),"6503701")</f>
        <v>6503701</v>
      </c>
      <c r="E188" s="3" t="str">
        <f>IFERROR(__xludf.DUMMYFUNCTION("""COMPUTED_VALUE"""),"12")</f>
        <v>12</v>
      </c>
      <c r="F188" s="3" t="str">
        <f>IFERROR(__xludf.DUMMYFUNCTION("""COMPUTED_VALUE"""),"นพอ.ชนิกานต์ จันไชยยศ")</f>
        <v>นพอ.ชนิกานต์ จันไชยยศ</v>
      </c>
      <c r="G188" s="3" t="str">
        <f>IFERROR(__xludf.DUMMYFUNCTION("""COMPUTED_VALUE"""),"ช่วยเหลืองานภายใน วพอ.")</f>
        <v>ช่วยเหลืองานภายใน วพอ.</v>
      </c>
      <c r="H188" s="3" t="str">
        <f>IFERROR(__xludf.DUMMYFUNCTION("""COMPUTED_VALUE"""),"จัดสถานที่สัมภาษณ์นพอ.68")</f>
        <v>จัดสถานที่สัมภาษณ์นพอ.68</v>
      </c>
      <c r="I188" s="3" t="str">
        <f>IFERROR(__xludf.DUMMYFUNCTION("""COMPUTED_VALUE"""),"วพอ.พอ.")</f>
        <v>วพอ.พอ.</v>
      </c>
      <c r="J188" s="12">
        <f>IFERROR(__xludf.DUMMYFUNCTION("""COMPUTED_VALUE"""),45779.0)</f>
        <v>45779</v>
      </c>
      <c r="K188" s="3" t="str">
        <f>IFERROR(__xludf.DUMMYFUNCTION("""COMPUTED_VALUE"""),"0800-1200")</f>
        <v>0800-1200</v>
      </c>
      <c r="L188" s="3">
        <f>IFERROR(__xludf.DUMMYFUNCTION("""COMPUTED_VALUE"""),4.0)</f>
        <v>4</v>
      </c>
      <c r="M188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188" s="14" t="str">
        <f>IFERROR(__xludf.DUMMYFUNCTION("""COMPUTED_VALUE"""),"https://lh5.googleusercontent.com/d/1J3G5XVMFQR4CZYmXe7oIYwVokdINhubU")</f>
        <v>https://lh5.googleusercontent.com/d/1J3G5XVMFQR4CZYmXe7oIYwVokdINhubU</v>
      </c>
      <c r="O188" s="14" t="str">
        <f>IFERROR(__xludf.DUMMYFUNCTION("""COMPUTED_VALUE"""),"https://drive.google.com/file/d/1Ihp0UptBPmb0XfXlVZtNSd8oxkHe2L8D/view?usp=drivesdk")</f>
        <v>https://drive.google.com/file/d/1Ihp0UptBPmb0XfXlVZtNSd8oxkHe2L8D/view?usp=drivesdk</v>
      </c>
    </row>
    <row r="189">
      <c r="A189" s="3">
        <f>IFERROR(__xludf.DUMMYFUNCTION("""COMPUTED_VALUE"""),1088.0)</f>
        <v>1088</v>
      </c>
      <c r="B189" s="11">
        <f>IFERROR(__xludf.DUMMYFUNCTION("""COMPUTED_VALUE"""),45992.86168016204)</f>
        <v>45992.86168</v>
      </c>
      <c r="C189" s="3" t="str">
        <f>IFERROR(__xludf.DUMMYFUNCTION("""COMPUTED_VALUE"""),"ชั้นปีที่ 4")</f>
        <v>ชั้นปีที่ 4</v>
      </c>
      <c r="D189" s="3" t="str">
        <f>IFERROR(__xludf.DUMMYFUNCTION("""COMPUTED_VALUE"""),"6503701")</f>
        <v>6503701</v>
      </c>
      <c r="E189" s="3" t="str">
        <f>IFERROR(__xludf.DUMMYFUNCTION("""COMPUTED_VALUE"""),"12")</f>
        <v>12</v>
      </c>
      <c r="F189" s="3" t="str">
        <f>IFERROR(__xludf.DUMMYFUNCTION("""COMPUTED_VALUE"""),"นพอ.ชนิกานต์ จันไชยยศ")</f>
        <v>นพอ.ชนิกานต์ จันไชยยศ</v>
      </c>
      <c r="G189" s="3" t="str">
        <f>IFERROR(__xludf.DUMMYFUNCTION("""COMPUTED_VALUE"""),"ช่วยเหลืองานภายใน วพอ.")</f>
        <v>ช่วยเหลืองานภายใน วพอ.</v>
      </c>
      <c r="H189" s="3" t="str">
        <f>IFERROR(__xludf.DUMMYFUNCTION("""COMPUTED_VALUE"""),"ทดสอบวิภาววิสัย 68")</f>
        <v>ทดสอบวิภาววิสัย 68</v>
      </c>
      <c r="I189" s="3" t="str">
        <f>IFERROR(__xludf.DUMMYFUNCTION("""COMPUTED_VALUE"""),"วพอ.พอ.")</f>
        <v>วพอ.พอ.</v>
      </c>
      <c r="J189" s="12">
        <f>IFERROR(__xludf.DUMMYFUNCTION("""COMPUTED_VALUE"""),45783.0)</f>
        <v>45783</v>
      </c>
      <c r="K189" s="3" t="str">
        <f>IFERROR(__xludf.DUMMYFUNCTION("""COMPUTED_VALUE"""),"0800-1700")</f>
        <v>0800-1700</v>
      </c>
      <c r="L189" s="3">
        <f>IFERROR(__xludf.DUMMYFUNCTION("""COMPUTED_VALUE"""),8.0)</f>
        <v>8</v>
      </c>
      <c r="M189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189" s="14" t="str">
        <f>IFERROR(__xludf.DUMMYFUNCTION("""COMPUTED_VALUE"""),"https://lh5.googleusercontent.com/d/15hX3FiZ6e54vPjw_Jh88pXc0i9t2Owf7")</f>
        <v>https://lh5.googleusercontent.com/d/15hX3FiZ6e54vPjw_Jh88pXc0i9t2Owf7</v>
      </c>
      <c r="O189" s="14" t="str">
        <f>IFERROR(__xludf.DUMMYFUNCTION("""COMPUTED_VALUE"""),"https://drive.google.com/file/d/1MP1BJ3DpO0kVl4hFX6V1tYHK1Lu1U-BC/view?usp=drivesdk")</f>
        <v>https://drive.google.com/file/d/1MP1BJ3DpO0kVl4hFX6V1tYHK1Lu1U-BC/view?usp=drivesdk</v>
      </c>
    </row>
    <row r="190">
      <c r="A190" s="3">
        <f>IFERROR(__xludf.DUMMYFUNCTION("""COMPUTED_VALUE"""),1089.0)</f>
        <v>1089</v>
      </c>
      <c r="B190" s="11">
        <f>IFERROR(__xludf.DUMMYFUNCTION("""COMPUTED_VALUE"""),45992.86305788194)</f>
        <v>45992.86306</v>
      </c>
      <c r="C190" s="3" t="str">
        <f>IFERROR(__xludf.DUMMYFUNCTION("""COMPUTED_VALUE"""),"ชั้นปีที่ 4")</f>
        <v>ชั้นปีที่ 4</v>
      </c>
      <c r="D190" s="3" t="str">
        <f>IFERROR(__xludf.DUMMYFUNCTION("""COMPUTED_VALUE"""),"6503701")</f>
        <v>6503701</v>
      </c>
      <c r="E190" s="3" t="str">
        <f>IFERROR(__xludf.DUMMYFUNCTION("""COMPUTED_VALUE"""),"12")</f>
        <v>12</v>
      </c>
      <c r="F190" s="3" t="str">
        <f>IFERROR(__xludf.DUMMYFUNCTION("""COMPUTED_VALUE"""),"นพอ.ชนิกานต์ จันไชยยศ")</f>
        <v>นพอ.ชนิกานต์ จันไชยยศ</v>
      </c>
      <c r="G190" s="3" t="str">
        <f>IFERROR(__xludf.DUMMYFUNCTION("""COMPUTED_VALUE"""),"ช่วยเหลืองานภายใน วพอ.")</f>
        <v>ช่วยเหลืองานภายใน วพอ.</v>
      </c>
      <c r="H190" s="3" t="str">
        <f>IFERROR(__xludf.DUMMYFUNCTION("""COMPUTED_VALUE"""),"สอบวิภาววิสัย 68")</f>
        <v>สอบวิภาววิสัย 68</v>
      </c>
      <c r="I190" s="3" t="str">
        <f>IFERROR(__xludf.DUMMYFUNCTION("""COMPUTED_VALUE"""),"วพอ.พอ.")</f>
        <v>วพอ.พอ.</v>
      </c>
      <c r="J190" s="12">
        <f>IFERROR(__xludf.DUMMYFUNCTION("""COMPUTED_VALUE"""),45784.0)</f>
        <v>45784</v>
      </c>
      <c r="K190" s="3" t="str">
        <f>IFERROR(__xludf.DUMMYFUNCTION("""COMPUTED_VALUE"""),"0800-1200")</f>
        <v>0800-1200</v>
      </c>
      <c r="L190" s="3">
        <f>IFERROR(__xludf.DUMMYFUNCTION("""COMPUTED_VALUE"""),4.0)</f>
        <v>4</v>
      </c>
      <c r="M190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190" s="14" t="str">
        <f>IFERROR(__xludf.DUMMYFUNCTION("""COMPUTED_VALUE"""),"https://lh5.googleusercontent.com/d/1u_i-6sBK4_1D8n-UkxIDg_JPdV0STGom")</f>
        <v>https://lh5.googleusercontent.com/d/1u_i-6sBK4_1D8n-UkxIDg_JPdV0STGom</v>
      </c>
      <c r="O190" s="14" t="str">
        <f>IFERROR(__xludf.DUMMYFUNCTION("""COMPUTED_VALUE"""),"https://drive.google.com/file/d/17QtH_Osahx9JDJwctHKVuVxBf6eUfjJa/view?usp=drivesdk")</f>
        <v>https://drive.google.com/file/d/17QtH_Osahx9JDJwctHKVuVxBf6eUfjJa/view?usp=drivesdk</v>
      </c>
    </row>
    <row r="191">
      <c r="A191" s="3">
        <f>IFERROR(__xludf.DUMMYFUNCTION("""COMPUTED_VALUE"""),1090.0)</f>
        <v>1090</v>
      </c>
      <c r="B191" s="11">
        <f>IFERROR(__xludf.DUMMYFUNCTION("""COMPUTED_VALUE"""),45992.86685731482)</f>
        <v>45992.86686</v>
      </c>
      <c r="C191" s="3" t="str">
        <f>IFERROR(__xludf.DUMMYFUNCTION("""COMPUTED_VALUE"""),"ชั้นปีที่ 4")</f>
        <v>ชั้นปีที่ 4</v>
      </c>
      <c r="D191" s="3" t="str">
        <f>IFERROR(__xludf.DUMMYFUNCTION("""COMPUTED_VALUE"""),"6503701")</f>
        <v>6503701</v>
      </c>
      <c r="E191" s="3" t="str">
        <f>IFERROR(__xludf.DUMMYFUNCTION("""COMPUTED_VALUE"""),"12")</f>
        <v>12</v>
      </c>
      <c r="F191" s="3" t="str">
        <f>IFERROR(__xludf.DUMMYFUNCTION("""COMPUTED_VALUE"""),"นพอ.ชนิกานต์ จันไชยยศ")</f>
        <v>นพอ.ชนิกานต์ จันไชยยศ</v>
      </c>
      <c r="G19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91" s="3" t="str">
        <f>IFERROR(__xludf.DUMMYFUNCTION("""COMPUTED_VALUE"""),"เดิน วิ่ง ปั่น ป้องกันอัมพาต")</f>
        <v>เดิน วิ่ง ปั่น ป้องกันอัมพาต</v>
      </c>
      <c r="I191" s="3" t="str">
        <f>IFERROR(__xludf.DUMMYFUNCTION("""COMPUTED_VALUE"""),"ศาลากลาง จังหวัดฉะเชิงเทรา")</f>
        <v>ศาลากลาง จังหวัดฉะเชิงเทรา</v>
      </c>
      <c r="J191" s="12">
        <f>IFERROR(__xludf.DUMMYFUNCTION("""COMPUTED_VALUE"""),45956.0)</f>
        <v>45956</v>
      </c>
      <c r="K191" s="3" t="str">
        <f>IFERROR(__xludf.DUMMYFUNCTION("""COMPUTED_VALUE"""),"0600-1100")</f>
        <v>0600-1100</v>
      </c>
      <c r="L191" s="3">
        <f>IFERROR(__xludf.DUMMYFUNCTION("""COMPUTED_VALUE"""),5.0)</f>
        <v>5</v>
      </c>
      <c r="M191" s="3" t="str">
        <f>IFERROR(__xludf.DUMMYFUNCTION("""COMPUTED_VALUE"""),"นางรัตติกาล หงษ์ศิริ")</f>
        <v>นางรัตติกาล หงษ์ศิริ</v>
      </c>
      <c r="N191" s="14" t="str">
        <f>IFERROR(__xludf.DUMMYFUNCTION("""COMPUTED_VALUE"""),"https://lh5.googleusercontent.com/d/14YVoSX-9GJlPQnvUdG0JctnkkFl5pi1X")</f>
        <v>https://lh5.googleusercontent.com/d/14YVoSX-9GJlPQnvUdG0JctnkkFl5pi1X</v>
      </c>
      <c r="O191" s="14" t="str">
        <f>IFERROR(__xludf.DUMMYFUNCTION("""COMPUTED_VALUE"""),"https://drive.google.com/file/d/1YPbyhBVElz7wfSUO8IEwQH33Tdc6gQfv/view?usp=drivesdk")</f>
        <v>https://drive.google.com/file/d/1YPbyhBVElz7wfSUO8IEwQH33Tdc6gQfv/view?usp=drivesdk</v>
      </c>
    </row>
    <row r="192">
      <c r="A192" s="3">
        <f>IFERROR(__xludf.DUMMYFUNCTION("""COMPUTED_VALUE"""),1091.0)</f>
        <v>1091</v>
      </c>
      <c r="B192" s="11">
        <f>IFERROR(__xludf.DUMMYFUNCTION("""COMPUTED_VALUE"""),45992.868842916665)</f>
        <v>45992.86884</v>
      </c>
      <c r="C192" s="3" t="str">
        <f>IFERROR(__xludf.DUMMYFUNCTION("""COMPUTED_VALUE"""),"ชั้นปีที่ 4")</f>
        <v>ชั้นปีที่ 4</v>
      </c>
      <c r="D192" s="3" t="str">
        <f>IFERROR(__xludf.DUMMYFUNCTION("""COMPUTED_VALUE"""),"6503701")</f>
        <v>6503701</v>
      </c>
      <c r="E192" s="3" t="str">
        <f>IFERROR(__xludf.DUMMYFUNCTION("""COMPUTED_VALUE"""),"12")</f>
        <v>12</v>
      </c>
      <c r="F192" s="3" t="str">
        <f>IFERROR(__xludf.DUMMYFUNCTION("""COMPUTED_VALUE"""),"นพอ.ชนิกานต์ จันไชยยศ")</f>
        <v>นพอ.ชนิกานต์ จันไชยยศ</v>
      </c>
      <c r="G192" s="3" t="str">
        <f>IFERROR(__xludf.DUMMYFUNCTION("""COMPUTED_VALUE"""),"ช่วยเหลืองานภายใน วพอ.")</f>
        <v>ช่วยเหลืองานภายใน วพอ.</v>
      </c>
      <c r="H192" s="3" t="str">
        <f>IFERROR(__xludf.DUMMYFUNCTION("""COMPUTED_VALUE"""),"ช่วยขนของหอชาย")</f>
        <v>ช่วยขนของหอชาย</v>
      </c>
      <c r="I192" s="3" t="str">
        <f>IFERROR(__xludf.DUMMYFUNCTION("""COMPUTED_VALUE"""),"วพอ.พอ.")</f>
        <v>วพอ.พอ.</v>
      </c>
      <c r="J192" s="12">
        <f>IFERROR(__xludf.DUMMYFUNCTION("""COMPUTED_VALUE"""),45876.0)</f>
        <v>45876</v>
      </c>
      <c r="K192" s="3" t="str">
        <f>IFERROR(__xludf.DUMMYFUNCTION("""COMPUTED_VALUE"""),"1700-1900")</f>
        <v>1700-1900</v>
      </c>
      <c r="L192" s="3">
        <f>IFERROR(__xludf.DUMMYFUNCTION("""COMPUTED_VALUE"""),2.0)</f>
        <v>2</v>
      </c>
      <c r="M192" s="3" t="str">
        <f>IFERROR(__xludf.DUMMYFUNCTION("""COMPUTED_VALUE"""),"ร.อ. อนุชิต ทำจะดี")</f>
        <v>ร.อ. อนุชิต ทำจะดี</v>
      </c>
      <c r="N192" s="14" t="str">
        <f>IFERROR(__xludf.DUMMYFUNCTION("""COMPUTED_VALUE"""),"https://lh5.googleusercontent.com/d/1NvbJp6cqJ-GFMyoVTqbyC7XQ4Tb25y1Y")</f>
        <v>https://lh5.googleusercontent.com/d/1NvbJp6cqJ-GFMyoVTqbyC7XQ4Tb25y1Y</v>
      </c>
      <c r="O192" s="14" t="str">
        <f>IFERROR(__xludf.DUMMYFUNCTION("""COMPUTED_VALUE"""),"https://drive.google.com/file/d/1zCGx7nfNluiV3-WXxl0NTslbJY4PoFmK/view?usp=drivesdk")</f>
        <v>https://drive.google.com/file/d/1zCGx7nfNluiV3-WXxl0NTslbJY4PoFmK/view?usp=drivesdk</v>
      </c>
    </row>
    <row r="193">
      <c r="A193" s="3">
        <f>IFERROR(__xludf.DUMMYFUNCTION("""COMPUTED_VALUE"""),1092.0)</f>
        <v>1092</v>
      </c>
      <c r="B193" s="11">
        <f>IFERROR(__xludf.DUMMYFUNCTION("""COMPUTED_VALUE"""),45992.87553922454)</f>
        <v>45992.87554</v>
      </c>
      <c r="C193" s="3" t="str">
        <f>IFERROR(__xludf.DUMMYFUNCTION("""COMPUTED_VALUE"""),"ชั้นปีที่ 4")</f>
        <v>ชั้นปีที่ 4</v>
      </c>
      <c r="D193" s="3" t="str">
        <f>IFERROR(__xludf.DUMMYFUNCTION("""COMPUTED_VALUE"""),"6503710")</f>
        <v>6503710</v>
      </c>
      <c r="E193" s="3" t="str">
        <f>IFERROR(__xludf.DUMMYFUNCTION("""COMPUTED_VALUE"""),"21")</f>
        <v>21</v>
      </c>
      <c r="F193" s="3" t="str">
        <f>IFERROR(__xludf.DUMMYFUNCTION("""COMPUTED_VALUE"""),"นพอ.ณัทณิชา สุวะเสน")</f>
        <v>นพอ.ณัทณิชา สุวะเสน</v>
      </c>
      <c r="G193" s="3" t="str">
        <f>IFERROR(__xludf.DUMMYFUNCTION("""COMPUTED_VALUE"""),"ช่วยเหลืองานภายใน วพอ.")</f>
        <v>ช่วยเหลืองานภายใน วพอ.</v>
      </c>
      <c r="H193" s="3" t="str">
        <f>IFERROR(__xludf.DUMMYFUNCTION("""COMPUTED_VALUE"""),"ช่วยทดสอบวิภาววิสัย")</f>
        <v>ช่วยทดสอบวิภาววิสัย</v>
      </c>
      <c r="I193" s="3" t="str">
        <f>IFERROR(__xludf.DUMMYFUNCTION("""COMPUTED_VALUE"""),"วพอ.พอ.")</f>
        <v>วพอ.พอ.</v>
      </c>
      <c r="J193" s="12">
        <f>IFERROR(__xludf.DUMMYFUNCTION("""COMPUTED_VALUE"""),45783.0)</f>
        <v>45783</v>
      </c>
      <c r="K193" s="3" t="str">
        <f>IFERROR(__xludf.DUMMYFUNCTION("""COMPUTED_VALUE"""),"0700-1500")</f>
        <v>0700-1500</v>
      </c>
      <c r="L193" s="3">
        <f>IFERROR(__xludf.DUMMYFUNCTION("""COMPUTED_VALUE"""),8.0)</f>
        <v>8</v>
      </c>
      <c r="M193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193" s="14" t="str">
        <f>IFERROR(__xludf.DUMMYFUNCTION("""COMPUTED_VALUE"""),"https://lh5.googleusercontent.com/d/1znKpecB-9e3s5jyNCdz5y6lsFmDgm93f")</f>
        <v>https://lh5.googleusercontent.com/d/1znKpecB-9e3s5jyNCdz5y6lsFmDgm93f</v>
      </c>
      <c r="O193" s="14" t="str">
        <f>IFERROR(__xludf.DUMMYFUNCTION("""COMPUTED_VALUE"""),"https://drive.google.com/file/d/1Tz6ppS1VPwepg47OGPkPnPhXCDXiS7uJ/view?usp=drivesdk")</f>
        <v>https://drive.google.com/file/d/1Tz6ppS1VPwepg47OGPkPnPhXCDXiS7uJ/view?usp=drivesdk</v>
      </c>
    </row>
    <row r="194">
      <c r="A194" s="3">
        <f>IFERROR(__xludf.DUMMYFUNCTION("""COMPUTED_VALUE"""),1093.0)</f>
        <v>1093</v>
      </c>
      <c r="B194" s="11">
        <f>IFERROR(__xludf.DUMMYFUNCTION("""COMPUTED_VALUE"""),45992.87842042825)</f>
        <v>45992.87842</v>
      </c>
      <c r="C194" s="3" t="str">
        <f>IFERROR(__xludf.DUMMYFUNCTION("""COMPUTED_VALUE"""),"ชั้นปีที่ 4")</f>
        <v>ชั้นปีที่ 4</v>
      </c>
      <c r="D194" s="3" t="str">
        <f>IFERROR(__xludf.DUMMYFUNCTION("""COMPUTED_VALUE"""),"6503710")</f>
        <v>6503710</v>
      </c>
      <c r="E194" s="3" t="str">
        <f>IFERROR(__xludf.DUMMYFUNCTION("""COMPUTED_VALUE"""),"21")</f>
        <v>21</v>
      </c>
      <c r="F194" s="3" t="str">
        <f>IFERROR(__xludf.DUMMYFUNCTION("""COMPUTED_VALUE"""),"นพอ.ณัทณิชา สุวะเสน")</f>
        <v>นพอ.ณัทณิชา สุวะเสน</v>
      </c>
      <c r="G194" s="3" t="str">
        <f>IFERROR(__xludf.DUMMYFUNCTION("""COMPUTED_VALUE"""),"ช่วยเหลืองานภายใน วพอ.")</f>
        <v>ช่วยเหลืองานภายใน วพอ.</v>
      </c>
      <c r="H194" s="3" t="str">
        <f>IFERROR(__xludf.DUMMYFUNCTION("""COMPUTED_VALUE"""),"จัดสถานที่สัมภาษณ์นพอ.68")</f>
        <v>จัดสถานที่สัมภาษณ์นพอ.68</v>
      </c>
      <c r="I194" s="3" t="str">
        <f>IFERROR(__xludf.DUMMYFUNCTION("""COMPUTED_VALUE"""),"วพอ.พอ.")</f>
        <v>วพอ.พอ.</v>
      </c>
      <c r="J194" s="12">
        <f>IFERROR(__xludf.DUMMYFUNCTION("""COMPUTED_VALUE"""),45779.0)</f>
        <v>45779</v>
      </c>
      <c r="K194" s="3" t="str">
        <f>IFERROR(__xludf.DUMMYFUNCTION("""COMPUTED_VALUE"""),"0800-1200")</f>
        <v>0800-1200</v>
      </c>
      <c r="L194" s="3">
        <f>IFERROR(__xludf.DUMMYFUNCTION("""COMPUTED_VALUE"""),4.0)</f>
        <v>4</v>
      </c>
      <c r="M194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194" s="14" t="str">
        <f>IFERROR(__xludf.DUMMYFUNCTION("""COMPUTED_VALUE"""),"https://lh5.googleusercontent.com/d/1pEXsNgbKlUDktQXTpa1Swj_4uemtqzzt")</f>
        <v>https://lh5.googleusercontent.com/d/1pEXsNgbKlUDktQXTpa1Swj_4uemtqzzt</v>
      </c>
      <c r="O194" s="14" t="str">
        <f>IFERROR(__xludf.DUMMYFUNCTION("""COMPUTED_VALUE"""),"https://drive.google.com/file/d/1c_eWHF9BsFoY4HKOZnl_zv9TQWBLiPU8/view?usp=drivesdk")</f>
        <v>https://drive.google.com/file/d/1c_eWHF9BsFoY4HKOZnl_zv9TQWBLiPU8/view?usp=drivesdk</v>
      </c>
    </row>
    <row r="195">
      <c r="A195" s="3">
        <f>IFERROR(__xludf.DUMMYFUNCTION("""COMPUTED_VALUE"""),1094.0)</f>
        <v>1094</v>
      </c>
      <c r="B195" s="11">
        <f>IFERROR(__xludf.DUMMYFUNCTION("""COMPUTED_VALUE"""),45992.879784895835)</f>
        <v>45992.87978</v>
      </c>
      <c r="C195" s="3" t="str">
        <f>IFERROR(__xludf.DUMMYFUNCTION("""COMPUTED_VALUE"""),"ชั้นปีที่ 4")</f>
        <v>ชั้นปีที่ 4</v>
      </c>
      <c r="D195" s="3" t="str">
        <f>IFERROR(__xludf.DUMMYFUNCTION("""COMPUTED_VALUE"""),"6503710")</f>
        <v>6503710</v>
      </c>
      <c r="E195" s="3" t="str">
        <f>IFERROR(__xludf.DUMMYFUNCTION("""COMPUTED_VALUE"""),"21")</f>
        <v>21</v>
      </c>
      <c r="F195" s="3" t="str">
        <f>IFERROR(__xludf.DUMMYFUNCTION("""COMPUTED_VALUE"""),"นพอ.ณัทณิชา สุวะเสน")</f>
        <v>นพอ.ณัทณิชา สุวะเสน</v>
      </c>
      <c r="G19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95" s="3" t="str">
        <f>IFERROR(__xludf.DUMMYFUNCTION("""COMPUTED_VALUE"""),"เดินวิ่งปั่น ป้องกันอัมพาต")</f>
        <v>เดินวิ่งปั่น ป้องกันอัมพาต</v>
      </c>
      <c r="I195" s="3" t="str">
        <f>IFERROR(__xludf.DUMMYFUNCTION("""COMPUTED_VALUE"""),"ศาลากลางจ.ฉะเชิงเทรา")</f>
        <v>ศาลากลางจ.ฉะเชิงเทรา</v>
      </c>
      <c r="J195" s="12">
        <f>IFERROR(__xludf.DUMMYFUNCTION("""COMPUTED_VALUE"""),45956.0)</f>
        <v>45956</v>
      </c>
      <c r="K195" s="3" t="str">
        <f>IFERROR(__xludf.DUMMYFUNCTION("""COMPUTED_VALUE"""),"0400-0800")</f>
        <v>0400-0800</v>
      </c>
      <c r="L195" s="3">
        <f>IFERROR(__xludf.DUMMYFUNCTION("""COMPUTED_VALUE"""),4.0)</f>
        <v>4</v>
      </c>
      <c r="M195" s="3" t="str">
        <f>IFERROR(__xludf.DUMMYFUNCTION("""COMPUTED_VALUE"""),"นายเวคิน เจียโหงว")</f>
        <v>นายเวคิน เจียโหงว</v>
      </c>
      <c r="N195" s="14" t="str">
        <f>IFERROR(__xludf.DUMMYFUNCTION("""COMPUTED_VALUE"""),"https://lh5.googleusercontent.com/d/1Q7ZaIwMLJdhsoA8BK55yZKJd0uZfKsnC")</f>
        <v>https://lh5.googleusercontent.com/d/1Q7ZaIwMLJdhsoA8BK55yZKJd0uZfKsnC</v>
      </c>
      <c r="O195" s="3"/>
    </row>
    <row r="196">
      <c r="A196" s="3">
        <f>IFERROR(__xludf.DUMMYFUNCTION("""COMPUTED_VALUE"""),1095.0)</f>
        <v>1095</v>
      </c>
      <c r="B196" s="11">
        <f>IFERROR(__xludf.DUMMYFUNCTION("""COMPUTED_VALUE"""),45992.8797953125)</f>
        <v>45992.8798</v>
      </c>
      <c r="C196" s="3" t="str">
        <f>IFERROR(__xludf.DUMMYFUNCTION("""COMPUTED_VALUE"""),"ชั้นปีที่ 4")</f>
        <v>ชั้นปีที่ 4</v>
      </c>
      <c r="D196" s="3" t="str">
        <f>IFERROR(__xludf.DUMMYFUNCTION("""COMPUTED_VALUE"""),"6503747")</f>
        <v>6503747</v>
      </c>
      <c r="E196" s="3" t="str">
        <f>IFERROR(__xludf.DUMMYFUNCTION("""COMPUTED_VALUE"""),"57")</f>
        <v>57</v>
      </c>
      <c r="F196" s="3" t="str">
        <f>IFERROR(__xludf.DUMMYFUNCTION("""COMPUTED_VALUE"""),"นพอ.ศุภิสรา สุพรรณนอก")</f>
        <v>นพอ.ศุภิสรา สุพรรณนอก</v>
      </c>
      <c r="G196" s="3" t="str">
        <f>IFERROR(__xludf.DUMMYFUNCTION("""COMPUTED_VALUE"""),"ทำนุบำรุงศาสนสถาน")</f>
        <v>ทำนุบำรุงศาสนสถาน</v>
      </c>
      <c r="H196" s="3" t="str">
        <f>IFERROR(__xludf.DUMMYFUNCTION("""COMPUTED_VALUE"""),"ช่วยเก็บของงานกฐิน")</f>
        <v>ช่วยเก็บของงานกฐิน</v>
      </c>
      <c r="I196" s="3" t="str">
        <f>IFERROR(__xludf.DUMMYFUNCTION("""COMPUTED_VALUE"""),"วัดบางแก้ว")</f>
        <v>วัดบางแก้ว</v>
      </c>
      <c r="J196" s="12">
        <f>IFERROR(__xludf.DUMMYFUNCTION("""COMPUTED_VALUE"""),45942.0)</f>
        <v>45942</v>
      </c>
      <c r="K196" s="3" t="str">
        <f>IFERROR(__xludf.DUMMYFUNCTION("""COMPUTED_VALUE"""),"0800-1200")</f>
        <v>0800-1200</v>
      </c>
      <c r="L196" s="3">
        <f>IFERROR(__xludf.DUMMYFUNCTION("""COMPUTED_VALUE"""),4.0)</f>
        <v>4</v>
      </c>
      <c r="M196" s="3" t="str">
        <f>IFERROR(__xludf.DUMMYFUNCTION("""COMPUTED_VALUE"""),"นางสาวสาวารส ยิ้มเจริญ")</f>
        <v>นางสาวสาวารส ยิ้มเจริญ</v>
      </c>
      <c r="N196" s="14" t="str">
        <f>IFERROR(__xludf.DUMMYFUNCTION("""COMPUTED_VALUE"""),"https://lh5.googleusercontent.com/d/1zIo1nr17fB0vz0UR6fXb1Vca-yYKUqpn")</f>
        <v>https://lh5.googleusercontent.com/d/1zIo1nr17fB0vz0UR6fXb1Vca-yYKUqpn</v>
      </c>
      <c r="O196" s="14" t="str">
        <f>IFERROR(__xludf.DUMMYFUNCTION("""COMPUTED_VALUE"""),"https://drive.google.com/file/d/1tNFrMx88XfYbj2cpUEHzDqwIrz2WROLj/view?usp=drivesdk")</f>
        <v>https://drive.google.com/file/d/1tNFrMx88XfYbj2cpUEHzDqwIrz2WROLj/view?usp=drivesdk</v>
      </c>
    </row>
    <row r="197">
      <c r="A197" s="3">
        <f>IFERROR(__xludf.DUMMYFUNCTION("""COMPUTED_VALUE"""),1096.0)</f>
        <v>1096</v>
      </c>
      <c r="B197" s="11">
        <f>IFERROR(__xludf.DUMMYFUNCTION("""COMPUTED_VALUE"""),45992.8814044676)</f>
        <v>45992.8814</v>
      </c>
      <c r="C197" s="3" t="str">
        <f>IFERROR(__xludf.DUMMYFUNCTION("""COMPUTED_VALUE"""),"ชั้นปีที่ 4")</f>
        <v>ชั้นปีที่ 4</v>
      </c>
      <c r="D197" s="3" t="str">
        <f>IFERROR(__xludf.DUMMYFUNCTION("""COMPUTED_VALUE"""),"6503710")</f>
        <v>6503710</v>
      </c>
      <c r="E197" s="3" t="str">
        <f>IFERROR(__xludf.DUMMYFUNCTION("""COMPUTED_VALUE"""),"21")</f>
        <v>21</v>
      </c>
      <c r="F197" s="3" t="str">
        <f>IFERROR(__xludf.DUMMYFUNCTION("""COMPUTED_VALUE"""),"นพอ.ณัทณิชา สุวะเสน")</f>
        <v>นพอ.ณัทณิชา สุวะเสน</v>
      </c>
      <c r="G19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97" s="3" t="str">
        <f>IFERROR(__xludf.DUMMYFUNCTION("""COMPUTED_VALUE"""),"เดินวิ่งปั่น ป้องกันอัมพาต")</f>
        <v>เดินวิ่งปั่น ป้องกันอัมพาต</v>
      </c>
      <c r="I197" s="3" t="str">
        <f>IFERROR(__xludf.DUMMYFUNCTION("""COMPUTED_VALUE"""),"ศาลากลางจ.ฉะเชิงเทรา")</f>
        <v>ศาลากลางจ.ฉะเชิงเทรา</v>
      </c>
      <c r="J197" s="12">
        <f>IFERROR(__xludf.DUMMYFUNCTION("""COMPUTED_VALUE"""),45956.0)</f>
        <v>45956</v>
      </c>
      <c r="K197" s="3" t="str">
        <f>IFERROR(__xludf.DUMMYFUNCTION("""COMPUTED_VALUE"""),"0400-0800")</f>
        <v>0400-0800</v>
      </c>
      <c r="L197" s="3">
        <f>IFERROR(__xludf.DUMMYFUNCTION("""COMPUTED_VALUE"""),4.0)</f>
        <v>4</v>
      </c>
      <c r="M197" s="3" t="str">
        <f>IFERROR(__xludf.DUMMYFUNCTION("""COMPUTED_VALUE"""),"นายเวคิน เจียโหงว")</f>
        <v>นายเวคิน เจียโหงว</v>
      </c>
      <c r="N197" s="14" t="str">
        <f>IFERROR(__xludf.DUMMYFUNCTION("""COMPUTED_VALUE"""),"https://lh5.googleusercontent.com/d/1JS1eQ5c5lrxucngCACYGm-50potG-WYc")</f>
        <v>https://lh5.googleusercontent.com/d/1JS1eQ5c5lrxucngCACYGm-50potG-WYc</v>
      </c>
      <c r="O197" s="14" t="str">
        <f>IFERROR(__xludf.DUMMYFUNCTION("""COMPUTED_VALUE"""),"https://drive.google.com/file/d/1CSRBe2n8GR9hRU2rb6eY0B1VO8HBAFuE/view?usp=drivesdk")</f>
        <v>https://drive.google.com/file/d/1CSRBe2n8GR9hRU2rb6eY0B1VO8HBAFuE/view?usp=drivesdk</v>
      </c>
    </row>
    <row r="198">
      <c r="A198" s="3">
        <f>IFERROR(__xludf.DUMMYFUNCTION("""COMPUTED_VALUE"""),1097.0)</f>
        <v>1097</v>
      </c>
      <c r="B198" s="11">
        <f>IFERROR(__xludf.DUMMYFUNCTION("""COMPUTED_VALUE"""),45992.88318462963)</f>
        <v>45992.88318</v>
      </c>
      <c r="C198" s="3" t="str">
        <f>IFERROR(__xludf.DUMMYFUNCTION("""COMPUTED_VALUE"""),"ชั้นปีที่ 4")</f>
        <v>ชั้นปีที่ 4</v>
      </c>
      <c r="D198" s="3" t="str">
        <f>IFERROR(__xludf.DUMMYFUNCTION("""COMPUTED_VALUE"""),"6503747")</f>
        <v>6503747</v>
      </c>
      <c r="E198" s="3" t="str">
        <f>IFERROR(__xludf.DUMMYFUNCTION("""COMPUTED_VALUE"""),"57")</f>
        <v>57</v>
      </c>
      <c r="F198" s="3" t="str">
        <f>IFERROR(__xludf.DUMMYFUNCTION("""COMPUTED_VALUE"""),"นพอ.ศุภิสรา สุพรรณนอก")</f>
        <v>นพอ.ศุภิสรา สุพรรณนอก</v>
      </c>
      <c r="G198" s="3" t="str">
        <f>IFERROR(__xludf.DUMMYFUNCTION("""COMPUTED_VALUE"""),"ช่วยเหลืองานภายใน วพอ.")</f>
        <v>ช่วยเหลืองานภายใน วพอ.</v>
      </c>
      <c r="H198" s="3" t="str">
        <f>IFERROR(__xludf.DUMMYFUNCTION("""COMPUTED_VALUE"""),"ช่วยขนของหอชาย")</f>
        <v>ช่วยขนของหอชาย</v>
      </c>
      <c r="I198" s="3" t="str">
        <f>IFERROR(__xludf.DUMMYFUNCTION("""COMPUTED_VALUE"""),"อาคารศูนย์การเรียนรู้")</f>
        <v>อาคารศูนย์การเรียนรู้</v>
      </c>
      <c r="J198" s="12">
        <f>IFERROR(__xludf.DUMMYFUNCTION("""COMPUTED_VALUE"""),45876.0)</f>
        <v>45876</v>
      </c>
      <c r="K198" s="3" t="str">
        <f>IFERROR(__xludf.DUMMYFUNCTION("""COMPUTED_VALUE"""),"1800-2000")</f>
        <v>1800-2000</v>
      </c>
      <c r="L198" s="3">
        <f>IFERROR(__xludf.DUMMYFUNCTION("""COMPUTED_VALUE"""),2.0)</f>
        <v>2</v>
      </c>
      <c r="M198" s="3" t="str">
        <f>IFERROR(__xludf.DUMMYFUNCTION("""COMPUTED_VALUE"""),"ร.อ.อนุชิต ทำจะดี")</f>
        <v>ร.อ.อนุชิต ทำจะดี</v>
      </c>
      <c r="N198" s="14" t="str">
        <f>IFERROR(__xludf.DUMMYFUNCTION("""COMPUTED_VALUE"""),"https://lh5.googleusercontent.com/d/1AODN05hXD1dIkmMCbLWCoifFsCXSsO2l")</f>
        <v>https://lh5.googleusercontent.com/d/1AODN05hXD1dIkmMCbLWCoifFsCXSsO2l</v>
      </c>
      <c r="O198" s="14" t="str">
        <f>IFERROR(__xludf.DUMMYFUNCTION("""COMPUTED_VALUE"""),"https://drive.google.com/file/d/1ec1iJTbU9HOyCsUdwCdlF3jKFLBaqQJa/view?usp=drivesdk")</f>
        <v>https://drive.google.com/file/d/1ec1iJTbU9HOyCsUdwCdlF3jKFLBaqQJa/view?usp=drivesdk</v>
      </c>
    </row>
    <row r="199">
      <c r="A199" s="3">
        <f>IFERROR(__xludf.DUMMYFUNCTION("""COMPUTED_VALUE"""),1098.0)</f>
        <v>1098</v>
      </c>
      <c r="B199" s="11">
        <f>IFERROR(__xludf.DUMMYFUNCTION("""COMPUTED_VALUE"""),45992.885610648154)</f>
        <v>45992.88561</v>
      </c>
      <c r="C199" s="3" t="str">
        <f>IFERROR(__xludf.DUMMYFUNCTION("""COMPUTED_VALUE"""),"ชั้นปีที่ 4")</f>
        <v>ชั้นปีที่ 4</v>
      </c>
      <c r="D199" s="3" t="str">
        <f>IFERROR(__xludf.DUMMYFUNCTION("""COMPUTED_VALUE"""),"6503747")</f>
        <v>6503747</v>
      </c>
      <c r="E199" s="3" t="str">
        <f>IFERROR(__xludf.DUMMYFUNCTION("""COMPUTED_VALUE"""),"57")</f>
        <v>57</v>
      </c>
      <c r="F199" s="3" t="str">
        <f>IFERROR(__xludf.DUMMYFUNCTION("""COMPUTED_VALUE"""),"นพอ.ศุภิสรา สุพรรณนอก")</f>
        <v>นพอ.ศุภิสรา สุพรรณนอก</v>
      </c>
      <c r="G1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9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199" s="3" t="str">
        <f>IFERROR(__xludf.DUMMYFUNCTION("""COMPUTED_VALUE"""),"สโมสรทหารอากาศชั้นประทวน")</f>
        <v>สโมสรทหารอากาศชั้นประทวน</v>
      </c>
      <c r="J199" s="12">
        <f>IFERROR(__xludf.DUMMYFUNCTION("""COMPUTED_VALUE"""),45854.0)</f>
        <v>45854</v>
      </c>
      <c r="K199" s="3" t="str">
        <f>IFERROR(__xludf.DUMMYFUNCTION("""COMPUTED_VALUE"""),"0700-1300")</f>
        <v>0700-1300</v>
      </c>
      <c r="L199" s="3">
        <f>IFERROR(__xludf.DUMMYFUNCTION("""COMPUTED_VALUE"""),6.0)</f>
        <v>6</v>
      </c>
      <c r="M199" s="3" t="str">
        <f>IFERROR(__xludf.DUMMYFUNCTION("""COMPUTED_VALUE"""),"น.ต.หญิง ตวงทิพย์ ลดาวัลย์")</f>
        <v>น.ต.หญิง ตวงทิพย์ ลดาวัลย์</v>
      </c>
      <c r="N199" s="14" t="str">
        <f>IFERROR(__xludf.DUMMYFUNCTION("""COMPUTED_VALUE"""),"https://lh5.googleusercontent.com/d/1XI1_TrdMIzIGGmbc1A0bmAcE-MOYTRju")</f>
        <v>https://lh5.googleusercontent.com/d/1XI1_TrdMIzIGGmbc1A0bmAcE-MOYTRju</v>
      </c>
      <c r="O199" s="14" t="str">
        <f>IFERROR(__xludf.DUMMYFUNCTION("""COMPUTED_VALUE"""),"https://drive.google.com/file/d/1OC93x11Yu65iHu1Sp0sGhNSlabOQx8qO/view?usp=drivesdk")</f>
        <v>https://drive.google.com/file/d/1OC93x11Yu65iHu1Sp0sGhNSlabOQx8qO/view?usp=drivesdk</v>
      </c>
    </row>
    <row r="200">
      <c r="A200" s="3">
        <f>IFERROR(__xludf.DUMMYFUNCTION("""COMPUTED_VALUE"""),1102.0)</f>
        <v>1102</v>
      </c>
      <c r="B200" s="11">
        <f>IFERROR(__xludf.DUMMYFUNCTION("""COMPUTED_VALUE"""),45993.513304699074)</f>
        <v>45993.5133</v>
      </c>
      <c r="C200" s="3" t="str">
        <f>IFERROR(__xludf.DUMMYFUNCTION("""COMPUTED_VALUE"""),"ชั้นปีที่ 4")</f>
        <v>ชั้นปีที่ 4</v>
      </c>
      <c r="D200" s="3" t="str">
        <f>IFERROR(__xludf.DUMMYFUNCTION("""COMPUTED_VALUE"""),"6503731")</f>
        <v>6503731</v>
      </c>
      <c r="E200" s="3" t="str">
        <f>IFERROR(__xludf.DUMMYFUNCTION("""COMPUTED_VALUE"""),"41")</f>
        <v>41</v>
      </c>
      <c r="F200" s="3" t="str">
        <f>IFERROR(__xludf.DUMMYFUNCTION("""COMPUTED_VALUE"""),"นพอ.พีรพัฒน์ แสงใยมณี")</f>
        <v>นพอ.พีรพัฒน์ แสงใยมณี</v>
      </c>
      <c r="G20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0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00" s="3" t="str">
        <f>IFERROR(__xludf.DUMMYFUNCTION("""COMPUTED_VALUE"""),"สโมสรทหารอากาศชั้นประทวน")</f>
        <v>สโมสรทหารอากาศชั้นประทวน</v>
      </c>
      <c r="J200" s="12">
        <f>IFERROR(__xludf.DUMMYFUNCTION("""COMPUTED_VALUE"""),45854.0)</f>
        <v>45854</v>
      </c>
      <c r="K200" s="3" t="str">
        <f>IFERROR(__xludf.DUMMYFUNCTION("""COMPUTED_VALUE"""),"0700-1300")</f>
        <v>0700-1300</v>
      </c>
      <c r="L200" s="3">
        <f>IFERROR(__xludf.DUMMYFUNCTION("""COMPUTED_VALUE"""),6.0)</f>
        <v>6</v>
      </c>
      <c r="M200" s="3" t="str">
        <f>IFERROR(__xludf.DUMMYFUNCTION("""COMPUTED_VALUE"""),"น.ต.หญิง ตวงทิพย์ ลดาวัลย์")</f>
        <v>น.ต.หญิง ตวงทิพย์ ลดาวัลย์</v>
      </c>
      <c r="N200" s="14" t="str">
        <f>IFERROR(__xludf.DUMMYFUNCTION("""COMPUTED_VALUE"""),"https://lh5.googleusercontent.com/d/1UB-VM6h1knv7bMfPBHY7TszRx0nKVlSD")</f>
        <v>https://lh5.googleusercontent.com/d/1UB-VM6h1knv7bMfPBHY7TszRx0nKVlSD</v>
      </c>
      <c r="O200" s="14" t="str">
        <f>IFERROR(__xludf.DUMMYFUNCTION("""COMPUTED_VALUE"""),"https://drive.google.com/file/d/1Il5rlMKp_A3u8SbzasC8VzYbb2wWIP_3/view?usp=drivesdk")</f>
        <v>https://drive.google.com/file/d/1Il5rlMKp_A3u8SbzasC8VzYbb2wWIP_3/view?usp=drivesdk</v>
      </c>
    </row>
    <row r="201">
      <c r="A201" s="3">
        <f>IFERROR(__xludf.DUMMYFUNCTION("""COMPUTED_VALUE"""),1124.0)</f>
        <v>1124</v>
      </c>
      <c r="B201" s="11">
        <f>IFERROR(__xludf.DUMMYFUNCTION("""COMPUTED_VALUE"""),45994.22585510417)</f>
        <v>45994.22586</v>
      </c>
      <c r="C201" s="3" t="str">
        <f>IFERROR(__xludf.DUMMYFUNCTION("""COMPUTED_VALUE"""),"ชั้นปีที่ 4")</f>
        <v>ชั้นปีที่ 4</v>
      </c>
      <c r="D201" s="3" t="str">
        <f>IFERROR(__xludf.DUMMYFUNCTION("""COMPUTED_VALUE"""),"6503739")</f>
        <v>6503739</v>
      </c>
      <c r="E201" s="3" t="str">
        <f>IFERROR(__xludf.DUMMYFUNCTION("""COMPUTED_VALUE"""),"49")</f>
        <v>49</v>
      </c>
      <c r="F201" s="3" t="str">
        <f>IFERROR(__xludf.DUMMYFUNCTION("""COMPUTED_VALUE"""),"นพอ.วนิดา  ชารีงาท")</f>
        <v>นพอ.วนิดา  ชารีงาท</v>
      </c>
      <c r="G20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1" s="3" t="str">
        <f>IFERROR(__xludf.DUMMYFUNCTION("""COMPUTED_VALUE"""),"จัดและตรวจสอบวันหมดอายุของเวชภัณฑ์")</f>
        <v>จัดและตรวจสอบวันหมดอายุของเวชภัณฑ์</v>
      </c>
      <c r="I201" s="3" t="str">
        <f>IFERROR(__xludf.DUMMYFUNCTION("""COMPUTED_VALUE"""),"รพ.สต.บางกะไห")</f>
        <v>รพ.สต.บางกะไห</v>
      </c>
      <c r="J201" s="12">
        <f>IFERROR(__xludf.DUMMYFUNCTION("""COMPUTED_VALUE"""),45960.0)</f>
        <v>45960</v>
      </c>
      <c r="K201" s="3" t="str">
        <f>IFERROR(__xludf.DUMMYFUNCTION("""COMPUTED_VALUE"""),"0900-1200")</f>
        <v>0900-1200</v>
      </c>
      <c r="L201" s="3">
        <f>IFERROR(__xludf.DUMMYFUNCTION("""COMPUTED_VALUE"""),3.0)</f>
        <v>3</v>
      </c>
      <c r="M201" s="3" t="str">
        <f>IFERROR(__xludf.DUMMYFUNCTION("""COMPUTED_VALUE"""),"นางสาวรัติกาล หงษ์ศิริ")</f>
        <v>นางสาวรัติกาล หงษ์ศิริ</v>
      </c>
      <c r="N201" s="14" t="str">
        <f>IFERROR(__xludf.DUMMYFUNCTION("""COMPUTED_VALUE"""),"https://lh5.googleusercontent.com/d/1v5G0cYBGm4bxO8EomeKZoHm74g57zRqY")</f>
        <v>https://lh5.googleusercontent.com/d/1v5G0cYBGm4bxO8EomeKZoHm74g57zRqY</v>
      </c>
      <c r="O201" s="14" t="str">
        <f>IFERROR(__xludf.DUMMYFUNCTION("""COMPUTED_VALUE"""),"https://drive.google.com/file/d/1Xxw-Pz_dyE60flDYj56LfaNLIiadah6y/view?usp=drivesdk")</f>
        <v>https://drive.google.com/file/d/1Xxw-Pz_dyE60flDYj56LfaNLIiadah6y/view?usp=drivesdk</v>
      </c>
    </row>
    <row r="202">
      <c r="A202" s="3">
        <f>IFERROR(__xludf.DUMMYFUNCTION("""COMPUTED_VALUE"""),1125.0)</f>
        <v>1125</v>
      </c>
      <c r="B202" s="11">
        <f>IFERROR(__xludf.DUMMYFUNCTION("""COMPUTED_VALUE"""),45994.22897626157)</f>
        <v>45994.22898</v>
      </c>
      <c r="C202" s="3" t="str">
        <f>IFERROR(__xludf.DUMMYFUNCTION("""COMPUTED_VALUE"""),"ชั้นปีที่ 4")</f>
        <v>ชั้นปีที่ 4</v>
      </c>
      <c r="D202" s="3" t="str">
        <f>IFERROR(__xludf.DUMMYFUNCTION("""COMPUTED_VALUE"""),"6503739")</f>
        <v>6503739</v>
      </c>
      <c r="E202" s="3" t="str">
        <f>IFERROR(__xludf.DUMMYFUNCTION("""COMPUTED_VALUE"""),"49")</f>
        <v>49</v>
      </c>
      <c r="F202" s="3" t="str">
        <f>IFERROR(__xludf.DUMMYFUNCTION("""COMPUTED_VALUE"""),"นพอ.วนิดา ชารีงาม")</f>
        <v>นพอ.วนิดา ชารีงาม</v>
      </c>
      <c r="G20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2" s="3" t="str">
        <f>IFERROR(__xludf.DUMMYFUNCTION("""COMPUTED_VALUE"""),"จัดทำบอร์ดประชาสัมพันธ์ให้ความรู้สุขภาพ")</f>
        <v>จัดทำบอร์ดประชาสัมพันธ์ให้ความรู้สุขภาพ</v>
      </c>
      <c r="I202" s="3" t="str">
        <f>IFERROR(__xludf.DUMMYFUNCTION("""COMPUTED_VALUE"""),"รพ.สต.บางกะไห")</f>
        <v>รพ.สต.บางกะไห</v>
      </c>
      <c r="J202" s="12">
        <f>IFERROR(__xludf.DUMMYFUNCTION("""COMPUTED_VALUE"""),45979.0)</f>
        <v>45979</v>
      </c>
      <c r="K202" s="3" t="str">
        <f>IFERROR(__xludf.DUMMYFUNCTION("""COMPUTED_VALUE"""),"1900-2100")</f>
        <v>1900-2100</v>
      </c>
      <c r="L202" s="3">
        <f>IFERROR(__xludf.DUMMYFUNCTION("""COMPUTED_VALUE"""),2.0)</f>
        <v>2</v>
      </c>
      <c r="M202" s="3" t="str">
        <f>IFERROR(__xludf.DUMMYFUNCTION("""COMPUTED_VALUE"""),"นางเปรมฤดี ศิริตาหนึง")</f>
        <v>นางเปรมฤดี ศิริตาหนึง</v>
      </c>
      <c r="N202" s="14" t="str">
        <f>IFERROR(__xludf.DUMMYFUNCTION("""COMPUTED_VALUE"""),"https://lh5.googleusercontent.com/d/1yxYAiKWONgd2IKc7w0HX7dXxfu5IJYlE")</f>
        <v>https://lh5.googleusercontent.com/d/1yxYAiKWONgd2IKc7w0HX7dXxfu5IJYlE</v>
      </c>
      <c r="O202" s="14" t="str">
        <f>IFERROR(__xludf.DUMMYFUNCTION("""COMPUTED_VALUE"""),"https://drive.google.com/file/d/1NLZwU4x0oZKN6UEQwY5I1gXQeSWBPvpu/view?usp=drivesdk")</f>
        <v>https://drive.google.com/file/d/1NLZwU4x0oZKN6UEQwY5I1gXQeSWBPvpu/view?usp=drivesdk</v>
      </c>
    </row>
    <row r="203">
      <c r="A203" s="3">
        <f>IFERROR(__xludf.DUMMYFUNCTION("""COMPUTED_VALUE"""),1126.0)</f>
        <v>1126</v>
      </c>
      <c r="B203" s="11">
        <f>IFERROR(__xludf.DUMMYFUNCTION("""COMPUTED_VALUE"""),45994.232230393514)</f>
        <v>45994.23223</v>
      </c>
      <c r="C203" s="3" t="str">
        <f>IFERROR(__xludf.DUMMYFUNCTION("""COMPUTED_VALUE"""),"ชั้นปีที่ 4")</f>
        <v>ชั้นปีที่ 4</v>
      </c>
      <c r="D203" s="3" t="str">
        <f>IFERROR(__xludf.DUMMYFUNCTION("""COMPUTED_VALUE"""),"6503739")</f>
        <v>6503739</v>
      </c>
      <c r="E203" s="3" t="str">
        <f>IFERROR(__xludf.DUMMYFUNCTION("""COMPUTED_VALUE"""),"49")</f>
        <v>49</v>
      </c>
      <c r="F203" s="3" t="str">
        <f>IFERROR(__xludf.DUMMYFUNCTION("""COMPUTED_VALUE"""),"นพอ.วนิดา ชารีงาม")</f>
        <v>นพอ.วนิดา ชารีงาม</v>
      </c>
      <c r="G20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3" s="3" t="str">
        <f>IFERROR(__xludf.DUMMYFUNCTION("""COMPUTED_VALUE"""),"ช่วยงานกฐิน")</f>
        <v>ช่วยงานกฐิน</v>
      </c>
      <c r="I203" s="3" t="str">
        <f>IFERROR(__xludf.DUMMYFUNCTION("""COMPUTED_VALUE"""),"วัดบ้านนา")</f>
        <v>วัดบ้านนา</v>
      </c>
      <c r="J203" s="12">
        <f>IFERROR(__xludf.DUMMYFUNCTION("""COMPUTED_VALUE"""),45955.0)</f>
        <v>45955</v>
      </c>
      <c r="K203" s="3" t="str">
        <f>IFERROR(__xludf.DUMMYFUNCTION("""COMPUTED_VALUE"""),"0800-1200")</f>
        <v>0800-1200</v>
      </c>
      <c r="L203" s="3">
        <f>IFERROR(__xludf.DUMMYFUNCTION("""COMPUTED_VALUE"""),4.0)</f>
        <v>4</v>
      </c>
      <c r="M203" s="3" t="str">
        <f>IFERROR(__xludf.DUMMYFUNCTION("""COMPUTED_VALUE"""),"นางสาวรัติกาล หงษ์ศิริ")</f>
        <v>นางสาวรัติกาล หงษ์ศิริ</v>
      </c>
      <c r="N203" s="14" t="str">
        <f>IFERROR(__xludf.DUMMYFUNCTION("""COMPUTED_VALUE"""),"https://lh5.googleusercontent.com/d/1Y5PO4O6z__zrjmM-fcT5gDksmZNpAkfs")</f>
        <v>https://lh5.googleusercontent.com/d/1Y5PO4O6z__zrjmM-fcT5gDksmZNpAkfs</v>
      </c>
      <c r="O203" s="14" t="str">
        <f>IFERROR(__xludf.DUMMYFUNCTION("""COMPUTED_VALUE"""),"https://drive.google.com/file/d/1YAXHRDz3XSHd2FO8wPfqeVwnS39_v8OY/view?usp=drivesdk")</f>
        <v>https://drive.google.com/file/d/1YAXHRDz3XSHd2FO8wPfqeVwnS39_v8OY/view?usp=drivesdk</v>
      </c>
    </row>
    <row r="204">
      <c r="A204" s="3">
        <f>IFERROR(__xludf.DUMMYFUNCTION("""COMPUTED_VALUE"""),1127.0)</f>
        <v>1127</v>
      </c>
      <c r="B204" s="11">
        <f>IFERROR(__xludf.DUMMYFUNCTION("""COMPUTED_VALUE"""),45994.235234918975)</f>
        <v>45994.23523</v>
      </c>
      <c r="C204" s="3" t="str">
        <f>IFERROR(__xludf.DUMMYFUNCTION("""COMPUTED_VALUE"""),"ชั้นปีที่ 4")</f>
        <v>ชั้นปีที่ 4</v>
      </c>
      <c r="D204" s="3" t="str">
        <f>IFERROR(__xludf.DUMMYFUNCTION("""COMPUTED_VALUE"""),"6503739")</f>
        <v>6503739</v>
      </c>
      <c r="E204" s="3" t="str">
        <f>IFERROR(__xludf.DUMMYFUNCTION("""COMPUTED_VALUE"""),"49")</f>
        <v>49</v>
      </c>
      <c r="F204" s="3" t="str">
        <f>IFERROR(__xludf.DUMMYFUNCTION("""COMPUTED_VALUE"""),"นพอ.วนิดา  ชารีงาม")</f>
        <v>นพอ.วนิดา  ชารีงาม</v>
      </c>
      <c r="G20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4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04" s="3" t="str">
        <f>IFERROR(__xludf.DUMMYFUNCTION("""COMPUTED_VALUE"""),"สโมสรทหารอากาศชั้นประทวน")</f>
        <v>สโมสรทหารอากาศชั้นประทวน</v>
      </c>
      <c r="J204" s="12">
        <f>IFERROR(__xludf.DUMMYFUNCTION("""COMPUTED_VALUE"""),45854.0)</f>
        <v>45854</v>
      </c>
      <c r="K204" s="3" t="str">
        <f>IFERROR(__xludf.DUMMYFUNCTION("""COMPUTED_VALUE"""),"0700-1300")</f>
        <v>0700-1300</v>
      </c>
      <c r="L204" s="3">
        <f>IFERROR(__xludf.DUMMYFUNCTION("""COMPUTED_VALUE"""),6.0)</f>
        <v>6</v>
      </c>
      <c r="M204" s="3" t="str">
        <f>IFERROR(__xludf.DUMMYFUNCTION("""COMPUTED_VALUE"""),"น.ต.หญิงตวงทิพย์ ลดาวัลย์")</f>
        <v>น.ต.หญิงตวงทิพย์ ลดาวัลย์</v>
      </c>
      <c r="N204" s="14" t="str">
        <f>IFERROR(__xludf.DUMMYFUNCTION("""COMPUTED_VALUE"""),"https://lh5.googleusercontent.com/d/14V1Acam2iryBmpAkE4_L2TTgMyiJquBz")</f>
        <v>https://lh5.googleusercontent.com/d/14V1Acam2iryBmpAkE4_L2TTgMyiJquBz</v>
      </c>
      <c r="O204" s="14" t="str">
        <f>IFERROR(__xludf.DUMMYFUNCTION("""COMPUTED_VALUE"""),"https://drive.google.com/file/d/1fyYYGh6SlEgYJWcikxALIN-DcMd_tcYw/view?usp=drivesdk")</f>
        <v>https://drive.google.com/file/d/1fyYYGh6SlEgYJWcikxALIN-DcMd_tcYw/view?usp=drivesdk</v>
      </c>
    </row>
    <row r="205">
      <c r="A205" s="3">
        <f>IFERROR(__xludf.DUMMYFUNCTION("""COMPUTED_VALUE"""),1128.0)</f>
        <v>1128</v>
      </c>
      <c r="B205" s="11">
        <f>IFERROR(__xludf.DUMMYFUNCTION("""COMPUTED_VALUE"""),45994.23823672454)</f>
        <v>45994.23824</v>
      </c>
      <c r="C205" s="3" t="str">
        <f>IFERROR(__xludf.DUMMYFUNCTION("""COMPUTED_VALUE"""),"ชั้นปีที่ 4")</f>
        <v>ชั้นปีที่ 4</v>
      </c>
      <c r="D205" s="3" t="str">
        <f>IFERROR(__xludf.DUMMYFUNCTION("""COMPUTED_VALUE"""),"6503739")</f>
        <v>6503739</v>
      </c>
      <c r="E205" s="3" t="str">
        <f>IFERROR(__xludf.DUMMYFUNCTION("""COMPUTED_VALUE"""),"49")</f>
        <v>49</v>
      </c>
      <c r="F205" s="3" t="str">
        <f>IFERROR(__xludf.DUMMYFUNCTION("""COMPUTED_VALUE"""),"นพอ.วนิดา ชารีงาม")</f>
        <v>นพอ.วนิดา ชารีงาม</v>
      </c>
      <c r="G205" s="3" t="str">
        <f>IFERROR(__xludf.DUMMYFUNCTION("""COMPUTED_VALUE"""),"ช่วยเหลืองานภายใน วพอ.")</f>
        <v>ช่วยเหลืองานภายใน วพอ.</v>
      </c>
      <c r="H205" s="3" t="str">
        <f>IFERROR(__xludf.DUMMYFUNCTION("""COMPUTED_VALUE"""),"ขนของหอชาย")</f>
        <v>ขนของหอชาย</v>
      </c>
      <c r="I205" s="3" t="str">
        <f>IFERROR(__xludf.DUMMYFUNCTION("""COMPUTED_VALUE"""),"วพอ.")</f>
        <v>วพอ.</v>
      </c>
      <c r="J205" s="12">
        <f>IFERROR(__xludf.DUMMYFUNCTION("""COMPUTED_VALUE"""),45876.0)</f>
        <v>45876</v>
      </c>
      <c r="K205" s="3" t="str">
        <f>IFERROR(__xludf.DUMMYFUNCTION("""COMPUTED_VALUE"""),"1800-2000")</f>
        <v>1800-2000</v>
      </c>
      <c r="L205" s="3">
        <f>IFERROR(__xludf.DUMMYFUNCTION("""COMPUTED_VALUE"""),2.0)</f>
        <v>2</v>
      </c>
      <c r="M205" s="3" t="str">
        <f>IFERROR(__xludf.DUMMYFUNCTION("""COMPUTED_VALUE"""),"ร.อ.อนุชิต ทำจะดี")</f>
        <v>ร.อ.อนุชิต ทำจะดี</v>
      </c>
      <c r="N205" s="14" t="str">
        <f>IFERROR(__xludf.DUMMYFUNCTION("""COMPUTED_VALUE"""),"https://lh5.googleusercontent.com/d/1y0ltyHAO_jWoswSqFIt_hoD_VXKvgpgj")</f>
        <v>https://lh5.googleusercontent.com/d/1y0ltyHAO_jWoswSqFIt_hoD_VXKvgpgj</v>
      </c>
      <c r="O205" s="14" t="str">
        <f>IFERROR(__xludf.DUMMYFUNCTION("""COMPUTED_VALUE"""),"https://drive.google.com/file/d/1kVEvxHPJh9pRIbr_6zR5KlLZ88QJ9Qht/view?usp=drivesdk")</f>
        <v>https://drive.google.com/file/d/1kVEvxHPJh9pRIbr_6zR5KlLZ88QJ9Qht/view?usp=drivesdk</v>
      </c>
    </row>
    <row r="206">
      <c r="A206" s="3">
        <f>IFERROR(__xludf.DUMMYFUNCTION("""COMPUTED_VALUE"""),1129.0)</f>
        <v>1129</v>
      </c>
      <c r="B206" s="11">
        <f>IFERROR(__xludf.DUMMYFUNCTION("""COMPUTED_VALUE"""),45994.240503379624)</f>
        <v>45994.2405</v>
      </c>
      <c r="C206" s="3" t="str">
        <f>IFERROR(__xludf.DUMMYFUNCTION("""COMPUTED_VALUE"""),"ชั้นปีที่ 4")</f>
        <v>ชั้นปีที่ 4</v>
      </c>
      <c r="D206" s="3" t="str">
        <f>IFERROR(__xludf.DUMMYFUNCTION("""COMPUTED_VALUE"""),"6503739")</f>
        <v>6503739</v>
      </c>
      <c r="E206" s="3" t="str">
        <f>IFERROR(__xludf.DUMMYFUNCTION("""COMPUTED_VALUE"""),"49")</f>
        <v>49</v>
      </c>
      <c r="F206" s="3" t="str">
        <f>IFERROR(__xludf.DUMMYFUNCTION("""COMPUTED_VALUE"""),"นพอ.วนิดา  ชารีงาม")</f>
        <v>นพอ.วนิดา  ชารีงาม</v>
      </c>
      <c r="G20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6" s="3" t="str">
        <f>IFERROR(__xludf.DUMMYFUNCTION("""COMPUTED_VALUE"""),"ทำความสะอาดบริเวณรอบรพ.สต.")</f>
        <v>ทำความสะอาดบริเวณรอบรพ.สต.</v>
      </c>
      <c r="I206" s="3" t="str">
        <f>IFERROR(__xludf.DUMMYFUNCTION("""COMPUTED_VALUE"""),"รพ.สต.บางกะไห")</f>
        <v>รพ.สต.บางกะไห</v>
      </c>
      <c r="J206" s="12">
        <f>IFERROR(__xludf.DUMMYFUNCTION("""COMPUTED_VALUE"""),45947.0)</f>
        <v>45947</v>
      </c>
      <c r="K206" s="3" t="str">
        <f>IFERROR(__xludf.DUMMYFUNCTION("""COMPUTED_VALUE"""),"0800-1200")</f>
        <v>0800-1200</v>
      </c>
      <c r="L206" s="3">
        <f>IFERROR(__xludf.DUMMYFUNCTION("""COMPUTED_VALUE"""),4.0)</f>
        <v>4</v>
      </c>
      <c r="M206" s="3" t="str">
        <f>IFERROR(__xludf.DUMMYFUNCTION("""COMPUTED_VALUE"""),"นางสาวรัติกาล หงษ์ศิริ")</f>
        <v>นางสาวรัติกาล หงษ์ศิริ</v>
      </c>
      <c r="N206" s="14" t="str">
        <f>IFERROR(__xludf.DUMMYFUNCTION("""COMPUTED_VALUE"""),"https://lh5.googleusercontent.com/d/12-9iibOUnzbaV4rLE5haOvUmPT4Uphad")</f>
        <v>https://lh5.googleusercontent.com/d/12-9iibOUnzbaV4rLE5haOvUmPT4Uphad</v>
      </c>
      <c r="O206" s="14" t="str">
        <f>IFERROR(__xludf.DUMMYFUNCTION("""COMPUTED_VALUE"""),"https://drive.google.com/file/d/1cgJlh8ruk1Bju20m3xhqbnSBtkh6KqhT/view?usp=drivesdk")</f>
        <v>https://drive.google.com/file/d/1cgJlh8ruk1Bju20m3xhqbnSBtkh6KqhT/view?usp=drivesdk</v>
      </c>
    </row>
    <row r="207">
      <c r="A207" s="3">
        <f>IFERROR(__xludf.DUMMYFUNCTION("""COMPUTED_VALUE"""),1130.0)</f>
        <v>1130</v>
      </c>
      <c r="B207" s="11">
        <f>IFERROR(__xludf.DUMMYFUNCTION("""COMPUTED_VALUE"""),45994.24374950231)</f>
        <v>45994.24375</v>
      </c>
      <c r="C207" s="3" t="str">
        <f>IFERROR(__xludf.DUMMYFUNCTION("""COMPUTED_VALUE"""),"ชั้นปีที่ 4")</f>
        <v>ชั้นปีที่ 4</v>
      </c>
      <c r="D207" s="3" t="str">
        <f>IFERROR(__xludf.DUMMYFUNCTION("""COMPUTED_VALUE"""),"6503739")</f>
        <v>6503739</v>
      </c>
      <c r="E207" s="3" t="str">
        <f>IFERROR(__xludf.DUMMYFUNCTION("""COMPUTED_VALUE"""),"49")</f>
        <v>49</v>
      </c>
      <c r="F207" s="3" t="str">
        <f>IFERROR(__xludf.DUMMYFUNCTION("""COMPUTED_VALUE"""),"นพอ.วนิดา ชารีงาม")</f>
        <v>นพอ.วนิดา ชารีงาม</v>
      </c>
      <c r="G20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7" s="3" t="str">
        <f>IFERROR(__xludf.DUMMYFUNCTION("""COMPUTED_VALUE"""),"ทำความสะอาดบริเวณโรงเรียนวัดบ้านนา")</f>
        <v>ทำความสะอาดบริเวณโรงเรียนวัดบ้านนา</v>
      </c>
      <c r="I207" s="3" t="str">
        <f>IFERROR(__xludf.DUMMYFUNCTION("""COMPUTED_VALUE"""),"โรงเรียนวัดบ้านนา")</f>
        <v>โรงเรียนวัดบ้านนา</v>
      </c>
      <c r="J207" s="12">
        <f>IFERROR(__xludf.DUMMYFUNCTION("""COMPUTED_VALUE"""),45946.0)</f>
        <v>45946</v>
      </c>
      <c r="K207" s="3" t="str">
        <f>IFERROR(__xludf.DUMMYFUNCTION("""COMPUTED_VALUE"""),"0800-1200")</f>
        <v>0800-1200</v>
      </c>
      <c r="L207" s="3">
        <f>IFERROR(__xludf.DUMMYFUNCTION("""COMPUTED_VALUE"""),4.0)</f>
        <v>4</v>
      </c>
      <c r="M207" s="3" t="str">
        <f>IFERROR(__xludf.DUMMYFUNCTION("""COMPUTED_VALUE"""),"นางสาวรัติกาล  หงษ์ศิริ")</f>
        <v>นางสาวรัติกาล  หงษ์ศิริ</v>
      </c>
      <c r="N207" s="3"/>
      <c r="O207" s="3"/>
    </row>
    <row r="208">
      <c r="A208" s="3">
        <f>IFERROR(__xludf.DUMMYFUNCTION("""COMPUTED_VALUE"""),1131.0)</f>
        <v>1131</v>
      </c>
      <c r="B208" s="11">
        <f>IFERROR(__xludf.DUMMYFUNCTION("""COMPUTED_VALUE"""),45994.2448318287)</f>
        <v>45994.24483</v>
      </c>
      <c r="C208" s="3" t="str">
        <f>IFERROR(__xludf.DUMMYFUNCTION("""COMPUTED_VALUE"""),"ชั้นปีที่ 4")</f>
        <v>ชั้นปีที่ 4</v>
      </c>
      <c r="D208" s="3" t="str">
        <f>IFERROR(__xludf.DUMMYFUNCTION("""COMPUTED_VALUE"""),"6503739")</f>
        <v>6503739</v>
      </c>
      <c r="E208" s="3" t="str">
        <f>IFERROR(__xludf.DUMMYFUNCTION("""COMPUTED_VALUE"""),"49")</f>
        <v>49</v>
      </c>
      <c r="F208" s="3" t="str">
        <f>IFERROR(__xludf.DUMMYFUNCTION("""COMPUTED_VALUE"""),"นพอ.วนิดา ชารีงาม")</f>
        <v>นพอ.วนิดา ชารีงาม</v>
      </c>
      <c r="G20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8" s="3" t="str">
        <f>IFERROR(__xludf.DUMMYFUNCTION("""COMPUTED_VALUE"""),"ทำความสะอาดบริเวณโรงเรียนวัดบ้านนา")</f>
        <v>ทำความสะอาดบริเวณโรงเรียนวัดบ้านนา</v>
      </c>
      <c r="I208" s="3" t="str">
        <f>IFERROR(__xludf.DUMMYFUNCTION("""COMPUTED_VALUE"""),"โรงเรียนวัดบ้านนา")</f>
        <v>โรงเรียนวัดบ้านนา</v>
      </c>
      <c r="J208" s="12">
        <f>IFERROR(__xludf.DUMMYFUNCTION("""COMPUTED_VALUE"""),45946.0)</f>
        <v>45946</v>
      </c>
      <c r="K208" s="3" t="str">
        <f>IFERROR(__xludf.DUMMYFUNCTION("""COMPUTED_VALUE"""),"0800-1200")</f>
        <v>0800-1200</v>
      </c>
      <c r="L208" s="3">
        <f>IFERROR(__xludf.DUMMYFUNCTION("""COMPUTED_VALUE"""),4.0)</f>
        <v>4</v>
      </c>
      <c r="M208" s="3" t="str">
        <f>IFERROR(__xludf.DUMMYFUNCTION("""COMPUTED_VALUE"""),"นางสาวรัติกาล  หงษ์ศิริ")</f>
        <v>นางสาวรัติกาล  หงษ์ศิริ</v>
      </c>
      <c r="N208" s="14" t="str">
        <f>IFERROR(__xludf.DUMMYFUNCTION("""COMPUTED_VALUE"""),"https://lh5.googleusercontent.com/d/1792W67X1MU-MYtMB1a6iFbzf169B8Epc")</f>
        <v>https://lh5.googleusercontent.com/d/1792W67X1MU-MYtMB1a6iFbzf169B8Epc</v>
      </c>
      <c r="O208" s="14" t="str">
        <f>IFERROR(__xludf.DUMMYFUNCTION("""COMPUTED_VALUE"""),"https://drive.google.com/file/d/1M-PLQH0DHSOasxhGZevuZIYhijYuXz3y/view?usp=drivesdk")</f>
        <v>https://drive.google.com/file/d/1M-PLQH0DHSOasxhGZevuZIYhijYuXz3y/view?usp=drivesdk</v>
      </c>
    </row>
    <row r="209">
      <c r="A209" s="3">
        <f>IFERROR(__xludf.DUMMYFUNCTION("""COMPUTED_VALUE"""),1136.0)</f>
        <v>1136</v>
      </c>
      <c r="B209" s="11">
        <f>IFERROR(__xludf.DUMMYFUNCTION("""COMPUTED_VALUE"""),45994.4229890625)</f>
        <v>45994.42299</v>
      </c>
      <c r="C209" s="3" t="str">
        <f>IFERROR(__xludf.DUMMYFUNCTION("""COMPUTED_VALUE"""),"ชั้นปีที่ 4")</f>
        <v>ชั้นปีที่ 4</v>
      </c>
      <c r="D209" s="3" t="str">
        <f>IFERROR(__xludf.DUMMYFUNCTION("""COMPUTED_VALUE"""),"6503697")</f>
        <v>6503697</v>
      </c>
      <c r="E209" s="3" t="str">
        <f>IFERROR(__xludf.DUMMYFUNCTION("""COMPUTED_VALUE"""),"8")</f>
        <v>8</v>
      </c>
      <c r="F209" s="3" t="str">
        <f>IFERROR(__xludf.DUMMYFUNCTION("""COMPUTED_VALUE"""),"นพอ.จารวี จี๋จันทร์")</f>
        <v>นพอ.จารวี จี๋จันทร์</v>
      </c>
      <c r="G20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09" s="3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209" s="3" t="str">
        <f>IFERROR(__xludf.DUMMYFUNCTION("""COMPUTED_VALUE"""),"วัดสุวรรณาราม")</f>
        <v>วัดสุวรรณาราม</v>
      </c>
      <c r="J209" s="12">
        <f>IFERROR(__xludf.DUMMYFUNCTION("""COMPUTED_VALUE"""),45942.0)</f>
        <v>45942</v>
      </c>
      <c r="K209" s="3" t="str">
        <f>IFERROR(__xludf.DUMMYFUNCTION("""COMPUTED_VALUE"""),"0600-1200")</f>
        <v>0600-1200</v>
      </c>
      <c r="L209" s="3">
        <f>IFERROR(__xludf.DUMMYFUNCTION("""COMPUTED_VALUE"""),6.0)</f>
        <v>6</v>
      </c>
      <c r="M209" s="3" t="str">
        <f>IFERROR(__xludf.DUMMYFUNCTION("""COMPUTED_VALUE"""),"คุณเกสร เจริญสิทธิสงค์")</f>
        <v>คุณเกสร เจริญสิทธิสงค์</v>
      </c>
      <c r="N209" s="14" t="str">
        <f>IFERROR(__xludf.DUMMYFUNCTION("""COMPUTED_VALUE"""),"https://lh5.googleusercontent.com/d/1BVSD5YICOyLrWNibutun_j2rubwsW8nK")</f>
        <v>https://lh5.googleusercontent.com/d/1BVSD5YICOyLrWNibutun_j2rubwsW8nK</v>
      </c>
      <c r="O209" s="14" t="str">
        <f>IFERROR(__xludf.DUMMYFUNCTION("""COMPUTED_VALUE"""),"https://drive.google.com/file/d/1oHL06dBa772e2iwEWgpd_F-fsNtwzeEf/view?usp=drivesdk")</f>
        <v>https://drive.google.com/file/d/1oHL06dBa772e2iwEWgpd_F-fsNtwzeEf/view?usp=drivesdk</v>
      </c>
    </row>
    <row r="210">
      <c r="A210" s="3">
        <f>IFERROR(__xludf.DUMMYFUNCTION("""COMPUTED_VALUE"""),1137.0)</f>
        <v>1137</v>
      </c>
      <c r="B210" s="11">
        <f>IFERROR(__xludf.DUMMYFUNCTION("""COMPUTED_VALUE"""),45994.425146284724)</f>
        <v>45994.42515</v>
      </c>
      <c r="C210" s="3" t="str">
        <f>IFERROR(__xludf.DUMMYFUNCTION("""COMPUTED_VALUE"""),"ชั้นปีที่ 4")</f>
        <v>ชั้นปีที่ 4</v>
      </c>
      <c r="D210" s="3" t="str">
        <f>IFERROR(__xludf.DUMMYFUNCTION("""COMPUTED_VALUE"""),"6503697")</f>
        <v>6503697</v>
      </c>
      <c r="E210" s="3" t="str">
        <f>IFERROR(__xludf.DUMMYFUNCTION("""COMPUTED_VALUE"""),"8")</f>
        <v>8</v>
      </c>
      <c r="F210" s="3" t="str">
        <f>IFERROR(__xludf.DUMMYFUNCTION("""COMPUTED_VALUE"""),"นพอ.จารวี จี๋จันทร์")</f>
        <v>นพอ.จารวี จี๋จันทร์</v>
      </c>
      <c r="G210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0" s="3" t="str">
        <f>IFERROR(__xludf.DUMMYFUNCTION("""COMPUTED_VALUE"""),"วันรักต้นไม้ประจำปีของชาติ")</f>
        <v>วันรักต้นไม้ประจำปีของชาติ</v>
      </c>
      <c r="I210" s="3" t="str">
        <f>IFERROR(__xludf.DUMMYFUNCTION("""COMPUTED_VALUE"""),"รพ.สต.บางตีนเป็ด")</f>
        <v>รพ.สต.บางตีนเป็ด</v>
      </c>
      <c r="J210" s="12">
        <f>IFERROR(__xludf.DUMMYFUNCTION("""COMPUTED_VALUE"""),45949.0)</f>
        <v>45949</v>
      </c>
      <c r="K210" s="3" t="str">
        <f>IFERROR(__xludf.DUMMYFUNCTION("""COMPUTED_VALUE"""),"0800-1200")</f>
        <v>0800-1200</v>
      </c>
      <c r="L210" s="3">
        <f>IFERROR(__xludf.DUMMYFUNCTION("""COMPUTED_VALUE"""),4.0)</f>
        <v>4</v>
      </c>
      <c r="M210" s="3" t="str">
        <f>IFERROR(__xludf.DUMMYFUNCTION("""COMPUTED_VALUE"""),"คุณเกสร เจริญสิทธิสงค์")</f>
        <v>คุณเกสร เจริญสิทธิสงค์</v>
      </c>
      <c r="N210" s="14" t="str">
        <f>IFERROR(__xludf.DUMMYFUNCTION("""COMPUTED_VALUE"""),"https://lh5.googleusercontent.com/d/1VyWdC50RZAuQeYO4EeYG6K58UZtCm--a")</f>
        <v>https://lh5.googleusercontent.com/d/1VyWdC50RZAuQeYO4EeYG6K58UZtCm--a</v>
      </c>
      <c r="O210" s="14" t="str">
        <f>IFERROR(__xludf.DUMMYFUNCTION("""COMPUTED_VALUE"""),"https://drive.google.com/file/d/1uCW6RScPSYqKti0xldSiG-BON93FbsEa/view?usp=drivesdk")</f>
        <v>https://drive.google.com/file/d/1uCW6RScPSYqKti0xldSiG-BON93FbsEa/view?usp=drivesdk</v>
      </c>
    </row>
    <row r="211">
      <c r="A211" s="3">
        <f>IFERROR(__xludf.DUMMYFUNCTION("""COMPUTED_VALUE"""),1138.0)</f>
        <v>1138</v>
      </c>
      <c r="B211" s="11">
        <f>IFERROR(__xludf.DUMMYFUNCTION("""COMPUTED_VALUE"""),45994.42673034722)</f>
        <v>45994.42673</v>
      </c>
      <c r="C211" s="3" t="str">
        <f>IFERROR(__xludf.DUMMYFUNCTION("""COMPUTED_VALUE"""),"ชั้นปีที่ 4")</f>
        <v>ชั้นปีที่ 4</v>
      </c>
      <c r="D211" s="3" t="str">
        <f>IFERROR(__xludf.DUMMYFUNCTION("""COMPUTED_VALUE"""),"6503697")</f>
        <v>6503697</v>
      </c>
      <c r="E211" s="3" t="str">
        <f>IFERROR(__xludf.DUMMYFUNCTION("""COMPUTED_VALUE"""),"8")</f>
        <v>8</v>
      </c>
      <c r="F211" s="3" t="str">
        <f>IFERROR(__xludf.DUMMYFUNCTION("""COMPUTED_VALUE"""),"นพอ.จารวี จี๋จันทร์")</f>
        <v>นพอ.จารวี จี๋จันทร์</v>
      </c>
      <c r="G21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1" s="3" t="str">
        <f>IFERROR(__xludf.DUMMYFUNCTION("""COMPUTED_VALUE"""),"แผนการซ้อมดับเพลิงและอพยพหนีไฟ ประจำปี 2568")</f>
        <v>แผนการซ้อมดับเพลิงและอพยพหนีไฟ ประจำปี 2568</v>
      </c>
      <c r="I211" s="3" t="str">
        <f>IFERROR(__xludf.DUMMYFUNCTION("""COMPUTED_VALUE"""),"โรงเรียนสันติภาพ")</f>
        <v>โรงเรียนสันติภาพ</v>
      </c>
      <c r="J211" s="12">
        <f>IFERROR(__xludf.DUMMYFUNCTION("""COMPUTED_VALUE"""),45965.0)</f>
        <v>45965</v>
      </c>
      <c r="K211" s="3" t="str">
        <f>IFERROR(__xludf.DUMMYFUNCTION("""COMPUTED_VALUE"""),"0800-1200")</f>
        <v>0800-1200</v>
      </c>
      <c r="L211" s="3">
        <f>IFERROR(__xludf.DUMMYFUNCTION("""COMPUTED_VALUE"""),4.0)</f>
        <v>4</v>
      </c>
      <c r="M211" s="3" t="str">
        <f>IFERROR(__xludf.DUMMYFUNCTION("""COMPUTED_VALUE"""),"คุณเกสร เจริญสิทธิสงค์")</f>
        <v>คุณเกสร เจริญสิทธิสงค์</v>
      </c>
      <c r="N211" s="14" t="str">
        <f>IFERROR(__xludf.DUMMYFUNCTION("""COMPUTED_VALUE"""),"https://lh5.googleusercontent.com/d/1jGxNPSqdAMr1DOHbUONexnjrup6c85s9")</f>
        <v>https://lh5.googleusercontent.com/d/1jGxNPSqdAMr1DOHbUONexnjrup6c85s9</v>
      </c>
      <c r="O211" s="14" t="str">
        <f>IFERROR(__xludf.DUMMYFUNCTION("""COMPUTED_VALUE"""),"https://drive.google.com/file/d/1HbxuyBKZ0h6ZdDGN7-EWvUnVElfjEBvE/view?usp=drivesdk")</f>
        <v>https://drive.google.com/file/d/1HbxuyBKZ0h6ZdDGN7-EWvUnVElfjEBvE/view?usp=drivesdk</v>
      </c>
    </row>
    <row r="212">
      <c r="A212" s="3">
        <f>IFERROR(__xludf.DUMMYFUNCTION("""COMPUTED_VALUE"""),1139.0)</f>
        <v>1139</v>
      </c>
      <c r="B212" s="11">
        <f>IFERROR(__xludf.DUMMYFUNCTION("""COMPUTED_VALUE"""),45994.43704761574)</f>
        <v>45994.43705</v>
      </c>
      <c r="C212" s="3" t="str">
        <f>IFERROR(__xludf.DUMMYFUNCTION("""COMPUTED_VALUE"""),"ชั้นปีที่ 4")</f>
        <v>ชั้นปีที่ 4</v>
      </c>
      <c r="D212" s="3" t="str">
        <f>IFERROR(__xludf.DUMMYFUNCTION("""COMPUTED_VALUE"""),"6503700")</f>
        <v>6503700</v>
      </c>
      <c r="E212" s="3" t="str">
        <f>IFERROR(__xludf.DUMMYFUNCTION("""COMPUTED_VALUE"""),"11")</f>
        <v>11</v>
      </c>
      <c r="F212" s="3" t="str">
        <f>IFERROR(__xludf.DUMMYFUNCTION("""COMPUTED_VALUE"""),"นพอ.ฉายแสง สมหวัง")</f>
        <v>นพอ.ฉายแสง สมหวัง</v>
      </c>
      <c r="G21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2" s="3" t="str">
        <f>IFERROR(__xludf.DUMMYFUNCTION("""COMPUTED_VALUE"""),"จับผ้าเนื่องในโอกาสถวายความอาลัยสมเด็จพระพันปีหลวง")</f>
        <v>จับผ้าเนื่องในโอกาสถวายความอาลัยสมเด็จพระพันปีหลวง</v>
      </c>
      <c r="I212" s="3" t="str">
        <f>IFERROR(__xludf.DUMMYFUNCTION("""COMPUTED_VALUE"""),"รพ.สต.วังตะเคียน")</f>
        <v>รพ.สต.วังตะเคียน</v>
      </c>
      <c r="J212" s="12">
        <f>IFERROR(__xludf.DUMMYFUNCTION("""COMPUTED_VALUE"""),45965.0)</f>
        <v>45965</v>
      </c>
      <c r="K212" s="3" t="str">
        <f>IFERROR(__xludf.DUMMYFUNCTION("""COMPUTED_VALUE"""),"1400-1600")</f>
        <v>1400-1600</v>
      </c>
      <c r="L212" s="3">
        <f>IFERROR(__xludf.DUMMYFUNCTION("""COMPUTED_VALUE"""),2.0)</f>
        <v>2</v>
      </c>
      <c r="M212" s="3" t="str">
        <f>IFERROR(__xludf.DUMMYFUNCTION("""COMPUTED_VALUE"""),"น.ส.จิราวรรณ พิมพ์แก้ว")</f>
        <v>น.ส.จิราวรรณ พิมพ์แก้ว</v>
      </c>
      <c r="N212" s="14" t="str">
        <f>IFERROR(__xludf.DUMMYFUNCTION("""COMPUTED_VALUE"""),"https://lh5.googleusercontent.com/d/1y8TMuVn6_Fh4V4Jl2Tz9WVoD9TqUXXCz")</f>
        <v>https://lh5.googleusercontent.com/d/1y8TMuVn6_Fh4V4Jl2Tz9WVoD9TqUXXCz</v>
      </c>
      <c r="O212" s="14" t="str">
        <f>IFERROR(__xludf.DUMMYFUNCTION("""COMPUTED_VALUE"""),"https://drive.google.com/file/d/1fVNOcchTvrnmIl6x6ihqG1ocC1r11KeC/view?usp=drivesdk")</f>
        <v>https://drive.google.com/file/d/1fVNOcchTvrnmIl6x6ihqG1ocC1r11KeC/view?usp=drivesdk</v>
      </c>
    </row>
    <row r="213">
      <c r="A213" s="3">
        <f>IFERROR(__xludf.DUMMYFUNCTION("""COMPUTED_VALUE"""),1140.0)</f>
        <v>1140</v>
      </c>
      <c r="B213" s="11">
        <f>IFERROR(__xludf.DUMMYFUNCTION("""COMPUTED_VALUE"""),45994.439928888896)</f>
        <v>45994.43993</v>
      </c>
      <c r="C213" s="3" t="str">
        <f>IFERROR(__xludf.DUMMYFUNCTION("""COMPUTED_VALUE"""),"ชั้นปีที่ 4")</f>
        <v>ชั้นปีที่ 4</v>
      </c>
      <c r="D213" s="3" t="str">
        <f>IFERROR(__xludf.DUMMYFUNCTION("""COMPUTED_VALUE"""),"6503700")</f>
        <v>6503700</v>
      </c>
      <c r="E213" s="3" t="str">
        <f>IFERROR(__xludf.DUMMYFUNCTION("""COMPUTED_VALUE"""),"11")</f>
        <v>11</v>
      </c>
      <c r="F213" s="3" t="str">
        <f>IFERROR(__xludf.DUMMYFUNCTION("""COMPUTED_VALUE"""),"นพอ.ฉายแสง สมหวัง")</f>
        <v>นพอ.ฉายแสง สมหวัง</v>
      </c>
      <c r="G21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3" s="3" t="str">
        <f>IFERROR(__xludf.DUMMYFUNCTION("""COMPUTED_VALUE"""),"จับผ้าถวายความอาลัยสมเด็จพระพันปีหลวง")</f>
        <v>จับผ้าถวายความอาลัยสมเด็จพระพันปีหลวง</v>
      </c>
      <c r="I213" s="3" t="str">
        <f>IFERROR(__xludf.DUMMYFUNCTION("""COMPUTED_VALUE"""),"รพ.สต.วังตะเคียน")</f>
        <v>รพ.สต.วังตะเคียน</v>
      </c>
      <c r="J213" s="12">
        <f>IFERROR(__xludf.DUMMYFUNCTION("""COMPUTED_VALUE"""),45966.0)</f>
        <v>45966</v>
      </c>
      <c r="K213" s="3" t="str">
        <f>IFERROR(__xludf.DUMMYFUNCTION("""COMPUTED_VALUE"""),"1400-1600")</f>
        <v>1400-1600</v>
      </c>
      <c r="L213" s="3">
        <f>IFERROR(__xludf.DUMMYFUNCTION("""COMPUTED_VALUE"""),2.0)</f>
        <v>2</v>
      </c>
      <c r="M213" s="3" t="str">
        <f>IFERROR(__xludf.DUMMYFUNCTION("""COMPUTED_VALUE"""),"น.ส.จิราวรรณ พิมพ์แก้ว")</f>
        <v>น.ส.จิราวรรณ พิมพ์แก้ว</v>
      </c>
      <c r="N213" s="14" t="str">
        <f>IFERROR(__xludf.DUMMYFUNCTION("""COMPUTED_VALUE"""),"https://lh5.googleusercontent.com/d/1EV_WPzyReNI6CIv5nVEinutHiXTqOOHP")</f>
        <v>https://lh5.googleusercontent.com/d/1EV_WPzyReNI6CIv5nVEinutHiXTqOOHP</v>
      </c>
      <c r="O213" s="14" t="str">
        <f>IFERROR(__xludf.DUMMYFUNCTION("""COMPUTED_VALUE"""),"https://drive.google.com/file/d/1q-trBdjPlvTdWPhkhUz9SmGbWrHeCg-w/view?usp=drivesdk")</f>
        <v>https://drive.google.com/file/d/1q-trBdjPlvTdWPhkhUz9SmGbWrHeCg-w/view?usp=drivesdk</v>
      </c>
    </row>
    <row r="214">
      <c r="A214" s="3">
        <f>IFERROR(__xludf.DUMMYFUNCTION("""COMPUTED_VALUE"""),1141.0)</f>
        <v>1141</v>
      </c>
      <c r="B214" s="11">
        <f>IFERROR(__xludf.DUMMYFUNCTION("""COMPUTED_VALUE"""),45994.441712025466)</f>
        <v>45994.44171</v>
      </c>
      <c r="C214" s="3" t="str">
        <f>IFERROR(__xludf.DUMMYFUNCTION("""COMPUTED_VALUE"""),"ชั้นปีที่ 4")</f>
        <v>ชั้นปีที่ 4</v>
      </c>
      <c r="D214" s="3" t="str">
        <f>IFERROR(__xludf.DUMMYFUNCTION("""COMPUTED_VALUE"""),"6503700")</f>
        <v>6503700</v>
      </c>
      <c r="E214" s="3" t="str">
        <f>IFERROR(__xludf.DUMMYFUNCTION("""COMPUTED_VALUE"""),"11")</f>
        <v>11</v>
      </c>
      <c r="F214" s="3" t="str">
        <f>IFERROR(__xludf.DUMMYFUNCTION("""COMPUTED_VALUE"""),"นพอ.ฉายแสง สมหวัง")</f>
        <v>นพอ.ฉายแสง สมหวัง</v>
      </c>
      <c r="G214" s="3" t="str">
        <f>IFERROR(__xludf.DUMMYFUNCTION("""COMPUTED_VALUE"""),"ทำนุบำรุงศาสนสถาน")</f>
        <v>ทำนุบำรุงศาสนสถาน</v>
      </c>
      <c r="H214" s="3" t="str">
        <f>IFERROR(__xludf.DUMMYFUNCTION("""COMPUTED_VALUE"""),"จัดสถานที่และเก็บของช่วยวัด")</f>
        <v>จัดสถานที่และเก็บของช่วยวัด</v>
      </c>
      <c r="I214" s="3" t="str">
        <f>IFERROR(__xludf.DUMMYFUNCTION("""COMPUTED_VALUE"""),"วัดแพรกวังตะเคียน")</f>
        <v>วัดแพรกวังตะเคียน</v>
      </c>
      <c r="J214" s="12">
        <f>IFERROR(__xludf.DUMMYFUNCTION("""COMPUTED_VALUE"""),45949.0)</f>
        <v>45949</v>
      </c>
      <c r="K214" s="3" t="str">
        <f>IFERROR(__xludf.DUMMYFUNCTION("""COMPUTED_VALUE"""),"0800-1200")</f>
        <v>0800-1200</v>
      </c>
      <c r="L214" s="3">
        <f>IFERROR(__xludf.DUMMYFUNCTION("""COMPUTED_VALUE"""),4.0)</f>
        <v>4</v>
      </c>
      <c r="M214" s="3" t="str">
        <f>IFERROR(__xludf.DUMMYFUNCTION("""COMPUTED_VALUE"""),"นายธนู เล็กชะอุ่ม")</f>
        <v>นายธนู เล็กชะอุ่ม</v>
      </c>
      <c r="N214" s="14" t="str">
        <f>IFERROR(__xludf.DUMMYFUNCTION("""COMPUTED_VALUE"""),"https://lh5.googleusercontent.com/d/1rzKUPHfe1F46Q6EAzt8M3o1oLSfaC55x")</f>
        <v>https://lh5.googleusercontent.com/d/1rzKUPHfe1F46Q6EAzt8M3o1oLSfaC55x</v>
      </c>
      <c r="O214" s="14" t="str">
        <f>IFERROR(__xludf.DUMMYFUNCTION("""COMPUTED_VALUE"""),"https://drive.google.com/file/d/12uXXOmjV3LgSrtssk01b5mhSynUsaSVX/view?usp=drivesdk")</f>
        <v>https://drive.google.com/file/d/12uXXOmjV3LgSrtssk01b5mhSynUsaSVX/view?usp=drivesdk</v>
      </c>
    </row>
    <row r="215">
      <c r="A215" s="3">
        <f>IFERROR(__xludf.DUMMYFUNCTION("""COMPUTED_VALUE"""),1143.0)</f>
        <v>1143</v>
      </c>
      <c r="B215" s="11">
        <f>IFERROR(__xludf.DUMMYFUNCTION("""COMPUTED_VALUE"""),45994.44359616898)</f>
        <v>45994.4436</v>
      </c>
      <c r="C215" s="3" t="str">
        <f>IFERROR(__xludf.DUMMYFUNCTION("""COMPUTED_VALUE"""),"ชั้นปีที่ 4")</f>
        <v>ชั้นปีที่ 4</v>
      </c>
      <c r="D215" s="3" t="str">
        <f>IFERROR(__xludf.DUMMYFUNCTION("""COMPUTED_VALUE"""),"6503700")</f>
        <v>6503700</v>
      </c>
      <c r="E215" s="3" t="str">
        <f>IFERROR(__xludf.DUMMYFUNCTION("""COMPUTED_VALUE"""),"11")</f>
        <v>11</v>
      </c>
      <c r="F215" s="3" t="str">
        <f>IFERROR(__xludf.DUMMYFUNCTION("""COMPUTED_VALUE"""),"นพอ.ฉายแสง สมหวัง")</f>
        <v>นพอ.ฉายแสง สมหวัง</v>
      </c>
      <c r="G215" s="3" t="str">
        <f>IFERROR(__xludf.DUMMYFUNCTION("""COMPUTED_VALUE"""),"งานฟรีทั่วไป")</f>
        <v>งานฟรีทั่วไป</v>
      </c>
      <c r="H215" s="3" t="str">
        <f>IFERROR(__xludf.DUMMYFUNCTION("""COMPUTED_VALUE"""),"ช่วยขูดมะละกอทำโรงทาน")</f>
        <v>ช่วยขูดมะละกอทำโรงทาน</v>
      </c>
      <c r="I215" s="3" t="str">
        <f>IFERROR(__xludf.DUMMYFUNCTION("""COMPUTED_VALUE"""),"บ้านแพรกวังตะเคียน")</f>
        <v>บ้านแพรกวังตะเคียน</v>
      </c>
      <c r="J215" s="12">
        <f>IFERROR(__xludf.DUMMYFUNCTION("""COMPUTED_VALUE"""),45948.0)</f>
        <v>45948</v>
      </c>
      <c r="K215" s="3" t="str">
        <f>IFERROR(__xludf.DUMMYFUNCTION("""COMPUTED_VALUE"""),"0800-1200")</f>
        <v>0800-1200</v>
      </c>
      <c r="L215" s="3">
        <f>IFERROR(__xludf.DUMMYFUNCTION("""COMPUTED_VALUE"""),4.0)</f>
        <v>4</v>
      </c>
      <c r="M215" s="3" t="str">
        <f>IFERROR(__xludf.DUMMYFUNCTION("""COMPUTED_VALUE"""),"น.ส.จารุภรณ์ พินิจนอก")</f>
        <v>น.ส.จารุภรณ์ พินิจนอก</v>
      </c>
      <c r="N215" s="14" t="str">
        <f>IFERROR(__xludf.DUMMYFUNCTION("""COMPUTED_VALUE"""),"https://lh5.googleusercontent.com/d/1GbdSD_wF2vyVzleLm9xjjjoP7De37Aah")</f>
        <v>https://lh5.googleusercontent.com/d/1GbdSD_wF2vyVzleLm9xjjjoP7De37Aah</v>
      </c>
      <c r="O215" s="14" t="str">
        <f>IFERROR(__xludf.DUMMYFUNCTION("""COMPUTED_VALUE"""),"https://drive.google.com/file/d/1D-DGgZ5ALTrNJod49bWmmZXzxsF3T6nv/view?usp=drivesdk")</f>
        <v>https://drive.google.com/file/d/1D-DGgZ5ALTrNJod49bWmmZXzxsF3T6nv/view?usp=drivesdk</v>
      </c>
    </row>
    <row r="216">
      <c r="A216" s="3">
        <f>IFERROR(__xludf.DUMMYFUNCTION("""COMPUTED_VALUE"""),1144.0)</f>
        <v>1144</v>
      </c>
      <c r="B216" s="11">
        <f>IFERROR(__xludf.DUMMYFUNCTION("""COMPUTED_VALUE"""),45994.44556920139)</f>
        <v>45994.44557</v>
      </c>
      <c r="C216" s="3" t="str">
        <f>IFERROR(__xludf.DUMMYFUNCTION("""COMPUTED_VALUE"""),"ชั้นปีที่ 4")</f>
        <v>ชั้นปีที่ 4</v>
      </c>
      <c r="D216" s="3" t="str">
        <f>IFERROR(__xludf.DUMMYFUNCTION("""COMPUTED_VALUE"""),"6503700")</f>
        <v>6503700</v>
      </c>
      <c r="E216" s="3" t="str">
        <f>IFERROR(__xludf.DUMMYFUNCTION("""COMPUTED_VALUE"""),"11")</f>
        <v>11</v>
      </c>
      <c r="F216" s="3" t="str">
        <f>IFERROR(__xludf.DUMMYFUNCTION("""COMPUTED_VALUE"""),"นพอ.ฉายแสง สมหวัง")</f>
        <v>นพอ.ฉายแสง สมหวัง</v>
      </c>
      <c r="G21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6" s="3" t="str">
        <f>IFERROR(__xludf.DUMMYFUNCTION("""COMPUTED_VALUE"""),"จัดสวนรพ.สต.")</f>
        <v>จัดสวนรพ.สต.</v>
      </c>
      <c r="I216" s="3" t="str">
        <f>IFERROR(__xludf.DUMMYFUNCTION("""COMPUTED_VALUE"""),"รพ.สต.วังตะเคียน")</f>
        <v>รพ.สต.วังตะเคียน</v>
      </c>
      <c r="J216" s="12">
        <f>IFERROR(__xludf.DUMMYFUNCTION("""COMPUTED_VALUE"""),45970.0)</f>
        <v>45970</v>
      </c>
      <c r="K216" s="3" t="str">
        <f>IFERROR(__xludf.DUMMYFUNCTION("""COMPUTED_VALUE"""),"1200-1600")</f>
        <v>1200-1600</v>
      </c>
      <c r="L216" s="3">
        <f>IFERROR(__xludf.DUMMYFUNCTION("""COMPUTED_VALUE"""),4.0)</f>
        <v>4</v>
      </c>
      <c r="M216" s="3" t="str">
        <f>IFERROR(__xludf.DUMMYFUNCTION("""COMPUTED_VALUE"""),"น.ส.นุศรา เนียมสูงเนิน")</f>
        <v>น.ส.นุศรา เนียมสูงเนิน</v>
      </c>
      <c r="N216" s="14" t="str">
        <f>IFERROR(__xludf.DUMMYFUNCTION("""COMPUTED_VALUE"""),"https://lh5.googleusercontent.com/d/1eocvNaxhTB9oQbrvzqbeWPVUE0fVRjdc")</f>
        <v>https://lh5.googleusercontent.com/d/1eocvNaxhTB9oQbrvzqbeWPVUE0fVRjdc</v>
      </c>
      <c r="O216" s="14" t="str">
        <f>IFERROR(__xludf.DUMMYFUNCTION("""COMPUTED_VALUE"""),"https://drive.google.com/file/d/1d8jQUMsDuM2qLMm7uRjrP2s1AMBkTBxO/view?usp=drivesdk")</f>
        <v>https://drive.google.com/file/d/1d8jQUMsDuM2qLMm7uRjrP2s1AMBkTBxO/view?usp=drivesdk</v>
      </c>
    </row>
    <row r="217">
      <c r="A217" s="3">
        <f>IFERROR(__xludf.DUMMYFUNCTION("""COMPUTED_VALUE"""),1146.0)</f>
        <v>1146</v>
      </c>
      <c r="B217" s="11">
        <f>IFERROR(__xludf.DUMMYFUNCTION("""COMPUTED_VALUE"""),45994.44979912037)</f>
        <v>45994.4498</v>
      </c>
      <c r="C217" s="3" t="str">
        <f>IFERROR(__xludf.DUMMYFUNCTION("""COMPUTED_VALUE"""),"ชั้นปีที่ 4")</f>
        <v>ชั้นปีที่ 4</v>
      </c>
      <c r="D217" s="3" t="str">
        <f>IFERROR(__xludf.DUMMYFUNCTION("""COMPUTED_VALUE"""),"6503700")</f>
        <v>6503700</v>
      </c>
      <c r="E217" s="3" t="str">
        <f>IFERROR(__xludf.DUMMYFUNCTION("""COMPUTED_VALUE"""),"11")</f>
        <v>11</v>
      </c>
      <c r="F217" s="3" t="str">
        <f>IFERROR(__xludf.DUMMYFUNCTION("""COMPUTED_VALUE"""),"นพอ.ฉายแสง สมหวัง")</f>
        <v>นพอ.ฉายแสง สมหวัง</v>
      </c>
      <c r="G2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7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17" s="3" t="str">
        <f>IFERROR(__xludf.DUMMYFUNCTION("""COMPUTED_VALUE"""),"สโมสรทหารอากาศชั้นประทวน")</f>
        <v>สโมสรทหารอากาศชั้นประทวน</v>
      </c>
      <c r="J217" s="12">
        <f>IFERROR(__xludf.DUMMYFUNCTION("""COMPUTED_VALUE"""),45854.0)</f>
        <v>45854</v>
      </c>
      <c r="K217" s="3" t="str">
        <f>IFERROR(__xludf.DUMMYFUNCTION("""COMPUTED_VALUE"""),"0700-1300")</f>
        <v>0700-1300</v>
      </c>
      <c r="L217" s="3">
        <f>IFERROR(__xludf.DUMMYFUNCTION("""COMPUTED_VALUE"""),6.0)</f>
        <v>6</v>
      </c>
      <c r="M217" s="3" t="str">
        <f>IFERROR(__xludf.DUMMYFUNCTION("""COMPUTED_VALUE"""),"น.ต.หญิง ตวงทิพย์ ลดาวัลย์")</f>
        <v>น.ต.หญิง ตวงทิพย์ ลดาวัลย์</v>
      </c>
      <c r="N217" s="14" t="str">
        <f>IFERROR(__xludf.DUMMYFUNCTION("""COMPUTED_VALUE"""),"https://lh5.googleusercontent.com/d/1_4m-JBk_r4ErZ1xE_pYQoMhWtKjzeDs1")</f>
        <v>https://lh5.googleusercontent.com/d/1_4m-JBk_r4ErZ1xE_pYQoMhWtKjzeDs1</v>
      </c>
      <c r="O217" s="14" t="str">
        <f>IFERROR(__xludf.DUMMYFUNCTION("""COMPUTED_VALUE"""),"https://drive.google.com/file/d/1P25g1ugrx5AI0XAGS1kefOYkEpFxyhn9/view?usp=drivesdk")</f>
        <v>https://drive.google.com/file/d/1P25g1ugrx5AI0XAGS1kefOYkEpFxyhn9/view?usp=drivesdk</v>
      </c>
    </row>
    <row r="218">
      <c r="A218" s="3">
        <f>IFERROR(__xludf.DUMMYFUNCTION("""COMPUTED_VALUE"""),1147.0)</f>
        <v>1147</v>
      </c>
      <c r="B218" s="11">
        <f>IFERROR(__xludf.DUMMYFUNCTION("""COMPUTED_VALUE"""),45994.54348891204)</f>
        <v>45994.54349</v>
      </c>
      <c r="C218" s="3" t="str">
        <f>IFERROR(__xludf.DUMMYFUNCTION("""COMPUTED_VALUE"""),"ชั้นปีที่ 4")</f>
        <v>ชั้นปีที่ 4</v>
      </c>
      <c r="D218" s="3" t="str">
        <f>IFERROR(__xludf.DUMMYFUNCTION("""COMPUTED_VALUE"""),"6503730")</f>
        <v>6503730</v>
      </c>
      <c r="E218" s="3" t="str">
        <f>IFERROR(__xludf.DUMMYFUNCTION("""COMPUTED_VALUE"""),"40")</f>
        <v>40</v>
      </c>
      <c r="F218" s="3" t="str">
        <f>IFERROR(__xludf.DUMMYFUNCTION("""COMPUTED_VALUE"""),"นพอ.พันธ์ทิพย์ แก้วดอนโมง")</f>
        <v>นพอ.พันธ์ทิพย์ แก้วดอนโมง</v>
      </c>
      <c r="G21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8" s="3" t="str">
        <f>IFERROR(__xludf.DUMMYFUNCTION("""COMPUTED_VALUE"""),"จับผ้าเนื่องในโอกาศถวายความอาลัยสมเด็จพระพันปีหลวง")</f>
        <v>จับผ้าเนื่องในโอกาศถวายความอาลัยสมเด็จพระพันปีหลวง</v>
      </c>
      <c r="I218" s="3" t="str">
        <f>IFERROR(__xludf.DUMMYFUNCTION("""COMPUTED_VALUE"""),"รพ.สต.วังตะเคียน")</f>
        <v>รพ.สต.วังตะเคียน</v>
      </c>
      <c r="J218" s="12">
        <f>IFERROR(__xludf.DUMMYFUNCTION("""COMPUTED_VALUE"""),45965.0)</f>
        <v>45965</v>
      </c>
      <c r="K218" s="3" t="str">
        <f>IFERROR(__xludf.DUMMYFUNCTION("""COMPUTED_VALUE"""),"1500-1700")</f>
        <v>1500-1700</v>
      </c>
      <c r="L218" s="3">
        <f>IFERROR(__xludf.DUMMYFUNCTION("""COMPUTED_VALUE"""),2.0)</f>
        <v>2</v>
      </c>
      <c r="M218" s="3" t="str">
        <f>IFERROR(__xludf.DUMMYFUNCTION("""COMPUTED_VALUE"""),"น.ส.จิรวรรณ พิมพ์แก้ว")</f>
        <v>น.ส.จิรวรรณ พิมพ์แก้ว</v>
      </c>
      <c r="N218" s="14" t="str">
        <f>IFERROR(__xludf.DUMMYFUNCTION("""COMPUTED_VALUE"""),"https://lh5.googleusercontent.com/d/1Gj6MgHoZorXpaaZZf_XAtDAOKWeB5Df1")</f>
        <v>https://lh5.googleusercontent.com/d/1Gj6MgHoZorXpaaZZf_XAtDAOKWeB5Df1</v>
      </c>
      <c r="O218" s="14" t="str">
        <f>IFERROR(__xludf.DUMMYFUNCTION("""COMPUTED_VALUE"""),"https://drive.google.com/file/d/1Qd8weISwgwf2vXty5xq1RGEuwZ4VHMde/view?usp=drivesdk")</f>
        <v>https://drive.google.com/file/d/1Qd8weISwgwf2vXty5xq1RGEuwZ4VHMde/view?usp=drivesdk</v>
      </c>
    </row>
    <row r="219">
      <c r="A219" s="3">
        <f>IFERROR(__xludf.DUMMYFUNCTION("""COMPUTED_VALUE"""),1148.0)</f>
        <v>1148</v>
      </c>
      <c r="B219" s="11">
        <f>IFERROR(__xludf.DUMMYFUNCTION("""COMPUTED_VALUE"""),45994.546493946764)</f>
        <v>45994.54649</v>
      </c>
      <c r="C219" s="3" t="str">
        <f>IFERROR(__xludf.DUMMYFUNCTION("""COMPUTED_VALUE"""),"ชั้นปีที่ 4")</f>
        <v>ชั้นปีที่ 4</v>
      </c>
      <c r="D219" s="3" t="str">
        <f>IFERROR(__xludf.DUMMYFUNCTION("""COMPUTED_VALUE"""),"6503730")</f>
        <v>6503730</v>
      </c>
      <c r="E219" s="3" t="str">
        <f>IFERROR(__xludf.DUMMYFUNCTION("""COMPUTED_VALUE"""),"40")</f>
        <v>40</v>
      </c>
      <c r="F219" s="3" t="str">
        <f>IFERROR(__xludf.DUMMYFUNCTION("""COMPUTED_VALUE"""),"นพอ.พันธ์ทิพย์ แก้วดอนโมง")</f>
        <v>นพอ.พันธ์ทิพย์ แก้วดอนโมง</v>
      </c>
      <c r="G21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9" s="3" t="str">
        <f>IFERROR(__xludf.DUMMYFUNCTION("""COMPUTED_VALUE"""),"จับผ้าเนื่องในโอกาศถวายความอาลัยสมเด็จพระพันปีหลวง")</f>
        <v>จับผ้าเนื่องในโอกาศถวายความอาลัยสมเด็จพระพันปีหลวง</v>
      </c>
      <c r="I219" s="3" t="str">
        <f>IFERROR(__xludf.DUMMYFUNCTION("""COMPUTED_VALUE"""),"รพ.สต.วังตะเคียน")</f>
        <v>รพ.สต.วังตะเคียน</v>
      </c>
      <c r="J219" s="12">
        <f>IFERROR(__xludf.DUMMYFUNCTION("""COMPUTED_VALUE"""),45966.0)</f>
        <v>45966</v>
      </c>
      <c r="K219" s="3" t="str">
        <f>IFERROR(__xludf.DUMMYFUNCTION("""COMPUTED_VALUE"""),"1500-1700")</f>
        <v>1500-1700</v>
      </c>
      <c r="L219" s="3">
        <f>IFERROR(__xludf.DUMMYFUNCTION("""COMPUTED_VALUE"""),2.0)</f>
        <v>2</v>
      </c>
      <c r="M219" s="3" t="str">
        <f>IFERROR(__xludf.DUMMYFUNCTION("""COMPUTED_VALUE"""),"น.ส.จิรวรรณ พิมพ์แก้ว ")</f>
        <v>น.ส.จิรวรรณ พิมพ์แก้ว </v>
      </c>
      <c r="N219" s="14" t="str">
        <f>IFERROR(__xludf.DUMMYFUNCTION("""COMPUTED_VALUE"""),"https://lh5.googleusercontent.com/d/1_o-3q3YP3X3TLMVv-r_uXyWB6hw0iBKW")</f>
        <v>https://lh5.googleusercontent.com/d/1_o-3q3YP3X3TLMVv-r_uXyWB6hw0iBKW</v>
      </c>
      <c r="O219" s="14" t="str">
        <f>IFERROR(__xludf.DUMMYFUNCTION("""COMPUTED_VALUE"""),"https://drive.google.com/file/d/1KCzz5WiddY9KKXVA3eIuRhY9sTvfb-l_/view?usp=drivesdk")</f>
        <v>https://drive.google.com/file/d/1KCzz5WiddY9KKXVA3eIuRhY9sTvfb-l_/view?usp=drivesdk</v>
      </c>
    </row>
    <row r="220">
      <c r="A220" s="3">
        <f>IFERROR(__xludf.DUMMYFUNCTION("""COMPUTED_VALUE"""),1149.0)</f>
        <v>1149</v>
      </c>
      <c r="B220" s="11">
        <f>IFERROR(__xludf.DUMMYFUNCTION("""COMPUTED_VALUE"""),45994.55068251157)</f>
        <v>45994.55068</v>
      </c>
      <c r="C220" s="3" t="str">
        <f>IFERROR(__xludf.DUMMYFUNCTION("""COMPUTED_VALUE"""),"ชั้นปีที่ 4")</f>
        <v>ชั้นปีที่ 4</v>
      </c>
      <c r="D220" s="3" t="str">
        <f>IFERROR(__xludf.DUMMYFUNCTION("""COMPUTED_VALUE"""),"6503730")</f>
        <v>6503730</v>
      </c>
      <c r="E220" s="3" t="str">
        <f>IFERROR(__xludf.DUMMYFUNCTION("""COMPUTED_VALUE"""),"40")</f>
        <v>40</v>
      </c>
      <c r="F220" s="3" t="str">
        <f>IFERROR(__xludf.DUMMYFUNCTION("""COMPUTED_VALUE"""),"นพอ.พันธ์ทิพย์ แก้วดอนโมง")</f>
        <v>นพอ.พันธ์ทิพย์ แก้วดอนโมง</v>
      </c>
      <c r="G220" s="3" t="str">
        <f>IFERROR(__xludf.DUMMYFUNCTION("""COMPUTED_VALUE"""),"ทำนุบำรุงศาสนสถาน")</f>
        <v>ทำนุบำรุงศาสนสถาน</v>
      </c>
      <c r="H220" s="3" t="str">
        <f>IFERROR(__xludf.DUMMYFUNCTION("""COMPUTED_VALUE"""),"จัดและเก็บสถานที่ช่วยที่วัด")</f>
        <v>จัดและเก็บสถานที่ช่วยที่วัด</v>
      </c>
      <c r="I220" s="3" t="str">
        <f>IFERROR(__xludf.DUMMYFUNCTION("""COMPUTED_VALUE"""),"วัดแพรกวังตะเคียน")</f>
        <v>วัดแพรกวังตะเคียน</v>
      </c>
      <c r="J220" s="12">
        <f>IFERROR(__xludf.DUMMYFUNCTION("""COMPUTED_VALUE"""),45949.0)</f>
        <v>45949</v>
      </c>
      <c r="K220" s="3" t="str">
        <f>IFERROR(__xludf.DUMMYFUNCTION("""COMPUTED_VALUE"""),"1300-1600")</f>
        <v>1300-1600</v>
      </c>
      <c r="L220" s="3">
        <f>IFERROR(__xludf.DUMMYFUNCTION("""COMPUTED_VALUE"""),4.0)</f>
        <v>4</v>
      </c>
      <c r="M220" s="3" t="str">
        <f>IFERROR(__xludf.DUMMYFUNCTION("""COMPUTED_VALUE"""),"นายธนู เล็กชะอุ่ม ")</f>
        <v>นายธนู เล็กชะอุ่ม </v>
      </c>
      <c r="N220" s="14" t="str">
        <f>IFERROR(__xludf.DUMMYFUNCTION("""COMPUTED_VALUE"""),"https://lh5.googleusercontent.com/d/1xVxQ8lk3phtqjSrj7CuCQ4uU5dj8iCey")</f>
        <v>https://lh5.googleusercontent.com/d/1xVxQ8lk3phtqjSrj7CuCQ4uU5dj8iCey</v>
      </c>
      <c r="O220" s="14" t="str">
        <f>IFERROR(__xludf.DUMMYFUNCTION("""COMPUTED_VALUE"""),"https://drive.google.com/file/d/1rb4MWMj-Gzm2bAqYnAVfHWzFrfMTfAny/view?usp=drivesdk")</f>
        <v>https://drive.google.com/file/d/1rb4MWMj-Gzm2bAqYnAVfHWzFrfMTfAny/view?usp=drivesdk</v>
      </c>
    </row>
    <row r="221">
      <c r="A221" s="3">
        <f>IFERROR(__xludf.DUMMYFUNCTION("""COMPUTED_VALUE"""),1150.0)</f>
        <v>1150</v>
      </c>
      <c r="B221" s="11">
        <f>IFERROR(__xludf.DUMMYFUNCTION("""COMPUTED_VALUE"""),45994.55467337962)</f>
        <v>45994.55467</v>
      </c>
      <c r="C221" s="3" t="str">
        <f>IFERROR(__xludf.DUMMYFUNCTION("""COMPUTED_VALUE"""),"ชั้นปีที่ 4")</f>
        <v>ชั้นปีที่ 4</v>
      </c>
      <c r="D221" s="3" t="str">
        <f>IFERROR(__xludf.DUMMYFUNCTION("""COMPUTED_VALUE"""),"6503730")</f>
        <v>6503730</v>
      </c>
      <c r="E221" s="3" t="str">
        <f>IFERROR(__xludf.DUMMYFUNCTION("""COMPUTED_VALUE"""),"40")</f>
        <v>40</v>
      </c>
      <c r="F221" s="3" t="str">
        <f>IFERROR(__xludf.DUMMYFUNCTION("""COMPUTED_VALUE"""),"นพอ.พันธ์ทิพย์ แก้วดอนโมง")</f>
        <v>นพอ.พันธ์ทิพย์ แก้วดอนโมง</v>
      </c>
      <c r="G221" s="3" t="str">
        <f>IFERROR(__xludf.DUMMYFUNCTION("""COMPUTED_VALUE"""),"งานฟรีทั่วไป")</f>
        <v>งานฟรีทั่วไป</v>
      </c>
      <c r="H221" s="3" t="str">
        <f>IFERROR(__xludf.DUMMYFUNCTION("""COMPUTED_VALUE"""),"เตรียมช่วยงานที่จะทำโรงทานในหมู่บ้าน")</f>
        <v>เตรียมช่วยงานที่จะทำโรงทานในหมู่บ้าน</v>
      </c>
      <c r="I221" s="3" t="str">
        <f>IFERROR(__xludf.DUMMYFUNCTION("""COMPUTED_VALUE"""),"บ้านแพรกวังตะเคียน")</f>
        <v>บ้านแพรกวังตะเคียน</v>
      </c>
      <c r="J221" s="12">
        <f>IFERROR(__xludf.DUMMYFUNCTION("""COMPUTED_VALUE"""),45948.0)</f>
        <v>45948</v>
      </c>
      <c r="K221" s="3" t="str">
        <f>IFERROR(__xludf.DUMMYFUNCTION("""COMPUTED_VALUE"""),"1300-1600")</f>
        <v>1300-1600</v>
      </c>
      <c r="L221" s="3">
        <f>IFERROR(__xludf.DUMMYFUNCTION("""COMPUTED_VALUE"""),4.0)</f>
        <v>4</v>
      </c>
      <c r="M221" s="3" t="str">
        <f>IFERROR(__xludf.DUMMYFUNCTION("""COMPUTED_VALUE"""),"น.ส.จารุภรณ์ พินิจนอก")</f>
        <v>น.ส.จารุภรณ์ พินิจนอก</v>
      </c>
      <c r="N221" s="14" t="str">
        <f>IFERROR(__xludf.DUMMYFUNCTION("""COMPUTED_VALUE"""),"https://lh5.googleusercontent.com/d/1DhciN0wK1U4SI2CNAvsEIx6Cnl2OOX0R")</f>
        <v>https://lh5.googleusercontent.com/d/1DhciN0wK1U4SI2CNAvsEIx6Cnl2OOX0R</v>
      </c>
      <c r="O221" s="14" t="str">
        <f>IFERROR(__xludf.DUMMYFUNCTION("""COMPUTED_VALUE"""),"https://drive.google.com/file/d/1P4GVn0mLgYehZM0m-Xrl2yTP-2B3GXSp/view?usp=drivesdk")</f>
        <v>https://drive.google.com/file/d/1P4GVn0mLgYehZM0m-Xrl2yTP-2B3GXSp/view?usp=drivesdk</v>
      </c>
    </row>
    <row r="222">
      <c r="A222" s="3">
        <f>IFERROR(__xludf.DUMMYFUNCTION("""COMPUTED_VALUE"""),1151.0)</f>
        <v>1151</v>
      </c>
      <c r="B222" s="11">
        <f>IFERROR(__xludf.DUMMYFUNCTION("""COMPUTED_VALUE"""),45994.56074025463)</f>
        <v>45994.56074</v>
      </c>
      <c r="C222" s="3" t="str">
        <f>IFERROR(__xludf.DUMMYFUNCTION("""COMPUTED_VALUE"""),"ชั้นปีที่ 4")</f>
        <v>ชั้นปีที่ 4</v>
      </c>
      <c r="D222" s="3" t="str">
        <f>IFERROR(__xludf.DUMMYFUNCTION("""COMPUTED_VALUE"""),"6503730")</f>
        <v>6503730</v>
      </c>
      <c r="E222" s="3" t="str">
        <f>IFERROR(__xludf.DUMMYFUNCTION("""COMPUTED_VALUE"""),"40")</f>
        <v>40</v>
      </c>
      <c r="F222" s="3" t="str">
        <f>IFERROR(__xludf.DUMMYFUNCTION("""COMPUTED_VALUE"""),"นพอ.พันธ์ทิพย์ แก้วดอนโมง")</f>
        <v>นพอ.พันธ์ทิพย์ แก้วดอนโมง</v>
      </c>
      <c r="G222" s="3" t="str">
        <f>IFERROR(__xludf.DUMMYFUNCTION("""COMPUTED_VALUE"""),"งานฟรีทั่วไป")</f>
        <v>งานฟรีทั่วไป</v>
      </c>
      <c r="H222" s="3" t="str">
        <f>IFERROR(__xludf.DUMMYFUNCTION("""COMPUTED_VALUE"""),"จัดสวน")</f>
        <v>จัดสวน</v>
      </c>
      <c r="I222" s="3" t="str">
        <f>IFERROR(__xludf.DUMMYFUNCTION("""COMPUTED_VALUE"""),"รพ.สต.วังตะเคียน")</f>
        <v>รพ.สต.วังตะเคียน</v>
      </c>
      <c r="J222" s="12">
        <f>IFERROR(__xludf.DUMMYFUNCTION("""COMPUTED_VALUE"""),45970.0)</f>
        <v>45970</v>
      </c>
      <c r="K222" s="3" t="str">
        <f>IFERROR(__xludf.DUMMYFUNCTION("""COMPUTED_VALUE"""),"1300-1600")</f>
        <v>1300-1600</v>
      </c>
      <c r="L222" s="3">
        <f>IFERROR(__xludf.DUMMYFUNCTION("""COMPUTED_VALUE"""),4.0)</f>
        <v>4</v>
      </c>
      <c r="M222" s="3" t="str">
        <f>IFERROR(__xludf.DUMMYFUNCTION("""COMPUTED_VALUE"""),"น.ส.นุศรา เนียมสูงเนิน")</f>
        <v>น.ส.นุศรา เนียมสูงเนิน</v>
      </c>
      <c r="N222" s="14" t="str">
        <f>IFERROR(__xludf.DUMMYFUNCTION("""COMPUTED_VALUE"""),"https://lh5.googleusercontent.com/d/1CjfYm-4aO8i0PIjTRBoNy7v6SL7vbBo9")</f>
        <v>https://lh5.googleusercontent.com/d/1CjfYm-4aO8i0PIjTRBoNy7v6SL7vbBo9</v>
      </c>
      <c r="O222" s="14" t="str">
        <f>IFERROR(__xludf.DUMMYFUNCTION("""COMPUTED_VALUE"""),"https://drive.google.com/file/d/1NR98Q7FkpXK68z-Q5mYrNFFwxxpzVZdC/view?usp=drivesdk")</f>
        <v>https://drive.google.com/file/d/1NR98Q7FkpXK68z-Q5mYrNFFwxxpzVZdC/view?usp=drivesdk</v>
      </c>
    </row>
    <row r="223">
      <c r="A223" s="3">
        <f>IFERROR(__xludf.DUMMYFUNCTION("""COMPUTED_VALUE"""),1152.0)</f>
        <v>1152</v>
      </c>
      <c r="B223" s="11">
        <f>IFERROR(__xludf.DUMMYFUNCTION("""COMPUTED_VALUE"""),45994.57828321759)</f>
        <v>45994.57828</v>
      </c>
      <c r="C223" s="3" t="str">
        <f>IFERROR(__xludf.DUMMYFUNCTION("""COMPUTED_VALUE"""),"ชั้นปีที่ 4")</f>
        <v>ชั้นปีที่ 4</v>
      </c>
      <c r="D223" s="3" t="str">
        <f>IFERROR(__xludf.DUMMYFUNCTION("""COMPUTED_VALUE"""),"6503730")</f>
        <v>6503730</v>
      </c>
      <c r="E223" s="3" t="str">
        <f>IFERROR(__xludf.DUMMYFUNCTION("""COMPUTED_VALUE"""),"40")</f>
        <v>40</v>
      </c>
      <c r="F223" s="3" t="str">
        <f>IFERROR(__xludf.DUMMYFUNCTION("""COMPUTED_VALUE"""),"นพอ.พันธ์ทิพย์ แก้วดอนโมง")</f>
        <v>นพอ.พันธ์ทิพย์ แก้วดอนโมง</v>
      </c>
      <c r="G223" s="3" t="str">
        <f>IFERROR(__xludf.DUMMYFUNCTION("""COMPUTED_VALUE"""),"งานฟรีทั่วไป")</f>
        <v>งานฟรีทั่วไป</v>
      </c>
      <c r="H223" s="3" t="str">
        <f>IFERROR(__xludf.DUMMYFUNCTION("""COMPUTED_VALUE"""),"ร่วมงานกฐิน")</f>
        <v>ร่วมงานกฐิน</v>
      </c>
      <c r="I223" s="3" t="str">
        <f>IFERROR(__xludf.DUMMYFUNCTION("""COMPUTED_VALUE"""),"วัดแพรกวังตะเคียน")</f>
        <v>วัดแพรกวังตะเคียน</v>
      </c>
      <c r="J223" s="12">
        <f>IFERROR(__xludf.DUMMYFUNCTION("""COMPUTED_VALUE"""),45950.0)</f>
        <v>45950</v>
      </c>
      <c r="K223" s="3" t="str">
        <f>IFERROR(__xludf.DUMMYFUNCTION("""COMPUTED_VALUE"""),"0600-0900")</f>
        <v>0600-0900</v>
      </c>
      <c r="L223" s="3">
        <f>IFERROR(__xludf.DUMMYFUNCTION("""COMPUTED_VALUE"""),3.0)</f>
        <v>3</v>
      </c>
      <c r="M223" s="3" t="str">
        <f>IFERROR(__xludf.DUMMYFUNCTION("""COMPUTED_VALUE"""),"น.ส.จารุภรณ์ พินิจนอก ")</f>
        <v>น.ส.จารุภรณ์ พินิจนอก </v>
      </c>
      <c r="N223" s="14" t="str">
        <f>IFERROR(__xludf.DUMMYFUNCTION("""COMPUTED_VALUE"""),"https://lh5.googleusercontent.com/d/1c2Xk_NkQfBVQno_a4trTeEqBBj_4Ad6Y")</f>
        <v>https://lh5.googleusercontent.com/d/1c2Xk_NkQfBVQno_a4trTeEqBBj_4Ad6Y</v>
      </c>
      <c r="O223" s="14" t="str">
        <f>IFERROR(__xludf.DUMMYFUNCTION("""COMPUTED_VALUE"""),"https://drive.google.com/file/d/1uSSJIRSM8EfE1KoB8M2cmz7ZdHjcWd3w/view?usp=drivesdk")</f>
        <v>https://drive.google.com/file/d/1uSSJIRSM8EfE1KoB8M2cmz7ZdHjcWd3w/view?usp=drivesdk</v>
      </c>
    </row>
    <row r="224">
      <c r="A224" s="3">
        <f>IFERROR(__xludf.DUMMYFUNCTION("""COMPUTED_VALUE"""),1171.0)</f>
        <v>1171</v>
      </c>
      <c r="B224" s="11">
        <f>IFERROR(__xludf.DUMMYFUNCTION("""COMPUTED_VALUE"""),45995.32865930555)</f>
        <v>45995.32866</v>
      </c>
      <c r="C224" s="3" t="str">
        <f>IFERROR(__xludf.DUMMYFUNCTION("""COMPUTED_VALUE"""),"ชั้นปีที่ 4")</f>
        <v>ชั้นปีที่ 4</v>
      </c>
      <c r="D224" s="3" t="str">
        <f>IFERROR(__xludf.DUMMYFUNCTION("""COMPUTED_VALUE"""),"6503714")</f>
        <v>6503714</v>
      </c>
      <c r="E224" s="3" t="str">
        <f>IFERROR(__xludf.DUMMYFUNCTION("""COMPUTED_VALUE"""),"25")</f>
        <v>25</v>
      </c>
      <c r="F224" s="3" t="str">
        <f>IFERROR(__xludf.DUMMYFUNCTION("""COMPUTED_VALUE"""),"นพอ.ธนภา อมตวณิชกุล")</f>
        <v>นพอ.ธนภา อมตวณิชกุล</v>
      </c>
      <c r="G224" s="3" t="str">
        <f>IFERROR(__xludf.DUMMYFUNCTION("""COMPUTED_VALUE"""),"ทำนุบำรุงศาสนสถาน")</f>
        <v>ทำนุบำรุงศาสนสถาน</v>
      </c>
      <c r="H224" s="3" t="str">
        <f>IFERROR(__xludf.DUMMYFUNCTION("""COMPUTED_VALUE"""),"ช่วยโรงทานงานกฐิน")</f>
        <v>ช่วยโรงทานงานกฐิน</v>
      </c>
      <c r="I224" s="3" t="str">
        <f>IFERROR(__xludf.DUMMYFUNCTION("""COMPUTED_VALUE"""),"วัดป่าชินรังสี")</f>
        <v>วัดป่าชินรังสี</v>
      </c>
      <c r="J224" s="12">
        <f>IFERROR(__xludf.DUMMYFUNCTION("""COMPUTED_VALUE"""),45948.0)</f>
        <v>45948</v>
      </c>
      <c r="K224" s="3" t="str">
        <f>IFERROR(__xludf.DUMMYFUNCTION("""COMPUTED_VALUE"""),"0800-1200")</f>
        <v>0800-1200</v>
      </c>
      <c r="L224" s="3">
        <f>IFERROR(__xludf.DUMMYFUNCTION("""COMPUTED_VALUE"""),4.0)</f>
        <v>4</v>
      </c>
      <c r="M224" s="3" t="str">
        <f>IFERROR(__xludf.DUMMYFUNCTION("""COMPUTED_VALUE"""),"ร.อ.หญิง เบญญดา บุรีรัตน์")</f>
        <v>ร.อ.หญิง เบญญดา บุรีรัตน์</v>
      </c>
      <c r="N224" s="14" t="str">
        <f>IFERROR(__xludf.DUMMYFUNCTION("""COMPUTED_VALUE"""),"https://lh5.googleusercontent.com/d/1nuoffVLe_tnXtGOM2Hbq_8L7ld1vOWQb")</f>
        <v>https://lh5.googleusercontent.com/d/1nuoffVLe_tnXtGOM2Hbq_8L7ld1vOWQb</v>
      </c>
      <c r="O224" s="14" t="str">
        <f>IFERROR(__xludf.DUMMYFUNCTION("""COMPUTED_VALUE"""),"https://drive.google.com/file/d/1rwfkGIpmBQTp2ltCJiNjbfTeUALlCnlc/view?usp=drivesdk")</f>
        <v>https://drive.google.com/file/d/1rwfkGIpmBQTp2ltCJiNjbfTeUALlCnlc/view?usp=drivesdk</v>
      </c>
    </row>
    <row r="225">
      <c r="A225" s="3">
        <f>IFERROR(__xludf.DUMMYFUNCTION("""COMPUTED_VALUE"""),1172.0)</f>
        <v>1172</v>
      </c>
      <c r="B225" s="11">
        <f>IFERROR(__xludf.DUMMYFUNCTION("""COMPUTED_VALUE"""),45995.33069394676)</f>
        <v>45995.33069</v>
      </c>
      <c r="C225" s="3" t="str">
        <f>IFERROR(__xludf.DUMMYFUNCTION("""COMPUTED_VALUE"""),"ชั้นปีที่ 4")</f>
        <v>ชั้นปีที่ 4</v>
      </c>
      <c r="D225" s="3" t="str">
        <f>IFERROR(__xludf.DUMMYFUNCTION("""COMPUTED_VALUE"""),"6503714")</f>
        <v>6503714</v>
      </c>
      <c r="E225" s="3" t="str">
        <f>IFERROR(__xludf.DUMMYFUNCTION("""COMPUTED_VALUE"""),"25")</f>
        <v>25</v>
      </c>
      <c r="F225" s="3" t="str">
        <f>IFERROR(__xludf.DUMMYFUNCTION("""COMPUTED_VALUE"""),"นพอ.ธนภา อมตวณิชกุล")</f>
        <v>นพอ.ธนภา อมตวณิชกุล</v>
      </c>
      <c r="G225" s="3" t="str">
        <f>IFERROR(__xludf.DUMMYFUNCTION("""COMPUTED_VALUE"""),"ทำนุบำรุงศาสนสถาน")</f>
        <v>ทำนุบำรุงศาสนสถาน</v>
      </c>
      <c r="H225" s="3" t="str">
        <f>IFERROR(__xludf.DUMMYFUNCTION("""COMPUTED_VALUE"""),"ช่วยโรงทานงานกฐิน")</f>
        <v>ช่วยโรงทานงานกฐิน</v>
      </c>
      <c r="I225" s="3" t="str">
        <f>IFERROR(__xludf.DUMMYFUNCTION("""COMPUTED_VALUE"""),"วัดพรหมสุวรรณ")</f>
        <v>วัดพรหมสุวรรณ</v>
      </c>
      <c r="J225" s="12">
        <f>IFERROR(__xludf.DUMMYFUNCTION("""COMPUTED_VALUE"""),45949.0)</f>
        <v>45949</v>
      </c>
      <c r="K225" s="3" t="str">
        <f>IFERROR(__xludf.DUMMYFUNCTION("""COMPUTED_VALUE"""),"0800-1200")</f>
        <v>0800-1200</v>
      </c>
      <c r="L225" s="3">
        <f>IFERROR(__xludf.DUMMYFUNCTION("""COMPUTED_VALUE"""),4.0)</f>
        <v>4</v>
      </c>
      <c r="M225" s="3" t="str">
        <f>IFERROR(__xludf.DUMMYFUNCTION("""COMPUTED_VALUE"""),"ร.อ.หญิง เบญญดา บุรีรัตน์")</f>
        <v>ร.อ.หญิง เบญญดา บุรีรัตน์</v>
      </c>
      <c r="N225" s="14" t="str">
        <f>IFERROR(__xludf.DUMMYFUNCTION("""COMPUTED_VALUE"""),"https://lh5.googleusercontent.com/d/1F8v-6eCY_MmASSVjuGfLx3wfur3i3sdD")</f>
        <v>https://lh5.googleusercontent.com/d/1F8v-6eCY_MmASSVjuGfLx3wfur3i3sdD</v>
      </c>
      <c r="O225" s="14" t="str">
        <f>IFERROR(__xludf.DUMMYFUNCTION("""COMPUTED_VALUE"""),"https://drive.google.com/file/d/11q0REtS6WgCmbEMEmYbZzmNEX5s2tNy9/view?usp=drivesdk")</f>
        <v>https://drive.google.com/file/d/11q0REtS6WgCmbEMEmYbZzmNEX5s2tNy9/view?usp=drivesdk</v>
      </c>
    </row>
    <row r="226">
      <c r="A226" s="3">
        <f>IFERROR(__xludf.DUMMYFUNCTION("""COMPUTED_VALUE"""),1221.0)</f>
        <v>1221</v>
      </c>
      <c r="B226" s="11">
        <f>IFERROR(__xludf.DUMMYFUNCTION("""COMPUTED_VALUE"""),45997.75874784722)</f>
        <v>45997.75875</v>
      </c>
      <c r="C226" s="3" t="str">
        <f>IFERROR(__xludf.DUMMYFUNCTION("""COMPUTED_VALUE"""),"ชั้นปีที่ 4")</f>
        <v>ชั้นปีที่ 4</v>
      </c>
      <c r="D226" s="3" t="str">
        <f>IFERROR(__xludf.DUMMYFUNCTION("""COMPUTED_VALUE"""),"6503748")</f>
        <v>6503748</v>
      </c>
      <c r="E226" s="3" t="str">
        <f>IFERROR(__xludf.DUMMYFUNCTION("""COMPUTED_VALUE"""),"58")</f>
        <v>58</v>
      </c>
      <c r="F226" s="3" t="str">
        <f>IFERROR(__xludf.DUMMYFUNCTION("""COMPUTED_VALUE"""),"สรัญญา ขุนสังวาลย์")</f>
        <v>สรัญญา ขุนสังวาลย์</v>
      </c>
      <c r="G22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26" s="3" t="str">
        <f>IFERROR(__xludf.DUMMYFUNCTION("""COMPUTED_VALUE"""),"โครงการ วัดประชารัฐสร้างสุข")</f>
        <v>โครงการ วัดประชารัฐสร้างสุข</v>
      </c>
      <c r="I226" s="3" t="str">
        <f>IFERROR(__xludf.DUMMYFUNCTION("""COMPUTED_VALUE"""),"บ้านหัวสวน ตำบลบางไผ่")</f>
        <v>บ้านหัวสวน ตำบลบางไผ่</v>
      </c>
      <c r="J226" s="12">
        <f>IFERROR(__xludf.DUMMYFUNCTION("""COMPUTED_VALUE"""),45940.0)</f>
        <v>45940</v>
      </c>
      <c r="K226" s="3" t="str">
        <f>IFERROR(__xludf.DUMMYFUNCTION("""COMPUTED_VALUE"""),"0800-1200")</f>
        <v>0800-1200</v>
      </c>
      <c r="L226" s="3">
        <f>IFERROR(__xludf.DUMMYFUNCTION("""COMPUTED_VALUE"""),4.0)</f>
        <v>4</v>
      </c>
      <c r="M226" s="3" t="str">
        <f>IFERROR(__xludf.DUMMYFUNCTION("""COMPUTED_VALUE"""),"น.ส.วันวิสา ดำริมุ่งกิจ")</f>
        <v>น.ส.วันวิสา ดำริมุ่งกิจ</v>
      </c>
      <c r="N226" s="14" t="str">
        <f>IFERROR(__xludf.DUMMYFUNCTION("""COMPUTED_VALUE"""),"https://lh5.googleusercontent.com/d/1KMt9RBbbYmqrDKG1k20wjEjUn0Ogf8qi")</f>
        <v>https://lh5.googleusercontent.com/d/1KMt9RBbbYmqrDKG1k20wjEjUn0Ogf8qi</v>
      </c>
      <c r="O226" s="14" t="str">
        <f>IFERROR(__xludf.DUMMYFUNCTION("""COMPUTED_VALUE"""),"https://drive.google.com/file/d/161pDZkEOIS7H48J4Vwjq9mx0xAilEfGP/view?usp=drivesdk")</f>
        <v>https://drive.google.com/file/d/161pDZkEOIS7H48J4Vwjq9mx0xAilEfGP/view?usp=drivesdk</v>
      </c>
    </row>
    <row r="227">
      <c r="A227" s="3">
        <f>IFERROR(__xludf.DUMMYFUNCTION("""COMPUTED_VALUE"""),1223.0)</f>
        <v>1223</v>
      </c>
      <c r="B227" s="11">
        <f>IFERROR(__xludf.DUMMYFUNCTION("""COMPUTED_VALUE"""),45997.762699259256)</f>
        <v>45997.7627</v>
      </c>
      <c r="C227" s="3" t="str">
        <f>IFERROR(__xludf.DUMMYFUNCTION("""COMPUTED_VALUE"""),"ชั้นปีที่ 4")</f>
        <v>ชั้นปีที่ 4</v>
      </c>
      <c r="D227" s="3" t="str">
        <f>IFERROR(__xludf.DUMMYFUNCTION("""COMPUTED_VALUE"""),"6503748")</f>
        <v>6503748</v>
      </c>
      <c r="E227" s="3" t="str">
        <f>IFERROR(__xludf.DUMMYFUNCTION("""COMPUTED_VALUE"""),"58")</f>
        <v>58</v>
      </c>
      <c r="F227" s="3" t="str">
        <f>IFERROR(__xludf.DUMMYFUNCTION("""COMPUTED_VALUE"""),"นพอ.สรัญญา ขุนสังวาลย์")</f>
        <v>นพอ.สรัญญา ขุนสังวาลย์</v>
      </c>
      <c r="G22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27" s="3" t="str">
        <f>IFERROR(__xludf.DUMMYFUNCTION("""COMPUTED_VALUE"""),"ทอดกฐิน")</f>
        <v>ทอดกฐิน</v>
      </c>
      <c r="I227" s="3" t="str">
        <f>IFERROR(__xludf.DUMMYFUNCTION("""COMPUTED_VALUE"""),"วัดราษฎร์มณีฤทธิ์")</f>
        <v>วัดราษฎร์มณีฤทธิ์</v>
      </c>
      <c r="J227" s="12">
        <f>IFERROR(__xludf.DUMMYFUNCTION("""COMPUTED_VALUE"""),45949.0)</f>
        <v>45949</v>
      </c>
      <c r="K227" s="3" t="str">
        <f>IFERROR(__xludf.DUMMYFUNCTION("""COMPUTED_VALUE"""),"0700-1200")</f>
        <v>0700-1200</v>
      </c>
      <c r="L227" s="3">
        <f>IFERROR(__xludf.DUMMYFUNCTION("""COMPUTED_VALUE"""),5.0)</f>
        <v>5</v>
      </c>
      <c r="M227" s="3" t="str">
        <f>IFERROR(__xludf.DUMMYFUNCTION("""COMPUTED_VALUE"""),"น.ส.วันวิสา ดำริมุ่งกิจ")</f>
        <v>น.ส.วันวิสา ดำริมุ่งกิจ</v>
      </c>
      <c r="N227" s="14" t="str">
        <f>IFERROR(__xludf.DUMMYFUNCTION("""COMPUTED_VALUE"""),"https://lh5.googleusercontent.com/d/1ulmKMKa3AqEmPkyfwHbGIOkrYUpWOD0u")</f>
        <v>https://lh5.googleusercontent.com/d/1ulmKMKa3AqEmPkyfwHbGIOkrYUpWOD0u</v>
      </c>
      <c r="O227" s="14" t="str">
        <f>IFERROR(__xludf.DUMMYFUNCTION("""COMPUTED_VALUE"""),"https://drive.google.com/file/d/1SAtnCioVPJ7PSzqKScVrHbog3QghYODM/view?usp=drivesdk")</f>
        <v>https://drive.google.com/file/d/1SAtnCioVPJ7PSzqKScVrHbog3QghYODM/view?usp=drivesdk</v>
      </c>
    </row>
    <row r="228">
      <c r="A228" s="3">
        <f>IFERROR(__xludf.DUMMYFUNCTION("""COMPUTED_VALUE"""),1224.0)</f>
        <v>1224</v>
      </c>
      <c r="B228" s="11">
        <f>IFERROR(__xludf.DUMMYFUNCTION("""COMPUTED_VALUE"""),45997.76592997685)</f>
        <v>45997.76593</v>
      </c>
      <c r="C228" s="3" t="str">
        <f>IFERROR(__xludf.DUMMYFUNCTION("""COMPUTED_VALUE"""),"ชั้นปีที่ 4")</f>
        <v>ชั้นปีที่ 4</v>
      </c>
      <c r="D228" s="3" t="str">
        <f>IFERROR(__xludf.DUMMYFUNCTION("""COMPUTED_VALUE"""),"6503748")</f>
        <v>6503748</v>
      </c>
      <c r="E228" s="3" t="str">
        <f>IFERROR(__xludf.DUMMYFUNCTION("""COMPUTED_VALUE"""),"58")</f>
        <v>58</v>
      </c>
      <c r="F228" s="3" t="str">
        <f>IFERROR(__xludf.DUMMYFUNCTION("""COMPUTED_VALUE"""),"นพอ.สรัญญา ขุนสังวาลย์")</f>
        <v>นพอ.สรัญญา ขุนสังวาลย์</v>
      </c>
      <c r="G228" s="3" t="str">
        <f>IFERROR(__xludf.DUMMYFUNCTION("""COMPUTED_VALUE"""),"ทำนุบำรุงศาสนสถาน")</f>
        <v>ทำนุบำรุงศาสนสถาน</v>
      </c>
      <c r="H228" s="3" t="str">
        <f>IFERROR(__xludf.DUMMYFUNCTION("""COMPUTED_VALUE"""),"ทำบุญตักบาตร")</f>
        <v>ทำบุญตักบาตร</v>
      </c>
      <c r="I228" s="3" t="str">
        <f>IFERROR(__xludf.DUMMYFUNCTION("""COMPUTED_VALUE"""),"วัดทด")</f>
        <v>วัดทด</v>
      </c>
      <c r="J228" s="12">
        <f>IFERROR(__xludf.DUMMYFUNCTION("""COMPUTED_VALUE"""),46004.0)</f>
        <v>46004</v>
      </c>
      <c r="K228" s="3" t="str">
        <f>IFERROR(__xludf.DUMMYFUNCTION("""COMPUTED_VALUE"""),"0700-0900")</f>
        <v>0700-0900</v>
      </c>
      <c r="L228" s="3">
        <f>IFERROR(__xludf.DUMMYFUNCTION("""COMPUTED_VALUE"""),2.0)</f>
        <v>2</v>
      </c>
      <c r="M228" s="3" t="str">
        <f>IFERROR(__xludf.DUMMYFUNCTION("""COMPUTED_VALUE"""),"น.ส.วันวิสา ดำริมุ่งกิจ")</f>
        <v>น.ส.วันวิสา ดำริมุ่งกิจ</v>
      </c>
      <c r="N228" s="14" t="str">
        <f>IFERROR(__xludf.DUMMYFUNCTION("""COMPUTED_VALUE"""),"https://lh5.googleusercontent.com/d/1qE1P_hL2WSak-UCLqC_gYMW55WTDsD4E")</f>
        <v>https://lh5.googleusercontent.com/d/1qE1P_hL2WSak-UCLqC_gYMW55WTDsD4E</v>
      </c>
      <c r="O228" s="14" t="str">
        <f>IFERROR(__xludf.DUMMYFUNCTION("""COMPUTED_VALUE"""),"https://drive.google.com/file/d/1q_ZhR4C_u9jscDrAPDkPg6PRxUlGVYws/view?usp=drivesdk")</f>
        <v>https://drive.google.com/file/d/1q_ZhR4C_u9jscDrAPDkPg6PRxUlGVYws/view?usp=drivesdk</v>
      </c>
    </row>
    <row r="229">
      <c r="A229" s="3">
        <f>IFERROR(__xludf.DUMMYFUNCTION("""COMPUTED_VALUE"""),1231.0)</f>
        <v>1231</v>
      </c>
      <c r="B229" s="11">
        <f>IFERROR(__xludf.DUMMYFUNCTION("""COMPUTED_VALUE"""),45997.7962537037)</f>
        <v>45997.79625</v>
      </c>
      <c r="C229" s="3" t="str">
        <f>IFERROR(__xludf.DUMMYFUNCTION("""COMPUTED_VALUE"""),"ชั้นปีที่ 4")</f>
        <v>ชั้นปีที่ 4</v>
      </c>
      <c r="D229" s="3" t="str">
        <f>IFERROR(__xludf.DUMMYFUNCTION("""COMPUTED_VALUE"""),"6503713")</f>
        <v>6503713</v>
      </c>
      <c r="E229" s="3" t="str">
        <f>IFERROR(__xludf.DUMMYFUNCTION("""COMPUTED_VALUE"""),"24")</f>
        <v>24</v>
      </c>
      <c r="F229" s="3" t="str">
        <f>IFERROR(__xludf.DUMMYFUNCTION("""COMPUTED_VALUE"""),"นพอ.ดิษยา คงเจริญ")</f>
        <v>นพอ.ดิษยา คงเจริญ</v>
      </c>
      <c r="G22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29" s="3" t="str">
        <f>IFERROR(__xludf.DUMMYFUNCTION("""COMPUTED_VALUE"""),"เดิน วิ่ง ปั่น ป้องกันอัมพาต")</f>
        <v>เดิน วิ่ง ปั่น ป้องกันอัมพาต</v>
      </c>
      <c r="I229" s="3" t="str">
        <f>IFERROR(__xludf.DUMMYFUNCTION("""COMPUTED_VALUE"""),"ศาลากลางจังหวัดฉะเชิงเทรา")</f>
        <v>ศาลากลางจังหวัดฉะเชิงเทรา</v>
      </c>
      <c r="J229" s="12">
        <f>IFERROR(__xludf.DUMMYFUNCTION("""COMPUTED_VALUE"""),45956.0)</f>
        <v>45956</v>
      </c>
      <c r="K229" s="3" t="str">
        <f>IFERROR(__xludf.DUMMYFUNCTION("""COMPUTED_VALUE"""),"0500-1000")</f>
        <v>0500-1000</v>
      </c>
      <c r="L229" s="3">
        <f>IFERROR(__xludf.DUMMYFUNCTION("""COMPUTED_VALUE"""),4.0)</f>
        <v>4</v>
      </c>
      <c r="M229" s="3" t="str">
        <f>IFERROR(__xludf.DUMMYFUNCTION("""COMPUTED_VALUE"""),"น.ส.วันวิสา ดำริมุ่งกิจ")</f>
        <v>น.ส.วันวิสา ดำริมุ่งกิจ</v>
      </c>
      <c r="N229" s="14" t="str">
        <f>IFERROR(__xludf.DUMMYFUNCTION("""COMPUTED_VALUE"""),"https://lh5.googleusercontent.com/d/1KeC5qK1HtyZmBV5qgF3TEPNdgKpCsHXV")</f>
        <v>https://lh5.googleusercontent.com/d/1KeC5qK1HtyZmBV5qgF3TEPNdgKpCsHXV</v>
      </c>
      <c r="O229" s="14" t="str">
        <f>IFERROR(__xludf.DUMMYFUNCTION("""COMPUTED_VALUE"""),"https://drive.google.com/file/d/1TmiBLFG9nCl8I4R_rB-TDqfVi_gDh2D8/view?usp=drivesdk")</f>
        <v>https://drive.google.com/file/d/1TmiBLFG9nCl8I4R_rB-TDqfVi_gDh2D8/view?usp=drivesdk</v>
      </c>
    </row>
    <row r="230">
      <c r="A230" s="3">
        <f>IFERROR(__xludf.DUMMYFUNCTION("""COMPUTED_VALUE"""),1232.0)</f>
        <v>1232</v>
      </c>
      <c r="B230" s="11">
        <f>IFERROR(__xludf.DUMMYFUNCTION("""COMPUTED_VALUE"""),45997.814054456016)</f>
        <v>45997.81405</v>
      </c>
      <c r="C230" s="3" t="str">
        <f>IFERROR(__xludf.DUMMYFUNCTION("""COMPUTED_VALUE"""),"ชั้นปีที่ 4")</f>
        <v>ชั้นปีที่ 4</v>
      </c>
      <c r="D230" s="3" t="str">
        <f>IFERROR(__xludf.DUMMYFUNCTION("""COMPUTED_VALUE"""),"6503713")</f>
        <v>6503713</v>
      </c>
      <c r="E230" s="3" t="str">
        <f>IFERROR(__xludf.DUMMYFUNCTION("""COMPUTED_VALUE"""),"24")</f>
        <v>24</v>
      </c>
      <c r="F230" s="3" t="str">
        <f>IFERROR(__xludf.DUMMYFUNCTION("""COMPUTED_VALUE"""),"นพอ.ดิษยา คงเจริญ")</f>
        <v>นพอ.ดิษยา คงเจริญ</v>
      </c>
      <c r="G230" s="3" t="str">
        <f>IFERROR(__xludf.DUMMYFUNCTION("""COMPUTED_VALUE"""),"งานฟรีทั่วไป")</f>
        <v>งานฟรีทั่วไป</v>
      </c>
      <c r="H230" s="3" t="str">
        <f>IFERROR(__xludf.DUMMYFUNCTION("""COMPUTED_VALUE"""),"กำจัดวัชพืช")</f>
        <v>กำจัดวัชพืช</v>
      </c>
      <c r="I230" s="3" t="str">
        <f>IFERROR(__xludf.DUMMYFUNCTION("""COMPUTED_VALUE"""),"ต.ศรีมงคล อ.ไทรโยค จ.กาญจนบุรี")</f>
        <v>ต.ศรีมงคล อ.ไทรโยค จ.กาญจนบุรี</v>
      </c>
      <c r="J230" s="12">
        <f>IFERROR(__xludf.DUMMYFUNCTION("""COMPUTED_VALUE"""),45927.0)</f>
        <v>45927</v>
      </c>
      <c r="K230" s="3" t="str">
        <f>IFERROR(__xludf.DUMMYFUNCTION("""COMPUTED_VALUE"""),"0800-0900")</f>
        <v>0800-0900</v>
      </c>
      <c r="L230" s="3">
        <f>IFERROR(__xludf.DUMMYFUNCTION("""COMPUTED_VALUE"""),1.0)</f>
        <v>1</v>
      </c>
      <c r="M230" s="3" t="str">
        <f>IFERROR(__xludf.DUMMYFUNCTION("""COMPUTED_VALUE"""),"นางสำเภา คงเจริญ")</f>
        <v>นางสำเภา คงเจริญ</v>
      </c>
      <c r="N230" s="14" t="str">
        <f>IFERROR(__xludf.DUMMYFUNCTION("""COMPUTED_VALUE"""),"https://lh5.googleusercontent.com/d/1T26m2KG7s6lIHtzBtHzC-fdqxN1nrh_9")</f>
        <v>https://lh5.googleusercontent.com/d/1T26m2KG7s6lIHtzBtHzC-fdqxN1nrh_9</v>
      </c>
      <c r="O230" s="14" t="str">
        <f>IFERROR(__xludf.DUMMYFUNCTION("""COMPUTED_VALUE"""),"https://drive.google.com/file/d/12vmRCL-ejpvJrj6DZUj8CJE7Hf57tYEB/view?usp=drivesdk")</f>
        <v>https://drive.google.com/file/d/12vmRCL-ejpvJrj6DZUj8CJE7Hf57tYEB/view?usp=drivesdk</v>
      </c>
    </row>
    <row r="231">
      <c r="A231" s="3">
        <f>IFERROR(__xludf.DUMMYFUNCTION("""COMPUTED_VALUE"""),1233.0)</f>
        <v>1233</v>
      </c>
      <c r="B231" s="11">
        <f>IFERROR(__xludf.DUMMYFUNCTION("""COMPUTED_VALUE"""),45997.82140032407)</f>
        <v>45997.8214</v>
      </c>
      <c r="C231" s="3" t="str">
        <f>IFERROR(__xludf.DUMMYFUNCTION("""COMPUTED_VALUE"""),"ชั้นปีที่ 4")</f>
        <v>ชั้นปีที่ 4</v>
      </c>
      <c r="D231" s="3" t="str">
        <f>IFERROR(__xludf.DUMMYFUNCTION("""COMPUTED_VALUE"""),"6503713")</f>
        <v>6503713</v>
      </c>
      <c r="E231" s="3" t="str">
        <f>IFERROR(__xludf.DUMMYFUNCTION("""COMPUTED_VALUE"""),"24 ")</f>
        <v>24 </v>
      </c>
      <c r="F231" s="3" t="str">
        <f>IFERROR(__xludf.DUMMYFUNCTION("""COMPUTED_VALUE"""),"นพอ.ดิษยา คงเจริญ")</f>
        <v>นพอ.ดิษยา คงเจริญ</v>
      </c>
      <c r="G231" s="3" t="str">
        <f>IFERROR(__xludf.DUMMYFUNCTION("""COMPUTED_VALUE"""),"ทำนุบำรุงศาสนสถาน")</f>
        <v>ทำนุบำรุงศาสนสถาน</v>
      </c>
      <c r="H231" s="3" t="str">
        <f>IFERROR(__xludf.DUMMYFUNCTION("""COMPUTED_VALUE"""),"โรงทานอาหาร")</f>
        <v>โรงทานอาหาร</v>
      </c>
      <c r="I231" s="3" t="str">
        <f>IFERROR(__xludf.DUMMYFUNCTION("""COMPUTED_VALUE"""),"วัดศรีมงคล")</f>
        <v>วัดศรีมงคล</v>
      </c>
      <c r="J231" s="12">
        <f>IFERROR(__xludf.DUMMYFUNCTION("""COMPUTED_VALUE"""),45913.0)</f>
        <v>45913</v>
      </c>
      <c r="K231" s="3" t="str">
        <f>IFERROR(__xludf.DUMMYFUNCTION("""COMPUTED_VALUE"""),"0630-0830")</f>
        <v>0630-0830</v>
      </c>
      <c r="L231" s="3">
        <f>IFERROR(__xludf.DUMMYFUNCTION("""COMPUTED_VALUE"""),2.0)</f>
        <v>2</v>
      </c>
      <c r="M231" s="3" t="str">
        <f>IFERROR(__xludf.DUMMYFUNCTION("""COMPUTED_VALUE"""),"นางสำเภา คงเจริญ")</f>
        <v>นางสำเภา คงเจริญ</v>
      </c>
      <c r="N231" s="14" t="str">
        <f>IFERROR(__xludf.DUMMYFUNCTION("""COMPUTED_VALUE"""),"https://lh5.googleusercontent.com/d/1_d0i9zEvlBJhyRRK-OIZAssxaEmXzgZZ")</f>
        <v>https://lh5.googleusercontent.com/d/1_d0i9zEvlBJhyRRK-OIZAssxaEmXzgZZ</v>
      </c>
      <c r="O231" s="14" t="str">
        <f>IFERROR(__xludf.DUMMYFUNCTION("""COMPUTED_VALUE"""),"https://drive.google.com/file/d/1IwM17HMRXY9ANt5-jrhlxpaiNwTATm62/view?usp=drivesdk")</f>
        <v>https://drive.google.com/file/d/1IwM17HMRXY9ANt5-jrhlxpaiNwTATm62/view?usp=drivesdk</v>
      </c>
    </row>
    <row r="232">
      <c r="A232" s="3">
        <f>IFERROR(__xludf.DUMMYFUNCTION("""COMPUTED_VALUE"""),1234.0)</f>
        <v>1234</v>
      </c>
      <c r="B232" s="11">
        <f>IFERROR(__xludf.DUMMYFUNCTION("""COMPUTED_VALUE"""),45997.829823113425)</f>
        <v>45997.82982</v>
      </c>
      <c r="C232" s="3" t="str">
        <f>IFERROR(__xludf.DUMMYFUNCTION("""COMPUTED_VALUE"""),"ชั้นปีที่ 4")</f>
        <v>ชั้นปีที่ 4</v>
      </c>
      <c r="D232" s="3" t="str">
        <f>IFERROR(__xludf.DUMMYFUNCTION("""COMPUTED_VALUE"""),"6503713")</f>
        <v>6503713</v>
      </c>
      <c r="E232" s="3" t="str">
        <f>IFERROR(__xludf.DUMMYFUNCTION("""COMPUTED_VALUE"""),"24")</f>
        <v>24</v>
      </c>
      <c r="F232" s="3" t="str">
        <f>IFERROR(__xludf.DUMMYFUNCTION("""COMPUTED_VALUE"""),"นพอ.ดิษยา คงเจริญ")</f>
        <v>นพอ.ดิษยา คงเจริญ</v>
      </c>
      <c r="G232" s="3" t="str">
        <f>IFERROR(__xludf.DUMMYFUNCTION("""COMPUTED_VALUE"""),"ทำนุบำรุงศาสนสถาน")</f>
        <v>ทำนุบำรุงศาสนสถาน</v>
      </c>
      <c r="H232" s="3" t="str">
        <f>IFERROR(__xludf.DUMMYFUNCTION("""COMPUTED_VALUE"""),"ขนดินเข้าอุโบสถ")</f>
        <v>ขนดินเข้าอุโบสถ</v>
      </c>
      <c r="I232" s="3" t="str">
        <f>IFERROR(__xludf.DUMMYFUNCTION("""COMPUTED_VALUE"""),"วัดศรีมงคล")</f>
        <v>วัดศรีมงคล</v>
      </c>
      <c r="J232" s="12">
        <f>IFERROR(__xludf.DUMMYFUNCTION("""COMPUTED_VALUE"""),45879.0)</f>
        <v>45879</v>
      </c>
      <c r="K232" s="3" t="str">
        <f>IFERROR(__xludf.DUMMYFUNCTION("""COMPUTED_VALUE"""),"0700-0900")</f>
        <v>0700-0900</v>
      </c>
      <c r="L232" s="3">
        <f>IFERROR(__xludf.DUMMYFUNCTION("""COMPUTED_VALUE"""),2.0)</f>
        <v>2</v>
      </c>
      <c r="M232" s="3" t="str">
        <f>IFERROR(__xludf.DUMMYFUNCTION("""COMPUTED_VALUE"""),"นางสำเภา คงเจริญ")</f>
        <v>นางสำเภา คงเจริญ</v>
      </c>
      <c r="N232" s="14" t="str">
        <f>IFERROR(__xludf.DUMMYFUNCTION("""COMPUTED_VALUE"""),"https://lh5.googleusercontent.com/d/1yWDdfjXaGBwAt-zQywN5UR1vUUm4VuUS")</f>
        <v>https://lh5.googleusercontent.com/d/1yWDdfjXaGBwAt-zQywN5UR1vUUm4VuUS</v>
      </c>
      <c r="O232" s="14" t="str">
        <f>IFERROR(__xludf.DUMMYFUNCTION("""COMPUTED_VALUE"""),"https://drive.google.com/file/d/1F6SpL4MAtcaVkJBuZFrx0Xxi8s9g_dtl/view?usp=drivesdk")</f>
        <v>https://drive.google.com/file/d/1F6SpL4MAtcaVkJBuZFrx0Xxi8s9g_dtl/view?usp=drivesdk</v>
      </c>
    </row>
    <row r="233">
      <c r="A233" s="3">
        <f>IFERROR(__xludf.DUMMYFUNCTION("""COMPUTED_VALUE"""),1255.0)</f>
        <v>1255</v>
      </c>
      <c r="B233" s="11">
        <f>IFERROR(__xludf.DUMMYFUNCTION("""COMPUTED_VALUE"""),45998.548039548616)</f>
        <v>45998.54804</v>
      </c>
      <c r="C233" s="3" t="str">
        <f>IFERROR(__xludf.DUMMYFUNCTION("""COMPUTED_VALUE"""),"ชั้นปีที่ 4")</f>
        <v>ชั้นปีที่ 4</v>
      </c>
      <c r="D233" s="3" t="str">
        <f>IFERROR(__xludf.DUMMYFUNCTION("""COMPUTED_VALUE"""),"6503706")</f>
        <v>6503706</v>
      </c>
      <c r="E233" s="3" t="str">
        <f>IFERROR(__xludf.DUMMYFUNCTION("""COMPUTED_VALUE"""),"17")</f>
        <v>17</v>
      </c>
      <c r="F233" s="3" t="str">
        <f>IFERROR(__xludf.DUMMYFUNCTION("""COMPUTED_VALUE"""),"นพอ.ณัฐชยา วิถี")</f>
        <v>นพอ.ณัฐชยา วิถี</v>
      </c>
      <c r="G23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3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33" s="3" t="str">
        <f>IFERROR(__xludf.DUMMYFUNCTION("""COMPUTED_VALUE"""),"สโมสรทหารอากาศชั้นประทวน")</f>
        <v>สโมสรทหารอากาศชั้นประทวน</v>
      </c>
      <c r="J233" s="12">
        <f>IFERROR(__xludf.DUMMYFUNCTION("""COMPUTED_VALUE"""),45854.0)</f>
        <v>45854</v>
      </c>
      <c r="K233" s="3" t="str">
        <f>IFERROR(__xludf.DUMMYFUNCTION("""COMPUTED_VALUE"""),"0700-1300")</f>
        <v>0700-1300</v>
      </c>
      <c r="L233" s="3">
        <f>IFERROR(__xludf.DUMMYFUNCTION("""COMPUTED_VALUE"""),6.0)</f>
        <v>6</v>
      </c>
      <c r="M233" s="3" t="str">
        <f>IFERROR(__xludf.DUMMYFUNCTION("""COMPUTED_VALUE"""),"น.ต.หญิงตวงทิพย์ ลดาวัลย์ ")</f>
        <v>น.ต.หญิงตวงทิพย์ ลดาวัลย์ </v>
      </c>
      <c r="N233" s="14" t="str">
        <f>IFERROR(__xludf.DUMMYFUNCTION("""COMPUTED_VALUE"""),"https://lh5.googleusercontent.com/d/1vqptNwPGRuWjStn14GD_9cxOk4pvZ1E9")</f>
        <v>https://lh5.googleusercontent.com/d/1vqptNwPGRuWjStn14GD_9cxOk4pvZ1E9</v>
      </c>
      <c r="O233" s="14" t="str">
        <f>IFERROR(__xludf.DUMMYFUNCTION("""COMPUTED_VALUE"""),"https://drive.google.com/file/d/16tedm1L0XpCvWW4PUt6HXaBEfHdRdtM7/view?usp=drivesdk")</f>
        <v>https://drive.google.com/file/d/16tedm1L0XpCvWW4PUt6HXaBEfHdRdtM7/view?usp=drivesdk</v>
      </c>
    </row>
    <row r="234">
      <c r="A234" s="3">
        <f>IFERROR(__xludf.DUMMYFUNCTION("""COMPUTED_VALUE"""),1256.0)</f>
        <v>1256</v>
      </c>
      <c r="B234" s="11">
        <f>IFERROR(__xludf.DUMMYFUNCTION("""COMPUTED_VALUE"""),45998.55729600695)</f>
        <v>45998.5573</v>
      </c>
      <c r="C234" s="3" t="str">
        <f>IFERROR(__xludf.DUMMYFUNCTION("""COMPUTED_VALUE"""),"ชั้นปีที่ 4")</f>
        <v>ชั้นปีที่ 4</v>
      </c>
      <c r="D234" s="3" t="str">
        <f>IFERROR(__xludf.DUMMYFUNCTION("""COMPUTED_VALUE"""),"6503706")</f>
        <v>6503706</v>
      </c>
      <c r="E234" s="3" t="str">
        <f>IFERROR(__xludf.DUMMYFUNCTION("""COMPUTED_VALUE"""),"17")</f>
        <v>17</v>
      </c>
      <c r="F234" s="3" t="str">
        <f>IFERROR(__xludf.DUMMYFUNCTION("""COMPUTED_VALUE"""),"นพอ.ณัฐชยา วิถี")</f>
        <v>นพอ.ณัฐชยา วิถี</v>
      </c>
      <c r="G234" s="3" t="str">
        <f>IFERROR(__xludf.DUMMYFUNCTION("""COMPUTED_VALUE"""),"งานฟรีทั่วไป")</f>
        <v>งานฟรีทั่วไป</v>
      </c>
      <c r="H234" s="3" t="str">
        <f>IFERROR(__xludf.DUMMYFUNCTION("""COMPUTED_VALUE"""),"กิจกรรมวันรักต้นไม้แห่งชาติ")</f>
        <v>กิจกรรมวันรักต้นไม้แห่งชาติ</v>
      </c>
      <c r="I234" s="3" t="str">
        <f>IFERROR(__xludf.DUMMYFUNCTION("""COMPUTED_VALUE"""),"รพ.สต.บางขวัญ")</f>
        <v>รพ.สต.บางขวัญ</v>
      </c>
      <c r="J234" s="12">
        <f>IFERROR(__xludf.DUMMYFUNCTION("""COMPUTED_VALUE"""),45951.0)</f>
        <v>45951</v>
      </c>
      <c r="K234" s="3" t="str">
        <f>IFERROR(__xludf.DUMMYFUNCTION("""COMPUTED_VALUE"""),"1400-1600")</f>
        <v>1400-1600</v>
      </c>
      <c r="L234" s="3">
        <f>IFERROR(__xludf.DUMMYFUNCTION("""COMPUTED_VALUE"""),2.0)</f>
        <v>2</v>
      </c>
      <c r="M234" s="3" t="str">
        <f>IFERROR(__xludf.DUMMYFUNCTION("""COMPUTED_VALUE"""),"นายเวคิน เจียโหงว (ผอ.รพ.สต.) ")</f>
        <v>นายเวคิน เจียโหงว (ผอ.รพ.สต.) </v>
      </c>
      <c r="N234" s="14" t="str">
        <f>IFERROR(__xludf.DUMMYFUNCTION("""COMPUTED_VALUE"""),"https://lh5.googleusercontent.com/d/1tdNCplRrOVcYZZktRvFoCYtIT7YAMQSa")</f>
        <v>https://lh5.googleusercontent.com/d/1tdNCplRrOVcYZZktRvFoCYtIT7YAMQSa</v>
      </c>
      <c r="O234" s="14" t="str">
        <f>IFERROR(__xludf.DUMMYFUNCTION("""COMPUTED_VALUE"""),"https://drive.google.com/file/d/1DApFsWb1KurrPXSOIvRPAM0tbnIxzKRm/view?usp=drivesdk")</f>
        <v>https://drive.google.com/file/d/1DApFsWb1KurrPXSOIvRPAM0tbnIxzKRm/view?usp=drivesdk</v>
      </c>
    </row>
    <row r="235">
      <c r="A235" s="3">
        <f>IFERROR(__xludf.DUMMYFUNCTION("""COMPUTED_VALUE"""),1257.0)</f>
        <v>1257</v>
      </c>
      <c r="B235" s="11">
        <f>IFERROR(__xludf.DUMMYFUNCTION("""COMPUTED_VALUE"""),45998.563168182875)</f>
        <v>45998.56317</v>
      </c>
      <c r="C235" s="3" t="str">
        <f>IFERROR(__xludf.DUMMYFUNCTION("""COMPUTED_VALUE"""),"ชั้นปีที่ 4")</f>
        <v>ชั้นปีที่ 4</v>
      </c>
      <c r="D235" s="3" t="str">
        <f>IFERROR(__xludf.DUMMYFUNCTION("""COMPUTED_VALUE"""),"6503706")</f>
        <v>6503706</v>
      </c>
      <c r="E235" s="3" t="str">
        <f>IFERROR(__xludf.DUMMYFUNCTION("""COMPUTED_VALUE"""),"17")</f>
        <v>17</v>
      </c>
      <c r="F235" s="3" t="str">
        <f>IFERROR(__xludf.DUMMYFUNCTION("""COMPUTED_VALUE"""),"นพอ.ณัฐชยา วิถี")</f>
        <v>นพอ.ณัฐชยา วิถี</v>
      </c>
      <c r="G235" s="3" t="str">
        <f>IFERROR(__xludf.DUMMYFUNCTION("""COMPUTED_VALUE"""),"ช่วยเหลืองานภายใน วพอ.")</f>
        <v>ช่วยเหลืองานภายใน วพอ.</v>
      </c>
      <c r="H235" s="3" t="str">
        <f>IFERROR(__xludf.DUMMYFUNCTION("""COMPUTED_VALUE"""),"ขนของหอชาย")</f>
        <v>ขนของหอชาย</v>
      </c>
      <c r="I235" s="3" t="str">
        <f>IFERROR(__xludf.DUMMYFUNCTION("""COMPUTED_VALUE"""),"อาคารศูนย์การเรียนรู้")</f>
        <v>อาคารศูนย์การเรียนรู้</v>
      </c>
      <c r="J235" s="12">
        <f>IFERROR(__xludf.DUMMYFUNCTION("""COMPUTED_VALUE"""),45876.0)</f>
        <v>45876</v>
      </c>
      <c r="K235" s="3" t="str">
        <f>IFERROR(__xludf.DUMMYFUNCTION("""COMPUTED_VALUE"""),"1700-1900")</f>
        <v>1700-1900</v>
      </c>
      <c r="L235" s="3">
        <f>IFERROR(__xludf.DUMMYFUNCTION("""COMPUTED_VALUE"""),2.0)</f>
        <v>2</v>
      </c>
      <c r="M235" s="3" t="str">
        <f>IFERROR(__xludf.DUMMYFUNCTION("""COMPUTED_VALUE"""),"รอ")</f>
        <v>รอ</v>
      </c>
      <c r="N235" s="3"/>
      <c r="O235" s="3"/>
    </row>
    <row r="236">
      <c r="A236" s="3">
        <f>IFERROR(__xludf.DUMMYFUNCTION("""COMPUTED_VALUE"""),1258.0)</f>
        <v>1258</v>
      </c>
      <c r="B236" s="11">
        <f>IFERROR(__xludf.DUMMYFUNCTION("""COMPUTED_VALUE"""),45998.56512649306)</f>
        <v>45998.56513</v>
      </c>
      <c r="C236" s="3" t="str">
        <f>IFERROR(__xludf.DUMMYFUNCTION("""COMPUTED_VALUE"""),"ชั้นปีที่ 4")</f>
        <v>ชั้นปีที่ 4</v>
      </c>
      <c r="D236" s="3" t="str">
        <f>IFERROR(__xludf.DUMMYFUNCTION("""COMPUTED_VALUE"""),"3706")</f>
        <v>3706</v>
      </c>
      <c r="E236" s="3" t="str">
        <f>IFERROR(__xludf.DUMMYFUNCTION("""COMPUTED_VALUE"""),"17")</f>
        <v>17</v>
      </c>
      <c r="F236" s="3" t="str">
        <f>IFERROR(__xludf.DUMMYFUNCTION("""COMPUTED_VALUE"""),"นพอ.ณัฐชยา วิถี")</f>
        <v>นพอ.ณัฐชยา วิถี</v>
      </c>
      <c r="G236" s="3" t="str">
        <f>IFERROR(__xludf.DUMMYFUNCTION("""COMPUTED_VALUE"""),"ช่วยเหลืองานภายใน วพอ.")</f>
        <v>ช่วยเหลืองานภายใน วพอ.</v>
      </c>
      <c r="H236" s="3" t="str">
        <f>IFERROR(__xludf.DUMMYFUNCTION("""COMPUTED_VALUE"""),"ขนของหอชาย")</f>
        <v>ขนของหอชาย</v>
      </c>
      <c r="I236" s="3" t="str">
        <f>IFERROR(__xludf.DUMMYFUNCTION("""COMPUTED_VALUE"""),"อาคารศูนย์การเรียนรู้")</f>
        <v>อาคารศูนย์การเรียนรู้</v>
      </c>
      <c r="J236" s="12">
        <f>IFERROR(__xludf.DUMMYFUNCTION("""COMPUTED_VALUE"""),45876.0)</f>
        <v>45876</v>
      </c>
      <c r="K236" s="3" t="str">
        <f>IFERROR(__xludf.DUMMYFUNCTION("""COMPUTED_VALUE"""),"1700-1900")</f>
        <v>1700-1900</v>
      </c>
      <c r="L236" s="3">
        <f>IFERROR(__xludf.DUMMYFUNCTION("""COMPUTED_VALUE"""),2.0)</f>
        <v>2</v>
      </c>
      <c r="M236" s="3" t="str">
        <f>IFERROR(__xludf.DUMMYFUNCTION("""COMPUTED_VALUE"""),"ร.อ.อนุชิต ทำจะดี")</f>
        <v>ร.อ.อนุชิต ทำจะดี</v>
      </c>
      <c r="N236" s="14" t="str">
        <f>IFERROR(__xludf.DUMMYFUNCTION("""COMPUTED_VALUE"""),"https://lh5.googleusercontent.com/d/1Pq1NSCjr4i9mrXaN41WGjIY4zU1fids8")</f>
        <v>https://lh5.googleusercontent.com/d/1Pq1NSCjr4i9mrXaN41WGjIY4zU1fids8</v>
      </c>
      <c r="O236" s="14" t="str">
        <f>IFERROR(__xludf.DUMMYFUNCTION("""COMPUTED_VALUE"""),"https://drive.google.com/file/d/1y1hsMvL9CtiyAe448fyof-rj7uSNRo5u/view?usp=drivesdk")</f>
        <v>https://drive.google.com/file/d/1y1hsMvL9CtiyAe448fyof-rj7uSNRo5u/view?usp=drivesdk</v>
      </c>
    </row>
    <row r="237">
      <c r="A237" s="3">
        <f>IFERROR(__xludf.DUMMYFUNCTION("""COMPUTED_VALUE"""),1259.0)</f>
        <v>1259</v>
      </c>
      <c r="B237" s="11">
        <f>IFERROR(__xludf.DUMMYFUNCTION("""COMPUTED_VALUE"""),45998.571584537036)</f>
        <v>45998.57158</v>
      </c>
      <c r="C237" s="3" t="str">
        <f>IFERROR(__xludf.DUMMYFUNCTION("""COMPUTED_VALUE"""),"ชั้นปีที่ 4")</f>
        <v>ชั้นปีที่ 4</v>
      </c>
      <c r="D237" s="3" t="str">
        <f>IFERROR(__xludf.DUMMYFUNCTION("""COMPUTED_VALUE"""),"6503706")</f>
        <v>6503706</v>
      </c>
      <c r="E237" s="3" t="str">
        <f>IFERROR(__xludf.DUMMYFUNCTION("""COMPUTED_VALUE"""),"17")</f>
        <v>17</v>
      </c>
      <c r="F237" s="3" t="str">
        <f>IFERROR(__xludf.DUMMYFUNCTION("""COMPUTED_VALUE"""),"นพอ.ณัฐชยา วิถี")</f>
        <v>นพอ.ณัฐชยา วิถี</v>
      </c>
      <c r="G237" s="3" t="str">
        <f>IFERROR(__xludf.DUMMYFUNCTION("""COMPUTED_VALUE"""),"ทำนุบำรุงศาสนสถาน")</f>
        <v>ทำนุบำรุงศาสนสถาน</v>
      </c>
      <c r="H237" s="3" t="str">
        <f>IFERROR(__xludf.DUMMYFUNCTION("""COMPUTED_VALUE"""),"ทำความสะอาดวัด")</f>
        <v>ทำความสะอาดวัด</v>
      </c>
      <c r="I237" s="3" t="str">
        <f>IFERROR(__xludf.DUMMYFUNCTION("""COMPUTED_VALUE"""),"วัดวิเวกอาคม อ.เมือง จ.ฉะเชิงเทรา")</f>
        <v>วัดวิเวกอาคม อ.เมือง จ.ฉะเชิงเทรา</v>
      </c>
      <c r="J237" s="12">
        <f>IFERROR(__xludf.DUMMYFUNCTION("""COMPUTED_VALUE"""),45955.0)</f>
        <v>45955</v>
      </c>
      <c r="K237" s="3" t="str">
        <f>IFERROR(__xludf.DUMMYFUNCTION("""COMPUTED_VALUE"""),"0800-1200")</f>
        <v>0800-1200</v>
      </c>
      <c r="L237" s="3">
        <f>IFERROR(__xludf.DUMMYFUNCTION("""COMPUTED_VALUE"""),4.0)</f>
        <v>4</v>
      </c>
      <c r="M237" s="3" t="str">
        <f>IFERROR(__xludf.DUMMYFUNCTION("""COMPUTED_VALUE"""),"นางธัญญพัทธ์ นพพรธนพัฒน์ ")</f>
        <v>นางธัญญพัทธ์ นพพรธนพัฒน์ </v>
      </c>
      <c r="N237" s="14" t="str">
        <f>IFERROR(__xludf.DUMMYFUNCTION("""COMPUTED_VALUE"""),"https://lh5.googleusercontent.com/d/1ihHphSguyW08Ay8V-mWlMzNoy2s31_ZI")</f>
        <v>https://lh5.googleusercontent.com/d/1ihHphSguyW08Ay8V-mWlMzNoy2s31_ZI</v>
      </c>
      <c r="O237" s="14" t="str">
        <f>IFERROR(__xludf.DUMMYFUNCTION("""COMPUTED_VALUE"""),"https://drive.google.com/file/d/1G4SZmNhj-G0Ec6uBJBLdE1NTahOlmUiX/view?usp=drivesdk")</f>
        <v>https://drive.google.com/file/d/1G4SZmNhj-G0Ec6uBJBLdE1NTahOlmUiX/view?usp=drivesdk</v>
      </c>
    </row>
    <row r="238">
      <c r="A238" s="3">
        <f>IFERROR(__xludf.DUMMYFUNCTION("""COMPUTED_VALUE"""),1267.0)</f>
        <v>1267</v>
      </c>
      <c r="B238" s="11">
        <f>IFERROR(__xludf.DUMMYFUNCTION("""COMPUTED_VALUE"""),45998.6766440625)</f>
        <v>45998.67664</v>
      </c>
      <c r="C238" s="3" t="str">
        <f>IFERROR(__xludf.DUMMYFUNCTION("""COMPUTED_VALUE"""),"ชั้นปีที่ 4")</f>
        <v>ชั้นปีที่ 4</v>
      </c>
      <c r="D238" s="3" t="str">
        <f>IFERROR(__xludf.DUMMYFUNCTION("""COMPUTED_VALUE"""),"6503712")</f>
        <v>6503712</v>
      </c>
      <c r="E238" s="3" t="str">
        <f>IFERROR(__xludf.DUMMYFUNCTION("""COMPUTED_VALUE"""),"23")</f>
        <v>23</v>
      </c>
      <c r="F238" s="3" t="str">
        <f>IFERROR(__xludf.DUMMYFUNCTION("""COMPUTED_VALUE"""),"นพอ.ดาราพรรณ บุญแลบ")</f>
        <v>นพอ.ดาราพรรณ บุญแลบ</v>
      </c>
      <c r="G23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8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38" s="3" t="str">
        <f>IFERROR(__xludf.DUMMYFUNCTION("""COMPUTED_VALUE"""),"สโมสรทหารอากาศชั้นประทวน")</f>
        <v>สโมสรทหารอากาศชั้นประทวน</v>
      </c>
      <c r="J238" s="12">
        <f>IFERROR(__xludf.DUMMYFUNCTION("""COMPUTED_VALUE"""),45854.0)</f>
        <v>45854</v>
      </c>
      <c r="K238" s="3" t="str">
        <f>IFERROR(__xludf.DUMMYFUNCTION("""COMPUTED_VALUE"""),"0700-1300")</f>
        <v>0700-1300</v>
      </c>
      <c r="L238" s="3">
        <f>IFERROR(__xludf.DUMMYFUNCTION("""COMPUTED_VALUE"""),6.0)</f>
        <v>6</v>
      </c>
      <c r="M238" s="3" t="str">
        <f>IFERROR(__xludf.DUMMYFUNCTION("""COMPUTED_VALUE"""),"น.ต.หญิง ตวงทิพย์ ลดาวัลย์")</f>
        <v>น.ต.หญิง ตวงทิพย์ ลดาวัลย์</v>
      </c>
      <c r="N238" s="14" t="str">
        <f>IFERROR(__xludf.DUMMYFUNCTION("""COMPUTED_VALUE"""),"https://lh5.googleusercontent.com/d/1u8cDK73oir7e3c8qwfr5DluDE1_4bceU")</f>
        <v>https://lh5.googleusercontent.com/d/1u8cDK73oir7e3c8qwfr5DluDE1_4bceU</v>
      </c>
      <c r="O238" s="14" t="str">
        <f>IFERROR(__xludf.DUMMYFUNCTION("""COMPUTED_VALUE"""),"https://drive.google.com/file/d/1D9HN2bOIxTC8vrgZRC6hBIfRuN-3xZqW/view?usp=drivesdk")</f>
        <v>https://drive.google.com/file/d/1D9HN2bOIxTC8vrgZRC6hBIfRuN-3xZqW/view?usp=drivesdk</v>
      </c>
    </row>
    <row r="239">
      <c r="A239" s="3">
        <f>IFERROR(__xludf.DUMMYFUNCTION("""COMPUTED_VALUE"""),1285.0)</f>
        <v>1285</v>
      </c>
      <c r="B239" s="11">
        <f>IFERROR(__xludf.DUMMYFUNCTION("""COMPUTED_VALUE"""),45998.77973927084)</f>
        <v>45998.77974</v>
      </c>
      <c r="C239" s="3" t="str">
        <f>IFERROR(__xludf.DUMMYFUNCTION("""COMPUTED_VALUE"""),"ชั้นปีที่ 4")</f>
        <v>ชั้นปีที่ 4</v>
      </c>
      <c r="D239" s="3" t="str">
        <f>IFERROR(__xludf.DUMMYFUNCTION("""COMPUTED_VALUE"""),"6503700")</f>
        <v>6503700</v>
      </c>
      <c r="E239" s="3" t="str">
        <f>IFERROR(__xludf.DUMMYFUNCTION("""COMPUTED_VALUE"""),"11")</f>
        <v>11</v>
      </c>
      <c r="F239" s="3" t="str">
        <f>IFERROR(__xludf.DUMMYFUNCTION("""COMPUTED_VALUE"""),"นพอ.ฉายแสง สมหวัง")</f>
        <v>นพอ.ฉายแสง สมหวัง</v>
      </c>
      <c r="G239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39" s="3" t="str">
        <f>IFERROR(__xludf.DUMMYFUNCTION("""COMPUTED_VALUE"""),"พัฒนาหมู่บ้าน เนื่องในวันพ่อแห่งชาติ")</f>
        <v>พัฒนาหมู่บ้าน เนื่องในวันพ่อแห่งชาติ</v>
      </c>
      <c r="I239" s="3" t="str">
        <f>IFERROR(__xludf.DUMMYFUNCTION("""COMPUTED_VALUE"""),"บ้านกระโพธิ์ ม.17 ต.แตล อ.ศีขรภูมิ จ.สุรินทร์")</f>
        <v>บ้านกระโพธิ์ ม.17 ต.แตล อ.ศีขรภูมิ จ.สุรินทร์</v>
      </c>
      <c r="J239" s="12">
        <f>IFERROR(__xludf.DUMMYFUNCTION("""COMPUTED_VALUE"""),45997.0)</f>
        <v>45997</v>
      </c>
      <c r="K239" s="3" t="str">
        <f>IFERROR(__xludf.DUMMYFUNCTION("""COMPUTED_VALUE"""),"0800-1200")</f>
        <v>0800-1200</v>
      </c>
      <c r="L239" s="3">
        <f>IFERROR(__xludf.DUMMYFUNCTION("""COMPUTED_VALUE"""),4.0)</f>
        <v>4</v>
      </c>
      <c r="M239" s="3" t="str">
        <f>IFERROR(__xludf.DUMMYFUNCTION("""COMPUTED_VALUE"""),"นางอัจฉราภรณ์ สมหวัง")</f>
        <v>นางอัจฉราภรณ์ สมหวัง</v>
      </c>
      <c r="N239" s="14" t="str">
        <f>IFERROR(__xludf.DUMMYFUNCTION("""COMPUTED_VALUE"""),"https://lh5.googleusercontent.com/d/1iZu23_5qbLYlEiZM79__ExRcRqXClSX_")</f>
        <v>https://lh5.googleusercontent.com/d/1iZu23_5qbLYlEiZM79__ExRcRqXClSX_</v>
      </c>
      <c r="O239" s="14" t="str">
        <f>IFERROR(__xludf.DUMMYFUNCTION("""COMPUTED_VALUE"""),"https://drive.google.com/file/d/14tkp1JZeaO9WZIv3EJBGAaI7NtXX4kds/view?usp=drivesdk")</f>
        <v>https://drive.google.com/file/d/14tkp1JZeaO9WZIv3EJBGAaI7NtXX4kds/view?usp=drivesdk</v>
      </c>
    </row>
    <row r="240">
      <c r="A240" s="3">
        <f>IFERROR(__xludf.DUMMYFUNCTION("""COMPUTED_VALUE"""),1288.0)</f>
        <v>1288</v>
      </c>
      <c r="B240" s="11">
        <f>IFERROR(__xludf.DUMMYFUNCTION("""COMPUTED_VALUE"""),45998.78770056713)</f>
        <v>45998.7877</v>
      </c>
      <c r="C240" s="3" t="str">
        <f>IFERROR(__xludf.DUMMYFUNCTION("""COMPUTED_VALUE"""),"ชั้นปีที่ 4")</f>
        <v>ชั้นปีที่ 4</v>
      </c>
      <c r="D240" s="3" t="str">
        <f>IFERROR(__xludf.DUMMYFUNCTION("""COMPUTED_VALUE"""),"6503707")</f>
        <v>6503707</v>
      </c>
      <c r="E240" s="3" t="str">
        <f>IFERROR(__xludf.DUMMYFUNCTION("""COMPUTED_VALUE"""),"18")</f>
        <v>18</v>
      </c>
      <c r="F240" s="3" t="str">
        <f>IFERROR(__xludf.DUMMYFUNCTION("""COMPUTED_VALUE"""),"นพอ.ณัฐชิตา ชูเกียรติ")</f>
        <v>นพอ.ณัฐชิตา ชูเกียรติ</v>
      </c>
      <c r="G240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0" s="3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240" s="3" t="str">
        <f>IFERROR(__xludf.DUMMYFUNCTION("""COMPUTED_VALUE"""),"หมู่1 บางตีนเป็ด ฉะเชิงเทรา")</f>
        <v>หมู่1 บางตีนเป็ด ฉะเชิงเทรา</v>
      </c>
      <c r="J240" s="12">
        <f>IFERROR(__xludf.DUMMYFUNCTION("""COMPUTED_VALUE"""),45980.0)</f>
        <v>45980</v>
      </c>
      <c r="K240" s="3" t="str">
        <f>IFERROR(__xludf.DUMMYFUNCTION("""COMPUTED_VALUE"""),"0800-1200")</f>
        <v>0800-1200</v>
      </c>
      <c r="L240" s="3">
        <f>IFERROR(__xludf.DUMMYFUNCTION("""COMPUTED_VALUE"""),4.0)</f>
        <v>4</v>
      </c>
      <c r="M240" s="3" t="str">
        <f>IFERROR(__xludf.DUMMYFUNCTION("""COMPUTED_VALUE"""),"คุณเกสร เจริญสิทธิสงค์")</f>
        <v>คุณเกสร เจริญสิทธิสงค์</v>
      </c>
      <c r="N240" s="14" t="str">
        <f>IFERROR(__xludf.DUMMYFUNCTION("""COMPUTED_VALUE"""),"https://lh5.googleusercontent.com/d/1sJaSzwjG_xeGGzvpqokt61XLVYUqFxN6")</f>
        <v>https://lh5.googleusercontent.com/d/1sJaSzwjG_xeGGzvpqokt61XLVYUqFxN6</v>
      </c>
      <c r="O240" s="14" t="str">
        <f>IFERROR(__xludf.DUMMYFUNCTION("""COMPUTED_VALUE"""),"https://drive.google.com/file/d/1ZV9PVzyq2WCKTgF5AOIvQvmeRe8-AFEb/view?usp=drivesdk")</f>
        <v>https://drive.google.com/file/d/1ZV9PVzyq2WCKTgF5AOIvQvmeRe8-AFEb/view?usp=drivesdk</v>
      </c>
    </row>
    <row r="241">
      <c r="A241" s="3">
        <f>IFERROR(__xludf.DUMMYFUNCTION("""COMPUTED_VALUE"""),1289.0)</f>
        <v>1289</v>
      </c>
      <c r="B241" s="11">
        <f>IFERROR(__xludf.DUMMYFUNCTION("""COMPUTED_VALUE"""),45998.793556076394)</f>
        <v>45998.79356</v>
      </c>
      <c r="C241" s="3" t="str">
        <f>IFERROR(__xludf.DUMMYFUNCTION("""COMPUTED_VALUE"""),"ชั้นปีที่ 4")</f>
        <v>ชั้นปีที่ 4</v>
      </c>
      <c r="D241" s="3" t="str">
        <f>IFERROR(__xludf.DUMMYFUNCTION("""COMPUTED_VALUE"""),"6503706")</f>
        <v>6503706</v>
      </c>
      <c r="E241" s="3" t="str">
        <f>IFERROR(__xludf.DUMMYFUNCTION("""COMPUTED_VALUE"""),"17")</f>
        <v>17</v>
      </c>
      <c r="F241" s="3" t="str">
        <f>IFERROR(__xludf.DUMMYFUNCTION("""COMPUTED_VALUE"""),"นพอ.ณัฐชยา วิถี")</f>
        <v>นพอ.ณัฐชยา วิถี</v>
      </c>
      <c r="G241" s="3" t="str">
        <f>IFERROR(__xludf.DUMMYFUNCTION("""COMPUTED_VALUE"""),"ทำนุบำรุงศาสนสถาน")</f>
        <v>ทำนุบำรุงศาสนสถาน</v>
      </c>
      <c r="H241" s="3" t="str">
        <f>IFERROR(__xludf.DUMMYFUNCTION("""COMPUTED_VALUE"""),"ทำความสะอาดวัด")</f>
        <v>ทำความสะอาดวัด</v>
      </c>
      <c r="I241" s="3" t="str">
        <f>IFERROR(__xludf.DUMMYFUNCTION("""COMPUTED_VALUE"""),"วัดเที่ยงพิมลมุข (ใหม่บางขวัญ) ")</f>
        <v>วัดเที่ยงพิมลมุข (ใหม่บางขวัญ) </v>
      </c>
      <c r="J241" s="12">
        <f>IFERROR(__xludf.DUMMYFUNCTION("""COMPUTED_VALUE"""),45961.0)</f>
        <v>45961</v>
      </c>
      <c r="K241" s="3" t="str">
        <f>IFERROR(__xludf.DUMMYFUNCTION("""COMPUTED_VALUE"""),"0800-1200")</f>
        <v>0800-1200</v>
      </c>
      <c r="L241" s="3">
        <f>IFERROR(__xludf.DUMMYFUNCTION("""COMPUTED_VALUE"""),4.0)</f>
        <v>4</v>
      </c>
      <c r="M241" s="3" t="str">
        <f>IFERROR(__xludf.DUMMYFUNCTION("""COMPUTED_VALUE"""),"นางธัญญพัทธ์ นพพรธนพัฒน์ ")</f>
        <v>นางธัญญพัทธ์ นพพรธนพัฒน์ </v>
      </c>
      <c r="N241" s="14" t="str">
        <f>IFERROR(__xludf.DUMMYFUNCTION("""COMPUTED_VALUE"""),"https://lh5.googleusercontent.com/d/1wx30VKQ2t_cI94ZA9Hqe5fIZIAaB_gig")</f>
        <v>https://lh5.googleusercontent.com/d/1wx30VKQ2t_cI94ZA9Hqe5fIZIAaB_gig</v>
      </c>
      <c r="O241" s="14" t="str">
        <f>IFERROR(__xludf.DUMMYFUNCTION("""COMPUTED_VALUE"""),"https://drive.google.com/file/d/1eXudE_4sgqtYIw40plxxRDuWIxM4v2KT/view?usp=drivesdk")</f>
        <v>https://drive.google.com/file/d/1eXudE_4sgqtYIw40plxxRDuWIxM4v2KT/view?usp=drivesdk</v>
      </c>
    </row>
    <row r="242">
      <c r="A242" s="3">
        <f>IFERROR(__xludf.DUMMYFUNCTION("""COMPUTED_VALUE"""),1291.0)</f>
        <v>1291</v>
      </c>
      <c r="B242" s="11">
        <f>IFERROR(__xludf.DUMMYFUNCTION("""COMPUTED_VALUE"""),45998.797077129624)</f>
        <v>45998.79708</v>
      </c>
      <c r="C242" s="3" t="str">
        <f>IFERROR(__xludf.DUMMYFUNCTION("""COMPUTED_VALUE"""),"ชั้นปีที่ 4")</f>
        <v>ชั้นปีที่ 4</v>
      </c>
      <c r="D242" s="3" t="str">
        <f>IFERROR(__xludf.DUMMYFUNCTION("""COMPUTED_VALUE"""),"6503706")</f>
        <v>6503706</v>
      </c>
      <c r="E242" s="3" t="str">
        <f>IFERROR(__xludf.DUMMYFUNCTION("""COMPUTED_VALUE"""),"17")</f>
        <v>17</v>
      </c>
      <c r="F242" s="3" t="str">
        <f>IFERROR(__xludf.DUMMYFUNCTION("""COMPUTED_VALUE"""),"นพอ.ณัฐชยา วิถี")</f>
        <v>นพอ.ณัฐชยา วิถี</v>
      </c>
      <c r="G24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2" s="3" t="str">
        <f>IFERROR(__xludf.DUMMYFUNCTION("""COMPUTED_VALUE"""),"ช่วยงานกฐิน")</f>
        <v>ช่วยงานกฐิน</v>
      </c>
      <c r="I242" s="3" t="str">
        <f>IFERROR(__xludf.DUMMYFUNCTION("""COMPUTED_VALUE"""),"วัดเที่ยงพิมลมุข (ใหม่บางขวัญ) ")</f>
        <v>วัดเที่ยงพิมลมุข (ใหม่บางขวัญ) </v>
      </c>
      <c r="J242" s="12">
        <f>IFERROR(__xludf.DUMMYFUNCTION("""COMPUTED_VALUE"""),45963.0)</f>
        <v>45963</v>
      </c>
      <c r="K242" s="3" t="str">
        <f>IFERROR(__xludf.DUMMYFUNCTION("""COMPUTED_VALUE"""),"0800-1200")</f>
        <v>0800-1200</v>
      </c>
      <c r="L242" s="3">
        <f>IFERROR(__xludf.DUMMYFUNCTION("""COMPUTED_VALUE"""),4.0)</f>
        <v>4</v>
      </c>
      <c r="M242" s="3" t="str">
        <f>IFERROR(__xludf.DUMMYFUNCTION("""COMPUTED_VALUE"""),"นางธัญญพัทธ์ นพพรธนพัฒน์ ")</f>
        <v>นางธัญญพัทธ์ นพพรธนพัฒน์ </v>
      </c>
      <c r="N242" s="14" t="str">
        <f>IFERROR(__xludf.DUMMYFUNCTION("""COMPUTED_VALUE"""),"https://lh5.googleusercontent.com/d/1grg5VqSJ0LEEhMIvELeZx2NJAcc8bUB7")</f>
        <v>https://lh5.googleusercontent.com/d/1grg5VqSJ0LEEhMIvELeZx2NJAcc8bUB7</v>
      </c>
      <c r="O242" s="14" t="str">
        <f>IFERROR(__xludf.DUMMYFUNCTION("""COMPUTED_VALUE"""),"https://drive.google.com/file/d/1tgePegVFE4a76W2GHfPjV-w1cF0dxWx1/view?usp=drivesdk")</f>
        <v>https://drive.google.com/file/d/1tgePegVFE4a76W2GHfPjV-w1cF0dxWx1/view?usp=drivesdk</v>
      </c>
    </row>
    <row r="243">
      <c r="A243" s="3">
        <f>IFERROR(__xludf.DUMMYFUNCTION("""COMPUTED_VALUE"""),1292.0)</f>
        <v>1292</v>
      </c>
      <c r="B243" s="11">
        <f>IFERROR(__xludf.DUMMYFUNCTION("""COMPUTED_VALUE"""),45998.79745247685)</f>
        <v>45998.79745</v>
      </c>
      <c r="C243" s="3" t="str">
        <f>IFERROR(__xludf.DUMMYFUNCTION("""COMPUTED_VALUE"""),"ชั้นปีที่ 4")</f>
        <v>ชั้นปีที่ 4</v>
      </c>
      <c r="D243" s="3" t="str">
        <f>IFERROR(__xludf.DUMMYFUNCTION("""COMPUTED_VALUE"""),"6503707")</f>
        <v>6503707</v>
      </c>
      <c r="E243" s="3" t="str">
        <f>IFERROR(__xludf.DUMMYFUNCTION("""COMPUTED_VALUE"""),"18")</f>
        <v>18</v>
      </c>
      <c r="F243" s="3" t="str">
        <f>IFERROR(__xludf.DUMMYFUNCTION("""COMPUTED_VALUE"""),"นพอ.ณัฐชิตา ชูเกียรติ")</f>
        <v>นพอ.ณัฐชิตา ชูเกียรติ</v>
      </c>
      <c r="G24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3" s="3" t="str">
        <f>IFERROR(__xludf.DUMMYFUNCTION("""COMPUTED_VALUE"""),"คลีนิกคัดดรองโรคเรื้อรัง")</f>
        <v>คลีนิกคัดดรองโรคเรื้อรัง</v>
      </c>
      <c r="I243" s="3" t="str">
        <f>IFERROR(__xludf.DUMMYFUNCTION("""COMPUTED_VALUE"""),"อนามัยบางตีนเป็ด ฉะเชิงเทรา")</f>
        <v>อนามัยบางตีนเป็ด ฉะเชิงเทรา</v>
      </c>
      <c r="J243" s="12">
        <f>IFERROR(__xludf.DUMMYFUNCTION("""COMPUTED_VALUE"""),45991.0)</f>
        <v>45991</v>
      </c>
      <c r="K243" s="3" t="str">
        <f>IFERROR(__xludf.DUMMYFUNCTION("""COMPUTED_VALUE"""),"0700-1100")</f>
        <v>0700-1100</v>
      </c>
      <c r="L243" s="3">
        <f>IFERROR(__xludf.DUMMYFUNCTION("""COMPUTED_VALUE"""),4.0)</f>
        <v>4</v>
      </c>
      <c r="M243" s="3" t="str">
        <f>IFERROR(__xludf.DUMMYFUNCTION("""COMPUTED_VALUE"""),"คุณเกสร เจริญสิทธิสงค์")</f>
        <v>คุณเกสร เจริญสิทธิสงค์</v>
      </c>
      <c r="N243" s="14" t="str">
        <f>IFERROR(__xludf.DUMMYFUNCTION("""COMPUTED_VALUE"""),"https://lh5.googleusercontent.com/d/1rzAlia-WESIx-LdlplxRcm8bY-hcEXY7")</f>
        <v>https://lh5.googleusercontent.com/d/1rzAlia-WESIx-LdlplxRcm8bY-hcEXY7</v>
      </c>
      <c r="O243" s="14" t="str">
        <f>IFERROR(__xludf.DUMMYFUNCTION("""COMPUTED_VALUE"""),"https://drive.google.com/file/d/1Djvo2twyTYmVYlxbk-na7S1BmMmJoKxO/view?usp=drivesdk")</f>
        <v>https://drive.google.com/file/d/1Djvo2twyTYmVYlxbk-na7S1BmMmJoKxO/view?usp=drivesdk</v>
      </c>
    </row>
    <row r="244">
      <c r="A244" s="3">
        <f>IFERROR(__xludf.DUMMYFUNCTION("""COMPUTED_VALUE"""),1293.0)</f>
        <v>1293</v>
      </c>
      <c r="B244" s="11">
        <f>IFERROR(__xludf.DUMMYFUNCTION("""COMPUTED_VALUE"""),45998.80117972222)</f>
        <v>45998.80118</v>
      </c>
      <c r="C244" s="3" t="str">
        <f>IFERROR(__xludf.DUMMYFUNCTION("""COMPUTED_VALUE"""),"ชั้นปีที่ 4")</f>
        <v>ชั้นปีที่ 4</v>
      </c>
      <c r="D244" s="3" t="str">
        <f>IFERROR(__xludf.DUMMYFUNCTION("""COMPUTED_VALUE"""),"6503707")</f>
        <v>6503707</v>
      </c>
      <c r="E244" s="3" t="str">
        <f>IFERROR(__xludf.DUMMYFUNCTION("""COMPUTED_VALUE"""),"18")</f>
        <v>18</v>
      </c>
      <c r="F244" s="3" t="str">
        <f>IFERROR(__xludf.DUMMYFUNCTION("""COMPUTED_VALUE"""),"นพอ.ณัฐชิตา ชูเกียรติ")</f>
        <v>นพอ.ณัฐชิตา ชูเกียรติ</v>
      </c>
      <c r="G24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4" s="3" t="str">
        <f>IFERROR(__xludf.DUMMYFUNCTION("""COMPUTED_VALUE"""),"เฝ้าระวังและคัดกรองโรคเลาหวานและความดันโลหิตสูง")</f>
        <v>เฝ้าระวังและคัดกรองโรคเลาหวานและความดันโลหิตสูง</v>
      </c>
      <c r="I244" s="3" t="str">
        <f>IFERROR(__xludf.DUMMYFUNCTION("""COMPUTED_VALUE"""),"วัดสุวรรณดาราม")</f>
        <v>วัดสุวรรณดาราม</v>
      </c>
      <c r="J244" s="12">
        <f>IFERROR(__xludf.DUMMYFUNCTION("""COMPUTED_VALUE"""),45942.0)</f>
        <v>45942</v>
      </c>
      <c r="K244" s="3" t="str">
        <f>IFERROR(__xludf.DUMMYFUNCTION("""COMPUTED_VALUE"""),"0800-1200")</f>
        <v>0800-1200</v>
      </c>
      <c r="L244" s="3">
        <f>IFERROR(__xludf.DUMMYFUNCTION("""COMPUTED_VALUE"""),4.0)</f>
        <v>4</v>
      </c>
      <c r="M244" s="3" t="str">
        <f>IFERROR(__xludf.DUMMYFUNCTION("""COMPUTED_VALUE"""),"คุณเกสร เจริญสิทธิสงค์")</f>
        <v>คุณเกสร เจริญสิทธิสงค์</v>
      </c>
      <c r="N244" s="14" t="str">
        <f>IFERROR(__xludf.DUMMYFUNCTION("""COMPUTED_VALUE"""),"https://lh5.googleusercontent.com/d/1o7GZaOESE5WtNvLmjNlxkmVYNUc-mH0K")</f>
        <v>https://lh5.googleusercontent.com/d/1o7GZaOESE5WtNvLmjNlxkmVYNUc-mH0K</v>
      </c>
      <c r="O244" s="14" t="str">
        <f>IFERROR(__xludf.DUMMYFUNCTION("""COMPUTED_VALUE"""),"https://drive.google.com/file/d/19_G4SlPVKy8Du1ETw0Y1rjCeLzQTqSgZ/view?usp=drivesdk")</f>
        <v>https://drive.google.com/file/d/19_G4SlPVKy8Du1ETw0Y1rjCeLzQTqSgZ/view?usp=drivesdk</v>
      </c>
    </row>
    <row r="245">
      <c r="A245" s="3">
        <f>IFERROR(__xludf.DUMMYFUNCTION("""COMPUTED_VALUE"""),1294.0)</f>
        <v>1294</v>
      </c>
      <c r="B245" s="11">
        <f>IFERROR(__xludf.DUMMYFUNCTION("""COMPUTED_VALUE"""),45998.80451070602)</f>
        <v>45998.80451</v>
      </c>
      <c r="C245" s="3" t="str">
        <f>IFERROR(__xludf.DUMMYFUNCTION("""COMPUTED_VALUE"""),"ชั้นปีที่ 4")</f>
        <v>ชั้นปีที่ 4</v>
      </c>
      <c r="D245" s="3" t="str">
        <f>IFERROR(__xludf.DUMMYFUNCTION("""COMPUTED_VALUE"""),"6503707")</f>
        <v>6503707</v>
      </c>
      <c r="E245" s="3" t="str">
        <f>IFERROR(__xludf.DUMMYFUNCTION("""COMPUTED_VALUE"""),"18")</f>
        <v>18</v>
      </c>
      <c r="F245" s="3" t="str">
        <f>IFERROR(__xludf.DUMMYFUNCTION("""COMPUTED_VALUE"""),"นพอ.ณัฐชิตา ชูเกียรติ")</f>
        <v>นพอ.ณัฐชิตา ชูเกียรติ</v>
      </c>
      <c r="G24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5" s="3" t="str">
        <f>IFERROR(__xludf.DUMMYFUNCTION("""COMPUTED_VALUE"""),"แผนการซ้อมดับเพลิงและอพยพ ")</f>
        <v>แผนการซ้อมดับเพลิงและอพยพ </v>
      </c>
      <c r="I245" s="3" t="str">
        <f>IFERROR(__xludf.DUMMYFUNCTION("""COMPUTED_VALUE"""),"โรงเรียนสันติภาพ")</f>
        <v>โรงเรียนสันติภาพ</v>
      </c>
      <c r="J245" s="12">
        <f>IFERROR(__xludf.DUMMYFUNCTION("""COMPUTED_VALUE"""),45965.0)</f>
        <v>45965</v>
      </c>
      <c r="K245" s="3" t="str">
        <f>IFERROR(__xludf.DUMMYFUNCTION("""COMPUTED_VALUE"""),"0800-1200")</f>
        <v>0800-1200</v>
      </c>
      <c r="L245" s="3">
        <f>IFERROR(__xludf.DUMMYFUNCTION("""COMPUTED_VALUE"""),4.0)</f>
        <v>4</v>
      </c>
      <c r="M245" s="3" t="str">
        <f>IFERROR(__xludf.DUMMYFUNCTION("""COMPUTED_VALUE"""),"คุณเกสร เจริญสิทธิสงค์")</f>
        <v>คุณเกสร เจริญสิทธิสงค์</v>
      </c>
      <c r="N245" s="14" t="str">
        <f>IFERROR(__xludf.DUMMYFUNCTION("""COMPUTED_VALUE"""),"https://lh5.googleusercontent.com/d/16CYE7GN-qION7RGdJ093YlUSordRPXgj")</f>
        <v>https://lh5.googleusercontent.com/d/16CYE7GN-qION7RGdJ093YlUSordRPXgj</v>
      </c>
      <c r="O245" s="14" t="str">
        <f>IFERROR(__xludf.DUMMYFUNCTION("""COMPUTED_VALUE"""),"https://drive.google.com/file/d/1NB7ZBxCKfoEduTJD5bcGjP_FZePHfnSh/view?usp=drivesdk")</f>
        <v>https://drive.google.com/file/d/1NB7ZBxCKfoEduTJD5bcGjP_FZePHfnSh/view?usp=drivesdk</v>
      </c>
    </row>
    <row r="246">
      <c r="A246" s="3">
        <f>IFERROR(__xludf.DUMMYFUNCTION("""COMPUTED_VALUE"""),1295.0)</f>
        <v>1295</v>
      </c>
      <c r="B246" s="11">
        <f>IFERROR(__xludf.DUMMYFUNCTION("""COMPUTED_VALUE"""),45998.805069236114)</f>
        <v>45998.80507</v>
      </c>
      <c r="C246" s="3" t="str">
        <f>IFERROR(__xludf.DUMMYFUNCTION("""COMPUTED_VALUE"""),"ชั้นปีที่ 4")</f>
        <v>ชั้นปีที่ 4</v>
      </c>
      <c r="D246" s="3" t="str">
        <f>IFERROR(__xludf.DUMMYFUNCTION("""COMPUTED_VALUE"""),"6503696")</f>
        <v>6503696</v>
      </c>
      <c r="E246" s="3" t="str">
        <f>IFERROR(__xludf.DUMMYFUNCTION("""COMPUTED_VALUE"""),"7")</f>
        <v>7</v>
      </c>
      <c r="F246" s="3" t="str">
        <f>IFERROR(__xludf.DUMMYFUNCTION("""COMPUTED_VALUE"""),"คันธรส ฉายะวงษ์")</f>
        <v>คันธรส ฉายะวงษ์</v>
      </c>
      <c r="G2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6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46" s="3" t="str">
        <f>IFERROR(__xludf.DUMMYFUNCTION("""COMPUTED_VALUE"""),"สโมสรทหารอากาศชั้นประทวน")</f>
        <v>สโมสรทหารอากาศชั้นประทวน</v>
      </c>
      <c r="J246" s="12">
        <f>IFERROR(__xludf.DUMMYFUNCTION("""COMPUTED_VALUE"""),45854.0)</f>
        <v>45854</v>
      </c>
      <c r="K246" s="3" t="str">
        <f>IFERROR(__xludf.DUMMYFUNCTION("""COMPUTED_VALUE"""),"0700-1300")</f>
        <v>0700-1300</v>
      </c>
      <c r="L246" s="3">
        <f>IFERROR(__xludf.DUMMYFUNCTION("""COMPUTED_VALUE"""),6.0)</f>
        <v>6</v>
      </c>
      <c r="M246" s="3" t="str">
        <f>IFERROR(__xludf.DUMMYFUNCTION("""COMPUTED_VALUE"""),"น.ต.หญิง ตวงทิพย์ ลดาวัลย์")</f>
        <v>น.ต.หญิง ตวงทิพย์ ลดาวัลย์</v>
      </c>
      <c r="N246" s="14" t="str">
        <f>IFERROR(__xludf.DUMMYFUNCTION("""COMPUTED_VALUE"""),"https://lh5.googleusercontent.com/d/1GoipzMtun9_2AYThQuPBDCIu0-azItdX")</f>
        <v>https://lh5.googleusercontent.com/d/1GoipzMtun9_2AYThQuPBDCIu0-azItdX</v>
      </c>
      <c r="O246" s="14" t="str">
        <f>IFERROR(__xludf.DUMMYFUNCTION("""COMPUTED_VALUE"""),"https://drive.google.com/file/d/1_l1PFu97rLYZWSxzfO9spWcjhzjSIRd0/view?usp=drivesdk")</f>
        <v>https://drive.google.com/file/d/1_l1PFu97rLYZWSxzfO9spWcjhzjSIRd0/view?usp=drivesdk</v>
      </c>
    </row>
    <row r="247">
      <c r="A247" s="3">
        <f>IFERROR(__xludf.DUMMYFUNCTION("""COMPUTED_VALUE"""),1296.0)</f>
        <v>1296</v>
      </c>
      <c r="B247" s="11">
        <f>IFERROR(__xludf.DUMMYFUNCTION("""COMPUTED_VALUE"""),45998.8072895949)</f>
        <v>45998.80729</v>
      </c>
      <c r="C247" s="3" t="str">
        <f>IFERROR(__xludf.DUMMYFUNCTION("""COMPUTED_VALUE"""),"ชั้นปีที่ 4")</f>
        <v>ชั้นปีที่ 4</v>
      </c>
      <c r="D247" s="3" t="str">
        <f>IFERROR(__xludf.DUMMYFUNCTION("""COMPUTED_VALUE"""),"6503707")</f>
        <v>6503707</v>
      </c>
      <c r="E247" s="3" t="str">
        <f>IFERROR(__xludf.DUMMYFUNCTION("""COMPUTED_VALUE"""),"18")</f>
        <v>18</v>
      </c>
      <c r="F247" s="3" t="str">
        <f>IFERROR(__xludf.DUMMYFUNCTION("""COMPUTED_VALUE"""),"นพอ.ณัฐชิตา ชูเกียรติ")</f>
        <v>นพอ.ณัฐชิตา ชูเกียรติ</v>
      </c>
      <c r="G24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7" s="3" t="str">
        <f>IFERROR(__xludf.DUMMYFUNCTION("""COMPUTED_VALUE"""),"ปลูกต้นไม้ วันรักต้นไม้แห่งชาติ")</f>
        <v>ปลูกต้นไม้ วันรักต้นไม้แห่งชาติ</v>
      </c>
      <c r="I247" s="3" t="str">
        <f>IFERROR(__xludf.DUMMYFUNCTION("""COMPUTED_VALUE"""),"อนามัยบางตีนเป็ด ฉะเชิงเทรา")</f>
        <v>อนามัยบางตีนเป็ด ฉะเชิงเทรา</v>
      </c>
      <c r="J247" s="12">
        <f>IFERROR(__xludf.DUMMYFUNCTION("""COMPUTED_VALUE"""),45949.0)</f>
        <v>45949</v>
      </c>
      <c r="K247" s="3" t="str">
        <f>IFERROR(__xludf.DUMMYFUNCTION("""COMPUTED_VALUE"""),"0900-1300")</f>
        <v>0900-1300</v>
      </c>
      <c r="L247" s="3">
        <f>IFERROR(__xludf.DUMMYFUNCTION("""COMPUTED_VALUE"""),4.0)</f>
        <v>4</v>
      </c>
      <c r="M247" s="3" t="str">
        <f>IFERROR(__xludf.DUMMYFUNCTION("""COMPUTED_VALUE"""),"คุณเกสร เจริญสิทธิสงค์")</f>
        <v>คุณเกสร เจริญสิทธิสงค์</v>
      </c>
      <c r="N247" s="14" t="str">
        <f>IFERROR(__xludf.DUMMYFUNCTION("""COMPUTED_VALUE"""),"https://lh5.googleusercontent.com/d/1qgcMEGTbEVBxuj7UIDj1mL6gedeSA-B9")</f>
        <v>https://lh5.googleusercontent.com/d/1qgcMEGTbEVBxuj7UIDj1mL6gedeSA-B9</v>
      </c>
      <c r="O247" s="14" t="str">
        <f>IFERROR(__xludf.DUMMYFUNCTION("""COMPUTED_VALUE"""),"https://drive.google.com/file/d/1JY8yyButCds-7zMhdf59m7_1xYHJOuU4/view?usp=drivesdk")</f>
        <v>https://drive.google.com/file/d/1JY8yyButCds-7zMhdf59m7_1xYHJOuU4/view?usp=drivesdk</v>
      </c>
    </row>
    <row r="248">
      <c r="A248" s="3">
        <f>IFERROR(__xludf.DUMMYFUNCTION("""COMPUTED_VALUE"""),1297.0)</f>
        <v>1297</v>
      </c>
      <c r="B248" s="11">
        <f>IFERROR(__xludf.DUMMYFUNCTION("""COMPUTED_VALUE"""),45998.80831983796)</f>
        <v>45998.80832</v>
      </c>
      <c r="C248" s="3" t="str">
        <f>IFERROR(__xludf.DUMMYFUNCTION("""COMPUTED_VALUE"""),"ชั้นปีที่ 4")</f>
        <v>ชั้นปีที่ 4</v>
      </c>
      <c r="D248" s="3" t="str">
        <f>IFERROR(__xludf.DUMMYFUNCTION("""COMPUTED_VALUE"""),"6503706")</f>
        <v>6503706</v>
      </c>
      <c r="E248" s="3" t="str">
        <f>IFERROR(__xludf.DUMMYFUNCTION("""COMPUTED_VALUE"""),"17")</f>
        <v>17</v>
      </c>
      <c r="F248" s="3" t="str">
        <f>IFERROR(__xludf.DUMMYFUNCTION("""COMPUTED_VALUE"""),"นพอ.ณัฐชยา วิถี")</f>
        <v>นพอ.ณัฐชยา วิถี</v>
      </c>
      <c r="G24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48" s="3" t="str">
        <f>IFERROR(__xludf.DUMMYFUNCTION("""COMPUTED_VALUE"""),"บริจาคโลหิต")</f>
        <v>บริจาคโลหิต</v>
      </c>
      <c r="I248" s="3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248" s="12">
        <f>IFERROR(__xludf.DUMMYFUNCTION("""COMPUTED_VALUE"""),45880.0)</f>
        <v>45880</v>
      </c>
      <c r="K248" s="3" t="str">
        <f>IFERROR(__xludf.DUMMYFUNCTION("""COMPUTED_VALUE"""),"1000-1200")</f>
        <v>1000-1200</v>
      </c>
      <c r="L248" s="3">
        <f>IFERROR(__xludf.DUMMYFUNCTION("""COMPUTED_VALUE"""),8.0)</f>
        <v>8</v>
      </c>
      <c r="M248" s="3" t="str">
        <f>IFERROR(__xludf.DUMMYFUNCTION("""COMPUTED_VALUE"""),"ร.อ.อนุชิต ทำจะดี")</f>
        <v>ร.อ.อนุชิต ทำจะดี</v>
      </c>
      <c r="N248" s="14" t="str">
        <f>IFERROR(__xludf.DUMMYFUNCTION("""COMPUTED_VALUE"""),"https://lh5.googleusercontent.com/d/1TDweql4endpO_L6ORpsywwxOk-D8ZTnA")</f>
        <v>https://lh5.googleusercontent.com/d/1TDweql4endpO_L6ORpsywwxOk-D8ZTnA</v>
      </c>
      <c r="O248" s="14" t="str">
        <f>IFERROR(__xludf.DUMMYFUNCTION("""COMPUTED_VALUE"""),"https://drive.google.com/file/d/197ekSPJSdEbiUyc3D3eisuMXkNIq7llp/view?usp=drivesdk")</f>
        <v>https://drive.google.com/file/d/197ekSPJSdEbiUyc3D3eisuMXkNIq7llp/view?usp=drivesdk</v>
      </c>
    </row>
    <row r="249">
      <c r="A249" s="3">
        <f>IFERROR(__xludf.DUMMYFUNCTION("""COMPUTED_VALUE"""),1300.0)</f>
        <v>1300</v>
      </c>
      <c r="B249" s="11">
        <f>IFERROR(__xludf.DUMMYFUNCTION("""COMPUTED_VALUE"""),45998.81579678241)</f>
        <v>45998.8158</v>
      </c>
      <c r="C249" s="3" t="str">
        <f>IFERROR(__xludf.DUMMYFUNCTION("""COMPUTED_VALUE"""),"ชั้นปีที่ 4")</f>
        <v>ชั้นปีที่ 4</v>
      </c>
      <c r="D249" s="3" t="str">
        <f>IFERROR(__xludf.DUMMYFUNCTION("""COMPUTED_VALUE"""),"6503707")</f>
        <v>6503707</v>
      </c>
      <c r="E249" s="3" t="str">
        <f>IFERROR(__xludf.DUMMYFUNCTION("""COMPUTED_VALUE"""),"18")</f>
        <v>18</v>
      </c>
      <c r="F249" s="3" t="str">
        <f>IFERROR(__xludf.DUMMYFUNCTION("""COMPUTED_VALUE"""),"นพอ.ณัฐชิตา ชูเกียรติ")</f>
        <v>นพอ.ณัฐชิตา ชูเกียรติ</v>
      </c>
      <c r="G2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9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49" s="3" t="str">
        <f>IFERROR(__xludf.DUMMYFUNCTION("""COMPUTED_VALUE"""),"สโมสรประทวน")</f>
        <v>สโมสรประทวน</v>
      </c>
      <c r="J249" s="12">
        <f>IFERROR(__xludf.DUMMYFUNCTION("""COMPUTED_VALUE"""),45854.0)</f>
        <v>45854</v>
      </c>
      <c r="K249" s="3" t="str">
        <f>IFERROR(__xludf.DUMMYFUNCTION("""COMPUTED_VALUE"""),"0700-1300")</f>
        <v>0700-1300</v>
      </c>
      <c r="L249" s="3">
        <f>IFERROR(__xludf.DUMMYFUNCTION("""COMPUTED_VALUE"""),6.0)</f>
        <v>6</v>
      </c>
      <c r="M249" s="3" t="str">
        <f>IFERROR(__xludf.DUMMYFUNCTION("""COMPUTED_VALUE"""),"น.ต.หญิง ตวงทิพย์ ลดาวัลย์")</f>
        <v>น.ต.หญิง ตวงทิพย์ ลดาวัลย์</v>
      </c>
      <c r="N249" s="14" t="str">
        <f>IFERROR(__xludf.DUMMYFUNCTION("""COMPUTED_VALUE"""),"https://lh5.googleusercontent.com/d/1lSaAYo5fo38ayV9G2QVX2dgqjNX7K596")</f>
        <v>https://lh5.googleusercontent.com/d/1lSaAYo5fo38ayV9G2QVX2dgqjNX7K596</v>
      </c>
      <c r="O249" s="14" t="str">
        <f>IFERROR(__xludf.DUMMYFUNCTION("""COMPUTED_VALUE"""),"https://drive.google.com/file/d/1wEkJQ8cy_D7tkqlnk9UsH8gmSIXOupzg/view?usp=drivesdk")</f>
        <v>https://drive.google.com/file/d/1wEkJQ8cy_D7tkqlnk9UsH8gmSIXOupzg/view?usp=drivesdk</v>
      </c>
    </row>
    <row r="250">
      <c r="A250" s="3">
        <f>IFERROR(__xludf.DUMMYFUNCTION("""COMPUTED_VALUE"""),1305.0)</f>
        <v>1305</v>
      </c>
      <c r="B250" s="11">
        <f>IFERROR(__xludf.DUMMYFUNCTION("""COMPUTED_VALUE"""),45998.83174306713)</f>
        <v>45998.83174</v>
      </c>
      <c r="C250" s="3" t="str">
        <f>IFERROR(__xludf.DUMMYFUNCTION("""COMPUTED_VALUE"""),"ชั้นปีที่ 4")</f>
        <v>ชั้นปีที่ 4</v>
      </c>
      <c r="D250" s="3" t="str">
        <f>IFERROR(__xludf.DUMMYFUNCTION("""COMPUTED_VALUE"""),"6503712")</f>
        <v>6503712</v>
      </c>
      <c r="E250" s="3" t="str">
        <f>IFERROR(__xludf.DUMMYFUNCTION("""COMPUTED_VALUE"""),"23")</f>
        <v>23</v>
      </c>
      <c r="F250" s="3" t="str">
        <f>IFERROR(__xludf.DUMMYFUNCTION("""COMPUTED_VALUE"""),"นพอ.ดาราพรรณ บุญแลบ")</f>
        <v>นพอ.ดาราพรรณ บุญแลบ</v>
      </c>
      <c r="G250" s="3" t="str">
        <f>IFERROR(__xludf.DUMMYFUNCTION("""COMPUTED_VALUE"""),"ช่วยเหลืองานภายใน วพอ.")</f>
        <v>ช่วยเหลืองานภายใน วพอ.</v>
      </c>
      <c r="H250" s="3" t="str">
        <f>IFERROR(__xludf.DUMMYFUNCTION("""COMPUTED_VALUE"""),"แต่งแผล")</f>
        <v>แต่งแผล</v>
      </c>
      <c r="I250" s="3" t="str">
        <f>IFERROR(__xludf.DUMMYFUNCTION("""COMPUTED_VALUE"""),"ห้องสโมสร วพอ.")</f>
        <v>ห้องสโมสร วพอ.</v>
      </c>
      <c r="J250" s="12">
        <f>IFERROR(__xludf.DUMMYFUNCTION("""COMPUTED_VALUE"""),45847.0)</f>
        <v>45847</v>
      </c>
      <c r="K250" s="3" t="str">
        <f>IFERROR(__xludf.DUMMYFUNCTION("""COMPUTED_VALUE"""),"0700-0800")</f>
        <v>0700-0800</v>
      </c>
      <c r="L250" s="3">
        <f>IFERROR(__xludf.DUMMYFUNCTION("""COMPUTED_VALUE"""),1.0)</f>
        <v>1</v>
      </c>
      <c r="M250" s="3" t="str">
        <f>IFERROR(__xludf.DUMMYFUNCTION("""COMPUTED_VALUE"""),"น.ต.หญิง ตวงทิพย์ ลดาวัลย์")</f>
        <v>น.ต.หญิง ตวงทิพย์ ลดาวัลย์</v>
      </c>
      <c r="N250" s="14" t="str">
        <f>IFERROR(__xludf.DUMMYFUNCTION("""COMPUTED_VALUE"""),"https://lh5.googleusercontent.com/d/1v51ISlcnMDqEekKaRprH-EzR3DUyLSUG")</f>
        <v>https://lh5.googleusercontent.com/d/1v51ISlcnMDqEekKaRprH-EzR3DUyLSUG</v>
      </c>
      <c r="O250" s="14" t="str">
        <f>IFERROR(__xludf.DUMMYFUNCTION("""COMPUTED_VALUE"""),"https://drive.google.com/file/d/1Q_J8CqtZvDWS5MCFz8CvkWt180NViit1/view?usp=drivesdk")</f>
        <v>https://drive.google.com/file/d/1Q_J8CqtZvDWS5MCFz8CvkWt180NViit1/view?usp=drivesdk</v>
      </c>
    </row>
    <row r="251">
      <c r="A251" s="3">
        <f>IFERROR(__xludf.DUMMYFUNCTION("""COMPUTED_VALUE"""),1309.0)</f>
        <v>1309</v>
      </c>
      <c r="B251" s="11">
        <f>IFERROR(__xludf.DUMMYFUNCTION("""COMPUTED_VALUE"""),45998.85475839121)</f>
        <v>45998.85476</v>
      </c>
      <c r="C251" s="3" t="str">
        <f>IFERROR(__xludf.DUMMYFUNCTION("""COMPUTED_VALUE"""),"ชั้นปีที่ 4")</f>
        <v>ชั้นปีที่ 4</v>
      </c>
      <c r="D251" s="3" t="str">
        <f>IFERROR(__xludf.DUMMYFUNCTION("""COMPUTED_VALUE"""),"6503697")</f>
        <v>6503697</v>
      </c>
      <c r="E251" s="3" t="str">
        <f>IFERROR(__xludf.DUMMYFUNCTION("""COMPUTED_VALUE"""),"0")</f>
        <v>0</v>
      </c>
      <c r="F251" s="3" t="str">
        <f>IFERROR(__xludf.DUMMYFUNCTION("""COMPUTED_VALUE"""),"นพอ.จารวี จี๋จันทร์")</f>
        <v>นพอ.จารวี จี๋จันทร์</v>
      </c>
      <c r="G25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1" s="3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251" s="3" t="str">
        <f>IFERROR(__xludf.DUMMYFUNCTION("""COMPUTED_VALUE"""),"หมู่ 1 บางตีนเป็ด ฉะเชิงเทรา")</f>
        <v>หมู่ 1 บางตีนเป็ด ฉะเชิงเทรา</v>
      </c>
      <c r="J251" s="12">
        <f>IFERROR(__xludf.DUMMYFUNCTION("""COMPUTED_VALUE"""),45980.0)</f>
        <v>45980</v>
      </c>
      <c r="K251" s="3" t="str">
        <f>IFERROR(__xludf.DUMMYFUNCTION("""COMPUTED_VALUE"""),"0700-1100")</f>
        <v>0700-1100</v>
      </c>
      <c r="L251" s="3">
        <f>IFERROR(__xludf.DUMMYFUNCTION("""COMPUTED_VALUE"""),4.0)</f>
        <v>4</v>
      </c>
      <c r="M251" s="3" t="str">
        <f>IFERROR(__xludf.DUMMYFUNCTION("""COMPUTED_VALUE"""),"คุณเกสร เจริญสิทธิสงค์")</f>
        <v>คุณเกสร เจริญสิทธิสงค์</v>
      </c>
      <c r="N251" s="14" t="str">
        <f>IFERROR(__xludf.DUMMYFUNCTION("""COMPUTED_VALUE"""),"https://lh5.googleusercontent.com/d/1PGNI7N94hK7e-yDkMkRHttHGc5U2jOsp")</f>
        <v>https://lh5.googleusercontent.com/d/1PGNI7N94hK7e-yDkMkRHttHGc5U2jOsp</v>
      </c>
      <c r="O251" s="14" t="str">
        <f>IFERROR(__xludf.DUMMYFUNCTION("""COMPUTED_VALUE"""),"https://drive.google.com/file/d/14DIeUyWsDo09yDpUOHCbNb4Lm7BEqJD-/view?usp=drivesdk")</f>
        <v>https://drive.google.com/file/d/14DIeUyWsDo09yDpUOHCbNb4Lm7BEqJD-/view?usp=drivesdk</v>
      </c>
    </row>
    <row r="252">
      <c r="A252" s="3">
        <f>IFERROR(__xludf.DUMMYFUNCTION("""COMPUTED_VALUE"""),1313.0)</f>
        <v>1313</v>
      </c>
      <c r="B252" s="11">
        <f>IFERROR(__xludf.DUMMYFUNCTION("""COMPUTED_VALUE"""),45998.85673074074)</f>
        <v>45998.85673</v>
      </c>
      <c r="C252" s="3" t="str">
        <f>IFERROR(__xludf.DUMMYFUNCTION("""COMPUTED_VALUE"""),"ชั้นปีที่ 4")</f>
        <v>ชั้นปีที่ 4</v>
      </c>
      <c r="D252" s="3" t="str">
        <f>IFERROR(__xludf.DUMMYFUNCTION("""COMPUTED_VALUE"""),"6503697")</f>
        <v>6503697</v>
      </c>
      <c r="E252" s="3" t="str">
        <f>IFERROR(__xludf.DUMMYFUNCTION("""COMPUTED_VALUE"""),"8")</f>
        <v>8</v>
      </c>
      <c r="F252" s="3" t="str">
        <f>IFERROR(__xludf.DUMMYFUNCTION("""COMPUTED_VALUE"""),"นพอ.จารวี จี๋จันทร์")</f>
        <v>นพอ.จารวี จี๋จันทร์</v>
      </c>
      <c r="G25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2" s="3" t="str">
        <f>IFERROR(__xludf.DUMMYFUNCTION("""COMPUTED_VALUE"""),"คลินิกคัดกรองโรคเรื้อรัง")</f>
        <v>คลินิกคัดกรองโรคเรื้อรัง</v>
      </c>
      <c r="I252" s="3" t="str">
        <f>IFERROR(__xludf.DUMMYFUNCTION("""COMPUTED_VALUE"""),"รพ.สต.บางตีนเป็ด")</f>
        <v>รพ.สต.บางตีนเป็ด</v>
      </c>
      <c r="J252" s="12">
        <f>IFERROR(__xludf.DUMMYFUNCTION("""COMPUTED_VALUE"""),45991.0)</f>
        <v>45991</v>
      </c>
      <c r="K252" s="3" t="str">
        <f>IFERROR(__xludf.DUMMYFUNCTION("""COMPUTED_VALUE"""),"0800-1200")</f>
        <v>0800-1200</v>
      </c>
      <c r="L252" s="3">
        <f>IFERROR(__xludf.DUMMYFUNCTION("""COMPUTED_VALUE"""),4.0)</f>
        <v>4</v>
      </c>
      <c r="M252" s="3" t="str">
        <f>IFERROR(__xludf.DUMMYFUNCTION("""COMPUTED_VALUE"""),"คุณเกสร เจริญสิทธิสงค์")</f>
        <v>คุณเกสร เจริญสิทธิสงค์</v>
      </c>
      <c r="N252" s="14" t="str">
        <f>IFERROR(__xludf.DUMMYFUNCTION("""COMPUTED_VALUE"""),"https://lh5.googleusercontent.com/d/1a6FE_-wRNqS84otCnOq1t0B2qqaqgtvX")</f>
        <v>https://lh5.googleusercontent.com/d/1a6FE_-wRNqS84otCnOq1t0B2qqaqgtvX</v>
      </c>
      <c r="O252" s="3"/>
    </row>
    <row r="253">
      <c r="A253" s="3">
        <f>IFERROR(__xludf.DUMMYFUNCTION("""COMPUTED_VALUE"""),1320.0)</f>
        <v>1320</v>
      </c>
      <c r="B253" s="11">
        <f>IFERROR(__xludf.DUMMYFUNCTION("""COMPUTED_VALUE"""),45998.866743495375)</f>
        <v>45998.86674</v>
      </c>
      <c r="C253" s="3" t="str">
        <f>IFERROR(__xludf.DUMMYFUNCTION("""COMPUTED_VALUE"""),"ชั้นปีที่ 4")</f>
        <v>ชั้นปีที่ 4</v>
      </c>
      <c r="D253" s="3" t="str">
        <f>IFERROR(__xludf.DUMMYFUNCTION("""COMPUTED_VALUE"""),"6503709")</f>
        <v>6503709</v>
      </c>
      <c r="E253" s="3" t="str">
        <f>IFERROR(__xludf.DUMMYFUNCTION("""COMPUTED_VALUE"""),"20")</f>
        <v>20</v>
      </c>
      <c r="F253" s="3" t="str">
        <f>IFERROR(__xludf.DUMMYFUNCTION("""COMPUTED_VALUE"""),"นพอ.ณัฐณิชา ริดใย")</f>
        <v>นพอ.ณัฐณิชา ริดใย</v>
      </c>
      <c r="G25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3" s="3" t="str">
        <f>IFERROR(__xludf.DUMMYFUNCTION("""COMPUTED_VALUE"""),"ลอยกระทง")</f>
        <v>ลอยกระทง</v>
      </c>
      <c r="I253" s="3" t="str">
        <f>IFERROR(__xludf.DUMMYFUNCTION("""COMPUTED_VALUE"""),"โรงเรียนวัดทด")</f>
        <v>โรงเรียนวัดทด</v>
      </c>
      <c r="J253" s="12">
        <f>IFERROR(__xludf.DUMMYFUNCTION("""COMPUTED_VALUE"""),45966.0)</f>
        <v>45966</v>
      </c>
      <c r="K253" s="3" t="str">
        <f>IFERROR(__xludf.DUMMYFUNCTION("""COMPUTED_VALUE"""),"1700-1800")</f>
        <v>1700-1800</v>
      </c>
      <c r="L253" s="3">
        <f>IFERROR(__xludf.DUMMYFUNCTION("""COMPUTED_VALUE"""),4.0)</f>
        <v>4</v>
      </c>
      <c r="M253" s="3" t="str">
        <f>IFERROR(__xludf.DUMMYFUNCTION("""COMPUTED_VALUE"""),"น.ส.วันวิสา ดำริมุ่งกิจ")</f>
        <v>น.ส.วันวิสา ดำริมุ่งกิจ</v>
      </c>
      <c r="N253" s="14" t="str">
        <f>IFERROR(__xludf.DUMMYFUNCTION("""COMPUTED_VALUE"""),"https://lh5.googleusercontent.com/d/19DWykdxJvhRX6yNMVdlaulD6ijzKXr2R")</f>
        <v>https://lh5.googleusercontent.com/d/19DWykdxJvhRX6yNMVdlaulD6ijzKXr2R</v>
      </c>
      <c r="O253" s="14" t="str">
        <f>IFERROR(__xludf.DUMMYFUNCTION("""COMPUTED_VALUE"""),"https://drive.google.com/file/d/1-eosj0NaYmKdGGRAX1NKps6lMIHfFfQx/view?usp=drivesdk")</f>
        <v>https://drive.google.com/file/d/1-eosj0NaYmKdGGRAX1NKps6lMIHfFfQx/view?usp=drivesdk</v>
      </c>
    </row>
    <row r="254">
      <c r="A254" s="3">
        <f>IFERROR(__xludf.DUMMYFUNCTION("""COMPUTED_VALUE"""),1326.0)</f>
        <v>1326</v>
      </c>
      <c r="B254" s="11">
        <f>IFERROR(__xludf.DUMMYFUNCTION("""COMPUTED_VALUE"""),45998.87322796297)</f>
        <v>45998.87323</v>
      </c>
      <c r="C254" s="3" t="str">
        <f>IFERROR(__xludf.DUMMYFUNCTION("""COMPUTED_VALUE"""),"ชั้นปีที่ 4")</f>
        <v>ชั้นปีที่ 4</v>
      </c>
      <c r="D254" s="3" t="str">
        <f>IFERROR(__xludf.DUMMYFUNCTION("""COMPUTED_VALUE"""),"6503709")</f>
        <v>6503709</v>
      </c>
      <c r="E254" s="3" t="str">
        <f>IFERROR(__xludf.DUMMYFUNCTION("""COMPUTED_VALUE"""),"20")</f>
        <v>20</v>
      </c>
      <c r="F254" s="3" t="str">
        <f>IFERROR(__xludf.DUMMYFUNCTION("""COMPUTED_VALUE"""),"นพอ.ณัฐณิชา ริดใย")</f>
        <v>นพอ.ณัฐณิชา ริดใย</v>
      </c>
      <c r="G25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54" s="3" t="str">
        <f>IFERROR(__xludf.DUMMYFUNCTION("""COMPUTED_VALUE"""),"บริจาคเลือด")</f>
        <v>บริจาคเลือด</v>
      </c>
      <c r="I254" s="3" t="str">
        <f>IFERROR(__xludf.DUMMYFUNCTION("""COMPUTED_VALUE"""),"สภากาชาดลพบุรี")</f>
        <v>สภากาชาดลพบุรี</v>
      </c>
      <c r="J254" s="12">
        <f>IFERROR(__xludf.DUMMYFUNCTION("""COMPUTED_VALUE"""),45997.0)</f>
        <v>45997</v>
      </c>
      <c r="K254" s="3" t="str">
        <f>IFERROR(__xludf.DUMMYFUNCTION("""COMPUTED_VALUE"""),"0800-1600")</f>
        <v>0800-1600</v>
      </c>
      <c r="L254" s="3">
        <f>IFERROR(__xludf.DUMMYFUNCTION("""COMPUTED_VALUE"""),8.0)</f>
        <v>8</v>
      </c>
      <c r="M254" s="3" t="str">
        <f>IFERROR(__xludf.DUMMYFUNCTION("""COMPUTED_VALUE"""),"นายณรงค์ ริดใย")</f>
        <v>นายณรงค์ ริดใย</v>
      </c>
      <c r="N254" s="14" t="str">
        <f>IFERROR(__xludf.DUMMYFUNCTION("""COMPUTED_VALUE"""),"https://lh5.googleusercontent.com/d/1afhfUXaCl1psZTmBbYL37pKYFuOwpafT")</f>
        <v>https://lh5.googleusercontent.com/d/1afhfUXaCl1psZTmBbYL37pKYFuOwpafT</v>
      </c>
      <c r="O254" s="14" t="str">
        <f>IFERROR(__xludf.DUMMYFUNCTION("""COMPUTED_VALUE"""),"https://drive.google.com/file/d/1duexgGYIPCs8JMIFvNBuFDE5lPlJV-Oy/view?usp=drivesdk")</f>
        <v>https://drive.google.com/file/d/1duexgGYIPCs8JMIFvNBuFDE5lPlJV-Oy/view?usp=drivesdk</v>
      </c>
    </row>
    <row r="255">
      <c r="A255" s="3">
        <f>IFERROR(__xludf.DUMMYFUNCTION("""COMPUTED_VALUE"""),1387.0)</f>
        <v>1387</v>
      </c>
      <c r="B255" s="11">
        <f>IFERROR(__xludf.DUMMYFUNCTION("""COMPUTED_VALUE"""),45998.90377748843)</f>
        <v>45998.90378</v>
      </c>
      <c r="C255" s="3" t="str">
        <f>IFERROR(__xludf.DUMMYFUNCTION("""COMPUTED_VALUE"""),"ชั้นปีที่ 4")</f>
        <v>ชั้นปีที่ 4</v>
      </c>
      <c r="D255" s="3" t="str">
        <f>IFERROR(__xludf.DUMMYFUNCTION("""COMPUTED_VALUE"""),"6503697")</f>
        <v>6503697</v>
      </c>
      <c r="E255" s="3" t="str">
        <f>IFERROR(__xludf.DUMMYFUNCTION("""COMPUTED_VALUE"""),"8")</f>
        <v>8</v>
      </c>
      <c r="F255" s="3" t="str">
        <f>IFERROR(__xludf.DUMMYFUNCTION("""COMPUTED_VALUE"""),"นพอ.จารวี จี๋จันทร์")</f>
        <v>นพอ.จารวี จี๋จันทร์</v>
      </c>
      <c r="G25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5" s="3" t="str">
        <f>IFERROR(__xludf.DUMMYFUNCTION("""COMPUTED_VALUE"""),"คลินิกคัดกรองโรคเรื้อรัง")</f>
        <v>คลินิกคัดกรองโรคเรื้อรัง</v>
      </c>
      <c r="I255" s="3" t="str">
        <f>IFERROR(__xludf.DUMMYFUNCTION("""COMPUTED_VALUE"""),"รพ.สต.บางตีนเป็ด")</f>
        <v>รพ.สต.บางตีนเป็ด</v>
      </c>
      <c r="J255" s="12">
        <f>IFERROR(__xludf.DUMMYFUNCTION("""COMPUTED_VALUE"""),45991.0)</f>
        <v>45991</v>
      </c>
      <c r="K255" s="3" t="str">
        <f>IFERROR(__xludf.DUMMYFUNCTION("""COMPUTED_VALUE"""),"0800-1200")</f>
        <v>0800-1200</v>
      </c>
      <c r="L255" s="3">
        <f>IFERROR(__xludf.DUMMYFUNCTION("""COMPUTED_VALUE"""),4.0)</f>
        <v>4</v>
      </c>
      <c r="M255" s="3" t="str">
        <f>IFERROR(__xludf.DUMMYFUNCTION("""COMPUTED_VALUE"""),"คุณเกสร เจริญสิทธิสงค์")</f>
        <v>คุณเกสร เจริญสิทธิสงค์</v>
      </c>
      <c r="N255" s="14" t="str">
        <f>IFERROR(__xludf.DUMMYFUNCTION("""COMPUTED_VALUE"""),"https://lh5.googleusercontent.com/d/1Mf4ohmYuPgivD7n03FigAd-pny14Y4SM")</f>
        <v>https://lh5.googleusercontent.com/d/1Mf4ohmYuPgivD7n03FigAd-pny14Y4SM</v>
      </c>
      <c r="O255" s="3"/>
    </row>
    <row r="256">
      <c r="A256" s="3">
        <f>IFERROR(__xludf.DUMMYFUNCTION("""COMPUTED_VALUE"""),1407.0)</f>
        <v>1407</v>
      </c>
      <c r="B256" s="11">
        <f>IFERROR(__xludf.DUMMYFUNCTION("""COMPUTED_VALUE"""),45998.91122769676)</f>
        <v>45998.91123</v>
      </c>
      <c r="C256" s="3" t="str">
        <f>IFERROR(__xludf.DUMMYFUNCTION("""COMPUTED_VALUE"""),"ชั้นปีที่ 4")</f>
        <v>ชั้นปีที่ 4</v>
      </c>
      <c r="D256" s="3" t="str">
        <f>IFERROR(__xludf.DUMMYFUNCTION("""COMPUTED_VALUE"""),"6503699")</f>
        <v>6503699</v>
      </c>
      <c r="E256" s="3" t="str">
        <f>IFERROR(__xludf.DUMMYFUNCTION("""COMPUTED_VALUE"""),"10")</f>
        <v>10</v>
      </c>
      <c r="F256" s="3" t="str">
        <f>IFERROR(__xludf.DUMMYFUNCTION("""COMPUTED_VALUE"""),"นพอ.จุฑาลักษณ์ อรัณยภูติ")</f>
        <v>นพอ.จุฑาลักษณ์ อรัณยภูติ</v>
      </c>
      <c r="G25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6" s="3" t="str">
        <f>IFERROR(__xludf.DUMMYFUNCTION("""COMPUTED_VALUE"""),"โครงการ วัด ประชา รัฐ สร้างสุข")</f>
        <v>โครงการ วัด ประชา รัฐ สร้างสุข</v>
      </c>
      <c r="I256" s="3" t="str">
        <f>IFERROR(__xludf.DUMMYFUNCTION("""COMPUTED_VALUE"""),"บ้านหัวสวน ต.บางไผ่")</f>
        <v>บ้านหัวสวน ต.บางไผ่</v>
      </c>
      <c r="J256" s="12">
        <f>IFERROR(__xludf.DUMMYFUNCTION("""COMPUTED_VALUE"""),45940.0)</f>
        <v>45940</v>
      </c>
      <c r="K256" s="3" t="str">
        <f>IFERROR(__xludf.DUMMYFUNCTION("""COMPUTED_VALUE"""),"0700-1100")</f>
        <v>0700-1100</v>
      </c>
      <c r="L256" s="3">
        <f>IFERROR(__xludf.DUMMYFUNCTION("""COMPUTED_VALUE"""),4.0)</f>
        <v>4</v>
      </c>
      <c r="M256" s="3" t="str">
        <f>IFERROR(__xludf.DUMMYFUNCTION("""COMPUTED_VALUE"""),"น.ส.วันวิสา ดำริมุ่งกิจ")</f>
        <v>น.ส.วันวิสา ดำริมุ่งกิจ</v>
      </c>
      <c r="N256" s="14" t="str">
        <f>IFERROR(__xludf.DUMMYFUNCTION("""COMPUTED_VALUE"""),"https://lh5.googleusercontent.com/d/1FK6SbTAsbBNDoqAbABWICf_WWBWvohwa")</f>
        <v>https://lh5.googleusercontent.com/d/1FK6SbTAsbBNDoqAbABWICf_WWBWvohwa</v>
      </c>
      <c r="O256" s="3"/>
    </row>
    <row r="257">
      <c r="A257" s="3">
        <f>IFERROR(__xludf.DUMMYFUNCTION("""COMPUTED_VALUE"""),1418.0)</f>
        <v>1418</v>
      </c>
      <c r="B257" s="11">
        <f>IFERROR(__xludf.DUMMYFUNCTION("""COMPUTED_VALUE"""),45998.91454704861)</f>
        <v>45998.91455</v>
      </c>
      <c r="C257" s="3" t="str">
        <f>IFERROR(__xludf.DUMMYFUNCTION("""COMPUTED_VALUE"""),"ชั้นปีที่ 4")</f>
        <v>ชั้นปีที่ 4</v>
      </c>
      <c r="D257" s="3" t="str">
        <f>IFERROR(__xludf.DUMMYFUNCTION("""COMPUTED_VALUE"""),"6503735")</f>
        <v>6503735</v>
      </c>
      <c r="E257" s="3" t="str">
        <f>IFERROR(__xludf.DUMMYFUNCTION("""COMPUTED_VALUE"""),"45")</f>
        <v>45</v>
      </c>
      <c r="F257" s="3" t="str">
        <f>IFERROR(__xludf.DUMMYFUNCTION("""COMPUTED_VALUE"""),"นพอ.มัญชุสา อภิรมย์ชวาล")</f>
        <v>นพอ.มัญชุสา อภิรมย์ชวาล</v>
      </c>
      <c r="G2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7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57" s="3" t="str">
        <f>IFERROR(__xludf.DUMMYFUNCTION("""COMPUTED_VALUE"""),"สโมสรทหารอากาศชั้นประทวน")</f>
        <v>สโมสรทหารอากาศชั้นประทวน</v>
      </c>
      <c r="J257" s="12">
        <f>IFERROR(__xludf.DUMMYFUNCTION("""COMPUTED_VALUE"""),45854.0)</f>
        <v>45854</v>
      </c>
      <c r="K257" s="3" t="str">
        <f>IFERROR(__xludf.DUMMYFUNCTION("""COMPUTED_VALUE"""),"0700-1300")</f>
        <v>0700-1300</v>
      </c>
      <c r="L257" s="3">
        <f>IFERROR(__xludf.DUMMYFUNCTION("""COMPUTED_VALUE"""),6.0)</f>
        <v>6</v>
      </c>
      <c r="M257" s="3" t="str">
        <f>IFERROR(__xludf.DUMMYFUNCTION("""COMPUTED_VALUE"""),"น.ต.ตวงทิพย์ ลดาวัลย์")</f>
        <v>น.ต.ตวงทิพย์ ลดาวัลย์</v>
      </c>
      <c r="N257" s="3"/>
      <c r="O257" s="3"/>
    </row>
    <row r="258">
      <c r="A258" s="3">
        <f>IFERROR(__xludf.DUMMYFUNCTION("""COMPUTED_VALUE"""),1422.0)</f>
        <v>1422</v>
      </c>
      <c r="B258" s="11">
        <f>IFERROR(__xludf.DUMMYFUNCTION("""COMPUTED_VALUE"""),45998.91758637731)</f>
        <v>45998.91759</v>
      </c>
      <c r="C258" s="3" t="str">
        <f>IFERROR(__xludf.DUMMYFUNCTION("""COMPUTED_VALUE"""),"ชั้นปีที่ 4")</f>
        <v>ชั้นปีที่ 4</v>
      </c>
      <c r="D258" s="3" t="str">
        <f>IFERROR(__xludf.DUMMYFUNCTION("""COMPUTED_VALUE"""),"6503702")</f>
        <v>6503702</v>
      </c>
      <c r="E258" s="3" t="str">
        <f>IFERROR(__xludf.DUMMYFUNCTION("""COMPUTED_VALUE"""),"13")</f>
        <v>13</v>
      </c>
      <c r="F258" s="3" t="str">
        <f>IFERROR(__xludf.DUMMYFUNCTION("""COMPUTED_VALUE"""),"นพอ.ชนิสรา น้อยสอาด")</f>
        <v>นพอ.ชนิสรา น้อยสอาด</v>
      </c>
      <c r="G258" s="3" t="str">
        <f>IFERROR(__xludf.DUMMYFUNCTION("""COMPUTED_VALUE"""),"ทำนุบำรุงศาสนสถาน")</f>
        <v>ทำนุบำรุงศาสนสถาน</v>
      </c>
      <c r="H258" s="3" t="str">
        <f>IFERROR(__xludf.DUMMYFUNCTION("""COMPUTED_VALUE"""),"ทอดกฐิน")</f>
        <v>ทอดกฐิน</v>
      </c>
      <c r="I258" s="3" t="str">
        <f>IFERROR(__xludf.DUMMYFUNCTION("""COMPUTED_VALUE"""),"วัดพรหมสุวรรณ")</f>
        <v>วัดพรหมสุวรรณ</v>
      </c>
      <c r="J258" s="12">
        <f>IFERROR(__xludf.DUMMYFUNCTION("""COMPUTED_VALUE"""),45949.0)</f>
        <v>45949</v>
      </c>
      <c r="K258" s="3" t="str">
        <f>IFERROR(__xludf.DUMMYFUNCTION("""COMPUTED_VALUE"""),"0800-1200")</f>
        <v>0800-1200</v>
      </c>
      <c r="L258" s="3">
        <f>IFERROR(__xludf.DUMMYFUNCTION("""COMPUTED_VALUE"""),4.0)</f>
        <v>4</v>
      </c>
      <c r="M258" s="3" t="str">
        <f>IFERROR(__xludf.DUMMYFUNCTION("""COMPUTED_VALUE"""),"น.ส.ธนิดา หลักทอง")</f>
        <v>น.ส.ธนิดา หลักทอง</v>
      </c>
      <c r="N258" s="14" t="str">
        <f>IFERROR(__xludf.DUMMYFUNCTION("""COMPUTED_VALUE"""),"https://lh5.googleusercontent.com/d/1DMXudmbyjx-xLnhCjx9FmnKEHz_3G7Ty")</f>
        <v>https://lh5.googleusercontent.com/d/1DMXudmbyjx-xLnhCjx9FmnKEHz_3G7Ty</v>
      </c>
      <c r="O258" s="14" t="str">
        <f>IFERROR(__xludf.DUMMYFUNCTION("""COMPUTED_VALUE"""),"https://drive.google.com/file/d/1oR05d6nqos1pfe2Ljw0OeGl9nLGqwTeg/view?usp=drivesdk")</f>
        <v>https://drive.google.com/file/d/1oR05d6nqos1pfe2Ljw0OeGl9nLGqwTeg/view?usp=drivesdk</v>
      </c>
    </row>
    <row r="259">
      <c r="A259" s="3">
        <f>IFERROR(__xludf.DUMMYFUNCTION("""COMPUTED_VALUE"""),1424.0)</f>
        <v>1424</v>
      </c>
      <c r="B259" s="11">
        <f>IFERROR(__xludf.DUMMYFUNCTION("""COMPUTED_VALUE"""),45998.91817460648)</f>
        <v>45998.91817</v>
      </c>
      <c r="C259" s="3" t="str">
        <f>IFERROR(__xludf.DUMMYFUNCTION("""COMPUTED_VALUE"""),"ชั้นปีที่ 4")</f>
        <v>ชั้นปีที่ 4</v>
      </c>
      <c r="D259" s="3" t="str">
        <f>IFERROR(__xludf.DUMMYFUNCTION("""COMPUTED_VALUE"""),"6503699")</f>
        <v>6503699</v>
      </c>
      <c r="E259" s="3" t="str">
        <f>IFERROR(__xludf.DUMMYFUNCTION("""COMPUTED_VALUE"""),"10")</f>
        <v>10</v>
      </c>
      <c r="F259" s="3" t="str">
        <f>IFERROR(__xludf.DUMMYFUNCTION("""COMPUTED_VALUE"""),"นพอ.จุฑาลักษณ์ อรัณยภูติ")</f>
        <v>นพอ.จุฑาลักษณ์ อรัณยภูติ</v>
      </c>
      <c r="G259" s="3" t="str">
        <f>IFERROR(__xludf.DUMMYFUNCTION("""COMPUTED_VALUE"""),"ทำนุบำรุงศาสนสถาน")</f>
        <v>ทำนุบำรุงศาสนสถาน</v>
      </c>
      <c r="H259" s="3" t="str">
        <f>IFERROR(__xludf.DUMMYFUNCTION("""COMPUTED_VALUE"""),"ทำบุญตักบาตรเนื่องในวันคล้ายวันสวรรคต")</f>
        <v>ทำบุญตักบาตรเนื่องในวันคล้ายวันสวรรคต</v>
      </c>
      <c r="I259" s="3" t="str">
        <f>IFERROR(__xludf.DUMMYFUNCTION("""COMPUTED_VALUE"""),"องค์การบริหานส่วนตำบลบางไผ่")</f>
        <v>องค์การบริหานส่วนตำบลบางไผ่</v>
      </c>
      <c r="J259" s="12">
        <f>IFERROR(__xludf.DUMMYFUNCTION("""COMPUTED_VALUE"""),45943.0)</f>
        <v>45943</v>
      </c>
      <c r="K259" s="3" t="str">
        <f>IFERROR(__xludf.DUMMYFUNCTION("""COMPUTED_VALUE"""),"0700-1100")</f>
        <v>0700-1100</v>
      </c>
      <c r="L259" s="3">
        <f>IFERROR(__xludf.DUMMYFUNCTION("""COMPUTED_VALUE"""),4.0)</f>
        <v>4</v>
      </c>
      <c r="M259" s="3" t="str">
        <f>IFERROR(__xludf.DUMMYFUNCTION("""COMPUTED_VALUE"""),"น.ส.วันวิสา ดำริมุ่งกิจ")</f>
        <v>น.ส.วันวิสา ดำริมุ่งกิจ</v>
      </c>
      <c r="N259" s="14" t="str">
        <f>IFERROR(__xludf.DUMMYFUNCTION("""COMPUTED_VALUE"""),"https://lh5.googleusercontent.com/d/1iMUJBlGSJURijE6uSfT3r2UG_VxWqpVV")</f>
        <v>https://lh5.googleusercontent.com/d/1iMUJBlGSJURijE6uSfT3r2UG_VxWqpVV</v>
      </c>
      <c r="O259" s="14" t="str">
        <f>IFERROR(__xludf.DUMMYFUNCTION("""COMPUTED_VALUE"""),"https://drive.google.com/file/d/1LmA6ANLmMf8dD-f_uYaAwDHH85Scladh/view?usp=drivesdk")</f>
        <v>https://drive.google.com/file/d/1LmA6ANLmMf8dD-f_uYaAwDHH85Scladh/view?usp=drivesdk</v>
      </c>
    </row>
    <row r="260">
      <c r="A260" s="3">
        <f>IFERROR(__xludf.DUMMYFUNCTION("""COMPUTED_VALUE"""),1430.0)</f>
        <v>1430</v>
      </c>
      <c r="B260" s="11">
        <f>IFERROR(__xludf.DUMMYFUNCTION("""COMPUTED_VALUE"""),45998.92296082176)</f>
        <v>45998.92296</v>
      </c>
      <c r="C260" s="3" t="str">
        <f>IFERROR(__xludf.DUMMYFUNCTION("""COMPUTED_VALUE"""),"ชั้นปีที่ 4")</f>
        <v>ชั้นปีที่ 4</v>
      </c>
      <c r="D260" s="3" t="str">
        <f>IFERROR(__xludf.DUMMYFUNCTION("""COMPUTED_VALUE"""),"6503718")</f>
        <v>6503718</v>
      </c>
      <c r="E260" s="3" t="str">
        <f>IFERROR(__xludf.DUMMYFUNCTION("""COMPUTED_VALUE"""),"29")</f>
        <v>29</v>
      </c>
      <c r="F260" s="3" t="str">
        <f>IFERROR(__xludf.DUMMYFUNCTION("""COMPUTED_VALUE"""),"นพอ.นนทิชา แสงตาล")</f>
        <v>นพอ.นนทิชา แสงตาล</v>
      </c>
      <c r="G260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0" s="3" t="str">
        <f>IFERROR(__xludf.DUMMYFUNCTION("""COMPUTED_VALUE"""),"เฝ้าระวังและคัดกรอง โรคเบาหวานและความดันโลหิตสูง")</f>
        <v>เฝ้าระวังและคัดกรอง โรคเบาหวานและความดันโลหิตสูง</v>
      </c>
      <c r="I260" s="3" t="str">
        <f>IFERROR(__xludf.DUMMYFUNCTION("""COMPUTED_VALUE"""),"วัดสุวรรณาราม")</f>
        <v>วัดสุวรรณาราม</v>
      </c>
      <c r="J260" s="12">
        <f>IFERROR(__xludf.DUMMYFUNCTION("""COMPUTED_VALUE"""),45942.0)</f>
        <v>45942</v>
      </c>
      <c r="K260" s="3" t="str">
        <f>IFERROR(__xludf.DUMMYFUNCTION("""COMPUTED_VALUE"""),"0800 - 1400")</f>
        <v>0800 - 1400</v>
      </c>
      <c r="L260" s="3">
        <f>IFERROR(__xludf.DUMMYFUNCTION("""COMPUTED_VALUE"""),6.0)</f>
        <v>6</v>
      </c>
      <c r="M260" s="3" t="str">
        <f>IFERROR(__xludf.DUMMYFUNCTION("""COMPUTED_VALUE"""),"คุณเกสร เจริญสิทธิสงค์")</f>
        <v>คุณเกสร เจริญสิทธิสงค์</v>
      </c>
      <c r="N260" s="14" t="str">
        <f>IFERROR(__xludf.DUMMYFUNCTION("""COMPUTED_VALUE"""),"https://lh5.googleusercontent.com/d/1MKcr4h0dxX-QC9nBdvIrke8Z7AqjqCsA")</f>
        <v>https://lh5.googleusercontent.com/d/1MKcr4h0dxX-QC9nBdvIrke8Z7AqjqCsA</v>
      </c>
      <c r="O260" s="14" t="str">
        <f>IFERROR(__xludf.DUMMYFUNCTION("""COMPUTED_VALUE"""),"https://drive.google.com/file/d/1NcYj0AAq_3POqQekb5J8-fzE-Gjipd4H/view?usp=drivesdk")</f>
        <v>https://drive.google.com/file/d/1NcYj0AAq_3POqQekb5J8-fzE-Gjipd4H/view?usp=drivesdk</v>
      </c>
    </row>
    <row r="261">
      <c r="A261" s="3">
        <f>IFERROR(__xludf.DUMMYFUNCTION("""COMPUTED_VALUE"""),1432.0)</f>
        <v>1432</v>
      </c>
      <c r="B261" s="11">
        <f>IFERROR(__xludf.DUMMYFUNCTION("""COMPUTED_VALUE"""),45998.92429833334)</f>
        <v>45998.9243</v>
      </c>
      <c r="C261" s="3" t="str">
        <f>IFERROR(__xludf.DUMMYFUNCTION("""COMPUTED_VALUE"""),"ชั้นปีที่ 4")</f>
        <v>ชั้นปีที่ 4</v>
      </c>
      <c r="D261" s="3" t="str">
        <f>IFERROR(__xludf.DUMMYFUNCTION("""COMPUTED_VALUE"""),"6503703")</f>
        <v>6503703</v>
      </c>
      <c r="E261" s="3" t="str">
        <f>IFERROR(__xludf.DUMMYFUNCTION("""COMPUTED_VALUE"""),"14")</f>
        <v>14</v>
      </c>
      <c r="F261" s="3" t="str">
        <f>IFERROR(__xludf.DUMMYFUNCTION("""COMPUTED_VALUE"""),"นพอ.ชัญญากานต์ พุฒิพงศ์กวิน")</f>
        <v>นพอ.ชัญญากานต์ พุฒิพงศ์กวิน</v>
      </c>
      <c r="G26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1" s="3" t="str">
        <f>IFERROR(__xludf.DUMMYFUNCTION("""COMPUTED_VALUE"""),"ทอดกฐิน")</f>
        <v>ทอดกฐิน</v>
      </c>
      <c r="I261" s="3" t="str">
        <f>IFERROR(__xludf.DUMMYFUNCTION("""COMPUTED_VALUE"""),"วัดทดราษฎร์เจริญมณีฤทธิ์")</f>
        <v>วัดทดราษฎร์เจริญมณีฤทธิ์</v>
      </c>
      <c r="J261" s="12">
        <f>IFERROR(__xludf.DUMMYFUNCTION("""COMPUTED_VALUE"""),45949.0)</f>
        <v>45949</v>
      </c>
      <c r="K261" s="3" t="str">
        <f>IFERROR(__xludf.DUMMYFUNCTION("""COMPUTED_VALUE"""),"0800-1300")</f>
        <v>0800-1300</v>
      </c>
      <c r="L261" s="3">
        <f>IFERROR(__xludf.DUMMYFUNCTION("""COMPUTED_VALUE"""),5.0)</f>
        <v>5</v>
      </c>
      <c r="M261" s="3" t="str">
        <f>IFERROR(__xludf.DUMMYFUNCTION("""COMPUTED_VALUE"""),"น.ส.วันวิสา ดำริ มุ่งกิจ")</f>
        <v>น.ส.วันวิสา ดำริ มุ่งกิจ</v>
      </c>
      <c r="N261" s="14" t="str">
        <f>IFERROR(__xludf.DUMMYFUNCTION("""COMPUTED_VALUE"""),"https://lh5.googleusercontent.com/d/1XeiWClHgS_uYTQz4YScVQoR7WqPgMNqa")</f>
        <v>https://lh5.googleusercontent.com/d/1XeiWClHgS_uYTQz4YScVQoR7WqPgMNqa</v>
      </c>
      <c r="O261" s="14" t="str">
        <f>IFERROR(__xludf.DUMMYFUNCTION("""COMPUTED_VALUE"""),"https://drive.google.com/file/d/1te9ghk7Tqfu8vGtLGMhGgyIwmmBQwp3t/view?usp=drivesdk")</f>
        <v>https://drive.google.com/file/d/1te9ghk7Tqfu8vGtLGMhGgyIwmmBQwp3t/view?usp=drivesdk</v>
      </c>
    </row>
    <row r="262">
      <c r="A262" s="3">
        <f>IFERROR(__xludf.DUMMYFUNCTION("""COMPUTED_VALUE"""),1434.0)</f>
        <v>1434</v>
      </c>
      <c r="B262" s="11">
        <f>IFERROR(__xludf.DUMMYFUNCTION("""COMPUTED_VALUE"""),45998.924887893525)</f>
        <v>45998.92489</v>
      </c>
      <c r="C262" s="3" t="str">
        <f>IFERROR(__xludf.DUMMYFUNCTION("""COMPUTED_VALUE"""),"ชั้นปีที่ 4")</f>
        <v>ชั้นปีที่ 4</v>
      </c>
      <c r="D262" s="3" t="str">
        <f>IFERROR(__xludf.DUMMYFUNCTION("""COMPUTED_VALUE"""),"6503699")</f>
        <v>6503699</v>
      </c>
      <c r="E262" s="3" t="str">
        <f>IFERROR(__xludf.DUMMYFUNCTION("""COMPUTED_VALUE"""),"10")</f>
        <v>10</v>
      </c>
      <c r="F262" s="3" t="str">
        <f>IFERROR(__xludf.DUMMYFUNCTION("""COMPUTED_VALUE"""),"นพอ.จุฑาลักษณ์ อรัณยภูติ")</f>
        <v>นพอ.จุฑาลักษณ์ อรัณยภูติ</v>
      </c>
      <c r="G26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2" s="3" t="str">
        <f>IFERROR(__xludf.DUMMYFUNCTION("""COMPUTED_VALUE"""),"ทอดกฐิน")</f>
        <v>ทอดกฐิน</v>
      </c>
      <c r="I262" s="3" t="str">
        <f>IFERROR(__xludf.DUMMYFUNCTION("""COMPUTED_VALUE"""),"วัดทดราษฎร์เจริญมณีฤทธิ์")</f>
        <v>วัดทดราษฎร์เจริญมณีฤทธิ์</v>
      </c>
      <c r="J262" s="12">
        <f>IFERROR(__xludf.DUMMYFUNCTION("""COMPUTED_VALUE"""),45949.0)</f>
        <v>45949</v>
      </c>
      <c r="K262" s="3" t="str">
        <f>IFERROR(__xludf.DUMMYFUNCTION("""COMPUTED_VALUE"""),"0700-1100")</f>
        <v>0700-1100</v>
      </c>
      <c r="L262" s="3">
        <f>IFERROR(__xludf.DUMMYFUNCTION("""COMPUTED_VALUE"""),4.0)</f>
        <v>4</v>
      </c>
      <c r="M262" s="3" t="str">
        <f>IFERROR(__xludf.DUMMYFUNCTION("""COMPUTED_VALUE"""),"น.ส.วันวิสา ดำริมุ่งกิจ")</f>
        <v>น.ส.วันวิสา ดำริมุ่งกิจ</v>
      </c>
      <c r="N262" s="14" t="str">
        <f>IFERROR(__xludf.DUMMYFUNCTION("""COMPUTED_VALUE"""),"https://lh5.googleusercontent.com/d/1Pk4k4yHMlDpckMoZNNkQPCtkckmt6RYt")</f>
        <v>https://lh5.googleusercontent.com/d/1Pk4k4yHMlDpckMoZNNkQPCtkckmt6RYt</v>
      </c>
      <c r="O262" s="14" t="str">
        <f>IFERROR(__xludf.DUMMYFUNCTION("""COMPUTED_VALUE"""),"https://drive.google.com/file/d/1XK8vMc41Y6rN4hSulXlKD5V1ybMBGqsP/view?usp=drivesdk")</f>
        <v>https://drive.google.com/file/d/1XK8vMc41Y6rN4hSulXlKD5V1ybMBGqsP/view?usp=drivesdk</v>
      </c>
    </row>
    <row r="263">
      <c r="A263" s="3">
        <f>IFERROR(__xludf.DUMMYFUNCTION("""COMPUTED_VALUE"""),1435.0)</f>
        <v>1435</v>
      </c>
      <c r="B263" s="11">
        <f>IFERROR(__xludf.DUMMYFUNCTION("""COMPUTED_VALUE"""),45998.92524696759)</f>
        <v>45998.92525</v>
      </c>
      <c r="C263" s="3" t="str">
        <f>IFERROR(__xludf.DUMMYFUNCTION("""COMPUTED_VALUE"""),"ชั้นปีที่ 4")</f>
        <v>ชั้นปีที่ 4</v>
      </c>
      <c r="D263" s="3" t="str">
        <f>IFERROR(__xludf.DUMMYFUNCTION("""COMPUTED_VALUE"""),"6503702")</f>
        <v>6503702</v>
      </c>
      <c r="E263" s="3" t="str">
        <f>IFERROR(__xludf.DUMMYFUNCTION("""COMPUTED_VALUE"""),"13")</f>
        <v>13</v>
      </c>
      <c r="F263" s="3" t="str">
        <f>IFERROR(__xludf.DUMMYFUNCTION("""COMPUTED_VALUE"""),"นพอ.ชนิสรา น้อยสอาด")</f>
        <v>นพอ.ชนิสรา น้อยสอาด</v>
      </c>
      <c r="G26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3" s="3" t="str">
        <f>IFERROR(__xludf.DUMMYFUNCTION("""COMPUTED_VALUE"""),"เดิน วิ่ง ปั่น ป้องกันอัมพาต ครั้งที่ 11 เฉลิมพระเกียรติ")</f>
        <v>เดิน วิ่ง ปั่น ป้องกันอัมพาต ครั้งที่ 11 เฉลิมพระเกียรติ</v>
      </c>
      <c r="I263" s="3" t="str">
        <f>IFERROR(__xludf.DUMMYFUNCTION("""COMPUTED_VALUE"""),"สวนสาธารณะเฉลิมพระเกียรติ หน้าวัดโสธรวราราม วรวิหาร ")</f>
        <v>สวนสาธารณะเฉลิมพระเกียรติ หน้าวัดโสธรวราราม วรวิหาร </v>
      </c>
      <c r="J263" s="12">
        <f>IFERROR(__xludf.DUMMYFUNCTION("""COMPUTED_VALUE"""),45956.0)</f>
        <v>45956</v>
      </c>
      <c r="K263" s="3" t="str">
        <f>IFERROR(__xludf.DUMMYFUNCTION("""COMPUTED_VALUE"""),"0500-0800")</f>
        <v>0500-0800</v>
      </c>
      <c r="L263" s="3">
        <f>IFERROR(__xludf.DUMMYFUNCTION("""COMPUTED_VALUE"""),3.0)</f>
        <v>3</v>
      </c>
      <c r="M263" s="3" t="str">
        <f>IFERROR(__xludf.DUMMYFUNCTION("""COMPUTED_VALUE"""),"น.ส.ธนิดา หลักทอง")</f>
        <v>น.ส.ธนิดา หลักทอง</v>
      </c>
      <c r="N263" s="14" t="str">
        <f>IFERROR(__xludf.DUMMYFUNCTION("""COMPUTED_VALUE"""),"https://lh5.googleusercontent.com/d/1a9pFDNAyjtWQQzoRv-8_oatTkcSsdWia")</f>
        <v>https://lh5.googleusercontent.com/d/1a9pFDNAyjtWQQzoRv-8_oatTkcSsdWia</v>
      </c>
      <c r="O263" s="14" t="str">
        <f>IFERROR(__xludf.DUMMYFUNCTION("""COMPUTED_VALUE"""),"https://drive.google.com/file/d/14mu88IceMNovzRYw4ag6VzMMIxqUl36W/view?usp=drivesdk")</f>
        <v>https://drive.google.com/file/d/14mu88IceMNovzRYw4ag6VzMMIxqUl36W/view?usp=drivesdk</v>
      </c>
    </row>
    <row r="264">
      <c r="A264" s="3">
        <f>IFERROR(__xludf.DUMMYFUNCTION("""COMPUTED_VALUE"""),1438.0)</f>
        <v>1438</v>
      </c>
      <c r="B264" s="11">
        <f>IFERROR(__xludf.DUMMYFUNCTION("""COMPUTED_VALUE"""),45998.926882523156)</f>
        <v>45998.92688</v>
      </c>
      <c r="C264" s="3" t="str">
        <f>IFERROR(__xludf.DUMMYFUNCTION("""COMPUTED_VALUE"""),"ชั้นปีที่ 4")</f>
        <v>ชั้นปีที่ 4</v>
      </c>
      <c r="D264" s="3" t="str">
        <f>IFERROR(__xludf.DUMMYFUNCTION("""COMPUTED_VALUE"""),"6503718")</f>
        <v>6503718</v>
      </c>
      <c r="E264" s="3" t="str">
        <f>IFERROR(__xludf.DUMMYFUNCTION("""COMPUTED_VALUE"""),"29")</f>
        <v>29</v>
      </c>
      <c r="F264" s="3" t="str">
        <f>IFERROR(__xludf.DUMMYFUNCTION("""COMPUTED_VALUE"""),"นพอ.นนทิชา แสงตาล")</f>
        <v>นพอ.นนทิชา แสงตาล</v>
      </c>
      <c r="G26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4" s="3" t="str">
        <f>IFERROR(__xludf.DUMMYFUNCTION("""COMPUTED_VALUE"""),"วันรักต้นไม้ประจำปีของชาติ")</f>
        <v>วันรักต้นไม้ประจำปีของชาติ</v>
      </c>
      <c r="I264" s="3" t="str">
        <f>IFERROR(__xludf.DUMMYFUNCTION("""COMPUTED_VALUE"""),"โรงพยาบาลส่งเสริมสุขภาพตำบลบางตีนเป็ด")</f>
        <v>โรงพยาบาลส่งเสริมสุขภาพตำบลบางตีนเป็ด</v>
      </c>
      <c r="J264" s="12">
        <f>IFERROR(__xludf.DUMMYFUNCTION("""COMPUTED_VALUE"""),45949.0)</f>
        <v>45949</v>
      </c>
      <c r="K264" s="3" t="str">
        <f>IFERROR(__xludf.DUMMYFUNCTION("""COMPUTED_VALUE"""),"0800 - 1200")</f>
        <v>0800 - 1200</v>
      </c>
      <c r="L264" s="3">
        <f>IFERROR(__xludf.DUMMYFUNCTION("""COMPUTED_VALUE"""),4.0)</f>
        <v>4</v>
      </c>
      <c r="M264" s="3" t="str">
        <f>IFERROR(__xludf.DUMMYFUNCTION("""COMPUTED_VALUE"""),"คุณเกสร เจริญสิทธิสงค์")</f>
        <v>คุณเกสร เจริญสิทธิสงค์</v>
      </c>
      <c r="N264" s="14" t="str">
        <f>IFERROR(__xludf.DUMMYFUNCTION("""COMPUTED_VALUE"""),"https://lh5.googleusercontent.com/d/1NNLtKjchLWuihRp0sh5IhBs8cK9cx6G1")</f>
        <v>https://lh5.googleusercontent.com/d/1NNLtKjchLWuihRp0sh5IhBs8cK9cx6G1</v>
      </c>
      <c r="O264" s="14" t="str">
        <f>IFERROR(__xludf.DUMMYFUNCTION("""COMPUTED_VALUE"""),"https://drive.google.com/file/d/1KfIAZtxxFFmZlH5YNeNwVD0QT8HGRyyJ/view?usp=drivesdk")</f>
        <v>https://drive.google.com/file/d/1KfIAZtxxFFmZlH5YNeNwVD0QT8HGRyyJ/view?usp=drivesdk</v>
      </c>
    </row>
    <row r="265">
      <c r="A265" s="3">
        <f>IFERROR(__xludf.DUMMYFUNCTION("""COMPUTED_VALUE"""),1442.0)</f>
        <v>1442</v>
      </c>
      <c r="B265" s="11">
        <f>IFERROR(__xludf.DUMMYFUNCTION("""COMPUTED_VALUE"""),45998.9295485301)</f>
        <v>45998.92955</v>
      </c>
      <c r="C265" s="3" t="str">
        <f>IFERROR(__xludf.DUMMYFUNCTION("""COMPUTED_VALUE"""),"ชั้นปีที่ 4")</f>
        <v>ชั้นปีที่ 4</v>
      </c>
      <c r="D265" s="3" t="str">
        <f>IFERROR(__xludf.DUMMYFUNCTION("""COMPUTED_VALUE"""),"6503718")</f>
        <v>6503718</v>
      </c>
      <c r="E265" s="3" t="str">
        <f>IFERROR(__xludf.DUMMYFUNCTION("""COMPUTED_VALUE"""),"29")</f>
        <v>29</v>
      </c>
      <c r="F265" s="3" t="str">
        <f>IFERROR(__xludf.DUMMYFUNCTION("""COMPUTED_VALUE"""),"นพอ.นนทิชา แสงตาล")</f>
        <v>นพอ.นนทิชา แสงตาล</v>
      </c>
      <c r="G26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5" s="3" t="str">
        <f>IFERROR(__xludf.DUMMYFUNCTION("""COMPUTED_VALUE"""),"แผนการซ้อมดับเพลิงและอพยพหนีภัย ประจำปี 2568")</f>
        <v>แผนการซ้อมดับเพลิงและอพยพหนีภัย ประจำปี 2568</v>
      </c>
      <c r="I265" s="3" t="str">
        <f>IFERROR(__xludf.DUMMYFUNCTION("""COMPUTED_VALUE"""),"โรงเรียนสันติภาพ")</f>
        <v>โรงเรียนสันติภาพ</v>
      </c>
      <c r="J265" s="12">
        <f>IFERROR(__xludf.DUMMYFUNCTION("""COMPUTED_VALUE"""),45965.0)</f>
        <v>45965</v>
      </c>
      <c r="K265" s="3" t="str">
        <f>IFERROR(__xludf.DUMMYFUNCTION("""COMPUTED_VALUE"""),"0800 - 1200")</f>
        <v>0800 - 1200</v>
      </c>
      <c r="L265" s="3">
        <f>IFERROR(__xludf.DUMMYFUNCTION("""COMPUTED_VALUE"""),4.0)</f>
        <v>4</v>
      </c>
      <c r="M265" s="3" t="str">
        <f>IFERROR(__xludf.DUMMYFUNCTION("""COMPUTED_VALUE"""),"คุณเกสร เจริญสิทธิสงค์")</f>
        <v>คุณเกสร เจริญสิทธิสงค์</v>
      </c>
      <c r="N265" s="14" t="str">
        <f>IFERROR(__xludf.DUMMYFUNCTION("""COMPUTED_VALUE"""),"https://lh5.googleusercontent.com/d/15lx11neY3heUsPCNoAVAcU9X85qOsbQK")</f>
        <v>https://lh5.googleusercontent.com/d/15lx11neY3heUsPCNoAVAcU9X85qOsbQK</v>
      </c>
      <c r="O265" s="14" t="str">
        <f>IFERROR(__xludf.DUMMYFUNCTION("""COMPUTED_VALUE"""),"https://drive.google.com/file/d/1KDZ4OY-FBAYE3o0u63GhUhS-Y4ViZNgp/view?usp=drivesdk")</f>
        <v>https://drive.google.com/file/d/1KDZ4OY-FBAYE3o0u63GhUhS-Y4ViZNgp/view?usp=drivesdk</v>
      </c>
    </row>
    <row r="266">
      <c r="A266" s="3">
        <f>IFERROR(__xludf.DUMMYFUNCTION("""COMPUTED_VALUE"""),1443.0)</f>
        <v>1443</v>
      </c>
      <c r="B266" s="11">
        <f>IFERROR(__xludf.DUMMYFUNCTION("""COMPUTED_VALUE"""),45998.929606238424)</f>
        <v>45998.92961</v>
      </c>
      <c r="C266" s="3" t="str">
        <f>IFERROR(__xludf.DUMMYFUNCTION("""COMPUTED_VALUE"""),"ชั้นปีที่ 4")</f>
        <v>ชั้นปีที่ 4</v>
      </c>
      <c r="D266" s="3" t="str">
        <f>IFERROR(__xludf.DUMMYFUNCTION("""COMPUTED_VALUE"""),"6503703")</f>
        <v>6503703</v>
      </c>
      <c r="E266" s="3" t="str">
        <f>IFERROR(__xludf.DUMMYFUNCTION("""COMPUTED_VALUE"""),"14")</f>
        <v>14</v>
      </c>
      <c r="F266" s="3" t="str">
        <f>IFERROR(__xludf.DUMMYFUNCTION("""COMPUTED_VALUE"""),"นพอ.ชัญญากานต์ พุฒิพงศ์กวิน")</f>
        <v>นพอ.ชัญญากานต์ พุฒิพงศ์กวิน</v>
      </c>
      <c r="G26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6" s="3" t="str">
        <f>IFERROR(__xludf.DUMMYFUNCTION("""COMPUTED_VALUE"""),"ดิน วิ่ง ปั่น ป้องกันอัมพาต")</f>
        <v>ดิน วิ่ง ปั่น ป้องกันอัมพาต</v>
      </c>
      <c r="I266" s="3" t="str">
        <f>IFERROR(__xludf.DUMMYFUNCTION("""COMPUTED_VALUE"""),"ศาลากลางจังหวัดฉะเชิงเทรา")</f>
        <v>ศาลากลางจังหวัดฉะเชิงเทรา</v>
      </c>
      <c r="J266" s="12">
        <f>IFERROR(__xludf.DUMMYFUNCTION("""COMPUTED_VALUE"""),45956.0)</f>
        <v>45956</v>
      </c>
      <c r="K266" s="3" t="str">
        <f>IFERROR(__xludf.DUMMYFUNCTION("""COMPUTED_VALUE"""),"0700-1100")</f>
        <v>0700-1100</v>
      </c>
      <c r="L266" s="3">
        <f>IFERROR(__xludf.DUMMYFUNCTION("""COMPUTED_VALUE"""),4.0)</f>
        <v>4</v>
      </c>
      <c r="M266" s="3" t="str">
        <f>IFERROR(__xludf.DUMMYFUNCTION("""COMPUTED_VALUE"""),"น.ส.วันวิสา ดำริ มุ่งกิจ")</f>
        <v>น.ส.วันวิสา ดำริ มุ่งกิจ</v>
      </c>
      <c r="N266" s="14" t="str">
        <f>IFERROR(__xludf.DUMMYFUNCTION("""COMPUTED_VALUE"""),"https://lh5.googleusercontent.com/d/1S7HW8WIv1Feepttct6_3gI_RDYeHr4bg")</f>
        <v>https://lh5.googleusercontent.com/d/1S7HW8WIv1Feepttct6_3gI_RDYeHr4bg</v>
      </c>
      <c r="O266" s="14" t="str">
        <f>IFERROR(__xludf.DUMMYFUNCTION("""COMPUTED_VALUE"""),"https://drive.google.com/file/d/1YA7gF0wEsxbGKXrOIoe2io5QVdHmzeBZ/view?usp=drivesdk")</f>
        <v>https://drive.google.com/file/d/1YA7gF0wEsxbGKXrOIoe2io5QVdHmzeBZ/view?usp=drivesdk</v>
      </c>
    </row>
    <row r="267">
      <c r="A267" s="3">
        <f>IFERROR(__xludf.DUMMYFUNCTION("""COMPUTED_VALUE"""),1447.0)</f>
        <v>1447</v>
      </c>
      <c r="B267" s="11">
        <f>IFERROR(__xludf.DUMMYFUNCTION("""COMPUTED_VALUE"""),45998.93181582176)</f>
        <v>45998.93182</v>
      </c>
      <c r="C267" s="3" t="str">
        <f>IFERROR(__xludf.DUMMYFUNCTION("""COMPUTED_VALUE"""),"ชั้นปีที่ 4")</f>
        <v>ชั้นปีที่ 4</v>
      </c>
      <c r="D267" s="3" t="str">
        <f>IFERROR(__xludf.DUMMYFUNCTION("""COMPUTED_VALUE"""),"6503699")</f>
        <v>6503699</v>
      </c>
      <c r="E267" s="3" t="str">
        <f>IFERROR(__xludf.DUMMYFUNCTION("""COMPUTED_VALUE"""),"10")</f>
        <v>10</v>
      </c>
      <c r="F267" s="3" t="str">
        <f>IFERROR(__xludf.DUMMYFUNCTION("""COMPUTED_VALUE"""),"นพอ.จุฑาลักษณ์ อรัณยภูติ")</f>
        <v>นพอ.จุฑาลักษณ์ อรัณยภูติ</v>
      </c>
      <c r="G26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7" s="3" t="str">
        <f>IFERROR(__xludf.DUMMYFUNCTION("""COMPUTED_VALUE"""),"เดิน วิ่ง ปั่น ป้องกันอัมพาต")</f>
        <v>เดิน วิ่ง ปั่น ป้องกันอัมพาต</v>
      </c>
      <c r="I267" s="3" t="str">
        <f>IFERROR(__xludf.DUMMYFUNCTION("""COMPUTED_VALUE"""),"ศาลากลางจังหวัดฉะเชิงเทรา")</f>
        <v>ศาลากลางจังหวัดฉะเชิงเทรา</v>
      </c>
      <c r="J267" s="12">
        <f>IFERROR(__xludf.DUMMYFUNCTION("""COMPUTED_VALUE"""),45956.0)</f>
        <v>45956</v>
      </c>
      <c r="K267" s="3" t="str">
        <f>IFERROR(__xludf.DUMMYFUNCTION("""COMPUTED_VALUE"""),"0500-0900")</f>
        <v>0500-0900</v>
      </c>
      <c r="L267" s="3">
        <f>IFERROR(__xludf.DUMMYFUNCTION("""COMPUTED_VALUE"""),4.0)</f>
        <v>4</v>
      </c>
      <c r="M267" s="3" t="str">
        <f>IFERROR(__xludf.DUMMYFUNCTION("""COMPUTED_VALUE"""),"น.ส.วันวิสา ดำริมุ่งกิจ")</f>
        <v>น.ส.วันวิสา ดำริมุ่งกิจ</v>
      </c>
      <c r="N267" s="14" t="str">
        <f>IFERROR(__xludf.DUMMYFUNCTION("""COMPUTED_VALUE"""),"https://lh5.googleusercontent.com/d/1OGk9q04VX-nkOXY68C-g7GWHFDQQ-uoT")</f>
        <v>https://lh5.googleusercontent.com/d/1OGk9q04VX-nkOXY68C-g7GWHFDQQ-uoT</v>
      </c>
      <c r="O267" s="14" t="str">
        <f>IFERROR(__xludf.DUMMYFUNCTION("""COMPUTED_VALUE"""),"https://drive.google.com/file/d/186Qvhc6LWSHlboTo-jOsttdSjispDYCX/view?usp=drivesdk")</f>
        <v>https://drive.google.com/file/d/186Qvhc6LWSHlboTo-jOsttdSjispDYCX/view?usp=drivesdk</v>
      </c>
    </row>
    <row r="268">
      <c r="A268" s="3">
        <f>IFERROR(__xludf.DUMMYFUNCTION("""COMPUTED_VALUE"""),1450.0)</f>
        <v>1450</v>
      </c>
      <c r="B268" s="11">
        <f>IFERROR(__xludf.DUMMYFUNCTION("""COMPUTED_VALUE"""),45998.93491775463)</f>
        <v>45998.93492</v>
      </c>
      <c r="C268" s="3" t="str">
        <f>IFERROR(__xludf.DUMMYFUNCTION("""COMPUTED_VALUE"""),"ชั้นปีที่ 4")</f>
        <v>ชั้นปีที่ 4</v>
      </c>
      <c r="D268" s="3" t="str">
        <f>IFERROR(__xludf.DUMMYFUNCTION("""COMPUTED_VALUE"""),"6503702")</f>
        <v>6503702</v>
      </c>
      <c r="E268" s="3" t="str">
        <f>IFERROR(__xludf.DUMMYFUNCTION("""COMPUTED_VALUE"""),"13")</f>
        <v>13</v>
      </c>
      <c r="F268" s="3" t="str">
        <f>IFERROR(__xludf.DUMMYFUNCTION("""COMPUTED_VALUE"""),"นพอ.ชนิสรา น้อยสอาด")</f>
        <v>นพอ.ชนิสรา น้อยสอาด</v>
      </c>
      <c r="G26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8" s="3" t="str">
        <f>IFERROR(__xludf.DUMMYFUNCTION("""COMPUTED_VALUE"""),"บ้านทรายมูล รวมคนฟิต ออกกำวันละนิด ชีวิตไร้โรค")</f>
        <v>บ้านทรายมูล รวมคนฟิต ออกกำวันละนิด ชีวิตไร้โรค</v>
      </c>
      <c r="I268" s="3" t="str">
        <f>IFERROR(__xludf.DUMMYFUNCTION("""COMPUTED_VALUE"""),"รพ.สต.คลองนา")</f>
        <v>รพ.สต.คลองนา</v>
      </c>
      <c r="J268" s="12">
        <f>IFERROR(__xludf.DUMMYFUNCTION("""COMPUTED_VALUE"""),45955.0)</f>
        <v>45955</v>
      </c>
      <c r="K268" s="3" t="str">
        <f>IFERROR(__xludf.DUMMYFUNCTION("""COMPUTED_VALUE"""),"1600-1800")</f>
        <v>1600-1800</v>
      </c>
      <c r="L268" s="3">
        <f>IFERROR(__xludf.DUMMYFUNCTION("""COMPUTED_VALUE"""),2.0)</f>
        <v>2</v>
      </c>
      <c r="M268" s="3" t="str">
        <f>IFERROR(__xludf.DUMMYFUNCTION("""COMPUTED_VALUE"""),"น.ส.ธนิดา หลักทอง")</f>
        <v>น.ส.ธนิดา หลักทอง</v>
      </c>
      <c r="N268" s="14" t="str">
        <f>IFERROR(__xludf.DUMMYFUNCTION("""COMPUTED_VALUE"""),"https://lh5.googleusercontent.com/d/1DtpOKNpK4tbIWVzKcx5av8cW_iaQESnv")</f>
        <v>https://lh5.googleusercontent.com/d/1DtpOKNpK4tbIWVzKcx5av8cW_iaQESnv</v>
      </c>
      <c r="O268" s="14" t="str">
        <f>IFERROR(__xludf.DUMMYFUNCTION("""COMPUTED_VALUE"""),"https://drive.google.com/file/d/1iU_BICwOJ7bQT2rP3AzE_i1tZIwvM-ez/view?usp=drivesdk")</f>
        <v>https://drive.google.com/file/d/1iU_BICwOJ7bQT2rP3AzE_i1tZIwvM-ez/view?usp=drivesdk</v>
      </c>
    </row>
    <row r="269">
      <c r="A269" s="3">
        <f>IFERROR(__xludf.DUMMYFUNCTION("""COMPUTED_VALUE"""),1462.0)</f>
        <v>1462</v>
      </c>
      <c r="B269" s="11">
        <f>IFERROR(__xludf.DUMMYFUNCTION("""COMPUTED_VALUE"""),45998.946739537045)</f>
        <v>45998.94674</v>
      </c>
      <c r="C269" s="3" t="str">
        <f>IFERROR(__xludf.DUMMYFUNCTION("""COMPUTED_VALUE"""),"ชั้นปีที่ 4")</f>
        <v>ชั้นปีที่ 4</v>
      </c>
      <c r="D269" s="3" t="str">
        <f>IFERROR(__xludf.DUMMYFUNCTION("""COMPUTED_VALUE"""),"6503699")</f>
        <v>6503699</v>
      </c>
      <c r="E269" s="3" t="str">
        <f>IFERROR(__xludf.DUMMYFUNCTION("""COMPUTED_VALUE"""),"10")</f>
        <v>10</v>
      </c>
      <c r="F269" s="3" t="str">
        <f>IFERROR(__xludf.DUMMYFUNCTION("""COMPUTED_VALUE"""),"นพอ.จุฑาลักษณ์ อรัณยภูติ")</f>
        <v>นพอ.จุฑาลักษณ์ อรัณยภูติ</v>
      </c>
      <c r="G26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9" s="3" t="str">
        <f>IFERROR(__xludf.DUMMYFUNCTION("""COMPUTED_VALUE"""),"พิธีขบวนแห่หลวงพ่อโสธรทางบก 2568")</f>
        <v>พิธีขบวนแห่หลวงพ่อโสธรทางบก 2568</v>
      </c>
      <c r="I269" s="3" t="str">
        <f>IFERROR(__xludf.DUMMYFUNCTION("""COMPUTED_VALUE"""),"ศาลากลางจังหวัดฉะเชิงเทรา")</f>
        <v>ศาลากลางจังหวัดฉะเชิงเทรา</v>
      </c>
      <c r="J269" s="12">
        <f>IFERROR(__xludf.DUMMYFUNCTION("""COMPUTED_VALUE"""),45963.0)</f>
        <v>45963</v>
      </c>
      <c r="K269" s="3" t="str">
        <f>IFERROR(__xludf.DUMMYFUNCTION("""COMPUTED_VALUE"""),"0600-1000")</f>
        <v>0600-1000</v>
      </c>
      <c r="L269" s="3">
        <f>IFERROR(__xludf.DUMMYFUNCTION("""COMPUTED_VALUE"""),4.0)</f>
        <v>4</v>
      </c>
      <c r="M269" s="3" t="str">
        <f>IFERROR(__xludf.DUMMYFUNCTION("""COMPUTED_VALUE"""),"น.ส.วันวิสา ดำริมุ่งกิจ")</f>
        <v>น.ส.วันวิสา ดำริมุ่งกิจ</v>
      </c>
      <c r="N269" s="14" t="str">
        <f>IFERROR(__xludf.DUMMYFUNCTION("""COMPUTED_VALUE"""),"https://lh5.googleusercontent.com/d/1BmW1OUKJ7a26T82sPhQns8Y9s93Aztgu")</f>
        <v>https://lh5.googleusercontent.com/d/1BmW1OUKJ7a26T82sPhQns8Y9s93Aztgu</v>
      </c>
      <c r="O269" s="14" t="str">
        <f>IFERROR(__xludf.DUMMYFUNCTION("""COMPUTED_VALUE"""),"https://drive.google.com/file/d/1g05Uitnpn2pVHGQbzyHvGxsN-IMuSeiO/view?usp=drivesdk")</f>
        <v>https://drive.google.com/file/d/1g05Uitnpn2pVHGQbzyHvGxsN-IMuSeiO/view?usp=drivesdk</v>
      </c>
    </row>
    <row r="270">
      <c r="A270" s="3">
        <f>IFERROR(__xludf.DUMMYFUNCTION("""COMPUTED_VALUE"""),1468.0)</f>
        <v>1468</v>
      </c>
      <c r="B270" s="11">
        <f>IFERROR(__xludf.DUMMYFUNCTION("""COMPUTED_VALUE"""),45998.9500092824)</f>
        <v>45998.95001</v>
      </c>
      <c r="C270" s="3" t="str">
        <f>IFERROR(__xludf.DUMMYFUNCTION("""COMPUTED_VALUE"""),"ชั้นปีที่ 4")</f>
        <v>ชั้นปีที่ 4</v>
      </c>
      <c r="D270" s="3" t="str">
        <f>IFERROR(__xludf.DUMMYFUNCTION("""COMPUTED_VALUE"""),"6503715")</f>
        <v>6503715</v>
      </c>
      <c r="E270" s="3" t="str">
        <f>IFERROR(__xludf.DUMMYFUNCTION("""COMPUTED_VALUE"""),"26")</f>
        <v>26</v>
      </c>
      <c r="F270" s="3" t="str">
        <f>IFERROR(__xludf.DUMMYFUNCTION("""COMPUTED_VALUE"""),"นพอ.ธัญพิชชา ฤกษ์นาวี")</f>
        <v>นพอ.ธัญพิชชา ฤกษ์นาวี</v>
      </c>
      <c r="G27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70" s="3" t="str">
        <f>IFERROR(__xludf.DUMMYFUNCTION("""COMPUTED_VALUE"""),"บริจาคโลหิตเนื่องในวันพ่อ")</f>
        <v>บริจาคโลหิตเนื่องในวันพ่อ</v>
      </c>
      <c r="I270" s="3" t="str">
        <f>IFERROR(__xludf.DUMMYFUNCTION("""COMPUTED_VALUE"""),"โรงพยาบาลพระนครศรีอยุธยา")</f>
        <v>โรงพยาบาลพระนครศรีอยุธยา</v>
      </c>
      <c r="J270" s="12">
        <f>IFERROR(__xludf.DUMMYFUNCTION("""COMPUTED_VALUE"""),45997.0)</f>
        <v>45997</v>
      </c>
      <c r="K270" s="3" t="str">
        <f>IFERROR(__xludf.DUMMYFUNCTION("""COMPUTED_VALUE"""),"1300-1400")</f>
        <v>1300-1400</v>
      </c>
      <c r="L270" s="3">
        <f>IFERROR(__xludf.DUMMYFUNCTION("""COMPUTED_VALUE"""),8.0)</f>
        <v>8</v>
      </c>
      <c r="M270" s="3" t="str">
        <f>IFERROR(__xludf.DUMMYFUNCTION("""COMPUTED_VALUE"""),"นายนักคะรินทร์ ฤกษ์นาวี")</f>
        <v>นายนักคะรินทร์ ฤกษ์นาวี</v>
      </c>
      <c r="N270" s="14" t="str">
        <f>IFERROR(__xludf.DUMMYFUNCTION("""COMPUTED_VALUE"""),"https://lh5.googleusercontent.com/d/1-E1s9uJYeEZX3si6hnARKwXuJIToA4rG")</f>
        <v>https://lh5.googleusercontent.com/d/1-E1s9uJYeEZX3si6hnARKwXuJIToA4rG</v>
      </c>
      <c r="O270" s="14" t="str">
        <f>IFERROR(__xludf.DUMMYFUNCTION("""COMPUTED_VALUE"""),"https://drive.google.com/file/d/1wa5qXDbfsGbEufM0liw35JRHN7Z_1Rws/view?usp=drivesdk")</f>
        <v>https://drive.google.com/file/d/1wa5qXDbfsGbEufM0liw35JRHN7Z_1Rws/view?usp=drivesdk</v>
      </c>
    </row>
    <row r="271">
      <c r="A271" s="3">
        <f>IFERROR(__xludf.DUMMYFUNCTION("""COMPUTED_VALUE"""),1469.0)</f>
        <v>1469</v>
      </c>
      <c r="B271" s="11">
        <f>IFERROR(__xludf.DUMMYFUNCTION("""COMPUTED_VALUE"""),45998.9500659838)</f>
        <v>45998.95007</v>
      </c>
      <c r="C271" s="3" t="str">
        <f>IFERROR(__xludf.DUMMYFUNCTION("""COMPUTED_VALUE"""),"ชั้นปีที่ 4")</f>
        <v>ชั้นปีที่ 4</v>
      </c>
      <c r="D271" s="3" t="str">
        <f>IFERROR(__xludf.DUMMYFUNCTION("""COMPUTED_VALUE"""),"6503702")</f>
        <v>6503702</v>
      </c>
      <c r="E271" s="3" t="str">
        <f>IFERROR(__xludf.DUMMYFUNCTION("""COMPUTED_VALUE"""),"13")</f>
        <v>13</v>
      </c>
      <c r="F271" s="3" t="str">
        <f>IFERROR(__xludf.DUMMYFUNCTION("""COMPUTED_VALUE"""),"นพอ.ชนิสรา น้อยสอาด")</f>
        <v>นพอ.ชนิสรา น้อยสอาด</v>
      </c>
      <c r="G27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1" s="3" t="str">
        <f>IFERROR(__xludf.DUMMYFUNCTION("""COMPUTED_VALUE"""),"ประจำปี 2568 AVIATION MEDICINE IN BANI WORLD เวชศาสตร์การบินกับโลกที่เปลี่ยนแปลง")</f>
        <v>ประจำปี 2568 AVIATION MEDICINE IN BANI WORLD เวชศาสตร์การบินกับโลกที่เปลี่ยนแปลง</v>
      </c>
      <c r="I271" s="3" t="str">
        <f>IFERROR(__xludf.DUMMYFUNCTION("""COMPUTED_VALUE"""),"โรงแรมอัศวิน แกรนด์ คอนเวนชั่น")</f>
        <v>โรงแรมอัศวิน แกรนด์ คอนเวนชั่น</v>
      </c>
      <c r="J271" s="12">
        <f>IFERROR(__xludf.DUMMYFUNCTION("""COMPUTED_VALUE"""),45873.0)</f>
        <v>45873</v>
      </c>
      <c r="K271" s="3" t="str">
        <f>IFERROR(__xludf.DUMMYFUNCTION("""COMPUTED_VALUE"""),"0800-1200")</f>
        <v>0800-1200</v>
      </c>
      <c r="L271" s="3">
        <f>IFERROR(__xludf.DUMMYFUNCTION("""COMPUTED_VALUE"""),4.0)</f>
        <v>4</v>
      </c>
      <c r="M271" s="3" t="str">
        <f>IFERROR(__xludf.DUMMYFUNCTION("""COMPUTED_VALUE""")," ร.อ.ณัฐวุฒิ อุดมศิลป์")</f>
        <v> ร.อ.ณัฐวุฒิ อุดมศิลป์</v>
      </c>
      <c r="N271" s="14" t="str">
        <f>IFERROR(__xludf.DUMMYFUNCTION("""COMPUTED_VALUE"""),"https://lh5.googleusercontent.com/d/1bAdqK1xDtK4UlfEzmINVjGY2F88wUpf8")</f>
        <v>https://lh5.googleusercontent.com/d/1bAdqK1xDtK4UlfEzmINVjGY2F88wUpf8</v>
      </c>
      <c r="O271" s="14" t="str">
        <f>IFERROR(__xludf.DUMMYFUNCTION("""COMPUTED_VALUE"""),"https://drive.google.com/file/d/11WUZhld8Am4sn_3_Daim7w7GZJXHPGKf/view?usp=drivesdk")</f>
        <v>https://drive.google.com/file/d/11WUZhld8Am4sn_3_Daim7w7GZJXHPGKf/view?usp=drivesdk</v>
      </c>
    </row>
    <row r="272">
      <c r="A272" s="3">
        <f>IFERROR(__xludf.DUMMYFUNCTION("""COMPUTED_VALUE"""),1476.0)</f>
        <v>1476</v>
      </c>
      <c r="B272" s="11">
        <f>IFERROR(__xludf.DUMMYFUNCTION("""COMPUTED_VALUE"""),45998.9571549074)</f>
        <v>45998.95715</v>
      </c>
      <c r="C272" s="3" t="str">
        <f>IFERROR(__xludf.DUMMYFUNCTION("""COMPUTED_VALUE"""),"ชั้นปีที่ 4")</f>
        <v>ชั้นปีที่ 4</v>
      </c>
      <c r="D272" s="3" t="str">
        <f>IFERROR(__xludf.DUMMYFUNCTION("""COMPUTED_VALUE"""),"6503715")</f>
        <v>6503715</v>
      </c>
      <c r="E272" s="3" t="str">
        <f>IFERROR(__xludf.DUMMYFUNCTION("""COMPUTED_VALUE"""),"26")</f>
        <v>26</v>
      </c>
      <c r="F272" s="3" t="str">
        <f>IFERROR(__xludf.DUMMYFUNCTION("""COMPUTED_VALUE"""),"นพอ.ธัญพิชชา ฤกษ์นาวี")</f>
        <v>นพอ.ธัญพิชชา ฤกษ์นาวี</v>
      </c>
      <c r="G2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2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72" s="3" t="str">
        <f>IFERROR(__xludf.DUMMYFUNCTION("""COMPUTED_VALUE"""),"สโมสรทหารอากาศชั้นประทวน")</f>
        <v>สโมสรทหารอากาศชั้นประทวน</v>
      </c>
      <c r="J272" s="12">
        <f>IFERROR(__xludf.DUMMYFUNCTION("""COMPUTED_VALUE"""),45854.0)</f>
        <v>45854</v>
      </c>
      <c r="K272" s="3" t="str">
        <f>IFERROR(__xludf.DUMMYFUNCTION("""COMPUTED_VALUE"""),"0700-1300")</f>
        <v>0700-1300</v>
      </c>
      <c r="L272" s="3">
        <f>IFERROR(__xludf.DUMMYFUNCTION("""COMPUTED_VALUE"""),6.0)</f>
        <v>6</v>
      </c>
      <c r="M272" s="3" t="str">
        <f>IFERROR(__xludf.DUMMYFUNCTION("""COMPUTED_VALUE"""),"น.ต.หญิงตวงทิพย์ ลดาวัลย์")</f>
        <v>น.ต.หญิงตวงทิพย์ ลดาวัลย์</v>
      </c>
      <c r="N272" s="14" t="str">
        <f>IFERROR(__xludf.DUMMYFUNCTION("""COMPUTED_VALUE"""),"https://lh5.googleusercontent.com/d/181Q-gFnMJDnBSaPquvCa7tsVyDuoUwen")</f>
        <v>https://lh5.googleusercontent.com/d/181Q-gFnMJDnBSaPquvCa7tsVyDuoUwen</v>
      </c>
      <c r="O272" s="3"/>
    </row>
    <row r="273">
      <c r="A273" s="3">
        <f>IFERROR(__xludf.DUMMYFUNCTION("""COMPUTED_VALUE"""),1478.0)</f>
        <v>1478</v>
      </c>
      <c r="B273" s="11">
        <f>IFERROR(__xludf.DUMMYFUNCTION("""COMPUTED_VALUE"""),45998.958213425925)</f>
        <v>45998.95821</v>
      </c>
      <c r="C273" s="3" t="str">
        <f>IFERROR(__xludf.DUMMYFUNCTION("""COMPUTED_VALUE"""),"ชั้นปีที่ 4")</f>
        <v>ชั้นปีที่ 4</v>
      </c>
      <c r="D273" s="3" t="str">
        <f>IFERROR(__xludf.DUMMYFUNCTION("""COMPUTED_VALUE"""),"6503704")</f>
        <v>6503704</v>
      </c>
      <c r="E273" s="3" t="str">
        <f>IFERROR(__xludf.DUMMYFUNCTION("""COMPUTED_VALUE"""),"15")</f>
        <v>15</v>
      </c>
      <c r="F273" s="3" t="str">
        <f>IFERROR(__xludf.DUMMYFUNCTION("""COMPUTED_VALUE"""),"นพอ.ณภัทร ทองเจือ")</f>
        <v>นพอ.ณภัทร ทองเจือ</v>
      </c>
      <c r="G27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3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73" s="3" t="str">
        <f>IFERROR(__xludf.DUMMYFUNCTION("""COMPUTED_VALUE"""),"สโมสรทหารอากาศชั้นประทวน")</f>
        <v>สโมสรทหารอากาศชั้นประทวน</v>
      </c>
      <c r="J273" s="12">
        <f>IFERROR(__xludf.DUMMYFUNCTION("""COMPUTED_VALUE"""),45854.0)</f>
        <v>45854</v>
      </c>
      <c r="K273" s="3" t="str">
        <f>IFERROR(__xludf.DUMMYFUNCTION("""COMPUTED_VALUE"""),"0800~1400")</f>
        <v>0800~1400</v>
      </c>
      <c r="L273" s="3">
        <f>IFERROR(__xludf.DUMMYFUNCTION("""COMPUTED_VALUE"""),6.0)</f>
        <v>6</v>
      </c>
      <c r="M273" s="3" t="str">
        <f>IFERROR(__xludf.DUMMYFUNCTION("""COMPUTED_VALUE"""),"น.ต.หญิง ตวงทิพย์ ลดาวัลย์")</f>
        <v>น.ต.หญิง ตวงทิพย์ ลดาวัลย์</v>
      </c>
      <c r="N273" s="14" t="str">
        <f>IFERROR(__xludf.DUMMYFUNCTION("""COMPUTED_VALUE"""),"https://lh5.googleusercontent.com/d/1eeypyGnENZ1RO97mVPHpNAEF6viH1yBi")</f>
        <v>https://lh5.googleusercontent.com/d/1eeypyGnENZ1RO97mVPHpNAEF6viH1yBi</v>
      </c>
      <c r="O273" s="14" t="str">
        <f>IFERROR(__xludf.DUMMYFUNCTION("""COMPUTED_VALUE"""),"https://drive.google.com/file/d/1QO6V9mINY73NUHV7It37kMb9EA0LBt-C/view?usp=drivesdk")</f>
        <v>https://drive.google.com/file/d/1QO6V9mINY73NUHV7It37kMb9EA0LBt-C/view?usp=drivesdk</v>
      </c>
    </row>
    <row r="274">
      <c r="A274" s="3">
        <f>IFERROR(__xludf.DUMMYFUNCTION("""COMPUTED_VALUE"""),1480.0)</f>
        <v>1480</v>
      </c>
      <c r="B274" s="11">
        <f>IFERROR(__xludf.DUMMYFUNCTION("""COMPUTED_VALUE"""),45998.96037997685)</f>
        <v>45998.96038</v>
      </c>
      <c r="C274" s="3" t="str">
        <f>IFERROR(__xludf.DUMMYFUNCTION("""COMPUTED_VALUE"""),"ชั้นปีที่ 4")</f>
        <v>ชั้นปีที่ 4</v>
      </c>
      <c r="D274" s="3" t="str">
        <f>IFERROR(__xludf.DUMMYFUNCTION("""COMPUTED_VALUE"""),"6503704")</f>
        <v>6503704</v>
      </c>
      <c r="E274" s="3" t="str">
        <f>IFERROR(__xludf.DUMMYFUNCTION("""COMPUTED_VALUE"""),"15")</f>
        <v>15</v>
      </c>
      <c r="F274" s="3" t="str">
        <f>IFERROR(__xludf.DUMMYFUNCTION("""COMPUTED_VALUE"""),"นพอ.ณภัทร ทองเจือ")</f>
        <v>นพอ.ณภัทร ทองเจือ</v>
      </c>
      <c r="G27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74" s="3" t="str">
        <f>IFERROR(__xludf.DUMMYFUNCTION("""COMPUTED_VALUE"""),"จับผ้าเนื่องในโอกาสถวายความอาลัยสมเด็จพระพันปีหลวง")</f>
        <v>จับผ้าเนื่องในโอกาสถวายความอาลัยสมเด็จพระพันปีหลวง</v>
      </c>
      <c r="I274" s="3" t="str">
        <f>IFERROR(__xludf.DUMMYFUNCTION("""COMPUTED_VALUE"""),"รพ.สต.วังตะเคียน")</f>
        <v>รพ.สต.วังตะเคียน</v>
      </c>
      <c r="J274" s="12">
        <f>IFERROR(__xludf.DUMMYFUNCTION("""COMPUTED_VALUE"""),45965.0)</f>
        <v>45965</v>
      </c>
      <c r="K274" s="3" t="str">
        <f>IFERROR(__xludf.DUMMYFUNCTION("""COMPUTED_VALUE"""),"1600-1800")</f>
        <v>1600-1800</v>
      </c>
      <c r="L274" s="3">
        <f>IFERROR(__xludf.DUMMYFUNCTION("""COMPUTED_VALUE"""),2.0)</f>
        <v>2</v>
      </c>
      <c r="M274" s="3" t="str">
        <f>IFERROR(__xludf.DUMMYFUNCTION("""COMPUTED_VALUE"""),"น.ส.จิรวรรณ พิมพ์เเก้ว")</f>
        <v>น.ส.จิรวรรณ พิมพ์เเก้ว</v>
      </c>
      <c r="N274" s="14" t="str">
        <f>IFERROR(__xludf.DUMMYFUNCTION("""COMPUTED_VALUE"""),"https://lh5.googleusercontent.com/d/1MUus3dbbQqewHSvU-XlNsWsu3g6RYkoM")</f>
        <v>https://lh5.googleusercontent.com/d/1MUus3dbbQqewHSvU-XlNsWsu3g6RYkoM</v>
      </c>
      <c r="O274" s="14" t="str">
        <f>IFERROR(__xludf.DUMMYFUNCTION("""COMPUTED_VALUE"""),"https://drive.google.com/file/d/1VrCVTOXph25_yrApKBTUN6Pet_ZNnpWk/view?usp=drivesdk")</f>
        <v>https://drive.google.com/file/d/1VrCVTOXph25_yrApKBTUN6Pet_ZNnpWk/view?usp=drivesdk</v>
      </c>
    </row>
    <row r="275">
      <c r="A275" s="3">
        <f>IFERROR(__xludf.DUMMYFUNCTION("""COMPUTED_VALUE"""),1481.0)</f>
        <v>1481</v>
      </c>
      <c r="B275" s="11">
        <f>IFERROR(__xludf.DUMMYFUNCTION("""COMPUTED_VALUE"""),45998.96250847222)</f>
        <v>45998.96251</v>
      </c>
      <c r="C275" s="3" t="str">
        <f>IFERROR(__xludf.DUMMYFUNCTION("""COMPUTED_VALUE"""),"ชั้นปีที่ 4")</f>
        <v>ชั้นปีที่ 4</v>
      </c>
      <c r="D275" s="3" t="str">
        <f>IFERROR(__xludf.DUMMYFUNCTION("""COMPUTED_VALUE"""),"6503704")</f>
        <v>6503704</v>
      </c>
      <c r="E275" s="3" t="str">
        <f>IFERROR(__xludf.DUMMYFUNCTION("""COMPUTED_VALUE"""),"15")</f>
        <v>15</v>
      </c>
      <c r="F275" s="3" t="str">
        <f>IFERROR(__xludf.DUMMYFUNCTION("""COMPUTED_VALUE"""),"นพอ.ณภัทร ทองเจือ")</f>
        <v>นพอ.ณภัทร ทองเจือ</v>
      </c>
      <c r="G275" s="3" t="str">
        <f>IFERROR(__xludf.DUMMYFUNCTION("""COMPUTED_VALUE"""),"ทำนุบำรุงศาสนสถาน")</f>
        <v>ทำนุบำรุงศาสนสถาน</v>
      </c>
      <c r="H275" s="3" t="str">
        <f>IFERROR(__xludf.DUMMYFUNCTION("""COMPUTED_VALUE"""),"จัดสถานที่และเก็บงานช่วยวัด")</f>
        <v>จัดสถานที่และเก็บงานช่วยวัด</v>
      </c>
      <c r="I275" s="3" t="str">
        <f>IFERROR(__xludf.DUMMYFUNCTION("""COMPUTED_VALUE"""),"วัดแพรกกวังตะเคียน")</f>
        <v>วัดแพรกกวังตะเคียน</v>
      </c>
      <c r="J275" s="12">
        <f>IFERROR(__xludf.DUMMYFUNCTION("""COMPUTED_VALUE"""),45949.0)</f>
        <v>45949</v>
      </c>
      <c r="K275" s="3" t="str">
        <f>IFERROR(__xludf.DUMMYFUNCTION("""COMPUTED_VALUE"""),"1000-1400")</f>
        <v>1000-1400</v>
      </c>
      <c r="L275" s="3">
        <f>IFERROR(__xludf.DUMMYFUNCTION("""COMPUTED_VALUE"""),4.0)</f>
        <v>4</v>
      </c>
      <c r="M275" s="3" t="str">
        <f>IFERROR(__xludf.DUMMYFUNCTION("""COMPUTED_VALUE"""),"นายธนู เล็กชะอุ่ม")</f>
        <v>นายธนู เล็กชะอุ่ม</v>
      </c>
      <c r="N275" s="14" t="str">
        <f>IFERROR(__xludf.DUMMYFUNCTION("""COMPUTED_VALUE"""),"https://lh5.googleusercontent.com/d/1bgsuL6cJGqhExPGXm3PDkp-JHnNu70Jm")</f>
        <v>https://lh5.googleusercontent.com/d/1bgsuL6cJGqhExPGXm3PDkp-JHnNu70Jm</v>
      </c>
      <c r="O275" s="14" t="str">
        <f>IFERROR(__xludf.DUMMYFUNCTION("""COMPUTED_VALUE"""),"https://drive.google.com/file/d/1tA6fCgZa4L0PDpGe7qf3YTLgm4l7dni7/view?usp=drivesdk")</f>
        <v>https://drive.google.com/file/d/1tA6fCgZa4L0PDpGe7qf3YTLgm4l7dni7/view?usp=drivesdk</v>
      </c>
    </row>
    <row r="276">
      <c r="A276" s="3">
        <f>IFERROR(__xludf.DUMMYFUNCTION("""COMPUTED_VALUE"""),1483.0)</f>
        <v>1483</v>
      </c>
      <c r="B276" s="11">
        <f>IFERROR(__xludf.DUMMYFUNCTION("""COMPUTED_VALUE"""),45998.963961180554)</f>
        <v>45998.96396</v>
      </c>
      <c r="C276" s="3" t="str">
        <f>IFERROR(__xludf.DUMMYFUNCTION("""COMPUTED_VALUE"""),"ชั้นปีที่ 4")</f>
        <v>ชั้นปีที่ 4</v>
      </c>
      <c r="D276" s="3" t="str">
        <f>IFERROR(__xludf.DUMMYFUNCTION("""COMPUTED_VALUE"""),"6503704")</f>
        <v>6503704</v>
      </c>
      <c r="E276" s="3" t="str">
        <f>IFERROR(__xludf.DUMMYFUNCTION("""COMPUTED_VALUE"""),"15")</f>
        <v>15</v>
      </c>
      <c r="F276" s="3" t="str">
        <f>IFERROR(__xludf.DUMMYFUNCTION("""COMPUTED_VALUE"""),"นพอ.ณภัทร ทองเจือ")</f>
        <v>นพอ.ณภัทร ทองเจือ</v>
      </c>
      <c r="G276" s="3" t="str">
        <f>IFERROR(__xludf.DUMMYFUNCTION("""COMPUTED_VALUE"""),"งานฟรีทั่วไป")</f>
        <v>งานฟรีทั่วไป</v>
      </c>
      <c r="H276" s="3" t="str">
        <f>IFERROR(__xludf.DUMMYFUNCTION("""COMPUTED_VALUE"""),"ช่วยขูดมะละกอทำโรงทาน")</f>
        <v>ช่วยขูดมะละกอทำโรงทาน</v>
      </c>
      <c r="I276" s="3" t="str">
        <f>IFERROR(__xludf.DUMMYFUNCTION("""COMPUTED_VALUE"""),"บ้านแพรกกวังตะเคียน")</f>
        <v>บ้านแพรกกวังตะเคียน</v>
      </c>
      <c r="J276" s="12">
        <f>IFERROR(__xludf.DUMMYFUNCTION("""COMPUTED_VALUE"""),45948.0)</f>
        <v>45948</v>
      </c>
      <c r="K276" s="3" t="str">
        <f>IFERROR(__xludf.DUMMYFUNCTION("""COMPUTED_VALUE"""),"0900-1300")</f>
        <v>0900-1300</v>
      </c>
      <c r="L276" s="3">
        <f>IFERROR(__xludf.DUMMYFUNCTION("""COMPUTED_VALUE"""),4.0)</f>
        <v>4</v>
      </c>
      <c r="M276" s="3" t="str">
        <f>IFERROR(__xludf.DUMMYFUNCTION("""COMPUTED_VALUE"""),"น.ส.จารุภรณ์ พินิจนอก")</f>
        <v>น.ส.จารุภรณ์ พินิจนอก</v>
      </c>
      <c r="N276" s="14" t="str">
        <f>IFERROR(__xludf.DUMMYFUNCTION("""COMPUTED_VALUE"""),"https://lh5.googleusercontent.com/d/1WWT2zznuB6rFO66wTI5yOsPT-H_JmVeq")</f>
        <v>https://lh5.googleusercontent.com/d/1WWT2zznuB6rFO66wTI5yOsPT-H_JmVeq</v>
      </c>
      <c r="O276" s="14" t="str">
        <f>IFERROR(__xludf.DUMMYFUNCTION("""COMPUTED_VALUE"""),"https://drive.google.com/file/d/1-9gJ6Rf-h64SUj8uxK4wWnKZrv_vhJ9N/view?usp=drivesdk")</f>
        <v>https://drive.google.com/file/d/1-9gJ6Rf-h64SUj8uxK4wWnKZrv_vhJ9N/view?usp=drivesdk</v>
      </c>
    </row>
    <row r="277">
      <c r="A277" s="3">
        <f>IFERROR(__xludf.DUMMYFUNCTION("""COMPUTED_VALUE"""),1484.0)</f>
        <v>1484</v>
      </c>
      <c r="B277" s="11">
        <f>IFERROR(__xludf.DUMMYFUNCTION("""COMPUTED_VALUE"""),45998.96546167824)</f>
        <v>45998.96546</v>
      </c>
      <c r="C277" s="3" t="str">
        <f>IFERROR(__xludf.DUMMYFUNCTION("""COMPUTED_VALUE"""),"ชั้นปีที่ 4")</f>
        <v>ชั้นปีที่ 4</v>
      </c>
      <c r="D277" s="3" t="str">
        <f>IFERROR(__xludf.DUMMYFUNCTION("""COMPUTED_VALUE"""),"6503699")</f>
        <v>6503699</v>
      </c>
      <c r="E277" s="3" t="str">
        <f>IFERROR(__xludf.DUMMYFUNCTION("""COMPUTED_VALUE"""),"10")</f>
        <v>10</v>
      </c>
      <c r="F277" s="3" t="str">
        <f>IFERROR(__xludf.DUMMYFUNCTION("""COMPUTED_VALUE"""),"นพอ.จุฑาลักษณ์ อรัณยภูติ")</f>
        <v>นพอ.จุฑาลักษณ์ อรัณยภูติ</v>
      </c>
      <c r="G27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77" s="3" t="str">
        <f>IFERROR(__xludf.DUMMYFUNCTION("""COMPUTED_VALUE"""),"ลอยกระทง")</f>
        <v>ลอยกระทง</v>
      </c>
      <c r="I277" s="3" t="str">
        <f>IFERROR(__xludf.DUMMYFUNCTION("""COMPUTED_VALUE"""),"โรงเรียนวัดทด")</f>
        <v>โรงเรียนวัดทด</v>
      </c>
      <c r="J277" s="12">
        <f>IFERROR(__xludf.DUMMYFUNCTION("""COMPUTED_VALUE"""),45966.0)</f>
        <v>45966</v>
      </c>
      <c r="K277" s="3" t="str">
        <f>IFERROR(__xludf.DUMMYFUNCTION("""COMPUTED_VALUE"""),"1600-2000")</f>
        <v>1600-2000</v>
      </c>
      <c r="L277" s="3">
        <f>IFERROR(__xludf.DUMMYFUNCTION("""COMPUTED_VALUE"""),4.0)</f>
        <v>4</v>
      </c>
      <c r="M277" s="3" t="str">
        <f>IFERROR(__xludf.DUMMYFUNCTION("""COMPUTED_VALUE"""),"น.ส.วันวิสา ดำริมุ่งกิจ")</f>
        <v>น.ส.วันวิสา ดำริมุ่งกิจ</v>
      </c>
      <c r="N277" s="14" t="str">
        <f>IFERROR(__xludf.DUMMYFUNCTION("""COMPUTED_VALUE"""),"https://lh5.googleusercontent.com/d/1WQGDP1rfO1Yrg2sfNTe1yaRKfhnm_QtD")</f>
        <v>https://lh5.googleusercontent.com/d/1WQGDP1rfO1Yrg2sfNTe1yaRKfhnm_QtD</v>
      </c>
      <c r="O277" s="14" t="str">
        <f>IFERROR(__xludf.DUMMYFUNCTION("""COMPUTED_VALUE"""),"https://drive.google.com/file/d/1V-DUxuJ6cBYqYYxGs3naSdxt2pDaCjsW/view?usp=drivesdk")</f>
        <v>https://drive.google.com/file/d/1V-DUxuJ6cBYqYYxGs3naSdxt2pDaCjsW/view?usp=drivesdk</v>
      </c>
    </row>
    <row r="278">
      <c r="A278" s="3">
        <f>IFERROR(__xludf.DUMMYFUNCTION("""COMPUTED_VALUE"""),1485.0)</f>
        <v>1485</v>
      </c>
      <c r="B278" s="11">
        <f>IFERROR(__xludf.DUMMYFUNCTION("""COMPUTED_VALUE"""),45998.966552106474)</f>
        <v>45998.96655</v>
      </c>
      <c r="C278" s="3" t="str">
        <f>IFERROR(__xludf.DUMMYFUNCTION("""COMPUTED_VALUE"""),"ชั้นปีที่ 4")</f>
        <v>ชั้นปีที่ 4</v>
      </c>
      <c r="D278" s="3" t="str">
        <f>IFERROR(__xludf.DUMMYFUNCTION("""COMPUTED_VALUE"""),"6503704")</f>
        <v>6503704</v>
      </c>
      <c r="E278" s="3" t="str">
        <f>IFERROR(__xludf.DUMMYFUNCTION("""COMPUTED_VALUE"""),"15")</f>
        <v>15</v>
      </c>
      <c r="F278" s="3" t="str">
        <f>IFERROR(__xludf.DUMMYFUNCTION("""COMPUTED_VALUE"""),"นพอ.ณภัทร ทองเจือ ")</f>
        <v>นพอ.ณภัทร ทองเจือ </v>
      </c>
      <c r="G278" s="3" t="str">
        <f>IFERROR(__xludf.DUMMYFUNCTION("""COMPUTED_VALUE"""),"งานฟรีทั่วไป")</f>
        <v>งานฟรีทั่วไป</v>
      </c>
      <c r="H278" s="3" t="str">
        <f>IFERROR(__xludf.DUMMYFUNCTION("""COMPUTED_VALUE"""),"ช่วยจัดสวน")</f>
        <v>ช่วยจัดสวน</v>
      </c>
      <c r="I278" s="3" t="str">
        <f>IFERROR(__xludf.DUMMYFUNCTION("""COMPUTED_VALUE"""),"รพ.สต.วังตะเคียน")</f>
        <v>รพ.สต.วังตะเคียน</v>
      </c>
      <c r="J278" s="12">
        <f>IFERROR(__xludf.DUMMYFUNCTION("""COMPUTED_VALUE"""),45970.0)</f>
        <v>45970</v>
      </c>
      <c r="K278" s="3" t="str">
        <f>IFERROR(__xludf.DUMMYFUNCTION("""COMPUTED_VALUE"""),"1200-1600")</f>
        <v>1200-1600</v>
      </c>
      <c r="L278" s="3">
        <f>IFERROR(__xludf.DUMMYFUNCTION("""COMPUTED_VALUE"""),4.0)</f>
        <v>4</v>
      </c>
      <c r="M278" s="3" t="str">
        <f>IFERROR(__xludf.DUMMYFUNCTION("""COMPUTED_VALUE"""),"น.ส.นุศรา เนียมสูงเนิน")</f>
        <v>น.ส.นุศรา เนียมสูงเนิน</v>
      </c>
      <c r="N278" s="14" t="str">
        <f>IFERROR(__xludf.DUMMYFUNCTION("""COMPUTED_VALUE"""),"https://lh5.googleusercontent.com/d/1-p7LZOE-RuK7LVpcQYZa5kWjt01oklaz")</f>
        <v>https://lh5.googleusercontent.com/d/1-p7LZOE-RuK7LVpcQYZa5kWjt01oklaz</v>
      </c>
      <c r="O278" s="14" t="str">
        <f>IFERROR(__xludf.DUMMYFUNCTION("""COMPUTED_VALUE"""),"https://drive.google.com/file/d/1_nhRhyKf2eeUYqTtB6pGQoyFQW0U2Q75/view?usp=drivesdk")</f>
        <v>https://drive.google.com/file/d/1_nhRhyKf2eeUYqTtB6pGQoyFQW0U2Q75/view?usp=drivesdk</v>
      </c>
    </row>
    <row r="279">
      <c r="A279" s="3">
        <f>IFERROR(__xludf.DUMMYFUNCTION("""COMPUTED_VALUE"""),1486.0)</f>
        <v>1486</v>
      </c>
      <c r="B279" s="11">
        <f>IFERROR(__xludf.DUMMYFUNCTION("""COMPUTED_VALUE"""),45998.968187997685)</f>
        <v>45998.96819</v>
      </c>
      <c r="C279" s="3" t="str">
        <f>IFERROR(__xludf.DUMMYFUNCTION("""COMPUTED_VALUE"""),"ชั้นปีที่ 4")</f>
        <v>ชั้นปีที่ 4</v>
      </c>
      <c r="D279" s="3" t="str">
        <f>IFERROR(__xludf.DUMMYFUNCTION("""COMPUTED_VALUE"""),"6503715")</f>
        <v>6503715</v>
      </c>
      <c r="E279" s="3" t="str">
        <f>IFERROR(__xludf.DUMMYFUNCTION("""COMPUTED_VALUE"""),"26")</f>
        <v>26</v>
      </c>
      <c r="F279" s="3" t="str">
        <f>IFERROR(__xludf.DUMMYFUNCTION("""COMPUTED_VALUE"""),"นพอ.ธัญพิชชา ฤกษ์นาวี")</f>
        <v>นพอ.ธัญพิชชา ฤกษ์นาวี</v>
      </c>
      <c r="G279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79" s="3" t="str">
        <f>IFERROR(__xludf.DUMMYFUNCTION("""COMPUTED_VALUE"""),"เล่นดุริยางค์")</f>
        <v>เล่นดุริยางค์</v>
      </c>
      <c r="I279" s="3" t="str">
        <f>IFERROR(__xludf.DUMMYFUNCTION("""COMPUTED_VALUE"""),"วพอ.พอ.")</f>
        <v>วพอ.พอ.</v>
      </c>
      <c r="J279" s="12">
        <f>IFERROR(__xludf.DUMMYFUNCTION("""COMPUTED_VALUE"""),45881.0)</f>
        <v>45881</v>
      </c>
      <c r="K279" s="3" t="str">
        <f>IFERROR(__xludf.DUMMYFUNCTION("""COMPUTED_VALUE"""),"0700-0800")</f>
        <v>0700-0800</v>
      </c>
      <c r="L279" s="3">
        <f>IFERROR(__xludf.DUMMYFUNCTION("""COMPUTED_VALUE"""),1.0)</f>
        <v>1</v>
      </c>
      <c r="M279" s="3" t="str">
        <f>IFERROR(__xludf.DUMMYFUNCTION("""COMPUTED_VALUE"""),"ร.อ.อนุชิต ทำจะดี")</f>
        <v>ร.อ.อนุชิต ทำจะดี</v>
      </c>
      <c r="N279" s="14" t="str">
        <f>IFERROR(__xludf.DUMMYFUNCTION("""COMPUTED_VALUE"""),"https://lh5.googleusercontent.com/d/1WCWgQtTZsLiZZmUu0veKWBHi5zT3QIs8")</f>
        <v>https://lh5.googleusercontent.com/d/1WCWgQtTZsLiZZmUu0veKWBHi5zT3QIs8</v>
      </c>
      <c r="O279" s="14" t="str">
        <f>IFERROR(__xludf.DUMMYFUNCTION("""COMPUTED_VALUE"""),"https://drive.google.com/file/d/1-X4H_aqIabXBL_whqgJaOKpEi5Zzeg9a/view?usp=drivesdk")</f>
        <v>https://drive.google.com/file/d/1-X4H_aqIabXBL_whqgJaOKpEi5Zzeg9a/view?usp=drivesdk</v>
      </c>
    </row>
    <row r="280">
      <c r="A280" s="3">
        <f>IFERROR(__xludf.DUMMYFUNCTION("""COMPUTED_VALUE"""),1488.0)</f>
        <v>1488</v>
      </c>
      <c r="B280" s="11">
        <f>IFERROR(__xludf.DUMMYFUNCTION("""COMPUTED_VALUE"""),45998.97058195602)</f>
        <v>45998.97058</v>
      </c>
      <c r="C280" s="3" t="str">
        <f>IFERROR(__xludf.DUMMYFUNCTION("""COMPUTED_VALUE"""),"ชั้นปีที่ 4")</f>
        <v>ชั้นปีที่ 4</v>
      </c>
      <c r="D280" s="3" t="str">
        <f>IFERROR(__xludf.DUMMYFUNCTION("""COMPUTED_VALUE"""),"6503699")</f>
        <v>6503699</v>
      </c>
      <c r="E280" s="3" t="str">
        <f>IFERROR(__xludf.DUMMYFUNCTION("""COMPUTED_VALUE"""),"10")</f>
        <v>10</v>
      </c>
      <c r="F280" s="3" t="str">
        <f>IFERROR(__xludf.DUMMYFUNCTION("""COMPUTED_VALUE"""),"นพอ.จุฑาลักษณ์ อรัณยภูติ")</f>
        <v>นพอ.จุฑาลักษณ์ อรัณยภูติ</v>
      </c>
      <c r="G280" s="3" t="str">
        <f>IFERROR(__xludf.DUMMYFUNCTION("""COMPUTED_VALUE"""),"ทำนุบำรุงศาสนสถาน")</f>
        <v>ทำนุบำรุงศาสนสถาน</v>
      </c>
      <c r="H280" s="3" t="str">
        <f>IFERROR(__xludf.DUMMYFUNCTION("""COMPUTED_VALUE"""),"ทำนุบำรุงศาสนา")</f>
        <v>ทำนุบำรุงศาสนา</v>
      </c>
      <c r="I280" s="3" t="str">
        <f>IFERROR(__xludf.DUMMYFUNCTION("""COMPUTED_VALUE"""),"วัดปากน้ำโจ้โล้")</f>
        <v>วัดปากน้ำโจ้โล้</v>
      </c>
      <c r="J280" s="12">
        <f>IFERROR(__xludf.DUMMYFUNCTION("""COMPUTED_VALUE"""),45969.0)</f>
        <v>45969</v>
      </c>
      <c r="K280" s="3" t="str">
        <f>IFERROR(__xludf.DUMMYFUNCTION("""COMPUTED_VALUE"""),"0700-1100")</f>
        <v>0700-1100</v>
      </c>
      <c r="L280" s="3">
        <f>IFERROR(__xludf.DUMMYFUNCTION("""COMPUTED_VALUE"""),4.0)</f>
        <v>4</v>
      </c>
      <c r="M280" s="3" t="str">
        <f>IFERROR(__xludf.DUMMYFUNCTION("""COMPUTED_VALUE"""),"น.ส.วันวิสา ดำริมุ่งกิจ")</f>
        <v>น.ส.วันวิสา ดำริมุ่งกิจ</v>
      </c>
      <c r="N280" s="14" t="str">
        <f>IFERROR(__xludf.DUMMYFUNCTION("""COMPUTED_VALUE"""),"https://lh5.googleusercontent.com/d/157Wnd6P4Ppnbkv_LJD6aAdbx-ro3kLRI")</f>
        <v>https://lh5.googleusercontent.com/d/157Wnd6P4Ppnbkv_LJD6aAdbx-ro3kLRI</v>
      </c>
      <c r="O280" s="14" t="str">
        <f>IFERROR(__xludf.DUMMYFUNCTION("""COMPUTED_VALUE"""),"https://drive.google.com/file/d/1cWM7kEpkSxavTdMA6q4390kArUv_unnQ/view?usp=drivesdk")</f>
        <v>https://drive.google.com/file/d/1cWM7kEpkSxavTdMA6q4390kArUv_unnQ/view?usp=drivesdk</v>
      </c>
    </row>
    <row r="281">
      <c r="A281" s="3">
        <f>IFERROR(__xludf.DUMMYFUNCTION("""COMPUTED_VALUE"""),1489.0)</f>
        <v>1489</v>
      </c>
      <c r="B281" s="11">
        <f>IFERROR(__xludf.DUMMYFUNCTION("""COMPUTED_VALUE"""),45998.9720521412)</f>
        <v>45998.97205</v>
      </c>
      <c r="C281" s="3" t="str">
        <f>IFERROR(__xludf.DUMMYFUNCTION("""COMPUTED_VALUE"""),"ชั้นปีที่ 4")</f>
        <v>ชั้นปีที่ 4</v>
      </c>
      <c r="D281" s="3" t="str">
        <f>IFERROR(__xludf.DUMMYFUNCTION("""COMPUTED_VALUE"""),"6503704")</f>
        <v>6503704</v>
      </c>
      <c r="E281" s="3" t="str">
        <f>IFERROR(__xludf.DUMMYFUNCTION("""COMPUTED_VALUE"""),"15")</f>
        <v>15</v>
      </c>
      <c r="F281" s="3" t="str">
        <f>IFERROR(__xludf.DUMMYFUNCTION("""COMPUTED_VALUE"""),"นพอ.ณภัทร ทองเจือ")</f>
        <v>นพอ.ณภัทร ทองเจือ</v>
      </c>
      <c r="G28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81" s="3" t="str">
        <f>IFERROR(__xludf.DUMMYFUNCTION("""COMPUTED_VALUE"""),"เดินวิ่ง ปั่น ป้องกันอัมพาต")</f>
        <v>เดินวิ่ง ปั่น ป้องกันอัมพาต</v>
      </c>
      <c r="I281" s="3" t="str">
        <f>IFERROR(__xludf.DUMMYFUNCTION("""COMPUTED_VALUE"""),"ศาลาการจังหวัดฉะเชิงเทรา")</f>
        <v>ศาลาการจังหวัดฉะเชิงเทรา</v>
      </c>
      <c r="J281" s="12">
        <f>IFERROR(__xludf.DUMMYFUNCTION("""COMPUTED_VALUE"""),45956.0)</f>
        <v>45956</v>
      </c>
      <c r="K281" s="3" t="str">
        <f>IFERROR(__xludf.DUMMYFUNCTION("""COMPUTED_VALUE"""),"0700-1100")</f>
        <v>0700-1100</v>
      </c>
      <c r="L281" s="3">
        <f>IFERROR(__xludf.DUMMYFUNCTION("""COMPUTED_VALUE"""),4.0)</f>
        <v>4</v>
      </c>
      <c r="M281" s="3" t="str">
        <f>IFERROR(__xludf.DUMMYFUNCTION("""COMPUTED_VALUE"""),"น.ส.นุศรา เนียมสูงเนิน")</f>
        <v>น.ส.นุศรา เนียมสูงเนิน</v>
      </c>
      <c r="N281" s="14" t="str">
        <f>IFERROR(__xludf.DUMMYFUNCTION("""COMPUTED_VALUE"""),"https://lh5.googleusercontent.com/d/1eW4GuWZabukFApEDSFSTzf9axhrtA4V0")</f>
        <v>https://lh5.googleusercontent.com/d/1eW4GuWZabukFApEDSFSTzf9axhrtA4V0</v>
      </c>
      <c r="O281" s="14" t="str">
        <f>IFERROR(__xludf.DUMMYFUNCTION("""COMPUTED_VALUE"""),"https://drive.google.com/file/d/1VCPZhDRh_dCStpu7C3-03FYVCNs5aq4M/view?usp=drivesdk")</f>
        <v>https://drive.google.com/file/d/1VCPZhDRh_dCStpu7C3-03FYVCNs5aq4M/view?usp=drivesdk</v>
      </c>
    </row>
    <row r="282">
      <c r="A282" s="3">
        <f>IFERROR(__xludf.DUMMYFUNCTION("""COMPUTED_VALUE"""),1490.0)</f>
        <v>1490</v>
      </c>
      <c r="B282" s="11">
        <f>IFERROR(__xludf.DUMMYFUNCTION("""COMPUTED_VALUE"""),45998.9742447338)</f>
        <v>45998.97424</v>
      </c>
      <c r="C282" s="3" t="str">
        <f>IFERROR(__xludf.DUMMYFUNCTION("""COMPUTED_VALUE"""),"ชั้นปีที่ 4")</f>
        <v>ชั้นปีที่ 4</v>
      </c>
      <c r="D282" s="3" t="str">
        <f>IFERROR(__xludf.DUMMYFUNCTION("""COMPUTED_VALUE"""),"6503715")</f>
        <v>6503715</v>
      </c>
      <c r="E282" s="3" t="str">
        <f>IFERROR(__xludf.DUMMYFUNCTION("""COMPUTED_VALUE"""),"26")</f>
        <v>26</v>
      </c>
      <c r="F282" s="3" t="str">
        <f>IFERROR(__xludf.DUMMYFUNCTION("""COMPUTED_VALUE"""),"นพอ.ธัญพิชชา ฤกษ์นาวี")</f>
        <v>นพอ.ธัญพิชชา ฤกษ์นาวี</v>
      </c>
      <c r="G282" s="3" t="str">
        <f>IFERROR(__xludf.DUMMYFUNCTION("""COMPUTED_VALUE"""),"ช่วยเหลืองานภายใน วพอ.")</f>
        <v>ช่วยเหลืองานภายใน วพอ.</v>
      </c>
      <c r="H282" s="3" t="str">
        <f>IFERROR(__xludf.DUMMYFUNCTION("""COMPUTED_VALUE"""),"ช่วยขนโต๊ะขึ้นชั้น 4")</f>
        <v>ช่วยขนโต๊ะขึ้นชั้น 4</v>
      </c>
      <c r="I282" s="3" t="str">
        <f>IFERROR(__xludf.DUMMYFUNCTION("""COMPUTED_VALUE"""),"วพอ.พอ.")</f>
        <v>วพอ.พอ.</v>
      </c>
      <c r="J282" s="12">
        <f>IFERROR(__xludf.DUMMYFUNCTION("""COMPUTED_VALUE"""),45855.0)</f>
        <v>45855</v>
      </c>
      <c r="K282" s="3" t="str">
        <f>IFERROR(__xludf.DUMMYFUNCTION("""COMPUTED_VALUE"""),"0800-1500")</f>
        <v>0800-1500</v>
      </c>
      <c r="L282" s="3">
        <f>IFERROR(__xludf.DUMMYFUNCTION("""COMPUTED_VALUE"""),6.0)</f>
        <v>6</v>
      </c>
      <c r="M282" s="3" t="str">
        <f>IFERROR(__xludf.DUMMYFUNCTION("""COMPUTED_VALUE"""),"ร.ต.จักรวาล เนื่องสุข")</f>
        <v>ร.ต.จักรวาล เนื่องสุข</v>
      </c>
      <c r="N282" s="14" t="str">
        <f>IFERROR(__xludf.DUMMYFUNCTION("""COMPUTED_VALUE"""),"https://lh5.googleusercontent.com/d/1ok8Pe1dSm7vBlfuXUfiOR0H6ofCik5Bv")</f>
        <v>https://lh5.googleusercontent.com/d/1ok8Pe1dSm7vBlfuXUfiOR0H6ofCik5Bv</v>
      </c>
      <c r="O282" s="14" t="str">
        <f>IFERROR(__xludf.DUMMYFUNCTION("""COMPUTED_VALUE"""),"https://drive.google.com/file/d/1luzVCq_79IjwcSfwwu_ldSTetFt_7jw3/view?usp=drivesdk")</f>
        <v>https://drive.google.com/file/d/1luzVCq_79IjwcSfwwu_ldSTetFt_7jw3/view?usp=drivesdk</v>
      </c>
    </row>
    <row r="283">
      <c r="A283" s="3">
        <f>IFERROR(__xludf.DUMMYFUNCTION("""COMPUTED_VALUE"""),1491.0)</f>
        <v>1491</v>
      </c>
      <c r="B283" s="11">
        <f>IFERROR(__xludf.DUMMYFUNCTION("""COMPUTED_VALUE"""),45998.97809304398)</f>
        <v>45998.97809</v>
      </c>
      <c r="C283" s="3" t="str">
        <f>IFERROR(__xludf.DUMMYFUNCTION("""COMPUTED_VALUE"""),"ชั้นปีที่ 4")</f>
        <v>ชั้นปีที่ 4</v>
      </c>
      <c r="D283" s="3" t="str">
        <f>IFERROR(__xludf.DUMMYFUNCTION("""COMPUTED_VALUE"""),"6503704")</f>
        <v>6503704</v>
      </c>
      <c r="E283" s="3" t="str">
        <f>IFERROR(__xludf.DUMMYFUNCTION("""COMPUTED_VALUE"""),"15")</f>
        <v>15</v>
      </c>
      <c r="F283" s="3" t="str">
        <f>IFERROR(__xludf.DUMMYFUNCTION("""COMPUTED_VALUE"""),"นพอ.ณภัทร ทองเจือ")</f>
        <v>นพอ.ณภัทร ทองเจือ</v>
      </c>
      <c r="G283" s="3" t="str">
        <f>IFERROR(__xludf.DUMMYFUNCTION("""COMPUTED_VALUE"""),"งานฟรีทั่วไป")</f>
        <v>งานฟรีทั่วไป</v>
      </c>
      <c r="H283" s="3" t="str">
        <f>IFERROR(__xludf.DUMMYFUNCTION("""COMPUTED_VALUE"""),"เล่นดุริยางค์")</f>
        <v>เล่นดุริยางค์</v>
      </c>
      <c r="I283" s="3" t="str">
        <f>IFERROR(__xludf.DUMMYFUNCTION("""COMPUTED_VALUE"""),"วพอ.พอ.")</f>
        <v>วพอ.พอ.</v>
      </c>
      <c r="J283" s="12">
        <f>IFERROR(__xludf.DUMMYFUNCTION("""COMPUTED_VALUE"""),45834.0)</f>
        <v>45834</v>
      </c>
      <c r="K283" s="3" t="str">
        <f>IFERROR(__xludf.DUMMYFUNCTION("""COMPUTED_VALUE"""),"0700-0800")</f>
        <v>0700-0800</v>
      </c>
      <c r="L283" s="3">
        <f>IFERROR(__xludf.DUMMYFUNCTION("""COMPUTED_VALUE"""),1.0)</f>
        <v>1</v>
      </c>
      <c r="M283" s="3" t="str">
        <f>IFERROR(__xludf.DUMMYFUNCTION("""COMPUTED_VALUE"""),"ร.อ.อนุชิต ทำจะดี")</f>
        <v>ร.อ.อนุชิต ทำจะดี</v>
      </c>
      <c r="N283" s="14" t="str">
        <f>IFERROR(__xludf.DUMMYFUNCTION("""COMPUTED_VALUE"""),"https://lh5.googleusercontent.com/d/1LDs6P4jdPLO4eCRTgd2Rcx3I0NcyAN7e")</f>
        <v>https://lh5.googleusercontent.com/d/1LDs6P4jdPLO4eCRTgd2Rcx3I0NcyAN7e</v>
      </c>
      <c r="O283" s="14" t="str">
        <f>IFERROR(__xludf.DUMMYFUNCTION("""COMPUTED_VALUE"""),"https://drive.google.com/file/d/14VbweoCBuv7HeOfI51n_J5PdVtPbFZ_c/view?usp=drivesdk")</f>
        <v>https://drive.google.com/file/d/14VbweoCBuv7HeOfI51n_J5PdVtPbFZ_c/view?usp=drivesdk</v>
      </c>
    </row>
    <row r="284">
      <c r="A284" s="3">
        <f>IFERROR(__xludf.DUMMYFUNCTION("""COMPUTED_VALUE"""),1492.0)</f>
        <v>1492</v>
      </c>
      <c r="B284" s="11">
        <f>IFERROR(__xludf.DUMMYFUNCTION("""COMPUTED_VALUE"""),45998.97899732639)</f>
        <v>45998.979</v>
      </c>
      <c r="C284" s="3" t="str">
        <f>IFERROR(__xludf.DUMMYFUNCTION("""COMPUTED_VALUE"""),"ชั้นปีที่ 4")</f>
        <v>ชั้นปีที่ 4</v>
      </c>
      <c r="D284" s="3" t="str">
        <f>IFERROR(__xludf.DUMMYFUNCTION("""COMPUTED_VALUE"""),"6503704")</f>
        <v>6503704</v>
      </c>
      <c r="E284" s="3" t="str">
        <f>IFERROR(__xludf.DUMMYFUNCTION("""COMPUTED_VALUE"""),"15")</f>
        <v>15</v>
      </c>
      <c r="F284" s="3" t="str">
        <f>IFERROR(__xludf.DUMMYFUNCTION("""COMPUTED_VALUE"""),"นพอ.ณภัทร ทองเจือ")</f>
        <v>นพอ.ณภัทร ทองเจือ</v>
      </c>
      <c r="G284" s="3" t="str">
        <f>IFERROR(__xludf.DUMMYFUNCTION("""COMPUTED_VALUE"""),"งานฟรีทั่วไป")</f>
        <v>งานฟรีทั่วไป</v>
      </c>
      <c r="H284" s="3" t="str">
        <f>IFERROR(__xludf.DUMMYFUNCTION("""COMPUTED_VALUE"""),"เล่นดุริยางค์")</f>
        <v>เล่นดุริยางค์</v>
      </c>
      <c r="I284" s="3" t="str">
        <f>IFERROR(__xludf.DUMMYFUNCTION("""COMPUTED_VALUE"""),"วพอ.พอ.")</f>
        <v>วพอ.พอ.</v>
      </c>
      <c r="J284" s="12">
        <f>IFERROR(__xludf.DUMMYFUNCTION("""COMPUTED_VALUE"""),45841.0)</f>
        <v>45841</v>
      </c>
      <c r="K284" s="3" t="str">
        <f>IFERROR(__xludf.DUMMYFUNCTION("""COMPUTED_VALUE"""),"0700-0800")</f>
        <v>0700-0800</v>
      </c>
      <c r="L284" s="3">
        <f>IFERROR(__xludf.DUMMYFUNCTION("""COMPUTED_VALUE"""),1.0)</f>
        <v>1</v>
      </c>
      <c r="M284" s="3" t="str">
        <f>IFERROR(__xludf.DUMMYFUNCTION("""COMPUTED_VALUE"""),"ร.อ.อนุชิต ทำจะดี")</f>
        <v>ร.อ.อนุชิต ทำจะดี</v>
      </c>
      <c r="N284" s="14" t="str">
        <f>IFERROR(__xludf.DUMMYFUNCTION("""COMPUTED_VALUE"""),"https://lh5.googleusercontent.com/d/13ORRcORJuQGJTP_4iVX3TU3RE6UhFK3j")</f>
        <v>https://lh5.googleusercontent.com/d/13ORRcORJuQGJTP_4iVX3TU3RE6UhFK3j</v>
      </c>
      <c r="O284" s="14" t="str">
        <f>IFERROR(__xludf.DUMMYFUNCTION("""COMPUTED_VALUE"""),"https://drive.google.com/file/d/1VtwDxmUCNR59J53TANDClV4p7tPhwDfZ/view?usp=drivesdk")</f>
        <v>https://drive.google.com/file/d/1VtwDxmUCNR59J53TANDClV4p7tPhwDfZ/view?usp=drivesdk</v>
      </c>
    </row>
    <row r="285">
      <c r="A285" s="3">
        <f>IFERROR(__xludf.DUMMYFUNCTION("""COMPUTED_VALUE"""),1505.0)</f>
        <v>1505</v>
      </c>
      <c r="B285" s="11">
        <f>IFERROR(__xludf.DUMMYFUNCTION("""COMPUTED_VALUE"""),45999.52235125)</f>
        <v>45999.52235</v>
      </c>
      <c r="C285" s="3" t="str">
        <f>IFERROR(__xludf.DUMMYFUNCTION("""COMPUTED_VALUE"""),"ชั้นปีที่ 4")</f>
        <v>ชั้นปีที่ 4</v>
      </c>
      <c r="D285" s="3" t="str">
        <f>IFERROR(__xludf.DUMMYFUNCTION("""COMPUTED_VALUE"""),"6503752")</f>
        <v>6503752</v>
      </c>
      <c r="E285" s="3" t="str">
        <f>IFERROR(__xludf.DUMMYFUNCTION("""COMPUTED_VALUE"""),"62")</f>
        <v>62</v>
      </c>
      <c r="F285" s="3" t="str">
        <f>IFERROR(__xludf.DUMMYFUNCTION("""COMPUTED_VALUE"""),"นพอ.อนัญญา  ขอประเสริฐสุข")</f>
        <v>นพอ.อนัญญา  ขอประเสริฐสุข</v>
      </c>
      <c r="G28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85" s="3" t="str">
        <f>IFERROR(__xludf.DUMMYFUNCTION("""COMPUTED_VALUE"""),"วันรักต้นไม้ประจำปีของชาติ พ.ศ.2568")</f>
        <v>วันรักต้นไม้ประจำปีของชาติ พ.ศ.2568</v>
      </c>
      <c r="I285" s="3" t="str">
        <f>IFERROR(__xludf.DUMMYFUNCTION("""COMPUTED_VALUE"""),"รพ.สต.บางขวัญ")</f>
        <v>รพ.สต.บางขวัญ</v>
      </c>
      <c r="J285" s="12">
        <f>IFERROR(__xludf.DUMMYFUNCTION("""COMPUTED_VALUE"""),45951.0)</f>
        <v>45951</v>
      </c>
      <c r="K285" s="3" t="str">
        <f>IFERROR(__xludf.DUMMYFUNCTION("""COMPUTED_VALUE"""),"0800-1200")</f>
        <v>0800-1200</v>
      </c>
      <c r="L285" s="3">
        <f>IFERROR(__xludf.DUMMYFUNCTION("""COMPUTED_VALUE"""),4.0)</f>
        <v>4</v>
      </c>
      <c r="M285" s="3" t="str">
        <f>IFERROR(__xludf.DUMMYFUNCTION("""COMPUTED_VALUE"""),"นายเวคิน  เจียโหงว")</f>
        <v>นายเวคิน  เจียโหงว</v>
      </c>
      <c r="N285" s="14" t="str">
        <f>IFERROR(__xludf.DUMMYFUNCTION("""COMPUTED_VALUE"""),"https://lh5.googleusercontent.com/d/1DO_2siQQXdyKKjsT3SepfTYsX8wlecbW")</f>
        <v>https://lh5.googleusercontent.com/d/1DO_2siQQXdyKKjsT3SepfTYsX8wlecbW</v>
      </c>
      <c r="O285" s="14" t="str">
        <f>IFERROR(__xludf.DUMMYFUNCTION("""COMPUTED_VALUE"""),"https://drive.google.com/file/d/1iaYg-bS80ejiY_x0JH9KU3uvIHeY9N_z/view?usp=drivesdk")</f>
        <v>https://drive.google.com/file/d/1iaYg-bS80ejiY_x0JH9KU3uvIHeY9N_z/view?usp=drivesdk</v>
      </c>
    </row>
    <row r="286">
      <c r="A286" s="3">
        <f>IFERROR(__xludf.DUMMYFUNCTION("""COMPUTED_VALUE"""),1506.0)</f>
        <v>1506</v>
      </c>
      <c r="B286" s="11">
        <f>IFERROR(__xludf.DUMMYFUNCTION("""COMPUTED_VALUE"""),45999.53095969908)</f>
        <v>45999.53096</v>
      </c>
      <c r="C286" s="3" t="str">
        <f>IFERROR(__xludf.DUMMYFUNCTION("""COMPUTED_VALUE"""),"ชั้นปีที่ 4")</f>
        <v>ชั้นปีที่ 4</v>
      </c>
      <c r="D286" s="3" t="str">
        <f>IFERROR(__xludf.DUMMYFUNCTION("""COMPUTED_VALUE"""),"6503752")</f>
        <v>6503752</v>
      </c>
      <c r="E286" s="3" t="str">
        <f>IFERROR(__xludf.DUMMYFUNCTION("""COMPUTED_VALUE"""),"62")</f>
        <v>62</v>
      </c>
      <c r="F286" s="3" t="str">
        <f>IFERROR(__xludf.DUMMYFUNCTION("""COMPUTED_VALUE"""),"นพอ.อนัญญา ขอประเสริฐสุข")</f>
        <v>นพอ.อนัญญา ขอประเสริฐสุข</v>
      </c>
      <c r="G286" s="3" t="str">
        <f>IFERROR(__xludf.DUMMYFUNCTION("""COMPUTED_VALUE"""),"ทำนุบำรุงศาสนสถาน")</f>
        <v>ทำนุบำรุงศาสนสถาน</v>
      </c>
      <c r="H286" s="3" t="str">
        <f>IFERROR(__xludf.DUMMYFUNCTION("""COMPUTED_VALUE"""),"กวาดวัดและตอกเสาธง")</f>
        <v>กวาดวัดและตอกเสาธง</v>
      </c>
      <c r="I286" s="3" t="str">
        <f>IFERROR(__xludf.DUMMYFUNCTION("""COMPUTED_VALUE"""),"วัดใหม่(บางขวัญ)")</f>
        <v>วัดใหม่(บางขวัญ)</v>
      </c>
      <c r="J286" s="12">
        <f>IFERROR(__xludf.DUMMYFUNCTION("""COMPUTED_VALUE"""),45961.0)</f>
        <v>45961</v>
      </c>
      <c r="K286" s="3" t="str">
        <f>IFERROR(__xludf.DUMMYFUNCTION("""COMPUTED_VALUE"""),"0800-1200")</f>
        <v>0800-1200</v>
      </c>
      <c r="L286" s="3">
        <f>IFERROR(__xludf.DUMMYFUNCTION("""COMPUTED_VALUE"""),4.0)</f>
        <v>4</v>
      </c>
      <c r="M286" s="3" t="str">
        <f>IFERROR(__xludf.DUMMYFUNCTION("""COMPUTED_VALUE"""),"นายเวคิน เจียโหงว")</f>
        <v>นายเวคิน เจียโหงว</v>
      </c>
      <c r="N286" s="14" t="str">
        <f>IFERROR(__xludf.DUMMYFUNCTION("""COMPUTED_VALUE"""),"https://lh5.googleusercontent.com/d/1drQMyhHZeKrRm9JC9ihxkSzN2x-PBhsH")</f>
        <v>https://lh5.googleusercontent.com/d/1drQMyhHZeKrRm9JC9ihxkSzN2x-PBhsH</v>
      </c>
      <c r="O286" s="14" t="str">
        <f>IFERROR(__xludf.DUMMYFUNCTION("""COMPUTED_VALUE"""),"https://drive.google.com/file/d/1XwvNg3AdNzP2vr6LmoGJA14JN2ZbIXB7/view?usp=drivesdk")</f>
        <v>https://drive.google.com/file/d/1XwvNg3AdNzP2vr6LmoGJA14JN2ZbIXB7/view?usp=drivesdk</v>
      </c>
    </row>
    <row r="287">
      <c r="A287" s="3">
        <f>IFERROR(__xludf.DUMMYFUNCTION("""COMPUTED_VALUE"""),1521.0)</f>
        <v>1521</v>
      </c>
      <c r="B287" s="11">
        <f>IFERROR(__xludf.DUMMYFUNCTION("""COMPUTED_VALUE"""),45999.61709990741)</f>
        <v>45999.6171</v>
      </c>
      <c r="C287" s="3" t="str">
        <f>IFERROR(__xludf.DUMMYFUNCTION("""COMPUTED_VALUE"""),"ชั้นปีที่ 4")</f>
        <v>ชั้นปีที่ 4</v>
      </c>
      <c r="D287" s="3" t="str">
        <f>IFERROR(__xludf.DUMMYFUNCTION("""COMPUTED_VALUE"""),"6503752")</f>
        <v>6503752</v>
      </c>
      <c r="E287" s="3" t="str">
        <f>IFERROR(__xludf.DUMMYFUNCTION("""COMPUTED_VALUE"""),"62")</f>
        <v>62</v>
      </c>
      <c r="F287" s="3" t="str">
        <f>IFERROR(__xludf.DUMMYFUNCTION("""COMPUTED_VALUE"""),"นพอ.อนัญญา ขอประเสริฐสุข")</f>
        <v>นพอ.อนัญญา ขอประเสริฐสุข</v>
      </c>
      <c r="G287" s="3" t="str">
        <f>IFERROR(__xludf.DUMMYFUNCTION("""COMPUTED_VALUE"""),"ทำนุบำรุงศาสนสถาน")</f>
        <v>ทำนุบำรุงศาสนสถาน</v>
      </c>
      <c r="H287" s="3" t="str">
        <f>IFERROR(__xludf.DUMMYFUNCTION("""COMPUTED_VALUE"""),"ช่วยจัดงานกฐิน")</f>
        <v>ช่วยจัดงานกฐิน</v>
      </c>
      <c r="I287" s="3" t="str">
        <f>IFERROR(__xludf.DUMMYFUNCTION("""COMPUTED_VALUE"""),"วัดใหม่(บางขวัญ)")</f>
        <v>วัดใหม่(บางขวัญ)</v>
      </c>
      <c r="J287" s="12">
        <f>IFERROR(__xludf.DUMMYFUNCTION("""COMPUTED_VALUE"""),45963.0)</f>
        <v>45963</v>
      </c>
      <c r="K287" s="3" t="str">
        <f>IFERROR(__xludf.DUMMYFUNCTION("""COMPUTED_VALUE"""),"0800-1200")</f>
        <v>0800-1200</v>
      </c>
      <c r="L287" s="3">
        <f>IFERROR(__xludf.DUMMYFUNCTION("""COMPUTED_VALUE"""),4.0)</f>
        <v>4</v>
      </c>
      <c r="M287" s="3" t="str">
        <f>IFERROR(__xludf.DUMMYFUNCTION("""COMPUTED_VALUE"""),"นายเวคิน เจียโหงว")</f>
        <v>นายเวคิน เจียโหงว</v>
      </c>
      <c r="N287" s="14" t="str">
        <f>IFERROR(__xludf.DUMMYFUNCTION("""COMPUTED_VALUE"""),"https://lh5.googleusercontent.com/d/1SrKOe_L2BclaXgXfVaCLwhcFv-z_sN-L")</f>
        <v>https://lh5.googleusercontent.com/d/1SrKOe_L2BclaXgXfVaCLwhcFv-z_sN-L</v>
      </c>
      <c r="O287" s="14" t="str">
        <f>IFERROR(__xludf.DUMMYFUNCTION("""COMPUTED_VALUE"""),"https://drive.google.com/file/d/1xyerAmuaEMelu0aZCGaLPya4WXv4dLSC/view?usp=drivesdk")</f>
        <v>https://drive.google.com/file/d/1xyerAmuaEMelu0aZCGaLPya4WXv4dLSC/view?usp=drivesdk</v>
      </c>
    </row>
    <row r="288">
      <c r="A288" s="3">
        <f>IFERROR(__xludf.DUMMYFUNCTION("""COMPUTED_VALUE"""),1523.0)</f>
        <v>1523</v>
      </c>
      <c r="B288" s="11">
        <f>IFERROR(__xludf.DUMMYFUNCTION("""COMPUTED_VALUE"""),45999.621938275464)</f>
        <v>45999.62194</v>
      </c>
      <c r="C288" s="3" t="str">
        <f>IFERROR(__xludf.DUMMYFUNCTION("""COMPUTED_VALUE"""),"ชั้นปีที่ 4")</f>
        <v>ชั้นปีที่ 4</v>
      </c>
      <c r="D288" s="3" t="str">
        <f>IFERROR(__xludf.DUMMYFUNCTION("""COMPUTED_VALUE"""),"6503752")</f>
        <v>6503752</v>
      </c>
      <c r="E288" s="3" t="str">
        <f>IFERROR(__xludf.DUMMYFUNCTION("""COMPUTED_VALUE"""),"62")</f>
        <v>62</v>
      </c>
      <c r="F288" s="3" t="str">
        <f>IFERROR(__xludf.DUMMYFUNCTION("""COMPUTED_VALUE"""),"นพอ.อนัญญา ขอประเสริฐสุข")</f>
        <v>นพอ.อนัญญา ขอประเสริฐสุข</v>
      </c>
      <c r="G288" s="3" t="str">
        <f>IFERROR(__xludf.DUMMYFUNCTION("""COMPUTED_VALUE"""),"ทำนุบำรุงศาสนสถาน")</f>
        <v>ทำนุบำรุงศาสนสถาน</v>
      </c>
      <c r="H288" s="3" t="str">
        <f>IFERROR(__xludf.DUMMYFUNCTION("""COMPUTED_VALUE"""),"กวาดวัด")</f>
        <v>กวาดวัด</v>
      </c>
      <c r="I288" s="3" t="str">
        <f>IFERROR(__xludf.DUMMYFUNCTION("""COMPUTED_VALUE"""),"วัดวิเวกอาคม")</f>
        <v>วัดวิเวกอาคม</v>
      </c>
      <c r="J288" s="12">
        <f>IFERROR(__xludf.DUMMYFUNCTION("""COMPUTED_VALUE"""),45955.0)</f>
        <v>45955</v>
      </c>
      <c r="K288" s="3" t="str">
        <f>IFERROR(__xludf.DUMMYFUNCTION("""COMPUTED_VALUE"""),"0800-1200")</f>
        <v>0800-1200</v>
      </c>
      <c r="L288" s="3">
        <f>IFERROR(__xludf.DUMMYFUNCTION("""COMPUTED_VALUE"""),4.0)</f>
        <v>4</v>
      </c>
      <c r="M288" s="3" t="str">
        <f>IFERROR(__xludf.DUMMYFUNCTION("""COMPUTED_VALUE"""),"นายเวคิน เจีโหงว")</f>
        <v>นายเวคิน เจีโหงว</v>
      </c>
      <c r="N288" s="14" t="str">
        <f>IFERROR(__xludf.DUMMYFUNCTION("""COMPUTED_VALUE"""),"https://lh5.googleusercontent.com/d/1R2j63sWQIv--GSqneWD1eoEVfeo8yQpd")</f>
        <v>https://lh5.googleusercontent.com/d/1R2j63sWQIv--GSqneWD1eoEVfeo8yQpd</v>
      </c>
      <c r="O288" s="14" t="str">
        <f>IFERROR(__xludf.DUMMYFUNCTION("""COMPUTED_VALUE"""),"https://drive.google.com/file/d/1DehDfmU8cdNBUbSCn-_lRRSB1QwrpE2C/view?usp=drivesdk")</f>
        <v>https://drive.google.com/file/d/1DehDfmU8cdNBUbSCn-_lRRSB1QwrpE2C/view?usp=drivesdk</v>
      </c>
    </row>
    <row r="289">
      <c r="A289" s="3">
        <f>IFERROR(__xludf.DUMMYFUNCTION("""COMPUTED_VALUE"""),1527.0)</f>
        <v>1527</v>
      </c>
      <c r="B289" s="11">
        <f>IFERROR(__xludf.DUMMYFUNCTION("""COMPUTED_VALUE"""),45999.641255347226)</f>
        <v>45999.64126</v>
      </c>
      <c r="C289" s="3" t="str">
        <f>IFERROR(__xludf.DUMMYFUNCTION("""COMPUTED_VALUE"""),"ชั้นปีที่ 4")</f>
        <v>ชั้นปีที่ 4</v>
      </c>
      <c r="D289" s="3" t="str">
        <f>IFERROR(__xludf.DUMMYFUNCTION("""COMPUTED_VALUE"""),"6503752")</f>
        <v>6503752</v>
      </c>
      <c r="E289" s="3" t="str">
        <f>IFERROR(__xludf.DUMMYFUNCTION("""COMPUTED_VALUE"""),"62")</f>
        <v>62</v>
      </c>
      <c r="F289" s="3" t="str">
        <f>IFERROR(__xludf.DUMMYFUNCTION("""COMPUTED_VALUE"""),"นพอ.อนัญญา ขอประเสริฐสุข")</f>
        <v>นพอ.อนัญญา ขอประเสริฐสุข</v>
      </c>
      <c r="G28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9" s="3" t="str">
        <f>IFERROR(__xludf.DUMMYFUNCTION("""COMPUTED_VALUE"""),"โครงการคัดกรองสุขภาพเชิงรุกกำลังพลทอ")</f>
        <v>โครงการคัดกรองสุขภาพเชิงรุกกำลังพลทอ</v>
      </c>
      <c r="I289" s="3" t="str">
        <f>IFERROR(__xludf.DUMMYFUNCTION("""COMPUTED_VALUE"""),"สโมสรทหารอากาศชั้นประทวน")</f>
        <v>สโมสรทหารอากาศชั้นประทวน</v>
      </c>
      <c r="J289" s="12">
        <f>IFERROR(__xludf.DUMMYFUNCTION("""COMPUTED_VALUE"""),45854.0)</f>
        <v>45854</v>
      </c>
      <c r="K289" s="3" t="str">
        <f>IFERROR(__xludf.DUMMYFUNCTION("""COMPUTED_VALUE"""),"0600-1200")</f>
        <v>0600-1200</v>
      </c>
      <c r="L289" s="3">
        <f>IFERROR(__xludf.DUMMYFUNCTION("""COMPUTED_VALUE"""),6.0)</f>
        <v>6</v>
      </c>
      <c r="M289" s="3" t="str">
        <f>IFERROR(__xludf.DUMMYFUNCTION("""COMPUTED_VALUE"""),"น.ต.หญิง ตวงทิพย์ ลดาวัลย์")</f>
        <v>น.ต.หญิง ตวงทิพย์ ลดาวัลย์</v>
      </c>
      <c r="N289" s="14" t="str">
        <f>IFERROR(__xludf.DUMMYFUNCTION("""COMPUTED_VALUE"""),"https://lh5.googleusercontent.com/d/1ZmtS5-l9zUcANO9YZ0R7G5tUteE-MuFO")</f>
        <v>https://lh5.googleusercontent.com/d/1ZmtS5-l9zUcANO9YZ0R7G5tUteE-MuFO</v>
      </c>
      <c r="O289" s="14" t="str">
        <f>IFERROR(__xludf.DUMMYFUNCTION("""COMPUTED_VALUE"""),"https://drive.google.com/file/d/1Eap10EPgI6yBoSJjVUJeMLJBUn_vKjFz/view?usp=drivesdk")</f>
        <v>https://drive.google.com/file/d/1Eap10EPgI6yBoSJjVUJeMLJBUn_vKjFz/view?usp=drivesdk</v>
      </c>
    </row>
    <row r="290">
      <c r="A290" s="3">
        <f>IFERROR(__xludf.DUMMYFUNCTION("""COMPUTED_VALUE"""),1584.0)</f>
        <v>1584</v>
      </c>
      <c r="B290" s="11">
        <f>IFERROR(__xludf.DUMMYFUNCTION("""COMPUTED_VALUE"""),45999.67853125)</f>
        <v>45999.67853</v>
      </c>
      <c r="C290" s="3" t="str">
        <f>IFERROR(__xludf.DUMMYFUNCTION("""COMPUTED_VALUE"""),"ชั้นปีที่ 4")</f>
        <v>ชั้นปีที่ 4</v>
      </c>
      <c r="D290" s="3" t="str">
        <f>IFERROR(__xludf.DUMMYFUNCTION("""COMPUTED_VALUE"""),"6503720")</f>
        <v>6503720</v>
      </c>
      <c r="E290" s="3" t="str">
        <f>IFERROR(__xludf.DUMMYFUNCTION("""COMPUTED_VALUE"""),"30")</f>
        <v>30</v>
      </c>
      <c r="F290" s="3" t="str">
        <f>IFERROR(__xludf.DUMMYFUNCTION("""COMPUTED_VALUE"""),"นพอ.นิศารัตน์ ปลุกใจ")</f>
        <v>นพอ.นิศารัตน์ ปลุกใจ</v>
      </c>
      <c r="G290" s="3" t="str">
        <f>IFERROR(__xludf.DUMMYFUNCTION("""COMPUTED_VALUE"""),"ช่วยเหลืองานภายใน วพอ.")</f>
        <v>ช่วยเหลืองานภายใน วพอ.</v>
      </c>
      <c r="H290" s="3" t="str">
        <f>IFERROR(__xludf.DUMMYFUNCTION("""COMPUTED_VALUE""")," ตรวจสอบอุปกรณ์ฝ่ายคอมพิวเตอร์ ประจำเดือนสิงหาคม ปี 2568")</f>
        <v> ตรวจสอบอุปกรณ์ฝ่ายคอมพิวเตอร์ ประจำเดือนสิงหาคม ปี 2568</v>
      </c>
      <c r="I290" s="3" t="str">
        <f>IFERROR(__xludf.DUMMYFUNCTION("""COMPUTED_VALUE"""),"ห้องศึกษาด้วยตนเอง ชั้น 2 หอพัก นพอ.")</f>
        <v>ห้องศึกษาด้วยตนเอง ชั้น 2 หอพัก นพอ.</v>
      </c>
      <c r="J290" s="12">
        <f>IFERROR(__xludf.DUMMYFUNCTION("""COMPUTED_VALUE"""),45872.0)</f>
        <v>45872</v>
      </c>
      <c r="K290" s="3" t="str">
        <f>IFERROR(__xludf.DUMMYFUNCTION("""COMPUTED_VALUE"""),"1900-2100 น.")</f>
        <v>1900-2100 น.</v>
      </c>
      <c r="L290" s="3">
        <f>IFERROR(__xludf.DUMMYFUNCTION("""COMPUTED_VALUE"""),3.0)</f>
        <v>3</v>
      </c>
      <c r="M290" s="3" t="str">
        <f>IFERROR(__xludf.DUMMYFUNCTION("""COMPUTED_VALUE"""),"น.อ.หญิง ดร.สกาวเนตร  ไทรแจ่มจันทร์")</f>
        <v>น.อ.หญิง ดร.สกาวเนตร  ไทรแจ่มจันทร์</v>
      </c>
      <c r="N290" s="14" t="str">
        <f>IFERROR(__xludf.DUMMYFUNCTION("""COMPUTED_VALUE"""),"https://lh5.googleusercontent.com/d/1RHLO_nM6hlbIgxlf-vRIyLJiiEOKp5JI")</f>
        <v>https://lh5.googleusercontent.com/d/1RHLO_nM6hlbIgxlf-vRIyLJiiEOKp5JI</v>
      </c>
      <c r="O290" s="14" t="str">
        <f>IFERROR(__xludf.DUMMYFUNCTION("""COMPUTED_VALUE"""),"https://drive.google.com/file/d/1tCLUyKpj_2jDMq8l1yUAYW0FEnKNCrjr/view?usp=drivesdk")</f>
        <v>https://drive.google.com/file/d/1tCLUyKpj_2jDMq8l1yUAYW0FEnKNCrjr/view?usp=drivesdk</v>
      </c>
    </row>
    <row r="291">
      <c r="A291" s="3">
        <f>IFERROR(__xludf.DUMMYFUNCTION("""COMPUTED_VALUE"""),1592.0)</f>
        <v>1592</v>
      </c>
      <c r="B291" s="11">
        <f>IFERROR(__xludf.DUMMYFUNCTION("""COMPUTED_VALUE"""),45999.688447789355)</f>
        <v>45999.68845</v>
      </c>
      <c r="C291" s="3" t="str">
        <f>IFERROR(__xludf.DUMMYFUNCTION("""COMPUTED_VALUE"""),"ชั้นปีที่ 4")</f>
        <v>ชั้นปีที่ 4</v>
      </c>
      <c r="D291" s="3" t="str">
        <f>IFERROR(__xludf.DUMMYFUNCTION("""COMPUTED_VALUE"""),"6503752")</f>
        <v>6503752</v>
      </c>
      <c r="E291" s="3" t="str">
        <f>IFERROR(__xludf.DUMMYFUNCTION("""COMPUTED_VALUE"""),"62")</f>
        <v>62</v>
      </c>
      <c r="F291" s="3" t="str">
        <f>IFERROR(__xludf.DUMMYFUNCTION("""COMPUTED_VALUE"""),"นพอ.อนัญญา ขอประเสริฐสุข")</f>
        <v>นพอ.อนัญญา ขอประเสริฐสุข</v>
      </c>
      <c r="G29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91" s="3" t="str">
        <f>IFERROR(__xludf.DUMMYFUNCTION("""COMPUTED_VALUE"""),"แจกเฉาก๊วยที่โรงทาน")</f>
        <v>แจกเฉาก๊วยที่โรงทาน</v>
      </c>
      <c r="I291" s="3" t="str">
        <f>IFERROR(__xludf.DUMMYFUNCTION("""COMPUTED_VALUE"""),"วัดใหม่(บางขวัญ)")</f>
        <v>วัดใหม่(บางขวัญ)</v>
      </c>
      <c r="J291" s="12">
        <f>IFERROR(__xludf.DUMMYFUNCTION("""COMPUTED_VALUE"""),45962.0)</f>
        <v>45962</v>
      </c>
      <c r="K291" s="3" t="str">
        <f>IFERROR(__xludf.DUMMYFUNCTION("""COMPUTED_VALUE"""),"0800-1200")</f>
        <v>0800-1200</v>
      </c>
      <c r="L291" s="3">
        <f>IFERROR(__xludf.DUMMYFUNCTION("""COMPUTED_VALUE"""),4.0)</f>
        <v>4</v>
      </c>
      <c r="M291" s="3" t="str">
        <f>IFERROR(__xludf.DUMMYFUNCTION("""COMPUTED_VALUE"""),"นายเวคิน  เจียโหงว")</f>
        <v>นายเวคิน  เจียโหงว</v>
      </c>
      <c r="N291" s="14" t="str">
        <f>IFERROR(__xludf.DUMMYFUNCTION("""COMPUTED_VALUE"""),"https://lh5.googleusercontent.com/d/1ryx-lIhP6UCJucuskSwOhoNJXrAZJ62V")</f>
        <v>https://lh5.googleusercontent.com/d/1ryx-lIhP6UCJucuskSwOhoNJXrAZJ62V</v>
      </c>
      <c r="O291" s="14" t="str">
        <f>IFERROR(__xludf.DUMMYFUNCTION("""COMPUTED_VALUE"""),"https://drive.google.com/file/d/1hzoZXBIJ-ahiMOiJ-rjKz0KyHdadJszf/view?usp=drivesdk")</f>
        <v>https://drive.google.com/file/d/1hzoZXBIJ-ahiMOiJ-rjKz0KyHdadJszf/view?usp=drivesdk</v>
      </c>
    </row>
    <row r="292">
      <c r="A292" s="3">
        <f>IFERROR(__xludf.DUMMYFUNCTION("""COMPUTED_VALUE"""),1599.0)</f>
        <v>1599</v>
      </c>
      <c r="B292" s="11">
        <f>IFERROR(__xludf.DUMMYFUNCTION("""COMPUTED_VALUE"""),45999.69962899306)</f>
        <v>45999.69963</v>
      </c>
      <c r="C292" s="3" t="str">
        <f>IFERROR(__xludf.DUMMYFUNCTION("""COMPUTED_VALUE"""),"ชั้นปีที่ 4")</f>
        <v>ชั้นปีที่ 4</v>
      </c>
      <c r="D292" s="3" t="str">
        <f>IFERROR(__xludf.DUMMYFUNCTION("""COMPUTED_VALUE"""),"6503715")</f>
        <v>6503715</v>
      </c>
      <c r="E292" s="3" t="str">
        <f>IFERROR(__xludf.DUMMYFUNCTION("""COMPUTED_VALUE"""),"26")</f>
        <v>26</v>
      </c>
      <c r="F292" s="3" t="str">
        <f>IFERROR(__xludf.DUMMYFUNCTION("""COMPUTED_VALUE"""),"นพอ.ธัญพิชชา ฤกษ์นาวี")</f>
        <v>นพอ.ธัญพิชชา ฤกษ์นาวี</v>
      </c>
      <c r="G29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2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292" s="3" t="str">
        <f>IFERROR(__xludf.DUMMYFUNCTION("""COMPUTED_VALUE"""),"สโมสรทหารอากาศชั้นประทวน")</f>
        <v>สโมสรทหารอากาศชั้นประทวน</v>
      </c>
      <c r="J292" s="12">
        <f>IFERROR(__xludf.DUMMYFUNCTION("""COMPUTED_VALUE"""),45854.0)</f>
        <v>45854</v>
      </c>
      <c r="K292" s="3" t="str">
        <f>IFERROR(__xludf.DUMMYFUNCTION("""COMPUTED_VALUE"""),"0700-1300")</f>
        <v>0700-1300</v>
      </c>
      <c r="L292" s="3">
        <f>IFERROR(__xludf.DUMMYFUNCTION("""COMPUTED_VALUE"""),6.0)</f>
        <v>6</v>
      </c>
      <c r="M292" s="3" t="str">
        <f>IFERROR(__xludf.DUMMYFUNCTION("""COMPUTED_VALUE"""),"น.ต.หญิง ตวงทิพย์ ลดาวัลย์")</f>
        <v>น.ต.หญิง ตวงทิพย์ ลดาวัลย์</v>
      </c>
      <c r="N292" s="14" t="str">
        <f>IFERROR(__xludf.DUMMYFUNCTION("""COMPUTED_VALUE"""),"https://lh5.googleusercontent.com/d/1vj_wtijGwuN6JRGlPn4PKvN_t8fCAsaM")</f>
        <v>https://lh5.googleusercontent.com/d/1vj_wtijGwuN6JRGlPn4PKvN_t8fCAsaM</v>
      </c>
      <c r="O292" s="14" t="str">
        <f>IFERROR(__xludf.DUMMYFUNCTION("""COMPUTED_VALUE"""),"https://drive.google.com/file/d/1aSJRIcintQwUF_txk3YfMa6QSHfUIs2X/view?usp=drivesdk")</f>
        <v>https://drive.google.com/file/d/1aSJRIcintQwUF_txk3YfMa6QSHfUIs2X/view?usp=drivesdk</v>
      </c>
    </row>
    <row r="293">
      <c r="A293" s="3">
        <f>IFERROR(__xludf.DUMMYFUNCTION("""COMPUTED_VALUE"""),1601.0)</f>
        <v>1601</v>
      </c>
      <c r="B293" s="11">
        <f>IFERROR(__xludf.DUMMYFUNCTION("""COMPUTED_VALUE"""),45999.704978090274)</f>
        <v>45999.70498</v>
      </c>
      <c r="C293" s="3" t="str">
        <f>IFERROR(__xludf.DUMMYFUNCTION("""COMPUTED_VALUE"""),"ชั้นปีที่ 4")</f>
        <v>ชั้นปีที่ 4</v>
      </c>
      <c r="D293" s="3" t="str">
        <f>IFERROR(__xludf.DUMMYFUNCTION("""COMPUTED_VALUE"""),"6503705")</f>
        <v>6503705</v>
      </c>
      <c r="E293" s="3" t="str">
        <f>IFERROR(__xludf.DUMMYFUNCTION("""COMPUTED_VALUE"""),"16")</f>
        <v>16</v>
      </c>
      <c r="F293" s="3" t="str">
        <f>IFERROR(__xludf.DUMMYFUNCTION("""COMPUTED_VALUE"""),"นพอ.ณัฐกมล สัมพวงค์")</f>
        <v>นพอ.ณัฐกมล สัมพวงค์</v>
      </c>
      <c r="G293" s="3" t="str">
        <f>IFERROR(__xludf.DUMMYFUNCTION("""COMPUTED_VALUE"""),"ทำนุบำรุงศาสนสถาน")</f>
        <v>ทำนุบำรุงศาสนสถาน</v>
      </c>
      <c r="H293" s="3" t="str">
        <f>IFERROR(__xludf.DUMMYFUNCTION("""COMPUTED_VALUE"""),"ทำบุญงานกฐิน")</f>
        <v>ทำบุญงานกฐิน</v>
      </c>
      <c r="I293" s="3" t="str">
        <f>IFERROR(__xludf.DUMMYFUNCTION("""COMPUTED_VALUE"""),"จ.ฉะเชิงเทรา")</f>
        <v>จ.ฉะเชิงเทรา</v>
      </c>
      <c r="J293" s="12">
        <f>IFERROR(__xludf.DUMMYFUNCTION("""COMPUTED_VALUE"""),45962.0)</f>
        <v>45962</v>
      </c>
      <c r="K293" s="3" t="str">
        <f>IFERROR(__xludf.DUMMYFUNCTION("""COMPUTED_VALUE"""),"0900-1500")</f>
        <v>0900-1500</v>
      </c>
      <c r="L293" s="3">
        <f>IFERROR(__xludf.DUMMYFUNCTION("""COMPUTED_VALUE"""),7.0)</f>
        <v>7</v>
      </c>
      <c r="M293" s="3" t="str">
        <f>IFERROR(__xludf.DUMMYFUNCTION("""COMPUTED_VALUE"""),"น.ต.ณภัทรชนม์ มีสุขมาก")</f>
        <v>น.ต.ณภัทรชนม์ มีสุขมาก</v>
      </c>
      <c r="N293" s="14" t="str">
        <f>IFERROR(__xludf.DUMMYFUNCTION("""COMPUTED_VALUE"""),"https://lh5.googleusercontent.com/d/1mY7ywOMiYaEacD2OVTXKIr_8-kzhcqML")</f>
        <v>https://lh5.googleusercontent.com/d/1mY7ywOMiYaEacD2OVTXKIr_8-kzhcqML</v>
      </c>
      <c r="O293" s="14" t="str">
        <f>IFERROR(__xludf.DUMMYFUNCTION("""COMPUTED_VALUE"""),"https://drive.google.com/file/d/1EpZTx3505RsozRkpGriyUhxBwKpQonBW/view?usp=drivesdk")</f>
        <v>https://drive.google.com/file/d/1EpZTx3505RsozRkpGriyUhxBwKpQonBW/view?usp=drivesdk</v>
      </c>
    </row>
    <row r="294">
      <c r="A294" s="3">
        <f>IFERROR(__xludf.DUMMYFUNCTION("""COMPUTED_VALUE"""),1602.0)</f>
        <v>1602</v>
      </c>
      <c r="B294" s="11">
        <f>IFERROR(__xludf.DUMMYFUNCTION("""COMPUTED_VALUE"""),45999.71031650463)</f>
        <v>45999.71032</v>
      </c>
      <c r="C294" s="3" t="str">
        <f>IFERROR(__xludf.DUMMYFUNCTION("""COMPUTED_VALUE"""),"ชั้นปีที่ 4")</f>
        <v>ชั้นปีที่ 4</v>
      </c>
      <c r="D294" s="3" t="str">
        <f>IFERROR(__xludf.DUMMYFUNCTION("""COMPUTED_VALUE"""),"6503705")</f>
        <v>6503705</v>
      </c>
      <c r="E294" s="3" t="str">
        <f>IFERROR(__xludf.DUMMYFUNCTION("""COMPUTED_VALUE"""),"16")</f>
        <v>16</v>
      </c>
      <c r="F294" s="3" t="str">
        <f>IFERROR(__xludf.DUMMYFUNCTION("""COMPUTED_VALUE"""),"นพอ.ณัฐกมล สัมพวงค์")</f>
        <v>นพอ.ณัฐกมล สัมพวงค์</v>
      </c>
      <c r="G2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4" s="3" t="str">
        <f>IFERROR(__xludf.DUMMYFUNCTION("""COMPUTED_VALUE"""),"ตรวจคัดกรองสุขภาพสุขภาพเชิงรุก ทอ.")</f>
        <v>ตรวจคัดกรองสุขภาพสุขภาพเชิงรุก ทอ.</v>
      </c>
      <c r="I294" s="3" t="str">
        <f>IFERROR(__xludf.DUMMYFUNCTION("""COMPUTED_VALUE"""),"สโมสรชั้นประทวน")</f>
        <v>สโมสรชั้นประทวน</v>
      </c>
      <c r="J294" s="12">
        <f>IFERROR(__xludf.DUMMYFUNCTION("""COMPUTED_VALUE"""),45824.0)</f>
        <v>45824</v>
      </c>
      <c r="K294" s="3" t="str">
        <f>IFERROR(__xludf.DUMMYFUNCTION("""COMPUTED_VALUE"""),"0800-1400")</f>
        <v>0800-1400</v>
      </c>
      <c r="L294" s="3">
        <f>IFERROR(__xludf.DUMMYFUNCTION("""COMPUTED_VALUE"""),6.0)</f>
        <v>6</v>
      </c>
      <c r="M294" s="3" t="str">
        <f>IFERROR(__xludf.DUMMYFUNCTION("""COMPUTED_VALUE"""),"น.ต.ตวงทิพย์ ลดาวัลย์")</f>
        <v>น.ต.ตวงทิพย์ ลดาวัลย์</v>
      </c>
      <c r="N294" s="14" t="str">
        <f>IFERROR(__xludf.DUMMYFUNCTION("""COMPUTED_VALUE"""),"https://lh5.googleusercontent.com/d/1-4qogj0UuXKb2NAERw-oxA551L5TsKnd")</f>
        <v>https://lh5.googleusercontent.com/d/1-4qogj0UuXKb2NAERw-oxA551L5TsKnd</v>
      </c>
      <c r="O294" s="14" t="str">
        <f>IFERROR(__xludf.DUMMYFUNCTION("""COMPUTED_VALUE"""),"https://drive.google.com/file/d/1k_epxbic7rxQXPLHHt-rZDLKmQL5UL8z/view?usp=drivesdk")</f>
        <v>https://drive.google.com/file/d/1k_epxbic7rxQXPLHHt-rZDLKmQL5UL8z/view?usp=drivesdk</v>
      </c>
    </row>
    <row r="295">
      <c r="A295" s="3">
        <f>IFERROR(__xludf.DUMMYFUNCTION("""COMPUTED_VALUE"""),1603.0)</f>
        <v>1603</v>
      </c>
      <c r="B295" s="11">
        <f>IFERROR(__xludf.DUMMYFUNCTION("""COMPUTED_VALUE"""),45999.714130960645)</f>
        <v>45999.71413</v>
      </c>
      <c r="C295" s="3" t="str">
        <f>IFERROR(__xludf.DUMMYFUNCTION("""COMPUTED_VALUE"""),"ชั้นปีที่ 4")</f>
        <v>ชั้นปีที่ 4</v>
      </c>
      <c r="D295" s="3" t="str">
        <f>IFERROR(__xludf.DUMMYFUNCTION("""COMPUTED_VALUE"""),"6503705")</f>
        <v>6503705</v>
      </c>
      <c r="E295" s="3" t="str">
        <f>IFERROR(__xludf.DUMMYFUNCTION("""COMPUTED_VALUE"""),"16")</f>
        <v>16</v>
      </c>
      <c r="F295" s="3" t="str">
        <f>IFERROR(__xludf.DUMMYFUNCTION("""COMPUTED_VALUE"""),"นพอ.ณัฐกมล สัมพวงค์")</f>
        <v>นพอ.ณัฐกมล สัมพวงค์</v>
      </c>
      <c r="G295" s="3" t="str">
        <f>IFERROR(__xludf.DUMMYFUNCTION("""COMPUTED_VALUE"""),"ทำนุบำรุงศาสนสถาน")</f>
        <v>ทำนุบำรุงศาสนสถาน</v>
      </c>
      <c r="H295" s="3" t="str">
        <f>IFERROR(__xludf.DUMMYFUNCTION("""COMPUTED_VALUE"""),"กวาดลานวัด")</f>
        <v>กวาดลานวัด</v>
      </c>
      <c r="I295" s="3" t="str">
        <f>IFERROR(__xludf.DUMMYFUNCTION("""COMPUTED_VALUE"""),"วัดพรหมสุวรรณ")</f>
        <v>วัดพรหมสุวรรณ</v>
      </c>
      <c r="J295" s="12">
        <f>IFERROR(__xludf.DUMMYFUNCTION("""COMPUTED_VALUE"""),45955.0)</f>
        <v>45955</v>
      </c>
      <c r="K295" s="3" t="str">
        <f>IFERROR(__xludf.DUMMYFUNCTION("""COMPUTED_VALUE"""),"0800-1400")</f>
        <v>0800-1400</v>
      </c>
      <c r="L295" s="3">
        <f>IFERROR(__xludf.DUMMYFUNCTION("""COMPUTED_VALUE"""),6.0)</f>
        <v>6</v>
      </c>
      <c r="M295" s="3" t="str">
        <f>IFERROR(__xludf.DUMMYFUNCTION("""COMPUTED_VALUE"""),"น.ต.ณภัทรชนม์ มีสุขมาก")</f>
        <v>น.ต.ณภัทรชนม์ มีสุขมาก</v>
      </c>
      <c r="N295" s="14" t="str">
        <f>IFERROR(__xludf.DUMMYFUNCTION("""COMPUTED_VALUE"""),"https://lh5.googleusercontent.com/d/1idX39Jz1Nm8298a27Ggf7ggj1lki_6A1")</f>
        <v>https://lh5.googleusercontent.com/d/1idX39Jz1Nm8298a27Ggf7ggj1lki_6A1</v>
      </c>
      <c r="O295" s="14" t="str">
        <f>IFERROR(__xludf.DUMMYFUNCTION("""COMPUTED_VALUE"""),"https://drive.google.com/file/d/1LW4osDAuWE9Hl6UZrCDpWjZ4NLmySe-i/view?usp=drivesdk")</f>
        <v>https://drive.google.com/file/d/1LW4osDAuWE9Hl6UZrCDpWjZ4NLmySe-i/view?usp=drivesdk</v>
      </c>
    </row>
    <row r="296">
      <c r="A296" s="3">
        <f>IFERROR(__xludf.DUMMYFUNCTION("""COMPUTED_VALUE"""),1604.0)</f>
        <v>1604</v>
      </c>
      <c r="B296" s="11">
        <f>IFERROR(__xludf.DUMMYFUNCTION("""COMPUTED_VALUE"""),45999.71507116898)</f>
        <v>45999.71507</v>
      </c>
      <c r="C296" s="3" t="str">
        <f>IFERROR(__xludf.DUMMYFUNCTION("""COMPUTED_VALUE"""),"ชั้นปีที่ 4")</f>
        <v>ชั้นปีที่ 4</v>
      </c>
      <c r="D296" s="3" t="str">
        <f>IFERROR(__xludf.DUMMYFUNCTION("""COMPUTED_VALUE"""),"6503705")</f>
        <v>6503705</v>
      </c>
      <c r="E296" s="3" t="str">
        <f>IFERROR(__xludf.DUMMYFUNCTION("""COMPUTED_VALUE"""),"16")</f>
        <v>16</v>
      </c>
      <c r="F296" s="3" t="str">
        <f>IFERROR(__xludf.DUMMYFUNCTION("""COMPUTED_VALUE"""),"นพอ.ณัฐกมล สัมพวงค์")</f>
        <v>นพอ.ณัฐกมล สัมพวงค์</v>
      </c>
      <c r="G296" s="3" t="str">
        <f>IFERROR(__xludf.DUMMYFUNCTION("""COMPUTED_VALUE"""),"ทำนุบำรุงศาสนสถาน")</f>
        <v>ทำนุบำรุงศาสนสถาน</v>
      </c>
      <c r="H296" s="3" t="str">
        <f>IFERROR(__xludf.DUMMYFUNCTION("""COMPUTED_VALUE"""),"กวาดลานวัด")</f>
        <v>กวาดลานวัด</v>
      </c>
      <c r="I296" s="3" t="str">
        <f>IFERROR(__xludf.DUMMYFUNCTION("""COMPUTED_VALUE"""),"วัดพรหมสุวรรณ")</f>
        <v>วัดพรหมสุวรรณ</v>
      </c>
      <c r="J296" s="12">
        <f>IFERROR(__xludf.DUMMYFUNCTION("""COMPUTED_VALUE"""),45962.0)</f>
        <v>45962</v>
      </c>
      <c r="K296" s="3" t="str">
        <f>IFERROR(__xludf.DUMMYFUNCTION("""COMPUTED_VALUE"""),"0800-1400")</f>
        <v>0800-1400</v>
      </c>
      <c r="L296" s="3">
        <f>IFERROR(__xludf.DUMMYFUNCTION("""COMPUTED_VALUE"""),6.0)</f>
        <v>6</v>
      </c>
      <c r="M296" s="3" t="str">
        <f>IFERROR(__xludf.DUMMYFUNCTION("""COMPUTED_VALUE"""),"น.ต.ณภัทรชนม์ มีสุขมาก")</f>
        <v>น.ต.ณภัทรชนม์ มีสุขมาก</v>
      </c>
      <c r="N296" s="14" t="str">
        <f>IFERROR(__xludf.DUMMYFUNCTION("""COMPUTED_VALUE"""),"https://lh5.googleusercontent.com/d/17Mp3aRCAnxMhau5eZSlpCLkWT4jSibSg")</f>
        <v>https://lh5.googleusercontent.com/d/17Mp3aRCAnxMhau5eZSlpCLkWT4jSibSg</v>
      </c>
      <c r="O296" s="14" t="str">
        <f>IFERROR(__xludf.DUMMYFUNCTION("""COMPUTED_VALUE"""),"https://drive.google.com/file/d/15fVAlyfQEjUu2EtrPt55Pb440URe1t41/view?usp=drivesdk")</f>
        <v>https://drive.google.com/file/d/15fVAlyfQEjUu2EtrPt55Pb440URe1t41/view?usp=drivesdk</v>
      </c>
    </row>
    <row r="297">
      <c r="A297" s="3">
        <f>IFERROR(__xludf.DUMMYFUNCTION("""COMPUTED_VALUE"""),1605.0)</f>
        <v>1605</v>
      </c>
      <c r="B297" s="11">
        <f>IFERROR(__xludf.DUMMYFUNCTION("""COMPUTED_VALUE"""),45999.717324108795)</f>
        <v>45999.71732</v>
      </c>
      <c r="C297" s="3" t="str">
        <f>IFERROR(__xludf.DUMMYFUNCTION("""COMPUTED_VALUE"""),"ชั้นปีที่ 4")</f>
        <v>ชั้นปีที่ 4</v>
      </c>
      <c r="D297" s="3" t="str">
        <f>IFERROR(__xludf.DUMMYFUNCTION("""COMPUTED_VALUE"""),"6503711")</f>
        <v>6503711</v>
      </c>
      <c r="E297" s="3" t="str">
        <f>IFERROR(__xludf.DUMMYFUNCTION("""COMPUTED_VALUE"""),"22")</f>
        <v>22</v>
      </c>
      <c r="F297" s="3" t="str">
        <f>IFERROR(__xludf.DUMMYFUNCTION("""COMPUTED_VALUE"""),"นพอ.ณิชกานต์ เคนออง")</f>
        <v>นพอ.ณิชกานต์ เคนออง</v>
      </c>
      <c r="G297" s="3" t="str">
        <f>IFERROR(__xludf.DUMMYFUNCTION("""COMPUTED_VALUE"""),"ช่วยเหลืองานภายใน วพอ.")</f>
        <v>ช่วยเหลืองานภายใน วพอ.</v>
      </c>
      <c r="H297" s="3" t="str">
        <f>IFERROR(__xludf.DUMMYFUNCTION("""COMPUTED_VALUE"""),"ดุริยางค์")</f>
        <v>ดุริยางค์</v>
      </c>
      <c r="I297" s="3" t="str">
        <f>IFERROR(__xludf.DUMMYFUNCTION("""COMPUTED_VALUE"""),"วพอ.พอ.")</f>
        <v>วพอ.พอ.</v>
      </c>
      <c r="J297" s="12">
        <f>IFERROR(__xludf.DUMMYFUNCTION("""COMPUTED_VALUE"""),45833.0)</f>
        <v>45833</v>
      </c>
      <c r="K297" s="3" t="str">
        <f>IFERROR(__xludf.DUMMYFUNCTION("""COMPUTED_VALUE"""),"0730")</f>
        <v>0730</v>
      </c>
      <c r="L297" s="3">
        <f>IFERROR(__xludf.DUMMYFUNCTION("""COMPUTED_VALUE"""),1.0)</f>
        <v>1</v>
      </c>
      <c r="M297" s="3" t="str">
        <f>IFERROR(__xludf.DUMMYFUNCTION("""COMPUTED_VALUE"""),"ร.อ.อนุชิต ทำจะดี")</f>
        <v>ร.อ.อนุชิต ทำจะดี</v>
      </c>
      <c r="N297" s="14" t="str">
        <f>IFERROR(__xludf.DUMMYFUNCTION("""COMPUTED_VALUE"""),"https://lh5.googleusercontent.com/d/1jrTVOcXiCefT0FOaFylgnrZ4g7dFyDor")</f>
        <v>https://lh5.googleusercontent.com/d/1jrTVOcXiCefT0FOaFylgnrZ4g7dFyDor</v>
      </c>
      <c r="O297" s="14" t="str">
        <f>IFERROR(__xludf.DUMMYFUNCTION("""COMPUTED_VALUE"""),"https://drive.google.com/file/d/1yK0XwP89eahjWwSNN7H2xoN7cayYJaeE/view?usp=drivesdk")</f>
        <v>https://drive.google.com/file/d/1yK0XwP89eahjWwSNN7H2xoN7cayYJaeE/view?usp=drivesdk</v>
      </c>
    </row>
    <row r="298">
      <c r="A298" s="3">
        <f>IFERROR(__xludf.DUMMYFUNCTION("""COMPUTED_VALUE"""),1606.0)</f>
        <v>1606</v>
      </c>
      <c r="B298" s="11">
        <f>IFERROR(__xludf.DUMMYFUNCTION("""COMPUTED_VALUE"""),45999.71865570602)</f>
        <v>45999.71866</v>
      </c>
      <c r="C298" s="3" t="str">
        <f>IFERROR(__xludf.DUMMYFUNCTION("""COMPUTED_VALUE"""),"ชั้นปีที่ 4")</f>
        <v>ชั้นปีที่ 4</v>
      </c>
      <c r="D298" s="3" t="str">
        <f>IFERROR(__xludf.DUMMYFUNCTION("""COMPUTED_VALUE"""),"6503711")</f>
        <v>6503711</v>
      </c>
      <c r="E298" s="3" t="str">
        <f>IFERROR(__xludf.DUMMYFUNCTION("""COMPUTED_VALUE"""),"22")</f>
        <v>22</v>
      </c>
      <c r="F298" s="3" t="str">
        <f>IFERROR(__xludf.DUMMYFUNCTION("""COMPUTED_VALUE"""),"นพอ.ณิชกานต์ เคนออง")</f>
        <v>นพอ.ณิชกานต์ เคนออง</v>
      </c>
      <c r="G298" s="3" t="str">
        <f>IFERROR(__xludf.DUMMYFUNCTION("""COMPUTED_VALUE"""),"ช่วยเหลืองานภายใน วพอ.")</f>
        <v>ช่วยเหลืองานภายใน วพอ.</v>
      </c>
      <c r="H298" s="3" t="str">
        <f>IFERROR(__xludf.DUMMYFUNCTION("""COMPUTED_VALUE"""),"ดุริยางค์")</f>
        <v>ดุริยางค์</v>
      </c>
      <c r="I298" s="3" t="str">
        <f>IFERROR(__xludf.DUMMYFUNCTION("""COMPUTED_VALUE"""),"วพอ.พอ.")</f>
        <v>วพอ.พอ.</v>
      </c>
      <c r="J298" s="12">
        <f>IFERROR(__xludf.DUMMYFUNCTION("""COMPUTED_VALUE"""),45834.0)</f>
        <v>45834</v>
      </c>
      <c r="K298" s="3" t="str">
        <f>IFERROR(__xludf.DUMMYFUNCTION("""COMPUTED_VALUE"""),"0730")</f>
        <v>0730</v>
      </c>
      <c r="L298" s="3">
        <f>IFERROR(__xludf.DUMMYFUNCTION("""COMPUTED_VALUE"""),1.0)</f>
        <v>1</v>
      </c>
      <c r="M298" s="3" t="str">
        <f>IFERROR(__xludf.DUMMYFUNCTION("""COMPUTED_VALUE"""),"ร.อ.อนุชิต ทำจะดี")</f>
        <v>ร.อ.อนุชิต ทำจะดี</v>
      </c>
      <c r="N298" s="14" t="str">
        <f>IFERROR(__xludf.DUMMYFUNCTION("""COMPUTED_VALUE"""),"https://lh5.googleusercontent.com/d/1NIzTNhYLn9THWWTKctOfEIurcUMB3Eln")</f>
        <v>https://lh5.googleusercontent.com/d/1NIzTNhYLn9THWWTKctOfEIurcUMB3Eln</v>
      </c>
      <c r="O298" s="14" t="str">
        <f>IFERROR(__xludf.DUMMYFUNCTION("""COMPUTED_VALUE"""),"https://drive.google.com/file/d/1uiuX-1L4ub1xag6JrG38qFK8MDOYApBp/view?usp=drivesdk")</f>
        <v>https://drive.google.com/file/d/1uiuX-1L4ub1xag6JrG38qFK8MDOYApBp/view?usp=drivesdk</v>
      </c>
    </row>
    <row r="299">
      <c r="A299" s="3">
        <f>IFERROR(__xludf.DUMMYFUNCTION("""COMPUTED_VALUE"""),1607.0)</f>
        <v>1607</v>
      </c>
      <c r="B299" s="11">
        <f>IFERROR(__xludf.DUMMYFUNCTION("""COMPUTED_VALUE"""),45999.719958831025)</f>
        <v>45999.71996</v>
      </c>
      <c r="C299" s="3" t="str">
        <f>IFERROR(__xludf.DUMMYFUNCTION("""COMPUTED_VALUE"""),"ชั้นปีที่ 4")</f>
        <v>ชั้นปีที่ 4</v>
      </c>
      <c r="D299" s="3" t="str">
        <f>IFERROR(__xludf.DUMMYFUNCTION("""COMPUTED_VALUE"""),"6503711")</f>
        <v>6503711</v>
      </c>
      <c r="E299" s="3" t="str">
        <f>IFERROR(__xludf.DUMMYFUNCTION("""COMPUTED_VALUE"""),"22")</f>
        <v>22</v>
      </c>
      <c r="F299" s="3" t="str">
        <f>IFERROR(__xludf.DUMMYFUNCTION("""COMPUTED_VALUE"""),"นพอ.ณิชกานต์ เคนออง")</f>
        <v>นพอ.ณิชกานต์ เคนออง</v>
      </c>
      <c r="G299" s="3" t="str">
        <f>IFERROR(__xludf.DUMMYFUNCTION("""COMPUTED_VALUE"""),"ช่วยเหลืองานภายใน วพอ.")</f>
        <v>ช่วยเหลืองานภายใน วพอ.</v>
      </c>
      <c r="H299" s="3" t="str">
        <f>IFERROR(__xludf.DUMMYFUNCTION("""COMPUTED_VALUE"""),"เข้าแถวเคารพธงชาติ")</f>
        <v>เข้าแถวเคารพธงชาติ</v>
      </c>
      <c r="I299" s="3" t="str">
        <f>IFERROR(__xludf.DUMMYFUNCTION("""COMPUTED_VALUE"""),"วพอ.พอ.")</f>
        <v>วพอ.พอ.</v>
      </c>
      <c r="J299" s="12">
        <f>IFERROR(__xludf.DUMMYFUNCTION("""COMPUTED_VALUE"""),45841.0)</f>
        <v>45841</v>
      </c>
      <c r="K299" s="3" t="str">
        <f>IFERROR(__xludf.DUMMYFUNCTION("""COMPUTED_VALUE"""),"0730")</f>
        <v>0730</v>
      </c>
      <c r="L299" s="3">
        <f>IFERROR(__xludf.DUMMYFUNCTION("""COMPUTED_VALUE"""),1.0)</f>
        <v>1</v>
      </c>
      <c r="M299" s="3" t="str">
        <f>IFERROR(__xludf.DUMMYFUNCTION("""COMPUTED_VALUE"""),"ร.อ.อนุชิต ทำจะดี")</f>
        <v>ร.อ.อนุชิต ทำจะดี</v>
      </c>
      <c r="N299" s="14" t="str">
        <f>IFERROR(__xludf.DUMMYFUNCTION("""COMPUTED_VALUE"""),"https://lh5.googleusercontent.com/d/1Md-eGo1rnY65vEswIu4dXNjTnoJ3-a9F")</f>
        <v>https://lh5.googleusercontent.com/d/1Md-eGo1rnY65vEswIu4dXNjTnoJ3-a9F</v>
      </c>
      <c r="O299" s="14" t="str">
        <f>IFERROR(__xludf.DUMMYFUNCTION("""COMPUTED_VALUE"""),"https://drive.google.com/file/d/16lmQADj4ae6y2NUUidRT3PcMD79KkBIM/view?usp=drivesdk")</f>
        <v>https://drive.google.com/file/d/16lmQADj4ae6y2NUUidRT3PcMD79KkBIM/view?usp=drivesdk</v>
      </c>
    </row>
    <row r="300">
      <c r="A300" s="3">
        <f>IFERROR(__xludf.DUMMYFUNCTION("""COMPUTED_VALUE"""),1608.0)</f>
        <v>1608</v>
      </c>
      <c r="B300" s="11">
        <f>IFERROR(__xludf.DUMMYFUNCTION("""COMPUTED_VALUE"""),45999.72038605324)</f>
        <v>45999.72039</v>
      </c>
      <c r="C300" s="3" t="str">
        <f>IFERROR(__xludf.DUMMYFUNCTION("""COMPUTED_VALUE"""),"ชั้นปีที่ 4")</f>
        <v>ชั้นปีที่ 4</v>
      </c>
      <c r="D300" s="3" t="str">
        <f>IFERROR(__xludf.DUMMYFUNCTION("""COMPUTED_VALUE"""),"6503705")</f>
        <v>6503705</v>
      </c>
      <c r="E300" s="3" t="str">
        <f>IFERROR(__xludf.DUMMYFUNCTION("""COMPUTED_VALUE"""),"16")</f>
        <v>16</v>
      </c>
      <c r="F300" s="3" t="str">
        <f>IFERROR(__xludf.DUMMYFUNCTION("""COMPUTED_VALUE"""),"นพอ.ณัฐกมล สัมพวงค์")</f>
        <v>นพอ.ณัฐกมล สัมพวงค์</v>
      </c>
      <c r="G300" s="3" t="str">
        <f>IFERROR(__xludf.DUMMYFUNCTION("""COMPUTED_VALUE"""),"ทำนุบำรุงศาสนสถาน")</f>
        <v>ทำนุบำรุงศาสนสถาน</v>
      </c>
      <c r="H300" s="3" t="str">
        <f>IFERROR(__xludf.DUMMYFUNCTION("""COMPUTED_VALUE"""),"ทำบุญ")</f>
        <v>ทำบุญ</v>
      </c>
      <c r="I300" s="3" t="str">
        <f>IFERROR(__xludf.DUMMYFUNCTION("""COMPUTED_VALUE"""),"วัดพรหมสุวรรณ")</f>
        <v>วัดพรหมสุวรรณ</v>
      </c>
      <c r="J300" s="12">
        <f>IFERROR(__xludf.DUMMYFUNCTION("""COMPUTED_VALUE"""),45989.0)</f>
        <v>45989</v>
      </c>
      <c r="K300" s="3" t="str">
        <f>IFERROR(__xludf.DUMMYFUNCTION("""COMPUTED_VALUE"""),"0900-1500")</f>
        <v>0900-1500</v>
      </c>
      <c r="L300" s="3">
        <f>IFERROR(__xludf.DUMMYFUNCTION("""COMPUTED_VALUE"""),6.0)</f>
        <v>6</v>
      </c>
      <c r="M300" s="3" t="str">
        <f>IFERROR(__xludf.DUMMYFUNCTION("""COMPUTED_VALUE"""),"น.ต.ณภัทรชนม์ มีสุขมาก")</f>
        <v>น.ต.ณภัทรชนม์ มีสุขมาก</v>
      </c>
      <c r="N300" s="14" t="str">
        <f>IFERROR(__xludf.DUMMYFUNCTION("""COMPUTED_VALUE"""),"https://lh5.googleusercontent.com/d/1VaVXt8G8C-dx0oNNwtNEzv3W0HTGBDge")</f>
        <v>https://lh5.googleusercontent.com/d/1VaVXt8G8C-dx0oNNwtNEzv3W0HTGBDge</v>
      </c>
      <c r="O300" s="14" t="str">
        <f>IFERROR(__xludf.DUMMYFUNCTION("""COMPUTED_VALUE"""),"https://drive.google.com/file/d/11HpUR8x-UM8sf8-AlFafd2T4sOFaM7M8/view?usp=drivesdk")</f>
        <v>https://drive.google.com/file/d/11HpUR8x-UM8sf8-AlFafd2T4sOFaM7M8/view?usp=drivesdk</v>
      </c>
    </row>
    <row r="301">
      <c r="A301" s="3">
        <f>IFERROR(__xludf.DUMMYFUNCTION("""COMPUTED_VALUE"""),1617.0)</f>
        <v>1617</v>
      </c>
      <c r="B301" s="11">
        <f>IFERROR(__xludf.DUMMYFUNCTION("""COMPUTED_VALUE"""),45999.75126953703)</f>
        <v>45999.75127</v>
      </c>
      <c r="C301" s="3" t="str">
        <f>IFERROR(__xludf.DUMMYFUNCTION("""COMPUTED_VALUE"""),"ชั้นปีที่ 4")</f>
        <v>ชั้นปีที่ 4</v>
      </c>
      <c r="D301" s="3" t="str">
        <f>IFERROR(__xludf.DUMMYFUNCTION("""COMPUTED_VALUE"""),"6503699")</f>
        <v>6503699</v>
      </c>
      <c r="E301" s="3" t="str">
        <f>IFERROR(__xludf.DUMMYFUNCTION("""COMPUTED_VALUE"""),"10")</f>
        <v>10</v>
      </c>
      <c r="F301" s="3" t="str">
        <f>IFERROR(__xludf.DUMMYFUNCTION("""COMPUTED_VALUE"""),"นพอ.จุฑาลักษณ์ อรัณยภูติ")</f>
        <v>นพอ.จุฑาลักษณ์ อรัณยภูติ</v>
      </c>
      <c r="G30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1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01" s="3" t="str">
        <f>IFERROR(__xludf.DUMMYFUNCTION("""COMPUTED_VALUE"""),"สโมสรทหารอากาศชั้นประทวน")</f>
        <v>สโมสรทหารอากาศชั้นประทวน</v>
      </c>
      <c r="J301" s="12">
        <f>IFERROR(__xludf.DUMMYFUNCTION("""COMPUTED_VALUE"""),45854.0)</f>
        <v>45854</v>
      </c>
      <c r="K301" s="3" t="str">
        <f>IFERROR(__xludf.DUMMYFUNCTION("""COMPUTED_VALUE"""),"0700-1300")</f>
        <v>0700-1300</v>
      </c>
      <c r="L301" s="3">
        <f>IFERROR(__xludf.DUMMYFUNCTION("""COMPUTED_VALUE"""),6.0)</f>
        <v>6</v>
      </c>
      <c r="M301" s="3" t="str">
        <f>IFERROR(__xludf.DUMMYFUNCTION("""COMPUTED_VALUE"""),"น.ต.หญิง ตวงทิพย์ ลดาวัลย์")</f>
        <v>น.ต.หญิง ตวงทิพย์ ลดาวัลย์</v>
      </c>
      <c r="N301" s="14" t="str">
        <f>IFERROR(__xludf.DUMMYFUNCTION("""COMPUTED_VALUE"""),"https://lh5.googleusercontent.com/d/1RY1ggG81IPEVQGm9k5r-XPVvfSva6kCI")</f>
        <v>https://lh5.googleusercontent.com/d/1RY1ggG81IPEVQGm9k5r-XPVvfSva6kCI</v>
      </c>
      <c r="O301" s="14" t="str">
        <f>IFERROR(__xludf.DUMMYFUNCTION("""COMPUTED_VALUE"""),"https://drive.google.com/file/d/1cD9Voi29Aoi6Kz9aSDyZY56wEMsUlK6D/view?usp=drivesdk")</f>
        <v>https://drive.google.com/file/d/1cD9Voi29Aoi6Kz9aSDyZY56wEMsUlK6D/view?usp=drivesdk</v>
      </c>
    </row>
    <row r="302">
      <c r="A302" s="3">
        <f>IFERROR(__xludf.DUMMYFUNCTION("""COMPUTED_VALUE"""),1618.0)</f>
        <v>1618</v>
      </c>
      <c r="B302" s="11">
        <f>IFERROR(__xludf.DUMMYFUNCTION("""COMPUTED_VALUE"""),45999.75520994212)</f>
        <v>45999.75521</v>
      </c>
      <c r="C302" s="3" t="str">
        <f>IFERROR(__xludf.DUMMYFUNCTION("""COMPUTED_VALUE"""),"ชั้นปีที่ 4")</f>
        <v>ชั้นปีที่ 4</v>
      </c>
      <c r="D302" s="3" t="str">
        <f>IFERROR(__xludf.DUMMYFUNCTION("""COMPUTED_VALUE"""),"6503695")</f>
        <v>6503695</v>
      </c>
      <c r="E302" s="3" t="str">
        <f>IFERROR(__xludf.DUMMYFUNCTION("""COMPUTED_VALUE"""),"6")</f>
        <v>6</v>
      </c>
      <c r="F302" s="3" t="str">
        <f>IFERROR(__xludf.DUMMYFUNCTION("""COMPUTED_VALUE"""),"นพอ.เขมิกา สุขสองห้อง")</f>
        <v>นพอ.เขมิกา สุขสองห้อง</v>
      </c>
      <c r="G30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2" s="3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02" s="3" t="str">
        <f>IFERROR(__xludf.DUMMYFUNCTION("""COMPUTED_VALUE"""),"หมู่ 1 บางตีนเป็ด ฉะเชิงเทรา")</f>
        <v>หมู่ 1 บางตีนเป็ด ฉะเชิงเทรา</v>
      </c>
      <c r="J302" s="12">
        <f>IFERROR(__xludf.DUMMYFUNCTION("""COMPUTED_VALUE"""),45980.0)</f>
        <v>45980</v>
      </c>
      <c r="K302" s="3" t="str">
        <f>IFERROR(__xludf.DUMMYFUNCTION("""COMPUTED_VALUE"""),"0800-1200")</f>
        <v>0800-1200</v>
      </c>
      <c r="L302" s="3">
        <f>IFERROR(__xludf.DUMMYFUNCTION("""COMPUTED_VALUE"""),4.0)</f>
        <v>4</v>
      </c>
      <c r="M302" s="3" t="str">
        <f>IFERROR(__xludf.DUMMYFUNCTION("""COMPUTED_VALUE"""),"คุณเกสร เจริญสิทธิสงค์")</f>
        <v>คุณเกสร เจริญสิทธิสงค์</v>
      </c>
      <c r="N302" s="14" t="str">
        <f>IFERROR(__xludf.DUMMYFUNCTION("""COMPUTED_VALUE"""),"https://lh5.googleusercontent.com/d/1YpeIFJYnxIG1DtIOqqbopra45c6CA1uz")</f>
        <v>https://lh5.googleusercontent.com/d/1YpeIFJYnxIG1DtIOqqbopra45c6CA1uz</v>
      </c>
      <c r="O302" s="14" t="str">
        <f>IFERROR(__xludf.DUMMYFUNCTION("""COMPUTED_VALUE"""),"https://drive.google.com/file/d/1g2hijqa71lkIjpn-uUutHacuwdDXhLDK/view?usp=drivesdk")</f>
        <v>https://drive.google.com/file/d/1g2hijqa71lkIjpn-uUutHacuwdDXhLDK/view?usp=drivesdk</v>
      </c>
    </row>
    <row r="303">
      <c r="A303" s="3">
        <f>IFERROR(__xludf.DUMMYFUNCTION("""COMPUTED_VALUE"""),1619.0)</f>
        <v>1619</v>
      </c>
      <c r="B303" s="11">
        <f>IFERROR(__xludf.DUMMYFUNCTION("""COMPUTED_VALUE"""),45999.757080625)</f>
        <v>45999.75708</v>
      </c>
      <c r="C303" s="3" t="str">
        <f>IFERROR(__xludf.DUMMYFUNCTION("""COMPUTED_VALUE"""),"ชั้นปีที่ 4")</f>
        <v>ชั้นปีที่ 4</v>
      </c>
      <c r="D303" s="3" t="str">
        <f>IFERROR(__xludf.DUMMYFUNCTION("""COMPUTED_VALUE"""),"6503695")</f>
        <v>6503695</v>
      </c>
      <c r="E303" s="3" t="str">
        <f>IFERROR(__xludf.DUMMYFUNCTION("""COMPUTED_VALUE"""),"6")</f>
        <v>6</v>
      </c>
      <c r="F303" s="3" t="str">
        <f>IFERROR(__xludf.DUMMYFUNCTION("""COMPUTED_VALUE"""),"นพอ.เขมิกา สุขสองห้อง")</f>
        <v>นพอ.เขมิกา สุขสองห้อง</v>
      </c>
      <c r="G30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3" s="3" t="str">
        <f>IFERROR(__xludf.DUMMYFUNCTION("""COMPUTED_VALUE"""),"คลินิกคัดกรองโรคเรื้อรัง")</f>
        <v>คลินิกคัดกรองโรคเรื้อรัง</v>
      </c>
      <c r="I303" s="3" t="str">
        <f>IFERROR(__xludf.DUMMYFUNCTION("""COMPUTED_VALUE"""),"อนามัยบางตีนเป็ด ฉะเชิงเทรา")</f>
        <v>อนามัยบางตีนเป็ด ฉะเชิงเทรา</v>
      </c>
      <c r="J303" s="12">
        <f>IFERROR(__xludf.DUMMYFUNCTION("""COMPUTED_VALUE"""),45991.0)</f>
        <v>45991</v>
      </c>
      <c r="K303" s="3" t="str">
        <f>IFERROR(__xludf.DUMMYFUNCTION("""COMPUTED_VALUE"""),"0800-1200")</f>
        <v>0800-1200</v>
      </c>
      <c r="L303" s="3">
        <f>IFERROR(__xludf.DUMMYFUNCTION("""COMPUTED_VALUE"""),4.0)</f>
        <v>4</v>
      </c>
      <c r="M303" s="3" t="str">
        <f>IFERROR(__xludf.DUMMYFUNCTION("""COMPUTED_VALUE"""),"คุณเกสร เจริญสิทธิสงค์")</f>
        <v>คุณเกสร เจริญสิทธิสงค์</v>
      </c>
      <c r="N303" s="14" t="str">
        <f>IFERROR(__xludf.DUMMYFUNCTION("""COMPUTED_VALUE"""),"https://lh5.googleusercontent.com/d/1FIMyjv_5NpVChrYpHi-gvURdFnByKYFw")</f>
        <v>https://lh5.googleusercontent.com/d/1FIMyjv_5NpVChrYpHi-gvURdFnByKYFw</v>
      </c>
      <c r="O303" s="14" t="str">
        <f>IFERROR(__xludf.DUMMYFUNCTION("""COMPUTED_VALUE"""),"https://drive.google.com/file/d/1twkTRMTXANFgjbeppdYKxGsCq0KZwmGU/view?usp=drivesdk")</f>
        <v>https://drive.google.com/file/d/1twkTRMTXANFgjbeppdYKxGsCq0KZwmGU/view?usp=drivesdk</v>
      </c>
    </row>
    <row r="304">
      <c r="A304" s="3">
        <f>IFERROR(__xludf.DUMMYFUNCTION("""COMPUTED_VALUE"""),1621.0)</f>
        <v>1621</v>
      </c>
      <c r="B304" s="11">
        <f>IFERROR(__xludf.DUMMYFUNCTION("""COMPUTED_VALUE"""),45999.75890690972)</f>
        <v>45999.75891</v>
      </c>
      <c r="C304" s="3" t="str">
        <f>IFERROR(__xludf.DUMMYFUNCTION("""COMPUTED_VALUE"""),"ชั้นปีที่ 4")</f>
        <v>ชั้นปีที่ 4</v>
      </c>
      <c r="D304" s="3" t="str">
        <f>IFERROR(__xludf.DUMMYFUNCTION("""COMPUTED_VALUE"""),"6503695")</f>
        <v>6503695</v>
      </c>
      <c r="E304" s="3" t="str">
        <f>IFERROR(__xludf.DUMMYFUNCTION("""COMPUTED_VALUE"""),"6")</f>
        <v>6</v>
      </c>
      <c r="F304" s="3" t="str">
        <f>IFERROR(__xludf.DUMMYFUNCTION("""COMPUTED_VALUE"""),"นพอ.เขมิกา สุขสองห้อง")</f>
        <v>นพอ.เขมิกา สุขสองห้อง</v>
      </c>
      <c r="G30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4" s="3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304" s="3" t="str">
        <f>IFERROR(__xludf.DUMMYFUNCTION("""COMPUTED_VALUE"""),"วัดสุวรรณาราม")</f>
        <v>วัดสุวรรณาราม</v>
      </c>
      <c r="J304" s="12">
        <f>IFERROR(__xludf.DUMMYFUNCTION("""COMPUTED_VALUE"""),45942.0)</f>
        <v>45942</v>
      </c>
      <c r="K304" s="3" t="str">
        <f>IFERROR(__xludf.DUMMYFUNCTION("""COMPUTED_VALUE"""),"0800-1500")</f>
        <v>0800-1500</v>
      </c>
      <c r="L304" s="3">
        <f>IFERROR(__xludf.DUMMYFUNCTION("""COMPUTED_VALUE"""),6.0)</f>
        <v>6</v>
      </c>
      <c r="M304" s="3" t="str">
        <f>IFERROR(__xludf.DUMMYFUNCTION("""COMPUTED_VALUE"""),"คุณเกสร เจริญสิทธิสงค์")</f>
        <v>คุณเกสร เจริญสิทธิสงค์</v>
      </c>
      <c r="N304" s="3"/>
      <c r="O304" s="3"/>
    </row>
    <row r="305">
      <c r="A305" s="3">
        <f>IFERROR(__xludf.DUMMYFUNCTION("""COMPUTED_VALUE"""),1622.0)</f>
        <v>1622</v>
      </c>
      <c r="B305" s="11">
        <f>IFERROR(__xludf.DUMMYFUNCTION("""COMPUTED_VALUE"""),45999.75917570602)</f>
        <v>45999.75918</v>
      </c>
      <c r="C305" s="3" t="str">
        <f>IFERROR(__xludf.DUMMYFUNCTION("""COMPUTED_VALUE"""),"ชั้นปีที่ 4")</f>
        <v>ชั้นปีที่ 4</v>
      </c>
      <c r="D305" s="3" t="str">
        <f>IFERROR(__xludf.DUMMYFUNCTION("""COMPUTED_VALUE"""),"6503702")</f>
        <v>6503702</v>
      </c>
      <c r="E305" s="3" t="str">
        <f>IFERROR(__xludf.DUMMYFUNCTION("""COMPUTED_VALUE"""),"13")</f>
        <v>13</v>
      </c>
      <c r="F305" s="3" t="str">
        <f>IFERROR(__xludf.DUMMYFUNCTION("""COMPUTED_VALUE"""),"นพอ.ชนิสรา น้อยสอาด")</f>
        <v>นพอ.ชนิสรา น้อยสอาด</v>
      </c>
      <c r="G30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5" s="3" t="str">
        <f>IFERROR(__xludf.DUMMYFUNCTION("""COMPUTED_VALUE"""),"บ้านทรายมูล รวมคนฟิต ออกกำลังกายวันละนิด ชีวิตไร้โรค")</f>
        <v>บ้านทรายมูล รวมคนฟิต ออกกำลังกายวันละนิด ชีวิตไร้โรค</v>
      </c>
      <c r="I305" s="3" t="str">
        <f>IFERROR(__xludf.DUMMYFUNCTION("""COMPUTED_VALUE"""),"รพ.สต.คลองนา")</f>
        <v>รพ.สต.คลองนา</v>
      </c>
      <c r="J305" s="12">
        <f>IFERROR(__xludf.DUMMYFUNCTION("""COMPUTED_VALUE"""),45957.0)</f>
        <v>45957</v>
      </c>
      <c r="K305" s="3" t="str">
        <f>IFERROR(__xludf.DUMMYFUNCTION("""COMPUTED_VALUE"""),"1600-1800")</f>
        <v>1600-1800</v>
      </c>
      <c r="L305" s="3">
        <f>IFERROR(__xludf.DUMMYFUNCTION("""COMPUTED_VALUE"""),2.0)</f>
        <v>2</v>
      </c>
      <c r="M305" s="3" t="str">
        <f>IFERROR(__xludf.DUMMYFUNCTION("""COMPUTED_VALUE"""),"น.ส.ธนิดา หลักทอง")</f>
        <v>น.ส.ธนิดา หลักทอง</v>
      </c>
      <c r="N305" s="14" t="str">
        <f>IFERROR(__xludf.DUMMYFUNCTION("""COMPUTED_VALUE"""),"https://lh5.googleusercontent.com/d/12Y6M8iYvcBrNQEzgdn_MbvUoC-0d1I47")</f>
        <v>https://lh5.googleusercontent.com/d/12Y6M8iYvcBrNQEzgdn_MbvUoC-0d1I47</v>
      </c>
      <c r="O305" s="14" t="str">
        <f>IFERROR(__xludf.DUMMYFUNCTION("""COMPUTED_VALUE"""),"https://drive.google.com/file/d/13XNj82WRcorU_M7slnCIqTUhkTv06cmL/view?usp=drivesdk")</f>
        <v>https://drive.google.com/file/d/13XNj82WRcorU_M7slnCIqTUhkTv06cmL/view?usp=drivesdk</v>
      </c>
    </row>
    <row r="306">
      <c r="A306" s="3">
        <f>IFERROR(__xludf.DUMMYFUNCTION("""COMPUTED_VALUE"""),1623.0)</f>
        <v>1623</v>
      </c>
      <c r="B306" s="11">
        <f>IFERROR(__xludf.DUMMYFUNCTION("""COMPUTED_VALUE"""),45999.76218961806)</f>
        <v>45999.76219</v>
      </c>
      <c r="C306" s="3" t="str">
        <f>IFERROR(__xludf.DUMMYFUNCTION("""COMPUTED_VALUE"""),"ชั้นปีที่ 4")</f>
        <v>ชั้นปีที่ 4</v>
      </c>
      <c r="D306" s="3" t="str">
        <f>IFERROR(__xludf.DUMMYFUNCTION("""COMPUTED_VALUE"""),"6503695")</f>
        <v>6503695</v>
      </c>
      <c r="E306" s="3" t="str">
        <f>IFERROR(__xludf.DUMMYFUNCTION("""COMPUTED_VALUE"""),"6")</f>
        <v>6</v>
      </c>
      <c r="F306" s="3" t="str">
        <f>IFERROR(__xludf.DUMMYFUNCTION("""COMPUTED_VALUE"""),"นพอ.เขมิกา สุขสองห้อง")</f>
        <v>นพอ.เขมิกา สุขสองห้อง</v>
      </c>
      <c r="G30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6" s="3" t="str">
        <f>IFERROR(__xludf.DUMMYFUNCTION("""COMPUTED_VALUE"""),"เฝ้าระวังและคัดกรองโรคเบาหวาน ความดันโลหิตสูง")</f>
        <v>เฝ้าระวังและคัดกรองโรคเบาหวาน ความดันโลหิตสูง</v>
      </c>
      <c r="I306" s="3" t="str">
        <f>IFERROR(__xludf.DUMMYFUNCTION("""COMPUTED_VALUE"""),"วัดสุวรรณาราม")</f>
        <v>วัดสุวรรณาราม</v>
      </c>
      <c r="J306" s="12">
        <f>IFERROR(__xludf.DUMMYFUNCTION("""COMPUTED_VALUE"""),45942.0)</f>
        <v>45942</v>
      </c>
      <c r="K306" s="3" t="str">
        <f>IFERROR(__xludf.DUMMYFUNCTION("""COMPUTED_VALUE"""),"0800-1500")</f>
        <v>0800-1500</v>
      </c>
      <c r="L306" s="3">
        <f>IFERROR(__xludf.DUMMYFUNCTION("""COMPUTED_VALUE"""),6.0)</f>
        <v>6</v>
      </c>
      <c r="M306" s="3" t="str">
        <f>IFERROR(__xludf.DUMMYFUNCTION("""COMPUTED_VALUE"""),"คุณเกสร เจริญสิทธิสงค์")</f>
        <v>คุณเกสร เจริญสิทธิสงค์</v>
      </c>
      <c r="N306" s="14" t="str">
        <f>IFERROR(__xludf.DUMMYFUNCTION("""COMPUTED_VALUE"""),"https://lh5.googleusercontent.com/d/1UttzoQy8_yUVKQYp_mfU5R9CnV6o1HEZ")</f>
        <v>https://lh5.googleusercontent.com/d/1UttzoQy8_yUVKQYp_mfU5R9CnV6o1HEZ</v>
      </c>
      <c r="O306" s="14" t="str">
        <f>IFERROR(__xludf.DUMMYFUNCTION("""COMPUTED_VALUE"""),"https://drive.google.com/file/d/1xxWqHmlSj2bRbPe1MRyURioiIqp2apKo/view?usp=drivesdk")</f>
        <v>https://drive.google.com/file/d/1xxWqHmlSj2bRbPe1MRyURioiIqp2apKo/view?usp=drivesdk</v>
      </c>
    </row>
    <row r="307">
      <c r="A307" s="3">
        <f>IFERROR(__xludf.DUMMYFUNCTION("""COMPUTED_VALUE"""),1624.0)</f>
        <v>1624</v>
      </c>
      <c r="B307" s="11">
        <f>IFERROR(__xludf.DUMMYFUNCTION("""COMPUTED_VALUE"""),45999.76414618056)</f>
        <v>45999.76415</v>
      </c>
      <c r="C307" s="3" t="str">
        <f>IFERROR(__xludf.DUMMYFUNCTION("""COMPUTED_VALUE"""),"ชั้นปีที่ 4")</f>
        <v>ชั้นปีที่ 4</v>
      </c>
      <c r="D307" s="3" t="str">
        <f>IFERROR(__xludf.DUMMYFUNCTION("""COMPUTED_VALUE"""),"6503695")</f>
        <v>6503695</v>
      </c>
      <c r="E307" s="3" t="str">
        <f>IFERROR(__xludf.DUMMYFUNCTION("""COMPUTED_VALUE"""),"6")</f>
        <v>6</v>
      </c>
      <c r="F307" s="3" t="str">
        <f>IFERROR(__xludf.DUMMYFUNCTION("""COMPUTED_VALUE"""),"นพอ.เขมิกา สุขสองห้อง")</f>
        <v>นพอ.เขมิกา สุขสองห้อง</v>
      </c>
      <c r="G30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7" s="3" t="str">
        <f>IFERROR(__xludf.DUMMYFUNCTION("""COMPUTED_VALUE"""),"แผนการซ้อมดับเพลิงและอพยพหนีไฟประจำปี 2568")</f>
        <v>แผนการซ้อมดับเพลิงและอพยพหนีไฟประจำปี 2568</v>
      </c>
      <c r="I307" s="3" t="str">
        <f>IFERROR(__xludf.DUMMYFUNCTION("""COMPUTED_VALUE"""),"โรงเรียนสันติภาพ")</f>
        <v>โรงเรียนสันติภาพ</v>
      </c>
      <c r="J307" s="12">
        <f>IFERROR(__xludf.DUMMYFUNCTION("""COMPUTED_VALUE"""),45965.0)</f>
        <v>45965</v>
      </c>
      <c r="K307" s="3" t="str">
        <f>IFERROR(__xludf.DUMMYFUNCTION("""COMPUTED_VALUE"""),"0700-1200")</f>
        <v>0700-1200</v>
      </c>
      <c r="L307" s="3">
        <f>IFERROR(__xludf.DUMMYFUNCTION("""COMPUTED_VALUE"""),4.0)</f>
        <v>4</v>
      </c>
      <c r="M307" s="3" t="str">
        <f>IFERROR(__xludf.DUMMYFUNCTION("""COMPUTED_VALUE"""),"คุณเกสร เจริญสิทธิสงค์")</f>
        <v>คุณเกสร เจริญสิทธิสงค์</v>
      </c>
      <c r="N307" s="14" t="str">
        <f>IFERROR(__xludf.DUMMYFUNCTION("""COMPUTED_VALUE"""),"https://lh5.googleusercontent.com/d/1iYGzuJlO9KuOw9FHbrD1WXmYP1h7BK_N")</f>
        <v>https://lh5.googleusercontent.com/d/1iYGzuJlO9KuOw9FHbrD1WXmYP1h7BK_N</v>
      </c>
      <c r="O307" s="14" t="str">
        <f>IFERROR(__xludf.DUMMYFUNCTION("""COMPUTED_VALUE"""),"https://drive.google.com/file/d/1n5GdyEYgN89rPlYFxB2oDiETkOuAXPKF/view?usp=drivesdk")</f>
        <v>https://drive.google.com/file/d/1n5GdyEYgN89rPlYFxB2oDiETkOuAXPKF/view?usp=drivesdk</v>
      </c>
    </row>
    <row r="308">
      <c r="A308" s="3">
        <f>IFERROR(__xludf.DUMMYFUNCTION("""COMPUTED_VALUE"""),1625.0)</f>
        <v>1625</v>
      </c>
      <c r="B308" s="11">
        <f>IFERROR(__xludf.DUMMYFUNCTION("""COMPUTED_VALUE"""),45999.76578804398)</f>
        <v>45999.76579</v>
      </c>
      <c r="C308" s="3" t="str">
        <f>IFERROR(__xludf.DUMMYFUNCTION("""COMPUTED_VALUE"""),"ชั้นปีที่ 4")</f>
        <v>ชั้นปีที่ 4</v>
      </c>
      <c r="D308" s="3" t="str">
        <f>IFERROR(__xludf.DUMMYFUNCTION("""COMPUTED_VALUE"""),"6503695")</f>
        <v>6503695</v>
      </c>
      <c r="E308" s="3" t="str">
        <f>IFERROR(__xludf.DUMMYFUNCTION("""COMPUTED_VALUE"""),"6")</f>
        <v>6</v>
      </c>
      <c r="F308" s="3" t="str">
        <f>IFERROR(__xludf.DUMMYFUNCTION("""COMPUTED_VALUE"""),"นพอ.เขมิกา สุขสองห้อง")</f>
        <v>นพอ.เขมิกา สุขสองห้อง</v>
      </c>
      <c r="G30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8" s="3" t="str">
        <f>IFERROR(__xludf.DUMMYFUNCTION("""COMPUTED_VALUE"""),"วันรักต้นไม้ประจำปีของชาติ")</f>
        <v>วันรักต้นไม้ประจำปีของชาติ</v>
      </c>
      <c r="I308" s="3" t="str">
        <f>IFERROR(__xludf.DUMMYFUNCTION("""COMPUTED_VALUE"""),"โรงพยาบาลส่งเสริมสุขภาพตำบลบางตีนเป็ด")</f>
        <v>โรงพยาบาลส่งเสริมสุขภาพตำบลบางตีนเป็ด</v>
      </c>
      <c r="J308" s="12">
        <f>IFERROR(__xludf.DUMMYFUNCTION("""COMPUTED_VALUE"""),45949.0)</f>
        <v>45949</v>
      </c>
      <c r="K308" s="3" t="str">
        <f>IFERROR(__xludf.DUMMYFUNCTION("""COMPUTED_VALUE"""),"0800-1200")</f>
        <v>0800-1200</v>
      </c>
      <c r="L308" s="3">
        <f>IFERROR(__xludf.DUMMYFUNCTION("""COMPUTED_VALUE"""),4.0)</f>
        <v>4</v>
      </c>
      <c r="M308" s="3" t="str">
        <f>IFERROR(__xludf.DUMMYFUNCTION("""COMPUTED_VALUE"""),"คุณเกสร เจริญสิทธิสงค์")</f>
        <v>คุณเกสร เจริญสิทธิสงค์</v>
      </c>
      <c r="N308" s="14" t="str">
        <f>IFERROR(__xludf.DUMMYFUNCTION("""COMPUTED_VALUE"""),"https://lh5.googleusercontent.com/d/1i2lA1vwXXam8tM3t1byRjZFVWml9j1JV")</f>
        <v>https://lh5.googleusercontent.com/d/1i2lA1vwXXam8tM3t1byRjZFVWml9j1JV</v>
      </c>
      <c r="O308" s="14" t="str">
        <f>IFERROR(__xludf.DUMMYFUNCTION("""COMPUTED_VALUE"""),"https://drive.google.com/file/d/1-WA-mFM8whcGDARxyS6uPkLhKLCJEp8E/view?usp=drivesdk")</f>
        <v>https://drive.google.com/file/d/1-WA-mFM8whcGDARxyS6uPkLhKLCJEp8E/view?usp=drivesdk</v>
      </c>
    </row>
    <row r="309">
      <c r="A309" s="3">
        <f>IFERROR(__xludf.DUMMYFUNCTION("""COMPUTED_VALUE"""),1626.0)</f>
        <v>1626</v>
      </c>
      <c r="B309" s="11">
        <f>IFERROR(__xludf.DUMMYFUNCTION("""COMPUTED_VALUE"""),45999.78007170139)</f>
        <v>45999.78007</v>
      </c>
      <c r="C309" s="3" t="str">
        <f>IFERROR(__xludf.DUMMYFUNCTION("""COMPUTED_VALUE"""),"ชั้นปีที่ 4")</f>
        <v>ชั้นปีที่ 4</v>
      </c>
      <c r="D309" s="3" t="str">
        <f>IFERROR(__xludf.DUMMYFUNCTION("""COMPUTED_VALUE"""),"6503695")</f>
        <v>6503695</v>
      </c>
      <c r="E309" s="3" t="str">
        <f>IFERROR(__xludf.DUMMYFUNCTION("""COMPUTED_VALUE"""),"6")</f>
        <v>6</v>
      </c>
      <c r="F309" s="3" t="str">
        <f>IFERROR(__xludf.DUMMYFUNCTION("""COMPUTED_VALUE"""),"นพอ.เขมิกา สุขสองห้อง")</f>
        <v>นพอ.เขมิกา สุขสองห้อง</v>
      </c>
      <c r="G30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09" s="3" t="str">
        <f>IFERROR(__xludf.DUMMYFUNCTION("""COMPUTED_VALUE"""),"วันรักต้นไม้ประจำปีของชาติ")</f>
        <v>วันรักต้นไม้ประจำปีของชาติ</v>
      </c>
      <c r="I309" s="3" t="str">
        <f>IFERROR(__xludf.DUMMYFUNCTION("""COMPUTED_VALUE"""),"โรงพยาบาลส่งเสริมสุขภาพส่วนตำบลบางตีนเป็ด")</f>
        <v>โรงพยาบาลส่งเสริมสุขภาพส่วนตำบลบางตีนเป็ด</v>
      </c>
      <c r="J309" s="12">
        <f>IFERROR(__xludf.DUMMYFUNCTION("""COMPUTED_VALUE"""),45949.0)</f>
        <v>45949</v>
      </c>
      <c r="K309" s="3" t="str">
        <f>IFERROR(__xludf.DUMMYFUNCTION("""COMPUTED_VALUE"""),"0800-1200")</f>
        <v>0800-1200</v>
      </c>
      <c r="L309" s="3">
        <f>IFERROR(__xludf.DUMMYFUNCTION("""COMPUTED_VALUE"""),4.0)</f>
        <v>4</v>
      </c>
      <c r="M309" s="3" t="str">
        <f>IFERROR(__xludf.DUMMYFUNCTION("""COMPUTED_VALUE"""),"คุณเกสร เจริญสิทธิสงค์")</f>
        <v>คุณเกสร เจริญสิทธิสงค์</v>
      </c>
      <c r="N309" s="14" t="str">
        <f>IFERROR(__xludf.DUMMYFUNCTION("""COMPUTED_VALUE"""),"https://lh5.googleusercontent.com/d/1rMluu_ByY1kFBOx6qcmw6o09VL8sPjDg")</f>
        <v>https://lh5.googleusercontent.com/d/1rMluu_ByY1kFBOx6qcmw6o09VL8sPjDg</v>
      </c>
      <c r="O309" s="14" t="str">
        <f>IFERROR(__xludf.DUMMYFUNCTION("""COMPUTED_VALUE"""),"https://drive.google.com/file/d/1Gz5rB9Ovckcxy0Is_MefThMA0kRpZmha/view?usp=drivesdk")</f>
        <v>https://drive.google.com/file/d/1Gz5rB9Ovckcxy0Is_MefThMA0kRpZmha/view?usp=drivesdk</v>
      </c>
    </row>
    <row r="310">
      <c r="A310" s="3">
        <f>IFERROR(__xludf.DUMMYFUNCTION("""COMPUTED_VALUE"""),1627.0)</f>
        <v>1627</v>
      </c>
      <c r="B310" s="11">
        <f>IFERROR(__xludf.DUMMYFUNCTION("""COMPUTED_VALUE"""),45999.78346119213)</f>
        <v>45999.78346</v>
      </c>
      <c r="C310" s="3" t="str">
        <f>IFERROR(__xludf.DUMMYFUNCTION("""COMPUTED_VALUE"""),"ชั้นปีที่ 4")</f>
        <v>ชั้นปีที่ 4</v>
      </c>
      <c r="D310" s="3" t="str">
        <f>IFERROR(__xludf.DUMMYFUNCTION("""COMPUTED_VALUE"""),"6503702")</f>
        <v>6503702</v>
      </c>
      <c r="E310" s="3" t="str">
        <f>IFERROR(__xludf.DUMMYFUNCTION("""COMPUTED_VALUE"""),"13")</f>
        <v>13</v>
      </c>
      <c r="F310" s="3" t="str">
        <f>IFERROR(__xludf.DUMMYFUNCTION("""COMPUTED_VALUE"""),"นพอ.ชนิสรา น้อยสอาด")</f>
        <v>นพอ.ชนิสรา น้อยสอาด</v>
      </c>
      <c r="G310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10" s="3" t="str">
        <f>IFERROR(__xludf.DUMMYFUNCTION("""COMPUTED_VALUE""")," บ้านทรายมูล รวมคนฟิต ออกกำวันละนิด ชีวิตไร้โรค")</f>
        <v> บ้านทรายมูล รวมคนฟิต ออกกำวันละนิด ชีวิตไร้โรค</v>
      </c>
      <c r="I310" s="3" t="str">
        <f>IFERROR(__xludf.DUMMYFUNCTION("""COMPUTED_VALUE"""),"รพ.สต.คลองนา")</f>
        <v>รพ.สต.คลองนา</v>
      </c>
      <c r="J310" s="12">
        <f>IFERROR(__xludf.DUMMYFUNCTION("""COMPUTED_VALUE"""),45957.0)</f>
        <v>45957</v>
      </c>
      <c r="K310" s="3" t="str">
        <f>IFERROR(__xludf.DUMMYFUNCTION("""COMPUTED_VALUE"""),"1600-1800")</f>
        <v>1600-1800</v>
      </c>
      <c r="L310" s="3">
        <f>IFERROR(__xludf.DUMMYFUNCTION("""COMPUTED_VALUE"""),2.0)</f>
        <v>2</v>
      </c>
      <c r="M310" s="3" t="str">
        <f>IFERROR(__xludf.DUMMYFUNCTION("""COMPUTED_VALUE"""),"น.ส.ธนิดา หลักทอง")</f>
        <v>น.ส.ธนิดา หลักทอง</v>
      </c>
      <c r="N310" s="14" t="str">
        <f>IFERROR(__xludf.DUMMYFUNCTION("""COMPUTED_VALUE"""),"https://lh5.googleusercontent.com/d/1mFmKdtBaD7ru4YNueL7Qd4U1iIohiG1v")</f>
        <v>https://lh5.googleusercontent.com/d/1mFmKdtBaD7ru4YNueL7Qd4U1iIohiG1v</v>
      </c>
      <c r="O310" s="14" t="str">
        <f>IFERROR(__xludf.DUMMYFUNCTION("""COMPUTED_VALUE"""),"https://drive.google.com/file/d/1Wk0tBgGDoK_ulTHw2e1zr717MYhmB9b1/view?usp=drivesdk")</f>
        <v>https://drive.google.com/file/d/1Wk0tBgGDoK_ulTHw2e1zr717MYhmB9b1/view?usp=drivesdk</v>
      </c>
    </row>
    <row r="311">
      <c r="A311" s="3">
        <f>IFERROR(__xludf.DUMMYFUNCTION("""COMPUTED_VALUE"""),1628.0)</f>
        <v>1628</v>
      </c>
      <c r="B311" s="11">
        <f>IFERROR(__xludf.DUMMYFUNCTION("""COMPUTED_VALUE"""),45999.78462146991)</f>
        <v>45999.78462</v>
      </c>
      <c r="C311" s="3" t="str">
        <f>IFERROR(__xludf.DUMMYFUNCTION("""COMPUTED_VALUE"""),"ชั้นปีที่ 4")</f>
        <v>ชั้นปีที่ 4</v>
      </c>
      <c r="D311" s="3" t="str">
        <f>IFERROR(__xludf.DUMMYFUNCTION("""COMPUTED_VALUE"""),"6503695")</f>
        <v>6503695</v>
      </c>
      <c r="E311" s="3" t="str">
        <f>IFERROR(__xludf.DUMMYFUNCTION("""COMPUTED_VALUE"""),"6")</f>
        <v>6</v>
      </c>
      <c r="F311" s="3" t="str">
        <f>IFERROR(__xludf.DUMMYFUNCTION("""COMPUTED_VALUE"""),"นพอ.เขมิกา สุขสองห้อง")</f>
        <v>นพอ.เขมิกา สุขสองห้อง</v>
      </c>
      <c r="G3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1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11" s="3" t="str">
        <f>IFERROR(__xludf.DUMMYFUNCTION("""COMPUTED_VALUE"""),"สโมสรทหารอากาศชั้นประทวน")</f>
        <v>สโมสรทหารอากาศชั้นประทวน</v>
      </c>
      <c r="J311" s="12">
        <f>IFERROR(__xludf.DUMMYFUNCTION("""COMPUTED_VALUE"""),45854.0)</f>
        <v>45854</v>
      </c>
      <c r="K311" s="3" t="str">
        <f>IFERROR(__xludf.DUMMYFUNCTION("""COMPUTED_VALUE"""),"0700-1300")</f>
        <v>0700-1300</v>
      </c>
      <c r="L311" s="3">
        <f>IFERROR(__xludf.DUMMYFUNCTION("""COMPUTED_VALUE"""),6.0)</f>
        <v>6</v>
      </c>
      <c r="M311" s="3" t="str">
        <f>IFERROR(__xludf.DUMMYFUNCTION("""COMPUTED_VALUE"""),"น.ต.หญิง ตวงทิพย์ ลดาวัลย์")</f>
        <v>น.ต.หญิง ตวงทิพย์ ลดาวัลย์</v>
      </c>
      <c r="N311" s="14" t="str">
        <f>IFERROR(__xludf.DUMMYFUNCTION("""COMPUTED_VALUE"""),"https://lh5.googleusercontent.com/d/1xMW2kM7q-78AiV6ecKZEHajmTi3hvtnb")</f>
        <v>https://lh5.googleusercontent.com/d/1xMW2kM7q-78AiV6ecKZEHajmTi3hvtnb</v>
      </c>
      <c r="O311" s="14" t="str">
        <f>IFERROR(__xludf.DUMMYFUNCTION("""COMPUTED_VALUE"""),"https://drive.google.com/file/d/1nl_B7Pz-xBSnJXSu1RvY4a9Q9sCvUdsS/view?usp=drivesdk")</f>
        <v>https://drive.google.com/file/d/1nl_B7Pz-xBSnJXSu1RvY4a9Q9sCvUdsS/view?usp=drivesdk</v>
      </c>
    </row>
    <row r="312">
      <c r="A312" s="3">
        <f>IFERROR(__xludf.DUMMYFUNCTION("""COMPUTED_VALUE"""),1634.0)</f>
        <v>1634</v>
      </c>
      <c r="B312" s="11">
        <f>IFERROR(__xludf.DUMMYFUNCTION("""COMPUTED_VALUE"""),45999.796484155086)</f>
        <v>45999.79648</v>
      </c>
      <c r="C312" s="3" t="str">
        <f>IFERROR(__xludf.DUMMYFUNCTION("""COMPUTED_VALUE"""),"ชั้นปีที่ 4")</f>
        <v>ชั้นปีที่ 4</v>
      </c>
      <c r="D312" s="3" t="str">
        <f>IFERROR(__xludf.DUMMYFUNCTION("""COMPUTED_VALUE"""),"6503726")</f>
        <v>6503726</v>
      </c>
      <c r="E312" s="3" t="str">
        <f>IFERROR(__xludf.DUMMYFUNCTION("""COMPUTED_VALUE"""),"36")</f>
        <v>36</v>
      </c>
      <c r="F312" s="3" t="str">
        <f>IFERROR(__xludf.DUMMYFUNCTION("""COMPUTED_VALUE"""),"นพอ.ปารวัณ เนาวภาส")</f>
        <v>นพอ.ปารวัณ เนาวภาส</v>
      </c>
      <c r="G312" s="3" t="str">
        <f>IFERROR(__xludf.DUMMYFUNCTION("""COMPUTED_VALUE"""),"ทำนุบำรุงศาสนสถาน")</f>
        <v>ทำนุบำรุงศาสนสถาน</v>
      </c>
      <c r="H312" s="3" t="str">
        <f>IFERROR(__xludf.DUMMYFUNCTION("""COMPUTED_VALUE"""),"ช่วยเก็บของงานกฐิน")</f>
        <v>ช่วยเก็บของงานกฐิน</v>
      </c>
      <c r="I312" s="3" t="str">
        <f>IFERROR(__xludf.DUMMYFUNCTION("""COMPUTED_VALUE"""),"วัดบางแก้ว")</f>
        <v>วัดบางแก้ว</v>
      </c>
      <c r="J312" s="12">
        <f>IFERROR(__xludf.DUMMYFUNCTION("""COMPUTED_VALUE"""),45942.0)</f>
        <v>45942</v>
      </c>
      <c r="K312" s="3" t="str">
        <f>IFERROR(__xludf.DUMMYFUNCTION("""COMPUTED_VALUE"""),"0800-1200")</f>
        <v>0800-1200</v>
      </c>
      <c r="L312" s="3">
        <f>IFERROR(__xludf.DUMMYFUNCTION("""COMPUTED_VALUE"""),4.0)</f>
        <v>4</v>
      </c>
      <c r="M312" s="3" t="str">
        <f>IFERROR(__xludf.DUMMYFUNCTION("""COMPUTED_VALUE"""),"นางสาวสาวารส ยิ้มเจริญ ผู้ใหญ่บ้าน")</f>
        <v>นางสาวสาวารส ยิ้มเจริญ ผู้ใหญ่บ้าน</v>
      </c>
      <c r="N312" s="14" t="str">
        <f>IFERROR(__xludf.DUMMYFUNCTION("""COMPUTED_VALUE"""),"https://lh5.googleusercontent.com/d/1Dr8jnGwwd7q6SoV_VJ19XJ_LnVQOaCjp")</f>
        <v>https://lh5.googleusercontent.com/d/1Dr8jnGwwd7q6SoV_VJ19XJ_LnVQOaCjp</v>
      </c>
      <c r="O312" s="14" t="str">
        <f>IFERROR(__xludf.DUMMYFUNCTION("""COMPUTED_VALUE"""),"https://drive.google.com/file/d/1HuKY0AvlI9MrqNuNq8NpPoDlWyryoAyC/view?usp=drivesdk")</f>
        <v>https://drive.google.com/file/d/1HuKY0AvlI9MrqNuNq8NpPoDlWyryoAyC/view?usp=drivesdk</v>
      </c>
    </row>
    <row r="313">
      <c r="A313" s="3">
        <f>IFERROR(__xludf.DUMMYFUNCTION("""COMPUTED_VALUE"""),1639.0)</f>
        <v>1639</v>
      </c>
      <c r="B313" s="11">
        <f>IFERROR(__xludf.DUMMYFUNCTION("""COMPUTED_VALUE"""),45999.79892187499)</f>
        <v>45999.79892</v>
      </c>
      <c r="C313" s="3" t="str">
        <f>IFERROR(__xludf.DUMMYFUNCTION("""COMPUTED_VALUE"""),"ชั้นปีที่ 4")</f>
        <v>ชั้นปีที่ 4</v>
      </c>
      <c r="D313" s="3" t="str">
        <f>IFERROR(__xludf.DUMMYFUNCTION("""COMPUTED_VALUE"""),"6503726")</f>
        <v>6503726</v>
      </c>
      <c r="E313" s="3" t="str">
        <f>IFERROR(__xludf.DUMMYFUNCTION("""COMPUTED_VALUE"""),"36")</f>
        <v>36</v>
      </c>
      <c r="F313" s="3" t="str">
        <f>IFERROR(__xludf.DUMMYFUNCTION("""COMPUTED_VALUE"""),"นพอ.ปารวัณ เนาวภาส")</f>
        <v>นพอ.ปารวัณ เนาวภาส</v>
      </c>
      <c r="G31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3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13" s="3" t="str">
        <f>IFERROR(__xludf.DUMMYFUNCTION("""COMPUTED_VALUE"""),"สโมสรทหารอากาศชั้นประทวน")</f>
        <v>สโมสรทหารอากาศชั้นประทวน</v>
      </c>
      <c r="J313" s="12">
        <f>IFERROR(__xludf.DUMMYFUNCTION("""COMPUTED_VALUE"""),45854.0)</f>
        <v>45854</v>
      </c>
      <c r="K313" s="3" t="str">
        <f>IFERROR(__xludf.DUMMYFUNCTION("""COMPUTED_VALUE"""),"0700-1300")</f>
        <v>0700-1300</v>
      </c>
      <c r="L313" s="3">
        <f>IFERROR(__xludf.DUMMYFUNCTION("""COMPUTED_VALUE"""),6.0)</f>
        <v>6</v>
      </c>
      <c r="M313" s="3" t="str">
        <f>IFERROR(__xludf.DUMMYFUNCTION("""COMPUTED_VALUE"""),"น.ต.หญิง ตวงทิพย์ ลดาวัลย์")</f>
        <v>น.ต.หญิง ตวงทิพย์ ลดาวัลย์</v>
      </c>
      <c r="N313" s="14" t="str">
        <f>IFERROR(__xludf.DUMMYFUNCTION("""COMPUTED_VALUE"""),"https://lh5.googleusercontent.com/d/1zklICyIrQxmbbxBlZEjK-cwNaWzj6Em3")</f>
        <v>https://lh5.googleusercontent.com/d/1zklICyIrQxmbbxBlZEjK-cwNaWzj6Em3</v>
      </c>
      <c r="O313" s="14" t="str">
        <f>IFERROR(__xludf.DUMMYFUNCTION("""COMPUTED_VALUE"""),"https://drive.google.com/file/d/1aw1M3pkeoYm_XVNj4RwY1nqgPkVLXb_J/view?usp=drivesdk")</f>
        <v>https://drive.google.com/file/d/1aw1M3pkeoYm_XVNj4RwY1nqgPkVLXb_J/view?usp=drivesdk</v>
      </c>
    </row>
    <row r="314">
      <c r="A314" s="3">
        <f>IFERROR(__xludf.DUMMYFUNCTION("""COMPUTED_VALUE"""),1645.0)</f>
        <v>1645</v>
      </c>
      <c r="B314" s="11">
        <f>IFERROR(__xludf.DUMMYFUNCTION("""COMPUTED_VALUE"""),45999.80376346065)</f>
        <v>45999.80376</v>
      </c>
      <c r="C314" s="3" t="str">
        <f>IFERROR(__xludf.DUMMYFUNCTION("""COMPUTED_VALUE"""),"ชั้นปีที่ 4")</f>
        <v>ชั้นปีที่ 4</v>
      </c>
      <c r="D314" s="3" t="str">
        <f>IFERROR(__xludf.DUMMYFUNCTION("""COMPUTED_VALUE"""),"6503726")</f>
        <v>6503726</v>
      </c>
      <c r="E314" s="3" t="str">
        <f>IFERROR(__xludf.DUMMYFUNCTION("""COMPUTED_VALUE"""),"36")</f>
        <v>36</v>
      </c>
      <c r="F314" s="3" t="str">
        <f>IFERROR(__xludf.DUMMYFUNCTION("""COMPUTED_VALUE"""),"นพอ.ปารวัณ เนาวภาส")</f>
        <v>นพอ.ปารวัณ เนาวภาส</v>
      </c>
      <c r="G31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14" s="3" t="str">
        <f>IFERROR(__xludf.DUMMYFUNCTION("""COMPUTED_VALUE"""),"บริจาคโลหิต")</f>
        <v>บริจาคโลหิต</v>
      </c>
      <c r="I314" s="3" t="str">
        <f>IFERROR(__xludf.DUMMYFUNCTION("""COMPUTED_VALUE"""),"รพ.พุทธโสธร")</f>
        <v>รพ.พุทธโสธร</v>
      </c>
      <c r="J314" s="12">
        <f>IFERROR(__xludf.DUMMYFUNCTION("""COMPUTED_VALUE"""),45801.0)</f>
        <v>45801</v>
      </c>
      <c r="K314" s="3" t="str">
        <f>IFERROR(__xludf.DUMMYFUNCTION("""COMPUTED_VALUE"""),"1000-1100")</f>
        <v>1000-1100</v>
      </c>
      <c r="L314" s="3">
        <f>IFERROR(__xludf.DUMMYFUNCTION("""COMPUTED_VALUE"""),8.0)</f>
        <v>8</v>
      </c>
      <c r="M314" s="3" t="str">
        <f>IFERROR(__xludf.DUMMYFUNCTION("""COMPUTED_VALUE"""),"ร.อ.อนุชิต ทำจะดี")</f>
        <v>ร.อ.อนุชิต ทำจะดี</v>
      </c>
      <c r="N314" s="14" t="str">
        <f>IFERROR(__xludf.DUMMYFUNCTION("""COMPUTED_VALUE"""),"https://lh5.googleusercontent.com/d/1r720xreH8o2loPY_IAg2jd5wES0bhY6i")</f>
        <v>https://lh5.googleusercontent.com/d/1r720xreH8o2loPY_IAg2jd5wES0bhY6i</v>
      </c>
      <c r="O314" s="14" t="str">
        <f>IFERROR(__xludf.DUMMYFUNCTION("""COMPUTED_VALUE"""),"https://drive.google.com/file/d/1pBhvqWnE9SADkNP9utPMDytBn824Kl9Q/view?usp=drivesdk")</f>
        <v>https://drive.google.com/file/d/1pBhvqWnE9SADkNP9utPMDytBn824Kl9Q/view?usp=drivesdk</v>
      </c>
    </row>
    <row r="315">
      <c r="A315" s="3">
        <f>IFERROR(__xludf.DUMMYFUNCTION("""COMPUTED_VALUE"""),1648.0)</f>
        <v>1648</v>
      </c>
      <c r="B315" s="11">
        <f>IFERROR(__xludf.DUMMYFUNCTION("""COMPUTED_VALUE"""),45999.80726543982)</f>
        <v>45999.80727</v>
      </c>
      <c r="C315" s="3" t="str">
        <f>IFERROR(__xludf.DUMMYFUNCTION("""COMPUTED_VALUE"""),"ชั้นปีที่ 4")</f>
        <v>ชั้นปีที่ 4</v>
      </c>
      <c r="D315" s="3" t="str">
        <f>IFERROR(__xludf.DUMMYFUNCTION("""COMPUTED_VALUE"""),"6503697")</f>
        <v>6503697</v>
      </c>
      <c r="E315" s="3" t="str">
        <f>IFERROR(__xludf.DUMMYFUNCTION("""COMPUTED_VALUE"""),"8")</f>
        <v>8</v>
      </c>
      <c r="F315" s="3" t="str">
        <f>IFERROR(__xludf.DUMMYFUNCTION("""COMPUTED_VALUE"""),"นพอ.จารวี จี๋จันทร์")</f>
        <v>นพอ.จารวี จี๋จันทร์</v>
      </c>
      <c r="G31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15" s="3" t="str">
        <f>IFERROR(__xludf.DUMMYFUNCTION("""COMPUTED_VALUE"""),"คลินิกคัดกรองโรคเรื้อรัง")</f>
        <v>คลินิกคัดกรองโรคเรื้อรัง</v>
      </c>
      <c r="I315" s="3" t="str">
        <f>IFERROR(__xludf.DUMMYFUNCTION("""COMPUTED_VALUE"""),"รพ.สต.บางตีนเป็ด")</f>
        <v>รพ.สต.บางตีนเป็ด</v>
      </c>
      <c r="J315" s="12">
        <f>IFERROR(__xludf.DUMMYFUNCTION("""COMPUTED_VALUE"""),45991.0)</f>
        <v>45991</v>
      </c>
      <c r="K315" s="3" t="str">
        <f>IFERROR(__xludf.DUMMYFUNCTION("""COMPUTED_VALUE"""),"0800-1200")</f>
        <v>0800-1200</v>
      </c>
      <c r="L315" s="3">
        <f>IFERROR(__xludf.DUMMYFUNCTION("""COMPUTED_VALUE"""),4.0)</f>
        <v>4</v>
      </c>
      <c r="M315" s="3" t="str">
        <f>IFERROR(__xludf.DUMMYFUNCTION("""COMPUTED_VALUE"""),"คุณเกสร เจริญสิทธิสงค์")</f>
        <v>คุณเกสร เจริญสิทธิสงค์</v>
      </c>
      <c r="N315" s="14" t="str">
        <f>IFERROR(__xludf.DUMMYFUNCTION("""COMPUTED_VALUE"""),"https://lh5.googleusercontent.com/d/1AZqnOcUDqCfyWgi8mC1JLjbr0sUKTl5-")</f>
        <v>https://lh5.googleusercontent.com/d/1AZqnOcUDqCfyWgi8mC1JLjbr0sUKTl5-</v>
      </c>
      <c r="O315" s="14" t="str">
        <f>IFERROR(__xludf.DUMMYFUNCTION("""COMPUTED_VALUE"""),"https://drive.google.com/file/d/1JA2x6eY0WDn9SRm6O-h1YFkCR6n_l6uf/view?usp=drivesdk")</f>
        <v>https://drive.google.com/file/d/1JA2x6eY0WDn9SRm6O-h1YFkCR6n_l6uf/view?usp=drivesdk</v>
      </c>
    </row>
    <row r="316">
      <c r="A316" s="3">
        <f>IFERROR(__xludf.DUMMYFUNCTION("""COMPUTED_VALUE"""),1651.0)</f>
        <v>1651</v>
      </c>
      <c r="B316" s="11">
        <f>IFERROR(__xludf.DUMMYFUNCTION("""COMPUTED_VALUE"""),45999.81074046296)</f>
        <v>45999.81074</v>
      </c>
      <c r="C316" s="3" t="str">
        <f>IFERROR(__xludf.DUMMYFUNCTION("""COMPUTED_VALUE"""),"ชั้นปีที่ 4")</f>
        <v>ชั้นปีที่ 4</v>
      </c>
      <c r="D316" s="3" t="str">
        <f>IFERROR(__xludf.DUMMYFUNCTION("""COMPUTED_VALUE"""),"6503726")</f>
        <v>6503726</v>
      </c>
      <c r="E316" s="3" t="str">
        <f>IFERROR(__xludf.DUMMYFUNCTION("""COMPUTED_VALUE"""),"36")</f>
        <v>36</v>
      </c>
      <c r="F316" s="3" t="str">
        <f>IFERROR(__xludf.DUMMYFUNCTION("""COMPUTED_VALUE"""),"นพอ.ปารวัณ เนาวภาส")</f>
        <v>นพอ.ปารวัณ เนาวภาส</v>
      </c>
      <c r="G31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16" s="3" t="str">
        <f>IFERROR(__xludf.DUMMYFUNCTION("""COMPUTED_VALUE"""),"บริจาคโลหิต")</f>
        <v>บริจาคโลหิต</v>
      </c>
      <c r="I316" s="3" t="str">
        <f>IFERROR(__xludf.DUMMYFUNCTION("""COMPUTED_VALUE"""),"รพ.พุทธโสธร")</f>
        <v>รพ.พุทธโสธร</v>
      </c>
      <c r="J316" s="12">
        <f>IFERROR(__xludf.DUMMYFUNCTION("""COMPUTED_VALUE"""),45920.0)</f>
        <v>45920</v>
      </c>
      <c r="K316" s="3" t="str">
        <f>IFERROR(__xludf.DUMMYFUNCTION("""COMPUTED_VALUE"""),"0930-1030")</f>
        <v>0930-1030</v>
      </c>
      <c r="L316" s="3">
        <f>IFERROR(__xludf.DUMMYFUNCTION("""COMPUTED_VALUE"""),8.0)</f>
        <v>8</v>
      </c>
      <c r="M316" s="3" t="str">
        <f>IFERROR(__xludf.DUMMYFUNCTION("""COMPUTED_VALUE"""),"ร.อ.อนุชิต ทำจะดี")</f>
        <v>ร.อ.อนุชิต ทำจะดี</v>
      </c>
      <c r="N316" s="14" t="str">
        <f>IFERROR(__xludf.DUMMYFUNCTION("""COMPUTED_VALUE"""),"https://lh5.googleusercontent.com/d/1kJXdm2M1c2znXp5p_5kC2a5dEFtpIGPY")</f>
        <v>https://lh5.googleusercontent.com/d/1kJXdm2M1c2znXp5p_5kC2a5dEFtpIGPY</v>
      </c>
      <c r="O316" s="14" t="str">
        <f>IFERROR(__xludf.DUMMYFUNCTION("""COMPUTED_VALUE"""),"https://drive.google.com/file/d/1Df1J_555mLFVNBElGs6f0x_zT6VEu8C0/view?usp=drivesdk")</f>
        <v>https://drive.google.com/file/d/1Df1J_555mLFVNBElGs6f0x_zT6VEu8C0/view?usp=drivesdk</v>
      </c>
    </row>
    <row r="317">
      <c r="A317" s="3">
        <f>IFERROR(__xludf.DUMMYFUNCTION("""COMPUTED_VALUE"""),1658.0)</f>
        <v>1658</v>
      </c>
      <c r="B317" s="11">
        <f>IFERROR(__xludf.DUMMYFUNCTION("""COMPUTED_VALUE"""),45999.81704488426)</f>
        <v>45999.81704</v>
      </c>
      <c r="C317" s="3" t="str">
        <f>IFERROR(__xludf.DUMMYFUNCTION("""COMPUTED_VALUE"""),"ชั้นปีที่ 4")</f>
        <v>ชั้นปีที่ 4</v>
      </c>
      <c r="D317" s="3" t="str">
        <f>IFERROR(__xludf.DUMMYFUNCTION("""COMPUTED_VALUE"""),"6503729")</f>
        <v>6503729</v>
      </c>
      <c r="E317" s="3" t="str">
        <f>IFERROR(__xludf.DUMMYFUNCTION("""COMPUTED_VALUE"""),"39")</f>
        <v>39</v>
      </c>
      <c r="F317" s="3" t="str">
        <f>IFERROR(__xludf.DUMMYFUNCTION("""COMPUTED_VALUE"""),"พรมนัส ค้าขาย")</f>
        <v>พรมนัส ค้าขาย</v>
      </c>
      <c r="G31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17" s="3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17" s="3" t="str">
        <f>IFERROR(__xludf.DUMMYFUNCTION("""COMPUTED_VALUE"""),"หมู่1 บางตีนเป็ด ฉะเชิงเทรา")</f>
        <v>หมู่1 บางตีนเป็ด ฉะเชิงเทรา</v>
      </c>
      <c r="J317" s="12">
        <f>IFERROR(__xludf.DUMMYFUNCTION("""COMPUTED_VALUE"""),45949.0)</f>
        <v>45949</v>
      </c>
      <c r="K317" s="3" t="str">
        <f>IFERROR(__xludf.DUMMYFUNCTION("""COMPUTED_VALUE"""),"0800-1200")</f>
        <v>0800-1200</v>
      </c>
      <c r="L317" s="3">
        <f>IFERROR(__xludf.DUMMYFUNCTION("""COMPUTED_VALUE"""),4.0)</f>
        <v>4</v>
      </c>
      <c r="M317" s="3" t="str">
        <f>IFERROR(__xludf.DUMMYFUNCTION("""COMPUTED_VALUE"""),"คุณเกสร เจริญสิทธิสงค์")</f>
        <v>คุณเกสร เจริญสิทธิสงค์</v>
      </c>
      <c r="N317" s="14" t="str">
        <f>IFERROR(__xludf.DUMMYFUNCTION("""COMPUTED_VALUE"""),"https://lh5.googleusercontent.com/d/1GSuXVojtRc7MmsNoj78aylcto0W8_S00")</f>
        <v>https://lh5.googleusercontent.com/d/1GSuXVojtRc7MmsNoj78aylcto0W8_S00</v>
      </c>
      <c r="O317" s="3"/>
    </row>
    <row r="318">
      <c r="A318" s="3">
        <f>IFERROR(__xludf.DUMMYFUNCTION("""COMPUTED_VALUE"""),1660.0)</f>
        <v>1660</v>
      </c>
      <c r="B318" s="11">
        <f>IFERROR(__xludf.DUMMYFUNCTION("""COMPUTED_VALUE"""),45999.817684409725)</f>
        <v>45999.81768</v>
      </c>
      <c r="C318" s="3" t="str">
        <f>IFERROR(__xludf.DUMMYFUNCTION("""COMPUTED_VALUE"""),"ชั้นปีที่ 4")</f>
        <v>ชั้นปีที่ 4</v>
      </c>
      <c r="D318" s="3" t="str">
        <f>IFERROR(__xludf.DUMMYFUNCTION("""COMPUTED_VALUE"""),"6503753")</f>
        <v>6503753</v>
      </c>
      <c r="E318" s="3" t="str">
        <f>IFERROR(__xludf.DUMMYFUNCTION("""COMPUTED_VALUE"""),"63")</f>
        <v>63</v>
      </c>
      <c r="F318" s="3" t="str">
        <f>IFERROR(__xludf.DUMMYFUNCTION("""COMPUTED_VALUE"""),"นพอ.อรกัญญา ทอนสูงเนิน")</f>
        <v>นพอ.อรกัญญา ทอนสูงเนิน</v>
      </c>
      <c r="G31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18" s="3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18" s="3" t="str">
        <f>IFERROR(__xludf.DUMMYFUNCTION("""COMPUTED_VALUE"""),"หมู่1 บางตีนเป็ด ฉะเชิงเทรา")</f>
        <v>หมู่1 บางตีนเป็ด ฉะเชิงเทรา</v>
      </c>
      <c r="J318" s="12">
        <f>IFERROR(__xludf.DUMMYFUNCTION("""COMPUTED_VALUE"""),45980.0)</f>
        <v>45980</v>
      </c>
      <c r="K318" s="3" t="str">
        <f>IFERROR(__xludf.DUMMYFUNCTION("""COMPUTED_VALUE"""),"0800 - 1200")</f>
        <v>0800 - 1200</v>
      </c>
      <c r="L318" s="3">
        <f>IFERROR(__xludf.DUMMYFUNCTION("""COMPUTED_VALUE"""),4.0)</f>
        <v>4</v>
      </c>
      <c r="M318" s="3" t="str">
        <f>IFERROR(__xludf.DUMMYFUNCTION("""COMPUTED_VALUE"""),"คุณเกสร เจริญสิทธิสงค์")</f>
        <v>คุณเกสร เจริญสิทธิสงค์</v>
      </c>
      <c r="N318" s="14" t="str">
        <f>IFERROR(__xludf.DUMMYFUNCTION("""COMPUTED_VALUE"""),"https://lh5.googleusercontent.com/d/1ckQ27KZ_utB_0Ulzbvc-LSpZsBwyfzbo")</f>
        <v>https://lh5.googleusercontent.com/d/1ckQ27KZ_utB_0Ulzbvc-LSpZsBwyfzbo</v>
      </c>
      <c r="O318" s="3"/>
    </row>
    <row r="319">
      <c r="A319" s="3">
        <f>IFERROR(__xludf.DUMMYFUNCTION("""COMPUTED_VALUE"""),1661.0)</f>
        <v>1661</v>
      </c>
      <c r="B319" s="11">
        <f>IFERROR(__xludf.DUMMYFUNCTION("""COMPUTED_VALUE"""),45999.817996412035)</f>
        <v>45999.818</v>
      </c>
      <c r="C319" s="3" t="str">
        <f>IFERROR(__xludf.DUMMYFUNCTION("""COMPUTED_VALUE"""),"ชั้นปีที่ 4")</f>
        <v>ชั้นปีที่ 4</v>
      </c>
      <c r="D319" s="3" t="str">
        <f>IFERROR(__xludf.DUMMYFUNCTION("""COMPUTED_VALUE"""),"6503697")</f>
        <v>6503697</v>
      </c>
      <c r="E319" s="3" t="str">
        <f>IFERROR(__xludf.DUMMYFUNCTION("""COMPUTED_VALUE"""),"8")</f>
        <v>8</v>
      </c>
      <c r="F319" s="3" t="str">
        <f>IFERROR(__xludf.DUMMYFUNCTION("""COMPUTED_VALUE"""),"นพอ.จารวี จี๋จันทร์")</f>
        <v>นพอ.จารวี จี๋จันทร์</v>
      </c>
      <c r="G3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9" s="3" t="str">
        <f>IFERROR(__xludf.DUMMYFUNCTION("""COMPUTED_VALUE"""),"โครงการคัดกรองสุขภาพเชิงรุกกำลังพล ทอ.")</f>
        <v>โครงการคัดกรองสุขภาพเชิงรุกกำลังพล ทอ.</v>
      </c>
      <c r="I319" s="3" t="str">
        <f>IFERROR(__xludf.DUMMYFUNCTION("""COMPUTED_VALUE"""),"สโมสรทหารอากาศชั้นประทวน")</f>
        <v>สโมสรทหารอากาศชั้นประทวน</v>
      </c>
      <c r="J319" s="12">
        <f>IFERROR(__xludf.DUMMYFUNCTION("""COMPUTED_VALUE"""),45854.0)</f>
        <v>45854</v>
      </c>
      <c r="K319" s="3" t="str">
        <f>IFERROR(__xludf.DUMMYFUNCTION("""COMPUTED_VALUE"""),"0700-1200")</f>
        <v>0700-1200</v>
      </c>
      <c r="L319" s="3">
        <f>IFERROR(__xludf.DUMMYFUNCTION("""COMPUTED_VALUE"""),6.0)</f>
        <v>6</v>
      </c>
      <c r="M319" s="3" t="str">
        <f>IFERROR(__xludf.DUMMYFUNCTION("""COMPUTED_VALUE"""),"น.ต.หญิง ตวงทิพย์ ลดาวัลย์")</f>
        <v>น.ต.หญิง ตวงทิพย์ ลดาวัลย์</v>
      </c>
      <c r="N319" s="14" t="str">
        <f>IFERROR(__xludf.DUMMYFUNCTION("""COMPUTED_VALUE"""),"https://lh5.googleusercontent.com/d/1PfUizG7Jvf6UsRkQY9Jnjja8dD8oK-9w")</f>
        <v>https://lh5.googleusercontent.com/d/1PfUizG7Jvf6UsRkQY9Jnjja8dD8oK-9w</v>
      </c>
      <c r="O319" s="3"/>
    </row>
    <row r="320">
      <c r="A320" s="3">
        <f>IFERROR(__xludf.DUMMYFUNCTION("""COMPUTED_VALUE"""),1662.0)</f>
        <v>1662</v>
      </c>
      <c r="B320" s="11">
        <f>IFERROR(__xludf.DUMMYFUNCTION("""COMPUTED_VALUE"""),45999.81913684028)</f>
        <v>45999.81914</v>
      </c>
      <c r="C320" s="3" t="str">
        <f>IFERROR(__xludf.DUMMYFUNCTION("""COMPUTED_VALUE"""),"ชั้นปีที่ 4")</f>
        <v>ชั้นปีที่ 4</v>
      </c>
      <c r="D320" s="3" t="str">
        <f>IFERROR(__xludf.DUMMYFUNCTION("""COMPUTED_VALUE"""),"6503745")</f>
        <v>6503745</v>
      </c>
      <c r="E320" s="3" t="str">
        <f>IFERROR(__xludf.DUMMYFUNCTION("""COMPUTED_VALUE"""),"55")</f>
        <v>55</v>
      </c>
      <c r="F320" s="3" t="str">
        <f>IFERROR(__xludf.DUMMYFUNCTION("""COMPUTED_VALUE"""),"นพอ.ศิริขวัญ วามะลุน")</f>
        <v>นพอ.ศิริขวัญ วามะลุน</v>
      </c>
      <c r="G320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0" s="3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20" s="3" t="str">
        <f>IFERROR(__xludf.DUMMYFUNCTION("""COMPUTED_VALUE"""),"หมู่1 ต.บางตีนเป็ด จ.ฉะเชิงเทรา")</f>
        <v>หมู่1 ต.บางตีนเป็ด จ.ฉะเชิงเทรา</v>
      </c>
      <c r="J320" s="12">
        <f>IFERROR(__xludf.DUMMYFUNCTION("""COMPUTED_VALUE"""),45980.0)</f>
        <v>45980</v>
      </c>
      <c r="K320" s="3" t="str">
        <f>IFERROR(__xludf.DUMMYFUNCTION("""COMPUTED_VALUE"""),"0800-1200")</f>
        <v>0800-1200</v>
      </c>
      <c r="L320" s="3">
        <f>IFERROR(__xludf.DUMMYFUNCTION("""COMPUTED_VALUE"""),4.0)</f>
        <v>4</v>
      </c>
      <c r="M320" s="3" t="str">
        <f>IFERROR(__xludf.DUMMYFUNCTION("""COMPUTED_VALUE"""),"คุณเกสร เจริญสิทธิสงค์")</f>
        <v>คุณเกสร เจริญสิทธิสงค์</v>
      </c>
      <c r="N320" s="14" t="str">
        <f>IFERROR(__xludf.DUMMYFUNCTION("""COMPUTED_VALUE"""),"https://lh5.googleusercontent.com/d/1yPvQM-aOI0cSXHukW0s_g3GYwlASXrbL")</f>
        <v>https://lh5.googleusercontent.com/d/1yPvQM-aOI0cSXHukW0s_g3GYwlASXrbL</v>
      </c>
      <c r="O320" s="14" t="str">
        <f>IFERROR(__xludf.DUMMYFUNCTION("""COMPUTED_VALUE"""),"https://drive.google.com/file/d/18MKrE60w_0lJ-J1mNNQ1EiEq8mPnhJsx/view?usp=drivesdk")</f>
        <v>https://drive.google.com/file/d/18MKrE60w_0lJ-J1mNNQ1EiEq8mPnhJsx/view?usp=drivesdk</v>
      </c>
    </row>
    <row r="321">
      <c r="A321" s="3">
        <f>IFERROR(__xludf.DUMMYFUNCTION("""COMPUTED_VALUE"""),1667.0)</f>
        <v>1667</v>
      </c>
      <c r="B321" s="11">
        <f>IFERROR(__xludf.DUMMYFUNCTION("""COMPUTED_VALUE"""),45999.820411168985)</f>
        <v>45999.82041</v>
      </c>
      <c r="C321" s="3" t="str">
        <f>IFERROR(__xludf.DUMMYFUNCTION("""COMPUTED_VALUE"""),"ชั้นปีที่ 4")</f>
        <v>ชั้นปีที่ 4</v>
      </c>
      <c r="D321" s="3" t="str">
        <f>IFERROR(__xludf.DUMMYFUNCTION("""COMPUTED_VALUE"""),"6503729")</f>
        <v>6503729</v>
      </c>
      <c r="E321" s="3" t="str">
        <f>IFERROR(__xludf.DUMMYFUNCTION("""COMPUTED_VALUE"""),"39")</f>
        <v>39</v>
      </c>
      <c r="F321" s="3" t="str">
        <f>IFERROR(__xludf.DUMMYFUNCTION("""COMPUTED_VALUE"""),"นพอ.พรมนัส ค้าขาย")</f>
        <v>นพอ.พรมนัส ค้าขาย</v>
      </c>
      <c r="G32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1" s="3" t="str">
        <f>IFERROR(__xludf.DUMMYFUNCTION("""COMPUTED_VALUE"""),"เฝ้าระวังและคัดกรองเบาหวานและความดันโลหิตสูง")</f>
        <v>เฝ้าระวังและคัดกรองเบาหวานและความดันโลหิตสูง</v>
      </c>
      <c r="I321" s="3" t="str">
        <f>IFERROR(__xludf.DUMMYFUNCTION("""COMPUTED_VALUE"""),"วัดสุวรรณาราม ฉะเชิงเทรา")</f>
        <v>วัดสุวรรณาราม ฉะเชิงเทรา</v>
      </c>
      <c r="J321" s="12">
        <f>IFERROR(__xludf.DUMMYFUNCTION("""COMPUTED_VALUE"""),45942.0)</f>
        <v>45942</v>
      </c>
      <c r="K321" s="3" t="str">
        <f>IFERROR(__xludf.DUMMYFUNCTION("""COMPUTED_VALUE"""),"0800-1400")</f>
        <v>0800-1400</v>
      </c>
      <c r="L321" s="3">
        <f>IFERROR(__xludf.DUMMYFUNCTION("""COMPUTED_VALUE"""),6.0)</f>
        <v>6</v>
      </c>
      <c r="M321" s="3" t="str">
        <f>IFERROR(__xludf.DUMMYFUNCTION("""COMPUTED_VALUE"""),"คุณเกสร เจริญสิทธิสงค์")</f>
        <v>คุณเกสร เจริญสิทธิสงค์</v>
      </c>
      <c r="N321" s="14" t="str">
        <f>IFERROR(__xludf.DUMMYFUNCTION("""COMPUTED_VALUE"""),"https://lh5.googleusercontent.com/d/1bw0PqyWWUE83MbT3vR_ayu8msXOfPUJO")</f>
        <v>https://lh5.googleusercontent.com/d/1bw0PqyWWUE83MbT3vR_ayu8msXOfPUJO</v>
      </c>
      <c r="O321" s="14" t="str">
        <f>IFERROR(__xludf.DUMMYFUNCTION("""COMPUTED_VALUE"""),"https://drive.google.com/file/d/1riLxHAm3L2zUUxlpRyvQdyrVHwYY4y7v/view?usp=drivesdk")</f>
        <v>https://drive.google.com/file/d/1riLxHAm3L2zUUxlpRyvQdyrVHwYY4y7v/view?usp=drivesdk</v>
      </c>
    </row>
    <row r="322">
      <c r="A322" s="3">
        <f>IFERROR(__xludf.DUMMYFUNCTION("""COMPUTED_VALUE"""),1670.0)</f>
        <v>1670</v>
      </c>
      <c r="B322" s="11">
        <f>IFERROR(__xludf.DUMMYFUNCTION("""COMPUTED_VALUE"""),45999.82133927084)</f>
        <v>45999.82134</v>
      </c>
      <c r="C322" s="3" t="str">
        <f>IFERROR(__xludf.DUMMYFUNCTION("""COMPUTED_VALUE"""),"ชั้นปีที่ 4")</f>
        <v>ชั้นปีที่ 4</v>
      </c>
      <c r="D322" s="3" t="str">
        <f>IFERROR(__xludf.DUMMYFUNCTION("""COMPUTED_VALUE"""),"6503725")</f>
        <v>6503725</v>
      </c>
      <c r="E322" s="3" t="str">
        <f>IFERROR(__xludf.DUMMYFUNCTION("""COMPUTED_VALUE"""),"35")</f>
        <v>35</v>
      </c>
      <c r="F322" s="3" t="str">
        <f>IFERROR(__xludf.DUMMYFUNCTION("""COMPUTED_VALUE"""),"นพอ.ปัทมาภรณ์ ดวงดี")</f>
        <v>นพอ.ปัทมาภรณ์ ดวงดี</v>
      </c>
      <c r="G32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2" s="3" t="str">
        <f>IFERROR(__xludf.DUMMYFUNCTION("""COMPUTED_VALUE"""),"ร่วมโครงการคัดกรองสุขภาพเชิงรุกกำลังพล ทอ.")</f>
        <v>ร่วมโครงการคัดกรองสุขภาพเชิงรุกกำลังพล ทอ.</v>
      </c>
      <c r="I322" s="3" t="str">
        <f>IFERROR(__xludf.DUMMYFUNCTION("""COMPUTED_VALUE"""),"สโมสรทหารอากาศชั้นประทวน")</f>
        <v>สโมสรทหารอากาศชั้นประทวน</v>
      </c>
      <c r="J322" s="12">
        <f>IFERROR(__xludf.DUMMYFUNCTION("""COMPUTED_VALUE"""),45854.0)</f>
        <v>45854</v>
      </c>
      <c r="K322" s="3" t="str">
        <f>IFERROR(__xludf.DUMMYFUNCTION("""COMPUTED_VALUE"""),"0700-1300")</f>
        <v>0700-1300</v>
      </c>
      <c r="L322" s="3">
        <f>IFERROR(__xludf.DUMMYFUNCTION("""COMPUTED_VALUE"""),6.0)</f>
        <v>6</v>
      </c>
      <c r="M322" s="3" t="str">
        <f>IFERROR(__xludf.DUMMYFUNCTION("""COMPUTED_VALUE"""),"น.ต.หญิง ตวงทิพย์ ลดาวัลย์")</f>
        <v>น.ต.หญิง ตวงทิพย์ ลดาวัลย์</v>
      </c>
      <c r="N322" s="14" t="str">
        <f>IFERROR(__xludf.DUMMYFUNCTION("""COMPUTED_VALUE"""),"https://lh5.googleusercontent.com/d/1-GCZDi57FDrtydHpHAomzy_6-5x7dePo")</f>
        <v>https://lh5.googleusercontent.com/d/1-GCZDi57FDrtydHpHAomzy_6-5x7dePo</v>
      </c>
      <c r="O322" s="3"/>
    </row>
    <row r="323">
      <c r="A323" s="3">
        <f>IFERROR(__xludf.DUMMYFUNCTION("""COMPUTED_VALUE"""),1675.0)</f>
        <v>1675</v>
      </c>
      <c r="B323" s="11">
        <f>IFERROR(__xludf.DUMMYFUNCTION("""COMPUTED_VALUE"""),45999.82334149306)</f>
        <v>45999.82334</v>
      </c>
      <c r="C323" s="3" t="str">
        <f>IFERROR(__xludf.DUMMYFUNCTION("""COMPUTED_VALUE"""),"ชั้นปีที่ 4")</f>
        <v>ชั้นปีที่ 4</v>
      </c>
      <c r="D323" s="3" t="str">
        <f>IFERROR(__xludf.DUMMYFUNCTION("""COMPUTED_VALUE"""),"6503697")</f>
        <v>6503697</v>
      </c>
      <c r="E323" s="3" t="str">
        <f>IFERROR(__xludf.DUMMYFUNCTION("""COMPUTED_VALUE"""),"8")</f>
        <v>8</v>
      </c>
      <c r="F323" s="3" t="str">
        <f>IFERROR(__xludf.DUMMYFUNCTION("""COMPUTED_VALUE"""),"นพอ.จารวี จี๋จันทร์")</f>
        <v>นพอ.จารวี จี๋จันทร์</v>
      </c>
      <c r="G3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3" s="3" t="str">
        <f>IFERROR(__xludf.DUMMYFUNCTION("""COMPUTED_VALUE"""),"โครงการคัดกรองสุขภาพเชิงรุกกำลังพล ทอ.")</f>
        <v>โครงการคัดกรองสุขภาพเชิงรุกกำลังพล ทอ.</v>
      </c>
      <c r="I323" s="3" t="str">
        <f>IFERROR(__xludf.DUMMYFUNCTION("""COMPUTED_VALUE"""),"สโมสรทหารอากาศชั้นประทวน")</f>
        <v>สโมสรทหารอากาศชั้นประทวน</v>
      </c>
      <c r="J323" s="12">
        <f>IFERROR(__xludf.DUMMYFUNCTION("""COMPUTED_VALUE"""),45854.0)</f>
        <v>45854</v>
      </c>
      <c r="K323" s="3" t="str">
        <f>IFERROR(__xludf.DUMMYFUNCTION("""COMPUTED_VALUE"""),"0700-1200")</f>
        <v>0700-1200</v>
      </c>
      <c r="L323" s="3">
        <f>IFERROR(__xludf.DUMMYFUNCTION("""COMPUTED_VALUE"""),6.0)</f>
        <v>6</v>
      </c>
      <c r="M323" s="3" t="str">
        <f>IFERROR(__xludf.DUMMYFUNCTION("""COMPUTED_VALUE"""),"น.ต.หญิง ตวงทิพย์ ลดาวัลย์")</f>
        <v>น.ต.หญิง ตวงทิพย์ ลดาวัลย์</v>
      </c>
      <c r="N323" s="14" t="str">
        <f>IFERROR(__xludf.DUMMYFUNCTION("""COMPUTED_VALUE"""),"https://lh5.googleusercontent.com/d/1fAMuazvu2zrdBAlLT1ON1QLtA5frDMXE")</f>
        <v>https://lh5.googleusercontent.com/d/1fAMuazvu2zrdBAlLT1ON1QLtA5frDMXE</v>
      </c>
      <c r="O323" s="3"/>
    </row>
    <row r="324">
      <c r="A324" s="3">
        <f>IFERROR(__xludf.DUMMYFUNCTION("""COMPUTED_VALUE"""),1692.0)</f>
        <v>1692</v>
      </c>
      <c r="B324" s="11">
        <f>IFERROR(__xludf.DUMMYFUNCTION("""COMPUTED_VALUE"""),45999.83630621528)</f>
        <v>45999.83631</v>
      </c>
      <c r="C324" s="3" t="str">
        <f>IFERROR(__xludf.DUMMYFUNCTION("""COMPUTED_VALUE"""),"ชั้นปีที่ 4")</f>
        <v>ชั้นปีที่ 4</v>
      </c>
      <c r="D324" s="3" t="str">
        <f>IFERROR(__xludf.DUMMYFUNCTION("""COMPUTED_VALUE"""),"6503697")</f>
        <v>6503697</v>
      </c>
      <c r="E324" s="3" t="str">
        <f>IFERROR(__xludf.DUMMYFUNCTION("""COMPUTED_VALUE"""),"8")</f>
        <v>8</v>
      </c>
      <c r="F324" s="3" t="str">
        <f>IFERROR(__xludf.DUMMYFUNCTION("""COMPUTED_VALUE"""),"นพอ.จารวี จี๋จันทร์")</f>
        <v>นพอ.จารวี จี๋จันทร์</v>
      </c>
      <c r="G32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4" s="3" t="str">
        <f>IFERROR(__xludf.DUMMYFUNCTION("""COMPUTED_VALUE"""),"โครงการคัดกรองสุขภาพเชิงรุกกำลังพล ทอ.")</f>
        <v>โครงการคัดกรองสุขภาพเชิงรุกกำลังพล ทอ.</v>
      </c>
      <c r="I324" s="3" t="str">
        <f>IFERROR(__xludf.DUMMYFUNCTION("""COMPUTED_VALUE"""),"สโมสรทหารอากาศชั้นประทวน")</f>
        <v>สโมสรทหารอากาศชั้นประทวน</v>
      </c>
      <c r="J324" s="12">
        <f>IFERROR(__xludf.DUMMYFUNCTION("""COMPUTED_VALUE"""),45854.0)</f>
        <v>45854</v>
      </c>
      <c r="K324" s="3" t="str">
        <f>IFERROR(__xludf.DUMMYFUNCTION("""COMPUTED_VALUE"""),"0700-1200")</f>
        <v>0700-1200</v>
      </c>
      <c r="L324" s="3">
        <f>IFERROR(__xludf.DUMMYFUNCTION("""COMPUTED_VALUE"""),6.0)</f>
        <v>6</v>
      </c>
      <c r="M324" s="3" t="str">
        <f>IFERROR(__xludf.DUMMYFUNCTION("""COMPUTED_VALUE"""),"น.ต.หญิง ตวงทิพย์ ลดาวัลย์")</f>
        <v>น.ต.หญิง ตวงทิพย์ ลดาวัลย์</v>
      </c>
      <c r="N324" s="14" t="str">
        <f>IFERROR(__xludf.DUMMYFUNCTION("""COMPUTED_VALUE"""),"https://lh5.googleusercontent.com/d/1gNFeGv52ocb5VqTJfswc73vB076nPMS9")</f>
        <v>https://lh5.googleusercontent.com/d/1gNFeGv52ocb5VqTJfswc73vB076nPMS9</v>
      </c>
      <c r="O324" s="14" t="str">
        <f>IFERROR(__xludf.DUMMYFUNCTION("""COMPUTED_VALUE"""),"https://drive.google.com/file/d/1DIM0VfNAUBR12Qk4E8QwNqvuY6Ku9s-H/view?usp=drivesdk")</f>
        <v>https://drive.google.com/file/d/1DIM0VfNAUBR12Qk4E8QwNqvuY6Ku9s-H/view?usp=drivesdk</v>
      </c>
    </row>
    <row r="325">
      <c r="A325" s="3">
        <f>IFERROR(__xludf.DUMMYFUNCTION("""COMPUTED_VALUE"""),1694.0)</f>
        <v>1694</v>
      </c>
      <c r="B325" s="11">
        <f>IFERROR(__xludf.DUMMYFUNCTION("""COMPUTED_VALUE"""),45999.837642071754)</f>
        <v>45999.83764</v>
      </c>
      <c r="C325" s="3" t="str">
        <f>IFERROR(__xludf.DUMMYFUNCTION("""COMPUTED_VALUE"""),"ชั้นปีที่ 4")</f>
        <v>ชั้นปีที่ 4</v>
      </c>
      <c r="D325" s="3" t="str">
        <f>IFERROR(__xludf.DUMMYFUNCTION("""COMPUTED_VALUE"""),"6503729")</f>
        <v>6503729</v>
      </c>
      <c r="E325" s="3" t="str">
        <f>IFERROR(__xludf.DUMMYFUNCTION("""COMPUTED_VALUE"""),"39")</f>
        <v>39</v>
      </c>
      <c r="F325" s="3" t="str">
        <f>IFERROR(__xludf.DUMMYFUNCTION("""COMPUTED_VALUE"""),"นพอ.พรมนัส ค้าขาย")</f>
        <v>นพอ.พรมนัส ค้าขาย</v>
      </c>
      <c r="G32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5" s="3" t="str">
        <f>IFERROR(__xludf.DUMMYFUNCTION("""COMPUTED_VALUE"""),"แผนซ้อมดับเพลิงและอพยพหนีไฟ ประจำปี2568")</f>
        <v>แผนซ้อมดับเพลิงและอพยพหนีไฟ ประจำปี2568</v>
      </c>
      <c r="I325" s="3" t="str">
        <f>IFERROR(__xludf.DUMMYFUNCTION("""COMPUTED_VALUE"""),"โรงเรียนสันติภาพ")</f>
        <v>โรงเรียนสันติภาพ</v>
      </c>
      <c r="J325" s="12">
        <f>IFERROR(__xludf.DUMMYFUNCTION("""COMPUTED_VALUE"""),45965.0)</f>
        <v>45965</v>
      </c>
      <c r="K325" s="3" t="str">
        <f>IFERROR(__xludf.DUMMYFUNCTION("""COMPUTED_VALUE"""),"0800-1200")</f>
        <v>0800-1200</v>
      </c>
      <c r="L325" s="3">
        <f>IFERROR(__xludf.DUMMYFUNCTION("""COMPUTED_VALUE"""),4.0)</f>
        <v>4</v>
      </c>
      <c r="M325" s="3" t="str">
        <f>IFERROR(__xludf.DUMMYFUNCTION("""COMPUTED_VALUE"""),"คุณเกสร เจริญสิทธิสงค์")</f>
        <v>คุณเกสร เจริญสิทธิสงค์</v>
      </c>
      <c r="N325" s="14" t="str">
        <f>IFERROR(__xludf.DUMMYFUNCTION("""COMPUTED_VALUE"""),"https://lh5.googleusercontent.com/d/1Y8gnt8IjdDGqgzeJEkaJMBcI4u4CzhQd")</f>
        <v>https://lh5.googleusercontent.com/d/1Y8gnt8IjdDGqgzeJEkaJMBcI4u4CzhQd</v>
      </c>
      <c r="O325" s="14" t="str">
        <f>IFERROR(__xludf.DUMMYFUNCTION("""COMPUTED_VALUE"""),"https://drive.google.com/file/d/1mnSGkefzb2N2D-7WA8JvIUjJNwbFh0UB/view?usp=drivesdk")</f>
        <v>https://drive.google.com/file/d/1mnSGkefzb2N2D-7WA8JvIUjJNwbFh0UB/view?usp=drivesdk</v>
      </c>
    </row>
    <row r="326">
      <c r="A326" s="3">
        <f>IFERROR(__xludf.DUMMYFUNCTION("""COMPUTED_VALUE"""),1697.0)</f>
        <v>1697</v>
      </c>
      <c r="B326" s="11">
        <f>IFERROR(__xludf.DUMMYFUNCTION("""COMPUTED_VALUE"""),45999.840762789354)</f>
        <v>45999.84076</v>
      </c>
      <c r="C326" s="3" t="str">
        <f>IFERROR(__xludf.DUMMYFUNCTION("""COMPUTED_VALUE"""),"ชั้นปีที่ 4")</f>
        <v>ชั้นปีที่ 4</v>
      </c>
      <c r="D326" s="3" t="str">
        <f>IFERROR(__xludf.DUMMYFUNCTION("""COMPUTED_VALUE"""),"6503729")</f>
        <v>6503729</v>
      </c>
      <c r="E326" s="3" t="str">
        <f>IFERROR(__xludf.DUMMYFUNCTION("""COMPUTED_VALUE"""),"39")</f>
        <v>39</v>
      </c>
      <c r="F326" s="3" t="str">
        <f>IFERROR(__xludf.DUMMYFUNCTION("""COMPUTED_VALUE"""),"นพอ.พรมนัส ค้าขาย")</f>
        <v>นพอ.พรมนัส ค้าขาย</v>
      </c>
      <c r="G32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6" s="3" t="str">
        <f>IFERROR(__xludf.DUMMYFUNCTION("""COMPUTED_VALUE"""),"วันรักต้นไม้ประจำปีของของชาติ")</f>
        <v>วันรักต้นไม้ประจำปีของของชาติ</v>
      </c>
      <c r="I326" s="3" t="str">
        <f>IFERROR(__xludf.DUMMYFUNCTION("""COMPUTED_VALUE"""),"รพ.สต.บางตีนเป็ด")</f>
        <v>รพ.สต.บางตีนเป็ด</v>
      </c>
      <c r="J326" s="12">
        <f>IFERROR(__xludf.DUMMYFUNCTION("""COMPUTED_VALUE"""),45949.0)</f>
        <v>45949</v>
      </c>
      <c r="K326" s="3" t="str">
        <f>IFERROR(__xludf.DUMMYFUNCTION("""COMPUTED_VALUE"""),"0800-1200")</f>
        <v>0800-1200</v>
      </c>
      <c r="L326" s="3">
        <f>IFERROR(__xludf.DUMMYFUNCTION("""COMPUTED_VALUE"""),4.0)</f>
        <v>4</v>
      </c>
      <c r="M326" s="3" t="str">
        <f>IFERROR(__xludf.DUMMYFUNCTION("""COMPUTED_VALUE"""),"คุณเกสร เจริญสิทธิสงค์")</f>
        <v>คุณเกสร เจริญสิทธิสงค์</v>
      </c>
      <c r="N326" s="14" t="str">
        <f>IFERROR(__xludf.DUMMYFUNCTION("""COMPUTED_VALUE"""),"https://lh5.googleusercontent.com/d/139wld_iumNLlxPd5m_wm4rRRcSghSNUh")</f>
        <v>https://lh5.googleusercontent.com/d/139wld_iumNLlxPd5m_wm4rRRcSghSNUh</v>
      </c>
      <c r="O326" s="3"/>
    </row>
    <row r="327">
      <c r="A327" s="3">
        <f>IFERROR(__xludf.DUMMYFUNCTION("""COMPUTED_VALUE"""),1707.0)</f>
        <v>1707</v>
      </c>
      <c r="B327" s="11">
        <f>IFERROR(__xludf.DUMMYFUNCTION("""COMPUTED_VALUE"""),45999.848059641205)</f>
        <v>45999.84806</v>
      </c>
      <c r="C327" s="3" t="str">
        <f>IFERROR(__xludf.DUMMYFUNCTION("""COMPUTED_VALUE"""),"ชั้นปีที่ 4")</f>
        <v>ชั้นปีที่ 4</v>
      </c>
      <c r="D327" s="3" t="str">
        <f>IFERROR(__xludf.DUMMYFUNCTION("""COMPUTED_VALUE"""),"6503745")</f>
        <v>6503745</v>
      </c>
      <c r="E327" s="3" t="str">
        <f>IFERROR(__xludf.DUMMYFUNCTION("""COMPUTED_VALUE"""),"55")</f>
        <v>55</v>
      </c>
      <c r="F327" s="3" t="str">
        <f>IFERROR(__xludf.DUMMYFUNCTION("""COMPUTED_VALUE"""),"นพอ.ศิริขวัญ วามะลุน")</f>
        <v>นพอ.ศิริขวัญ วามะลุน</v>
      </c>
      <c r="G32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7" s="3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27" s="3" t="str">
        <f>IFERROR(__xludf.DUMMYFUNCTION("""COMPUTED_VALUE"""),"หมู่1 ต.บางตีนเป็ด จ.ฉะเชิงเทรา")</f>
        <v>หมู่1 ต.บางตีนเป็ด จ.ฉะเชิงเทรา</v>
      </c>
      <c r="J327" s="12">
        <f>IFERROR(__xludf.DUMMYFUNCTION("""COMPUTED_VALUE"""),45949.0)</f>
        <v>45949</v>
      </c>
      <c r="K327" s="3" t="str">
        <f>IFERROR(__xludf.DUMMYFUNCTION("""COMPUTED_VALUE"""),"0800-1200")</f>
        <v>0800-1200</v>
      </c>
      <c r="L327" s="3">
        <f>IFERROR(__xludf.DUMMYFUNCTION("""COMPUTED_VALUE"""),4.0)</f>
        <v>4</v>
      </c>
      <c r="M327" s="3" t="str">
        <f>IFERROR(__xludf.DUMMYFUNCTION("""COMPUTED_VALUE"""),"คุณเกสร เจริญสิทธิสงค์")</f>
        <v>คุณเกสร เจริญสิทธิสงค์</v>
      </c>
      <c r="N327" s="14" t="str">
        <f>IFERROR(__xludf.DUMMYFUNCTION("""COMPUTED_VALUE"""),"https://lh5.googleusercontent.com/d/1vIgFfYYqpyAiBJUvzn1rFGTi2_q7-5Ie")</f>
        <v>https://lh5.googleusercontent.com/d/1vIgFfYYqpyAiBJUvzn1rFGTi2_q7-5Ie</v>
      </c>
      <c r="O327" s="14" t="str">
        <f>IFERROR(__xludf.DUMMYFUNCTION("""COMPUTED_VALUE"""),"https://drive.google.com/file/d/1TzbBLPL3oZV0SBHMu-lDYN6DmGn9DDZo/view?usp=drivesdk")</f>
        <v>https://drive.google.com/file/d/1TzbBLPL3oZV0SBHMu-lDYN6DmGn9DDZo/view?usp=drivesdk</v>
      </c>
    </row>
    <row r="328">
      <c r="A328" s="3">
        <f>IFERROR(__xludf.DUMMYFUNCTION("""COMPUTED_VALUE"""),1708.0)</f>
        <v>1708</v>
      </c>
      <c r="B328" s="11">
        <f>IFERROR(__xludf.DUMMYFUNCTION("""COMPUTED_VALUE"""),45999.84900545139)</f>
        <v>45999.84901</v>
      </c>
      <c r="C328" s="3" t="str">
        <f>IFERROR(__xludf.DUMMYFUNCTION("""COMPUTED_VALUE"""),"ชั้นปีที่ 4")</f>
        <v>ชั้นปีที่ 4</v>
      </c>
      <c r="D328" s="3" t="str">
        <f>IFERROR(__xludf.DUMMYFUNCTION("""COMPUTED_VALUE"""),"6503716")</f>
        <v>6503716</v>
      </c>
      <c r="E328" s="3" t="str">
        <f>IFERROR(__xludf.DUMMYFUNCTION("""COMPUTED_VALUE"""),"27")</f>
        <v>27</v>
      </c>
      <c r="F328" s="3" t="str">
        <f>IFERROR(__xludf.DUMMYFUNCTION("""COMPUTED_VALUE"""),"นพอ.ธันยาภัทร์ จิโรชนิธิกาญจน์")</f>
        <v>นพอ.ธันยาภัทร์ จิโรชนิธิกาญจน์</v>
      </c>
      <c r="G32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8" s="3" t="str">
        <f>IFERROR(__xludf.DUMMYFUNCTION("""COMPUTED_VALUE"""),"เฝ้าระวังและคัดกรองโรคเบาหวานความดันโลหิต")</f>
        <v>เฝ้าระวังและคัดกรองโรคเบาหวานความดันโลหิต</v>
      </c>
      <c r="I328" s="3" t="str">
        <f>IFERROR(__xludf.DUMMYFUNCTION("""COMPUTED_VALUE"""),"วัดสุวรรณาราม")</f>
        <v>วัดสุวรรณาราม</v>
      </c>
      <c r="J328" s="12">
        <f>IFERROR(__xludf.DUMMYFUNCTION("""COMPUTED_VALUE"""),45942.0)</f>
        <v>45942</v>
      </c>
      <c r="K328" s="3" t="str">
        <f>IFERROR(__xludf.DUMMYFUNCTION("""COMPUTED_VALUE"""),"0800-1200")</f>
        <v>0800-1200</v>
      </c>
      <c r="L328" s="3">
        <f>IFERROR(__xludf.DUMMYFUNCTION("""COMPUTED_VALUE"""),4.0)</f>
        <v>4</v>
      </c>
      <c r="M328" s="3" t="str">
        <f>IFERROR(__xludf.DUMMYFUNCTION("""COMPUTED_VALUE"""),"คุณเกสร เจริญสิทธิสงค์")</f>
        <v>คุณเกสร เจริญสิทธิสงค์</v>
      </c>
      <c r="N328" s="14" t="str">
        <f>IFERROR(__xludf.DUMMYFUNCTION("""COMPUTED_VALUE"""),"https://lh5.googleusercontent.com/d/1eh3NIv3wAKeytR2UoOOz2uqPlT9woTOE")</f>
        <v>https://lh5.googleusercontent.com/d/1eh3NIv3wAKeytR2UoOOz2uqPlT9woTOE</v>
      </c>
      <c r="O328" s="14" t="str">
        <f>IFERROR(__xludf.DUMMYFUNCTION("""COMPUTED_VALUE"""),"https://drive.google.com/file/d/1Fh_EIwMHnP8Rr9eHizpe0ugoFXcKc1l6/view?usp=drivesdk")</f>
        <v>https://drive.google.com/file/d/1Fh_EIwMHnP8Rr9eHizpe0ugoFXcKc1l6/view?usp=drivesdk</v>
      </c>
    </row>
    <row r="329">
      <c r="A329" s="3">
        <f>IFERROR(__xludf.DUMMYFUNCTION("""COMPUTED_VALUE"""),1709.0)</f>
        <v>1709</v>
      </c>
      <c r="B329" s="11">
        <f>IFERROR(__xludf.DUMMYFUNCTION("""COMPUTED_VALUE"""),45999.84995304398)</f>
        <v>45999.84995</v>
      </c>
      <c r="C329" s="3" t="str">
        <f>IFERROR(__xludf.DUMMYFUNCTION("""COMPUTED_VALUE"""),"ชั้นปีที่ 4")</f>
        <v>ชั้นปีที่ 4</v>
      </c>
      <c r="D329" s="3" t="str">
        <f>IFERROR(__xludf.DUMMYFUNCTION("""COMPUTED_VALUE"""),"6503725")</f>
        <v>6503725</v>
      </c>
      <c r="E329" s="3" t="str">
        <f>IFERROR(__xludf.DUMMYFUNCTION("""COMPUTED_VALUE"""),"35")</f>
        <v>35</v>
      </c>
      <c r="F329" s="3" t="str">
        <f>IFERROR(__xludf.DUMMYFUNCTION("""COMPUTED_VALUE"""),"นพอ.ปัทมาภรณ์ ดวงดี")</f>
        <v>นพอ.ปัทมาภรณ์ ดวงดี</v>
      </c>
      <c r="G329" s="3" t="str">
        <f>IFERROR(__xludf.DUMMYFUNCTION("""COMPUTED_VALUE"""),"ทำนุบำรุงศาสนสถาน")</f>
        <v>ทำนุบำรุงศาสนสถาน</v>
      </c>
      <c r="H329" s="3" t="str">
        <f>IFERROR(__xludf.DUMMYFUNCTION("""COMPUTED_VALUE"""),"ช่วยงานกฐินประจำปี 2568")</f>
        <v>ช่วยงานกฐินประจำปี 2568</v>
      </c>
      <c r="I329" s="3" t="str">
        <f>IFERROR(__xludf.DUMMYFUNCTION("""COMPUTED_VALUE"""),"วัดเที่ยงพิมลมุข")</f>
        <v>วัดเที่ยงพิมลมุข</v>
      </c>
      <c r="J329" s="12">
        <f>IFERROR(__xludf.DUMMYFUNCTION("""COMPUTED_VALUE"""),45963.0)</f>
        <v>45963</v>
      </c>
      <c r="K329" s="3" t="str">
        <f>IFERROR(__xludf.DUMMYFUNCTION("""COMPUTED_VALUE"""),"0800-1200")</f>
        <v>0800-1200</v>
      </c>
      <c r="L329" s="3">
        <f>IFERROR(__xludf.DUMMYFUNCTION("""COMPUTED_VALUE"""),4.0)</f>
        <v>4</v>
      </c>
      <c r="M329" s="3" t="str">
        <f>IFERROR(__xludf.DUMMYFUNCTION("""COMPUTED_VALUE"""),"นายเวคิน เจียงโหงว")</f>
        <v>นายเวคิน เจียงโหงว</v>
      </c>
      <c r="N329" s="14" t="str">
        <f>IFERROR(__xludf.DUMMYFUNCTION("""COMPUTED_VALUE"""),"https://lh5.googleusercontent.com/d/1XzuUUz-TWMpta9_xV8RxxGytbXytaJtw")</f>
        <v>https://lh5.googleusercontent.com/d/1XzuUUz-TWMpta9_xV8RxxGytbXytaJtw</v>
      </c>
      <c r="O329" s="14" t="str">
        <f>IFERROR(__xludf.DUMMYFUNCTION("""COMPUTED_VALUE"""),"https://drive.google.com/file/d/1yKiYKa8eAltALjGsbls5oYQNTG_RyfUB/view?usp=drivesdk")</f>
        <v>https://drive.google.com/file/d/1yKiYKa8eAltALjGsbls5oYQNTG_RyfUB/view?usp=drivesdk</v>
      </c>
    </row>
    <row r="330">
      <c r="A330" s="3">
        <f>IFERROR(__xludf.DUMMYFUNCTION("""COMPUTED_VALUE"""),1711.0)</f>
        <v>1711</v>
      </c>
      <c r="B330" s="11">
        <f>IFERROR(__xludf.DUMMYFUNCTION("""COMPUTED_VALUE"""),45999.85245629629)</f>
        <v>45999.85246</v>
      </c>
      <c r="C330" s="3" t="str">
        <f>IFERROR(__xludf.DUMMYFUNCTION("""COMPUTED_VALUE"""),"ชั้นปีที่ 4")</f>
        <v>ชั้นปีที่ 4</v>
      </c>
      <c r="D330" s="3" t="str">
        <f>IFERROR(__xludf.DUMMYFUNCTION("""COMPUTED_VALUE"""),"6503716")</f>
        <v>6503716</v>
      </c>
      <c r="E330" s="3" t="str">
        <f>IFERROR(__xludf.DUMMYFUNCTION("""COMPUTED_VALUE"""),"27")</f>
        <v>27</v>
      </c>
      <c r="F330" s="3" t="str">
        <f>IFERROR(__xludf.DUMMYFUNCTION("""COMPUTED_VALUE"""),"นพอ.ธันยาภัทร์ จิโรชนิธิกาญจน์")</f>
        <v>นพอ.ธันยาภัทร์ จิโรชนิธิกาญจน์</v>
      </c>
      <c r="G330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30" s="3" t="str">
        <f>IFERROR(__xludf.DUMMYFUNCTION("""COMPUTED_VALUE"""),"แผนการจัดซ้อมดับเพลิงและอพยพหนีไฟประจำปีแผนการจัดซ้อมดับเพลิงและอพยพหนีไฟประจำปี 2568 ")</f>
        <v>แผนการจัดซ้อมดับเพลิงและอพยพหนีไฟประจำปีแผนการจัดซ้อมดับเพลิงและอพยพหนีไฟประจำปี 2568 </v>
      </c>
      <c r="I330" s="3" t="str">
        <f>IFERROR(__xludf.DUMMYFUNCTION("""COMPUTED_VALUE"""),"โรงเรียนสันติภาพ")</f>
        <v>โรงเรียนสันติภาพ</v>
      </c>
      <c r="J330" s="12">
        <f>IFERROR(__xludf.DUMMYFUNCTION("""COMPUTED_VALUE"""),45965.0)</f>
        <v>45965</v>
      </c>
      <c r="K330" s="3" t="str">
        <f>IFERROR(__xludf.DUMMYFUNCTION("""COMPUTED_VALUE"""),"0800-1200")</f>
        <v>0800-1200</v>
      </c>
      <c r="L330" s="3">
        <f>IFERROR(__xludf.DUMMYFUNCTION("""COMPUTED_VALUE"""),4.0)</f>
        <v>4</v>
      </c>
      <c r="M330" s="3" t="str">
        <f>IFERROR(__xludf.DUMMYFUNCTION("""COMPUTED_VALUE"""),"คุณเกสร เจริญสิทธิสงค์")</f>
        <v>คุณเกสร เจริญสิทธิสงค์</v>
      </c>
      <c r="N330" s="14" t="str">
        <f>IFERROR(__xludf.DUMMYFUNCTION("""COMPUTED_VALUE"""),"https://lh5.googleusercontent.com/d/1CvQb-uWa86xuJ-ATjpNU_YK8nUDCtx_x")</f>
        <v>https://lh5.googleusercontent.com/d/1CvQb-uWa86xuJ-ATjpNU_YK8nUDCtx_x</v>
      </c>
      <c r="O330" s="14" t="str">
        <f>IFERROR(__xludf.DUMMYFUNCTION("""COMPUTED_VALUE"""),"https://drive.google.com/file/d/1IwoJFHo_Yj0HdsY7amah1oDyMU_41pCK/view?usp=drivesdk")</f>
        <v>https://drive.google.com/file/d/1IwoJFHo_Yj0HdsY7amah1oDyMU_41pCK/view?usp=drivesdk</v>
      </c>
    </row>
    <row r="331">
      <c r="A331" s="3">
        <f>IFERROR(__xludf.DUMMYFUNCTION("""COMPUTED_VALUE"""),1712.0)</f>
        <v>1712</v>
      </c>
      <c r="B331" s="11">
        <f>IFERROR(__xludf.DUMMYFUNCTION("""COMPUTED_VALUE"""),45999.85495027778)</f>
        <v>45999.85495</v>
      </c>
      <c r="C331" s="3" t="str">
        <f>IFERROR(__xludf.DUMMYFUNCTION("""COMPUTED_VALUE"""),"ชั้นปีที่ 4")</f>
        <v>ชั้นปีที่ 4</v>
      </c>
      <c r="D331" s="3" t="str">
        <f>IFERROR(__xludf.DUMMYFUNCTION("""COMPUTED_VALUE"""),"6503725")</f>
        <v>6503725</v>
      </c>
      <c r="E331" s="3" t="str">
        <f>IFERROR(__xludf.DUMMYFUNCTION("""COMPUTED_VALUE"""),"35")</f>
        <v>35</v>
      </c>
      <c r="F331" s="3" t="str">
        <f>IFERROR(__xludf.DUMMYFUNCTION("""COMPUTED_VALUE"""),"นพอ.ปัทมาภรณ์ ดวงดี")</f>
        <v>นพอ.ปัทมาภรณ์ ดวงดี</v>
      </c>
      <c r="G331" s="3" t="str">
        <f>IFERROR(__xludf.DUMMYFUNCTION("""COMPUTED_VALUE"""),"ทำนุบำรุงศาสนสถาน")</f>
        <v>ทำนุบำรุงศาสนสถาน</v>
      </c>
      <c r="H331" s="3" t="str">
        <f>IFERROR(__xludf.DUMMYFUNCTION("""COMPUTED_VALUE"""),"กวาดลานวัด")</f>
        <v>กวาดลานวัด</v>
      </c>
      <c r="I331" s="3" t="str">
        <f>IFERROR(__xludf.DUMMYFUNCTION("""COMPUTED_VALUE"""),"วัดเที่ยงพิมลมุข")</f>
        <v>วัดเที่ยงพิมลมุข</v>
      </c>
      <c r="J331" s="12">
        <f>IFERROR(__xludf.DUMMYFUNCTION("""COMPUTED_VALUE"""),45961.0)</f>
        <v>45961</v>
      </c>
      <c r="K331" s="3" t="str">
        <f>IFERROR(__xludf.DUMMYFUNCTION("""COMPUTED_VALUE"""),"0800-1200")</f>
        <v>0800-1200</v>
      </c>
      <c r="L331" s="3">
        <f>IFERROR(__xludf.DUMMYFUNCTION("""COMPUTED_VALUE"""),4.0)</f>
        <v>4</v>
      </c>
      <c r="M331" s="3" t="str">
        <f>IFERROR(__xludf.DUMMYFUNCTION("""COMPUTED_VALUE"""),"นายเวคิน เจียงโหงว")</f>
        <v>นายเวคิน เจียงโหงว</v>
      </c>
      <c r="N331" s="14" t="str">
        <f>IFERROR(__xludf.DUMMYFUNCTION("""COMPUTED_VALUE"""),"https://lh5.googleusercontent.com/d/1Kt07dPaG6D55YqrjPYiH1J9m4dCrClHu")</f>
        <v>https://lh5.googleusercontent.com/d/1Kt07dPaG6D55YqrjPYiH1J9m4dCrClHu</v>
      </c>
      <c r="O331" s="14" t="str">
        <f>IFERROR(__xludf.DUMMYFUNCTION("""COMPUTED_VALUE"""),"https://drive.google.com/file/d/1_sWFS1wRjd3jm6htmgaUJTAzl5xctDPN/view?usp=drivesdk")</f>
        <v>https://drive.google.com/file/d/1_sWFS1wRjd3jm6htmgaUJTAzl5xctDPN/view?usp=drivesdk</v>
      </c>
    </row>
    <row r="332">
      <c r="A332" s="3">
        <f>IFERROR(__xludf.DUMMYFUNCTION("""COMPUTED_VALUE"""),1713.0)</f>
        <v>1713</v>
      </c>
      <c r="B332" s="11">
        <f>IFERROR(__xludf.DUMMYFUNCTION("""COMPUTED_VALUE"""),45999.856008344905)</f>
        <v>45999.85601</v>
      </c>
      <c r="C332" s="3" t="str">
        <f>IFERROR(__xludf.DUMMYFUNCTION("""COMPUTED_VALUE"""),"ชั้นปีที่ 4")</f>
        <v>ชั้นปีที่ 4</v>
      </c>
      <c r="D332" s="3" t="str">
        <f>IFERROR(__xludf.DUMMYFUNCTION("""COMPUTED_VALUE"""),"6503752")</f>
        <v>6503752</v>
      </c>
      <c r="E332" s="3" t="str">
        <f>IFERROR(__xludf.DUMMYFUNCTION("""COMPUTED_VALUE"""),"62")</f>
        <v>62</v>
      </c>
      <c r="F332" s="3" t="str">
        <f>IFERROR(__xludf.DUMMYFUNCTION("""COMPUTED_VALUE"""),"นพอ.อนัญญา ขอประเสริฐสุข")</f>
        <v>นพอ.อนัญญา ขอประเสริฐสุข</v>
      </c>
      <c r="G33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32" s="3" t="str">
        <f>IFERROR(__xludf.DUMMYFUNCTION("""COMPUTED_VALUE"""),"ขัดลาน")</f>
        <v>ขัดลาน</v>
      </c>
      <c r="I332" s="3" t="str">
        <f>IFERROR(__xludf.DUMMYFUNCTION("""COMPUTED_VALUE"""),"รพ.สต.บางขวัญ")</f>
        <v>รพ.สต.บางขวัญ</v>
      </c>
      <c r="J332" s="12">
        <f>IFERROR(__xludf.DUMMYFUNCTION("""COMPUTED_VALUE"""),45950.0)</f>
        <v>45950</v>
      </c>
      <c r="K332" s="3" t="str">
        <f>IFERROR(__xludf.DUMMYFUNCTION("""COMPUTED_VALUE"""),"0800-1200")</f>
        <v>0800-1200</v>
      </c>
      <c r="L332" s="3">
        <f>IFERROR(__xludf.DUMMYFUNCTION("""COMPUTED_VALUE"""),4.0)</f>
        <v>4</v>
      </c>
      <c r="M332" s="3" t="str">
        <f>IFERROR(__xludf.DUMMYFUNCTION("""COMPUTED_VALUE"""),"นายเวคิน เจียโหงว")</f>
        <v>นายเวคิน เจียโหงว</v>
      </c>
      <c r="N332" s="14" t="str">
        <f>IFERROR(__xludf.DUMMYFUNCTION("""COMPUTED_VALUE"""),"https://lh5.googleusercontent.com/d/153wsiIB3DHhLg7xz-S2jXjB9osrcgO3s")</f>
        <v>https://lh5.googleusercontent.com/d/153wsiIB3DHhLg7xz-S2jXjB9osrcgO3s</v>
      </c>
      <c r="O332" s="14" t="str">
        <f>IFERROR(__xludf.DUMMYFUNCTION("""COMPUTED_VALUE"""),"https://drive.google.com/file/d/1dPSHMyYqlcZwyLnTgNsE8puB9WBDs3yE/view?usp=drivesdk")</f>
        <v>https://drive.google.com/file/d/1dPSHMyYqlcZwyLnTgNsE8puB9WBDs3yE/view?usp=drivesdk</v>
      </c>
    </row>
    <row r="333">
      <c r="A333" s="3">
        <f>IFERROR(__xludf.DUMMYFUNCTION("""COMPUTED_VALUE"""),1714.0)</f>
        <v>1714</v>
      </c>
      <c r="B333" s="11">
        <f>IFERROR(__xludf.DUMMYFUNCTION("""COMPUTED_VALUE"""),45999.85615400462)</f>
        <v>45999.85615</v>
      </c>
      <c r="C333" s="3" t="str">
        <f>IFERROR(__xludf.DUMMYFUNCTION("""COMPUTED_VALUE"""),"ชั้นปีที่ 4")</f>
        <v>ชั้นปีที่ 4</v>
      </c>
      <c r="D333" s="3" t="str">
        <f>IFERROR(__xludf.DUMMYFUNCTION("""COMPUTED_VALUE"""),"6503716")</f>
        <v>6503716</v>
      </c>
      <c r="E333" s="3" t="str">
        <f>IFERROR(__xludf.DUMMYFUNCTION("""COMPUTED_VALUE"""),"27")</f>
        <v>27</v>
      </c>
      <c r="F333" s="3" t="str">
        <f>IFERROR(__xludf.DUMMYFUNCTION("""COMPUTED_VALUE"""),"นพอ.ธันยาภัทร์ จิโรชนิธิกาญจน์")</f>
        <v>นพอ.ธันยาภัทร์ จิโรชนิธิกาญจน์</v>
      </c>
      <c r="G33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33" s="3" t="str">
        <f>IFERROR(__xludf.DUMMYFUNCTION("""COMPUTED_VALUE"""),"โครงการตรวจสุขภาพเคลื่อนที่")</f>
        <v>โครงการตรวจสุขภาพเคลื่อนที่</v>
      </c>
      <c r="I333" s="3" t="str">
        <f>IFERROR(__xludf.DUMMYFUNCTION("""COMPUTED_VALUE"""),"หมู่ 1 บางตีนเป็ด ฉะเชิงเทรา")</f>
        <v>หมู่ 1 บางตีนเป็ด ฉะเชิงเทรา</v>
      </c>
      <c r="J333" s="12">
        <f>IFERROR(__xludf.DUMMYFUNCTION("""COMPUTED_VALUE"""),45980.0)</f>
        <v>45980</v>
      </c>
      <c r="K333" s="3" t="str">
        <f>IFERROR(__xludf.DUMMYFUNCTION("""COMPUTED_VALUE"""),"0800-1200")</f>
        <v>0800-1200</v>
      </c>
      <c r="L333" s="3">
        <f>IFERROR(__xludf.DUMMYFUNCTION("""COMPUTED_VALUE"""),4.0)</f>
        <v>4</v>
      </c>
      <c r="M333" s="3" t="str">
        <f>IFERROR(__xludf.DUMMYFUNCTION("""COMPUTED_VALUE"""),"คุณเกสร เจริญสิทธิสงค์")</f>
        <v>คุณเกสร เจริญสิทธิสงค์</v>
      </c>
      <c r="N333" s="14" t="str">
        <f>IFERROR(__xludf.DUMMYFUNCTION("""COMPUTED_VALUE"""),"https://lh5.googleusercontent.com/d/1W8YipC62oXQ2gwYQfvL91sJq1dmRCsKe")</f>
        <v>https://lh5.googleusercontent.com/d/1W8YipC62oXQ2gwYQfvL91sJq1dmRCsKe</v>
      </c>
      <c r="O333" s="14" t="str">
        <f>IFERROR(__xludf.DUMMYFUNCTION("""COMPUTED_VALUE"""),"https://drive.google.com/file/d/15wjWKodQMoFRVSarpT9WVWX5cMjQ6dsq/view?usp=drivesdk")</f>
        <v>https://drive.google.com/file/d/15wjWKodQMoFRVSarpT9WVWX5cMjQ6dsq/view?usp=drivesdk</v>
      </c>
    </row>
    <row r="334">
      <c r="A334" s="3">
        <f>IFERROR(__xludf.DUMMYFUNCTION("""COMPUTED_VALUE"""),1722.0)</f>
        <v>1722</v>
      </c>
      <c r="B334" s="11">
        <f>IFERROR(__xludf.DUMMYFUNCTION("""COMPUTED_VALUE"""),45999.86536414352)</f>
        <v>45999.86536</v>
      </c>
      <c r="C334" s="3" t="str">
        <f>IFERROR(__xludf.DUMMYFUNCTION("""COMPUTED_VALUE"""),"ชั้นปีที่ 4")</f>
        <v>ชั้นปีที่ 4</v>
      </c>
      <c r="D334" s="3" t="str">
        <f>IFERROR(__xludf.DUMMYFUNCTION("""COMPUTED_VALUE"""),"6503732")</f>
        <v>6503732</v>
      </c>
      <c r="E334" s="3" t="str">
        <f>IFERROR(__xludf.DUMMYFUNCTION("""COMPUTED_VALUE"""),"42")</f>
        <v>42</v>
      </c>
      <c r="F334" s="3" t="str">
        <f>IFERROR(__xludf.DUMMYFUNCTION("""COMPUTED_VALUE"""),"นพอ.เพ็ชรไพลิน ปงคำเพย")</f>
        <v>นพอ.เพ็ชรไพลิน ปงคำเพย</v>
      </c>
      <c r="G334" s="3" t="str">
        <f>IFERROR(__xludf.DUMMYFUNCTION("""COMPUTED_VALUE"""),"ช่วยเหลืองานภายใน วพอ.")</f>
        <v>ช่วยเหลืองานภายใน วพอ.</v>
      </c>
      <c r="H334" s="3" t="str">
        <f>IFERROR(__xludf.DUMMYFUNCTION("""COMPUTED_VALUE"""),"ต้อนรับคณะการตรวจประเมินคุณภาพการศึกษาภายใน ประจำปีการศึกษา 2567")</f>
        <v>ต้อนรับคณะการตรวจประเมินคุณภาพการศึกษาภายใน ประจำปีการศึกษา 2567</v>
      </c>
      <c r="I334" s="3" t="str">
        <f>IFERROR(__xludf.DUMMYFUNCTION("""COMPUTED_VALUE"""),"ห้องฝึกปฏิบัติการจิตเวชหรอ")</f>
        <v>ห้องฝึกปฏิบัติการจิตเวชหรอ</v>
      </c>
      <c r="J334" s="12">
        <f>IFERROR(__xludf.DUMMYFUNCTION("""COMPUTED_VALUE"""),45916.0)</f>
        <v>45916</v>
      </c>
      <c r="K334" s="3" t="str">
        <f>IFERROR(__xludf.DUMMYFUNCTION("""COMPUTED_VALUE"""),"0800-1200")</f>
        <v>0800-1200</v>
      </c>
      <c r="L334" s="3">
        <f>IFERROR(__xludf.DUMMYFUNCTION("""COMPUTED_VALUE"""),4.0)</f>
        <v>4</v>
      </c>
      <c r="M334" s="3" t="str">
        <f>IFERROR(__xludf.DUMMYFUNCTION("""COMPUTED_VALUE"""),"ร.อ.หญิง วิชชา พรหมสาขา ณ สกลนคร")</f>
        <v>ร.อ.หญิง วิชชา พรหมสาขา ณ สกลนคร</v>
      </c>
      <c r="N334" s="14" t="str">
        <f>IFERROR(__xludf.DUMMYFUNCTION("""COMPUTED_VALUE"""),"https://lh5.googleusercontent.com/d/1X_bTPxGCB4LXuDMOSGMNdt-_GWmVw-r_")</f>
        <v>https://lh5.googleusercontent.com/d/1X_bTPxGCB4LXuDMOSGMNdt-_GWmVw-r_</v>
      </c>
      <c r="O334" s="3"/>
    </row>
    <row r="335">
      <c r="A335" s="3">
        <f>IFERROR(__xludf.DUMMYFUNCTION("""COMPUTED_VALUE"""),1726.0)</f>
        <v>1726</v>
      </c>
      <c r="B335" s="11">
        <f>IFERROR(__xludf.DUMMYFUNCTION("""COMPUTED_VALUE"""),45999.871244050926)</f>
        <v>45999.87124</v>
      </c>
      <c r="C335" s="3" t="str">
        <f>IFERROR(__xludf.DUMMYFUNCTION("""COMPUTED_VALUE"""),"ชั้นปีที่ 4")</f>
        <v>ชั้นปีที่ 4</v>
      </c>
      <c r="D335" s="3" t="str">
        <f>IFERROR(__xludf.DUMMYFUNCTION("""COMPUTED_VALUE"""),"6503732")</f>
        <v>6503732</v>
      </c>
      <c r="E335" s="3" t="str">
        <f>IFERROR(__xludf.DUMMYFUNCTION("""COMPUTED_VALUE"""),"42")</f>
        <v>42</v>
      </c>
      <c r="F335" s="3" t="str">
        <f>IFERROR(__xludf.DUMMYFUNCTION("""COMPUTED_VALUE"""),"นพอ.เพ็ชรไพลิน ปงคำเพย")</f>
        <v>นพอ.เพ็ชรไพลิน ปงคำเพย</v>
      </c>
      <c r="G3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5" s="3" t="str">
        <f>IFERROR(__xludf.DUMMYFUNCTION("""COMPUTED_VALUE"""),"ร่วมโครงการคัดกรองสุขภาพเชิงรุกกำลังร่วมโครงการคัดกรองสุขภาพเชิงรุกกำลังพลทอ.")</f>
        <v>ร่วมโครงการคัดกรองสุขภาพเชิงรุกกำลังร่วมโครงการคัดกรองสุขภาพเชิงรุกกำลังพลทอ.</v>
      </c>
      <c r="I335" s="3" t="str">
        <f>IFERROR(__xludf.DUMMYFUNCTION("""COMPUTED_VALUE"""),"สโมสรทหารอากาศชั้นประทวน")</f>
        <v>สโมสรทหารอากาศชั้นประทวน</v>
      </c>
      <c r="J335" s="12">
        <f>IFERROR(__xludf.DUMMYFUNCTION("""COMPUTED_VALUE"""),45854.0)</f>
        <v>45854</v>
      </c>
      <c r="K335" s="3" t="str">
        <f>IFERROR(__xludf.DUMMYFUNCTION("""COMPUTED_VALUE"""),"0700-1300")</f>
        <v>0700-1300</v>
      </c>
      <c r="L335" s="3">
        <f>IFERROR(__xludf.DUMMYFUNCTION("""COMPUTED_VALUE"""),6.0)</f>
        <v>6</v>
      </c>
      <c r="M335" s="3" t="str">
        <f>IFERROR(__xludf.DUMMYFUNCTION("""COMPUTED_VALUE"""),"น.ต.หญิง ตวงทิพย์ ลดาวัลย์")</f>
        <v>น.ต.หญิง ตวงทิพย์ ลดาวัลย์</v>
      </c>
      <c r="N335" s="14" t="str">
        <f>IFERROR(__xludf.DUMMYFUNCTION("""COMPUTED_VALUE"""),"https://lh5.googleusercontent.com/d/1H97FJf0OobC0TQB5jda9QQDKp5JrbUoH")</f>
        <v>https://lh5.googleusercontent.com/d/1H97FJf0OobC0TQB5jda9QQDKp5JrbUoH</v>
      </c>
      <c r="O335" s="14" t="str">
        <f>IFERROR(__xludf.DUMMYFUNCTION("""COMPUTED_VALUE"""),"https://drive.google.com/file/d/1UIUdQpFKwbkfIZ9gwLSbBwpRQHVuItr8/view?usp=drivesdk")</f>
        <v>https://drive.google.com/file/d/1UIUdQpFKwbkfIZ9gwLSbBwpRQHVuItr8/view?usp=drivesdk</v>
      </c>
    </row>
    <row r="336">
      <c r="A336" s="3">
        <f>IFERROR(__xludf.DUMMYFUNCTION("""COMPUTED_VALUE"""),1728.0)</f>
        <v>1728</v>
      </c>
      <c r="B336" s="11">
        <f>IFERROR(__xludf.DUMMYFUNCTION("""COMPUTED_VALUE"""),45999.873413726855)</f>
        <v>45999.87341</v>
      </c>
      <c r="C336" s="3" t="str">
        <f>IFERROR(__xludf.DUMMYFUNCTION("""COMPUTED_VALUE"""),"ชั้นปีที่ 4")</f>
        <v>ชั้นปีที่ 4</v>
      </c>
      <c r="D336" s="3" t="str">
        <f>IFERROR(__xludf.DUMMYFUNCTION("""COMPUTED_VALUE"""),"6503744")</f>
        <v>6503744</v>
      </c>
      <c r="E336" s="3" t="str">
        <f>IFERROR(__xludf.DUMMYFUNCTION("""COMPUTED_VALUE"""),"54")</f>
        <v>54</v>
      </c>
      <c r="F336" s="3" t="str">
        <f>IFERROR(__xludf.DUMMYFUNCTION("""COMPUTED_VALUE"""),"นพอ.ศศิประภา จันทร์กระจ่าง")</f>
        <v>นพอ.ศศิประภา จันทร์กระจ่าง</v>
      </c>
      <c r="G336" s="3" t="str">
        <f>IFERROR(__xludf.DUMMYFUNCTION("""COMPUTED_VALUE"""),"ช่วยเหลืองานภายใน วพอ.")</f>
        <v>ช่วยเหลืองานภายใน วพอ.</v>
      </c>
      <c r="H336" s="3" t="str">
        <f>IFERROR(__xludf.DUMMYFUNCTION("""COMPUTED_VALUE"""),"ช่วยขนของหอชาย")</f>
        <v>ช่วยขนของหอชาย</v>
      </c>
      <c r="I336" s="3" t="str">
        <f>IFERROR(__xludf.DUMMYFUNCTION("""COMPUTED_VALUE"""),"อาคารศูนย์การเรียนรู้")</f>
        <v>อาคารศูนย์การเรียนรู้</v>
      </c>
      <c r="J336" s="12">
        <f>IFERROR(__xludf.DUMMYFUNCTION("""COMPUTED_VALUE"""),45876.0)</f>
        <v>45876</v>
      </c>
      <c r="K336" s="3" t="str">
        <f>IFERROR(__xludf.DUMMYFUNCTION("""COMPUTED_VALUE"""),"1800-2000")</f>
        <v>1800-2000</v>
      </c>
      <c r="L336" s="3">
        <f>IFERROR(__xludf.DUMMYFUNCTION("""COMPUTED_VALUE"""),2.0)</f>
        <v>2</v>
      </c>
      <c r="M336" s="3" t="str">
        <f>IFERROR(__xludf.DUMMYFUNCTION("""COMPUTED_VALUE"""),"ร.อ.อนุชิต ทำจะดี")</f>
        <v>ร.อ.อนุชิต ทำจะดี</v>
      </c>
      <c r="N336" s="14" t="str">
        <f>IFERROR(__xludf.DUMMYFUNCTION("""COMPUTED_VALUE"""),"https://lh5.googleusercontent.com/d/1VInvNTz_H8gsgTO5ou5mgiM35wbtsNSD")</f>
        <v>https://lh5.googleusercontent.com/d/1VInvNTz_H8gsgTO5ou5mgiM35wbtsNSD</v>
      </c>
      <c r="O336" s="14" t="str">
        <f>IFERROR(__xludf.DUMMYFUNCTION("""COMPUTED_VALUE"""),"https://drive.google.com/file/d/1EnesW4nxHhcGbv3cUeLzkZ_bwDUF9x8T/view?usp=drivesdk")</f>
        <v>https://drive.google.com/file/d/1EnesW4nxHhcGbv3cUeLzkZ_bwDUF9x8T/view?usp=drivesdk</v>
      </c>
    </row>
    <row r="337">
      <c r="A337" s="3">
        <f>IFERROR(__xludf.DUMMYFUNCTION("""COMPUTED_VALUE"""),1732.0)</f>
        <v>1732</v>
      </c>
      <c r="B337" s="11">
        <f>IFERROR(__xludf.DUMMYFUNCTION("""COMPUTED_VALUE"""),45999.87675076389)</f>
        <v>45999.87675</v>
      </c>
      <c r="C337" s="3" t="str">
        <f>IFERROR(__xludf.DUMMYFUNCTION("""COMPUTED_VALUE"""),"ชั้นปีที่ 4")</f>
        <v>ชั้นปีที่ 4</v>
      </c>
      <c r="D337" s="3" t="str">
        <f>IFERROR(__xludf.DUMMYFUNCTION("""COMPUTED_VALUE"""),"6503694")</f>
        <v>6503694</v>
      </c>
      <c r="E337" s="3" t="str">
        <f>IFERROR(__xludf.DUMMYFUNCTION("""COMPUTED_VALUE"""),"5")</f>
        <v>5</v>
      </c>
      <c r="F337" s="3" t="str">
        <f>IFERROR(__xludf.DUMMYFUNCTION("""COMPUTED_VALUE"""),"กุลธิดา ชัยนิสงค์")</f>
        <v>กุลธิดา ชัยนิสงค์</v>
      </c>
      <c r="G337" s="3" t="str">
        <f>IFERROR(__xludf.DUMMYFUNCTION("""COMPUTED_VALUE"""),"ทำนุบำรุงศาสนสถาน")</f>
        <v>ทำนุบำรุงศาสนสถาน</v>
      </c>
      <c r="H337" s="3" t="str">
        <f>IFERROR(__xludf.DUMMYFUNCTION("""COMPUTED_VALUE"""),"ช่วยเก็บของงานกฐิน")</f>
        <v>ช่วยเก็บของงานกฐิน</v>
      </c>
      <c r="I337" s="3" t="str">
        <f>IFERROR(__xludf.DUMMYFUNCTION("""COMPUTED_VALUE"""),"วัดบางแก้ว")</f>
        <v>วัดบางแก้ว</v>
      </c>
      <c r="J337" s="12">
        <f>IFERROR(__xludf.DUMMYFUNCTION("""COMPUTED_VALUE"""),45942.0)</f>
        <v>45942</v>
      </c>
      <c r="K337" s="3" t="str">
        <f>IFERROR(__xludf.DUMMYFUNCTION("""COMPUTED_VALUE"""),"1200-1600")</f>
        <v>1200-1600</v>
      </c>
      <c r="L337" s="3">
        <f>IFERROR(__xludf.DUMMYFUNCTION("""COMPUTED_VALUE"""),4.0)</f>
        <v>4</v>
      </c>
      <c r="M337" s="3" t="str">
        <f>IFERROR(__xludf.DUMMYFUNCTION("""COMPUTED_VALUE"""),"นางสาวสาวารส ยิ้มเจริญ")</f>
        <v>นางสาวสาวารส ยิ้มเจริญ</v>
      </c>
      <c r="N337" s="3"/>
      <c r="O337" s="3"/>
    </row>
    <row r="338">
      <c r="A338" s="3">
        <f>IFERROR(__xludf.DUMMYFUNCTION("""COMPUTED_VALUE"""),1754.0)</f>
        <v>1754</v>
      </c>
      <c r="B338" s="11">
        <f>IFERROR(__xludf.DUMMYFUNCTION("""COMPUTED_VALUE"""),45999.89144736111)</f>
        <v>45999.89145</v>
      </c>
      <c r="C338" s="3" t="str">
        <f>IFERROR(__xludf.DUMMYFUNCTION("""COMPUTED_VALUE"""),"ชั้นปีที่ 4")</f>
        <v>ชั้นปีที่ 4</v>
      </c>
      <c r="D338" s="3" t="str">
        <f>IFERROR(__xludf.DUMMYFUNCTION("""COMPUTED_VALUE"""),"6503717")</f>
        <v>6503717</v>
      </c>
      <c r="E338" s="3" t="str">
        <f>IFERROR(__xludf.DUMMYFUNCTION("""COMPUTED_VALUE"""),"28")</f>
        <v>28</v>
      </c>
      <c r="F338" s="3" t="str">
        <f>IFERROR(__xludf.DUMMYFUNCTION("""COMPUTED_VALUE"""),"นพอ.ธีรภัทร อุดรพันธ์")</f>
        <v>นพอ.ธีรภัทร อุดรพันธ์</v>
      </c>
      <c r="G338" s="3" t="str">
        <f>IFERROR(__xludf.DUMMYFUNCTION("""COMPUTED_VALUE"""),"ทำนุบำรุงศาสนสถาน")</f>
        <v>ทำนุบำรุงศาสนสถาน</v>
      </c>
      <c r="H338" s="3" t="str">
        <f>IFERROR(__xludf.DUMMYFUNCTION("""COMPUTED_VALUE"""),"ทำความสะอาดวัดใหม่")</f>
        <v>ทำความสะอาดวัดใหม่</v>
      </c>
      <c r="I338" s="3" t="str">
        <f>IFERROR(__xludf.DUMMYFUNCTION("""COMPUTED_VALUE"""),"วัดใหม่บางขวัญ")</f>
        <v>วัดใหม่บางขวัญ</v>
      </c>
      <c r="J338" s="12">
        <f>IFERROR(__xludf.DUMMYFUNCTION("""COMPUTED_VALUE"""),45961.0)</f>
        <v>45961</v>
      </c>
      <c r="K338" s="3" t="str">
        <f>IFERROR(__xludf.DUMMYFUNCTION("""COMPUTED_VALUE"""),"0800-1600")</f>
        <v>0800-1600</v>
      </c>
      <c r="L338" s="3">
        <f>IFERROR(__xludf.DUMMYFUNCTION("""COMPUTED_VALUE"""),8.0)</f>
        <v>8</v>
      </c>
      <c r="M338" s="3" t="str">
        <f>IFERROR(__xludf.DUMMYFUNCTION("""COMPUTED_VALUE"""),"นายเวคิน เจียงโหงว")</f>
        <v>นายเวคิน เจียงโหงว</v>
      </c>
      <c r="N338" s="14" t="str">
        <f>IFERROR(__xludf.DUMMYFUNCTION("""COMPUTED_VALUE"""),"https://lh5.googleusercontent.com/d/1IXJ2qAQ4XrHphP1C-esdYisN3Sk7o01w")</f>
        <v>https://lh5.googleusercontent.com/d/1IXJ2qAQ4XrHphP1C-esdYisN3Sk7o01w</v>
      </c>
      <c r="O338" s="14" t="str">
        <f>IFERROR(__xludf.DUMMYFUNCTION("""COMPUTED_VALUE"""),"https://drive.google.com/file/d/1_G52xn7ncqn-c58WtpHvBrX0nC712Lot/view?usp=drivesdk")</f>
        <v>https://drive.google.com/file/d/1_G52xn7ncqn-c58WtpHvBrX0nC712Lot/view?usp=drivesdk</v>
      </c>
    </row>
    <row r="339">
      <c r="A339" s="3">
        <f>IFERROR(__xludf.DUMMYFUNCTION("""COMPUTED_VALUE"""),1755.0)</f>
        <v>1755</v>
      </c>
      <c r="B339" s="11">
        <f>IFERROR(__xludf.DUMMYFUNCTION("""COMPUTED_VALUE"""),45999.89434549769)</f>
        <v>45999.89435</v>
      </c>
      <c r="C339" s="3" t="str">
        <f>IFERROR(__xludf.DUMMYFUNCTION("""COMPUTED_VALUE"""),"ชั้นปีที่ 4")</f>
        <v>ชั้นปีที่ 4</v>
      </c>
      <c r="D339" s="3" t="str">
        <f>IFERROR(__xludf.DUMMYFUNCTION("""COMPUTED_VALUE"""),"6503725")</f>
        <v>6503725</v>
      </c>
      <c r="E339" s="3" t="str">
        <f>IFERROR(__xludf.DUMMYFUNCTION("""COMPUTED_VALUE"""),"35")</f>
        <v>35</v>
      </c>
      <c r="F339" s="3" t="str">
        <f>IFERROR(__xludf.DUMMYFUNCTION("""COMPUTED_VALUE"""),"นพอ.ปัทมาภรณ์ ดวงดี")</f>
        <v>นพอ.ปัทมาภรณ์ ดวงดี</v>
      </c>
      <c r="G339" s="3" t="str">
        <f>IFERROR(__xludf.DUMMYFUNCTION("""COMPUTED_VALUE"""),"ทำนุบำรุงศาสนสถาน")</f>
        <v>ทำนุบำรุงศาสนสถาน</v>
      </c>
      <c r="H339" s="3" t="str">
        <f>IFERROR(__xludf.DUMMYFUNCTION("""COMPUTED_VALUE"""),"กวาดลานวัด")</f>
        <v>กวาดลานวัด</v>
      </c>
      <c r="I339" s="3" t="str">
        <f>IFERROR(__xludf.DUMMYFUNCTION("""COMPUTED_VALUE"""),"วัดวิเวกอาคม")</f>
        <v>วัดวิเวกอาคม</v>
      </c>
      <c r="J339" s="12">
        <f>IFERROR(__xludf.DUMMYFUNCTION("""COMPUTED_VALUE"""),45955.0)</f>
        <v>45955</v>
      </c>
      <c r="K339" s="3" t="str">
        <f>IFERROR(__xludf.DUMMYFUNCTION("""COMPUTED_VALUE"""),"0800-1200")</f>
        <v>0800-1200</v>
      </c>
      <c r="L339" s="3">
        <f>IFERROR(__xludf.DUMMYFUNCTION("""COMPUTED_VALUE"""),4.0)</f>
        <v>4</v>
      </c>
      <c r="M339" s="3" t="str">
        <f>IFERROR(__xludf.DUMMYFUNCTION("""COMPUTED_VALUE"""),"นายเวคิน เจียงโหงว")</f>
        <v>นายเวคิน เจียงโหงว</v>
      </c>
      <c r="N339" s="14" t="str">
        <f>IFERROR(__xludf.DUMMYFUNCTION("""COMPUTED_VALUE"""),"https://lh5.googleusercontent.com/d/1HzqIgsKYu9qAGs7S1OJApab3M1hckLTO")</f>
        <v>https://lh5.googleusercontent.com/d/1HzqIgsKYu9qAGs7S1OJApab3M1hckLTO</v>
      </c>
      <c r="O339" s="14" t="str">
        <f>IFERROR(__xludf.DUMMYFUNCTION("""COMPUTED_VALUE"""),"https://drive.google.com/file/d/1HIBNMhAldeW5aI955_LyV2-KusMuSyjV/view?usp=drivesdk")</f>
        <v>https://drive.google.com/file/d/1HIBNMhAldeW5aI955_LyV2-KusMuSyjV/view?usp=drivesdk</v>
      </c>
    </row>
    <row r="340">
      <c r="A340" s="3">
        <f>IFERROR(__xludf.DUMMYFUNCTION("""COMPUTED_VALUE"""),1757.0)</f>
        <v>1757</v>
      </c>
      <c r="B340" s="11">
        <f>IFERROR(__xludf.DUMMYFUNCTION("""COMPUTED_VALUE"""),45999.89711833333)</f>
        <v>45999.89712</v>
      </c>
      <c r="C340" s="3" t="str">
        <f>IFERROR(__xludf.DUMMYFUNCTION("""COMPUTED_VALUE"""),"ชั้นปีที่ 4")</f>
        <v>ชั้นปีที่ 4</v>
      </c>
      <c r="D340" s="3" t="str">
        <f>IFERROR(__xludf.DUMMYFUNCTION("""COMPUTED_VALUE"""),"6503725")</f>
        <v>6503725</v>
      </c>
      <c r="E340" s="3" t="str">
        <f>IFERROR(__xludf.DUMMYFUNCTION("""COMPUTED_VALUE"""),"35")</f>
        <v>35</v>
      </c>
      <c r="F340" s="3" t="str">
        <f>IFERROR(__xludf.DUMMYFUNCTION("""COMPUTED_VALUE"""),"นพอ.ปัทมาภรณ์ ดวงดี")</f>
        <v>นพอ.ปัทมาภรณ์ ดวงดี</v>
      </c>
      <c r="G340" s="3" t="str">
        <f>IFERROR(__xludf.DUMMYFUNCTION("""COMPUTED_VALUE"""),"งานฟรีทั่วไป")</f>
        <v>งานฟรีทั่วไป</v>
      </c>
      <c r="H340" s="3" t="str">
        <f>IFERROR(__xludf.DUMMYFUNCTION("""COMPUTED_VALUE"""),"ทำความสะอาดโรงพยาบาลส่งเสริมสุขภาพตำบลบางขวัญ")</f>
        <v>ทำความสะอาดโรงพยาบาลส่งเสริมสุขภาพตำบลบางขวัญ</v>
      </c>
      <c r="I340" s="3" t="str">
        <f>IFERROR(__xludf.DUMMYFUNCTION("""COMPUTED_VALUE"""),"โรงพยาบาลส่งเสริมสุขภาพตำบลบางขวัญ")</f>
        <v>โรงพยาบาลส่งเสริมสุขภาพตำบลบางขวัญ</v>
      </c>
      <c r="J340" s="12">
        <f>IFERROR(__xludf.DUMMYFUNCTION("""COMPUTED_VALUE"""),45950.0)</f>
        <v>45950</v>
      </c>
      <c r="K340" s="3" t="str">
        <f>IFERROR(__xludf.DUMMYFUNCTION("""COMPUTED_VALUE"""),"0900-1000")</f>
        <v>0900-1000</v>
      </c>
      <c r="L340" s="3">
        <f>IFERROR(__xludf.DUMMYFUNCTION("""COMPUTED_VALUE"""),1.0)</f>
        <v>1</v>
      </c>
      <c r="M340" s="3" t="str">
        <f>IFERROR(__xludf.DUMMYFUNCTION("""COMPUTED_VALUE"""),"นายเวคิน เจียงโหงว")</f>
        <v>นายเวคิน เจียงโหงว</v>
      </c>
      <c r="N340" s="14" t="str">
        <f>IFERROR(__xludf.DUMMYFUNCTION("""COMPUTED_VALUE"""),"https://lh5.googleusercontent.com/d/1TsrZVRhoAQJ16fbAD9O6SJFYkrr2ga6f")</f>
        <v>https://lh5.googleusercontent.com/d/1TsrZVRhoAQJ16fbAD9O6SJFYkrr2ga6f</v>
      </c>
      <c r="O340" s="14" t="str">
        <f>IFERROR(__xludf.DUMMYFUNCTION("""COMPUTED_VALUE"""),"https://drive.google.com/file/d/1GuXsqf9ZwR5nl4Fn7a-YUoajp_uRyba4/view?usp=drivesdk")</f>
        <v>https://drive.google.com/file/d/1GuXsqf9ZwR5nl4Fn7a-YUoajp_uRyba4/view?usp=drivesdk</v>
      </c>
    </row>
    <row r="341">
      <c r="A341" s="3">
        <f>IFERROR(__xludf.DUMMYFUNCTION("""COMPUTED_VALUE"""),1761.0)</f>
        <v>1761</v>
      </c>
      <c r="B341" s="11">
        <f>IFERROR(__xludf.DUMMYFUNCTION("""COMPUTED_VALUE"""),45999.899826423614)</f>
        <v>45999.89983</v>
      </c>
      <c r="C341" s="3" t="str">
        <f>IFERROR(__xludf.DUMMYFUNCTION("""COMPUTED_VALUE"""),"ชั้นปีที่ 4")</f>
        <v>ชั้นปีที่ 4</v>
      </c>
      <c r="D341" s="3" t="str">
        <f>IFERROR(__xludf.DUMMYFUNCTION("""COMPUTED_VALUE"""),"6503724")</f>
        <v>6503724</v>
      </c>
      <c r="E341" s="3" t="str">
        <f>IFERROR(__xludf.DUMMYFUNCTION("""COMPUTED_VALUE"""),"34")</f>
        <v>34</v>
      </c>
      <c r="F341" s="3" t="str">
        <f>IFERROR(__xludf.DUMMYFUNCTION("""COMPUTED_VALUE"""),"นพอ.ปวีณ์สุดา ทรงศรี")</f>
        <v>นพอ.ปวีณ์สุดา ทรงศรี</v>
      </c>
      <c r="G34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41" s="3" t="str">
        <f>IFERROR(__xludf.DUMMYFUNCTION("""COMPUTED_VALUE"""),"บริจาคเลือด")</f>
        <v>บริจาคเลือด</v>
      </c>
      <c r="I341" s="3" t="str">
        <f>IFERROR(__xludf.DUMMYFUNCTION("""COMPUTED_VALUE"""),"สภากาชาดไทย")</f>
        <v>สภากาชาดไทย</v>
      </c>
      <c r="J341" s="12">
        <f>IFERROR(__xludf.DUMMYFUNCTION("""COMPUTED_VALUE"""),45990.0)</f>
        <v>45990</v>
      </c>
      <c r="K341" s="3" t="str">
        <f>IFERROR(__xludf.DUMMYFUNCTION("""COMPUTED_VALUE"""),"1500")</f>
        <v>1500</v>
      </c>
      <c r="L341" s="3">
        <f>IFERROR(__xludf.DUMMYFUNCTION("""COMPUTED_VALUE"""),8.0)</f>
        <v>8</v>
      </c>
      <c r="M341" s="3" t="str">
        <f>IFERROR(__xludf.DUMMYFUNCTION("""COMPUTED_VALUE"""),"นางสาวกนกลดา ทรงศรี")</f>
        <v>นางสาวกนกลดา ทรงศรี</v>
      </c>
      <c r="N341" s="14" t="str">
        <f>IFERROR(__xludf.DUMMYFUNCTION("""COMPUTED_VALUE"""),"https://lh5.googleusercontent.com/d/1FcdqooZOM4Qz9rzhoKyzt7eIBL6CECu2")</f>
        <v>https://lh5.googleusercontent.com/d/1FcdqooZOM4Qz9rzhoKyzt7eIBL6CECu2</v>
      </c>
      <c r="O341" s="14" t="str">
        <f>IFERROR(__xludf.DUMMYFUNCTION("""COMPUTED_VALUE"""),"https://drive.google.com/file/d/1gghGj2JV17PK7wR4jnQljMjMQTyga3EA/view?usp=drivesdk")</f>
        <v>https://drive.google.com/file/d/1gghGj2JV17PK7wR4jnQljMjMQTyga3EA/view?usp=drivesdk</v>
      </c>
    </row>
    <row r="342">
      <c r="A342" s="3">
        <f>IFERROR(__xludf.DUMMYFUNCTION("""COMPUTED_VALUE"""),1762.0)</f>
        <v>1762</v>
      </c>
      <c r="B342" s="11">
        <f>IFERROR(__xludf.DUMMYFUNCTION("""COMPUTED_VALUE"""),45999.90075850695)</f>
        <v>45999.90076</v>
      </c>
      <c r="C342" s="3" t="str">
        <f>IFERROR(__xludf.DUMMYFUNCTION("""COMPUTED_VALUE"""),"ชั้นปีที่ 4")</f>
        <v>ชั้นปีที่ 4</v>
      </c>
      <c r="D342" s="3" t="str">
        <f>IFERROR(__xludf.DUMMYFUNCTION("""COMPUTED_VALUE"""),"6503708")</f>
        <v>6503708</v>
      </c>
      <c r="E342" s="3" t="str">
        <f>IFERROR(__xludf.DUMMYFUNCTION("""COMPUTED_VALUE"""),"19")</f>
        <v>19</v>
      </c>
      <c r="F342" s="3" t="str">
        <f>IFERROR(__xludf.DUMMYFUNCTION("""COMPUTED_VALUE"""),"นพอ.ณัฐณิชา บุญยืนมั่น")</f>
        <v>นพอ.ณัฐณิชา บุญยืนมั่น</v>
      </c>
      <c r="G3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2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42" s="3" t="str">
        <f>IFERROR(__xludf.DUMMYFUNCTION("""COMPUTED_VALUE"""),"สโมสรทหารอากาศชั้นประทวน")</f>
        <v>สโมสรทหารอากาศชั้นประทวน</v>
      </c>
      <c r="J342" s="12">
        <f>IFERROR(__xludf.DUMMYFUNCTION("""COMPUTED_VALUE"""),45854.0)</f>
        <v>45854</v>
      </c>
      <c r="K342" s="3" t="str">
        <f>IFERROR(__xludf.DUMMYFUNCTION("""COMPUTED_VALUE"""),"0700-1300")</f>
        <v>0700-1300</v>
      </c>
      <c r="L342" s="3">
        <f>IFERROR(__xludf.DUMMYFUNCTION("""COMPUTED_VALUE"""),6.0)</f>
        <v>6</v>
      </c>
      <c r="M342" s="3" t="str">
        <f>IFERROR(__xludf.DUMMYFUNCTION("""COMPUTED_VALUE"""),"น.ต.หญิง ตวงทิพย์ ลดาวัลย์")</f>
        <v>น.ต.หญิง ตวงทิพย์ ลดาวัลย์</v>
      </c>
      <c r="N342" s="14" t="str">
        <f>IFERROR(__xludf.DUMMYFUNCTION("""COMPUTED_VALUE"""),"https://lh5.googleusercontent.com/d/1WQi0zCl8fK8xhEsHT21QwxMi_fmSRoTZ")</f>
        <v>https://lh5.googleusercontent.com/d/1WQi0zCl8fK8xhEsHT21QwxMi_fmSRoTZ</v>
      </c>
      <c r="O342" s="14" t="str">
        <f>IFERROR(__xludf.DUMMYFUNCTION("""COMPUTED_VALUE"""),"https://drive.google.com/file/d/14hejgTgmwrC3m5t2eChMJo938FoXKMXr/view?usp=drivesdk")</f>
        <v>https://drive.google.com/file/d/14hejgTgmwrC3m5t2eChMJo938FoXKMXr/view?usp=drivesdk</v>
      </c>
    </row>
    <row r="343">
      <c r="A343" s="3">
        <f>IFERROR(__xludf.DUMMYFUNCTION("""COMPUTED_VALUE"""),1765.0)</f>
        <v>1765</v>
      </c>
      <c r="B343" s="11">
        <f>IFERROR(__xludf.DUMMYFUNCTION("""COMPUTED_VALUE"""),45999.90221186343)</f>
        <v>45999.90221</v>
      </c>
      <c r="C343" s="3" t="str">
        <f>IFERROR(__xludf.DUMMYFUNCTION("""COMPUTED_VALUE"""),"ชั้นปีที่ 4")</f>
        <v>ชั้นปีที่ 4</v>
      </c>
      <c r="D343" s="3" t="str">
        <f>IFERROR(__xludf.DUMMYFUNCTION("""COMPUTED_VALUE"""),"6503724")</f>
        <v>6503724</v>
      </c>
      <c r="E343" s="3" t="str">
        <f>IFERROR(__xludf.DUMMYFUNCTION("""COMPUTED_VALUE"""),"34")</f>
        <v>34</v>
      </c>
      <c r="F343" s="3" t="str">
        <f>IFERROR(__xludf.DUMMYFUNCTION("""COMPUTED_VALUE"""),"นพอ.ปวีณ์สุดา ทรงศรี")</f>
        <v>นพอ.ปวีณ์สุดา ทรงศรี</v>
      </c>
      <c r="G3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3" s="3" t="str">
        <f>IFERROR(__xludf.DUMMYFUNCTION("""COMPUTED_VALUE"""),"คัดกรองสุขภาพเชิงรุก ทอ.")</f>
        <v>คัดกรองสุขภาพเชิงรุก ทอ.</v>
      </c>
      <c r="I343" s="3" t="str">
        <f>IFERROR(__xludf.DUMMYFUNCTION("""COMPUTED_VALUE"""),"สโมสรชั้นประทวน")</f>
        <v>สโมสรชั้นประทวน</v>
      </c>
      <c r="J343" s="12">
        <f>IFERROR(__xludf.DUMMYFUNCTION("""COMPUTED_VALUE"""),45854.0)</f>
        <v>45854</v>
      </c>
      <c r="K343" s="3" t="str">
        <f>IFERROR(__xludf.DUMMYFUNCTION("""COMPUTED_VALUE"""),"0800-1300")</f>
        <v>0800-1300</v>
      </c>
      <c r="L343" s="3">
        <f>IFERROR(__xludf.DUMMYFUNCTION("""COMPUTED_VALUE"""),6.0)</f>
        <v>6</v>
      </c>
      <c r="M343" s="3" t="str">
        <f>IFERROR(__xludf.DUMMYFUNCTION("""COMPUTED_VALUE"""),"น.ต.หญิง ตวงทิพย์ ลดาวัลย์")</f>
        <v>น.ต.หญิง ตวงทิพย์ ลดาวัลย์</v>
      </c>
      <c r="N343" s="14" t="str">
        <f>IFERROR(__xludf.DUMMYFUNCTION("""COMPUTED_VALUE"""),"https://lh5.googleusercontent.com/d/1k_xnFzwxT4itPkljuSr5t_jgrfjWDzzT")</f>
        <v>https://lh5.googleusercontent.com/d/1k_xnFzwxT4itPkljuSr5t_jgrfjWDzzT</v>
      </c>
      <c r="O343" s="14" t="str">
        <f>IFERROR(__xludf.DUMMYFUNCTION("""COMPUTED_VALUE"""),"https://drive.google.com/file/d/1PuZkAHxnTLSKQJin_ao4NiUB3xp8TPVS/view?usp=drivesdk")</f>
        <v>https://drive.google.com/file/d/1PuZkAHxnTLSKQJin_ao4NiUB3xp8TPVS/view?usp=drivesdk</v>
      </c>
    </row>
    <row r="344">
      <c r="A344" s="3">
        <f>IFERROR(__xludf.DUMMYFUNCTION("""COMPUTED_VALUE"""),1766.0)</f>
        <v>1766</v>
      </c>
      <c r="B344" s="11">
        <f>IFERROR(__xludf.DUMMYFUNCTION("""COMPUTED_VALUE"""),45999.90305614583)</f>
        <v>45999.90306</v>
      </c>
      <c r="C344" s="3" t="str">
        <f>IFERROR(__xludf.DUMMYFUNCTION("""COMPUTED_VALUE"""),"ชั้นปีที่ 4")</f>
        <v>ชั้นปีที่ 4</v>
      </c>
      <c r="D344" s="3" t="str">
        <f>IFERROR(__xludf.DUMMYFUNCTION("""COMPUTED_VALUE"""),"6503740")</f>
        <v>6503740</v>
      </c>
      <c r="E344" s="3" t="str">
        <f>IFERROR(__xludf.DUMMYFUNCTION("""COMPUTED_VALUE"""),"50")</f>
        <v>50</v>
      </c>
      <c r="F344" s="3" t="str">
        <f>IFERROR(__xludf.DUMMYFUNCTION("""COMPUTED_VALUE"""),"นพอ.วรวลัญช์ เกตุแก้ว")</f>
        <v>นพอ.วรวลัญช์ เกตุแก้ว</v>
      </c>
      <c r="G3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4" s="3" t="str">
        <f>IFERROR(__xludf.DUMMYFUNCTION("""COMPUTED_VALUE"""),"คัดกรองสุขภาพเชิงรุกทอ.")</f>
        <v>คัดกรองสุขภาพเชิงรุกทอ.</v>
      </c>
      <c r="I344" s="3" t="str">
        <f>IFERROR(__xludf.DUMMYFUNCTION("""COMPUTED_VALUE"""),"สโมสรชั้นประทวน")</f>
        <v>สโมสรชั้นประทวน</v>
      </c>
      <c r="J344" s="12">
        <f>IFERROR(__xludf.DUMMYFUNCTION("""COMPUTED_VALUE"""),45854.0)</f>
        <v>45854</v>
      </c>
      <c r="K344" s="3" t="str">
        <f>IFERROR(__xludf.DUMMYFUNCTION("""COMPUTED_VALUE"""),"0800-1300")</f>
        <v>0800-1300</v>
      </c>
      <c r="L344" s="3">
        <f>IFERROR(__xludf.DUMMYFUNCTION("""COMPUTED_VALUE"""),6.0)</f>
        <v>6</v>
      </c>
      <c r="M344" s="3" t="str">
        <f>IFERROR(__xludf.DUMMYFUNCTION("""COMPUTED_VALUE"""),"น.ต.หญิง ตวงทิพย์ ลดาวัลย์")</f>
        <v>น.ต.หญิง ตวงทิพย์ ลดาวัลย์</v>
      </c>
      <c r="N344" s="14" t="str">
        <f>IFERROR(__xludf.DUMMYFUNCTION("""COMPUTED_VALUE"""),"https://lh5.googleusercontent.com/d/1xEyKr61oDKRh_NR8sxIkGOY4IRcznaMV")</f>
        <v>https://lh5.googleusercontent.com/d/1xEyKr61oDKRh_NR8sxIkGOY4IRcznaMV</v>
      </c>
      <c r="O344" s="14" t="str">
        <f>IFERROR(__xludf.DUMMYFUNCTION("""COMPUTED_VALUE"""),"https://drive.google.com/file/d/1RrTr9AeAA27BvhTv5ALanTTOSOctkzFI/view?usp=drivesdk")</f>
        <v>https://drive.google.com/file/d/1RrTr9AeAA27BvhTv5ALanTTOSOctkzFI/view?usp=drivesdk</v>
      </c>
    </row>
    <row r="345">
      <c r="A345" s="3">
        <f>IFERROR(__xludf.DUMMYFUNCTION("""COMPUTED_VALUE"""),1768.0)</f>
        <v>1768</v>
      </c>
      <c r="B345" s="11">
        <f>IFERROR(__xludf.DUMMYFUNCTION("""COMPUTED_VALUE"""),45999.90401662037)</f>
        <v>45999.90402</v>
      </c>
      <c r="C345" s="3" t="str">
        <f>IFERROR(__xludf.DUMMYFUNCTION("""COMPUTED_VALUE"""),"ชั้นปีที่ 4")</f>
        <v>ชั้นปีที่ 4</v>
      </c>
      <c r="D345" s="3" t="str">
        <f>IFERROR(__xludf.DUMMYFUNCTION("""COMPUTED_VALUE"""),"6503694")</f>
        <v>6503694</v>
      </c>
      <c r="E345" s="3" t="str">
        <f>IFERROR(__xludf.DUMMYFUNCTION("""COMPUTED_VALUE"""),"5")</f>
        <v>5</v>
      </c>
      <c r="F345" s="3" t="str">
        <f>IFERROR(__xludf.DUMMYFUNCTION("""COMPUTED_VALUE"""),"นพอ.กุลธิดา ชัยนิสงค์")</f>
        <v>นพอ.กุลธิดา ชัยนิสงค์</v>
      </c>
      <c r="G345" s="3" t="str">
        <f>IFERROR(__xludf.DUMMYFUNCTION("""COMPUTED_VALUE"""),"ทำนุบำรุงศาสนสถาน")</f>
        <v>ทำนุบำรุงศาสนสถาน</v>
      </c>
      <c r="H345" s="3" t="str">
        <f>IFERROR(__xludf.DUMMYFUNCTION("""COMPUTED_VALUE"""),"ช่วยเก็บของงานกฐิน")</f>
        <v>ช่วยเก็บของงานกฐิน</v>
      </c>
      <c r="I345" s="3" t="str">
        <f>IFERROR(__xludf.DUMMYFUNCTION("""COMPUTED_VALUE"""),"วัดบางแก้ว")</f>
        <v>วัดบางแก้ว</v>
      </c>
      <c r="J345" s="12">
        <f>IFERROR(__xludf.DUMMYFUNCTION("""COMPUTED_VALUE"""),45942.0)</f>
        <v>45942</v>
      </c>
      <c r="K345" s="3" t="str">
        <f>IFERROR(__xludf.DUMMYFUNCTION("""COMPUTED_VALUE"""),"1200-1600")</f>
        <v>1200-1600</v>
      </c>
      <c r="L345" s="3">
        <f>IFERROR(__xludf.DUMMYFUNCTION("""COMPUTED_VALUE"""),4.0)</f>
        <v>4</v>
      </c>
      <c r="M345" s="3" t="str">
        <f>IFERROR(__xludf.DUMMYFUNCTION("""COMPUTED_VALUE"""),"นางสาวสาวารส ยิ้มเจริญ")</f>
        <v>นางสาวสาวารส ยิ้มเจริญ</v>
      </c>
      <c r="N345" s="14" t="str">
        <f>IFERROR(__xludf.DUMMYFUNCTION("""COMPUTED_VALUE"""),"https://lh5.googleusercontent.com/d/1EVdlT2ewbw9-sEXFuqlvobXr71qYdb-k")</f>
        <v>https://lh5.googleusercontent.com/d/1EVdlT2ewbw9-sEXFuqlvobXr71qYdb-k</v>
      </c>
      <c r="O345" s="3"/>
    </row>
    <row r="346">
      <c r="A346" s="3">
        <f>IFERROR(__xludf.DUMMYFUNCTION("""COMPUTED_VALUE"""),1771.0)</f>
        <v>1771</v>
      </c>
      <c r="B346" s="11">
        <f>IFERROR(__xludf.DUMMYFUNCTION("""COMPUTED_VALUE"""),45999.90602541667)</f>
        <v>45999.90603</v>
      </c>
      <c r="C346" s="3" t="str">
        <f>IFERROR(__xludf.DUMMYFUNCTION("""COMPUTED_VALUE"""),"ชั้นปีที่ 4")</f>
        <v>ชั้นปีที่ 4</v>
      </c>
      <c r="D346" s="3" t="str">
        <f>IFERROR(__xludf.DUMMYFUNCTION("""COMPUTED_VALUE"""),"6503724")</f>
        <v>6503724</v>
      </c>
      <c r="E346" s="3" t="str">
        <f>IFERROR(__xludf.DUMMYFUNCTION("""COMPUTED_VALUE"""),"34")</f>
        <v>34</v>
      </c>
      <c r="F346" s="3" t="str">
        <f>IFERROR(__xludf.DUMMYFUNCTION("""COMPUTED_VALUE"""),"นพอ.ปวีณ์สุดา ทรงศรี")</f>
        <v>นพอ.ปวีณ์สุดา ทรงศรี</v>
      </c>
      <c r="G34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46" s="3" t="str">
        <f>IFERROR(__xludf.DUMMYFUNCTION("""COMPUTED_VALUE"""),"งานกฐินวัดนาคู")</f>
        <v>งานกฐินวัดนาคู</v>
      </c>
      <c r="I346" s="3" t="str">
        <f>IFERROR(__xludf.DUMMYFUNCTION("""COMPUTED_VALUE"""),"วัดนาคู")</f>
        <v>วัดนาคู</v>
      </c>
      <c r="J346" s="12">
        <f>IFERROR(__xludf.DUMMYFUNCTION("""COMPUTED_VALUE"""),45955.0)</f>
        <v>45955</v>
      </c>
      <c r="K346" s="3" t="str">
        <f>IFERROR(__xludf.DUMMYFUNCTION("""COMPUTED_VALUE"""),"1000-1400")</f>
        <v>1000-1400</v>
      </c>
      <c r="L346" s="3">
        <f>IFERROR(__xludf.DUMMYFUNCTION("""COMPUTED_VALUE"""),4.0)</f>
        <v>4</v>
      </c>
      <c r="M346" s="3" t="str">
        <f>IFERROR(__xludf.DUMMYFUNCTION("""COMPUTED_VALUE"""),"นางรัตติกาล หงษ์ศิริ")</f>
        <v>นางรัตติกาล หงษ์ศิริ</v>
      </c>
      <c r="N346" s="14" t="str">
        <f>IFERROR(__xludf.DUMMYFUNCTION("""COMPUTED_VALUE"""),"https://lh5.googleusercontent.com/d/1fjjWiP8mGKd7tt7w7SJBZ2P_0kPIz6Pt")</f>
        <v>https://lh5.googleusercontent.com/d/1fjjWiP8mGKd7tt7w7SJBZ2P_0kPIz6Pt</v>
      </c>
      <c r="O346" s="14" t="str">
        <f>IFERROR(__xludf.DUMMYFUNCTION("""COMPUTED_VALUE"""),"https://drive.google.com/file/d/1bH7suPlroy_8_dmMz3zGig5QTls3qvqL/view?usp=drivesdk")</f>
        <v>https://drive.google.com/file/d/1bH7suPlroy_8_dmMz3zGig5QTls3qvqL/view?usp=drivesdk</v>
      </c>
    </row>
    <row r="347">
      <c r="A347" s="3">
        <f>IFERROR(__xludf.DUMMYFUNCTION("""COMPUTED_VALUE"""),1773.0)</f>
        <v>1773</v>
      </c>
      <c r="B347" s="11">
        <f>IFERROR(__xludf.DUMMYFUNCTION("""COMPUTED_VALUE"""),45999.906469155096)</f>
        <v>45999.90647</v>
      </c>
      <c r="C347" s="3" t="str">
        <f>IFERROR(__xludf.DUMMYFUNCTION("""COMPUTED_VALUE"""),"ชั้นปีที่ 4")</f>
        <v>ชั้นปีที่ 4</v>
      </c>
      <c r="D347" s="3" t="str">
        <f>IFERROR(__xludf.DUMMYFUNCTION("""COMPUTED_VALUE"""),"นพอ.ปัทมาภรณ์ ดวงดี")</f>
        <v>นพอ.ปัทมาภรณ์ ดวงดี</v>
      </c>
      <c r="E347" s="3" t="str">
        <f>IFERROR(__xludf.DUMMYFUNCTION("""COMPUTED_VALUE"""),"35")</f>
        <v>35</v>
      </c>
      <c r="F347" s="3" t="str">
        <f>IFERROR(__xludf.DUMMYFUNCTION("""COMPUTED_VALUE"""),"นพอ.ปัทมาภรณ์ ดวงดี")</f>
        <v>นพอ.ปัทมาภรณ์ ดวงดี</v>
      </c>
      <c r="G34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47" s="3" t="str">
        <f>IFERROR(__xludf.DUMMYFUNCTION("""COMPUTED_VALUE"""),"ช่วยเหลืองานโครงการผู้ป่วยโรคเบาหวาน ใส่ใจ ตรวจคัดกรองประเมินภาวะแทรกซ้อนทางตา เท้า และหัวใ")</f>
        <v>ช่วยเหลืองานโครงการผู้ป่วยโรคเบาหวาน ใส่ใจ ตรวจคัดกรองประเมินภาวะแทรกซ้อนทางตา เท้า และหัวใ</v>
      </c>
      <c r="I347" s="3" t="str">
        <f>IFERROR(__xludf.DUMMYFUNCTION("""COMPUTED_VALUE"""),"รพสต.บางขวัญ")</f>
        <v>รพสต.บางขวัญ</v>
      </c>
      <c r="J347" s="12">
        <f>IFERROR(__xludf.DUMMYFUNCTION("""COMPUTED_VALUE"""),45951.0)</f>
        <v>45951</v>
      </c>
      <c r="K347" s="3" t="str">
        <f>IFERROR(__xludf.DUMMYFUNCTION("""COMPUTED_VALUE"""),"0700-1200")</f>
        <v>0700-1200</v>
      </c>
      <c r="L347" s="3">
        <f>IFERROR(__xludf.DUMMYFUNCTION("""COMPUTED_VALUE"""),5.0)</f>
        <v>5</v>
      </c>
      <c r="M347" s="3" t="str">
        <f>IFERROR(__xludf.DUMMYFUNCTION("""COMPUTED_VALUE"""),"นายเวคิน เจียงโหงว")</f>
        <v>นายเวคิน เจียงโหงว</v>
      </c>
      <c r="N347" s="14" t="str">
        <f>IFERROR(__xludf.DUMMYFUNCTION("""COMPUTED_VALUE"""),"https://lh5.googleusercontent.com/d/1y3tF7_7InVrnRPMtFStCvo11ek3q1fac")</f>
        <v>https://lh5.googleusercontent.com/d/1y3tF7_7InVrnRPMtFStCvo11ek3q1fac</v>
      </c>
      <c r="O347" s="14" t="str">
        <f>IFERROR(__xludf.DUMMYFUNCTION("""COMPUTED_VALUE"""),"https://drive.google.com/file/d/1BEpbtLMxaMjz1rI0siwEsZkal3_AtsAc/view?usp=drivesdk")</f>
        <v>https://drive.google.com/file/d/1BEpbtLMxaMjz1rI0siwEsZkal3_AtsAc/view?usp=drivesdk</v>
      </c>
    </row>
    <row r="348">
      <c r="A348" s="3">
        <f>IFERROR(__xludf.DUMMYFUNCTION("""COMPUTED_VALUE"""),1776.0)</f>
        <v>1776</v>
      </c>
      <c r="B348" s="11">
        <f>IFERROR(__xludf.DUMMYFUNCTION("""COMPUTED_VALUE"""),45999.90774418981)</f>
        <v>45999.90774</v>
      </c>
      <c r="C348" s="3" t="str">
        <f>IFERROR(__xludf.DUMMYFUNCTION("""COMPUTED_VALUE"""),"ชั้นปีที่ 4")</f>
        <v>ชั้นปีที่ 4</v>
      </c>
      <c r="D348" s="3" t="str">
        <f>IFERROR(__xludf.DUMMYFUNCTION("""COMPUTED_VALUE"""),"6503736")</f>
        <v>6503736</v>
      </c>
      <c r="E348" s="3" t="str">
        <f>IFERROR(__xludf.DUMMYFUNCTION("""COMPUTED_VALUE"""),"46")</f>
        <v>46</v>
      </c>
      <c r="F348" s="3" t="str">
        <f>IFERROR(__xludf.DUMMYFUNCTION("""COMPUTED_VALUE"""),"นพอ.เมธัส ประภาศรี")</f>
        <v>นพอ.เมธัส ประภาศรี</v>
      </c>
      <c r="G348" s="3" t="str">
        <f>IFERROR(__xludf.DUMMYFUNCTION("""COMPUTED_VALUE"""),"ทำนุบำรุงศาสนสถาน")</f>
        <v>ทำนุบำรุงศาสนสถาน</v>
      </c>
      <c r="H348" s="3" t="str">
        <f>IFERROR(__xludf.DUMMYFUNCTION("""COMPUTED_VALUE"""),"ทำความสะอาดวัด")</f>
        <v>ทำความสะอาดวัด</v>
      </c>
      <c r="I348" s="3" t="str">
        <f>IFERROR(__xludf.DUMMYFUNCTION("""COMPUTED_VALUE"""),"วัดวิเวก")</f>
        <v>วัดวิเวก</v>
      </c>
      <c r="J348" s="12">
        <f>IFERROR(__xludf.DUMMYFUNCTION("""COMPUTED_VALUE"""),45948.0)</f>
        <v>45948</v>
      </c>
      <c r="K348" s="3" t="str">
        <f>IFERROR(__xludf.DUMMYFUNCTION("""COMPUTED_VALUE"""),"0800-1200")</f>
        <v>0800-1200</v>
      </c>
      <c r="L348" s="3">
        <f>IFERROR(__xludf.DUMMYFUNCTION("""COMPUTED_VALUE"""),4.0)</f>
        <v>4</v>
      </c>
      <c r="M348" s="3" t="str">
        <f>IFERROR(__xludf.DUMMYFUNCTION("""COMPUTED_VALUE"""),"นางธัญญพัทธ์ นพพรธนพัฒน์")</f>
        <v>นางธัญญพัทธ์ นพพรธนพัฒน์</v>
      </c>
      <c r="N348" s="14" t="str">
        <f>IFERROR(__xludf.DUMMYFUNCTION("""COMPUTED_VALUE"""),"https://lh5.googleusercontent.com/d/1y-JH3MK_CnvJ2l8ZLb55zPHSoYNirQ08")</f>
        <v>https://lh5.googleusercontent.com/d/1y-JH3MK_CnvJ2l8ZLb55zPHSoYNirQ08</v>
      </c>
      <c r="O348" s="14" t="str">
        <f>IFERROR(__xludf.DUMMYFUNCTION("""COMPUTED_VALUE"""),"https://drive.google.com/file/d/1J7z7Jbfvin8D5WkgKnGIK7L2752N4nfy/view?usp=drivesdk")</f>
        <v>https://drive.google.com/file/d/1J7z7Jbfvin8D5WkgKnGIK7L2752N4nfy/view?usp=drivesdk</v>
      </c>
    </row>
    <row r="349">
      <c r="A349" s="3">
        <f>IFERROR(__xludf.DUMMYFUNCTION("""COMPUTED_VALUE"""),1779.0)</f>
        <v>1779</v>
      </c>
      <c r="B349" s="11">
        <f>IFERROR(__xludf.DUMMYFUNCTION("""COMPUTED_VALUE"""),45999.9090769213)</f>
        <v>45999.90908</v>
      </c>
      <c r="C349" s="3" t="str">
        <f>IFERROR(__xludf.DUMMYFUNCTION("""COMPUTED_VALUE"""),"ชั้นปีที่ 4")</f>
        <v>ชั้นปีที่ 4</v>
      </c>
      <c r="D349" s="3" t="str">
        <f>IFERROR(__xludf.DUMMYFUNCTION("""COMPUTED_VALUE"""),"6503725")</f>
        <v>6503725</v>
      </c>
      <c r="E349" s="3" t="str">
        <f>IFERROR(__xludf.DUMMYFUNCTION("""COMPUTED_VALUE"""),"35")</f>
        <v>35</v>
      </c>
      <c r="F349" s="3" t="str">
        <f>IFERROR(__xludf.DUMMYFUNCTION("""COMPUTED_VALUE"""),"นพอ.ปัทมาภรณ์ ดวงดี")</f>
        <v>นพอ.ปัทมาภรณ์ ดวงดี</v>
      </c>
      <c r="G349" s="3" t="str">
        <f>IFERROR(__xludf.DUMMYFUNCTION("""COMPUTED_VALUE"""),"ทำนุบำรุงศาสนสถาน")</f>
        <v>ทำนุบำรุงศาสนสถาน</v>
      </c>
      <c r="H349" s="3" t="str">
        <f>IFERROR(__xludf.DUMMYFUNCTION("""COMPUTED_VALUE"""),"จิตอาสาช่วยเหลืองานทอดกฐินประจำปี 2568")</f>
        <v>จิตอาสาช่วยเหลืองานทอดกฐินประจำปี 2568</v>
      </c>
      <c r="I349" s="3" t="str">
        <f>IFERROR(__xludf.DUMMYFUNCTION("""COMPUTED_VALUE"""),"วัดวิเวกอาคม")</f>
        <v>วัดวิเวกอาคม</v>
      </c>
      <c r="J349" s="12">
        <f>IFERROR(__xludf.DUMMYFUNCTION("""COMPUTED_VALUE"""),45956.0)</f>
        <v>45956</v>
      </c>
      <c r="K349" s="3" t="str">
        <f>IFERROR(__xludf.DUMMYFUNCTION("""COMPUTED_VALUE"""),"0800-1200")</f>
        <v>0800-1200</v>
      </c>
      <c r="L349" s="3">
        <f>IFERROR(__xludf.DUMMYFUNCTION("""COMPUTED_VALUE"""),4.0)</f>
        <v>4</v>
      </c>
      <c r="M349" s="3" t="str">
        <f>IFERROR(__xludf.DUMMYFUNCTION("""COMPUTED_VALUE"""),"นายเวคิน เจียงโหงว")</f>
        <v>นายเวคิน เจียงโหงว</v>
      </c>
      <c r="N349" s="14" t="str">
        <f>IFERROR(__xludf.DUMMYFUNCTION("""COMPUTED_VALUE"""),"https://lh5.googleusercontent.com/d/1AnBxhi1ZDvwyGxWtMy9HxRZbj7m7EBEK")</f>
        <v>https://lh5.googleusercontent.com/d/1AnBxhi1ZDvwyGxWtMy9HxRZbj7m7EBEK</v>
      </c>
      <c r="O349" s="14" t="str">
        <f>IFERROR(__xludf.DUMMYFUNCTION("""COMPUTED_VALUE"""),"https://drive.google.com/file/d/1nKZKKr0bRKgGtrXLPNo3WAWZGwrS2eP_/view?usp=drivesdk")</f>
        <v>https://drive.google.com/file/d/1nKZKKr0bRKgGtrXLPNo3WAWZGwrS2eP_/view?usp=drivesdk</v>
      </c>
    </row>
    <row r="350">
      <c r="A350" s="3">
        <f>IFERROR(__xludf.DUMMYFUNCTION("""COMPUTED_VALUE"""),1781.0)</f>
        <v>1781</v>
      </c>
      <c r="B350" s="11">
        <f>IFERROR(__xludf.DUMMYFUNCTION("""COMPUTED_VALUE"""),45999.910081608796)</f>
        <v>45999.91008</v>
      </c>
      <c r="C350" s="3" t="str">
        <f>IFERROR(__xludf.DUMMYFUNCTION("""COMPUTED_VALUE"""),"ชั้นปีที่ 4")</f>
        <v>ชั้นปีที่ 4</v>
      </c>
      <c r="D350" s="3" t="str">
        <f>IFERROR(__xludf.DUMMYFUNCTION("""COMPUTED_VALUE"""),"6503724")</f>
        <v>6503724</v>
      </c>
      <c r="E350" s="3" t="str">
        <f>IFERROR(__xludf.DUMMYFUNCTION("""COMPUTED_VALUE"""),"34")</f>
        <v>34</v>
      </c>
      <c r="F350" s="3" t="str">
        <f>IFERROR(__xludf.DUMMYFUNCTION("""COMPUTED_VALUE"""),"นพอ.ปวีณ์สุดา ทรงศรี")</f>
        <v>นพอ.ปวีณ์สุดา ทรงศรี</v>
      </c>
      <c r="G350" s="3" t="str">
        <f>IFERROR(__xludf.DUMMYFUNCTION("""COMPUTED_VALUE"""),"งานฟรีทั่วไป")</f>
        <v>งานฟรีทั่วไป</v>
      </c>
      <c r="H350" s="3" t="str">
        <f>IFERROR(__xludf.DUMMYFUNCTION("""COMPUTED_VALUE"""),"กวาดพื้น")</f>
        <v>กวาดพื้น</v>
      </c>
      <c r="I350" s="3" t="str">
        <f>IFERROR(__xludf.DUMMYFUNCTION("""COMPUTED_VALUE"""),"รพ.สต.บางกะไห")</f>
        <v>รพ.สต.บางกะไห</v>
      </c>
      <c r="J350" s="12">
        <f>IFERROR(__xludf.DUMMYFUNCTION("""COMPUTED_VALUE"""),45956.0)</f>
        <v>45956</v>
      </c>
      <c r="K350" s="3" t="str">
        <f>IFERROR(__xludf.DUMMYFUNCTION("""COMPUTED_VALUE"""),"1800-1900")</f>
        <v>1800-1900</v>
      </c>
      <c r="L350" s="3">
        <f>IFERROR(__xludf.DUMMYFUNCTION("""COMPUTED_VALUE"""),1.0)</f>
        <v>1</v>
      </c>
      <c r="M350" s="3" t="str">
        <f>IFERROR(__xludf.DUMMYFUNCTION("""COMPUTED_VALUE"""),"นางรัตติกาล หงษ์ศิริ")</f>
        <v>นางรัตติกาล หงษ์ศิริ</v>
      </c>
      <c r="N350" s="14" t="str">
        <f>IFERROR(__xludf.DUMMYFUNCTION("""COMPUTED_VALUE"""),"https://lh5.googleusercontent.com/d/1PaP-WrQn27L91zeltPLA2rDImMaNjhMF")</f>
        <v>https://lh5.googleusercontent.com/d/1PaP-WrQn27L91zeltPLA2rDImMaNjhMF</v>
      </c>
      <c r="O350" s="14" t="str">
        <f>IFERROR(__xludf.DUMMYFUNCTION("""COMPUTED_VALUE"""),"https://drive.google.com/file/d/10770DhTtbZ7K81Q7jeO1OlWFPPNdbc_V/view?usp=drivesdk")</f>
        <v>https://drive.google.com/file/d/10770DhTtbZ7K81Q7jeO1OlWFPPNdbc_V/view?usp=drivesdk</v>
      </c>
    </row>
    <row r="351">
      <c r="A351" s="3">
        <f>IFERROR(__xludf.DUMMYFUNCTION("""COMPUTED_VALUE"""),1783.0)</f>
        <v>1783</v>
      </c>
      <c r="B351" s="11">
        <f>IFERROR(__xludf.DUMMYFUNCTION("""COMPUTED_VALUE"""),45999.910574745365)</f>
        <v>45999.91057</v>
      </c>
      <c r="C351" s="3" t="str">
        <f>IFERROR(__xludf.DUMMYFUNCTION("""COMPUTED_VALUE"""),"ชั้นปีที่ 4")</f>
        <v>ชั้นปีที่ 4</v>
      </c>
      <c r="D351" s="3" t="str">
        <f>IFERROR(__xludf.DUMMYFUNCTION("""COMPUTED_VALUE"""),"6503736")</f>
        <v>6503736</v>
      </c>
      <c r="E351" s="3" t="str">
        <f>IFERROR(__xludf.DUMMYFUNCTION("""COMPUTED_VALUE"""),"46")</f>
        <v>46</v>
      </c>
      <c r="F351" s="3" t="str">
        <f>IFERROR(__xludf.DUMMYFUNCTION("""COMPUTED_VALUE"""),"นพอ.เมธัส ประภาศรี")</f>
        <v>นพอ.เมธัส ประภาศรี</v>
      </c>
      <c r="G35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1" s="3" t="str">
        <f>IFERROR(__xludf.DUMMYFUNCTION("""COMPUTED_VALUE"""),"ปลูกต้นไม้โลก")</f>
        <v>ปลูกต้นไม้โลก</v>
      </c>
      <c r="I351" s="3" t="str">
        <f>IFERROR(__xludf.DUMMYFUNCTION("""COMPUTED_VALUE"""),"รพ.สต.บางขวัญ")</f>
        <v>รพ.สต.บางขวัญ</v>
      </c>
      <c r="J351" s="12">
        <f>IFERROR(__xludf.DUMMYFUNCTION("""COMPUTED_VALUE"""),45950.0)</f>
        <v>45950</v>
      </c>
      <c r="K351" s="3" t="str">
        <f>IFERROR(__xludf.DUMMYFUNCTION("""COMPUTED_VALUE"""),"1300-1500")</f>
        <v>1300-1500</v>
      </c>
      <c r="L351" s="3">
        <f>IFERROR(__xludf.DUMMYFUNCTION("""COMPUTED_VALUE"""),2.0)</f>
        <v>2</v>
      </c>
      <c r="M351" s="3" t="str">
        <f>IFERROR(__xludf.DUMMYFUNCTION("""COMPUTED_VALUE"""),"นายเวคิน เจียโหงว")</f>
        <v>นายเวคิน เจียโหงว</v>
      </c>
      <c r="N351" s="14" t="str">
        <f>IFERROR(__xludf.DUMMYFUNCTION("""COMPUTED_VALUE"""),"https://lh5.googleusercontent.com/d/1Phxq2Rm64oVee6a1pSDHqsa6oowwMM-v")</f>
        <v>https://lh5.googleusercontent.com/d/1Phxq2Rm64oVee6a1pSDHqsa6oowwMM-v</v>
      </c>
      <c r="O351" s="3"/>
    </row>
    <row r="352">
      <c r="A352" s="3">
        <f>IFERROR(__xludf.DUMMYFUNCTION("""COMPUTED_VALUE"""),1786.0)</f>
        <v>1786</v>
      </c>
      <c r="B352" s="11">
        <f>IFERROR(__xludf.DUMMYFUNCTION("""COMPUTED_VALUE"""),45999.9119765625)</f>
        <v>45999.91198</v>
      </c>
      <c r="C352" s="3" t="str">
        <f>IFERROR(__xludf.DUMMYFUNCTION("""COMPUTED_VALUE"""),"ชั้นปีที่ 4")</f>
        <v>ชั้นปีที่ 4</v>
      </c>
      <c r="D352" s="3" t="str">
        <f>IFERROR(__xludf.DUMMYFUNCTION("""COMPUTED_VALUE"""),"6503724")</f>
        <v>6503724</v>
      </c>
      <c r="E352" s="3" t="str">
        <f>IFERROR(__xludf.DUMMYFUNCTION("""COMPUTED_VALUE"""),"34")</f>
        <v>34</v>
      </c>
      <c r="F352" s="3" t="str">
        <f>IFERROR(__xludf.DUMMYFUNCTION("""COMPUTED_VALUE"""),"นพอ.ปวีณ์สุดา ทรงศรี")</f>
        <v>นพอ.ปวีณ์สุดา ทรงศรี</v>
      </c>
      <c r="G352" s="3" t="str">
        <f>IFERROR(__xludf.DUMMYFUNCTION("""COMPUTED_VALUE"""),"ทำนุบำรุงศาสนสถาน")</f>
        <v>ทำนุบำรุงศาสนสถาน</v>
      </c>
      <c r="H352" s="3" t="str">
        <f>IFERROR(__xludf.DUMMYFUNCTION("""COMPUTED_VALUE"""),"กวาดลานวัด")</f>
        <v>กวาดลานวัด</v>
      </c>
      <c r="I352" s="3" t="str">
        <f>IFERROR(__xludf.DUMMYFUNCTION("""COMPUTED_VALUE"""),"วัดบ้านนา")</f>
        <v>วัดบ้านนา</v>
      </c>
      <c r="J352" s="12">
        <f>IFERROR(__xludf.DUMMYFUNCTION("""COMPUTED_VALUE"""),45954.0)</f>
        <v>45954</v>
      </c>
      <c r="K352" s="3" t="str">
        <f>IFERROR(__xludf.DUMMYFUNCTION("""COMPUTED_VALUE"""),"1000-1700")</f>
        <v>1000-1700</v>
      </c>
      <c r="L352" s="3">
        <f>IFERROR(__xludf.DUMMYFUNCTION("""COMPUTED_VALUE"""),7.0)</f>
        <v>7</v>
      </c>
      <c r="M352" s="3" t="str">
        <f>IFERROR(__xludf.DUMMYFUNCTION("""COMPUTED_VALUE"""),"นางรัตติกาล หงษ์ศิริ")</f>
        <v>นางรัตติกาล หงษ์ศิริ</v>
      </c>
      <c r="N352" s="14" t="str">
        <f>IFERROR(__xludf.DUMMYFUNCTION("""COMPUTED_VALUE"""),"https://lh5.googleusercontent.com/d/1V-alX0KjoIMSC_G63NVYDQp-PQsUlLqy")</f>
        <v>https://lh5.googleusercontent.com/d/1V-alX0KjoIMSC_G63NVYDQp-PQsUlLqy</v>
      </c>
      <c r="O352" s="14" t="str">
        <f>IFERROR(__xludf.DUMMYFUNCTION("""COMPUTED_VALUE"""),"https://drive.google.com/file/d/1P5jCor5RXZxuQKP8ToDBKYG1nC8ckGJu/view?usp=drivesdk")</f>
        <v>https://drive.google.com/file/d/1P5jCor5RXZxuQKP8ToDBKYG1nC8ckGJu/view?usp=drivesdk</v>
      </c>
    </row>
    <row r="353">
      <c r="A353" s="3">
        <f>IFERROR(__xludf.DUMMYFUNCTION("""COMPUTED_VALUE"""),1788.0)</f>
        <v>1788</v>
      </c>
      <c r="B353" s="11">
        <f>IFERROR(__xludf.DUMMYFUNCTION("""COMPUTED_VALUE"""),45999.91275877315)</f>
        <v>45999.91276</v>
      </c>
      <c r="C353" s="3" t="str">
        <f>IFERROR(__xludf.DUMMYFUNCTION("""COMPUTED_VALUE"""),"ชั้นปีที่ 4")</f>
        <v>ชั้นปีที่ 4</v>
      </c>
      <c r="D353" s="3" t="str">
        <f>IFERROR(__xludf.DUMMYFUNCTION("""COMPUTED_VALUE"""),"6503736")</f>
        <v>6503736</v>
      </c>
      <c r="E353" s="3" t="str">
        <f>IFERROR(__xludf.DUMMYFUNCTION("""COMPUTED_VALUE"""),"46")</f>
        <v>46</v>
      </c>
      <c r="F353" s="3" t="str">
        <f>IFERROR(__xludf.DUMMYFUNCTION("""COMPUTED_VALUE"""),"นพอ.เมธัส ประภาศรี")</f>
        <v>นพอ.เมธัส ประภาศรี</v>
      </c>
      <c r="G35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3" s="3" t="str">
        <f>IFERROR(__xludf.DUMMYFUNCTION("""COMPUTED_VALUE"""),"PCU")</f>
        <v>PCU</v>
      </c>
      <c r="I353" s="3" t="str">
        <f>IFERROR(__xludf.DUMMYFUNCTION("""COMPUTED_VALUE"""),"รพ.สต.บางขวัญ")</f>
        <v>รพ.สต.บางขวัญ</v>
      </c>
      <c r="J353" s="12">
        <f>IFERROR(__xludf.DUMMYFUNCTION("""COMPUTED_VALUE"""),46012.0)</f>
        <v>46012</v>
      </c>
      <c r="K353" s="3" t="str">
        <f>IFERROR(__xludf.DUMMYFUNCTION("""COMPUTED_VALUE"""),"0700-1200")</f>
        <v>0700-1200</v>
      </c>
      <c r="L353" s="3">
        <f>IFERROR(__xludf.DUMMYFUNCTION("""COMPUTED_VALUE"""),5.0)</f>
        <v>5</v>
      </c>
      <c r="M353" s="3" t="str">
        <f>IFERROR(__xludf.DUMMYFUNCTION("""COMPUTED_VALUE"""),"นายเวคิน เจียโหงว")</f>
        <v>นายเวคิน เจียโหงว</v>
      </c>
      <c r="N353" s="14" t="str">
        <f>IFERROR(__xludf.DUMMYFUNCTION("""COMPUTED_VALUE"""),"https://lh5.googleusercontent.com/d/1sANeNCVU2fad45d2ozKVpGmkNREB2nLq")</f>
        <v>https://lh5.googleusercontent.com/d/1sANeNCVU2fad45d2ozKVpGmkNREB2nLq</v>
      </c>
      <c r="O353" s="3"/>
    </row>
    <row r="354">
      <c r="A354" s="3">
        <f>IFERROR(__xludf.DUMMYFUNCTION("""COMPUTED_VALUE"""),1790.0)</f>
        <v>1790</v>
      </c>
      <c r="B354" s="11">
        <f>IFERROR(__xludf.DUMMYFUNCTION("""COMPUTED_VALUE"""),45999.913238877314)</f>
        <v>45999.91324</v>
      </c>
      <c r="C354" s="3" t="str">
        <f>IFERROR(__xludf.DUMMYFUNCTION("""COMPUTED_VALUE"""),"ชั้นปีที่ 4")</f>
        <v>ชั้นปีที่ 4</v>
      </c>
      <c r="D354" s="3" t="str">
        <f>IFERROR(__xludf.DUMMYFUNCTION("""COMPUTED_VALUE"""),"6503708")</f>
        <v>6503708</v>
      </c>
      <c r="E354" s="3" t="str">
        <f>IFERROR(__xludf.DUMMYFUNCTION("""COMPUTED_VALUE"""),"19")</f>
        <v>19</v>
      </c>
      <c r="F354" s="3" t="str">
        <f>IFERROR(__xludf.DUMMYFUNCTION("""COMPUTED_VALUE"""),"นพอ.ณัฐณิชา บุญยืนมั่น")</f>
        <v>นพอ.ณัฐณิชา บุญยืนมั่น</v>
      </c>
      <c r="G354" s="3" t="str">
        <f>IFERROR(__xludf.DUMMYFUNCTION("""COMPUTED_VALUE"""),"ทำนุบำรุงศาสนสถาน")</f>
        <v>ทำนุบำรุงศาสนสถาน</v>
      </c>
      <c r="H354" s="3" t="str">
        <f>IFERROR(__xludf.DUMMYFUNCTION("""COMPUTED_VALUE"""),"ทำกระทงหาเงินเข้าวัดหนามแดง")</f>
        <v>ทำกระทงหาเงินเข้าวัดหนามแดง</v>
      </c>
      <c r="I354" s="3" t="str">
        <f>IFERROR(__xludf.DUMMYFUNCTION("""COMPUTED_VALUE"""),"วัดหนามแดง")</f>
        <v>วัดหนามแดง</v>
      </c>
      <c r="J354" s="12">
        <f>IFERROR(__xludf.DUMMYFUNCTION("""COMPUTED_VALUE"""),45966.0)</f>
        <v>45966</v>
      </c>
      <c r="K354" s="3" t="str">
        <f>IFERROR(__xludf.DUMMYFUNCTION("""COMPUTED_VALUE"""),"0800-1200")</f>
        <v>0800-1200</v>
      </c>
      <c r="L354" s="3">
        <f>IFERROR(__xludf.DUMMYFUNCTION("""COMPUTED_VALUE"""),4.0)</f>
        <v>4</v>
      </c>
      <c r="M354" s="3" t="str">
        <f>IFERROR(__xludf.DUMMYFUNCTION("""COMPUTED_VALUE"""),"น.ท.หญิง ดร.ภัทรมน ทับสูงเนิน")</f>
        <v>น.ท.หญิง ดร.ภัทรมน ทับสูงเนิน</v>
      </c>
      <c r="N354" s="14" t="str">
        <f>IFERROR(__xludf.DUMMYFUNCTION("""COMPUTED_VALUE"""),"https://lh5.googleusercontent.com/d/12qsAhpMPV4z2XsU3gyl5Qu-u30YPdubY")</f>
        <v>https://lh5.googleusercontent.com/d/12qsAhpMPV4z2XsU3gyl5Qu-u30YPdubY</v>
      </c>
      <c r="O354" s="14" t="str">
        <f>IFERROR(__xludf.DUMMYFUNCTION("""COMPUTED_VALUE"""),"https://drive.google.com/file/d/1TiKRduX5Cf3waxjWeDIWvWJhlvRnu3Sq/view?usp=drivesdk")</f>
        <v>https://drive.google.com/file/d/1TiKRduX5Cf3waxjWeDIWvWJhlvRnu3Sq/view?usp=drivesdk</v>
      </c>
    </row>
    <row r="355">
      <c r="A355" s="3">
        <f>IFERROR(__xludf.DUMMYFUNCTION("""COMPUTED_VALUE"""),1793.0)</f>
        <v>1793</v>
      </c>
      <c r="B355" s="11">
        <f>IFERROR(__xludf.DUMMYFUNCTION("""COMPUTED_VALUE"""),45999.91572516204)</f>
        <v>45999.91573</v>
      </c>
      <c r="C355" s="3" t="str">
        <f>IFERROR(__xludf.DUMMYFUNCTION("""COMPUTED_VALUE"""),"ชั้นปีที่ 4")</f>
        <v>ชั้นปีที่ 4</v>
      </c>
      <c r="D355" s="3" t="str">
        <f>IFERROR(__xludf.DUMMYFUNCTION("""COMPUTED_VALUE"""),"6503708")</f>
        <v>6503708</v>
      </c>
      <c r="E355" s="3" t="str">
        <f>IFERROR(__xludf.DUMMYFUNCTION("""COMPUTED_VALUE"""),"19")</f>
        <v>19</v>
      </c>
      <c r="F355" s="3" t="str">
        <f>IFERROR(__xludf.DUMMYFUNCTION("""COMPUTED_VALUE"""),"นพอ.ณัฐณิชา บุญยืนมั่น")</f>
        <v>นพอ.ณัฐณิชา บุญยืนมั่น</v>
      </c>
      <c r="G35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5" s="3" t="str">
        <f>IFERROR(__xludf.DUMMYFUNCTION("""COMPUTED_VALUE"""),"เดิน วิ่ง ปั่น ป้องกันอัมพาต")</f>
        <v>เดิน วิ่ง ปั่น ป้องกันอัมพาต</v>
      </c>
      <c r="I355" s="3" t="str">
        <f>IFERROR(__xludf.DUMMYFUNCTION("""COMPUTED_VALUE"""),"ศาลากลางจังหวัดฉะเชิงเทรา")</f>
        <v>ศาลากลางจังหวัดฉะเชิงเทรา</v>
      </c>
      <c r="J355" s="12">
        <f>IFERROR(__xludf.DUMMYFUNCTION("""COMPUTED_VALUE"""),45956.0)</f>
        <v>45956</v>
      </c>
      <c r="K355" s="3" t="str">
        <f>IFERROR(__xludf.DUMMYFUNCTION("""COMPUTED_VALUE"""),"0500-1000")</f>
        <v>0500-1000</v>
      </c>
      <c r="L355" s="3">
        <f>IFERROR(__xludf.DUMMYFUNCTION("""COMPUTED_VALUE"""),5.0)</f>
        <v>5</v>
      </c>
      <c r="M355" s="3" t="str">
        <f>IFERROR(__xludf.DUMMYFUNCTION("""COMPUTED_VALUE"""),"น.ท.หญิง ดร.ภัทรมน ทับสูงเนิน")</f>
        <v>น.ท.หญิง ดร.ภัทรมน ทับสูงเนิน</v>
      </c>
      <c r="N355" s="14" t="str">
        <f>IFERROR(__xludf.DUMMYFUNCTION("""COMPUTED_VALUE"""),"https://lh5.googleusercontent.com/d/1hXZ2OKaKnFikviAoh4TWjvx_U7KqXDTa")</f>
        <v>https://lh5.googleusercontent.com/d/1hXZ2OKaKnFikviAoh4TWjvx_U7KqXDTa</v>
      </c>
      <c r="O355" s="14" t="str">
        <f>IFERROR(__xludf.DUMMYFUNCTION("""COMPUTED_VALUE"""),"https://drive.google.com/file/d/1reXMHzLQ0L2TCXuirtuR0K9OIKcGp7ZK/view?usp=drivesdk")</f>
        <v>https://drive.google.com/file/d/1reXMHzLQ0L2TCXuirtuR0K9OIKcGp7ZK/view?usp=drivesdk</v>
      </c>
    </row>
    <row r="356">
      <c r="A356" s="3">
        <f>IFERROR(__xludf.DUMMYFUNCTION("""COMPUTED_VALUE"""),1795.0)</f>
        <v>1795</v>
      </c>
      <c r="B356" s="11">
        <f>IFERROR(__xludf.DUMMYFUNCTION("""COMPUTED_VALUE"""),45999.917541840274)</f>
        <v>45999.91754</v>
      </c>
      <c r="C356" s="3" t="str">
        <f>IFERROR(__xludf.DUMMYFUNCTION("""COMPUTED_VALUE"""),"ชั้นปีที่ 4")</f>
        <v>ชั้นปีที่ 4</v>
      </c>
      <c r="D356" s="3" t="str">
        <f>IFERROR(__xludf.DUMMYFUNCTION("""COMPUTED_VALUE"""),"6503736")</f>
        <v>6503736</v>
      </c>
      <c r="E356" s="3" t="str">
        <f>IFERROR(__xludf.DUMMYFUNCTION("""COMPUTED_VALUE"""),"46")</f>
        <v>46</v>
      </c>
      <c r="F356" s="3" t="str">
        <f>IFERROR(__xludf.DUMMYFUNCTION("""COMPUTED_VALUE"""),"นพอ.เมธัส ประภาศรี")</f>
        <v>นพอ.เมธัส ประภาศรี</v>
      </c>
      <c r="G35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6" s="3" t="str">
        <f>IFERROR(__xludf.DUMMYFUNCTION("""COMPUTED_VALUE"""),"PCU")</f>
        <v>PCU</v>
      </c>
      <c r="I356" s="3" t="str">
        <f>IFERROR(__xludf.DUMMYFUNCTION("""COMPUTED_VALUE"""),"รพ.สต.บางขวัญ")</f>
        <v>รพ.สต.บางขวัญ</v>
      </c>
      <c r="J356" s="12">
        <f>IFERROR(__xludf.DUMMYFUNCTION("""COMPUTED_VALUE"""),45951.0)</f>
        <v>45951</v>
      </c>
      <c r="K356" s="3" t="str">
        <f>IFERROR(__xludf.DUMMYFUNCTION("""COMPUTED_VALUE"""),"0700-1200")</f>
        <v>0700-1200</v>
      </c>
      <c r="L356" s="3">
        <f>IFERROR(__xludf.DUMMYFUNCTION("""COMPUTED_VALUE"""),5.0)</f>
        <v>5</v>
      </c>
      <c r="M356" s="3" t="str">
        <f>IFERROR(__xludf.DUMMYFUNCTION("""COMPUTED_VALUE"""),"นายเวคิน เจียโหงว")</f>
        <v>นายเวคิน เจียโหงว</v>
      </c>
      <c r="N356" s="14" t="str">
        <f>IFERROR(__xludf.DUMMYFUNCTION("""COMPUTED_VALUE"""),"https://lh5.googleusercontent.com/d/1cE5BWmozZCK0p8XEDbKiHbjSQQeR3heA")</f>
        <v>https://lh5.googleusercontent.com/d/1cE5BWmozZCK0p8XEDbKiHbjSQQeR3heA</v>
      </c>
      <c r="O356" s="14" t="str">
        <f>IFERROR(__xludf.DUMMYFUNCTION("""COMPUTED_VALUE"""),"https://drive.google.com/file/d/1TxVTEC2DmnrS35k5xZE-fPd12tZa-aLG/view?usp=drivesdk")</f>
        <v>https://drive.google.com/file/d/1TxVTEC2DmnrS35k5xZE-fPd12tZa-aLG/view?usp=drivesdk</v>
      </c>
    </row>
    <row r="357">
      <c r="A357" s="3">
        <f>IFERROR(__xludf.DUMMYFUNCTION("""COMPUTED_VALUE"""),1797.0)</f>
        <v>1797</v>
      </c>
      <c r="B357" s="11">
        <f>IFERROR(__xludf.DUMMYFUNCTION("""COMPUTED_VALUE"""),45999.91995502315)</f>
        <v>45999.91996</v>
      </c>
      <c r="C357" s="3" t="str">
        <f>IFERROR(__xludf.DUMMYFUNCTION("""COMPUTED_VALUE"""),"ชั้นปีที่ 4")</f>
        <v>ชั้นปีที่ 4</v>
      </c>
      <c r="D357" s="3" t="str">
        <f>IFERROR(__xludf.DUMMYFUNCTION("""COMPUTED_VALUE"""),"6503736")</f>
        <v>6503736</v>
      </c>
      <c r="E357" s="3" t="str">
        <f>IFERROR(__xludf.DUMMYFUNCTION("""COMPUTED_VALUE"""),"46")</f>
        <v>46</v>
      </c>
      <c r="F357" s="3" t="str">
        <f>IFERROR(__xludf.DUMMYFUNCTION("""COMPUTED_VALUE"""),"นพอ.เมธัส ประภาศรี")</f>
        <v>นพอ.เมธัส ประภาศรี</v>
      </c>
      <c r="G35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7" s="3" t="str">
        <f>IFERROR(__xludf.DUMMYFUNCTION("""COMPUTED_VALUE"""),"ปลูกต้นไม้โลก")</f>
        <v>ปลูกต้นไม้โลก</v>
      </c>
      <c r="I357" s="3" t="str">
        <f>IFERROR(__xludf.DUMMYFUNCTION("""COMPUTED_VALUE"""),"รพ.สต.บางขวัญ")</f>
        <v>รพ.สต.บางขวัญ</v>
      </c>
      <c r="J357" s="12">
        <f>IFERROR(__xludf.DUMMYFUNCTION("""COMPUTED_VALUE"""),45950.0)</f>
        <v>45950</v>
      </c>
      <c r="K357" s="3" t="str">
        <f>IFERROR(__xludf.DUMMYFUNCTION("""COMPUTED_VALUE"""),"1300-1500")</f>
        <v>1300-1500</v>
      </c>
      <c r="L357" s="3">
        <f>IFERROR(__xludf.DUMMYFUNCTION("""COMPUTED_VALUE"""),2.0)</f>
        <v>2</v>
      </c>
      <c r="M357" s="3" t="str">
        <f>IFERROR(__xludf.DUMMYFUNCTION("""COMPUTED_VALUE"""),"นายเวคิน เจียโหงว")</f>
        <v>นายเวคิน เจียโหงว</v>
      </c>
      <c r="N357" s="14" t="str">
        <f>IFERROR(__xludf.DUMMYFUNCTION("""COMPUTED_VALUE"""),"https://lh5.googleusercontent.com/d/15P3LNABHfZY1GSPlNFNZOX5quIwirepF")</f>
        <v>https://lh5.googleusercontent.com/d/15P3LNABHfZY1GSPlNFNZOX5quIwirepF</v>
      </c>
      <c r="O357" s="14" t="str">
        <f>IFERROR(__xludf.DUMMYFUNCTION("""COMPUTED_VALUE"""),"https://drive.google.com/file/d/1tYktEHrhVZAA5ADYK_YTmjzoptzhgnJS/view?usp=drivesdk")</f>
        <v>https://drive.google.com/file/d/1tYktEHrhVZAA5ADYK_YTmjzoptzhgnJS/view?usp=drivesdk</v>
      </c>
    </row>
    <row r="358">
      <c r="A358" s="3">
        <f>IFERROR(__xludf.DUMMYFUNCTION("""COMPUTED_VALUE"""),1798.0)</f>
        <v>1798</v>
      </c>
      <c r="B358" s="11">
        <f>IFERROR(__xludf.DUMMYFUNCTION("""COMPUTED_VALUE"""),45999.92020178241)</f>
        <v>45999.9202</v>
      </c>
      <c r="C358" s="3" t="str">
        <f>IFERROR(__xludf.DUMMYFUNCTION("""COMPUTED_VALUE"""),"ชั้นปีที่ 4")</f>
        <v>ชั้นปีที่ 4</v>
      </c>
      <c r="D358" s="3" t="str">
        <f>IFERROR(__xludf.DUMMYFUNCTION("""COMPUTED_VALUE"""),"6503708")</f>
        <v>6503708</v>
      </c>
      <c r="E358" s="3" t="str">
        <f>IFERROR(__xludf.DUMMYFUNCTION("""COMPUTED_VALUE"""),"19")</f>
        <v>19</v>
      </c>
      <c r="F358" s="3" t="str">
        <f>IFERROR(__xludf.DUMMYFUNCTION("""COMPUTED_VALUE"""),"นพอ.ณัฐณิชา บุญยืนมั่น")</f>
        <v>นพอ.ณัฐณิชา บุญยืนมั่น</v>
      </c>
      <c r="G35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8" s="3" t="str">
        <f>IFERROR(__xludf.DUMMYFUNCTION("""COMPUTED_VALUE"""),"เต้นแอโรบิคร่วมกับชมรมผู้สูงอายุสานสัมพันธ์ชาวหนามแดง")</f>
        <v>เต้นแอโรบิคร่วมกับชมรมผู้สูงอายุสานสัมพันธ์ชาวหนามแดง</v>
      </c>
      <c r="I358" s="3" t="str">
        <f>IFERROR(__xludf.DUMMYFUNCTION("""COMPUTED_VALUE"""),"วัดหนามแดง")</f>
        <v>วัดหนามแดง</v>
      </c>
      <c r="J358" s="12">
        <f>IFERROR(__xludf.DUMMYFUNCTION("""COMPUTED_VALUE"""),45940.0)</f>
        <v>45940</v>
      </c>
      <c r="K358" s="3" t="str">
        <f>IFERROR(__xludf.DUMMYFUNCTION("""COMPUTED_VALUE"""),"1700-1900")</f>
        <v>1700-1900</v>
      </c>
      <c r="L358" s="3">
        <f>IFERROR(__xludf.DUMMYFUNCTION("""COMPUTED_VALUE"""),2.0)</f>
        <v>2</v>
      </c>
      <c r="M358" s="3" t="str">
        <f>IFERROR(__xludf.DUMMYFUNCTION("""COMPUTED_VALUE"""),"น.ท.หญิง ดร.ภัทรมน ทับสูงเนิน")</f>
        <v>น.ท.หญิง ดร.ภัทรมน ทับสูงเนิน</v>
      </c>
      <c r="N358" s="14" t="str">
        <f>IFERROR(__xludf.DUMMYFUNCTION("""COMPUTED_VALUE"""),"https://lh5.googleusercontent.com/d/1r4twlNFI-ZL9ciBm7q4YTI7QFlA2dfvz")</f>
        <v>https://lh5.googleusercontent.com/d/1r4twlNFI-ZL9ciBm7q4YTI7QFlA2dfvz</v>
      </c>
      <c r="O358" s="14" t="str">
        <f>IFERROR(__xludf.DUMMYFUNCTION("""COMPUTED_VALUE"""),"https://drive.google.com/file/d/1bED3XoEVC4kERl3DqyMSNJ7WARClOUCp/view?usp=drivesdk")</f>
        <v>https://drive.google.com/file/d/1bED3XoEVC4kERl3DqyMSNJ7WARClOUCp/view?usp=drivesdk</v>
      </c>
    </row>
    <row r="359">
      <c r="A359" s="3">
        <f>IFERROR(__xludf.DUMMYFUNCTION("""COMPUTED_VALUE"""),1800.0)</f>
        <v>1800</v>
      </c>
      <c r="B359" s="11">
        <f>IFERROR(__xludf.DUMMYFUNCTION("""COMPUTED_VALUE"""),45999.922460208334)</f>
        <v>45999.92246</v>
      </c>
      <c r="C359" s="3" t="str">
        <f>IFERROR(__xludf.DUMMYFUNCTION("""COMPUTED_VALUE"""),"ชั้นปีที่ 4")</f>
        <v>ชั้นปีที่ 4</v>
      </c>
      <c r="D359" s="3" t="str">
        <f>IFERROR(__xludf.DUMMYFUNCTION("""COMPUTED_VALUE"""),"6503708")</f>
        <v>6503708</v>
      </c>
      <c r="E359" s="3" t="str">
        <f>IFERROR(__xludf.DUMMYFUNCTION("""COMPUTED_VALUE"""),"19")</f>
        <v>19</v>
      </c>
      <c r="F359" s="3" t="str">
        <f>IFERROR(__xludf.DUMMYFUNCTION("""COMPUTED_VALUE"""),"นพอ.ณัฐณิชา บุญยืนมั่น")</f>
        <v>นพอ.ณัฐณิชา บุญยืนมั่น</v>
      </c>
      <c r="G35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59" s="3" t="str">
        <f>IFERROR(__xludf.DUMMYFUNCTION("""COMPUTED_VALUE"""),"เต้นแอโรบิคร่วมกับชมรมผู้สูงอายุสานสัมพันธ์ชาวหนามแดง")</f>
        <v>เต้นแอโรบิคร่วมกับชมรมผู้สูงอายุสานสัมพันธ์ชาวหนามแดง</v>
      </c>
      <c r="I359" s="3" t="str">
        <f>IFERROR(__xludf.DUMMYFUNCTION("""COMPUTED_VALUE"""),"วัดหนามแดง")</f>
        <v>วัดหนามแดง</v>
      </c>
      <c r="J359" s="12">
        <f>IFERROR(__xludf.DUMMYFUNCTION("""COMPUTED_VALUE"""),45947.0)</f>
        <v>45947</v>
      </c>
      <c r="K359" s="3" t="str">
        <f>IFERROR(__xludf.DUMMYFUNCTION("""COMPUTED_VALUE"""),"1700-1900")</f>
        <v>1700-1900</v>
      </c>
      <c r="L359" s="3">
        <f>IFERROR(__xludf.DUMMYFUNCTION("""COMPUTED_VALUE"""),2.0)</f>
        <v>2</v>
      </c>
      <c r="M359" s="3" t="str">
        <f>IFERROR(__xludf.DUMMYFUNCTION("""COMPUTED_VALUE"""),"น.ท.หญิง ดร.ภัทรมน ทับสูงเนิน")</f>
        <v>น.ท.หญิง ดร.ภัทรมน ทับสูงเนิน</v>
      </c>
      <c r="N359" s="14" t="str">
        <f>IFERROR(__xludf.DUMMYFUNCTION("""COMPUTED_VALUE"""),"https://lh5.googleusercontent.com/d/1gCgl7xunx4mCqX6gV_hPomVkHSntWgce")</f>
        <v>https://lh5.googleusercontent.com/d/1gCgl7xunx4mCqX6gV_hPomVkHSntWgce</v>
      </c>
      <c r="O359" s="14" t="str">
        <f>IFERROR(__xludf.DUMMYFUNCTION("""COMPUTED_VALUE"""),"https://drive.google.com/file/d/1QS9s94eRlUGQ5J53SGq5COuGkERhRvUC/view?usp=drivesdk")</f>
        <v>https://drive.google.com/file/d/1QS9s94eRlUGQ5J53SGq5COuGkERhRvUC/view?usp=drivesdk</v>
      </c>
    </row>
    <row r="360">
      <c r="A360" s="3">
        <f>IFERROR(__xludf.DUMMYFUNCTION("""COMPUTED_VALUE"""),1801.0)</f>
        <v>1801</v>
      </c>
      <c r="B360" s="11">
        <f>IFERROR(__xludf.DUMMYFUNCTION("""COMPUTED_VALUE"""),45999.922558680555)</f>
        <v>45999.92256</v>
      </c>
      <c r="C360" s="3" t="str">
        <f>IFERROR(__xludf.DUMMYFUNCTION("""COMPUTED_VALUE"""),"ชั้นปีที่ 4")</f>
        <v>ชั้นปีที่ 4</v>
      </c>
      <c r="D360" s="3" t="str">
        <f>IFERROR(__xludf.DUMMYFUNCTION("""COMPUTED_VALUE"""),"6503727")</f>
        <v>6503727</v>
      </c>
      <c r="E360" s="3" t="str">
        <f>IFERROR(__xludf.DUMMYFUNCTION("""COMPUTED_VALUE"""),"37")</f>
        <v>37</v>
      </c>
      <c r="F360" s="3" t="str">
        <f>IFERROR(__xludf.DUMMYFUNCTION("""COMPUTED_VALUE"""),"นพอ.ผกาวรรณ เรืองเนตร")</f>
        <v>นพอ.ผกาวรรณ เรืองเนตร</v>
      </c>
      <c r="G360" s="3" t="str">
        <f>IFERROR(__xludf.DUMMYFUNCTION("""COMPUTED_VALUE"""),"ช่วยเหลืองานภายใน วพอ.")</f>
        <v>ช่วยเหลืองานภายใน วพอ.</v>
      </c>
      <c r="H360" s="3" t="str">
        <f>IFERROR(__xludf.DUMMYFUNCTION("""COMPUTED_VALUE"""),"ช่วยเก็บของหอชาย")</f>
        <v>ช่วยเก็บของหอชาย</v>
      </c>
      <c r="I360" s="3" t="str">
        <f>IFERROR(__xludf.DUMMYFUNCTION("""COMPUTED_VALUE"""),"หอพักนพอ.ชาย")</f>
        <v>หอพักนพอ.ชาย</v>
      </c>
      <c r="J360" s="12">
        <f>IFERROR(__xludf.DUMMYFUNCTION("""COMPUTED_VALUE"""),45876.0)</f>
        <v>45876</v>
      </c>
      <c r="K360" s="3" t="str">
        <f>IFERROR(__xludf.DUMMYFUNCTION("""COMPUTED_VALUE"""),"1800-2000")</f>
        <v>1800-2000</v>
      </c>
      <c r="L360" s="3">
        <f>IFERROR(__xludf.DUMMYFUNCTION("""COMPUTED_VALUE"""),2.0)</f>
        <v>2</v>
      </c>
      <c r="M36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60" s="14" t="str">
        <f>IFERROR(__xludf.DUMMYFUNCTION("""COMPUTED_VALUE"""),"https://lh5.googleusercontent.com/d/1HW-xjOQbFRo9iZtPRztZXK5vld5CPdDG")</f>
        <v>https://lh5.googleusercontent.com/d/1HW-xjOQbFRo9iZtPRztZXK5vld5CPdDG</v>
      </c>
      <c r="O360" s="3"/>
    </row>
    <row r="361">
      <c r="A361" s="3">
        <f>IFERROR(__xludf.DUMMYFUNCTION("""COMPUTED_VALUE"""),1803.0)</f>
        <v>1803</v>
      </c>
      <c r="B361" s="11">
        <f>IFERROR(__xludf.DUMMYFUNCTION("""COMPUTED_VALUE"""),45999.92329972223)</f>
        <v>45999.9233</v>
      </c>
      <c r="C361" s="3" t="str">
        <f>IFERROR(__xludf.DUMMYFUNCTION("""COMPUTED_VALUE"""),"ชั้นปีที่ 4")</f>
        <v>ชั้นปีที่ 4</v>
      </c>
      <c r="D361" s="3" t="str">
        <f>IFERROR(__xludf.DUMMYFUNCTION("""COMPUTED_VALUE"""),"6503725")</f>
        <v>6503725</v>
      </c>
      <c r="E361" s="3" t="str">
        <f>IFERROR(__xludf.DUMMYFUNCTION("""COMPUTED_VALUE"""),"35")</f>
        <v>35</v>
      </c>
      <c r="F361" s="3" t="str">
        <f>IFERROR(__xludf.DUMMYFUNCTION("""COMPUTED_VALUE"""),"นพอ.ปัทมาภรณ์ ดวงดี")</f>
        <v>นพอ.ปัทมาภรณ์ ดวงดี</v>
      </c>
      <c r="G3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1" s="3" t="str">
        <f>IFERROR(__xludf.DUMMYFUNCTION("""COMPUTED_VALUE"""),"ร่วมโครงการคัดกรองสุขภาพเชิงรุกกำบังพลทอ.")</f>
        <v>ร่วมโครงการคัดกรองสุขภาพเชิงรุกกำบังพลทอ.</v>
      </c>
      <c r="I361" s="3" t="str">
        <f>IFERROR(__xludf.DUMMYFUNCTION("""COMPUTED_VALUE"""),"สโมสรทหารอากาศชั้นประทวน")</f>
        <v>สโมสรทหารอากาศชั้นประทวน</v>
      </c>
      <c r="J361" s="12">
        <f>IFERROR(__xludf.DUMMYFUNCTION("""COMPUTED_VALUE"""),45854.0)</f>
        <v>45854</v>
      </c>
      <c r="K361" s="3" t="str">
        <f>IFERROR(__xludf.DUMMYFUNCTION("""COMPUTED_VALUE"""),"0700-1300")</f>
        <v>0700-1300</v>
      </c>
      <c r="L361" s="3">
        <f>IFERROR(__xludf.DUMMYFUNCTION("""COMPUTED_VALUE"""),6.0)</f>
        <v>6</v>
      </c>
      <c r="M361" s="3" t="str">
        <f>IFERROR(__xludf.DUMMYFUNCTION("""COMPUTED_VALUE"""),"น.ต.หญิง ตวงทิพย์ ลดาวัลย์")</f>
        <v>น.ต.หญิง ตวงทิพย์ ลดาวัลย์</v>
      </c>
      <c r="N361" s="3"/>
      <c r="O361" s="3"/>
    </row>
    <row r="362">
      <c r="A362" s="3">
        <f>IFERROR(__xludf.DUMMYFUNCTION("""COMPUTED_VALUE"""),1804.0)</f>
        <v>1804</v>
      </c>
      <c r="B362" s="11">
        <f>IFERROR(__xludf.DUMMYFUNCTION("""COMPUTED_VALUE"""),45999.92352287037)</f>
        <v>45999.92352</v>
      </c>
      <c r="C362" s="3" t="str">
        <f>IFERROR(__xludf.DUMMYFUNCTION("""COMPUTED_VALUE"""),"ชั้นปีที่ 4")</f>
        <v>ชั้นปีที่ 4</v>
      </c>
      <c r="D362" s="3" t="str">
        <f>IFERROR(__xludf.DUMMYFUNCTION("""COMPUTED_VALUE"""),"6503708")</f>
        <v>6503708</v>
      </c>
      <c r="E362" s="3" t="str">
        <f>IFERROR(__xludf.DUMMYFUNCTION("""COMPUTED_VALUE"""),"19")</f>
        <v>19</v>
      </c>
      <c r="F362" s="3" t="str">
        <f>IFERROR(__xludf.DUMMYFUNCTION("""COMPUTED_VALUE"""),"นพอ.ณัฐณิชา บุญยืนมั่น")</f>
        <v>นพอ.ณัฐณิชา บุญยืนมั่น</v>
      </c>
      <c r="G36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62" s="3" t="str">
        <f>IFERROR(__xludf.DUMMYFUNCTION("""COMPUTED_VALUE"""),"เต้นแอโรบิคร่วมกับชมรมผู้สูงอายุสานสัมพันธ์ชาวหนามแดง")</f>
        <v>เต้นแอโรบิคร่วมกับชมรมผู้สูงอายุสานสัมพันธ์ชาวหนามแดง</v>
      </c>
      <c r="I362" s="3" t="str">
        <f>IFERROR(__xludf.DUMMYFUNCTION("""COMPUTED_VALUE"""),"วัดหนามแดง")</f>
        <v>วัดหนามแดง</v>
      </c>
      <c r="J362" s="12">
        <f>IFERROR(__xludf.DUMMYFUNCTION("""COMPUTED_VALUE"""),45975.0)</f>
        <v>45975</v>
      </c>
      <c r="K362" s="3" t="str">
        <f>IFERROR(__xludf.DUMMYFUNCTION("""COMPUTED_VALUE"""),"1700-1900")</f>
        <v>1700-1900</v>
      </c>
      <c r="L362" s="3">
        <f>IFERROR(__xludf.DUMMYFUNCTION("""COMPUTED_VALUE"""),2.0)</f>
        <v>2</v>
      </c>
      <c r="M362" s="3" t="str">
        <f>IFERROR(__xludf.DUMMYFUNCTION("""COMPUTED_VALUE"""),"น.ท.หญิง ดร.ภัทรมน ทับสูงเนิน")</f>
        <v>น.ท.หญิง ดร.ภัทรมน ทับสูงเนิน</v>
      </c>
      <c r="N362" s="14" t="str">
        <f>IFERROR(__xludf.DUMMYFUNCTION("""COMPUTED_VALUE"""),"https://lh5.googleusercontent.com/d/1iHixNh8V6MD09VHMH3lfDVG-5UwVbbtM")</f>
        <v>https://lh5.googleusercontent.com/d/1iHixNh8V6MD09VHMH3lfDVG-5UwVbbtM</v>
      </c>
      <c r="O362" s="14" t="str">
        <f>IFERROR(__xludf.DUMMYFUNCTION("""COMPUTED_VALUE"""),"https://drive.google.com/file/d/1FmJv-md91tlJd0v4P9lWFslzerAcZaP-/view?usp=drivesdk")</f>
        <v>https://drive.google.com/file/d/1FmJv-md91tlJd0v4P9lWFslzerAcZaP-/view?usp=drivesdk</v>
      </c>
    </row>
    <row r="363">
      <c r="A363" s="3">
        <f>IFERROR(__xludf.DUMMYFUNCTION("""COMPUTED_VALUE"""),1805.0)</f>
        <v>1805</v>
      </c>
      <c r="B363" s="11">
        <f>IFERROR(__xludf.DUMMYFUNCTION("""COMPUTED_VALUE"""),45999.92524416667)</f>
        <v>45999.92524</v>
      </c>
      <c r="C363" s="3" t="str">
        <f>IFERROR(__xludf.DUMMYFUNCTION("""COMPUTED_VALUE"""),"ชั้นปีที่ 4")</f>
        <v>ชั้นปีที่ 4</v>
      </c>
      <c r="D363" s="3" t="str">
        <f>IFERROR(__xludf.DUMMYFUNCTION("""COMPUTED_VALUE"""),"6503691")</f>
        <v>6503691</v>
      </c>
      <c r="E363" s="3" t="str">
        <f>IFERROR(__xludf.DUMMYFUNCTION("""COMPUTED_VALUE"""),"2")</f>
        <v>2</v>
      </c>
      <c r="F363" s="3" t="str">
        <f>IFERROR(__xludf.DUMMYFUNCTION("""COMPUTED_VALUE"""),"กอปรทรัพย์ ธุรารัตน์")</f>
        <v>กอปรทรัพย์ ธุรารัตน์</v>
      </c>
      <c r="G3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3" s="3" t="str">
        <f>IFERROR(__xludf.DUMMYFUNCTION("""COMPUTED_VALUE"""),"ร่วมโครงการคัดกรองสุขภาพเชิงรุกกำบังพลทอ.")</f>
        <v>ร่วมโครงการคัดกรองสุขภาพเชิงรุกกำบังพลทอ.</v>
      </c>
      <c r="I363" s="3" t="str">
        <f>IFERROR(__xludf.DUMMYFUNCTION("""COMPUTED_VALUE"""),"สโมสรทหารอากาศชั้นประทวน")</f>
        <v>สโมสรทหารอากาศชั้นประทวน</v>
      </c>
      <c r="J363" s="12">
        <f>IFERROR(__xludf.DUMMYFUNCTION("""COMPUTED_VALUE"""),45854.0)</f>
        <v>45854</v>
      </c>
      <c r="K363" s="3" t="str">
        <f>IFERROR(__xludf.DUMMYFUNCTION("""COMPUTED_VALUE"""),"0700-1300")</f>
        <v>0700-1300</v>
      </c>
      <c r="L363" s="3">
        <f>IFERROR(__xludf.DUMMYFUNCTION("""COMPUTED_VALUE"""),6.0)</f>
        <v>6</v>
      </c>
      <c r="M363" s="3" t="str">
        <f>IFERROR(__xludf.DUMMYFUNCTION("""COMPUTED_VALUE"""),"0700-1300")</f>
        <v>0700-1300</v>
      </c>
      <c r="N363" s="14" t="str">
        <f>IFERROR(__xludf.DUMMYFUNCTION("""COMPUTED_VALUE"""),"https://lh5.googleusercontent.com/d/1SBxz4oEg8vl58VCGtqYe1D-7cHFObj59")</f>
        <v>https://lh5.googleusercontent.com/d/1SBxz4oEg8vl58VCGtqYe1D-7cHFObj59</v>
      </c>
      <c r="O363" s="14" t="str">
        <f>IFERROR(__xludf.DUMMYFUNCTION("""COMPUTED_VALUE"""),"https://drive.google.com/file/d/1aziMIAZb_n22YNehsI7tTro6Jh6eUQn_/view?usp=drivesdk")</f>
        <v>https://drive.google.com/file/d/1aziMIAZb_n22YNehsI7tTro6Jh6eUQn_/view?usp=drivesdk</v>
      </c>
    </row>
    <row r="364">
      <c r="A364" s="3">
        <f>IFERROR(__xludf.DUMMYFUNCTION("""COMPUTED_VALUE"""),1807.0)</f>
        <v>1807</v>
      </c>
      <c r="B364" s="11">
        <f>IFERROR(__xludf.DUMMYFUNCTION("""COMPUTED_VALUE"""),45999.925564097226)</f>
        <v>45999.92556</v>
      </c>
      <c r="C364" s="3" t="str">
        <f>IFERROR(__xludf.DUMMYFUNCTION("""COMPUTED_VALUE"""),"ชั้นปีที่ 4")</f>
        <v>ชั้นปีที่ 4</v>
      </c>
      <c r="D364" s="3" t="str">
        <f>IFERROR(__xludf.DUMMYFUNCTION("""COMPUTED_VALUE"""),"6503708")</f>
        <v>6503708</v>
      </c>
      <c r="E364" s="3" t="str">
        <f>IFERROR(__xludf.DUMMYFUNCTION("""COMPUTED_VALUE"""),"19")</f>
        <v>19</v>
      </c>
      <c r="F364" s="3" t="str">
        <f>IFERROR(__xludf.DUMMYFUNCTION("""COMPUTED_VALUE"""),"นพอ.ณัฐณิชา บุญยืนมั่น")</f>
        <v>นพอ.ณัฐณิชา บุญยืนมั่น</v>
      </c>
      <c r="G364" s="3" t="str">
        <f>IFERROR(__xludf.DUMMYFUNCTION("""COMPUTED_VALUE"""),"ทำนุบำรุงศาสนสถาน")</f>
        <v>ทำนุบำรุงศาสนสถาน</v>
      </c>
      <c r="H364" s="3" t="str">
        <f>IFERROR(__xludf.DUMMYFUNCTION("""COMPUTED_VALUE"""),"ทอดกฐินวัดหนามแดง")</f>
        <v>ทอดกฐินวัดหนามแดง</v>
      </c>
      <c r="I364" s="3" t="str">
        <f>IFERROR(__xludf.DUMMYFUNCTION("""COMPUTED_VALUE"""),"วัดหนามแดง")</f>
        <v>วัดหนามแดง</v>
      </c>
      <c r="J364" s="12">
        <f>IFERROR(__xludf.DUMMYFUNCTION("""COMPUTED_VALUE"""),45942.0)</f>
        <v>45942</v>
      </c>
      <c r="K364" s="3" t="str">
        <f>IFERROR(__xludf.DUMMYFUNCTION("""COMPUTED_VALUE"""),"0800-1200")</f>
        <v>0800-1200</v>
      </c>
      <c r="L364" s="3">
        <f>IFERROR(__xludf.DUMMYFUNCTION("""COMPUTED_VALUE"""),4.0)</f>
        <v>4</v>
      </c>
      <c r="M364" s="3" t="str">
        <f>IFERROR(__xludf.DUMMYFUNCTION("""COMPUTED_VALUE"""),"น.ท.หญิง ดร.ภัทรมน ทับสูงเนิน")</f>
        <v>น.ท.หญิง ดร.ภัทรมน ทับสูงเนิน</v>
      </c>
      <c r="N364" s="14" t="str">
        <f>IFERROR(__xludf.DUMMYFUNCTION("""COMPUTED_VALUE"""),"https://lh5.googleusercontent.com/d/1jaGeTAV2U1tC_HsWfJ9Ayfu0ShO6hrB9")</f>
        <v>https://lh5.googleusercontent.com/d/1jaGeTAV2U1tC_HsWfJ9Ayfu0ShO6hrB9</v>
      </c>
      <c r="O364" s="14" t="str">
        <f>IFERROR(__xludf.DUMMYFUNCTION("""COMPUTED_VALUE"""),"https://drive.google.com/file/d/1zOqL0MXdnhv-RUZiSNJWA-TNpfXIKuhT/view?usp=drivesdk")</f>
        <v>https://drive.google.com/file/d/1zOqL0MXdnhv-RUZiSNJWA-TNpfXIKuhT/view?usp=drivesdk</v>
      </c>
    </row>
    <row r="365">
      <c r="A365" s="3">
        <f>IFERROR(__xludf.DUMMYFUNCTION("""COMPUTED_VALUE"""),1808.0)</f>
        <v>1808</v>
      </c>
      <c r="B365" s="11">
        <f>IFERROR(__xludf.DUMMYFUNCTION("""COMPUTED_VALUE"""),45999.929354733795)</f>
        <v>45999.92935</v>
      </c>
      <c r="C365" s="3" t="str">
        <f>IFERROR(__xludf.DUMMYFUNCTION("""COMPUTED_VALUE"""),"ชั้นปีที่ 4")</f>
        <v>ชั้นปีที่ 4</v>
      </c>
      <c r="D365" s="3" t="str">
        <f>IFERROR(__xludf.DUMMYFUNCTION("""COMPUTED_VALUE"""),"6503743")</f>
        <v>6503743</v>
      </c>
      <c r="E365" s="3" t="str">
        <f>IFERROR(__xludf.DUMMYFUNCTION("""COMPUTED_VALUE"""),"53")</f>
        <v>53</v>
      </c>
      <c r="F365" s="3" t="str">
        <f>IFERROR(__xludf.DUMMYFUNCTION("""COMPUTED_VALUE"""),"นพอ.ศศิกานต์ ไคลมี")</f>
        <v>นพอ.ศศิกานต์ ไคลมี</v>
      </c>
      <c r="G365" s="3" t="str">
        <f>IFERROR(__xludf.DUMMYFUNCTION("""COMPUTED_VALUE"""),"งานฟรีทั่วไป")</f>
        <v>งานฟรีทั่วไป</v>
      </c>
      <c r="H365" s="3" t="str">
        <f>IFERROR(__xludf.DUMMYFUNCTION("""COMPUTED_VALUE"""),"เก็บของวัดบ้านนา")</f>
        <v>เก็บของวัดบ้านนา</v>
      </c>
      <c r="I365" s="3" t="str">
        <f>IFERROR(__xludf.DUMMYFUNCTION("""COMPUTED_VALUE"""),"วัดบ้านนา")</f>
        <v>วัดบ้านนา</v>
      </c>
      <c r="J365" s="12">
        <f>IFERROR(__xludf.DUMMYFUNCTION("""COMPUTED_VALUE"""),45939.0)</f>
        <v>45939</v>
      </c>
      <c r="K365" s="3" t="str">
        <f>IFERROR(__xludf.DUMMYFUNCTION("""COMPUTED_VALUE"""),"1000-1200")</f>
        <v>1000-1200</v>
      </c>
      <c r="L365" s="3">
        <f>IFERROR(__xludf.DUMMYFUNCTION("""COMPUTED_VALUE"""),2.0)</f>
        <v>2</v>
      </c>
      <c r="M365" s="3" t="str">
        <f>IFERROR(__xludf.DUMMYFUNCTION("""COMPUTED_VALUE"""),"นางรัตติกาล หงษ์ศิริ")</f>
        <v>นางรัตติกาล หงษ์ศิริ</v>
      </c>
      <c r="N365" s="14" t="str">
        <f>IFERROR(__xludf.DUMMYFUNCTION("""COMPUTED_VALUE"""),"https://lh5.googleusercontent.com/d/1kZcQsK7CLNiY3NMEt-XEwkGCk2Deg8uk")</f>
        <v>https://lh5.googleusercontent.com/d/1kZcQsK7CLNiY3NMEt-XEwkGCk2Deg8uk</v>
      </c>
      <c r="O365" s="14" t="str">
        <f>IFERROR(__xludf.DUMMYFUNCTION("""COMPUTED_VALUE"""),"https://drive.google.com/file/d/1Sh78VHBxZt_MpL6vKr42CS_Y8_uwNvyc/view?usp=drivesdk")</f>
        <v>https://drive.google.com/file/d/1Sh78VHBxZt_MpL6vKr42CS_Y8_uwNvyc/view?usp=drivesdk</v>
      </c>
    </row>
    <row r="366">
      <c r="A366" s="3">
        <f>IFERROR(__xludf.DUMMYFUNCTION("""COMPUTED_VALUE"""),1809.0)</f>
        <v>1809</v>
      </c>
      <c r="B366" s="11">
        <f>IFERROR(__xludf.DUMMYFUNCTION("""COMPUTED_VALUE"""),45999.92962166666)</f>
        <v>45999.92962</v>
      </c>
      <c r="C366" s="3" t="str">
        <f>IFERROR(__xludf.DUMMYFUNCTION("""COMPUTED_VALUE"""),"ชั้นปีที่ 4")</f>
        <v>ชั้นปีที่ 4</v>
      </c>
      <c r="D366" s="3" t="str">
        <f>IFERROR(__xludf.DUMMYFUNCTION("""COMPUTED_VALUE"""),"6503735")</f>
        <v>6503735</v>
      </c>
      <c r="E366" s="3" t="str">
        <f>IFERROR(__xludf.DUMMYFUNCTION("""COMPUTED_VALUE"""),"45")</f>
        <v>45</v>
      </c>
      <c r="F366" s="3" t="str">
        <f>IFERROR(__xludf.DUMMYFUNCTION("""COMPUTED_VALUE"""),"นพอ.มัญชุสา อภิรมย์ชวาล")</f>
        <v>นพอ.มัญชุสา อภิรมย์ชวาล</v>
      </c>
      <c r="G366" s="3" t="str">
        <f>IFERROR(__xludf.DUMMYFUNCTION("""COMPUTED_VALUE"""),"งานฟรีทั่วไป")</f>
        <v>งานฟรีทั่วไป</v>
      </c>
      <c r="H366" s="3" t="str">
        <f>IFERROR(__xludf.DUMMYFUNCTION("""COMPUTED_VALUE"""),"เก็บของวัดบ้านนา")</f>
        <v>เก็บของวัดบ้านนา</v>
      </c>
      <c r="I366" s="3" t="str">
        <f>IFERROR(__xludf.DUMMYFUNCTION("""COMPUTED_VALUE"""),"วัดบ้านนา")</f>
        <v>วัดบ้านนา</v>
      </c>
      <c r="J366" s="12">
        <f>IFERROR(__xludf.DUMMYFUNCTION("""COMPUTED_VALUE"""),45939.0)</f>
        <v>45939</v>
      </c>
      <c r="K366" s="3" t="str">
        <f>IFERROR(__xludf.DUMMYFUNCTION("""COMPUTED_VALUE"""),"1000-1200")</f>
        <v>1000-1200</v>
      </c>
      <c r="L366" s="3">
        <f>IFERROR(__xludf.DUMMYFUNCTION("""COMPUTED_VALUE"""),2.0)</f>
        <v>2</v>
      </c>
      <c r="M366" s="3" t="str">
        <f>IFERROR(__xludf.DUMMYFUNCTION("""COMPUTED_VALUE"""),"นางรัตติกาล หงษ์ศิริ")</f>
        <v>นางรัตติกาล หงษ์ศิริ</v>
      </c>
      <c r="N366" s="14" t="str">
        <f>IFERROR(__xludf.DUMMYFUNCTION("""COMPUTED_VALUE"""),"https://lh5.googleusercontent.com/d/1B6Ctfb5nV52KsmLZq2ENca6BE5KhmKmf")</f>
        <v>https://lh5.googleusercontent.com/d/1B6Ctfb5nV52KsmLZq2ENca6BE5KhmKmf</v>
      </c>
      <c r="O366" s="3"/>
    </row>
    <row r="367">
      <c r="A367" s="3">
        <f>IFERROR(__xludf.DUMMYFUNCTION("""COMPUTED_VALUE"""),1810.0)</f>
        <v>1810</v>
      </c>
      <c r="B367" s="11">
        <f>IFERROR(__xludf.DUMMYFUNCTION("""COMPUTED_VALUE"""),45999.92967099536)</f>
        <v>45999.92967</v>
      </c>
      <c r="C367" s="3" t="str">
        <f>IFERROR(__xludf.DUMMYFUNCTION("""COMPUTED_VALUE"""),"ชั้นปีที่ 4")</f>
        <v>ชั้นปีที่ 4</v>
      </c>
      <c r="D367" s="3" t="str">
        <f>IFERROR(__xludf.DUMMYFUNCTION("""COMPUTED_VALUE"""),"6503725")</f>
        <v>6503725</v>
      </c>
      <c r="E367" s="3" t="str">
        <f>IFERROR(__xludf.DUMMYFUNCTION("""COMPUTED_VALUE"""),"35")</f>
        <v>35</v>
      </c>
      <c r="F367" s="3" t="str">
        <f>IFERROR(__xludf.DUMMYFUNCTION("""COMPUTED_VALUE"""),"นพอ.ปัทมาภรณ์ ดวงดี")</f>
        <v>นพอ.ปัทมาภรณ์ ดวงดี</v>
      </c>
      <c r="G367" s="3" t="str">
        <f>IFERROR(__xludf.DUMMYFUNCTION("""COMPUTED_VALUE"""),"ช่วยเหลืองานภายใน วพอ.")</f>
        <v>ช่วยเหลืองานภายใน วพอ.</v>
      </c>
      <c r="H367" s="3" t="str">
        <f>IFERROR(__xludf.DUMMYFUNCTION("""COMPUTED_VALUE"""),"ขนของหอชาย")</f>
        <v>ขนของหอชาย</v>
      </c>
      <c r="I367" s="3" t="str">
        <f>IFERROR(__xludf.DUMMYFUNCTION("""COMPUTED_VALUE"""),"อาคารศูนย์การเรียนรู้")</f>
        <v>อาคารศูนย์การเรียนรู้</v>
      </c>
      <c r="J367" s="12">
        <f>IFERROR(__xludf.DUMMYFUNCTION("""COMPUTED_VALUE"""),45876.0)</f>
        <v>45876</v>
      </c>
      <c r="K367" s="3" t="str">
        <f>IFERROR(__xludf.DUMMYFUNCTION("""COMPUTED_VALUE"""),"1700-1900")</f>
        <v>1700-1900</v>
      </c>
      <c r="L367" s="3">
        <f>IFERROR(__xludf.DUMMYFUNCTION("""COMPUTED_VALUE"""),2.0)</f>
        <v>2</v>
      </c>
      <c r="M367" s="3" t="str">
        <f>IFERROR(__xludf.DUMMYFUNCTION("""COMPUTED_VALUE"""),"ร.อ.อนุชิต ทำจะดี")</f>
        <v>ร.อ.อนุชิต ทำจะดี</v>
      </c>
      <c r="N367" s="14" t="str">
        <f>IFERROR(__xludf.DUMMYFUNCTION("""COMPUTED_VALUE"""),"https://lh5.googleusercontent.com/d/163Egp7JVbWTwLdcWMKBAMowkFhDIKokn")</f>
        <v>https://lh5.googleusercontent.com/d/163Egp7JVbWTwLdcWMKBAMowkFhDIKokn</v>
      </c>
      <c r="O367" s="14" t="str">
        <f>IFERROR(__xludf.DUMMYFUNCTION("""COMPUTED_VALUE"""),"https://drive.google.com/file/d/18PJO_gUf1xyF8qk23o5DaunTdlVHd4PV/view?usp=drivesdk")</f>
        <v>https://drive.google.com/file/d/18PJO_gUf1xyF8qk23o5DaunTdlVHd4PV/view?usp=drivesdk</v>
      </c>
    </row>
    <row r="368">
      <c r="A368" s="3">
        <f>IFERROR(__xludf.DUMMYFUNCTION("""COMPUTED_VALUE"""),1811.0)</f>
        <v>1811</v>
      </c>
      <c r="B368" s="11">
        <f>IFERROR(__xludf.DUMMYFUNCTION("""COMPUTED_VALUE"""),45999.932775787034)</f>
        <v>45999.93278</v>
      </c>
      <c r="C368" s="3" t="str">
        <f>IFERROR(__xludf.DUMMYFUNCTION("""COMPUTED_VALUE"""),"ชั้นปีที่ 4")</f>
        <v>ชั้นปีที่ 4</v>
      </c>
      <c r="D368" s="3" t="str">
        <f>IFERROR(__xludf.DUMMYFUNCTION("""COMPUTED_VALUE"""),"6503725")</f>
        <v>6503725</v>
      </c>
      <c r="E368" s="3" t="str">
        <f>IFERROR(__xludf.DUMMYFUNCTION("""COMPUTED_VALUE"""),"35")</f>
        <v>35</v>
      </c>
      <c r="F368" s="3" t="str">
        <f>IFERROR(__xludf.DUMMYFUNCTION("""COMPUTED_VALUE"""),"นพอ.ปัทมาภรณ์ ดวงดี")</f>
        <v>นพอ.ปัทมาภรณ์ ดวงดี</v>
      </c>
      <c r="G36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8" s="3" t="str">
        <f>IFERROR(__xludf.DUMMYFUNCTION("""COMPUTED_VALUE"""),"ร่วมโครงการคัดกรองสุขภาพเชิงรุกกำลังพลทอ.")</f>
        <v>ร่วมโครงการคัดกรองสุขภาพเชิงรุกกำลังพลทอ.</v>
      </c>
      <c r="I368" s="3" t="str">
        <f>IFERROR(__xludf.DUMMYFUNCTION("""COMPUTED_VALUE"""),"สโมสรทหารอากาศชั้นประทวน")</f>
        <v>สโมสรทหารอากาศชั้นประทวน</v>
      </c>
      <c r="J368" s="12">
        <f>IFERROR(__xludf.DUMMYFUNCTION("""COMPUTED_VALUE"""),45854.0)</f>
        <v>45854</v>
      </c>
      <c r="K368" s="3" t="str">
        <f>IFERROR(__xludf.DUMMYFUNCTION("""COMPUTED_VALUE"""),"0700-1300")</f>
        <v>0700-1300</v>
      </c>
      <c r="L368" s="3">
        <f>IFERROR(__xludf.DUMMYFUNCTION("""COMPUTED_VALUE"""),6.0)</f>
        <v>6</v>
      </c>
      <c r="M368" s="3" t="str">
        <f>IFERROR(__xludf.DUMMYFUNCTION("""COMPUTED_VALUE"""),"น.ต.หญิง ตวงทิพย์ ลดาวัลย์")</f>
        <v>น.ต.หญิง ตวงทิพย์ ลดาวัลย์</v>
      </c>
      <c r="N368" s="14" t="str">
        <f>IFERROR(__xludf.DUMMYFUNCTION("""COMPUTED_VALUE"""),"https://lh5.googleusercontent.com/d/1RTpuonJ7Z06MFW_5_zfj2f_5iNiJ3LF5")</f>
        <v>https://lh5.googleusercontent.com/d/1RTpuonJ7Z06MFW_5_zfj2f_5iNiJ3LF5</v>
      </c>
      <c r="O368" s="14" t="str">
        <f>IFERROR(__xludf.DUMMYFUNCTION("""COMPUTED_VALUE"""),"https://drive.google.com/file/d/1e8zRFl1sb2Ga_CE7evolTMUZjpxkdBYa/view?usp=drivesdk")</f>
        <v>https://drive.google.com/file/d/1e8zRFl1sb2Ga_CE7evolTMUZjpxkdBYa/view?usp=drivesdk</v>
      </c>
    </row>
    <row r="369">
      <c r="A369" s="3">
        <f>IFERROR(__xludf.DUMMYFUNCTION("""COMPUTED_VALUE"""),1812.0)</f>
        <v>1812</v>
      </c>
      <c r="B369" s="11">
        <f>IFERROR(__xludf.DUMMYFUNCTION("""COMPUTED_VALUE"""),45999.93321144676)</f>
        <v>45999.93321</v>
      </c>
      <c r="C369" s="3" t="str">
        <f>IFERROR(__xludf.DUMMYFUNCTION("""COMPUTED_VALUE"""),"ชั้นปีที่ 4")</f>
        <v>ชั้นปีที่ 4</v>
      </c>
      <c r="D369" s="3" t="str">
        <f>IFERROR(__xludf.DUMMYFUNCTION("""COMPUTED_VALUE"""),"6503727")</f>
        <v>6503727</v>
      </c>
      <c r="E369" s="3" t="str">
        <f>IFERROR(__xludf.DUMMYFUNCTION("""COMPUTED_VALUE"""),"37")</f>
        <v>37</v>
      </c>
      <c r="F369" s="3" t="str">
        <f>IFERROR(__xludf.DUMMYFUNCTION("""COMPUTED_VALUE"""),"นพอ.ผกาวรรณ เรืองเนตร")</f>
        <v>นพอ.ผกาวรรณ เรืองเนตร</v>
      </c>
      <c r="G369" s="3" t="str">
        <f>IFERROR(__xludf.DUMMYFUNCTION("""COMPUTED_VALUE"""),"ช่วยเหลืองานภายใน วพอ.")</f>
        <v>ช่วยเหลืองานภายใน วพอ.</v>
      </c>
      <c r="H369" s="3" t="str">
        <f>IFERROR(__xludf.DUMMYFUNCTION("""COMPUTED_VALUE"""),"ขนของหอชาย")</f>
        <v>ขนของหอชาย</v>
      </c>
      <c r="I369" s="3" t="str">
        <f>IFERROR(__xludf.DUMMYFUNCTION("""COMPUTED_VALUE"""),"หอพักนพอ.ชาย")</f>
        <v>หอพักนพอ.ชาย</v>
      </c>
      <c r="J369" s="12">
        <f>IFERROR(__xludf.DUMMYFUNCTION("""COMPUTED_VALUE"""),45876.0)</f>
        <v>45876</v>
      </c>
      <c r="K369" s="3" t="str">
        <f>IFERROR(__xludf.DUMMYFUNCTION("""COMPUTED_VALUE"""),"1800-2000")</f>
        <v>1800-2000</v>
      </c>
      <c r="L369" s="3">
        <f>IFERROR(__xludf.DUMMYFUNCTION("""COMPUTED_VALUE"""),2.0)</f>
        <v>2</v>
      </c>
      <c r="M36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69" s="14" t="str">
        <f>IFERROR(__xludf.DUMMYFUNCTION("""COMPUTED_VALUE"""),"https://lh5.googleusercontent.com/d/1_HppVHz40nzJ0HJJlWSlzJ7ioZqL6U5z")</f>
        <v>https://lh5.googleusercontent.com/d/1_HppVHz40nzJ0HJJlWSlzJ7ioZqL6U5z</v>
      </c>
      <c r="O369" s="14" t="str">
        <f>IFERROR(__xludf.DUMMYFUNCTION("""COMPUTED_VALUE"""),"https://drive.google.com/file/d/1YkClxHvhjSU3Hzg_Fk3KDS5bgkiRCB6X/view?usp=drivesdk")</f>
        <v>https://drive.google.com/file/d/1YkClxHvhjSU3Hzg_Fk3KDS5bgkiRCB6X/view?usp=drivesdk</v>
      </c>
    </row>
    <row r="370">
      <c r="A370" s="3">
        <f>IFERROR(__xludf.DUMMYFUNCTION("""COMPUTED_VALUE"""),1818.0)</f>
        <v>1818</v>
      </c>
      <c r="B370" s="11">
        <f>IFERROR(__xludf.DUMMYFUNCTION("""COMPUTED_VALUE"""),45999.94377796296)</f>
        <v>45999.94378</v>
      </c>
      <c r="C370" s="3" t="str">
        <f>IFERROR(__xludf.DUMMYFUNCTION("""COMPUTED_VALUE"""),"ชั้นปีที่ 4")</f>
        <v>ชั้นปีที่ 4</v>
      </c>
      <c r="D370" s="3" t="str">
        <f>IFERROR(__xludf.DUMMYFUNCTION("""COMPUTED_VALUE"""),"6503727")</f>
        <v>6503727</v>
      </c>
      <c r="E370" s="3" t="str">
        <f>IFERROR(__xludf.DUMMYFUNCTION("""COMPUTED_VALUE"""),"37")</f>
        <v>37</v>
      </c>
      <c r="F370" s="3" t="str">
        <f>IFERROR(__xludf.DUMMYFUNCTION("""COMPUTED_VALUE"""),"นพอ.ผกาวรรณ เรืองเนตร")</f>
        <v>นพอ.ผกาวรรณ เรืองเนตร</v>
      </c>
      <c r="G37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0" s="3" t="str">
        <f>IFERROR(__xludf.DUMMYFUNCTION("""COMPUTED_VALUE"""),"บริจาคเลือด")</f>
        <v>บริจาคเลือด</v>
      </c>
      <c r="I370" s="3" t="str">
        <f>IFERROR(__xludf.DUMMYFUNCTION("""COMPUTED_VALUE"""),"สภากาชาดไทย")</f>
        <v>สภากาชาดไทย</v>
      </c>
      <c r="J370" s="12">
        <f>IFERROR(__xludf.DUMMYFUNCTION("""COMPUTED_VALUE"""),45997.0)</f>
        <v>45997</v>
      </c>
      <c r="K370" s="3" t="str">
        <f>IFERROR(__xludf.DUMMYFUNCTION("""COMPUTED_VALUE"""),"0900-1200")</f>
        <v>0900-1200</v>
      </c>
      <c r="L370" s="3">
        <f>IFERROR(__xludf.DUMMYFUNCTION("""COMPUTED_VALUE"""),8.0)</f>
        <v>8</v>
      </c>
      <c r="M370" s="3" t="str">
        <f>IFERROR(__xludf.DUMMYFUNCTION("""COMPUTED_VALUE"""),"ร.อ.อนุชิต ทำจะดี")</f>
        <v>ร.อ.อนุชิต ทำจะดี</v>
      </c>
      <c r="N370" s="14" t="str">
        <f>IFERROR(__xludf.DUMMYFUNCTION("""COMPUTED_VALUE"""),"https://lh5.googleusercontent.com/d/1zNmFzJMDJyutptNTk3Ch7rUq42XtscTM")</f>
        <v>https://lh5.googleusercontent.com/d/1zNmFzJMDJyutptNTk3Ch7rUq42XtscTM</v>
      </c>
      <c r="O370" s="14" t="str">
        <f>IFERROR(__xludf.DUMMYFUNCTION("""COMPUTED_VALUE"""),"https://drive.google.com/file/d/1-EYzOjBR37g3Q9x5XrbqzN4_uYtb9WkC/view?usp=drivesdk")</f>
        <v>https://drive.google.com/file/d/1-EYzOjBR37g3Q9x5XrbqzN4_uYtb9WkC/view?usp=drivesdk</v>
      </c>
    </row>
    <row r="371">
      <c r="A371" s="3">
        <f>IFERROR(__xludf.DUMMYFUNCTION("""COMPUTED_VALUE"""),1826.0)</f>
        <v>1826</v>
      </c>
      <c r="B371" s="11">
        <f>IFERROR(__xludf.DUMMYFUNCTION("""COMPUTED_VALUE"""),45999.95367591435)</f>
        <v>45999.95368</v>
      </c>
      <c r="C371" s="3" t="str">
        <f>IFERROR(__xludf.DUMMYFUNCTION("""COMPUTED_VALUE"""),"ชั้นปีที่ 4")</f>
        <v>ชั้นปีที่ 4</v>
      </c>
      <c r="D371" s="3" t="str">
        <f>IFERROR(__xludf.DUMMYFUNCTION("""COMPUTED_VALUE"""),"6503727")</f>
        <v>6503727</v>
      </c>
      <c r="E371" s="3" t="str">
        <f>IFERROR(__xludf.DUMMYFUNCTION("""COMPUTED_VALUE"""),"37")</f>
        <v>37</v>
      </c>
      <c r="F371" s="3" t="str">
        <f>IFERROR(__xludf.DUMMYFUNCTION("""COMPUTED_VALUE"""),"นพอ.ผกาวรรณ เรืองเนตร")</f>
        <v>นพอ.ผกาวรรณ เรืองเนตร</v>
      </c>
      <c r="G37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1" s="3" t="str">
        <f>IFERROR(__xludf.DUMMYFUNCTION("""COMPUTED_VALUE"""),"บริจาคเลือด")</f>
        <v>บริจาคเลือด</v>
      </c>
      <c r="I371" s="3" t="str">
        <f>IFERROR(__xludf.DUMMYFUNCTION("""COMPUTED_VALUE"""),"สภากาชาดไทย")</f>
        <v>สภากาชาดไทย</v>
      </c>
      <c r="J371" s="12">
        <f>IFERROR(__xludf.DUMMYFUNCTION("""COMPUTED_VALUE"""),45794.0)</f>
        <v>45794</v>
      </c>
      <c r="K371" s="3" t="str">
        <f>IFERROR(__xludf.DUMMYFUNCTION("""COMPUTED_VALUE"""),"0900-1200")</f>
        <v>0900-1200</v>
      </c>
      <c r="L371" s="3">
        <f>IFERROR(__xludf.DUMMYFUNCTION("""COMPUTED_VALUE"""),8.0)</f>
        <v>8</v>
      </c>
      <c r="M371" s="3" t="str">
        <f>IFERROR(__xludf.DUMMYFUNCTION("""COMPUTED_VALUE"""),"ร.อ.อนุชิต ทำจะดี")</f>
        <v>ร.อ.อนุชิต ทำจะดี</v>
      </c>
      <c r="N371" s="14" t="str">
        <f>IFERROR(__xludf.DUMMYFUNCTION("""COMPUTED_VALUE"""),"https://lh5.googleusercontent.com/d/1eLEKqfPH_nsas8UAyk5-sHDvdoLNXuxu")</f>
        <v>https://lh5.googleusercontent.com/d/1eLEKqfPH_nsas8UAyk5-sHDvdoLNXuxu</v>
      </c>
      <c r="O371" s="14" t="str">
        <f>IFERROR(__xludf.DUMMYFUNCTION("""COMPUTED_VALUE"""),"https://drive.google.com/file/d/1_CnLEwKu4svqIQVlC0f7zCTjiL_8nOSf/view?usp=drivesdk")</f>
        <v>https://drive.google.com/file/d/1_CnLEwKu4svqIQVlC0f7zCTjiL_8nOSf/view?usp=drivesdk</v>
      </c>
    </row>
    <row r="372">
      <c r="A372" s="3">
        <f>IFERROR(__xludf.DUMMYFUNCTION("""COMPUTED_VALUE"""),1837.0)</f>
        <v>1837</v>
      </c>
      <c r="B372" s="11">
        <f>IFERROR(__xludf.DUMMYFUNCTION("""COMPUTED_VALUE"""),45999.96605282407)</f>
        <v>45999.96605</v>
      </c>
      <c r="C372" s="3" t="str">
        <f>IFERROR(__xludf.DUMMYFUNCTION("""COMPUTED_VALUE"""),"ชั้นปีที่ 4")</f>
        <v>ชั้นปีที่ 4</v>
      </c>
      <c r="D372" s="3" t="str">
        <f>IFERROR(__xludf.DUMMYFUNCTION("""COMPUTED_VALUE"""),"6503727")</f>
        <v>6503727</v>
      </c>
      <c r="E372" s="3" t="str">
        <f>IFERROR(__xludf.DUMMYFUNCTION("""COMPUTED_VALUE"""),"37")</f>
        <v>37</v>
      </c>
      <c r="F372" s="3" t="str">
        <f>IFERROR(__xludf.DUMMYFUNCTION("""COMPUTED_VALUE"""),"นพอ.ผกาวรรณ เรืองเนตร")</f>
        <v>นพอ.ผกาวรรณ เรืองเนตร</v>
      </c>
      <c r="G372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2" s="3" t="str">
        <f>IFERROR(__xludf.DUMMYFUNCTION("""COMPUTED_VALUE"""),"บริจาคเลือด")</f>
        <v>บริจาคเลือด</v>
      </c>
      <c r="I372" s="3" t="str">
        <f>IFERROR(__xludf.DUMMYFUNCTION("""COMPUTED_VALUE"""),"สภากาชาดไทย")</f>
        <v>สภากาชาดไทย</v>
      </c>
      <c r="J372" s="12">
        <f>IFERROR(__xludf.DUMMYFUNCTION("""COMPUTED_VALUE"""),45794.0)</f>
        <v>45794</v>
      </c>
      <c r="K372" s="3" t="str">
        <f>IFERROR(__xludf.DUMMYFUNCTION("""COMPUTED_VALUE"""),"0900-1200")</f>
        <v>0900-1200</v>
      </c>
      <c r="L372" s="3">
        <f>IFERROR(__xludf.DUMMYFUNCTION("""COMPUTED_VALUE"""),8.0)</f>
        <v>8</v>
      </c>
      <c r="M372" s="3" t="str">
        <f>IFERROR(__xludf.DUMMYFUNCTION("""COMPUTED_VALUE"""),"ร.อ.อนุชิต ทำจะดี")</f>
        <v>ร.อ.อนุชิต ทำจะดี</v>
      </c>
      <c r="N372" s="14" t="str">
        <f>IFERROR(__xludf.DUMMYFUNCTION("""COMPUTED_VALUE"""),"https://lh5.googleusercontent.com/d/1QZpM4uqTSHCIkgFkZpr9LPflsaHFgwB3")</f>
        <v>https://lh5.googleusercontent.com/d/1QZpM4uqTSHCIkgFkZpr9LPflsaHFgwB3</v>
      </c>
      <c r="O372" s="14" t="str">
        <f>IFERROR(__xludf.DUMMYFUNCTION("""COMPUTED_VALUE"""),"https://drive.google.com/file/d/1lFKiZzCwitSv4TRdta4pOBDkYx88TX2T/view?usp=drivesdk")</f>
        <v>https://drive.google.com/file/d/1lFKiZzCwitSv4TRdta4pOBDkYx88TX2T/view?usp=drivesdk</v>
      </c>
    </row>
    <row r="373">
      <c r="A373" s="3">
        <f>IFERROR(__xludf.DUMMYFUNCTION("""COMPUTED_VALUE"""),1846.0)</f>
        <v>1846</v>
      </c>
      <c r="B373" s="11">
        <f>IFERROR(__xludf.DUMMYFUNCTION("""COMPUTED_VALUE"""),45999.983181041665)</f>
        <v>45999.98318</v>
      </c>
      <c r="C373" s="3" t="str">
        <f>IFERROR(__xludf.DUMMYFUNCTION("""COMPUTED_VALUE"""),"ชั้นปีที่ 4")</f>
        <v>ชั้นปีที่ 4</v>
      </c>
      <c r="D373" s="3" t="str">
        <f>IFERROR(__xludf.DUMMYFUNCTION("""COMPUTED_VALUE"""),"6503727")</f>
        <v>6503727</v>
      </c>
      <c r="E373" s="3" t="str">
        <f>IFERROR(__xludf.DUMMYFUNCTION("""COMPUTED_VALUE"""),"37")</f>
        <v>37</v>
      </c>
      <c r="F373" s="3" t="str">
        <f>IFERROR(__xludf.DUMMYFUNCTION("""COMPUTED_VALUE"""),"นพอ.ผกาวรรณ เรืองเนตร")</f>
        <v>นพอ.ผกาวรรณ เรืองเนตร</v>
      </c>
      <c r="G37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3" s="3" t="str">
        <f>IFERROR(__xludf.DUMMYFUNCTION("""COMPUTED_VALUE"""),"บริจาคเลือด")</f>
        <v>บริจาคเลือด</v>
      </c>
      <c r="I373" s="3" t="str">
        <f>IFERROR(__xludf.DUMMYFUNCTION("""COMPUTED_VALUE"""),"สภากาชาดไทย")</f>
        <v>สภากาชาดไทย</v>
      </c>
      <c r="J373" s="12">
        <f>IFERROR(__xludf.DUMMYFUNCTION("""COMPUTED_VALUE"""),45997.0)</f>
        <v>45997</v>
      </c>
      <c r="K373" s="3" t="str">
        <f>IFERROR(__xludf.DUMMYFUNCTION("""COMPUTED_VALUE"""),"0900-1200")</f>
        <v>0900-1200</v>
      </c>
      <c r="L373" s="3">
        <f>IFERROR(__xludf.DUMMYFUNCTION("""COMPUTED_VALUE"""),8.0)</f>
        <v>8</v>
      </c>
      <c r="M373" s="3" t="str">
        <f>IFERROR(__xludf.DUMMYFUNCTION("""COMPUTED_VALUE"""),"ร.อ.อนุชิต ทำจะดี")</f>
        <v>ร.อ.อนุชิต ทำจะดี</v>
      </c>
      <c r="N373" s="14" t="str">
        <f>IFERROR(__xludf.DUMMYFUNCTION("""COMPUTED_VALUE"""),"https://lh5.googleusercontent.com/d/1u9vhDhuAWmXPq7XkIactKtXLS2bjviBD")</f>
        <v>https://lh5.googleusercontent.com/d/1u9vhDhuAWmXPq7XkIactKtXLS2bjviBD</v>
      </c>
      <c r="O373" s="14" t="str">
        <f>IFERROR(__xludf.DUMMYFUNCTION("""COMPUTED_VALUE"""),"https://drive.google.com/file/d/1hapIfRxUFv-sKortnX1GCb47L8fHKHpN/view?usp=drivesdk")</f>
        <v>https://drive.google.com/file/d/1hapIfRxUFv-sKortnX1GCb47L8fHKHpN/view?usp=drivesdk</v>
      </c>
    </row>
    <row r="374">
      <c r="A374" s="3">
        <f>IFERROR(__xludf.DUMMYFUNCTION("""COMPUTED_VALUE"""),1847.0)</f>
        <v>1847</v>
      </c>
      <c r="B374" s="11">
        <f>IFERROR(__xludf.DUMMYFUNCTION("""COMPUTED_VALUE"""),45999.984397581014)</f>
        <v>45999.9844</v>
      </c>
      <c r="C374" s="3" t="str">
        <f>IFERROR(__xludf.DUMMYFUNCTION("""COMPUTED_VALUE"""),"ชั้นปีที่ 4")</f>
        <v>ชั้นปีที่ 4</v>
      </c>
      <c r="D374" s="3" t="str">
        <f>IFERROR(__xludf.DUMMYFUNCTION("""COMPUTED_VALUE"""),"6503727")</f>
        <v>6503727</v>
      </c>
      <c r="E374" s="3" t="str">
        <f>IFERROR(__xludf.DUMMYFUNCTION("""COMPUTED_VALUE"""),"37")</f>
        <v>37</v>
      </c>
      <c r="F374" s="3" t="str">
        <f>IFERROR(__xludf.DUMMYFUNCTION("""COMPUTED_VALUE"""),"นพอ.ผกาวรรณ เรืองเนตร")</f>
        <v>นพอ.ผกาวรรณ เรืองเนตร</v>
      </c>
      <c r="G37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4" s="3" t="str">
        <f>IFERROR(__xludf.DUMMYFUNCTION("""COMPUTED_VALUE"""),"บริจาคเลือด")</f>
        <v>บริจาคเลือด</v>
      </c>
      <c r="I374" s="3" t="str">
        <f>IFERROR(__xludf.DUMMYFUNCTION("""COMPUTED_VALUE"""),"สภากาชาดไทย")</f>
        <v>สภากาชาดไทย</v>
      </c>
      <c r="J374" s="12">
        <f>IFERROR(__xludf.DUMMYFUNCTION("""COMPUTED_VALUE"""),45997.0)</f>
        <v>45997</v>
      </c>
      <c r="K374" s="3" t="str">
        <f>IFERROR(__xludf.DUMMYFUNCTION("""COMPUTED_VALUE"""),"0900-1200")</f>
        <v>0900-1200</v>
      </c>
      <c r="L374" s="3">
        <f>IFERROR(__xludf.DUMMYFUNCTION("""COMPUTED_VALUE"""),8.0)</f>
        <v>8</v>
      </c>
      <c r="M374" s="3" t="str">
        <f>IFERROR(__xludf.DUMMYFUNCTION("""COMPUTED_VALUE"""),"ร.อ.อนุชิต ทำจะดี")</f>
        <v>ร.อ.อนุชิต ทำจะดี</v>
      </c>
      <c r="N374" s="14" t="str">
        <f>IFERROR(__xludf.DUMMYFUNCTION("""COMPUTED_VALUE"""),"https://lh5.googleusercontent.com/d/1irviaXPE8ySLzfqAqeQlOrexnJOq5Gb5")</f>
        <v>https://lh5.googleusercontent.com/d/1irviaXPE8ySLzfqAqeQlOrexnJOq5Gb5</v>
      </c>
      <c r="O374" s="14" t="str">
        <f>IFERROR(__xludf.DUMMYFUNCTION("""COMPUTED_VALUE"""),"https://drive.google.com/file/d/1wnguZxsd1r039Np6nU1jzYNB2gnY1t54/view?usp=drivesdk")</f>
        <v>https://drive.google.com/file/d/1wnguZxsd1r039Np6nU1jzYNB2gnY1t54/view?usp=drivesdk</v>
      </c>
    </row>
    <row r="375">
      <c r="A375" s="3">
        <f>IFERROR(__xludf.DUMMYFUNCTION("""COMPUTED_VALUE"""),1849.0)</f>
        <v>1849</v>
      </c>
      <c r="B375" s="11">
        <f>IFERROR(__xludf.DUMMYFUNCTION("""COMPUTED_VALUE"""),45999.98791293982)</f>
        <v>45999.98791</v>
      </c>
      <c r="C375" s="3" t="str">
        <f>IFERROR(__xludf.DUMMYFUNCTION("""COMPUTED_VALUE"""),"ชั้นปีที่ 4")</f>
        <v>ชั้นปีที่ 4</v>
      </c>
      <c r="D375" s="3" t="str">
        <f>IFERROR(__xludf.DUMMYFUNCTION("""COMPUTED_VALUE"""),"6503727")</f>
        <v>6503727</v>
      </c>
      <c r="E375" s="3" t="str">
        <f>IFERROR(__xludf.DUMMYFUNCTION("""COMPUTED_VALUE"""),"37")</f>
        <v>37</v>
      </c>
      <c r="F375" s="3" t="str">
        <f>IFERROR(__xludf.DUMMYFUNCTION("""COMPUTED_VALUE"""),"นพอ.ผกาวรรณ เรืองเนตร")</f>
        <v>นพอ.ผกาวรรณ เรืองเนตร</v>
      </c>
      <c r="G375" s="3" t="str">
        <f>IFERROR(__xludf.DUMMYFUNCTION("""COMPUTED_VALUE"""),"ช่วยเหลืองานภายใน วพอ.")</f>
        <v>ช่วยเหลืองานภายใน วพอ.</v>
      </c>
      <c r="H375" s="3" t="str">
        <f>IFERROR(__xludf.DUMMYFUNCTION("""COMPUTED_VALUE"""),"ขนของหอชาย")</f>
        <v>ขนของหอชาย</v>
      </c>
      <c r="I375" s="3" t="str">
        <f>IFERROR(__xludf.DUMMYFUNCTION("""COMPUTED_VALUE"""),"หอพักนพอ.ชาย")</f>
        <v>หอพักนพอ.ชาย</v>
      </c>
      <c r="J375" s="12">
        <f>IFERROR(__xludf.DUMMYFUNCTION("""COMPUTED_VALUE"""),45876.0)</f>
        <v>45876</v>
      </c>
      <c r="K375" s="3" t="str">
        <f>IFERROR(__xludf.DUMMYFUNCTION("""COMPUTED_VALUE"""),"1800-2000")</f>
        <v>1800-2000</v>
      </c>
      <c r="L375" s="3">
        <f>IFERROR(__xludf.DUMMYFUNCTION("""COMPUTED_VALUE"""),2.0)</f>
        <v>2</v>
      </c>
      <c r="M37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5" s="14" t="str">
        <f>IFERROR(__xludf.DUMMYFUNCTION("""COMPUTED_VALUE"""),"https://lh5.googleusercontent.com/d/1w6yGppmITFtqIiN1-uZwxoVYSq3WuI83")</f>
        <v>https://lh5.googleusercontent.com/d/1w6yGppmITFtqIiN1-uZwxoVYSq3WuI83</v>
      </c>
      <c r="O375" s="14" t="str">
        <f>IFERROR(__xludf.DUMMYFUNCTION("""COMPUTED_VALUE"""),"https://drive.google.com/file/d/1EqPHgovQ413qiUBgKUSEi9o-4sYs6loD/view?usp=drivesdk")</f>
        <v>https://drive.google.com/file/d/1EqPHgovQ413qiUBgKUSEi9o-4sYs6loD/view?usp=drivesdk</v>
      </c>
    </row>
    <row r="376">
      <c r="A376" s="3">
        <f>IFERROR(__xludf.DUMMYFUNCTION("""COMPUTED_VALUE"""),1851.0)</f>
        <v>1851</v>
      </c>
      <c r="B376" s="11">
        <f>IFERROR(__xludf.DUMMYFUNCTION("""COMPUTED_VALUE"""),45999.989537905094)</f>
        <v>45999.98954</v>
      </c>
      <c r="C376" s="3" t="str">
        <f>IFERROR(__xludf.DUMMYFUNCTION("""COMPUTED_VALUE"""),"ชั้นปีที่ 4")</f>
        <v>ชั้นปีที่ 4</v>
      </c>
      <c r="D376" s="3" t="str">
        <f>IFERROR(__xludf.DUMMYFUNCTION("""COMPUTED_VALUE"""),"6503727")</f>
        <v>6503727</v>
      </c>
      <c r="E376" s="3" t="str">
        <f>IFERROR(__xludf.DUMMYFUNCTION("""COMPUTED_VALUE"""),"37")</f>
        <v>37</v>
      </c>
      <c r="F376" s="3" t="str">
        <f>IFERROR(__xludf.DUMMYFUNCTION("""COMPUTED_VALUE"""),"นพอ.ผกาวรรณ เรืองเนตร")</f>
        <v>นพอ.ผกาวรรณ เรืองเนตร</v>
      </c>
      <c r="G376" s="3" t="str">
        <f>IFERROR(__xludf.DUMMYFUNCTION("""COMPUTED_VALUE"""),"ช่วยเหลืองานภายใน วพอ.")</f>
        <v>ช่วยเหลืองานภายใน วพอ.</v>
      </c>
      <c r="H376" s="3" t="str">
        <f>IFERROR(__xludf.DUMMYFUNCTION("""COMPUTED_VALUE"""),"ขนของหอชาย")</f>
        <v>ขนของหอชาย</v>
      </c>
      <c r="I376" s="3" t="str">
        <f>IFERROR(__xludf.DUMMYFUNCTION("""COMPUTED_VALUE"""),"หอพักนพอ.ชาย")</f>
        <v>หอพักนพอ.ชาย</v>
      </c>
      <c r="J376" s="12">
        <f>IFERROR(__xludf.DUMMYFUNCTION("""COMPUTED_VALUE"""),45876.0)</f>
        <v>45876</v>
      </c>
      <c r="K376" s="3" t="str">
        <f>IFERROR(__xludf.DUMMYFUNCTION("""COMPUTED_VALUE"""),"1800-2000")</f>
        <v>1800-2000</v>
      </c>
      <c r="L376" s="3">
        <f>IFERROR(__xludf.DUMMYFUNCTION("""COMPUTED_VALUE"""),2.0)</f>
        <v>2</v>
      </c>
      <c r="M37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6" s="14" t="str">
        <f>IFERROR(__xludf.DUMMYFUNCTION("""COMPUTED_VALUE"""),"https://lh5.googleusercontent.com/d/1mO0vBQ1jrb-gsSwYxkcSXdT9d6TrZiXW")</f>
        <v>https://lh5.googleusercontent.com/d/1mO0vBQ1jrb-gsSwYxkcSXdT9d6TrZiXW</v>
      </c>
      <c r="O376" s="14" t="str">
        <f>IFERROR(__xludf.DUMMYFUNCTION("""COMPUTED_VALUE"""),"https://drive.google.com/file/d/1mQUnD26DV1j9hb4mbTJCkLhxHI282u6j/view?usp=drivesdk")</f>
        <v>https://drive.google.com/file/d/1mQUnD26DV1j9hb4mbTJCkLhxHI282u6j/view?usp=drivesdk</v>
      </c>
    </row>
    <row r="377">
      <c r="A377" s="3">
        <f>IFERROR(__xludf.DUMMYFUNCTION("""COMPUTED_VALUE"""),1953.0)</f>
        <v>1953</v>
      </c>
      <c r="B377" s="11">
        <f>IFERROR(__xludf.DUMMYFUNCTION("""COMPUTED_VALUE"""),46080.51377265046)</f>
        <v>46080.51377</v>
      </c>
      <c r="C377" s="3" t="str">
        <f>IFERROR(__xludf.DUMMYFUNCTION("""COMPUTED_VALUE"""),"ชั้นปีที่ 4")</f>
        <v>ชั้นปีที่ 4</v>
      </c>
      <c r="D377" s="3" t="str">
        <f>IFERROR(__xludf.DUMMYFUNCTION("""COMPUTED_VALUE"""),"999999")</f>
        <v>999999</v>
      </c>
      <c r="E377" s="3" t="str">
        <f>IFERROR(__xludf.DUMMYFUNCTION("""COMPUTED_VALUE"""),"39")</f>
        <v>39</v>
      </c>
      <c r="F377" s="3" t="str">
        <f>IFERROR(__xludf.DUMMYFUNCTION("""COMPUTED_VALUE"""),"นพอ.พิธพิศาล ชัยสิทธิ์")</f>
        <v>นพอ.พิธพิศาล ชัยสิทธิ์</v>
      </c>
      <c r="G377" s="3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377" s="3" t="str">
        <f>IFERROR(__xludf.DUMMYFUNCTION("""COMPUTED_VALUE"""),"งานกาชาด")</f>
        <v>งานกาชาด</v>
      </c>
      <c r="I377" s="3" t="str">
        <f>IFERROR(__xludf.DUMMYFUNCTION("""COMPUTED_VALUE"""),"สวนลุมพินี")</f>
        <v>สวนลุมพินี</v>
      </c>
      <c r="J377" s="12">
        <f>IFERROR(__xludf.DUMMYFUNCTION("""COMPUTED_VALUE"""),46080.0)</f>
        <v>46080</v>
      </c>
      <c r="K377" s="3" t="str">
        <f>IFERROR(__xludf.DUMMYFUNCTION("""COMPUTED_VALUE"""),"1400-2200")</f>
        <v>1400-2200</v>
      </c>
      <c r="L377" s="3">
        <f>IFERROR(__xludf.DUMMYFUNCTION("""COMPUTED_VALUE"""),8.0)</f>
        <v>8</v>
      </c>
      <c r="M377" s="3" t="str">
        <f>IFERROR(__xludf.DUMMYFUNCTION("""COMPUTED_VALUE"""),"น.อ.หญิง ผศ. วัลลภา อันดารา")</f>
        <v>น.อ.หญิง ผศ. วัลลภา อันดารา</v>
      </c>
      <c r="N377" s="14" t="str">
        <f>IFERROR(__xludf.DUMMYFUNCTION("""COMPUTED_VALUE"""),"https://lh5.googleusercontent.com/d/1OvzHxXJsfzM2IrXs9KetQXqD9qHe0QgJ")</f>
        <v>https://lh5.googleusercontent.com/d/1OvzHxXJsfzM2IrXs9KetQXqD9qHe0QgJ</v>
      </c>
      <c r="O377" s="14" t="str">
        <f>IFERROR(__xludf.DUMMYFUNCTION("""COMPUTED_VALUE"""),"https://drive.google.com/file/d/1S1WwvpAJNPA0ovMxDmSjNf54iYAEJ2Xr/view?usp=drivesdk")</f>
        <v>https://drive.google.com/file/d/1S1WwvpAJNPA0ovMxDmSjNf54iYAEJ2Xr/view?usp=drivesdk</v>
      </c>
    </row>
    <row r="378">
      <c r="A378" s="3">
        <f>IFERROR(__xludf.DUMMYFUNCTION("""COMPUTED_VALUE"""),3527.0)</f>
        <v>3527</v>
      </c>
      <c r="B378" s="11">
        <f>IFERROR(__xludf.DUMMYFUNCTION("""COMPUTED_VALUE"""),46191.614620162036)</f>
        <v>46191.61462</v>
      </c>
      <c r="C378" s="3" t="str">
        <f>IFERROR(__xludf.DUMMYFUNCTION("""COMPUTED_VALUE"""),"ชั้นปีที่ 4")</f>
        <v>ชั้นปีที่ 4</v>
      </c>
      <c r="D378" s="3" t="str">
        <f>IFERROR(__xludf.DUMMYFUNCTION("""COMPUTED_VALUE"""),"4444")</f>
        <v>4444</v>
      </c>
      <c r="E378" s="3" t="str">
        <f>IFERROR(__xludf.DUMMYFUNCTION("""COMPUTED_VALUE"""),"Ssdd")</f>
        <v>Ssdd</v>
      </c>
      <c r="F378" s="3" t="str">
        <f>IFERROR(__xludf.DUMMYFUNCTION("""COMPUTED_VALUE"""),"Asnsn")</f>
        <v>Asnsn</v>
      </c>
      <c r="G378" s="3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378" s="3" t="str">
        <f>IFERROR(__xludf.DUMMYFUNCTION("""COMPUTED_VALUE"""),"Jssjjs")</f>
        <v>Jssjjs</v>
      </c>
      <c r="I378" s="3" t="str">
        <f>IFERROR(__xludf.DUMMYFUNCTION("""COMPUTED_VALUE"""),"Ssjj")</f>
        <v>Ssjj</v>
      </c>
      <c r="J378" s="12">
        <f>IFERROR(__xludf.DUMMYFUNCTION("""COMPUTED_VALUE"""),46191.0)</f>
        <v>46191</v>
      </c>
      <c r="K378" s="3" t="str">
        <f>IFERROR(__xludf.DUMMYFUNCTION("""COMPUTED_VALUE"""),"16")</f>
        <v>16</v>
      </c>
      <c r="L378" s="3">
        <f>IFERROR(__xludf.DUMMYFUNCTION("""COMPUTED_VALUE"""),3.0)</f>
        <v>3</v>
      </c>
      <c r="M378" s="3" t="str">
        <f>IFERROR(__xludf.DUMMYFUNCTION("""COMPUTED_VALUE"""),"Aasd")</f>
        <v>Aasd</v>
      </c>
      <c r="N378" s="14" t="str">
        <f>IFERROR(__xludf.DUMMYFUNCTION("""COMPUTED_VALUE"""),"https://lh5.googleusercontent.com/d/1EbiOse5qeeT8kFLnZ22FDuumThbqOUZa")</f>
        <v>https://lh5.googleusercontent.com/d/1EbiOse5qeeT8kFLnZ22FDuumThbqOUZa</v>
      </c>
      <c r="O378" s="14" t="str">
        <f>IFERROR(__xludf.DUMMYFUNCTION("""COMPUTED_VALUE"""),"https://drive.google.com/file/d/1A54doF8uE4D72AIdXJrQN2Uu3Ins-Nxn/view?usp=drivesdk")</f>
        <v>https://drive.google.com/file/d/1A54doF8uE4D72AIdXJrQN2Uu3Ins-Nxn/view?usp=drivesdk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N9"/>
    <hyperlink r:id="rId15" ref="O9"/>
    <hyperlink r:id="rId16" ref="N10"/>
    <hyperlink r:id="rId17" ref="O10"/>
    <hyperlink r:id="rId18" ref="N11"/>
    <hyperlink r:id="rId19" ref="O11"/>
    <hyperlink r:id="rId20" ref="N12"/>
    <hyperlink r:id="rId21" ref="O12"/>
    <hyperlink r:id="rId22" ref="N13"/>
    <hyperlink r:id="rId23" ref="O13"/>
    <hyperlink r:id="rId24" ref="N14"/>
    <hyperlink r:id="rId25" ref="O14"/>
    <hyperlink r:id="rId26" ref="N15"/>
    <hyperlink r:id="rId27" ref="O15"/>
    <hyperlink r:id="rId28" ref="N16"/>
    <hyperlink r:id="rId29" ref="O16"/>
    <hyperlink r:id="rId30" ref="N17"/>
    <hyperlink r:id="rId31" ref="O17"/>
    <hyperlink r:id="rId32" ref="N18"/>
    <hyperlink r:id="rId33" ref="O18"/>
    <hyperlink r:id="rId34" ref="N19"/>
    <hyperlink r:id="rId35" ref="O19"/>
    <hyperlink r:id="rId36" ref="N20"/>
    <hyperlink r:id="rId37" ref="O20"/>
    <hyperlink r:id="rId38" ref="N21"/>
    <hyperlink r:id="rId39" ref="O21"/>
    <hyperlink r:id="rId40" ref="N22"/>
    <hyperlink r:id="rId41" ref="O22"/>
    <hyperlink r:id="rId42" ref="N23"/>
    <hyperlink r:id="rId43" ref="O23"/>
    <hyperlink r:id="rId44" ref="N24"/>
    <hyperlink r:id="rId45" ref="O24"/>
    <hyperlink r:id="rId46" ref="N25"/>
    <hyperlink r:id="rId47" ref="O25"/>
    <hyperlink r:id="rId48" ref="N26"/>
    <hyperlink r:id="rId49" ref="O26"/>
    <hyperlink r:id="rId50" ref="N27"/>
    <hyperlink r:id="rId51" ref="O27"/>
    <hyperlink r:id="rId52" ref="N28"/>
    <hyperlink r:id="rId53" ref="O28"/>
    <hyperlink r:id="rId54" ref="N29"/>
    <hyperlink r:id="rId55" ref="O29"/>
    <hyperlink r:id="rId56" ref="N30"/>
    <hyperlink r:id="rId57" ref="O30"/>
    <hyperlink r:id="rId58" ref="N31"/>
    <hyperlink r:id="rId59" ref="O31"/>
    <hyperlink r:id="rId60" ref="N32"/>
    <hyperlink r:id="rId61" ref="O32"/>
    <hyperlink r:id="rId62" ref="N33"/>
    <hyperlink r:id="rId63" ref="O33"/>
    <hyperlink r:id="rId64" ref="N34"/>
    <hyperlink r:id="rId65" ref="O34"/>
    <hyperlink r:id="rId66" ref="N35"/>
    <hyperlink r:id="rId67" ref="O35"/>
    <hyperlink r:id="rId68" ref="N36"/>
    <hyperlink r:id="rId69" ref="O36"/>
    <hyperlink r:id="rId70" ref="N37"/>
    <hyperlink r:id="rId71" ref="O37"/>
    <hyperlink r:id="rId72" ref="N38"/>
    <hyperlink r:id="rId73" ref="O38"/>
    <hyperlink r:id="rId74" ref="N39"/>
    <hyperlink r:id="rId75" ref="O39"/>
    <hyperlink r:id="rId76" ref="N40"/>
    <hyperlink r:id="rId77" ref="O40"/>
    <hyperlink r:id="rId78" ref="N41"/>
    <hyperlink r:id="rId79" ref="O41"/>
    <hyperlink r:id="rId80" ref="N42"/>
    <hyperlink r:id="rId81" ref="O42"/>
    <hyperlink r:id="rId82" ref="N43"/>
    <hyperlink r:id="rId83" ref="O43"/>
    <hyperlink r:id="rId84" ref="N44"/>
    <hyperlink r:id="rId85" ref="O44"/>
    <hyperlink r:id="rId86" ref="N45"/>
    <hyperlink r:id="rId87" ref="O45"/>
    <hyperlink r:id="rId88" ref="N46"/>
    <hyperlink r:id="rId89" ref="O46"/>
    <hyperlink r:id="rId90" ref="N47"/>
    <hyperlink r:id="rId91" ref="O47"/>
    <hyperlink r:id="rId92" ref="N48"/>
    <hyperlink r:id="rId93" ref="O48"/>
    <hyperlink r:id="rId94" ref="N49"/>
    <hyperlink r:id="rId95" ref="O49"/>
    <hyperlink r:id="rId96" ref="N50"/>
    <hyperlink r:id="rId97" ref="O50"/>
    <hyperlink r:id="rId98" ref="N51"/>
    <hyperlink r:id="rId99" ref="O51"/>
    <hyperlink r:id="rId100" ref="N52"/>
    <hyperlink r:id="rId101" ref="O52"/>
    <hyperlink r:id="rId102" ref="N53"/>
    <hyperlink r:id="rId103" ref="O53"/>
    <hyperlink r:id="rId104" ref="N54"/>
    <hyperlink r:id="rId105" ref="O54"/>
    <hyperlink r:id="rId106" ref="N55"/>
    <hyperlink r:id="rId107" ref="O55"/>
    <hyperlink r:id="rId108" ref="N56"/>
    <hyperlink r:id="rId109" ref="O56"/>
    <hyperlink r:id="rId110" ref="N57"/>
    <hyperlink r:id="rId111" ref="O57"/>
    <hyperlink r:id="rId112" ref="N58"/>
    <hyperlink r:id="rId113" ref="O58"/>
    <hyperlink r:id="rId114" ref="N59"/>
    <hyperlink r:id="rId115" ref="O59"/>
    <hyperlink r:id="rId116" ref="N60"/>
    <hyperlink r:id="rId117" ref="O60"/>
    <hyperlink r:id="rId118" ref="N61"/>
    <hyperlink r:id="rId119" ref="O61"/>
    <hyperlink r:id="rId120" ref="N62"/>
    <hyperlink r:id="rId121" ref="O62"/>
    <hyperlink r:id="rId122" ref="N63"/>
    <hyperlink r:id="rId123" ref="O63"/>
    <hyperlink r:id="rId124" ref="N64"/>
    <hyperlink r:id="rId125" ref="O64"/>
    <hyperlink r:id="rId126" ref="N66"/>
    <hyperlink r:id="rId127" ref="O66"/>
    <hyperlink r:id="rId128" ref="N67"/>
    <hyperlink r:id="rId129" ref="O67"/>
    <hyperlink r:id="rId130" ref="N68"/>
    <hyperlink r:id="rId131" ref="O68"/>
    <hyperlink r:id="rId132" ref="N69"/>
    <hyperlink r:id="rId133" ref="O69"/>
    <hyperlink r:id="rId134" ref="N70"/>
    <hyperlink r:id="rId135" ref="O70"/>
    <hyperlink r:id="rId136" ref="N72"/>
    <hyperlink r:id="rId137" ref="O72"/>
    <hyperlink r:id="rId138" ref="N73"/>
    <hyperlink r:id="rId139" ref="O73"/>
    <hyperlink r:id="rId140" ref="N74"/>
    <hyperlink r:id="rId141" ref="O74"/>
    <hyperlink r:id="rId142" ref="N75"/>
    <hyperlink r:id="rId143" ref="O75"/>
    <hyperlink r:id="rId144" ref="N76"/>
    <hyperlink r:id="rId145" ref="O76"/>
    <hyperlink r:id="rId146" ref="N77"/>
    <hyperlink r:id="rId147" ref="O77"/>
    <hyperlink r:id="rId148" ref="N78"/>
    <hyperlink r:id="rId149" ref="O78"/>
    <hyperlink r:id="rId150" ref="N79"/>
    <hyperlink r:id="rId151" ref="O79"/>
    <hyperlink r:id="rId152" ref="N80"/>
    <hyperlink r:id="rId153" ref="O80"/>
    <hyperlink r:id="rId154" ref="N81"/>
    <hyperlink r:id="rId155" ref="O81"/>
    <hyperlink r:id="rId156" ref="N82"/>
    <hyperlink r:id="rId157" ref="O82"/>
    <hyperlink r:id="rId158" ref="N83"/>
    <hyperlink r:id="rId159" ref="O83"/>
    <hyperlink r:id="rId160" ref="N84"/>
    <hyperlink r:id="rId161" ref="O84"/>
    <hyperlink r:id="rId162" ref="N85"/>
    <hyperlink r:id="rId163" ref="O85"/>
    <hyperlink r:id="rId164" ref="N86"/>
    <hyperlink r:id="rId165" ref="O86"/>
    <hyperlink r:id="rId166" ref="N87"/>
    <hyperlink r:id="rId167" ref="O87"/>
    <hyperlink r:id="rId168" ref="N88"/>
    <hyperlink r:id="rId169" ref="O88"/>
    <hyperlink r:id="rId170" ref="N89"/>
    <hyperlink r:id="rId171" ref="O89"/>
    <hyperlink r:id="rId172" ref="N90"/>
    <hyperlink r:id="rId173" ref="O90"/>
    <hyperlink r:id="rId174" ref="N91"/>
    <hyperlink r:id="rId175" ref="O91"/>
    <hyperlink r:id="rId176" ref="N92"/>
    <hyperlink r:id="rId177" ref="O92"/>
    <hyperlink r:id="rId178" ref="N93"/>
    <hyperlink r:id="rId179" ref="O93"/>
    <hyperlink r:id="rId180" ref="N94"/>
    <hyperlink r:id="rId181" ref="O94"/>
    <hyperlink r:id="rId182" ref="N95"/>
    <hyperlink r:id="rId183" ref="O95"/>
    <hyperlink r:id="rId184" ref="N96"/>
    <hyperlink r:id="rId185" ref="O96"/>
    <hyperlink r:id="rId186" ref="N97"/>
    <hyperlink r:id="rId187" ref="O97"/>
    <hyperlink r:id="rId188" ref="N98"/>
    <hyperlink r:id="rId189" ref="O98"/>
    <hyperlink r:id="rId190" ref="N99"/>
    <hyperlink r:id="rId191" ref="O99"/>
    <hyperlink r:id="rId192" ref="N100"/>
    <hyperlink r:id="rId193" ref="O100"/>
    <hyperlink r:id="rId194" ref="N101"/>
    <hyperlink r:id="rId195" ref="O101"/>
    <hyperlink r:id="rId196" ref="N102"/>
    <hyperlink r:id="rId197" ref="O102"/>
    <hyperlink r:id="rId198" ref="N103"/>
    <hyperlink r:id="rId199" ref="O103"/>
    <hyperlink r:id="rId200" ref="N104"/>
    <hyperlink r:id="rId201" ref="O104"/>
    <hyperlink r:id="rId202" ref="N105"/>
    <hyperlink r:id="rId203" ref="O105"/>
    <hyperlink r:id="rId204" ref="N106"/>
    <hyperlink r:id="rId205" ref="O106"/>
    <hyperlink r:id="rId206" ref="N107"/>
    <hyperlink r:id="rId207" ref="O107"/>
    <hyperlink r:id="rId208" ref="N108"/>
    <hyperlink r:id="rId209" ref="O108"/>
    <hyperlink r:id="rId210" ref="N109"/>
    <hyperlink r:id="rId211" ref="O109"/>
    <hyperlink r:id="rId212" ref="N110"/>
    <hyperlink r:id="rId213" ref="O110"/>
    <hyperlink r:id="rId214" ref="N111"/>
    <hyperlink r:id="rId215" ref="O111"/>
    <hyperlink r:id="rId216" ref="N113"/>
    <hyperlink r:id="rId217" ref="O113"/>
    <hyperlink r:id="rId218" ref="N114"/>
    <hyperlink r:id="rId219" ref="O114"/>
    <hyperlink r:id="rId220" ref="N115"/>
    <hyperlink r:id="rId221" ref="N116"/>
    <hyperlink r:id="rId222" ref="N117"/>
    <hyperlink r:id="rId223" ref="O117"/>
    <hyperlink r:id="rId224" ref="N118"/>
    <hyperlink r:id="rId225" ref="O118"/>
    <hyperlink r:id="rId226" ref="N119"/>
    <hyperlink r:id="rId227" ref="O119"/>
    <hyperlink r:id="rId228" ref="N120"/>
    <hyperlink r:id="rId229" ref="O120"/>
    <hyperlink r:id="rId230" ref="N121"/>
    <hyperlink r:id="rId231" ref="O121"/>
    <hyperlink r:id="rId232" ref="N122"/>
    <hyperlink r:id="rId233" ref="O122"/>
    <hyperlink r:id="rId234" ref="N123"/>
    <hyperlink r:id="rId235" ref="O123"/>
    <hyperlink r:id="rId236" ref="N124"/>
    <hyperlink r:id="rId237" ref="O124"/>
    <hyperlink r:id="rId238" ref="N125"/>
    <hyperlink r:id="rId239" ref="O125"/>
    <hyperlink r:id="rId240" ref="N126"/>
    <hyperlink r:id="rId241" ref="O126"/>
    <hyperlink r:id="rId242" ref="N127"/>
    <hyperlink r:id="rId243" ref="O127"/>
    <hyperlink r:id="rId244" ref="N128"/>
    <hyperlink r:id="rId245" ref="O128"/>
    <hyperlink r:id="rId246" ref="N129"/>
    <hyperlink r:id="rId247" ref="O129"/>
    <hyperlink r:id="rId248" ref="N130"/>
    <hyperlink r:id="rId249" ref="O130"/>
    <hyperlink r:id="rId250" ref="N131"/>
    <hyperlink r:id="rId251" ref="O131"/>
    <hyperlink r:id="rId252" ref="N132"/>
    <hyperlink r:id="rId253" ref="O132"/>
    <hyperlink r:id="rId254" ref="N133"/>
    <hyperlink r:id="rId255" ref="O133"/>
    <hyperlink r:id="rId256" ref="N134"/>
    <hyperlink r:id="rId257" ref="O134"/>
    <hyperlink r:id="rId258" ref="N135"/>
    <hyperlink r:id="rId259" ref="O135"/>
    <hyperlink r:id="rId260" ref="N136"/>
    <hyperlink r:id="rId261" ref="N137"/>
    <hyperlink r:id="rId262" ref="O137"/>
    <hyperlink r:id="rId263" ref="N138"/>
    <hyperlink r:id="rId264" ref="O138"/>
    <hyperlink r:id="rId265" ref="N139"/>
    <hyperlink r:id="rId266" ref="O139"/>
    <hyperlink r:id="rId267" ref="N140"/>
    <hyperlink r:id="rId268" ref="O140"/>
    <hyperlink r:id="rId269" ref="N141"/>
    <hyperlink r:id="rId270" ref="O141"/>
    <hyperlink r:id="rId271" ref="N142"/>
    <hyperlink r:id="rId272" ref="O142"/>
    <hyperlink r:id="rId273" ref="N143"/>
    <hyperlink r:id="rId274" ref="O143"/>
    <hyperlink r:id="rId275" ref="N144"/>
    <hyperlink r:id="rId276" ref="O144"/>
    <hyperlink r:id="rId277" ref="N145"/>
    <hyperlink r:id="rId278" ref="O145"/>
    <hyperlink r:id="rId279" ref="N146"/>
    <hyperlink r:id="rId280" ref="O146"/>
    <hyperlink r:id="rId281" ref="N147"/>
    <hyperlink r:id="rId282" ref="O147"/>
    <hyperlink r:id="rId283" ref="N148"/>
    <hyperlink r:id="rId284" ref="O148"/>
    <hyperlink r:id="rId285" ref="N150"/>
    <hyperlink r:id="rId286" ref="O150"/>
    <hyperlink r:id="rId287" ref="N151"/>
    <hyperlink r:id="rId288" ref="O151"/>
    <hyperlink r:id="rId289" ref="N152"/>
    <hyperlink r:id="rId290" ref="O152"/>
    <hyperlink r:id="rId291" ref="N153"/>
    <hyperlink r:id="rId292" ref="O153"/>
    <hyperlink r:id="rId293" ref="N154"/>
    <hyperlink r:id="rId294" ref="O154"/>
    <hyperlink r:id="rId295" ref="N155"/>
    <hyperlink r:id="rId296" ref="O155"/>
    <hyperlink r:id="rId297" ref="N156"/>
    <hyperlink r:id="rId298" ref="O156"/>
    <hyperlink r:id="rId299" ref="N157"/>
    <hyperlink r:id="rId300" ref="O157"/>
    <hyperlink r:id="rId301" ref="N158"/>
    <hyperlink r:id="rId302" ref="O158"/>
    <hyperlink r:id="rId303" ref="N159"/>
    <hyperlink r:id="rId304" ref="O159"/>
    <hyperlink r:id="rId305" ref="N160"/>
    <hyperlink r:id="rId306" ref="O160"/>
    <hyperlink r:id="rId307" ref="N161"/>
    <hyperlink r:id="rId308" ref="O161"/>
    <hyperlink r:id="rId309" ref="N162"/>
    <hyperlink r:id="rId310" ref="O162"/>
    <hyperlink r:id="rId311" ref="N163"/>
    <hyperlink r:id="rId312" ref="O163"/>
    <hyperlink r:id="rId313" ref="N164"/>
    <hyperlink r:id="rId314" ref="O164"/>
    <hyperlink r:id="rId315" ref="N165"/>
    <hyperlink r:id="rId316" ref="O165"/>
    <hyperlink r:id="rId317" ref="N166"/>
    <hyperlink r:id="rId318" ref="O166"/>
    <hyperlink r:id="rId319" ref="N167"/>
    <hyperlink r:id="rId320" ref="O167"/>
    <hyperlink r:id="rId321" ref="N168"/>
    <hyperlink r:id="rId322" ref="O168"/>
    <hyperlink r:id="rId323" ref="N169"/>
    <hyperlink r:id="rId324" ref="O169"/>
    <hyperlink r:id="rId325" ref="N170"/>
    <hyperlink r:id="rId326" ref="N171"/>
    <hyperlink r:id="rId327" ref="O171"/>
    <hyperlink r:id="rId328" ref="N172"/>
    <hyperlink r:id="rId329" ref="O172"/>
    <hyperlink r:id="rId330" ref="N173"/>
    <hyperlink r:id="rId331" ref="O173"/>
    <hyperlink r:id="rId332" ref="N174"/>
    <hyperlink r:id="rId333" ref="O174"/>
    <hyperlink r:id="rId334" ref="N175"/>
    <hyperlink r:id="rId335" ref="O175"/>
    <hyperlink r:id="rId336" ref="N176"/>
    <hyperlink r:id="rId337" ref="O176"/>
    <hyperlink r:id="rId338" ref="N177"/>
    <hyperlink r:id="rId339" ref="O177"/>
    <hyperlink r:id="rId340" ref="N178"/>
    <hyperlink r:id="rId341" ref="O178"/>
    <hyperlink r:id="rId342" ref="N179"/>
    <hyperlink r:id="rId343" ref="O179"/>
    <hyperlink r:id="rId344" ref="N180"/>
    <hyperlink r:id="rId345" ref="O180"/>
    <hyperlink r:id="rId346" ref="N181"/>
    <hyperlink r:id="rId347" ref="O181"/>
    <hyperlink r:id="rId348" ref="N182"/>
    <hyperlink r:id="rId349" ref="O182"/>
    <hyperlink r:id="rId350" ref="N183"/>
    <hyperlink r:id="rId351" ref="O183"/>
    <hyperlink r:id="rId352" ref="N184"/>
    <hyperlink r:id="rId353" ref="O184"/>
    <hyperlink r:id="rId354" ref="N185"/>
    <hyperlink r:id="rId355" ref="O185"/>
    <hyperlink r:id="rId356" ref="N186"/>
    <hyperlink r:id="rId357" ref="O186"/>
    <hyperlink r:id="rId358" ref="N187"/>
    <hyperlink r:id="rId359" ref="O187"/>
    <hyperlink r:id="rId360" ref="N188"/>
    <hyperlink r:id="rId361" ref="O188"/>
    <hyperlink r:id="rId362" ref="N189"/>
    <hyperlink r:id="rId363" ref="O189"/>
    <hyperlink r:id="rId364" ref="N190"/>
    <hyperlink r:id="rId365" ref="O190"/>
    <hyperlink r:id="rId366" ref="N191"/>
    <hyperlink r:id="rId367" ref="O191"/>
    <hyperlink r:id="rId368" ref="N192"/>
    <hyperlink r:id="rId369" ref="O192"/>
    <hyperlink r:id="rId370" ref="N193"/>
    <hyperlink r:id="rId371" ref="O193"/>
    <hyperlink r:id="rId372" ref="N194"/>
    <hyperlink r:id="rId373" ref="O194"/>
    <hyperlink r:id="rId374" ref="N195"/>
    <hyperlink r:id="rId375" ref="N196"/>
    <hyperlink r:id="rId376" ref="O196"/>
    <hyperlink r:id="rId377" ref="N197"/>
    <hyperlink r:id="rId378" ref="O197"/>
    <hyperlink r:id="rId379" ref="N198"/>
    <hyperlink r:id="rId380" ref="O198"/>
    <hyperlink r:id="rId381" ref="N199"/>
    <hyperlink r:id="rId382" ref="O199"/>
    <hyperlink r:id="rId383" ref="N200"/>
    <hyperlink r:id="rId384" ref="O200"/>
    <hyperlink r:id="rId385" ref="N201"/>
    <hyperlink r:id="rId386" ref="O201"/>
    <hyperlink r:id="rId387" ref="N202"/>
    <hyperlink r:id="rId388" ref="O202"/>
    <hyperlink r:id="rId389" ref="N203"/>
    <hyperlink r:id="rId390" ref="O203"/>
    <hyperlink r:id="rId391" ref="N204"/>
    <hyperlink r:id="rId392" ref="O204"/>
    <hyperlink r:id="rId393" ref="N205"/>
    <hyperlink r:id="rId394" ref="O205"/>
    <hyperlink r:id="rId395" ref="N206"/>
    <hyperlink r:id="rId396" ref="O206"/>
    <hyperlink r:id="rId397" ref="N208"/>
    <hyperlink r:id="rId398" ref="O208"/>
    <hyperlink r:id="rId399" ref="N209"/>
    <hyperlink r:id="rId400" ref="O209"/>
    <hyperlink r:id="rId401" ref="N210"/>
    <hyperlink r:id="rId402" ref="O210"/>
    <hyperlink r:id="rId403" ref="N211"/>
    <hyperlink r:id="rId404" ref="O211"/>
    <hyperlink r:id="rId405" ref="N212"/>
    <hyperlink r:id="rId406" ref="O212"/>
    <hyperlink r:id="rId407" ref="N213"/>
    <hyperlink r:id="rId408" ref="O213"/>
    <hyperlink r:id="rId409" ref="N214"/>
    <hyperlink r:id="rId410" ref="O214"/>
    <hyperlink r:id="rId411" ref="N215"/>
    <hyperlink r:id="rId412" ref="O215"/>
    <hyperlink r:id="rId413" ref="N216"/>
    <hyperlink r:id="rId414" ref="O216"/>
    <hyperlink r:id="rId415" ref="N217"/>
    <hyperlink r:id="rId416" ref="O217"/>
    <hyperlink r:id="rId417" ref="N218"/>
    <hyperlink r:id="rId418" ref="O218"/>
    <hyperlink r:id="rId419" ref="N219"/>
    <hyperlink r:id="rId420" ref="O219"/>
    <hyperlink r:id="rId421" ref="N220"/>
    <hyperlink r:id="rId422" ref="O220"/>
    <hyperlink r:id="rId423" ref="N221"/>
    <hyperlink r:id="rId424" ref="O221"/>
    <hyperlink r:id="rId425" ref="N222"/>
    <hyperlink r:id="rId426" ref="O222"/>
    <hyperlink r:id="rId427" ref="N223"/>
    <hyperlink r:id="rId428" ref="O223"/>
    <hyperlink r:id="rId429" ref="N224"/>
    <hyperlink r:id="rId430" ref="O224"/>
    <hyperlink r:id="rId431" ref="N225"/>
    <hyperlink r:id="rId432" ref="O225"/>
    <hyperlink r:id="rId433" ref="N226"/>
    <hyperlink r:id="rId434" ref="O226"/>
    <hyperlink r:id="rId435" ref="N227"/>
    <hyperlink r:id="rId436" ref="O227"/>
    <hyperlink r:id="rId437" ref="N228"/>
    <hyperlink r:id="rId438" ref="O228"/>
    <hyperlink r:id="rId439" ref="N229"/>
    <hyperlink r:id="rId440" ref="O229"/>
    <hyperlink r:id="rId441" ref="N230"/>
    <hyperlink r:id="rId442" ref="O230"/>
    <hyperlink r:id="rId443" ref="N231"/>
    <hyperlink r:id="rId444" ref="O231"/>
    <hyperlink r:id="rId445" ref="N232"/>
    <hyperlink r:id="rId446" ref="O232"/>
    <hyperlink r:id="rId447" ref="N233"/>
    <hyperlink r:id="rId448" ref="O233"/>
    <hyperlink r:id="rId449" ref="N234"/>
    <hyperlink r:id="rId450" ref="O234"/>
    <hyperlink r:id="rId451" ref="N236"/>
    <hyperlink r:id="rId452" ref="O236"/>
    <hyperlink r:id="rId453" ref="N237"/>
    <hyperlink r:id="rId454" ref="O237"/>
    <hyperlink r:id="rId455" ref="N238"/>
    <hyperlink r:id="rId456" ref="O238"/>
    <hyperlink r:id="rId457" ref="N239"/>
    <hyperlink r:id="rId458" ref="O239"/>
    <hyperlink r:id="rId459" ref="N240"/>
    <hyperlink r:id="rId460" ref="O240"/>
    <hyperlink r:id="rId461" ref="N241"/>
    <hyperlink r:id="rId462" ref="O241"/>
    <hyperlink r:id="rId463" ref="N242"/>
    <hyperlink r:id="rId464" ref="O242"/>
    <hyperlink r:id="rId465" ref="N243"/>
    <hyperlink r:id="rId466" ref="O243"/>
    <hyperlink r:id="rId467" ref="N244"/>
    <hyperlink r:id="rId468" ref="O244"/>
    <hyperlink r:id="rId469" ref="N245"/>
    <hyperlink r:id="rId470" ref="O245"/>
    <hyperlink r:id="rId471" ref="N246"/>
    <hyperlink r:id="rId472" ref="O246"/>
    <hyperlink r:id="rId473" ref="N247"/>
    <hyperlink r:id="rId474" ref="O247"/>
    <hyperlink r:id="rId475" ref="N248"/>
    <hyperlink r:id="rId476" ref="O248"/>
    <hyperlink r:id="rId477" ref="N249"/>
    <hyperlink r:id="rId478" ref="O249"/>
    <hyperlink r:id="rId479" ref="N250"/>
    <hyperlink r:id="rId480" ref="O250"/>
    <hyperlink r:id="rId481" ref="N251"/>
    <hyperlink r:id="rId482" ref="O251"/>
    <hyperlink r:id="rId483" ref="N252"/>
    <hyperlink r:id="rId484" ref="N253"/>
    <hyperlink r:id="rId485" ref="O253"/>
    <hyperlink r:id="rId486" ref="N254"/>
    <hyperlink r:id="rId487" ref="O254"/>
    <hyperlink r:id="rId488" ref="N255"/>
    <hyperlink r:id="rId489" ref="N256"/>
    <hyperlink r:id="rId490" ref="N258"/>
    <hyperlink r:id="rId491" ref="O258"/>
    <hyperlink r:id="rId492" ref="N259"/>
    <hyperlink r:id="rId493" ref="O259"/>
    <hyperlink r:id="rId494" ref="N260"/>
    <hyperlink r:id="rId495" ref="O260"/>
    <hyperlink r:id="rId496" ref="N261"/>
    <hyperlink r:id="rId497" ref="O261"/>
    <hyperlink r:id="rId498" ref="N262"/>
    <hyperlink r:id="rId499" ref="O262"/>
    <hyperlink r:id="rId500" ref="N263"/>
    <hyperlink r:id="rId501" ref="O263"/>
    <hyperlink r:id="rId502" ref="N264"/>
    <hyperlink r:id="rId503" ref="O264"/>
    <hyperlink r:id="rId504" ref="N265"/>
    <hyperlink r:id="rId505" ref="O265"/>
    <hyperlink r:id="rId506" ref="N266"/>
    <hyperlink r:id="rId507" ref="O266"/>
    <hyperlink r:id="rId508" ref="N267"/>
    <hyperlink r:id="rId509" ref="O267"/>
    <hyperlink r:id="rId510" ref="N268"/>
    <hyperlink r:id="rId511" ref="O268"/>
    <hyperlink r:id="rId512" ref="N269"/>
    <hyperlink r:id="rId513" ref="O269"/>
    <hyperlink r:id="rId514" ref="N270"/>
    <hyperlink r:id="rId515" ref="O270"/>
    <hyperlink r:id="rId516" ref="N271"/>
    <hyperlink r:id="rId517" ref="O271"/>
    <hyperlink r:id="rId518" ref="N272"/>
    <hyperlink r:id="rId519" ref="N273"/>
    <hyperlink r:id="rId520" ref="O273"/>
    <hyperlink r:id="rId521" ref="N274"/>
    <hyperlink r:id="rId522" ref="O274"/>
    <hyperlink r:id="rId523" ref="N275"/>
    <hyperlink r:id="rId524" ref="O275"/>
    <hyperlink r:id="rId525" ref="N276"/>
    <hyperlink r:id="rId526" ref="O276"/>
    <hyperlink r:id="rId527" ref="N277"/>
    <hyperlink r:id="rId528" ref="O277"/>
    <hyperlink r:id="rId529" ref="N278"/>
    <hyperlink r:id="rId530" ref="O278"/>
    <hyperlink r:id="rId531" ref="N279"/>
    <hyperlink r:id="rId532" ref="O279"/>
    <hyperlink r:id="rId533" ref="N280"/>
    <hyperlink r:id="rId534" ref="O280"/>
    <hyperlink r:id="rId535" ref="N281"/>
    <hyperlink r:id="rId536" ref="O281"/>
    <hyperlink r:id="rId537" ref="N282"/>
    <hyperlink r:id="rId538" ref="O282"/>
    <hyperlink r:id="rId539" ref="N283"/>
    <hyperlink r:id="rId540" ref="O283"/>
    <hyperlink r:id="rId541" ref="N284"/>
    <hyperlink r:id="rId542" ref="O284"/>
    <hyperlink r:id="rId543" ref="N285"/>
    <hyperlink r:id="rId544" ref="O285"/>
    <hyperlink r:id="rId545" ref="N286"/>
    <hyperlink r:id="rId546" ref="O286"/>
    <hyperlink r:id="rId547" ref="N287"/>
    <hyperlink r:id="rId548" ref="O287"/>
    <hyperlink r:id="rId549" ref="N288"/>
    <hyperlink r:id="rId550" ref="O288"/>
    <hyperlink r:id="rId551" ref="N289"/>
    <hyperlink r:id="rId552" ref="O289"/>
    <hyperlink r:id="rId553" ref="N290"/>
    <hyperlink r:id="rId554" ref="O290"/>
    <hyperlink r:id="rId555" ref="N291"/>
    <hyperlink r:id="rId556" ref="O291"/>
    <hyperlink r:id="rId557" ref="N292"/>
    <hyperlink r:id="rId558" ref="O292"/>
    <hyperlink r:id="rId559" ref="N293"/>
    <hyperlink r:id="rId560" ref="O293"/>
    <hyperlink r:id="rId561" ref="N294"/>
    <hyperlink r:id="rId562" ref="O294"/>
    <hyperlink r:id="rId563" ref="N295"/>
    <hyperlink r:id="rId564" ref="O295"/>
    <hyperlink r:id="rId565" ref="N296"/>
    <hyperlink r:id="rId566" ref="O296"/>
    <hyperlink r:id="rId567" ref="N297"/>
    <hyperlink r:id="rId568" ref="O297"/>
    <hyperlink r:id="rId569" ref="N298"/>
    <hyperlink r:id="rId570" ref="O298"/>
    <hyperlink r:id="rId571" ref="N299"/>
    <hyperlink r:id="rId572" ref="O299"/>
    <hyperlink r:id="rId573" ref="N300"/>
    <hyperlink r:id="rId574" ref="O300"/>
    <hyperlink r:id="rId575" ref="N301"/>
    <hyperlink r:id="rId576" ref="O301"/>
    <hyperlink r:id="rId577" ref="N302"/>
    <hyperlink r:id="rId578" ref="O302"/>
    <hyperlink r:id="rId579" ref="N303"/>
    <hyperlink r:id="rId580" ref="O303"/>
    <hyperlink r:id="rId581" ref="N305"/>
    <hyperlink r:id="rId582" ref="O305"/>
    <hyperlink r:id="rId583" ref="N306"/>
    <hyperlink r:id="rId584" ref="O306"/>
    <hyperlink r:id="rId585" ref="N307"/>
    <hyperlink r:id="rId586" ref="O307"/>
    <hyperlink r:id="rId587" ref="N308"/>
    <hyperlink r:id="rId588" ref="O308"/>
    <hyperlink r:id="rId589" ref="N309"/>
    <hyperlink r:id="rId590" ref="O309"/>
    <hyperlink r:id="rId591" ref="N310"/>
    <hyperlink r:id="rId592" ref="O310"/>
    <hyperlink r:id="rId593" ref="N311"/>
    <hyperlink r:id="rId594" ref="O311"/>
    <hyperlink r:id="rId595" ref="N312"/>
    <hyperlink r:id="rId596" ref="O312"/>
    <hyperlink r:id="rId597" ref="N313"/>
    <hyperlink r:id="rId598" ref="O313"/>
    <hyperlink r:id="rId599" ref="N314"/>
    <hyperlink r:id="rId600" ref="O314"/>
    <hyperlink r:id="rId601" ref="N315"/>
    <hyperlink r:id="rId602" ref="O315"/>
    <hyperlink r:id="rId603" ref="N316"/>
    <hyperlink r:id="rId604" ref="O316"/>
    <hyperlink r:id="rId605" ref="N317"/>
    <hyperlink r:id="rId606" ref="N318"/>
    <hyperlink r:id="rId607" ref="N319"/>
    <hyperlink r:id="rId608" ref="N320"/>
    <hyperlink r:id="rId609" ref="O320"/>
    <hyperlink r:id="rId610" ref="N321"/>
    <hyperlink r:id="rId611" ref="O321"/>
    <hyperlink r:id="rId612" ref="N322"/>
    <hyperlink r:id="rId613" ref="N323"/>
    <hyperlink r:id="rId614" ref="N324"/>
    <hyperlink r:id="rId615" ref="O324"/>
    <hyperlink r:id="rId616" ref="N325"/>
    <hyperlink r:id="rId617" ref="O325"/>
    <hyperlink r:id="rId618" ref="N326"/>
    <hyperlink r:id="rId619" ref="N327"/>
    <hyperlink r:id="rId620" ref="O327"/>
    <hyperlink r:id="rId621" ref="N328"/>
    <hyperlink r:id="rId622" ref="O328"/>
    <hyperlink r:id="rId623" ref="N329"/>
    <hyperlink r:id="rId624" ref="O329"/>
    <hyperlink r:id="rId625" ref="N330"/>
    <hyperlink r:id="rId626" ref="O330"/>
    <hyperlink r:id="rId627" ref="N331"/>
    <hyperlink r:id="rId628" ref="O331"/>
    <hyperlink r:id="rId629" ref="N332"/>
    <hyperlink r:id="rId630" ref="O332"/>
    <hyperlink r:id="rId631" ref="N333"/>
    <hyperlink r:id="rId632" ref="O333"/>
    <hyperlink r:id="rId633" ref="N334"/>
    <hyperlink r:id="rId634" ref="N335"/>
    <hyperlink r:id="rId635" ref="O335"/>
    <hyperlink r:id="rId636" ref="N336"/>
    <hyperlink r:id="rId637" ref="O336"/>
    <hyperlink r:id="rId638" ref="N338"/>
    <hyperlink r:id="rId639" ref="O338"/>
    <hyperlink r:id="rId640" ref="N339"/>
    <hyperlink r:id="rId641" ref="O339"/>
    <hyperlink r:id="rId642" ref="N340"/>
    <hyperlink r:id="rId643" ref="O340"/>
    <hyperlink r:id="rId644" ref="N341"/>
    <hyperlink r:id="rId645" ref="O341"/>
    <hyperlink r:id="rId646" ref="N342"/>
    <hyperlink r:id="rId647" ref="O342"/>
    <hyperlink r:id="rId648" ref="N343"/>
    <hyperlink r:id="rId649" ref="O343"/>
    <hyperlink r:id="rId650" ref="N344"/>
    <hyperlink r:id="rId651" ref="O344"/>
    <hyperlink r:id="rId652" ref="N345"/>
    <hyperlink r:id="rId653" ref="N346"/>
    <hyperlink r:id="rId654" ref="O346"/>
    <hyperlink r:id="rId655" ref="N347"/>
    <hyperlink r:id="rId656" ref="O347"/>
    <hyperlink r:id="rId657" ref="N348"/>
    <hyperlink r:id="rId658" ref="O348"/>
    <hyperlink r:id="rId659" ref="N349"/>
    <hyperlink r:id="rId660" ref="O349"/>
    <hyperlink r:id="rId661" ref="N350"/>
    <hyperlink r:id="rId662" ref="O350"/>
    <hyperlink r:id="rId663" ref="N351"/>
    <hyperlink r:id="rId664" ref="N352"/>
    <hyperlink r:id="rId665" ref="O352"/>
    <hyperlink r:id="rId666" ref="N353"/>
    <hyperlink r:id="rId667" ref="N354"/>
    <hyperlink r:id="rId668" ref="O354"/>
    <hyperlink r:id="rId669" ref="N355"/>
    <hyperlink r:id="rId670" ref="O355"/>
    <hyperlink r:id="rId671" ref="N356"/>
    <hyperlink r:id="rId672" ref="O356"/>
    <hyperlink r:id="rId673" ref="N357"/>
    <hyperlink r:id="rId674" ref="O357"/>
    <hyperlink r:id="rId675" ref="N358"/>
    <hyperlink r:id="rId676" ref="O358"/>
    <hyperlink r:id="rId677" ref="N359"/>
    <hyperlink r:id="rId678" ref="O359"/>
    <hyperlink r:id="rId679" ref="N360"/>
    <hyperlink r:id="rId680" ref="N362"/>
    <hyperlink r:id="rId681" ref="O362"/>
    <hyperlink r:id="rId682" ref="N363"/>
    <hyperlink r:id="rId683" ref="O363"/>
    <hyperlink r:id="rId684" ref="N364"/>
    <hyperlink r:id="rId685" ref="O364"/>
    <hyperlink r:id="rId686" ref="N365"/>
    <hyperlink r:id="rId687" ref="O365"/>
    <hyperlink r:id="rId688" ref="N366"/>
    <hyperlink r:id="rId689" ref="N367"/>
    <hyperlink r:id="rId690" ref="O367"/>
    <hyperlink r:id="rId691" ref="N368"/>
    <hyperlink r:id="rId692" ref="O368"/>
    <hyperlink r:id="rId693" ref="N369"/>
    <hyperlink r:id="rId694" ref="O369"/>
    <hyperlink r:id="rId695" ref="N370"/>
    <hyperlink r:id="rId696" ref="O370"/>
    <hyperlink r:id="rId697" ref="N371"/>
    <hyperlink r:id="rId698" ref="O371"/>
    <hyperlink r:id="rId699" ref="N372"/>
    <hyperlink r:id="rId700" ref="O372"/>
    <hyperlink r:id="rId701" ref="N373"/>
    <hyperlink r:id="rId702" ref="O373"/>
    <hyperlink r:id="rId703" ref="N374"/>
    <hyperlink r:id="rId704" ref="O374"/>
    <hyperlink r:id="rId705" ref="N375"/>
    <hyperlink r:id="rId706" ref="O375"/>
    <hyperlink r:id="rId707" ref="N376"/>
    <hyperlink r:id="rId708" ref="O376"/>
    <hyperlink r:id="rId709" ref="N377"/>
    <hyperlink r:id="rId710" ref="O377"/>
    <hyperlink r:id="rId711" ref="N378"/>
    <hyperlink r:id="rId712" ref="O378"/>
  </hyperlinks>
  <drawing r:id="rId7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IFERROR(__xludf.DUMMYFUNCTION("QUERY(Data!A:O,""select A,B,C,D,E,F,G,H,I,J,K,L,M,N,O where C contains'ชั้นปีที่ 3'"")"),"ไอดี")</f>
        <v>ไอดี</v>
      </c>
      <c r="B1" s="3" t="str">
        <f>IFERROR(__xludf.DUMMYFUNCTION("""COMPUTED_VALUE"""),"ประทับเวลา")</f>
        <v>ประทับเวลา</v>
      </c>
      <c r="C1" s="3" t="str">
        <f>IFERROR(__xludf.DUMMYFUNCTION("""COMPUTED_VALUE"""),"ชั้นปีการศึกษา")</f>
        <v>ชั้นปีการศึกษา</v>
      </c>
      <c r="D1" s="3" t="str">
        <f>IFERROR(__xludf.DUMMYFUNCTION("""COMPUTED_VALUE"""),"รหัส นพอ.")</f>
        <v>รหัส นพอ.</v>
      </c>
      <c r="E1" s="3" t="str">
        <f>IFERROR(__xludf.DUMMYFUNCTION("""COMPUTED_VALUE"""),"เลขที่")</f>
        <v>เลขที่</v>
      </c>
      <c r="F1" s="3" t="str">
        <f>IFERROR(__xludf.DUMMYFUNCTION("""COMPUTED_VALUE"""),"ชื่อ-สกุล")</f>
        <v>ชื่อ-สกุล</v>
      </c>
      <c r="G1" s="3" t="str">
        <f>IFERROR(__xludf.DUMMYFUNCTION("""COMPUTED_VALUE"""),"ประเภทความดี")</f>
        <v>ประเภทความดี</v>
      </c>
      <c r="H1" s="3" t="str">
        <f>IFERROR(__xludf.DUMMYFUNCTION("""COMPUTED_VALUE"""),"ชื่อกิจกรรม")</f>
        <v>ชื่อกิจกรรม</v>
      </c>
      <c r="I1" s="3" t="str">
        <f>IFERROR(__xludf.DUMMYFUNCTION("""COMPUTED_VALUE"""),"สถานที่")</f>
        <v>สถานที่</v>
      </c>
      <c r="J1" s="3" t="str">
        <f>IFERROR(__xludf.DUMMYFUNCTION("""COMPUTED_VALUE"""),"วันทีทำกิจกรรม")</f>
        <v>วันทีทำกิจกรรม</v>
      </c>
      <c r="K1" s="3" t="str">
        <f>IFERROR(__xludf.DUMMYFUNCTION("""COMPUTED_VALUE"""),"ช่วงเวลาที่ทำ")</f>
        <v>ช่วงเวลาที่ทำ</v>
      </c>
      <c r="L1" s="3" t="str">
        <f>IFERROR(__xludf.DUMMYFUNCTION("""COMPUTED_VALUE"""),"จำนวนชั่วโมงที่ได้")</f>
        <v>จำนวนชั่วโมงที่ได้</v>
      </c>
      <c r="M1" s="3" t="str">
        <f>IFERROR(__xludf.DUMMYFUNCTION("""COMPUTED_VALUE"""),"ผู้ลงชื่อรับทราบ")</f>
        <v>ผู้ลงชื่อรับทราบ</v>
      </c>
      <c r="N1" s="3" t="str">
        <f>IFERROR(__xludf.DUMMYFUNCTION("""COMPUTED_VALUE"""),"รูปภาพ")</f>
        <v>รูปภาพ</v>
      </c>
      <c r="O1" s="3" t="str">
        <f>IFERROR(__xludf.DUMMYFUNCTION("""COMPUTED_VALUE"""),"PDF")</f>
        <v>PDF</v>
      </c>
    </row>
    <row r="2">
      <c r="A2" s="3">
        <f>IFERROR(__xludf.DUMMYFUNCTION("""COMPUTED_VALUE"""),10.0)</f>
        <v>10</v>
      </c>
      <c r="B2" s="11">
        <f>IFERROR(__xludf.DUMMYFUNCTION("""COMPUTED_VALUE"""),45973.57537782407)</f>
        <v>45973.57538</v>
      </c>
      <c r="C2" s="3" t="str">
        <f>IFERROR(__xludf.DUMMYFUNCTION("""COMPUTED_VALUE"""),"ชั้นปีที่ 3")</f>
        <v>ชั้นปีที่ 3</v>
      </c>
      <c r="D2" s="3" t="str">
        <f>IFERROR(__xludf.DUMMYFUNCTION("""COMPUTED_VALUE"""),"6603777")</f>
        <v>6603777</v>
      </c>
      <c r="E2" s="3" t="str">
        <f>IFERROR(__xludf.DUMMYFUNCTION("""COMPUTED_VALUE"""),"23")</f>
        <v>23</v>
      </c>
      <c r="F2" s="3" t="str">
        <f>IFERROR(__xludf.DUMMYFUNCTION("""COMPUTED_VALUE"""),"นพอ.นัชธิดา ไกรทองสุข")</f>
        <v>นพอ.นัชธิดา ไกรทองสุข</v>
      </c>
      <c r="G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" s="3" t="str">
        <f>IFERROR(__xludf.DUMMYFUNCTION("""COMPUTED_VALUE"""),"รับเสด็จงานรับปริญญา")</f>
        <v>รับเสด็จงานรับปริญญา</v>
      </c>
      <c r="I2" s="3" t="str">
        <f>IFERROR(__xludf.DUMMYFUNCTION("""COMPUTED_VALUE"""),"มหาวิทยาลัยมหิดล")</f>
        <v>มหาวิทยาลัยมหิดล</v>
      </c>
      <c r="J2" s="12">
        <f>IFERROR(__xludf.DUMMYFUNCTION("""COMPUTED_VALUE"""),45940.0)</f>
        <v>45940</v>
      </c>
      <c r="K2" s="3" t="str">
        <f>IFERROR(__xludf.DUMMYFUNCTION("""COMPUTED_VALUE"""),"0800-1200")</f>
        <v>0800-1200</v>
      </c>
      <c r="L2" s="3">
        <f>IFERROR(__xludf.DUMMYFUNCTION("""COMPUTED_VALUE"""),4.0)</f>
        <v>4</v>
      </c>
      <c r="M2" s="3" t="str">
        <f>IFERROR(__xludf.DUMMYFUNCTION("""COMPUTED_VALUE"""),"น.ท.หญิง สุพัตรา ปิ่นแก้ว")</f>
        <v>น.ท.หญิง สุพัตรา ปิ่นแก้ว</v>
      </c>
      <c r="N2" s="14" t="str">
        <f>IFERROR(__xludf.DUMMYFUNCTION("""COMPUTED_VALUE"""),"https://lh5.googleusercontent.com/d/18-lbP1-Wos582ONhKWf1fNdWsOwMspox")</f>
        <v>https://lh5.googleusercontent.com/d/18-lbP1-Wos582ONhKWf1fNdWsOwMspox</v>
      </c>
      <c r="O2" s="14" t="str">
        <f>IFERROR(__xludf.DUMMYFUNCTION("""COMPUTED_VALUE"""),"https://drive.google.com/file/d/18HXnOcN2owWyM5ZRojVVLwYRRhWurUhr/view?usp=drivesdk")</f>
        <v>https://drive.google.com/file/d/18HXnOcN2owWyM5ZRojVVLwYRRhWurUhr/view?usp=drivesdk</v>
      </c>
    </row>
    <row r="3">
      <c r="A3" s="3">
        <f>IFERROR(__xludf.DUMMYFUNCTION("""COMPUTED_VALUE"""),19.0)</f>
        <v>19</v>
      </c>
      <c r="B3" s="11">
        <f>IFERROR(__xludf.DUMMYFUNCTION("""COMPUTED_VALUE"""),45974.90582184028)</f>
        <v>45974.90582</v>
      </c>
      <c r="C3" s="3" t="str">
        <f>IFERROR(__xludf.DUMMYFUNCTION("""COMPUTED_VALUE"""),"ชั้นปีที่ 3")</f>
        <v>ชั้นปีที่ 3</v>
      </c>
      <c r="D3" s="3" t="str">
        <f>IFERROR(__xludf.DUMMYFUNCTION("""COMPUTED_VALUE"""),"6603817")</f>
        <v>6603817</v>
      </c>
      <c r="E3" s="3" t="str">
        <f>IFERROR(__xludf.DUMMYFUNCTION("""COMPUTED_VALUE"""),"63")</f>
        <v>63</v>
      </c>
      <c r="F3" s="3" t="str">
        <f>IFERROR(__xludf.DUMMYFUNCTION("""COMPUTED_VALUE"""),"นพอ.อารียา สงวน")</f>
        <v>นพอ.อารียา สงวน</v>
      </c>
      <c r="G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" s="3" t="str">
        <f>IFERROR(__xludf.DUMMYFUNCTION("""COMPUTED_VALUE"""),"ดุริยางค์ทหารอากาศ")</f>
        <v>ดุริยางค์ทหารอากาศ</v>
      </c>
      <c r="J3" s="12">
        <f>IFERROR(__xludf.DUMMYFUNCTION("""COMPUTED_VALUE"""),45825.0)</f>
        <v>45825</v>
      </c>
      <c r="K3" s="3" t="str">
        <f>IFERROR(__xludf.DUMMYFUNCTION("""COMPUTED_VALUE"""),"0800-1600")</f>
        <v>0800-1600</v>
      </c>
      <c r="L3" s="3">
        <f>IFERROR(__xludf.DUMMYFUNCTION("""COMPUTED_VALUE"""),8.0)</f>
        <v>8</v>
      </c>
      <c r="M3" s="3" t="str">
        <f>IFERROR(__xludf.DUMMYFUNCTION("""COMPUTED_VALUE"""),"ร.อ.อนุชิต ทำจะดี")</f>
        <v>ร.อ.อนุชิต ทำจะดี</v>
      </c>
      <c r="N3" s="14" t="str">
        <f>IFERROR(__xludf.DUMMYFUNCTION("""COMPUTED_VALUE"""),"https://lh5.googleusercontent.com/d/1tPvfdyeyVqKynkTJgJr1IA4tsqvm8cv-")</f>
        <v>https://lh5.googleusercontent.com/d/1tPvfdyeyVqKynkTJgJr1IA4tsqvm8cv-</v>
      </c>
      <c r="O3" s="14" t="str">
        <f>IFERROR(__xludf.DUMMYFUNCTION("""COMPUTED_VALUE"""),"https://drive.google.com/file/d/141_LMBDHo0t6WR1G4TroPWA-5IC3JHUX/view?usp=drivesdk")</f>
        <v>https://drive.google.com/file/d/141_LMBDHo0t6WR1G4TroPWA-5IC3JHUX/view?usp=drivesdk</v>
      </c>
    </row>
    <row r="4">
      <c r="A4" s="3">
        <f>IFERROR(__xludf.DUMMYFUNCTION("""COMPUTED_VALUE"""),20.0)</f>
        <v>20</v>
      </c>
      <c r="B4" s="11">
        <f>IFERROR(__xludf.DUMMYFUNCTION("""COMPUTED_VALUE"""),45974.90967920139)</f>
        <v>45974.90968</v>
      </c>
      <c r="C4" s="3" t="str">
        <f>IFERROR(__xludf.DUMMYFUNCTION("""COMPUTED_VALUE"""),"ชั้นปีที่ 3")</f>
        <v>ชั้นปีที่ 3</v>
      </c>
      <c r="D4" s="3" t="str">
        <f>IFERROR(__xludf.DUMMYFUNCTION("""COMPUTED_VALUE"""),"6603817")</f>
        <v>6603817</v>
      </c>
      <c r="E4" s="3" t="str">
        <f>IFERROR(__xludf.DUMMYFUNCTION("""COMPUTED_VALUE"""),"63")</f>
        <v>63</v>
      </c>
      <c r="F4" s="3" t="str">
        <f>IFERROR(__xludf.DUMMYFUNCTION("""COMPUTED_VALUE"""),"นพอ.อารียา สงวน")</f>
        <v>นพอ.อารียา สงวน</v>
      </c>
      <c r="G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4" s="12">
        <f>IFERROR(__xludf.DUMMYFUNCTION("""COMPUTED_VALUE"""),45838.0)</f>
        <v>45838</v>
      </c>
      <c r="K4" s="3" t="str">
        <f>IFERROR(__xludf.DUMMYFUNCTION("""COMPUTED_VALUE"""),"1400-2200")</f>
        <v>1400-2200</v>
      </c>
      <c r="L4" s="3">
        <f>IFERROR(__xludf.DUMMYFUNCTION("""COMPUTED_VALUE"""),8.0)</f>
        <v>8</v>
      </c>
      <c r="M4" s="3" t="str">
        <f>IFERROR(__xludf.DUMMYFUNCTION("""COMPUTED_VALUE"""),"ร.อ.อนุชิต ทำจะดี")</f>
        <v>ร.อ.อนุชิต ทำจะดี</v>
      </c>
      <c r="N4" s="14" t="str">
        <f>IFERROR(__xludf.DUMMYFUNCTION("""COMPUTED_VALUE"""),"https://lh5.googleusercontent.com/d/1qcGwrhSyTzQDHBP3r5oXecsAjTqC2rJE")</f>
        <v>https://lh5.googleusercontent.com/d/1qcGwrhSyTzQDHBP3r5oXecsAjTqC2rJE</v>
      </c>
      <c r="O4" s="14" t="str">
        <f>IFERROR(__xludf.DUMMYFUNCTION("""COMPUTED_VALUE"""),"https://drive.google.com/file/d/1w9taLYg_TYlDoUDcZNagKvD7FcXN7MmI/view?usp=drivesdk")</f>
        <v>https://drive.google.com/file/d/1w9taLYg_TYlDoUDcZNagKvD7FcXN7MmI/view?usp=drivesdk</v>
      </c>
    </row>
    <row r="5">
      <c r="A5" s="3">
        <f>IFERROR(__xludf.DUMMYFUNCTION("""COMPUTED_VALUE"""),21.0)</f>
        <v>21</v>
      </c>
      <c r="B5" s="11">
        <f>IFERROR(__xludf.DUMMYFUNCTION("""COMPUTED_VALUE"""),45974.92783834491)</f>
        <v>45974.92784</v>
      </c>
      <c r="C5" s="3" t="str">
        <f>IFERROR(__xludf.DUMMYFUNCTION("""COMPUTED_VALUE"""),"ชั้นปีที่ 3")</f>
        <v>ชั้นปีที่ 3</v>
      </c>
      <c r="D5" s="3" t="str">
        <f>IFERROR(__xludf.DUMMYFUNCTION("""COMPUTED_VALUE"""),"6603817")</f>
        <v>6603817</v>
      </c>
      <c r="E5" s="3" t="str">
        <f>IFERROR(__xludf.DUMMYFUNCTION("""COMPUTED_VALUE"""),"63")</f>
        <v>63</v>
      </c>
      <c r="F5" s="3" t="str">
        <f>IFERROR(__xludf.DUMMYFUNCTION("""COMPUTED_VALUE"""),"นพอ.อารียา สงวน")</f>
        <v>นพอ.อารียา สงวน</v>
      </c>
      <c r="G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" s="3" t="str">
        <f>IFERROR(__xludf.DUMMYFUNCTION("""COMPUTED_VALUE"""),"คอนเสิร์ตทัพฟ้าคู่ไทย เพื่อชัยพัฒนา ครั้งที่ 16")</f>
        <v>คอนเสิร์ตทัพฟ้าคู่ไทย เพื่อชัยพัฒนา ครั้งที่ 16</v>
      </c>
      <c r="I5" s="3" t="str">
        <f>IFERROR(__xludf.DUMMYFUNCTION("""COMPUTED_VALUE"""),"ศุนย์วัฒนธรรมแห่งประเทศไทย")</f>
        <v>ศุนย์วัฒนธรรมแห่งประเทศไทย</v>
      </c>
      <c r="J5" s="12">
        <f>IFERROR(__xludf.DUMMYFUNCTION("""COMPUTED_VALUE"""),45840.0)</f>
        <v>45840</v>
      </c>
      <c r="K5" s="3" t="str">
        <f>IFERROR(__xludf.DUMMYFUNCTION("""COMPUTED_VALUE"""),"1400-2200")</f>
        <v>1400-2200</v>
      </c>
      <c r="L5" s="3">
        <f>IFERROR(__xludf.DUMMYFUNCTION("""COMPUTED_VALUE"""),8.0)</f>
        <v>8</v>
      </c>
      <c r="M5" s="3" t="str">
        <f>IFERROR(__xludf.DUMMYFUNCTION("""COMPUTED_VALUE"""),"ร.อ.อนุชิต ทำจะดี")</f>
        <v>ร.อ.อนุชิต ทำจะดี</v>
      </c>
      <c r="N5" s="14" t="str">
        <f>IFERROR(__xludf.DUMMYFUNCTION("""COMPUTED_VALUE"""),"https://lh5.googleusercontent.com/d/1QZOpuzmDoQCXdD5WV6uqJWPAw5cNOad7")</f>
        <v>https://lh5.googleusercontent.com/d/1QZOpuzmDoQCXdD5WV6uqJWPAw5cNOad7</v>
      </c>
      <c r="O5" s="14" t="str">
        <f>IFERROR(__xludf.DUMMYFUNCTION("""COMPUTED_VALUE"""),"https://drive.google.com/file/d/15KnV7vuM1GYqHInx7NkBGPFNVyznySj0/view?usp=drivesdk")</f>
        <v>https://drive.google.com/file/d/15KnV7vuM1GYqHInx7NkBGPFNVyznySj0/view?usp=drivesdk</v>
      </c>
    </row>
    <row r="6">
      <c r="A6" s="3">
        <f>IFERROR(__xludf.DUMMYFUNCTION("""COMPUTED_VALUE"""),22.0)</f>
        <v>22</v>
      </c>
      <c r="B6" s="11">
        <f>IFERROR(__xludf.DUMMYFUNCTION("""COMPUTED_VALUE"""),45974.93067429399)</f>
        <v>45974.93067</v>
      </c>
      <c r="C6" s="3" t="str">
        <f>IFERROR(__xludf.DUMMYFUNCTION("""COMPUTED_VALUE"""),"ชั้นปีที่ 3")</f>
        <v>ชั้นปีที่ 3</v>
      </c>
      <c r="D6" s="3" t="str">
        <f>IFERROR(__xludf.DUMMYFUNCTION("""COMPUTED_VALUE"""),"6603817")</f>
        <v>6603817</v>
      </c>
      <c r="E6" s="3" t="str">
        <f>IFERROR(__xludf.DUMMYFUNCTION("""COMPUTED_VALUE"""),"63")</f>
        <v>63</v>
      </c>
      <c r="F6" s="3" t="str">
        <f>IFERROR(__xludf.DUMMYFUNCTION("""COMPUTED_VALUE"""),"นพอ.อารียา สงวน")</f>
        <v>นพอ.อารียา สงวน</v>
      </c>
      <c r="G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6" s="12">
        <f>IFERROR(__xludf.DUMMYFUNCTION("""COMPUTED_VALUE"""),45839.0)</f>
        <v>45839</v>
      </c>
      <c r="K6" s="3" t="str">
        <f>IFERROR(__xludf.DUMMYFUNCTION("""COMPUTED_VALUE"""),"1400-2200")</f>
        <v>1400-2200</v>
      </c>
      <c r="L6" s="3">
        <f>IFERROR(__xludf.DUMMYFUNCTION("""COMPUTED_VALUE"""),8.0)</f>
        <v>8</v>
      </c>
      <c r="M6" s="3" t="str">
        <f>IFERROR(__xludf.DUMMYFUNCTION("""COMPUTED_VALUE"""),"ร.อ.อนุชิต ทำจะดี")</f>
        <v>ร.อ.อนุชิต ทำจะดี</v>
      </c>
      <c r="N6" s="14" t="str">
        <f>IFERROR(__xludf.DUMMYFUNCTION("""COMPUTED_VALUE"""),"https://lh5.googleusercontent.com/d/182iHAiC8r8Kw1LT9QnFuCfb1WxwcvJNC")</f>
        <v>https://lh5.googleusercontent.com/d/182iHAiC8r8Kw1LT9QnFuCfb1WxwcvJNC</v>
      </c>
      <c r="O6" s="14" t="str">
        <f>IFERROR(__xludf.DUMMYFUNCTION("""COMPUTED_VALUE"""),"https://drive.google.com/file/d/1p2shziwfh5oAHXEnSPLSc6bvhMVisaLS/view?usp=drivesdk")</f>
        <v>https://drive.google.com/file/d/1p2shziwfh5oAHXEnSPLSc6bvhMVisaLS/view?usp=drivesdk</v>
      </c>
    </row>
    <row r="7">
      <c r="A7" s="3">
        <f>IFERROR(__xludf.DUMMYFUNCTION("""COMPUTED_VALUE"""),23.0)</f>
        <v>23</v>
      </c>
      <c r="B7" s="11">
        <f>IFERROR(__xludf.DUMMYFUNCTION("""COMPUTED_VALUE"""),45976.77767158565)</f>
        <v>45976.77767</v>
      </c>
      <c r="C7" s="3" t="str">
        <f>IFERROR(__xludf.DUMMYFUNCTION("""COMPUTED_VALUE"""),"ชั้นปีที่ 3")</f>
        <v>ชั้นปีที่ 3</v>
      </c>
      <c r="D7" s="3" t="str">
        <f>IFERROR(__xludf.DUMMYFUNCTION("""COMPUTED_VALUE"""),"6603780")</f>
        <v>6603780</v>
      </c>
      <c r="E7" s="3" t="str">
        <f>IFERROR(__xludf.DUMMYFUNCTION("""COMPUTED_VALUE"""),"26")</f>
        <v>26</v>
      </c>
      <c r="F7" s="3" t="str">
        <f>IFERROR(__xludf.DUMMYFUNCTION("""COMPUTED_VALUE"""),"นพอ.นิศาชล ชุมจันทร์")</f>
        <v>นพอ.นิศาชล ชุมจันทร์</v>
      </c>
      <c r="G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" s="3" t="str">
        <f>IFERROR(__xludf.DUMMYFUNCTION("""COMPUTED_VALUE"""),"คอนเสิร์ตทัพฟ้าคู่ไทยเพื่อ”ชัยพัฒนา“")</f>
        <v>คอนเสิร์ตทัพฟ้าคู่ไทยเพื่อ”ชัยพัฒนา“</v>
      </c>
      <c r="I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7" s="12">
        <f>IFERROR(__xludf.DUMMYFUNCTION("""COMPUTED_VALUE"""),45840.0)</f>
        <v>45840</v>
      </c>
      <c r="K7" s="3" t="str">
        <f>IFERROR(__xludf.DUMMYFUNCTION("""COMPUTED_VALUE"""),"1400-2200")</f>
        <v>1400-2200</v>
      </c>
      <c r="L7" s="3">
        <f>IFERROR(__xludf.DUMMYFUNCTION("""COMPUTED_VALUE"""),8.0)</f>
        <v>8</v>
      </c>
      <c r="M7" s="3" t="str">
        <f>IFERROR(__xludf.DUMMYFUNCTION("""COMPUTED_VALUE"""),"ร.อ.อนุชิต ทำจะดี")</f>
        <v>ร.อ.อนุชิต ทำจะดี</v>
      </c>
      <c r="N7" s="14" t="str">
        <f>IFERROR(__xludf.DUMMYFUNCTION("""COMPUTED_VALUE"""),"https://lh5.googleusercontent.com/d/1DjQLU8G4uenDlKzfKAFce8BFNiGoG6yy")</f>
        <v>https://lh5.googleusercontent.com/d/1DjQLU8G4uenDlKzfKAFce8BFNiGoG6yy</v>
      </c>
      <c r="O7" s="14" t="str">
        <f>IFERROR(__xludf.DUMMYFUNCTION("""COMPUTED_VALUE"""),"https://drive.google.com/file/d/1A1NXoTQzTkozbayKjJscZWyRk8fBjOto/view?usp=drivesdk")</f>
        <v>https://drive.google.com/file/d/1A1NXoTQzTkozbayKjJscZWyRk8fBjOto/view?usp=drivesdk</v>
      </c>
    </row>
    <row r="8">
      <c r="A8" s="3">
        <f>IFERROR(__xludf.DUMMYFUNCTION("""COMPUTED_VALUE"""),24.0)</f>
        <v>24</v>
      </c>
      <c r="B8" s="11">
        <f>IFERROR(__xludf.DUMMYFUNCTION("""COMPUTED_VALUE"""),45976.78525394676)</f>
        <v>45976.78525</v>
      </c>
      <c r="C8" s="3" t="str">
        <f>IFERROR(__xludf.DUMMYFUNCTION("""COMPUTED_VALUE"""),"ชั้นปีที่ 3")</f>
        <v>ชั้นปีที่ 3</v>
      </c>
      <c r="D8" s="3" t="str">
        <f>IFERROR(__xludf.DUMMYFUNCTION("""COMPUTED_VALUE"""),"6603780")</f>
        <v>6603780</v>
      </c>
      <c r="E8" s="3" t="str">
        <f>IFERROR(__xludf.DUMMYFUNCTION("""COMPUTED_VALUE"""),"26")</f>
        <v>26</v>
      </c>
      <c r="F8" s="3" t="str">
        <f>IFERROR(__xludf.DUMMYFUNCTION("""COMPUTED_VALUE"""),"นพอ.นิศาชล ชุมจันทร์")</f>
        <v>นพอ.นิศาชล ชุมจันทร์</v>
      </c>
      <c r="G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" s="3" t="str">
        <f>IFERROR(__xludf.DUMMYFUNCTION("""COMPUTED_VALUE"""),"พิธีรับเสด็จรับปริญญา นพอ.รุ่น 64")</f>
        <v>พิธีรับเสด็จรับปริญญา นพอ.รุ่น 64</v>
      </c>
      <c r="I8" s="3" t="str">
        <f>IFERROR(__xludf.DUMMYFUNCTION("""COMPUTED_VALUE"""),"มหาวิทยาลัยมหิดล")</f>
        <v>มหาวิทยาลัยมหิดล</v>
      </c>
      <c r="J8" s="12">
        <f>IFERROR(__xludf.DUMMYFUNCTION("""COMPUTED_VALUE"""),45940.0)</f>
        <v>45940</v>
      </c>
      <c r="K8" s="3" t="str">
        <f>IFERROR(__xludf.DUMMYFUNCTION("""COMPUTED_VALUE"""),"0800-1200")</f>
        <v>0800-1200</v>
      </c>
      <c r="L8" s="3">
        <f>IFERROR(__xludf.DUMMYFUNCTION("""COMPUTED_VALUE"""),4.0)</f>
        <v>4</v>
      </c>
      <c r="M8" s="3" t="str">
        <f>IFERROR(__xludf.DUMMYFUNCTION("""COMPUTED_VALUE"""),"น.ท.หญิง สุพัตรา ปิ่นแก้ว")</f>
        <v>น.ท.หญิง สุพัตรา ปิ่นแก้ว</v>
      </c>
      <c r="N8" s="14" t="str">
        <f>IFERROR(__xludf.DUMMYFUNCTION("""COMPUTED_VALUE"""),"https://lh5.googleusercontent.com/d/1Zej3t2rYV44TQqynwZYua3XQRUH8weX0")</f>
        <v>https://lh5.googleusercontent.com/d/1Zej3t2rYV44TQqynwZYua3XQRUH8weX0</v>
      </c>
      <c r="O8" s="14" t="str">
        <f>IFERROR(__xludf.DUMMYFUNCTION("""COMPUTED_VALUE"""),"https://drive.google.com/file/d/1nF8PJ4mmoVrxvfo6pgjKSd6HFsBny0Yv/view?usp=drivesdk")</f>
        <v>https://drive.google.com/file/d/1nF8PJ4mmoVrxvfo6pgjKSd6HFsBny0Yv/view?usp=drivesdk</v>
      </c>
    </row>
    <row r="9">
      <c r="A9" s="3">
        <f>IFERROR(__xludf.DUMMYFUNCTION("""COMPUTED_VALUE"""),25.0)</f>
        <v>25</v>
      </c>
      <c r="B9" s="11">
        <f>IFERROR(__xludf.DUMMYFUNCTION("""COMPUTED_VALUE"""),45977.043337731484)</f>
        <v>45977.04334</v>
      </c>
      <c r="C9" s="3" t="str">
        <f>IFERROR(__xludf.DUMMYFUNCTION("""COMPUTED_VALUE"""),"ชั้นปีที่ 3")</f>
        <v>ชั้นปีที่ 3</v>
      </c>
      <c r="D9" s="3" t="str">
        <f>IFERROR(__xludf.DUMMYFUNCTION("""COMPUTED_VALUE"""),"6603777")</f>
        <v>6603777</v>
      </c>
      <c r="E9" s="3" t="str">
        <f>IFERROR(__xludf.DUMMYFUNCTION("""COMPUTED_VALUE"""),"23")</f>
        <v>23</v>
      </c>
      <c r="F9" s="3" t="str">
        <f>IFERROR(__xludf.DUMMYFUNCTION("""COMPUTED_VALUE"""),"นพอ.นัชธิดา ไกรทองสุข")</f>
        <v>นพอ.นัชธิดา ไกรทองสุข</v>
      </c>
      <c r="G9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9" s="3" t="str">
        <f>IFERROR(__xludf.DUMMYFUNCTION("""COMPUTED_VALUE"""),"บริจาคโลหิต")</f>
        <v>บริจาคโลหิต</v>
      </c>
      <c r="I9" s="3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9" s="12">
        <f>IFERROR(__xludf.DUMMYFUNCTION("""COMPUTED_VALUE"""),45976.0)</f>
        <v>45976</v>
      </c>
      <c r="K9" s="3" t="str">
        <f>IFERROR(__xludf.DUMMYFUNCTION("""COMPUTED_VALUE"""),"0800-1600")</f>
        <v>0800-1600</v>
      </c>
      <c r="L9" s="3">
        <f>IFERROR(__xludf.DUMMYFUNCTION("""COMPUTED_VALUE"""),8.0)</f>
        <v>8</v>
      </c>
      <c r="M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" s="14" t="str">
        <f>IFERROR(__xludf.DUMMYFUNCTION("""COMPUTED_VALUE"""),"https://lh5.googleusercontent.com/d/1xPwMJhEac1tp5Z7fMv8gr62zvoBpsydT")</f>
        <v>https://lh5.googleusercontent.com/d/1xPwMJhEac1tp5Z7fMv8gr62zvoBpsydT</v>
      </c>
      <c r="O9" s="14" t="str">
        <f>IFERROR(__xludf.DUMMYFUNCTION("""COMPUTED_VALUE"""),"https://drive.google.com/file/d/1bhvNNvUzfbUAzceHbIIWvVoZQmKQ7sOm/view?usp=drivesdk")</f>
        <v>https://drive.google.com/file/d/1bhvNNvUzfbUAzceHbIIWvVoZQmKQ7sOm/view?usp=drivesdk</v>
      </c>
    </row>
    <row r="10">
      <c r="A10" s="3">
        <f>IFERROR(__xludf.DUMMYFUNCTION("""COMPUTED_VALUE"""),26.0)</f>
        <v>26</v>
      </c>
      <c r="B10" s="11">
        <f>IFERROR(__xludf.DUMMYFUNCTION("""COMPUTED_VALUE"""),45977.83206739584)</f>
        <v>45977.83207</v>
      </c>
      <c r="C10" s="3" t="str">
        <f>IFERROR(__xludf.DUMMYFUNCTION("""COMPUTED_VALUE"""),"ชั้นปีที่ 3")</f>
        <v>ชั้นปีที่ 3</v>
      </c>
      <c r="D10" s="3" t="str">
        <f>IFERROR(__xludf.DUMMYFUNCTION("""COMPUTED_VALUE"""),"6603767")</f>
        <v>6603767</v>
      </c>
      <c r="E10" s="3" t="str">
        <f>IFERROR(__xludf.DUMMYFUNCTION("""COMPUTED_VALUE"""),"14")</f>
        <v>14</v>
      </c>
      <c r="F10" s="3" t="str">
        <f>IFERROR(__xludf.DUMMYFUNCTION("""COMPUTED_VALUE"""),"นพอ.ณัฐนรินทร์ เต่าไธสง")</f>
        <v>นพอ.ณัฐนรินทร์ เต่าไธสง</v>
      </c>
      <c r="G1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" s="3" t="str">
        <f>IFERROR(__xludf.DUMMYFUNCTION("""COMPUTED_VALUE"""),"โครงการบริการวิชาการแก่")</f>
        <v>โครงการบริการวิชาการแก่</v>
      </c>
      <c r="I10" s="3" t="str">
        <f>IFERROR(__xludf.DUMMYFUNCTION("""COMPUTED_VALUE"""),"ชุมชนวัดเกาะ")</f>
        <v>ชุมชนวัดเกาะ</v>
      </c>
      <c r="J10" s="12">
        <f>IFERROR(__xludf.DUMMYFUNCTION("""COMPUTED_VALUE"""),45823.0)</f>
        <v>45823</v>
      </c>
      <c r="K10" s="3" t="str">
        <f>IFERROR(__xludf.DUMMYFUNCTION("""COMPUTED_VALUE"""),"0800-1200")</f>
        <v>0800-1200</v>
      </c>
      <c r="L10" s="3">
        <f>IFERROR(__xludf.DUMMYFUNCTION("""COMPUTED_VALUE"""),4.0)</f>
        <v>4</v>
      </c>
      <c r="M10" s="3" t="str">
        <f>IFERROR(__xludf.DUMMYFUNCTION("""COMPUTED_VALUE"""),"น.ต.หญิงตวงทิพย์ ลดาวัลย์")</f>
        <v>น.ต.หญิงตวงทิพย์ ลดาวัลย์</v>
      </c>
      <c r="N10" s="14" t="str">
        <f>IFERROR(__xludf.DUMMYFUNCTION("""COMPUTED_VALUE"""),"https://lh5.googleusercontent.com/d/1K8qZGRPkTnKvQcUwWfKaPD3sRAyD7UT3")</f>
        <v>https://lh5.googleusercontent.com/d/1K8qZGRPkTnKvQcUwWfKaPD3sRAyD7UT3</v>
      </c>
      <c r="O10" s="14" t="str">
        <f>IFERROR(__xludf.DUMMYFUNCTION("""COMPUTED_VALUE"""),"https://drive.google.com/file/d/1-BH1aY1K8hGh7J0Lcpr2VF74-fNd8Hnj/view?usp=drivesdk")</f>
        <v>https://drive.google.com/file/d/1-BH1aY1K8hGh7J0Lcpr2VF74-fNd8Hnj/view?usp=drivesdk</v>
      </c>
    </row>
    <row r="11">
      <c r="A11" s="3">
        <f>IFERROR(__xludf.DUMMYFUNCTION("""COMPUTED_VALUE"""),27.0)</f>
        <v>27</v>
      </c>
      <c r="B11" s="11">
        <f>IFERROR(__xludf.DUMMYFUNCTION("""COMPUTED_VALUE"""),45977.83646048611)</f>
        <v>45977.83646</v>
      </c>
      <c r="C11" s="3" t="str">
        <f>IFERROR(__xludf.DUMMYFUNCTION("""COMPUTED_VALUE"""),"ชั้นปีที่ 3")</f>
        <v>ชั้นปีที่ 3</v>
      </c>
      <c r="D11" s="3" t="str">
        <f>IFERROR(__xludf.DUMMYFUNCTION("""COMPUTED_VALUE"""),"6603767")</f>
        <v>6603767</v>
      </c>
      <c r="E11" s="3" t="str">
        <f>IFERROR(__xludf.DUMMYFUNCTION("""COMPUTED_VALUE"""),"14")</f>
        <v>14</v>
      </c>
      <c r="F11" s="3" t="str">
        <f>IFERROR(__xludf.DUMMYFUNCTION("""COMPUTED_VALUE"""),"นพอ.ณัฐนรินทร์ เต่าไธสว")</f>
        <v>นพอ.ณัฐนรินทร์ เต่าไธสว</v>
      </c>
      <c r="G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1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" s="12">
        <f>IFERROR(__xludf.DUMMYFUNCTION("""COMPUTED_VALUE"""),45839.0)</f>
        <v>45839</v>
      </c>
      <c r="K11" s="3" t="str">
        <f>IFERROR(__xludf.DUMMYFUNCTION("""COMPUTED_VALUE"""),"1400-2200")</f>
        <v>1400-2200</v>
      </c>
      <c r="L11" s="3">
        <f>IFERROR(__xludf.DUMMYFUNCTION("""COMPUTED_VALUE"""),8.0)</f>
        <v>8</v>
      </c>
      <c r="M11" s="3" t="str">
        <f>IFERROR(__xludf.DUMMYFUNCTION("""COMPUTED_VALUE"""),"ร.อ.อนุชิต ทำจะดี")</f>
        <v>ร.อ.อนุชิต ทำจะดี</v>
      </c>
      <c r="N11" s="14" t="str">
        <f>IFERROR(__xludf.DUMMYFUNCTION("""COMPUTED_VALUE"""),"https://lh5.googleusercontent.com/d/1KvFi20dySBei93tpc2ZrXE3IuEIxsJ8x")</f>
        <v>https://lh5.googleusercontent.com/d/1KvFi20dySBei93tpc2ZrXE3IuEIxsJ8x</v>
      </c>
      <c r="O11" s="14" t="str">
        <f>IFERROR(__xludf.DUMMYFUNCTION("""COMPUTED_VALUE"""),"https://drive.google.com/file/d/1aon51y_WSQGflgD4Yp1pA1Pmmu2m_b0g/view?usp=drivesdk")</f>
        <v>https://drive.google.com/file/d/1aon51y_WSQGflgD4Yp1pA1Pmmu2m_b0g/view?usp=drivesdk</v>
      </c>
    </row>
    <row r="12">
      <c r="A12" s="3">
        <f>IFERROR(__xludf.DUMMYFUNCTION("""COMPUTED_VALUE"""),28.0)</f>
        <v>28</v>
      </c>
      <c r="B12" s="11">
        <f>IFERROR(__xludf.DUMMYFUNCTION("""COMPUTED_VALUE"""),45977.837807337964)</f>
        <v>45977.83781</v>
      </c>
      <c r="C12" s="3" t="str">
        <f>IFERROR(__xludf.DUMMYFUNCTION("""COMPUTED_VALUE"""),"ชั้นปีที่ 3")</f>
        <v>ชั้นปีที่ 3</v>
      </c>
      <c r="D12" s="3" t="str">
        <f>IFERROR(__xludf.DUMMYFUNCTION("""COMPUTED_VALUE"""),"6603767")</f>
        <v>6603767</v>
      </c>
      <c r="E12" s="3" t="str">
        <f>IFERROR(__xludf.DUMMYFUNCTION("""COMPUTED_VALUE"""),"14")</f>
        <v>14</v>
      </c>
      <c r="F12" s="3" t="str">
        <f>IFERROR(__xludf.DUMMYFUNCTION("""COMPUTED_VALUE"""),"นพอ.ณัฐนรินทร์ เต่าไธสง")</f>
        <v>นพอ.ณัฐนรินทร์ เต่าไธสง</v>
      </c>
      <c r="G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1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" s="12">
        <f>IFERROR(__xludf.DUMMYFUNCTION("""COMPUTED_VALUE"""),45840.0)</f>
        <v>45840</v>
      </c>
      <c r="K12" s="3" t="str">
        <f>IFERROR(__xludf.DUMMYFUNCTION("""COMPUTED_VALUE"""),"1400-2200")</f>
        <v>1400-2200</v>
      </c>
      <c r="L12" s="3">
        <f>IFERROR(__xludf.DUMMYFUNCTION("""COMPUTED_VALUE"""),8.0)</f>
        <v>8</v>
      </c>
      <c r="M12" s="3" t="str">
        <f>IFERROR(__xludf.DUMMYFUNCTION("""COMPUTED_VALUE"""),"ร.อ.อนุชิต ทำจะดี")</f>
        <v>ร.อ.อนุชิต ทำจะดี</v>
      </c>
      <c r="N12" s="14" t="str">
        <f>IFERROR(__xludf.DUMMYFUNCTION("""COMPUTED_VALUE"""),"https://lh5.googleusercontent.com/d/1N9kCer_DCRhYI0_9npwcBGaUJ1vO1Tth")</f>
        <v>https://lh5.googleusercontent.com/d/1N9kCer_DCRhYI0_9npwcBGaUJ1vO1Tth</v>
      </c>
      <c r="O12" s="14" t="str">
        <f>IFERROR(__xludf.DUMMYFUNCTION("""COMPUTED_VALUE"""),"https://drive.google.com/file/d/1lszQpMoakXos9GAnoe0N1b9fvL9nVOCC/view?usp=drivesdk")</f>
        <v>https://drive.google.com/file/d/1lszQpMoakXos9GAnoe0N1b9fvL9nVOCC/view?usp=drivesdk</v>
      </c>
    </row>
    <row r="13">
      <c r="A13" s="3">
        <f>IFERROR(__xludf.DUMMYFUNCTION("""COMPUTED_VALUE"""),29.0)</f>
        <v>29</v>
      </c>
      <c r="B13" s="11">
        <f>IFERROR(__xludf.DUMMYFUNCTION("""COMPUTED_VALUE"""),45977.898092627314)</f>
        <v>45977.89809</v>
      </c>
      <c r="C13" s="3" t="str">
        <f>IFERROR(__xludf.DUMMYFUNCTION("""COMPUTED_VALUE"""),"ชั้นปีที่ 3")</f>
        <v>ชั้นปีที่ 3</v>
      </c>
      <c r="D13" s="3" t="str">
        <f>IFERROR(__xludf.DUMMYFUNCTION("""COMPUTED_VALUE"""),"6603777")</f>
        <v>6603777</v>
      </c>
      <c r="E13" s="3" t="str">
        <f>IFERROR(__xludf.DUMMYFUNCTION("""COMPUTED_VALUE"""),"23")</f>
        <v>23</v>
      </c>
      <c r="F13" s="3" t="str">
        <f>IFERROR(__xludf.DUMMYFUNCTION("""COMPUTED_VALUE"""),"นพอ.นัชธิดา ไกรทองสุข")</f>
        <v>นพอ.นัชธิดา ไกรทองสุข</v>
      </c>
      <c r="G1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" s="3" t="str">
        <f>IFERROR(__xludf.DUMMYFUNCTION("""COMPUTED_VALUE"""),"วัดเกาะร่วมใจ ใส่ใจสุขภาพ")</f>
        <v>วัดเกาะร่วมใจ ใส่ใจสุขภาพ</v>
      </c>
      <c r="I13" s="3" t="str">
        <f>IFERROR(__xludf.DUMMYFUNCTION("""COMPUTED_VALUE"""),"ณ ลานกีฬาอเนกประสงค์หมู่บ้านอรุณนิเวศน์ วัดเกาะ เขตสายไหม กรุงเทพฯ")</f>
        <v>ณ ลานกีฬาอเนกประสงค์หมู่บ้านอรุณนิเวศน์ วัดเกาะ เขตสายไหม กรุงเทพฯ</v>
      </c>
      <c r="J13" s="12">
        <f>IFERROR(__xludf.DUMMYFUNCTION("""COMPUTED_VALUE"""),45823.0)</f>
        <v>45823</v>
      </c>
      <c r="K13" s="3" t="str">
        <f>IFERROR(__xludf.DUMMYFUNCTION("""COMPUTED_VALUE"""),"0800-1200")</f>
        <v>0800-1200</v>
      </c>
      <c r="L13" s="3">
        <f>IFERROR(__xludf.DUMMYFUNCTION("""COMPUTED_VALUE"""),4.0)</f>
        <v>4</v>
      </c>
      <c r="M13" s="3" t="str">
        <f>IFERROR(__xludf.DUMMYFUNCTION("""COMPUTED_VALUE"""),"น.ต.หญิง ตวงทิพย์ ลดาวัลย์")</f>
        <v>น.ต.หญิง ตวงทิพย์ ลดาวัลย์</v>
      </c>
      <c r="N13" s="14" t="str">
        <f>IFERROR(__xludf.DUMMYFUNCTION("""COMPUTED_VALUE"""),"https://lh5.googleusercontent.com/d/16GYp9vmK5s3DI9wkj93yb51LNvHpqyQR")</f>
        <v>https://lh5.googleusercontent.com/d/16GYp9vmK5s3DI9wkj93yb51LNvHpqyQR</v>
      </c>
      <c r="O13" s="14" t="str">
        <f>IFERROR(__xludf.DUMMYFUNCTION("""COMPUTED_VALUE"""),"https://drive.google.com/file/d/1bUnAYIWh6bKek0ufXaXRwjjCRpqhZ4Ig/view?usp=drivesdk")</f>
        <v>https://drive.google.com/file/d/1bUnAYIWh6bKek0ufXaXRwjjCRpqhZ4Ig/view?usp=drivesdk</v>
      </c>
    </row>
    <row r="14">
      <c r="A14" s="3">
        <f>IFERROR(__xludf.DUMMYFUNCTION("""COMPUTED_VALUE"""),88.0)</f>
        <v>88</v>
      </c>
      <c r="B14" s="11">
        <f>IFERROR(__xludf.DUMMYFUNCTION("""COMPUTED_VALUE"""),45980.96488388889)</f>
        <v>45980.96488</v>
      </c>
      <c r="C14" s="3" t="str">
        <f>IFERROR(__xludf.DUMMYFUNCTION("""COMPUTED_VALUE"""),"ชั้นปีที่ 3")</f>
        <v>ชั้นปีที่ 3</v>
      </c>
      <c r="D14" s="3" t="str">
        <f>IFERROR(__xludf.DUMMYFUNCTION("""COMPUTED_VALUE"""),"6603774")</f>
        <v>6603774</v>
      </c>
      <c r="E14" s="3" t="str">
        <f>IFERROR(__xludf.DUMMYFUNCTION("""COMPUTED_VALUE"""),"21")</f>
        <v>21</v>
      </c>
      <c r="F14" s="3" t="str">
        <f>IFERROR(__xludf.DUMMYFUNCTION("""COMPUTED_VALUE"""),"นพอ.ธัญลักษณ์ ระลึกเย็น")</f>
        <v>นพอ.ธัญลักษณ์ ระลึกเย็น</v>
      </c>
      <c r="G1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" s="12">
        <f>IFERROR(__xludf.DUMMYFUNCTION("""COMPUTED_VALUE"""),45838.0)</f>
        <v>45838</v>
      </c>
      <c r="K14" s="3" t="str">
        <f>IFERROR(__xludf.DUMMYFUNCTION("""COMPUTED_VALUE"""),"1400-2200")</f>
        <v>1400-2200</v>
      </c>
      <c r="L14" s="3">
        <f>IFERROR(__xludf.DUMMYFUNCTION("""COMPUTED_VALUE"""),8.0)</f>
        <v>8</v>
      </c>
      <c r="M14" s="3" t="str">
        <f>IFERROR(__xludf.DUMMYFUNCTION("""COMPUTED_VALUE"""),"ร.อ.อนุชิต ทำจะดี")</f>
        <v>ร.อ.อนุชิต ทำจะดี</v>
      </c>
      <c r="N14" s="14" t="str">
        <f>IFERROR(__xludf.DUMMYFUNCTION("""COMPUTED_VALUE"""),"https://lh5.googleusercontent.com/d/1Ri-iHvjCYl98vtbkAC4PhfdP2E4fOwsJ")</f>
        <v>https://lh5.googleusercontent.com/d/1Ri-iHvjCYl98vtbkAC4PhfdP2E4fOwsJ</v>
      </c>
      <c r="O14" s="14" t="str">
        <f>IFERROR(__xludf.DUMMYFUNCTION("""COMPUTED_VALUE"""),"https://drive.google.com/file/d/10IwIRaZyG36oS4NRjhMvISPRc8vuTeEm/view?usp=drivesdk")</f>
        <v>https://drive.google.com/file/d/10IwIRaZyG36oS4NRjhMvISPRc8vuTeEm/view?usp=drivesdk</v>
      </c>
    </row>
    <row r="15">
      <c r="A15" s="3">
        <f>IFERROR(__xludf.DUMMYFUNCTION("""COMPUTED_VALUE"""),89.0)</f>
        <v>89</v>
      </c>
      <c r="B15" s="11">
        <f>IFERROR(__xludf.DUMMYFUNCTION("""COMPUTED_VALUE"""),45980.96624540509)</f>
        <v>45980.96625</v>
      </c>
      <c r="C15" s="3" t="str">
        <f>IFERROR(__xludf.DUMMYFUNCTION("""COMPUTED_VALUE"""),"ชั้นปีที่ 3")</f>
        <v>ชั้นปีที่ 3</v>
      </c>
      <c r="D15" s="3" t="str">
        <f>IFERROR(__xludf.DUMMYFUNCTION("""COMPUTED_VALUE"""),"6603774")</f>
        <v>6603774</v>
      </c>
      <c r="E15" s="3" t="str">
        <f>IFERROR(__xludf.DUMMYFUNCTION("""COMPUTED_VALUE"""),"21")</f>
        <v>21</v>
      </c>
      <c r="F15" s="3" t="str">
        <f>IFERROR(__xludf.DUMMYFUNCTION("""COMPUTED_VALUE"""),"นพอ.ธัญลักษณ์ ระลึกเย็น")</f>
        <v>นพอ.ธัญลักษณ์ ระลึกเย็น</v>
      </c>
      <c r="G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" s="12">
        <f>IFERROR(__xludf.DUMMYFUNCTION("""COMPUTED_VALUE"""),45839.0)</f>
        <v>45839</v>
      </c>
      <c r="K15" s="3" t="str">
        <f>IFERROR(__xludf.DUMMYFUNCTION("""COMPUTED_VALUE"""),"1400 - 2200")</f>
        <v>1400 - 2200</v>
      </c>
      <c r="L15" s="3">
        <f>IFERROR(__xludf.DUMMYFUNCTION("""COMPUTED_VALUE"""),8.0)</f>
        <v>8</v>
      </c>
      <c r="M15" s="3" t="str">
        <f>IFERROR(__xludf.DUMMYFUNCTION("""COMPUTED_VALUE"""),"ร.อ.อนุชิต ทำจะดี")</f>
        <v>ร.อ.อนุชิต ทำจะดี</v>
      </c>
      <c r="N15" s="14" t="str">
        <f>IFERROR(__xludf.DUMMYFUNCTION("""COMPUTED_VALUE"""),"https://lh5.googleusercontent.com/d/1k4RssSYps1NQyBD1aVRLNkK8IOMn3Zvi")</f>
        <v>https://lh5.googleusercontent.com/d/1k4RssSYps1NQyBD1aVRLNkK8IOMn3Zvi</v>
      </c>
      <c r="O15" s="14" t="str">
        <f>IFERROR(__xludf.DUMMYFUNCTION("""COMPUTED_VALUE"""),"https://drive.google.com/file/d/1u1raebqXa9CmkrRVhew39PuH2qNUyU2a/view?usp=drivesdk")</f>
        <v>https://drive.google.com/file/d/1u1raebqXa9CmkrRVhew39PuH2qNUyU2a/view?usp=drivesdk</v>
      </c>
    </row>
    <row r="16">
      <c r="A16" s="3">
        <f>IFERROR(__xludf.DUMMYFUNCTION("""COMPUTED_VALUE"""),90.0)</f>
        <v>90</v>
      </c>
      <c r="B16" s="11">
        <f>IFERROR(__xludf.DUMMYFUNCTION("""COMPUTED_VALUE"""),45980.967552476846)</f>
        <v>45980.96755</v>
      </c>
      <c r="C16" s="3" t="str">
        <f>IFERROR(__xludf.DUMMYFUNCTION("""COMPUTED_VALUE"""),"ชั้นปีที่ 3")</f>
        <v>ชั้นปีที่ 3</v>
      </c>
      <c r="D16" s="3" t="str">
        <f>IFERROR(__xludf.DUMMYFUNCTION("""COMPUTED_VALUE"""),"6603774")</f>
        <v>6603774</v>
      </c>
      <c r="E16" s="3" t="str">
        <f>IFERROR(__xludf.DUMMYFUNCTION("""COMPUTED_VALUE"""),"21")</f>
        <v>21</v>
      </c>
      <c r="F16" s="3" t="str">
        <f>IFERROR(__xludf.DUMMYFUNCTION("""COMPUTED_VALUE"""),"นพอ.ธัญลักษณ์ ระลึกเย็น")</f>
        <v>นพอ.ธัญลักษณ์ ระลึกเย็น</v>
      </c>
      <c r="G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" s="3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6" s="12">
        <f>IFERROR(__xludf.DUMMYFUNCTION("""COMPUTED_VALUE"""),45840.0)</f>
        <v>45840</v>
      </c>
      <c r="K16" s="3" t="str">
        <f>IFERROR(__xludf.DUMMYFUNCTION("""COMPUTED_VALUE"""),"1400 - 2200")</f>
        <v>1400 - 2200</v>
      </c>
      <c r="L16" s="3">
        <f>IFERROR(__xludf.DUMMYFUNCTION("""COMPUTED_VALUE"""),8.0)</f>
        <v>8</v>
      </c>
      <c r="M16" s="3" t="str">
        <f>IFERROR(__xludf.DUMMYFUNCTION("""COMPUTED_VALUE"""),"ร.อ.อนุชิต ทำจะดี")</f>
        <v>ร.อ.อนุชิต ทำจะดี</v>
      </c>
      <c r="N16" s="14" t="str">
        <f>IFERROR(__xludf.DUMMYFUNCTION("""COMPUTED_VALUE"""),"https://lh5.googleusercontent.com/d/1yClHjQY9pEvMQ86qzWb2uog7JCyxZVjW")</f>
        <v>https://lh5.googleusercontent.com/d/1yClHjQY9pEvMQ86qzWb2uog7JCyxZVjW</v>
      </c>
      <c r="O16" s="14" t="str">
        <f>IFERROR(__xludf.DUMMYFUNCTION("""COMPUTED_VALUE"""),"https://drive.google.com/file/d/1JashdJmZbOdFuc2ZbWdqxRgZk9LyBliR/view?usp=drivesdk")</f>
        <v>https://drive.google.com/file/d/1JashdJmZbOdFuc2ZbWdqxRgZk9LyBliR/view?usp=drivesdk</v>
      </c>
    </row>
    <row r="17">
      <c r="A17" s="3">
        <f>IFERROR(__xludf.DUMMYFUNCTION("""COMPUTED_VALUE"""),97.0)</f>
        <v>97</v>
      </c>
      <c r="B17" s="11">
        <f>IFERROR(__xludf.DUMMYFUNCTION("""COMPUTED_VALUE"""),45981.32769971065)</f>
        <v>45981.3277</v>
      </c>
      <c r="C17" s="3" t="str">
        <f>IFERROR(__xludf.DUMMYFUNCTION("""COMPUTED_VALUE"""),"ชั้นปีที่ 3")</f>
        <v>ชั้นปีที่ 3</v>
      </c>
      <c r="D17" s="3" t="str">
        <f>IFERROR(__xludf.DUMMYFUNCTION("""COMPUTED_VALUE"""),"6603803")</f>
        <v>6603803</v>
      </c>
      <c r="E17" s="3" t="str">
        <f>IFERROR(__xludf.DUMMYFUNCTION("""COMPUTED_VALUE"""),"49")</f>
        <v>49</v>
      </c>
      <c r="F17" s="3" t="str">
        <f>IFERROR(__xludf.DUMMYFUNCTION("""COMPUTED_VALUE"""),"นพอ.ศิริพร คล้ายแก้ว")</f>
        <v>นพอ.ศิริพร คล้ายแก้ว</v>
      </c>
      <c r="G1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7" s="3" t="str">
        <f>IFERROR(__xludf.DUMMYFUNCTION("""COMPUTED_VALUE"""),"อาสาทาสีโรงเรียน แจกขนมเด็กๆ")</f>
        <v>อาสาทาสีโรงเรียน แจกขนมเด็กๆ</v>
      </c>
      <c r="I17" s="3" t="str">
        <f>IFERROR(__xludf.DUMMYFUNCTION("""COMPUTED_VALUE"""),"โรงเรียนวัดโสดาประดิษฐาราม")</f>
        <v>โรงเรียนวัดโสดาประดิษฐาราม</v>
      </c>
      <c r="J17" s="12">
        <f>IFERROR(__xludf.DUMMYFUNCTION("""COMPUTED_VALUE"""),45830.0)</f>
        <v>45830</v>
      </c>
      <c r="K17" s="3" t="str">
        <f>IFERROR(__xludf.DUMMYFUNCTION("""COMPUTED_VALUE"""),"0800-1600")</f>
        <v>0800-1600</v>
      </c>
      <c r="L17" s="3">
        <f>IFERROR(__xludf.DUMMYFUNCTION("""COMPUTED_VALUE"""),8.0)</f>
        <v>8</v>
      </c>
      <c r="M17" s="3" t="str">
        <f>IFERROR(__xludf.DUMMYFUNCTION("""COMPUTED_VALUE"""),"นายอนุพงศ์ เลี้ยงมณีกุล")</f>
        <v>นายอนุพงศ์ เลี้ยงมณีกุล</v>
      </c>
      <c r="N17" s="14" t="str">
        <f>IFERROR(__xludf.DUMMYFUNCTION("""COMPUTED_VALUE"""),"https://lh5.googleusercontent.com/d/1DKHHxrBQo8FNoZIAs7VsT_0Sk8HbLW-p")</f>
        <v>https://lh5.googleusercontent.com/d/1DKHHxrBQo8FNoZIAs7VsT_0Sk8HbLW-p</v>
      </c>
      <c r="O17" s="14" t="str">
        <f>IFERROR(__xludf.DUMMYFUNCTION("""COMPUTED_VALUE"""),"https://drive.google.com/file/d/150jVdL-SHjfTYHLJyf_kZkJcrFMFB1F1/view?usp=drivesdk")</f>
        <v>https://drive.google.com/file/d/150jVdL-SHjfTYHLJyf_kZkJcrFMFB1F1/view?usp=drivesdk</v>
      </c>
    </row>
    <row r="18">
      <c r="A18" s="3">
        <f>IFERROR(__xludf.DUMMYFUNCTION("""COMPUTED_VALUE"""),98.0)</f>
        <v>98</v>
      </c>
      <c r="B18" s="11">
        <f>IFERROR(__xludf.DUMMYFUNCTION("""COMPUTED_VALUE"""),45981.33311103009)</f>
        <v>45981.33311</v>
      </c>
      <c r="C18" s="3" t="str">
        <f>IFERROR(__xludf.DUMMYFUNCTION("""COMPUTED_VALUE"""),"ชั้นปีที่ 3")</f>
        <v>ชั้นปีที่ 3</v>
      </c>
      <c r="D18" s="3" t="str">
        <f>IFERROR(__xludf.DUMMYFUNCTION("""COMPUTED_VALUE"""),"6603799")</f>
        <v>6603799</v>
      </c>
      <c r="E18" s="3" t="str">
        <f>IFERROR(__xludf.DUMMYFUNCTION("""COMPUTED_VALUE"""),"45")</f>
        <v>45</v>
      </c>
      <c r="F18" s="3" t="str">
        <f>IFERROR(__xludf.DUMMYFUNCTION("""COMPUTED_VALUE"""),"นพอ.วรัญญา สุวรรณ")</f>
        <v>นพอ.วรัญญา สุวรรณ</v>
      </c>
      <c r="G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8" s="3" t="str">
        <f>IFERROR(__xludf.DUMMYFUNCTION("""COMPUTED_VALUE"""),"ชุมชมวัดเกาะ")</f>
        <v>ชุมชมวัดเกาะ</v>
      </c>
      <c r="J18" s="12">
        <f>IFERROR(__xludf.DUMMYFUNCTION("""COMPUTED_VALUE"""),45823.0)</f>
        <v>45823</v>
      </c>
      <c r="K18" s="3" t="str">
        <f>IFERROR(__xludf.DUMMYFUNCTION("""COMPUTED_VALUE"""),"0800-1200")</f>
        <v>0800-1200</v>
      </c>
      <c r="L18" s="3">
        <f>IFERROR(__xludf.DUMMYFUNCTION("""COMPUTED_VALUE"""),4.0)</f>
        <v>4</v>
      </c>
      <c r="M18" s="3" t="str">
        <f>IFERROR(__xludf.DUMMYFUNCTION("""COMPUTED_VALUE"""),"น.ต.หญิง ตวงทิพย์ ลดาวัลย์")</f>
        <v>น.ต.หญิง ตวงทิพย์ ลดาวัลย์</v>
      </c>
      <c r="N18" s="14" t="str">
        <f>IFERROR(__xludf.DUMMYFUNCTION("""COMPUTED_VALUE"""),"https://lh5.googleusercontent.com/d/1ddq8J0_sdKoIJBR6ZoU9PbESIcBILigB")</f>
        <v>https://lh5.googleusercontent.com/d/1ddq8J0_sdKoIJBR6ZoU9PbESIcBILigB</v>
      </c>
      <c r="O18" s="14" t="str">
        <f>IFERROR(__xludf.DUMMYFUNCTION("""COMPUTED_VALUE"""),"https://drive.google.com/file/d/1qECn-RVjUAzWDQtBn9WnIJAF72If2FoL/view?usp=drivesdk")</f>
        <v>https://drive.google.com/file/d/1qECn-RVjUAzWDQtBn9WnIJAF72If2FoL/view?usp=drivesdk</v>
      </c>
    </row>
    <row r="19">
      <c r="A19" s="3">
        <f>IFERROR(__xludf.DUMMYFUNCTION("""COMPUTED_VALUE"""),99.0)</f>
        <v>99</v>
      </c>
      <c r="B19" s="11">
        <f>IFERROR(__xludf.DUMMYFUNCTION("""COMPUTED_VALUE"""),45981.33405600695)</f>
        <v>45981.33406</v>
      </c>
      <c r="C19" s="3" t="str">
        <f>IFERROR(__xludf.DUMMYFUNCTION("""COMPUTED_VALUE"""),"ชั้นปีที่ 3")</f>
        <v>ชั้นปีที่ 3</v>
      </c>
      <c r="D19" s="3" t="str">
        <f>IFERROR(__xludf.DUMMYFUNCTION("""COMPUTED_VALUE"""),"6603796")</f>
        <v>6603796</v>
      </c>
      <c r="E19" s="3" t="str">
        <f>IFERROR(__xludf.DUMMYFUNCTION("""COMPUTED_VALUE"""),"42")</f>
        <v>42</v>
      </c>
      <c r="F19" s="3" t="str">
        <f>IFERROR(__xludf.DUMMYFUNCTION("""COMPUTED_VALUE"""),"นพอ.พิมพ์พิศา ไพศาลมรกต")</f>
        <v>นพอ.พิมพ์พิศา ไพศาลมรกต</v>
      </c>
      <c r="G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9" s="3" t="str">
        <f>IFERROR(__xludf.DUMMYFUNCTION("""COMPUTED_VALUE"""),"ชุมชนวัดเกาะ")</f>
        <v>ชุมชนวัดเกาะ</v>
      </c>
      <c r="J19" s="12">
        <f>IFERROR(__xludf.DUMMYFUNCTION("""COMPUTED_VALUE"""),45823.0)</f>
        <v>45823</v>
      </c>
      <c r="K19" s="3" t="str">
        <f>IFERROR(__xludf.DUMMYFUNCTION("""COMPUTED_VALUE"""),"0800-1200")</f>
        <v>0800-1200</v>
      </c>
      <c r="L19" s="3">
        <f>IFERROR(__xludf.DUMMYFUNCTION("""COMPUTED_VALUE"""),4.0)</f>
        <v>4</v>
      </c>
      <c r="M19" s="3" t="str">
        <f>IFERROR(__xludf.DUMMYFUNCTION("""COMPUTED_VALUE"""),"น.ต.หญิง ตวงทิพย์ ลดาวัลย์")</f>
        <v>น.ต.หญิง ตวงทิพย์ ลดาวัลย์</v>
      </c>
      <c r="N19" s="14" t="str">
        <f>IFERROR(__xludf.DUMMYFUNCTION("""COMPUTED_VALUE"""),"https://lh5.googleusercontent.com/d/14QtkMfuyTVggS2EIhZCZt7OAo-50ujz0")</f>
        <v>https://lh5.googleusercontent.com/d/14QtkMfuyTVggS2EIhZCZt7OAo-50ujz0</v>
      </c>
      <c r="O19" s="14" t="str">
        <f>IFERROR(__xludf.DUMMYFUNCTION("""COMPUTED_VALUE"""),"https://drive.google.com/file/d/1IDVHbYMv2KErtfPzLAqnRfG9CV55sb4F/view?usp=drivesdk")</f>
        <v>https://drive.google.com/file/d/1IDVHbYMv2KErtfPzLAqnRfG9CV55sb4F/view?usp=drivesdk</v>
      </c>
    </row>
    <row r="20">
      <c r="A20" s="3">
        <f>IFERROR(__xludf.DUMMYFUNCTION("""COMPUTED_VALUE"""),100.0)</f>
        <v>100</v>
      </c>
      <c r="B20" s="11">
        <f>IFERROR(__xludf.DUMMYFUNCTION("""COMPUTED_VALUE"""),45981.34637039352)</f>
        <v>45981.34637</v>
      </c>
      <c r="C20" s="3" t="str">
        <f>IFERROR(__xludf.DUMMYFUNCTION("""COMPUTED_VALUE"""),"ชั้นปีที่ 3")</f>
        <v>ชั้นปีที่ 3</v>
      </c>
      <c r="D20" s="3" t="str">
        <f>IFERROR(__xludf.DUMMYFUNCTION("""COMPUTED_VALUE"""),"6603796")</f>
        <v>6603796</v>
      </c>
      <c r="E20" s="3" t="str">
        <f>IFERROR(__xludf.DUMMYFUNCTION("""COMPUTED_VALUE"""),"42")</f>
        <v>42</v>
      </c>
      <c r="F20" s="3" t="str">
        <f>IFERROR(__xludf.DUMMYFUNCTION("""COMPUTED_VALUE"""),"นพอ.พิมพ์พิศา ไพศาลมรกต")</f>
        <v>นพอ.พิมพ์พิศา ไพศาลมรกต</v>
      </c>
      <c r="G20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0" s="3" t="str">
        <f>IFERROR(__xludf.DUMMYFUNCTION("""COMPUTED_VALUE"""),"ลงนามถวายพระพรสมเด็จพระบรมราชินีพันปีหลวง")</f>
        <v>ลงนามถวายพระพรสมเด็จพระบรมราชินีพันปีหลวง</v>
      </c>
      <c r="I20" s="3" t="str">
        <f>IFERROR(__xludf.DUMMYFUNCTION("""COMPUTED_VALUE"""),"-")</f>
        <v>-</v>
      </c>
      <c r="J20" s="12">
        <f>IFERROR(__xludf.DUMMYFUNCTION("""COMPUTED_VALUE"""),45879.0)</f>
        <v>45879</v>
      </c>
      <c r="K20" s="3" t="str">
        <f>IFERROR(__xludf.DUMMYFUNCTION("""COMPUTED_VALUE"""),"1000-1100")</f>
        <v>1000-1100</v>
      </c>
      <c r="L20" s="3">
        <f>IFERROR(__xludf.DUMMYFUNCTION("""COMPUTED_VALUE"""),1.0)</f>
        <v>1</v>
      </c>
      <c r="M20" s="3" t="str">
        <f>IFERROR(__xludf.DUMMYFUNCTION("""COMPUTED_VALUE"""),"ร.อ.อนุชิต ทำจะดี")</f>
        <v>ร.อ.อนุชิต ทำจะดี</v>
      </c>
      <c r="N20" s="14" t="str">
        <f>IFERROR(__xludf.DUMMYFUNCTION("""COMPUTED_VALUE"""),"https://lh5.googleusercontent.com/d/1BSnjn8Vt-GmyMnfIu8Oq6LsTmxRyupC8")</f>
        <v>https://lh5.googleusercontent.com/d/1BSnjn8Vt-GmyMnfIu8Oq6LsTmxRyupC8</v>
      </c>
      <c r="O20" s="14" t="str">
        <f>IFERROR(__xludf.DUMMYFUNCTION("""COMPUTED_VALUE"""),"https://drive.google.com/file/d/1TNgLrm6sUcUep4gtzNTeaMEmqP-I_nZo/view?usp=drivesdk")</f>
        <v>https://drive.google.com/file/d/1TNgLrm6sUcUep4gtzNTeaMEmqP-I_nZo/view?usp=drivesdk</v>
      </c>
    </row>
    <row r="21">
      <c r="A21" s="3">
        <f>IFERROR(__xludf.DUMMYFUNCTION("""COMPUTED_VALUE"""),101.0)</f>
        <v>101</v>
      </c>
      <c r="B21" s="11">
        <f>IFERROR(__xludf.DUMMYFUNCTION("""COMPUTED_VALUE"""),45981.35017873842)</f>
        <v>45981.35018</v>
      </c>
      <c r="C21" s="3" t="str">
        <f>IFERROR(__xludf.DUMMYFUNCTION("""COMPUTED_VALUE"""),"ชั้นปีที่ 3")</f>
        <v>ชั้นปีที่ 3</v>
      </c>
      <c r="D21" s="3" t="str">
        <f>IFERROR(__xludf.DUMMYFUNCTION("""COMPUTED_VALUE"""),"6603799")</f>
        <v>6603799</v>
      </c>
      <c r="E21" s="3" t="str">
        <f>IFERROR(__xludf.DUMMYFUNCTION("""COMPUTED_VALUE"""),"45")</f>
        <v>45</v>
      </c>
      <c r="F21" s="3" t="str">
        <f>IFERROR(__xludf.DUMMYFUNCTION("""COMPUTED_VALUE"""),"นพอ.วรัญญา สุวรรณ")</f>
        <v>นพอ.วรัญญา สุวรรณ</v>
      </c>
      <c r="G2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" s="3" t="str">
        <f>IFERROR(__xludf.DUMMYFUNCTION("""COMPUTED_VALUE"""),"พิธีไหว้ครูดนตรีไทย 10 สถาบัน")</f>
        <v>พิธีไหว้ครูดนตรีไทย 10 สถาบัน</v>
      </c>
      <c r="I21" s="3" t="str">
        <f>IFERROR(__xludf.DUMMYFUNCTION("""COMPUTED_VALUE"""),"โรงเรียนนายร้อยตำรวจ")</f>
        <v>โรงเรียนนายร้อยตำรวจ</v>
      </c>
      <c r="J21" s="12">
        <f>IFERROR(__xludf.DUMMYFUNCTION("""COMPUTED_VALUE"""),45843.0)</f>
        <v>45843</v>
      </c>
      <c r="K21" s="3" t="str">
        <f>IFERROR(__xludf.DUMMYFUNCTION("""COMPUTED_VALUE"""),"0800-1600")</f>
        <v>0800-1600</v>
      </c>
      <c r="L21" s="3">
        <f>IFERROR(__xludf.DUMMYFUNCTION("""COMPUTED_VALUE"""),8.0)</f>
        <v>8</v>
      </c>
      <c r="M21" s="3" t="str">
        <f>IFERROR(__xludf.DUMMYFUNCTION("""COMPUTED_VALUE"""),"น.ท.หญิง อนุกูล บำรุงวงศ์")</f>
        <v>น.ท.หญิง อนุกูล บำรุงวงศ์</v>
      </c>
      <c r="N21" s="14" t="str">
        <f>IFERROR(__xludf.DUMMYFUNCTION("""COMPUTED_VALUE"""),"https://lh5.googleusercontent.com/d/1M7u69DwSkgjrnIt3TndnbHrB8_K8KnxA")</f>
        <v>https://lh5.googleusercontent.com/d/1M7u69DwSkgjrnIt3TndnbHrB8_K8KnxA</v>
      </c>
      <c r="O21" s="14" t="str">
        <f>IFERROR(__xludf.DUMMYFUNCTION("""COMPUTED_VALUE"""),"https://drive.google.com/file/d/16LOnIQKj_9YzvOonv_zNi5s4g9cbJLHI/view?usp=drivesdk")</f>
        <v>https://drive.google.com/file/d/16LOnIQKj_9YzvOonv_zNi5s4g9cbJLHI/view?usp=drivesdk</v>
      </c>
    </row>
    <row r="22">
      <c r="A22" s="3">
        <f>IFERROR(__xludf.DUMMYFUNCTION("""COMPUTED_VALUE"""),102.0)</f>
        <v>102</v>
      </c>
      <c r="B22" s="11">
        <f>IFERROR(__xludf.DUMMYFUNCTION("""COMPUTED_VALUE"""),45981.35409840278)</f>
        <v>45981.3541</v>
      </c>
      <c r="C22" s="3" t="str">
        <f>IFERROR(__xludf.DUMMYFUNCTION("""COMPUTED_VALUE"""),"ชั้นปีที่ 3")</f>
        <v>ชั้นปีที่ 3</v>
      </c>
      <c r="D22" s="3" t="str">
        <f>IFERROR(__xludf.DUMMYFUNCTION("""COMPUTED_VALUE"""),"6603799")</f>
        <v>6603799</v>
      </c>
      <c r="E22" s="3" t="str">
        <f>IFERROR(__xludf.DUMMYFUNCTION("""COMPUTED_VALUE"""),"45")</f>
        <v>45</v>
      </c>
      <c r="F22" s="3" t="str">
        <f>IFERROR(__xludf.DUMMYFUNCTION("""COMPUTED_VALUE"""),"นพอ.วรัญญา สุวรรณ")</f>
        <v>นพอ.วรัญญา สุวรรณ</v>
      </c>
      <c r="G2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" s="3" t="str">
        <f>IFERROR(__xludf.DUMMYFUNCTION("""COMPUTED_VALUE"""),"พิธีไหว้ครูดนตรีไทย 10 สถาบัน")</f>
        <v>พิธีไหว้ครูดนตรีไทย 10 สถาบัน</v>
      </c>
      <c r="I22" s="3" t="str">
        <f>IFERROR(__xludf.DUMMYFUNCTION("""COMPUTED_VALUE"""),"โรงเรียนนายร้อยตำรวจ")</f>
        <v>โรงเรียนนายร้อยตำรวจ</v>
      </c>
      <c r="J22" s="12">
        <f>IFERROR(__xludf.DUMMYFUNCTION("""COMPUTED_VALUE"""),45844.0)</f>
        <v>45844</v>
      </c>
      <c r="K22" s="3" t="str">
        <f>IFERROR(__xludf.DUMMYFUNCTION("""COMPUTED_VALUE"""),"0800-1600")</f>
        <v>0800-1600</v>
      </c>
      <c r="L22" s="3">
        <f>IFERROR(__xludf.DUMMYFUNCTION("""COMPUTED_VALUE"""),8.0)</f>
        <v>8</v>
      </c>
      <c r="M22" s="3" t="str">
        <f>IFERROR(__xludf.DUMMYFUNCTION("""COMPUTED_VALUE"""),"น.ท.หญิง อนุกูล บำรุงวงศ์")</f>
        <v>น.ท.หญิง อนุกูล บำรุงวงศ์</v>
      </c>
      <c r="N22" s="14" t="str">
        <f>IFERROR(__xludf.DUMMYFUNCTION("""COMPUTED_VALUE"""),"https://lh5.googleusercontent.com/d/1Q3f3aAhe6K0uG1NQ00DdxBqDddImTYNZ")</f>
        <v>https://lh5.googleusercontent.com/d/1Q3f3aAhe6K0uG1NQ00DdxBqDddImTYNZ</v>
      </c>
      <c r="O22" s="14" t="str">
        <f>IFERROR(__xludf.DUMMYFUNCTION("""COMPUTED_VALUE"""),"https://drive.google.com/file/d/1LxVDJIG7Us07hTqa4GW8NC-2g-Adz44c/view?usp=drivesdk")</f>
        <v>https://drive.google.com/file/d/1LxVDJIG7Us07hTqa4GW8NC-2g-Adz44c/view?usp=drivesdk</v>
      </c>
    </row>
    <row r="23">
      <c r="A23" s="3">
        <f>IFERROR(__xludf.DUMMYFUNCTION("""COMPUTED_VALUE"""),103.0)</f>
        <v>103</v>
      </c>
      <c r="B23" s="11">
        <f>IFERROR(__xludf.DUMMYFUNCTION("""COMPUTED_VALUE"""),45981.357825543986)</f>
        <v>45981.35783</v>
      </c>
      <c r="C23" s="3" t="str">
        <f>IFERROR(__xludf.DUMMYFUNCTION("""COMPUTED_VALUE"""),"ชั้นปีที่ 3")</f>
        <v>ชั้นปีที่ 3</v>
      </c>
      <c r="D23" s="3" t="str">
        <f>IFERROR(__xludf.DUMMYFUNCTION("""COMPUTED_VALUE"""),"6603796")</f>
        <v>6603796</v>
      </c>
      <c r="E23" s="3" t="str">
        <f>IFERROR(__xludf.DUMMYFUNCTION("""COMPUTED_VALUE"""),"42")</f>
        <v>42</v>
      </c>
      <c r="F23" s="3" t="str">
        <f>IFERROR(__xludf.DUMMYFUNCTION("""COMPUTED_VALUE"""),"นพอ.พิมพ์พิศา ไพศาลมรกต")</f>
        <v>นพอ.พิมพ์พิศา ไพศาลมรกต</v>
      </c>
      <c r="G23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3" s="3" t="str">
        <f>IFERROR(__xludf.DUMMYFUNCTION("""COMPUTED_VALUE"""),"ลงนามถวายอาลัย สมเด็จพระนางเจ้าสิริกิติ์ พระบรมราชินีนาถ พระบรมราชชนนีพันปีหลวง")</f>
        <v>ลงนามถวายอาลัย สมเด็จพระนางเจ้าสิริกิติ์ พระบรมราชินีนาถ พระบรมราชชนนีพันปีหลวง</v>
      </c>
      <c r="I23" s="3" t="str">
        <f>IFERROR(__xludf.DUMMYFUNCTION("""COMPUTED_VALUE"""),"โรงพยาบาลภูมิพลอดุลเดช")</f>
        <v>โรงพยาบาลภูมิพลอดุลเดช</v>
      </c>
      <c r="J23" s="12">
        <f>IFERROR(__xludf.DUMMYFUNCTION("""COMPUTED_VALUE"""),45967.0)</f>
        <v>45967</v>
      </c>
      <c r="K23" s="3" t="str">
        <f>IFERROR(__xludf.DUMMYFUNCTION("""COMPUTED_VALUE"""),"1200-1300")</f>
        <v>1200-1300</v>
      </c>
      <c r="L23" s="3">
        <f>IFERROR(__xludf.DUMMYFUNCTION("""COMPUTED_VALUE"""),1.0)</f>
        <v>1</v>
      </c>
      <c r="M2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3" s="14" t="str">
        <f>IFERROR(__xludf.DUMMYFUNCTION("""COMPUTED_VALUE"""),"https://lh5.googleusercontent.com/d/1Y3sF8ukzHgtEnN33EPcdnIpp43WKGoHK")</f>
        <v>https://lh5.googleusercontent.com/d/1Y3sF8ukzHgtEnN33EPcdnIpp43WKGoHK</v>
      </c>
      <c r="O23" s="14" t="str">
        <f>IFERROR(__xludf.DUMMYFUNCTION("""COMPUTED_VALUE"""),"https://drive.google.com/file/d/1Zx0QXHk_b7nqt2NwHTeRE27RIf4nF3DX/view?usp=drivesdk")</f>
        <v>https://drive.google.com/file/d/1Zx0QXHk_b7nqt2NwHTeRE27RIf4nF3DX/view?usp=drivesdk</v>
      </c>
    </row>
    <row r="24">
      <c r="A24" s="3">
        <f>IFERROR(__xludf.DUMMYFUNCTION("""COMPUTED_VALUE"""),105.0)</f>
        <v>105</v>
      </c>
      <c r="B24" s="11">
        <f>IFERROR(__xludf.DUMMYFUNCTION("""COMPUTED_VALUE"""),45981.36014635417)</f>
        <v>45981.36015</v>
      </c>
      <c r="C24" s="3" t="str">
        <f>IFERROR(__xludf.DUMMYFUNCTION("""COMPUTED_VALUE"""),"ชั้นปีที่ 3")</f>
        <v>ชั้นปีที่ 3</v>
      </c>
      <c r="D24" s="3" t="str">
        <f>IFERROR(__xludf.DUMMYFUNCTION("""COMPUTED_VALUE"""),"6603799")</f>
        <v>6603799</v>
      </c>
      <c r="E24" s="3" t="str">
        <f>IFERROR(__xludf.DUMMYFUNCTION("""COMPUTED_VALUE"""),"45")</f>
        <v>45</v>
      </c>
      <c r="F24" s="3" t="str">
        <f>IFERROR(__xludf.DUMMYFUNCTION("""COMPUTED_VALUE"""),"นพอ.วรัญญา สุวรรณ")</f>
        <v>นพอ.วรัญญา สุวรรณ</v>
      </c>
      <c r="G2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" s="3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2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4" s="12">
        <f>IFERROR(__xludf.DUMMYFUNCTION("""COMPUTED_VALUE"""),45839.0)</f>
        <v>45839</v>
      </c>
      <c r="K24" s="3" t="str">
        <f>IFERROR(__xludf.DUMMYFUNCTION("""COMPUTED_VALUE"""),"1400-2200")</f>
        <v>1400-2200</v>
      </c>
      <c r="L24" s="3">
        <f>IFERROR(__xludf.DUMMYFUNCTION("""COMPUTED_VALUE"""),8.0)</f>
        <v>8</v>
      </c>
      <c r="M24" s="3" t="str">
        <f>IFERROR(__xludf.DUMMYFUNCTION("""COMPUTED_VALUE"""),"ร.อ.อนุชิต ทำจะดี")</f>
        <v>ร.อ.อนุชิต ทำจะดี</v>
      </c>
      <c r="N24" s="14" t="str">
        <f>IFERROR(__xludf.DUMMYFUNCTION("""COMPUTED_VALUE"""),"https://lh5.googleusercontent.com/d/1jxKO4M_8Ms80cwimnyLYCXSM7Cd5yv_2")</f>
        <v>https://lh5.googleusercontent.com/d/1jxKO4M_8Ms80cwimnyLYCXSM7Cd5yv_2</v>
      </c>
      <c r="O24" s="14" t="str">
        <f>IFERROR(__xludf.DUMMYFUNCTION("""COMPUTED_VALUE"""),"https://drive.google.com/file/d/1P5owHvtg1OzClq1lYRpja1py4xfYbmE5/view?usp=drivesdk")</f>
        <v>https://drive.google.com/file/d/1P5owHvtg1OzClq1lYRpja1py4xfYbmE5/view?usp=drivesdk</v>
      </c>
    </row>
    <row r="25">
      <c r="A25" s="3">
        <f>IFERROR(__xludf.DUMMYFUNCTION("""COMPUTED_VALUE"""),107.0)</f>
        <v>107</v>
      </c>
      <c r="B25" s="11">
        <f>IFERROR(__xludf.DUMMYFUNCTION("""COMPUTED_VALUE"""),45981.36111466435)</f>
        <v>45981.36111</v>
      </c>
      <c r="C25" s="3" t="str">
        <f>IFERROR(__xludf.DUMMYFUNCTION("""COMPUTED_VALUE"""),"ชั้นปีที่ 3")</f>
        <v>ชั้นปีที่ 3</v>
      </c>
      <c r="D25" s="3" t="str">
        <f>IFERROR(__xludf.DUMMYFUNCTION("""COMPUTED_VALUE"""),"6603804")</f>
        <v>6603804</v>
      </c>
      <c r="E25" s="3" t="str">
        <f>IFERROR(__xludf.DUMMYFUNCTION("""COMPUTED_VALUE"""),"50")</f>
        <v>50</v>
      </c>
      <c r="F25" s="3" t="str">
        <f>IFERROR(__xludf.DUMMYFUNCTION("""COMPUTED_VALUE"""),"นพอ.ศิริวรรณ บริบูรณ์")</f>
        <v>นพอ.ศิริวรรณ บริบูรณ์</v>
      </c>
      <c r="G2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5" s="3" t="str">
        <f>IFERROR(__xludf.DUMMYFUNCTION("""COMPUTED_VALUE"""),"ชุมชนวัดเกาะ")</f>
        <v>ชุมชนวัดเกาะ</v>
      </c>
      <c r="J25" s="12">
        <f>IFERROR(__xludf.DUMMYFUNCTION("""COMPUTED_VALUE"""),45823.0)</f>
        <v>45823</v>
      </c>
      <c r="K25" s="3" t="str">
        <f>IFERROR(__xludf.DUMMYFUNCTION("""COMPUTED_VALUE"""),"0800-1200")</f>
        <v>0800-1200</v>
      </c>
      <c r="L25" s="3">
        <f>IFERROR(__xludf.DUMMYFUNCTION("""COMPUTED_VALUE"""),4.0)</f>
        <v>4</v>
      </c>
      <c r="M25" s="3" t="str">
        <f>IFERROR(__xludf.DUMMYFUNCTION("""COMPUTED_VALUE"""),"น.ต.หญิง ตวงทิพย์ ลดาวัลย์")</f>
        <v>น.ต.หญิง ตวงทิพย์ ลดาวัลย์</v>
      </c>
      <c r="N25" s="14" t="str">
        <f>IFERROR(__xludf.DUMMYFUNCTION("""COMPUTED_VALUE"""),"https://lh5.googleusercontent.com/d/1zUKi9FtERLpuSNwIJmGP5qdwLI8tFADn")</f>
        <v>https://lh5.googleusercontent.com/d/1zUKi9FtERLpuSNwIJmGP5qdwLI8tFADn</v>
      </c>
      <c r="O25" s="14" t="str">
        <f>IFERROR(__xludf.DUMMYFUNCTION("""COMPUTED_VALUE"""),"https://drive.google.com/file/d/1Xizpk_W4wPPelKoC4Uf9Jzdo_VYktjNj/view?usp=drivesdk")</f>
        <v>https://drive.google.com/file/d/1Xizpk_W4wPPelKoC4Uf9Jzdo_VYktjNj/view?usp=drivesdk</v>
      </c>
    </row>
    <row r="26">
      <c r="A26" s="3">
        <f>IFERROR(__xludf.DUMMYFUNCTION("""COMPUTED_VALUE"""),110.0)</f>
        <v>110</v>
      </c>
      <c r="B26" s="11">
        <f>IFERROR(__xludf.DUMMYFUNCTION("""COMPUTED_VALUE"""),45981.366527881946)</f>
        <v>45981.36653</v>
      </c>
      <c r="C26" s="3" t="str">
        <f>IFERROR(__xludf.DUMMYFUNCTION("""COMPUTED_VALUE"""),"ชั้นปีที่ 3")</f>
        <v>ชั้นปีที่ 3</v>
      </c>
      <c r="D26" s="3" t="str">
        <f>IFERROR(__xludf.DUMMYFUNCTION("""COMPUTED_VALUE"""),"6603799")</f>
        <v>6603799</v>
      </c>
      <c r="E26" s="3" t="str">
        <f>IFERROR(__xludf.DUMMYFUNCTION("""COMPUTED_VALUE"""),"45")</f>
        <v>45</v>
      </c>
      <c r="F26" s="3" t="str">
        <f>IFERROR(__xludf.DUMMYFUNCTION("""COMPUTED_VALUE"""),"นพอ.วรัญญา สุวรรณ")</f>
        <v>นพอ.วรัญญา สุวรรณ</v>
      </c>
      <c r="G26" s="3" t="str">
        <f>IFERROR(__xludf.DUMMYFUNCTION("""COMPUTED_VALUE"""),"ช่วยเหลืองานภายใน วพอ.")</f>
        <v>ช่วยเหลืองานภายใน วพอ.</v>
      </c>
      <c r="H26" s="3" t="str">
        <f>IFERROR(__xludf.DUMMYFUNCTION("""COMPUTED_VALUE"""),"วันคล้ายวันสถาปนาวิทลัยพยาบาลทหารอากาศ")</f>
        <v>วันคล้ายวันสถาปนาวิทลัยพยาบาลทหารอากาศ</v>
      </c>
      <c r="I26" s="3" t="str">
        <f>IFERROR(__xludf.DUMMYFUNCTION("""COMPUTED_VALUE"""),"วพอ.พอ.")</f>
        <v>วพอ.พอ.</v>
      </c>
      <c r="J26" s="12">
        <f>IFERROR(__xludf.DUMMYFUNCTION("""COMPUTED_VALUE"""),45824.0)</f>
        <v>45824</v>
      </c>
      <c r="K26" s="3" t="str">
        <f>IFERROR(__xludf.DUMMYFUNCTION("""COMPUTED_VALUE"""),"0700-0800")</f>
        <v>0700-0800</v>
      </c>
      <c r="L26" s="3">
        <f>IFERROR(__xludf.DUMMYFUNCTION("""COMPUTED_VALUE"""),1.0)</f>
        <v>1</v>
      </c>
      <c r="M26" s="3" t="str">
        <f>IFERROR(__xludf.DUMMYFUNCTION("""COMPUTED_VALUE"""),"น.ต.หญิง สมพงษ์ แก้วพรรณา")</f>
        <v>น.ต.หญิง สมพงษ์ แก้วพรรณา</v>
      </c>
      <c r="N26" s="14" t="str">
        <f>IFERROR(__xludf.DUMMYFUNCTION("""COMPUTED_VALUE"""),"https://lh5.googleusercontent.com/d/11UHDqAbCDtpwP_3KgPczjR-6tmDAEw6d")</f>
        <v>https://lh5.googleusercontent.com/d/11UHDqAbCDtpwP_3KgPczjR-6tmDAEw6d</v>
      </c>
      <c r="O26" s="14" t="str">
        <f>IFERROR(__xludf.DUMMYFUNCTION("""COMPUTED_VALUE"""),"https://drive.google.com/file/d/1Pt-LUb2-vDZZUqduPJ263eZdlu1adyQ9/view?usp=drivesdk")</f>
        <v>https://drive.google.com/file/d/1Pt-LUb2-vDZZUqduPJ263eZdlu1adyQ9/view?usp=drivesdk</v>
      </c>
    </row>
    <row r="27">
      <c r="A27" s="3">
        <f>IFERROR(__xludf.DUMMYFUNCTION("""COMPUTED_VALUE"""),111.0)</f>
        <v>111</v>
      </c>
      <c r="B27" s="11">
        <f>IFERROR(__xludf.DUMMYFUNCTION("""COMPUTED_VALUE"""),45981.36977784722)</f>
        <v>45981.36978</v>
      </c>
      <c r="C27" s="3" t="str">
        <f>IFERROR(__xludf.DUMMYFUNCTION("""COMPUTED_VALUE"""),"ชั้นปีที่ 3")</f>
        <v>ชั้นปีที่ 3</v>
      </c>
      <c r="D27" s="3" t="str">
        <f>IFERROR(__xludf.DUMMYFUNCTION("""COMPUTED_VALUE"""),"6603804")</f>
        <v>6603804</v>
      </c>
      <c r="E27" s="3" t="str">
        <f>IFERROR(__xludf.DUMMYFUNCTION("""COMPUTED_VALUE"""),"50")</f>
        <v>50</v>
      </c>
      <c r="F27" s="3" t="str">
        <f>IFERROR(__xludf.DUMMYFUNCTION("""COMPUTED_VALUE"""),"นพอ.ศิริวรรณ บริบูรณ์")</f>
        <v>นพอ.ศิริวรรณ บริบูรณ์</v>
      </c>
      <c r="G2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27" s="3" t="str">
        <f>IFERROR(__xludf.DUMMYFUNCTION("""COMPUTED_VALUE"""),"ศูนย์วัฒนาธรรมแห่งประเทศไทย")</f>
        <v>ศูนย์วัฒนาธรรมแห่งประเทศไทย</v>
      </c>
      <c r="J27" s="12">
        <f>IFERROR(__xludf.DUMMYFUNCTION("""COMPUTED_VALUE"""),45839.0)</f>
        <v>45839</v>
      </c>
      <c r="K27" s="3" t="str">
        <f>IFERROR(__xludf.DUMMYFUNCTION("""COMPUTED_VALUE"""),"1400-2200")</f>
        <v>1400-2200</v>
      </c>
      <c r="L27" s="3">
        <f>IFERROR(__xludf.DUMMYFUNCTION("""COMPUTED_VALUE"""),8.0)</f>
        <v>8</v>
      </c>
      <c r="M27" s="3" t="str">
        <f>IFERROR(__xludf.DUMMYFUNCTION("""COMPUTED_VALUE"""),"ร.อ.อนุชิต ทำจะดี")</f>
        <v>ร.อ.อนุชิต ทำจะดี</v>
      </c>
      <c r="N27" s="14" t="str">
        <f>IFERROR(__xludf.DUMMYFUNCTION("""COMPUTED_VALUE"""),"https://lh5.googleusercontent.com/d/1pWI9k-tGBaAHoY56QeAr99Dd9ma1nIZT")</f>
        <v>https://lh5.googleusercontent.com/d/1pWI9k-tGBaAHoY56QeAr99Dd9ma1nIZT</v>
      </c>
      <c r="O27" s="14" t="str">
        <f>IFERROR(__xludf.DUMMYFUNCTION("""COMPUTED_VALUE"""),"https://drive.google.com/file/d/124MIxNex8YB_gBeDxdhIOHA6dMKI-QM1/view?usp=drivesdk")</f>
        <v>https://drive.google.com/file/d/124MIxNex8YB_gBeDxdhIOHA6dMKI-QM1/view?usp=drivesdk</v>
      </c>
    </row>
    <row r="28">
      <c r="A28" s="3">
        <f>IFERROR(__xludf.DUMMYFUNCTION("""COMPUTED_VALUE"""),112.0)</f>
        <v>112</v>
      </c>
      <c r="B28" s="11">
        <f>IFERROR(__xludf.DUMMYFUNCTION("""COMPUTED_VALUE"""),45981.37240986111)</f>
        <v>45981.37241</v>
      </c>
      <c r="C28" s="3" t="str">
        <f>IFERROR(__xludf.DUMMYFUNCTION("""COMPUTED_VALUE"""),"ชั้นปีที่ 3")</f>
        <v>ชั้นปีที่ 3</v>
      </c>
      <c r="D28" s="3" t="str">
        <f>IFERROR(__xludf.DUMMYFUNCTION("""COMPUTED_VALUE"""),"6603804")</f>
        <v>6603804</v>
      </c>
      <c r="E28" s="3" t="str">
        <f>IFERROR(__xludf.DUMMYFUNCTION("""COMPUTED_VALUE"""),"50")</f>
        <v>50</v>
      </c>
      <c r="F28" s="3" t="str">
        <f>IFERROR(__xludf.DUMMYFUNCTION("""COMPUTED_VALUE"""),"นพอ.ศิริวรรณ บริบูรณ์")</f>
        <v>นพอ.ศิริวรรณ บริบูรณ์</v>
      </c>
      <c r="G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28" s="3" t="str">
        <f>IFERROR(__xludf.DUMMYFUNCTION("""COMPUTED_VALUE"""),"ศูนย์วัฒนาธรรมแห่งประเทศไทย")</f>
        <v>ศูนย์วัฒนาธรรมแห่งประเทศไทย</v>
      </c>
      <c r="J28" s="12">
        <f>IFERROR(__xludf.DUMMYFUNCTION("""COMPUTED_VALUE"""),45840.0)</f>
        <v>45840</v>
      </c>
      <c r="K28" s="3" t="str">
        <f>IFERROR(__xludf.DUMMYFUNCTION("""COMPUTED_VALUE"""),"1400-2200")</f>
        <v>1400-2200</v>
      </c>
      <c r="L28" s="3">
        <f>IFERROR(__xludf.DUMMYFUNCTION("""COMPUTED_VALUE"""),8.0)</f>
        <v>8</v>
      </c>
      <c r="M28" s="3" t="str">
        <f>IFERROR(__xludf.DUMMYFUNCTION("""COMPUTED_VALUE"""),"ร.อ.อนุชิต ทำจะดี")</f>
        <v>ร.อ.อนุชิต ทำจะดี</v>
      </c>
      <c r="N28" s="14" t="str">
        <f>IFERROR(__xludf.DUMMYFUNCTION("""COMPUTED_VALUE"""),"https://lh5.googleusercontent.com/d/1vFhUvSj7Aj3k7OdjRZu2Sh5sc6uIiUqc")</f>
        <v>https://lh5.googleusercontent.com/d/1vFhUvSj7Aj3k7OdjRZu2Sh5sc6uIiUqc</v>
      </c>
      <c r="O28" s="14" t="str">
        <f>IFERROR(__xludf.DUMMYFUNCTION("""COMPUTED_VALUE"""),"https://drive.google.com/file/d/1DWPC_JE4fmj_3B77TC_tfpxiNIyNm_Il/view?usp=drivesdk")</f>
        <v>https://drive.google.com/file/d/1DWPC_JE4fmj_3B77TC_tfpxiNIyNm_Il/view?usp=drivesdk</v>
      </c>
    </row>
    <row r="29">
      <c r="A29" s="3">
        <f>IFERROR(__xludf.DUMMYFUNCTION("""COMPUTED_VALUE"""),113.0)</f>
        <v>113</v>
      </c>
      <c r="B29" s="11">
        <f>IFERROR(__xludf.DUMMYFUNCTION("""COMPUTED_VALUE"""),45981.37550048611)</f>
        <v>45981.3755</v>
      </c>
      <c r="C29" s="3" t="str">
        <f>IFERROR(__xludf.DUMMYFUNCTION("""COMPUTED_VALUE"""),"ชั้นปีที่ 3")</f>
        <v>ชั้นปีที่ 3</v>
      </c>
      <c r="D29" s="3" t="str">
        <f>IFERROR(__xludf.DUMMYFUNCTION("""COMPUTED_VALUE"""),"6603084")</f>
        <v>6603084</v>
      </c>
      <c r="E29" s="3" t="str">
        <f>IFERROR(__xludf.DUMMYFUNCTION("""COMPUTED_VALUE"""),"50")</f>
        <v>50</v>
      </c>
      <c r="F29" s="3" t="str">
        <f>IFERROR(__xludf.DUMMYFUNCTION("""COMPUTED_VALUE"""),"นพอ.ศิริวรรณ บริบูรณ์")</f>
        <v>นพอ.ศิริวรรณ บริบูรณ์</v>
      </c>
      <c r="G29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9" s="3" t="str">
        <f>IFERROR(__xludf.DUMMYFUNCTION("""COMPUTED_VALUE"""),"บริจาคเลือด")</f>
        <v>บริจาคเลือด</v>
      </c>
      <c r="I29" s="3" t="str">
        <f>IFERROR(__xludf.DUMMYFUNCTION("""COMPUTED_VALUE"""),"รพ.ภูมิพลอดุลยเดช")</f>
        <v>รพ.ภูมิพลอดุลยเดช</v>
      </c>
      <c r="J29" s="12">
        <f>IFERROR(__xludf.DUMMYFUNCTION("""COMPUTED_VALUE"""),45876.0)</f>
        <v>45876</v>
      </c>
      <c r="K29" s="3" t="str">
        <f>IFERROR(__xludf.DUMMYFUNCTION("""COMPUTED_VALUE"""),"1100-1200")</f>
        <v>1100-1200</v>
      </c>
      <c r="L29" s="3">
        <f>IFERROR(__xludf.DUMMYFUNCTION("""COMPUTED_VALUE"""),8.0)</f>
        <v>8</v>
      </c>
      <c r="M29" s="3" t="str">
        <f>IFERROR(__xludf.DUMMYFUNCTION("""COMPUTED_VALUE"""),"ร.ต.เรวัช วัชรสิทธิ์")</f>
        <v>ร.ต.เรวัช วัชรสิทธิ์</v>
      </c>
      <c r="N29" s="14" t="str">
        <f>IFERROR(__xludf.DUMMYFUNCTION("""COMPUTED_VALUE"""),"https://lh5.googleusercontent.com/d/1_z9S5kepj8ioXZpvU-4d544Murtl3FZa")</f>
        <v>https://lh5.googleusercontent.com/d/1_z9S5kepj8ioXZpvU-4d544Murtl3FZa</v>
      </c>
      <c r="O29" s="14" t="str">
        <f>IFERROR(__xludf.DUMMYFUNCTION("""COMPUTED_VALUE"""),"https://drive.google.com/file/d/1f-L8ACPVOqRG64LYgnjD1ntDDzPWT0kO/view?usp=drivesdk")</f>
        <v>https://drive.google.com/file/d/1f-L8ACPVOqRG64LYgnjD1ntDDzPWT0kO/view?usp=drivesdk</v>
      </c>
    </row>
    <row r="30">
      <c r="A30" s="3">
        <f>IFERROR(__xludf.DUMMYFUNCTION("""COMPUTED_VALUE"""),114.0)</f>
        <v>114</v>
      </c>
      <c r="B30" s="11">
        <f>IFERROR(__xludf.DUMMYFUNCTION("""COMPUTED_VALUE"""),45981.37600497685)</f>
        <v>45981.376</v>
      </c>
      <c r="C30" s="3" t="str">
        <f>IFERROR(__xludf.DUMMYFUNCTION("""COMPUTED_VALUE"""),"ชั้นปีที่ 3")</f>
        <v>ชั้นปีที่ 3</v>
      </c>
      <c r="D30" s="3" t="str">
        <f>IFERROR(__xludf.DUMMYFUNCTION("""COMPUTED_VALUE"""),"6603780")</f>
        <v>6603780</v>
      </c>
      <c r="E30" s="3" t="str">
        <f>IFERROR(__xludf.DUMMYFUNCTION("""COMPUTED_VALUE"""),"26")</f>
        <v>26</v>
      </c>
      <c r="F30" s="3" t="str">
        <f>IFERROR(__xludf.DUMMYFUNCTION("""COMPUTED_VALUE"""),"นพอ.นิศาชล ชุมจันทร์")</f>
        <v>นพอ.นิศาชล ชุมจันทร์</v>
      </c>
      <c r="G3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0" s="3" t="str">
        <f>IFERROR(__xludf.DUMMYFUNCTION("""COMPUTED_VALUE"""),"ชุมชนวัดเกาะ")</f>
        <v>ชุมชนวัดเกาะ</v>
      </c>
      <c r="J30" s="12">
        <f>IFERROR(__xludf.DUMMYFUNCTION("""COMPUTED_VALUE"""),45823.0)</f>
        <v>45823</v>
      </c>
      <c r="K30" s="3" t="str">
        <f>IFERROR(__xludf.DUMMYFUNCTION("""COMPUTED_VALUE"""),"0800-1200")</f>
        <v>0800-1200</v>
      </c>
      <c r="L30" s="3">
        <f>IFERROR(__xludf.DUMMYFUNCTION("""COMPUTED_VALUE"""),4.0)</f>
        <v>4</v>
      </c>
      <c r="M30" s="3" t="str">
        <f>IFERROR(__xludf.DUMMYFUNCTION("""COMPUTED_VALUE"""),"น.ตหญิง ตวงทิพย์  ลดาวัลย์")</f>
        <v>น.ตหญิง ตวงทิพย์  ลดาวัลย์</v>
      </c>
      <c r="N30" s="14" t="str">
        <f>IFERROR(__xludf.DUMMYFUNCTION("""COMPUTED_VALUE"""),"https://lh5.googleusercontent.com/d/1RvbJpn6e3wdSf---WTqJLPRFNG4Co_wO")</f>
        <v>https://lh5.googleusercontent.com/d/1RvbJpn6e3wdSf---WTqJLPRFNG4Co_wO</v>
      </c>
      <c r="O30" s="14" t="str">
        <f>IFERROR(__xludf.DUMMYFUNCTION("""COMPUTED_VALUE"""),"https://drive.google.com/file/d/1XEURbV189ZEnLbjheR1dfgofOtlOw6xH/view?usp=drivesdk")</f>
        <v>https://drive.google.com/file/d/1XEURbV189ZEnLbjheR1dfgofOtlOw6xH/view?usp=drivesdk</v>
      </c>
    </row>
    <row r="31">
      <c r="A31" s="3">
        <f>IFERROR(__xludf.DUMMYFUNCTION("""COMPUTED_VALUE"""),115.0)</f>
        <v>115</v>
      </c>
      <c r="B31" s="11">
        <f>IFERROR(__xludf.DUMMYFUNCTION("""COMPUTED_VALUE"""),45981.37683916667)</f>
        <v>45981.37684</v>
      </c>
      <c r="C31" s="3" t="str">
        <f>IFERROR(__xludf.DUMMYFUNCTION("""COMPUTED_VALUE"""),"ชั้นปีที่ 3")</f>
        <v>ชั้นปีที่ 3</v>
      </c>
      <c r="D31" s="3" t="str">
        <f>IFERROR(__xludf.DUMMYFUNCTION("""COMPUTED_VALUE"""),"6603799")</f>
        <v>6603799</v>
      </c>
      <c r="E31" s="3" t="str">
        <f>IFERROR(__xludf.DUMMYFUNCTION("""COMPUTED_VALUE"""),"45")</f>
        <v>45</v>
      </c>
      <c r="F31" s="3" t="str">
        <f>IFERROR(__xludf.DUMMYFUNCTION("""COMPUTED_VALUE"""),"นพอ.วรัญญา สุวรรณ")</f>
        <v>นพอ.วรัญญา สุวรรณ</v>
      </c>
      <c r="G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" s="3" t="str">
        <f>IFERROR(__xludf.DUMMYFUNCTION("""COMPUTED_VALUE"""),"พิธีรับเสด็จรับปริญญา ม.มหิดล นพอ.รุ่น 64")</f>
        <v>พิธีรับเสด็จรับปริญญา ม.มหิดล นพอ.รุ่น 64</v>
      </c>
      <c r="I31" s="3" t="str">
        <f>IFERROR(__xludf.DUMMYFUNCTION("""COMPUTED_VALUE"""),"มหาลัยมหิดล")</f>
        <v>มหาลัยมหิดล</v>
      </c>
      <c r="J31" s="12">
        <f>IFERROR(__xludf.DUMMYFUNCTION("""COMPUTED_VALUE"""),45940.0)</f>
        <v>45940</v>
      </c>
      <c r="K31" s="3" t="str">
        <f>IFERROR(__xludf.DUMMYFUNCTION("""COMPUTED_VALUE"""),"0700-1000")</f>
        <v>0700-1000</v>
      </c>
      <c r="L31" s="3">
        <f>IFERROR(__xludf.DUMMYFUNCTION("""COMPUTED_VALUE"""),3.0)</f>
        <v>3</v>
      </c>
      <c r="M31" s="3" t="str">
        <f>IFERROR(__xludf.DUMMYFUNCTION("""COMPUTED_VALUE"""),"น.ทำ.หญิง สุพัตรา ปิ่นแก้ว")</f>
        <v>น.ทำ.หญิง สุพัตรา ปิ่นแก้ว</v>
      </c>
      <c r="N31" s="14" t="str">
        <f>IFERROR(__xludf.DUMMYFUNCTION("""COMPUTED_VALUE"""),"https://lh5.googleusercontent.com/d/1336tW5bmzwYzxNNvMP4lwVheU8n91fEJ")</f>
        <v>https://lh5.googleusercontent.com/d/1336tW5bmzwYzxNNvMP4lwVheU8n91fEJ</v>
      </c>
      <c r="O31" s="14" t="str">
        <f>IFERROR(__xludf.DUMMYFUNCTION("""COMPUTED_VALUE"""),"https://drive.google.com/file/d/1ayfB6OsipmVdJm0bnbqY0uGj6AKVceV3/view?usp=drivesdk")</f>
        <v>https://drive.google.com/file/d/1ayfB6OsipmVdJm0bnbqY0uGj6AKVceV3/view?usp=drivesdk</v>
      </c>
    </row>
    <row r="32">
      <c r="A32" s="3">
        <f>IFERROR(__xludf.DUMMYFUNCTION("""COMPUTED_VALUE"""),121.0)</f>
        <v>121</v>
      </c>
      <c r="B32" s="11">
        <f>IFERROR(__xludf.DUMMYFUNCTION("""COMPUTED_VALUE"""),45981.509469108794)</f>
        <v>45981.50947</v>
      </c>
      <c r="C32" s="3" t="str">
        <f>IFERROR(__xludf.DUMMYFUNCTION("""COMPUTED_VALUE"""),"ชั้นปีที่ 3")</f>
        <v>ชั้นปีที่ 3</v>
      </c>
      <c r="D32" s="3" t="str">
        <f>IFERROR(__xludf.DUMMYFUNCTION("""COMPUTED_VALUE"""),"6603815")</f>
        <v>6603815</v>
      </c>
      <c r="E32" s="3" t="str">
        <f>IFERROR(__xludf.DUMMYFUNCTION("""COMPUTED_VALUE"""),"61")</f>
        <v>61</v>
      </c>
      <c r="F32" s="3" t="str">
        <f>IFERROR(__xludf.DUMMYFUNCTION("""COMPUTED_VALUE"""),"นพอ.อภิรชา คำเจริญ")</f>
        <v>นพอ.อภิรชา คำเจริญ</v>
      </c>
      <c r="G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" s="3" t="str">
        <f>IFERROR(__xludf.DUMMYFUNCTION("""COMPUTED_VALUE"""),"รับเสด็จ")</f>
        <v>รับเสด็จ</v>
      </c>
      <c r="I32" s="3" t="str">
        <f>IFERROR(__xludf.DUMMYFUNCTION("""COMPUTED_VALUE"""),"มหาวิทยาลัยมหิดลศาลายา")</f>
        <v>มหาวิทยาลัยมหิดลศาลายา</v>
      </c>
      <c r="J32" s="12">
        <f>IFERROR(__xludf.DUMMYFUNCTION("""COMPUTED_VALUE"""),45940.0)</f>
        <v>45940</v>
      </c>
      <c r="K32" s="3" t="str">
        <f>IFERROR(__xludf.DUMMYFUNCTION("""COMPUTED_VALUE"""),"0800-1200")</f>
        <v>0800-1200</v>
      </c>
      <c r="L32" s="3">
        <f>IFERROR(__xludf.DUMMYFUNCTION("""COMPUTED_VALUE"""),4.0)</f>
        <v>4</v>
      </c>
      <c r="M32" s="3" t="str">
        <f>IFERROR(__xludf.DUMMYFUNCTION("""COMPUTED_VALUE"""),"น.ท.หญิง สุพัตรา ปิ่นแก้ว")</f>
        <v>น.ท.หญิง สุพัตรา ปิ่นแก้ว</v>
      </c>
      <c r="N32" s="14" t="str">
        <f>IFERROR(__xludf.DUMMYFUNCTION("""COMPUTED_VALUE"""),"https://lh5.googleusercontent.com/d/1CUiD0X6GEsTIo7gJvzdm1KcZOU5pofe9")</f>
        <v>https://lh5.googleusercontent.com/d/1CUiD0X6GEsTIo7gJvzdm1KcZOU5pofe9</v>
      </c>
      <c r="O32" s="14" t="str">
        <f>IFERROR(__xludf.DUMMYFUNCTION("""COMPUTED_VALUE"""),"https://drive.google.com/file/d/1kMRpD1IhfKuXqkye_LoC4zZ0ZA9Y8s84/view?usp=drivesdk")</f>
        <v>https://drive.google.com/file/d/1kMRpD1IhfKuXqkye_LoC4zZ0ZA9Y8s84/view?usp=drivesdk</v>
      </c>
    </row>
    <row r="33">
      <c r="A33" s="3">
        <f>IFERROR(__xludf.DUMMYFUNCTION("""COMPUTED_VALUE"""),122.0)</f>
        <v>122</v>
      </c>
      <c r="B33" s="11">
        <f>IFERROR(__xludf.DUMMYFUNCTION("""COMPUTED_VALUE"""),45981.51531634259)</f>
        <v>45981.51532</v>
      </c>
      <c r="C33" s="3" t="str">
        <f>IFERROR(__xludf.DUMMYFUNCTION("""COMPUTED_VALUE"""),"ชั้นปีที่ 3")</f>
        <v>ชั้นปีที่ 3</v>
      </c>
      <c r="D33" s="3" t="str">
        <f>IFERROR(__xludf.DUMMYFUNCTION("""COMPUTED_VALUE"""),"6603803")</f>
        <v>6603803</v>
      </c>
      <c r="E33" s="3" t="str">
        <f>IFERROR(__xludf.DUMMYFUNCTION("""COMPUTED_VALUE"""),"49")</f>
        <v>49</v>
      </c>
      <c r="F33" s="3" t="str">
        <f>IFERROR(__xludf.DUMMYFUNCTION("""COMPUTED_VALUE"""),"นพอ.ศิริพร คล้ายแก้ว")</f>
        <v>นพอ.ศิริพร คล้ายแก้ว</v>
      </c>
      <c r="G3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3" s="3" t="str">
        <f>IFERROR(__xludf.DUMMYFUNCTION("""COMPUTED_VALUE"""),"อาสาทาสีรร. แจกขนมน้องๆ")</f>
        <v>อาสาทาสีรร. แจกขนมน้องๆ</v>
      </c>
      <c r="I33" s="3" t="str">
        <f>IFERROR(__xludf.DUMMYFUNCTION("""COMPUTED_VALUE"""),"โรงเรียนวัดโสดาประดิษฐาราม จ.ราชบุรี")</f>
        <v>โรงเรียนวัดโสดาประดิษฐาราม จ.ราชบุรี</v>
      </c>
      <c r="J33" s="12">
        <f>IFERROR(__xludf.DUMMYFUNCTION("""COMPUTED_VALUE"""),45830.0)</f>
        <v>45830</v>
      </c>
      <c r="K33" s="3" t="str">
        <f>IFERROR(__xludf.DUMMYFUNCTION("""COMPUTED_VALUE"""),"0800-1200")</f>
        <v>0800-1200</v>
      </c>
      <c r="L33" s="3">
        <f>IFERROR(__xludf.DUMMYFUNCTION("""COMPUTED_VALUE"""),4.0)</f>
        <v>4</v>
      </c>
      <c r="M33" s="3" t="str">
        <f>IFERROR(__xludf.DUMMYFUNCTION("""COMPUTED_VALUE"""),"นายอนุพงศ์ เลี้ยงมณีกุล")</f>
        <v>นายอนุพงศ์ เลี้ยงมณีกุล</v>
      </c>
      <c r="N33" s="14" t="str">
        <f>IFERROR(__xludf.DUMMYFUNCTION("""COMPUTED_VALUE"""),"https://lh5.googleusercontent.com/d/1FjBdBW79qIKDG1JtIfTDkY6QmaEQqVK_")</f>
        <v>https://lh5.googleusercontent.com/d/1FjBdBW79qIKDG1JtIfTDkY6QmaEQqVK_</v>
      </c>
      <c r="O33" s="14" t="str">
        <f>IFERROR(__xludf.DUMMYFUNCTION("""COMPUTED_VALUE"""),"https://drive.google.com/file/d/1Rml9Wa-DXmwLnJFnTEs6mROQYYpwCeN4/view?usp=drivesdk")</f>
        <v>https://drive.google.com/file/d/1Rml9Wa-DXmwLnJFnTEs6mROQYYpwCeN4/view?usp=drivesdk</v>
      </c>
    </row>
    <row r="34">
      <c r="A34" s="3">
        <f>IFERROR(__xludf.DUMMYFUNCTION("""COMPUTED_VALUE"""),123.0)</f>
        <v>123</v>
      </c>
      <c r="B34" s="11">
        <f>IFERROR(__xludf.DUMMYFUNCTION("""COMPUTED_VALUE"""),45981.51638954862)</f>
        <v>45981.51639</v>
      </c>
      <c r="C34" s="3" t="str">
        <f>IFERROR(__xludf.DUMMYFUNCTION("""COMPUTED_VALUE"""),"ชั้นปีที่ 3")</f>
        <v>ชั้นปีที่ 3</v>
      </c>
      <c r="D34" s="3" t="str">
        <f>IFERROR(__xludf.DUMMYFUNCTION("""COMPUTED_VALUE"""),"6603815")</f>
        <v>6603815</v>
      </c>
      <c r="E34" s="3" t="str">
        <f>IFERROR(__xludf.DUMMYFUNCTION("""COMPUTED_VALUE"""),"61")</f>
        <v>61</v>
      </c>
      <c r="F34" s="3" t="str">
        <f>IFERROR(__xludf.DUMMYFUNCTION("""COMPUTED_VALUE"""),"นพอ.อภิรชา คำเจริญ")</f>
        <v>นพอ.อภิรชา คำเจริญ</v>
      </c>
      <c r="G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4" s="3" t="str">
        <f>IFERROR(__xludf.DUMMYFUNCTION("""COMPUTED_VALUE"""),"ชุมชุนวัดเกาะ")</f>
        <v>ชุมชุนวัดเกาะ</v>
      </c>
      <c r="J34" s="12">
        <f>IFERROR(__xludf.DUMMYFUNCTION("""COMPUTED_VALUE"""),45823.0)</f>
        <v>45823</v>
      </c>
      <c r="K34" s="3" t="str">
        <f>IFERROR(__xludf.DUMMYFUNCTION("""COMPUTED_VALUE"""),"0800-1200")</f>
        <v>0800-1200</v>
      </c>
      <c r="L34" s="3">
        <f>IFERROR(__xludf.DUMMYFUNCTION("""COMPUTED_VALUE"""),4.0)</f>
        <v>4</v>
      </c>
      <c r="M34" s="3" t="str">
        <f>IFERROR(__xludf.DUMMYFUNCTION("""COMPUTED_VALUE"""),"น.ต.หญิง ตวงทิพย์ ลดาวัลย์")</f>
        <v>น.ต.หญิง ตวงทิพย์ ลดาวัลย์</v>
      </c>
      <c r="N34" s="14" t="str">
        <f>IFERROR(__xludf.DUMMYFUNCTION("""COMPUTED_VALUE"""),"https://lh5.googleusercontent.com/d/1nvLufvUdlt2EOdrR5vKZbpcIXyzq9lME")</f>
        <v>https://lh5.googleusercontent.com/d/1nvLufvUdlt2EOdrR5vKZbpcIXyzq9lME</v>
      </c>
      <c r="O34" s="14" t="str">
        <f>IFERROR(__xludf.DUMMYFUNCTION("""COMPUTED_VALUE"""),"https://drive.google.com/file/d/1v-x1UgnQSvkRpYTHe22ve_6be0CQUqW5/view?usp=drivesdk")</f>
        <v>https://drive.google.com/file/d/1v-x1UgnQSvkRpYTHe22ve_6be0CQUqW5/view?usp=drivesdk</v>
      </c>
    </row>
    <row r="35">
      <c r="A35" s="3">
        <f>IFERROR(__xludf.DUMMYFUNCTION("""COMPUTED_VALUE"""),124.0)</f>
        <v>124</v>
      </c>
      <c r="B35" s="11">
        <f>IFERROR(__xludf.DUMMYFUNCTION("""COMPUTED_VALUE"""),45981.51804390046)</f>
        <v>45981.51804</v>
      </c>
      <c r="C35" s="3" t="str">
        <f>IFERROR(__xludf.DUMMYFUNCTION("""COMPUTED_VALUE"""),"ชั้นปีที่ 3")</f>
        <v>ชั้นปีที่ 3</v>
      </c>
      <c r="D35" s="3" t="str">
        <f>IFERROR(__xludf.DUMMYFUNCTION("""COMPUTED_VALUE"""),"6603803")</f>
        <v>6603803</v>
      </c>
      <c r="E35" s="3" t="str">
        <f>IFERROR(__xludf.DUMMYFUNCTION("""COMPUTED_VALUE"""),"49")</f>
        <v>49</v>
      </c>
      <c r="F35" s="3" t="str">
        <f>IFERROR(__xludf.DUMMYFUNCTION("""COMPUTED_VALUE"""),"นพอ.ศิริพร คล้ายแก้ว")</f>
        <v>นพอ.ศิริพร คล้ายแก้ว</v>
      </c>
      <c r="G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" s="3" t="str">
        <f>IFERROR(__xludf.DUMMYFUNCTION("""COMPUTED_VALUE"""),"เสาร์ประทีบ")</f>
        <v>เสาร์ประทีบ</v>
      </c>
      <c r="I35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35" s="12">
        <f>IFERROR(__xludf.DUMMYFUNCTION("""COMPUTED_VALUE"""),45836.0)</f>
        <v>45836</v>
      </c>
      <c r="K35" s="3" t="str">
        <f>IFERROR(__xludf.DUMMYFUNCTION("""COMPUTED_VALUE"""),"0700-1200")</f>
        <v>0700-1200</v>
      </c>
      <c r="L35" s="3">
        <f>IFERROR(__xludf.DUMMYFUNCTION("""COMPUTED_VALUE"""),5.0)</f>
        <v>5</v>
      </c>
      <c r="M3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5" s="14" t="str">
        <f>IFERROR(__xludf.DUMMYFUNCTION("""COMPUTED_VALUE"""),"https://lh5.googleusercontent.com/d/1F0F7migIHa3IgbPoTCw8AOJk2-k2B6L6")</f>
        <v>https://lh5.googleusercontent.com/d/1F0F7migIHa3IgbPoTCw8AOJk2-k2B6L6</v>
      </c>
      <c r="O35" s="14" t="str">
        <f>IFERROR(__xludf.DUMMYFUNCTION("""COMPUTED_VALUE"""),"https://drive.google.com/file/d/1jADGy8uuIJyqiOJYLEg44I0qDGLTewYM/view?usp=drivesdk")</f>
        <v>https://drive.google.com/file/d/1jADGy8uuIJyqiOJYLEg44I0qDGLTewYM/view?usp=drivesdk</v>
      </c>
    </row>
    <row r="36">
      <c r="A36" s="3">
        <f>IFERROR(__xludf.DUMMYFUNCTION("""COMPUTED_VALUE"""),125.0)</f>
        <v>125</v>
      </c>
      <c r="B36" s="11">
        <f>IFERROR(__xludf.DUMMYFUNCTION("""COMPUTED_VALUE"""),45981.52168104166)</f>
        <v>45981.52168</v>
      </c>
      <c r="C36" s="3" t="str">
        <f>IFERROR(__xludf.DUMMYFUNCTION("""COMPUTED_VALUE"""),"ชั้นปีที่ 3")</f>
        <v>ชั้นปีที่ 3</v>
      </c>
      <c r="D36" s="3" t="str">
        <f>IFERROR(__xludf.DUMMYFUNCTION("""COMPUTED_VALUE"""),"6603803")</f>
        <v>6603803</v>
      </c>
      <c r="E36" s="3" t="str">
        <f>IFERROR(__xludf.DUMMYFUNCTION("""COMPUTED_VALUE"""),"49")</f>
        <v>49</v>
      </c>
      <c r="F36" s="3" t="str">
        <f>IFERROR(__xludf.DUMMYFUNCTION("""COMPUTED_VALUE"""),"นพอ.ศิริพร คล้ายแก้ว")</f>
        <v>นพอ.ศิริพร คล้ายแก้ว</v>
      </c>
      <c r="G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36" s="3" t="str">
        <f>IFERROR(__xludf.DUMMYFUNCTION("""COMPUTED_VALUE"""),"หอประชุมใหญ่ ศูนย์วัฒนธรรมแห่งประเทศไทย")</f>
        <v>หอประชุมใหญ่ ศูนย์วัฒนธรรมแห่งประเทศไทย</v>
      </c>
      <c r="J36" s="12">
        <f>IFERROR(__xludf.DUMMYFUNCTION("""COMPUTED_VALUE"""),45839.0)</f>
        <v>45839</v>
      </c>
      <c r="K36" s="3" t="str">
        <f>IFERROR(__xludf.DUMMYFUNCTION("""COMPUTED_VALUE"""),"1400-2200")</f>
        <v>1400-2200</v>
      </c>
      <c r="L36" s="3">
        <f>IFERROR(__xludf.DUMMYFUNCTION("""COMPUTED_VALUE"""),8.0)</f>
        <v>8</v>
      </c>
      <c r="M36" s="3" t="str">
        <f>IFERROR(__xludf.DUMMYFUNCTION("""COMPUTED_VALUE"""),"ร.อ.อนุชิต ทำจะดี")</f>
        <v>ร.อ.อนุชิต ทำจะดี</v>
      </c>
      <c r="N36" s="14" t="str">
        <f>IFERROR(__xludf.DUMMYFUNCTION("""COMPUTED_VALUE"""),"https://lh5.googleusercontent.com/d/1cJssCxZDnpZQxnVk1YGiSCoS9wzXdO_k")</f>
        <v>https://lh5.googleusercontent.com/d/1cJssCxZDnpZQxnVk1YGiSCoS9wzXdO_k</v>
      </c>
      <c r="O36" s="14" t="str">
        <f>IFERROR(__xludf.DUMMYFUNCTION("""COMPUTED_VALUE"""),"https://drive.google.com/file/d/1YYOeJxIG3vQohduX8OYJiE4hjReKJKOw/view?usp=drivesdk")</f>
        <v>https://drive.google.com/file/d/1YYOeJxIG3vQohduX8OYJiE4hjReKJKOw/view?usp=drivesdk</v>
      </c>
    </row>
    <row r="37">
      <c r="A37" s="3">
        <f>IFERROR(__xludf.DUMMYFUNCTION("""COMPUTED_VALUE"""),126.0)</f>
        <v>126</v>
      </c>
      <c r="B37" s="11">
        <f>IFERROR(__xludf.DUMMYFUNCTION("""COMPUTED_VALUE"""),45981.5254724537)</f>
        <v>45981.52547</v>
      </c>
      <c r="C37" s="3" t="str">
        <f>IFERROR(__xludf.DUMMYFUNCTION("""COMPUTED_VALUE"""),"ชั้นปีที่ 3")</f>
        <v>ชั้นปีที่ 3</v>
      </c>
      <c r="D37" s="3" t="str">
        <f>IFERROR(__xludf.DUMMYFUNCTION("""COMPUTED_VALUE"""),"6603803")</f>
        <v>6603803</v>
      </c>
      <c r="E37" s="3" t="str">
        <f>IFERROR(__xludf.DUMMYFUNCTION("""COMPUTED_VALUE"""),"49")</f>
        <v>49</v>
      </c>
      <c r="F37" s="3" t="str">
        <f>IFERROR(__xludf.DUMMYFUNCTION("""COMPUTED_VALUE"""),"นพอ.ศิริพร คล้ายแก้ว")</f>
        <v>นพอ.ศิริพร คล้ายแก้ว</v>
      </c>
      <c r="G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37" s="3" t="str">
        <f>IFERROR(__xludf.DUMMYFUNCTION("""COMPUTED_VALUE"""),"หอประชุมใหญ่ ศูนย์วัฒนธรรมแห่งชาติ")</f>
        <v>หอประชุมใหญ่ ศูนย์วัฒนธรรมแห่งชาติ</v>
      </c>
      <c r="J37" s="12">
        <f>IFERROR(__xludf.DUMMYFUNCTION("""COMPUTED_VALUE"""),45840.0)</f>
        <v>45840</v>
      </c>
      <c r="K37" s="3" t="str">
        <f>IFERROR(__xludf.DUMMYFUNCTION("""COMPUTED_VALUE"""),"1400-2200")</f>
        <v>1400-2200</v>
      </c>
      <c r="L37" s="3">
        <f>IFERROR(__xludf.DUMMYFUNCTION("""COMPUTED_VALUE"""),8.0)</f>
        <v>8</v>
      </c>
      <c r="M37" s="3" t="str">
        <f>IFERROR(__xludf.DUMMYFUNCTION("""COMPUTED_VALUE"""),"ร.อ.อนุชิต ทำจะดี")</f>
        <v>ร.อ.อนุชิต ทำจะดี</v>
      </c>
      <c r="N37" s="14" t="str">
        <f>IFERROR(__xludf.DUMMYFUNCTION("""COMPUTED_VALUE"""),"https://lh5.googleusercontent.com/d/18X_mufC9nDlWS1MYw9pjjwQ1tiAtmtiP")</f>
        <v>https://lh5.googleusercontent.com/d/18X_mufC9nDlWS1MYw9pjjwQ1tiAtmtiP</v>
      </c>
      <c r="O37" s="14" t="str">
        <f>IFERROR(__xludf.DUMMYFUNCTION("""COMPUTED_VALUE"""),"https://drive.google.com/file/d/1cC98N0qr9KZguE79FuFDDjax-iurz12-/view?usp=drivesdk")</f>
        <v>https://drive.google.com/file/d/1cC98N0qr9KZguE79FuFDDjax-iurz12-/view?usp=drivesdk</v>
      </c>
    </row>
    <row r="38">
      <c r="A38" s="3">
        <f>IFERROR(__xludf.DUMMYFUNCTION("""COMPUTED_VALUE"""),127.0)</f>
        <v>127</v>
      </c>
      <c r="B38" s="11">
        <f>IFERROR(__xludf.DUMMYFUNCTION("""COMPUTED_VALUE"""),45981.53083533565)</f>
        <v>45981.53084</v>
      </c>
      <c r="C38" s="3" t="str">
        <f>IFERROR(__xludf.DUMMYFUNCTION("""COMPUTED_VALUE"""),"ชั้นปีที่ 3")</f>
        <v>ชั้นปีที่ 3</v>
      </c>
      <c r="D38" s="3" t="str">
        <f>IFERROR(__xludf.DUMMYFUNCTION("""COMPUTED_VALUE"""),"6603803")</f>
        <v>6603803</v>
      </c>
      <c r="E38" s="3" t="str">
        <f>IFERROR(__xludf.DUMMYFUNCTION("""COMPUTED_VALUE"""),"49")</f>
        <v>49</v>
      </c>
      <c r="F38" s="3" t="str">
        <f>IFERROR(__xludf.DUMMYFUNCTION("""COMPUTED_VALUE"""),"นพอ.ศิริพร คล้ายแก้ว")</f>
        <v>นพอ.ศิริพร คล้ายแก้ว</v>
      </c>
      <c r="G3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" s="3" t="str">
        <f>IFERROR(__xludf.DUMMYFUNCTION("""COMPUTED_VALUE"""),"พิธีเปิดการแข่งขันกีใาประเพณีโรงเรียนทหาร-ตำรวจ ครั้งที่ 59")</f>
        <v>พิธีเปิดการแข่งขันกีใาประเพณีโรงเรียนทหาร-ตำรวจ ครั้งที่ 59</v>
      </c>
      <c r="I38" s="3" t="str">
        <f>IFERROR(__xludf.DUMMYFUNCTION("""COMPUTED_VALUE"""),"โรงเรียนนายเรืออากาศนวมินทรกษัตริยาธิราช")</f>
        <v>โรงเรียนนายเรืออากาศนวมินทรกษัตริยาธิราช</v>
      </c>
      <c r="J38" s="12">
        <f>IFERROR(__xludf.DUMMYFUNCTION("""COMPUTED_VALUE"""),45841.0)</f>
        <v>45841</v>
      </c>
      <c r="K38" s="3" t="str">
        <f>IFERROR(__xludf.DUMMYFUNCTION("""COMPUTED_VALUE"""),"1200-1800")</f>
        <v>1200-1800</v>
      </c>
      <c r="L38" s="3">
        <f>IFERROR(__xludf.DUMMYFUNCTION("""COMPUTED_VALUE"""),6.0)</f>
        <v>6</v>
      </c>
      <c r="M38" s="3" t="str">
        <f>IFERROR(__xludf.DUMMYFUNCTION("""COMPUTED_VALUE"""),"ร.ต.หญิง สุริยกาล มงคลมะไฟ")</f>
        <v>ร.ต.หญิง สุริยกาล มงคลมะไฟ</v>
      </c>
      <c r="N38" s="14" t="str">
        <f>IFERROR(__xludf.DUMMYFUNCTION("""COMPUTED_VALUE"""),"https://lh5.googleusercontent.com/d/1Ojba8bshx1gNPXW1-C9-HUh8_md7_RCP")</f>
        <v>https://lh5.googleusercontent.com/d/1Ojba8bshx1gNPXW1-C9-HUh8_md7_RCP</v>
      </c>
      <c r="O38" s="14" t="str">
        <f>IFERROR(__xludf.DUMMYFUNCTION("""COMPUTED_VALUE"""),"https://drive.google.com/file/d/1FtdYhnrUVWkIa0ITDozITLQf3GVwtZGi/view?usp=drivesdk")</f>
        <v>https://drive.google.com/file/d/1FtdYhnrUVWkIa0ITDozITLQf3GVwtZGi/view?usp=drivesdk</v>
      </c>
    </row>
    <row r="39">
      <c r="A39" s="3">
        <f>IFERROR(__xludf.DUMMYFUNCTION("""COMPUTED_VALUE"""),128.0)</f>
        <v>128</v>
      </c>
      <c r="B39" s="11">
        <f>IFERROR(__xludf.DUMMYFUNCTION("""COMPUTED_VALUE"""),45981.54374026621)</f>
        <v>45981.54374</v>
      </c>
      <c r="C39" s="3" t="str">
        <f>IFERROR(__xludf.DUMMYFUNCTION("""COMPUTED_VALUE"""),"ชั้นปีที่ 3")</f>
        <v>ชั้นปีที่ 3</v>
      </c>
      <c r="D39" s="3" t="str">
        <f>IFERROR(__xludf.DUMMYFUNCTION("""COMPUTED_VALUE"""),"6603803")</f>
        <v>6603803</v>
      </c>
      <c r="E39" s="3" t="str">
        <f>IFERROR(__xludf.DUMMYFUNCTION("""COMPUTED_VALUE"""),"49")</f>
        <v>49</v>
      </c>
      <c r="F39" s="3" t="str">
        <f>IFERROR(__xludf.DUMMYFUNCTION("""COMPUTED_VALUE"""),"นพอ.ศิริพร คล้ายแก้ว")</f>
        <v>นพอ.ศิริพร คล้ายแก้ว</v>
      </c>
      <c r="G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" s="3" t="str">
        <f>IFERROR(__xludf.DUMMYFUNCTION("""COMPUTED_VALUE"""),"พิธีปิดการแข่งขันกีฬาประเพณีโรงเรียนทหาร-ตำรวจ ครั้งที่ 59")</f>
        <v>พิธีปิดการแข่งขันกีฬาประเพณีโรงเรียนทหาร-ตำรวจ ครั้งที่ 59</v>
      </c>
      <c r="I39" s="3" t="str">
        <f>IFERROR(__xludf.DUMMYFUNCTION("""COMPUTED_VALUE"""),"โรงเรียนนายเรืออากาศนวมิทกษัตริยาธิราช")</f>
        <v>โรงเรียนนายเรืออากาศนวมิทกษัตริยาธิราช</v>
      </c>
      <c r="J39" s="12">
        <f>IFERROR(__xludf.DUMMYFUNCTION("""COMPUTED_VALUE"""),45846.0)</f>
        <v>45846</v>
      </c>
      <c r="K39" s="3" t="str">
        <f>IFERROR(__xludf.DUMMYFUNCTION("""COMPUTED_VALUE"""),"1200-1800")</f>
        <v>1200-1800</v>
      </c>
      <c r="L39" s="3">
        <f>IFERROR(__xludf.DUMMYFUNCTION("""COMPUTED_VALUE"""),6.0)</f>
        <v>6</v>
      </c>
      <c r="M39" s="3" t="str">
        <f>IFERROR(__xludf.DUMMYFUNCTION("""COMPUTED_VALUE"""),"ร.ต.หญิง สุริยกาล มงคลมะไฟ")</f>
        <v>ร.ต.หญิง สุริยกาล มงคลมะไฟ</v>
      </c>
      <c r="N39" s="14" t="str">
        <f>IFERROR(__xludf.DUMMYFUNCTION("""COMPUTED_VALUE"""),"https://lh5.googleusercontent.com/d/19PComQvop0HWazjI0YG08PFQVzAptlBR")</f>
        <v>https://lh5.googleusercontent.com/d/19PComQvop0HWazjI0YG08PFQVzAptlBR</v>
      </c>
      <c r="O39" s="14" t="str">
        <f>IFERROR(__xludf.DUMMYFUNCTION("""COMPUTED_VALUE"""),"https://drive.google.com/file/d/1AYIq8KZGlRLfz4khxurDaatjBVFicLiz/view?usp=drivesdk")</f>
        <v>https://drive.google.com/file/d/1AYIq8KZGlRLfz4khxurDaatjBVFicLiz/view?usp=drivesdk</v>
      </c>
    </row>
    <row r="40">
      <c r="A40" s="3">
        <f>IFERROR(__xludf.DUMMYFUNCTION("""COMPUTED_VALUE"""),129.0)</f>
        <v>129</v>
      </c>
      <c r="B40" s="11">
        <f>IFERROR(__xludf.DUMMYFUNCTION("""COMPUTED_VALUE"""),45981.54569111112)</f>
        <v>45981.54569</v>
      </c>
      <c r="C40" s="3" t="str">
        <f>IFERROR(__xludf.DUMMYFUNCTION("""COMPUTED_VALUE"""),"ชั้นปีที่ 3")</f>
        <v>ชั้นปีที่ 3</v>
      </c>
      <c r="D40" s="3" t="str">
        <f>IFERROR(__xludf.DUMMYFUNCTION("""COMPUTED_VALUE"""),"6603803")</f>
        <v>6603803</v>
      </c>
      <c r="E40" s="3" t="str">
        <f>IFERROR(__xludf.DUMMYFUNCTION("""COMPUTED_VALUE"""),"49")</f>
        <v>49</v>
      </c>
      <c r="F40" s="3" t="str">
        <f>IFERROR(__xludf.DUMMYFUNCTION("""COMPUTED_VALUE"""),"นพอ.ศิริพร คล้ายแก้ว")</f>
        <v>นพอ.ศิริพร คล้ายแก้ว</v>
      </c>
      <c r="G4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" s="3" t="str">
        <f>IFERROR(__xludf.DUMMYFUNCTION("""COMPUTED_VALUE"""),"ซ้อมดนตรไทย งานไหว้ครูดนตรีไทย 10 สถาบัน")</f>
        <v>ซ้อมดนตรไทย งานไหว้ครูดนตรีไทย 10 สถาบัน</v>
      </c>
      <c r="I40" s="3" t="str">
        <f>IFERROR(__xludf.DUMMYFUNCTION("""COMPUTED_VALUE"""),"วพอ.พอ.")</f>
        <v>วพอ.พอ.</v>
      </c>
      <c r="J40" s="12">
        <f>IFERROR(__xludf.DUMMYFUNCTION("""COMPUTED_VALUE"""),45793.0)</f>
        <v>45793</v>
      </c>
      <c r="K40" s="3" t="str">
        <f>IFERROR(__xludf.DUMMYFUNCTION("""COMPUTED_VALUE"""),"1800-2000")</f>
        <v>1800-2000</v>
      </c>
      <c r="L40" s="3">
        <f>IFERROR(__xludf.DUMMYFUNCTION("""COMPUTED_VALUE"""),2.0)</f>
        <v>2</v>
      </c>
      <c r="M40" s="3" t="str">
        <f>IFERROR(__xludf.DUMMYFUNCTION("""COMPUTED_VALUE"""),"น.ต.หญิง สมพงษ์ แก้วพรรณา")</f>
        <v>น.ต.หญิง สมพงษ์ แก้วพรรณา</v>
      </c>
      <c r="N40" s="14" t="str">
        <f>IFERROR(__xludf.DUMMYFUNCTION("""COMPUTED_VALUE"""),"https://lh5.googleusercontent.com/d/1eGxCzu-kkA4Gv5ZC4S4YA6y8epF55ok4")</f>
        <v>https://lh5.googleusercontent.com/d/1eGxCzu-kkA4Gv5ZC4S4YA6y8epF55ok4</v>
      </c>
      <c r="O40" s="14" t="str">
        <f>IFERROR(__xludf.DUMMYFUNCTION("""COMPUTED_VALUE"""),"https://drive.google.com/file/d/1xhS2--XSAtH-7BzoaWXFK0yeIXBVmQ-m/view?usp=drivesdk")</f>
        <v>https://drive.google.com/file/d/1xhS2--XSAtH-7BzoaWXFK0yeIXBVmQ-m/view?usp=drivesdk</v>
      </c>
    </row>
    <row r="41">
      <c r="A41" s="3">
        <f>IFERROR(__xludf.DUMMYFUNCTION("""COMPUTED_VALUE"""),130.0)</f>
        <v>130</v>
      </c>
      <c r="B41" s="11">
        <f>IFERROR(__xludf.DUMMYFUNCTION("""COMPUTED_VALUE"""),45981.54694150463)</f>
        <v>45981.54694</v>
      </c>
      <c r="C41" s="3" t="str">
        <f>IFERROR(__xludf.DUMMYFUNCTION("""COMPUTED_VALUE"""),"ชั้นปีที่ 3")</f>
        <v>ชั้นปีที่ 3</v>
      </c>
      <c r="D41" s="3" t="str">
        <f>IFERROR(__xludf.DUMMYFUNCTION("""COMPUTED_VALUE"""),"6603803")</f>
        <v>6603803</v>
      </c>
      <c r="E41" s="3" t="str">
        <f>IFERROR(__xludf.DUMMYFUNCTION("""COMPUTED_VALUE"""),"49")</f>
        <v>49</v>
      </c>
      <c r="F41" s="3" t="str">
        <f>IFERROR(__xludf.DUMMYFUNCTION("""COMPUTED_VALUE"""),"นพอ.ศิริพร คล้ายแก้ว")</f>
        <v>นพอ.ศิริพร คล้ายแก้ว</v>
      </c>
      <c r="G4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" s="3" t="str">
        <f>IFERROR(__xludf.DUMMYFUNCTION("""COMPUTED_VALUE"""),"ซ้อมดนตรไทย งานไหว้ครูดนตรีไทย 10 สถาบัน")</f>
        <v>ซ้อมดนตรไทย งานไหว้ครูดนตรีไทย 10 สถาบัน</v>
      </c>
      <c r="I41" s="3" t="str">
        <f>IFERROR(__xludf.DUMMYFUNCTION("""COMPUTED_VALUE"""),"วพอ.พอ.")</f>
        <v>วพอ.พอ.</v>
      </c>
      <c r="J41" s="12">
        <f>IFERROR(__xludf.DUMMYFUNCTION("""COMPUTED_VALUE"""),45800.0)</f>
        <v>45800</v>
      </c>
      <c r="K41" s="3" t="str">
        <f>IFERROR(__xludf.DUMMYFUNCTION("""COMPUTED_VALUE"""),"1800-2000")</f>
        <v>1800-2000</v>
      </c>
      <c r="L41" s="3">
        <f>IFERROR(__xludf.DUMMYFUNCTION("""COMPUTED_VALUE"""),2.0)</f>
        <v>2</v>
      </c>
      <c r="M41" s="3" t="str">
        <f>IFERROR(__xludf.DUMMYFUNCTION("""COMPUTED_VALUE"""),"น.ต.หญิง สมพงษ์ แก้วพรรณา")</f>
        <v>น.ต.หญิง สมพงษ์ แก้วพรรณา</v>
      </c>
      <c r="N41" s="14" t="str">
        <f>IFERROR(__xludf.DUMMYFUNCTION("""COMPUTED_VALUE"""),"https://lh5.googleusercontent.com/d/1QWyRrLbhV7MmlOIGM0FLlWDPeHpKVAEB")</f>
        <v>https://lh5.googleusercontent.com/d/1QWyRrLbhV7MmlOIGM0FLlWDPeHpKVAEB</v>
      </c>
      <c r="O41" s="14" t="str">
        <f>IFERROR(__xludf.DUMMYFUNCTION("""COMPUTED_VALUE"""),"https://drive.google.com/file/d/15YPef-9-9TiOe5g8fRzOXJJSaiJi_oT7/view?usp=drivesdk")</f>
        <v>https://drive.google.com/file/d/15YPef-9-9TiOe5g8fRzOXJJSaiJi_oT7/view?usp=drivesdk</v>
      </c>
    </row>
    <row r="42">
      <c r="A42" s="3">
        <f>IFERROR(__xludf.DUMMYFUNCTION("""COMPUTED_VALUE"""),131.0)</f>
        <v>131</v>
      </c>
      <c r="B42" s="11">
        <f>IFERROR(__xludf.DUMMYFUNCTION("""COMPUTED_VALUE"""),45981.54911601852)</f>
        <v>45981.54912</v>
      </c>
      <c r="C42" s="3" t="str">
        <f>IFERROR(__xludf.DUMMYFUNCTION("""COMPUTED_VALUE"""),"ชั้นปีที่ 3")</f>
        <v>ชั้นปีที่ 3</v>
      </c>
      <c r="D42" s="3" t="str">
        <f>IFERROR(__xludf.DUMMYFUNCTION("""COMPUTED_VALUE"""),"6603803")</f>
        <v>6603803</v>
      </c>
      <c r="E42" s="3" t="str">
        <f>IFERROR(__xludf.DUMMYFUNCTION("""COMPUTED_VALUE"""),"49")</f>
        <v>49</v>
      </c>
      <c r="F42" s="3" t="str">
        <f>IFERROR(__xludf.DUMMYFUNCTION("""COMPUTED_VALUE"""),"นพอ.ศิริพร คล้ายแก้ว")</f>
        <v>นพอ.ศิริพร คล้ายแก้ว</v>
      </c>
      <c r="G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" s="3" t="str">
        <f>IFERROR(__xludf.DUMMYFUNCTION("""COMPUTED_VALUE"""),"ซ้อมดนตรไทย งานไหว้ครูดนตรีไทย 10 สถาบัน")</f>
        <v>ซ้อมดนตรไทย งานไหว้ครูดนตรีไทย 10 สถาบัน</v>
      </c>
      <c r="I42" s="3" t="str">
        <f>IFERROR(__xludf.DUMMYFUNCTION("""COMPUTED_VALUE"""),"วพอ.พอ.")</f>
        <v>วพอ.พอ.</v>
      </c>
      <c r="J42" s="12">
        <f>IFERROR(__xludf.DUMMYFUNCTION("""COMPUTED_VALUE"""),45807.0)</f>
        <v>45807</v>
      </c>
      <c r="K42" s="3" t="str">
        <f>IFERROR(__xludf.DUMMYFUNCTION("""COMPUTED_VALUE"""),"1800-2000")</f>
        <v>1800-2000</v>
      </c>
      <c r="L42" s="3">
        <f>IFERROR(__xludf.DUMMYFUNCTION("""COMPUTED_VALUE"""),2.0)</f>
        <v>2</v>
      </c>
      <c r="M42" s="3" t="str">
        <f>IFERROR(__xludf.DUMMYFUNCTION("""COMPUTED_VALUE"""),"น.ต.หญิง สมพงษ์ แก้วพรรณา")</f>
        <v>น.ต.หญิง สมพงษ์ แก้วพรรณา</v>
      </c>
      <c r="N42" s="14" t="str">
        <f>IFERROR(__xludf.DUMMYFUNCTION("""COMPUTED_VALUE"""),"https://lh5.googleusercontent.com/d/1VYrQggmWAwNjiBhnTdienE8WJFx9XXPQ")</f>
        <v>https://lh5.googleusercontent.com/d/1VYrQggmWAwNjiBhnTdienE8WJFx9XXPQ</v>
      </c>
      <c r="O42" s="14" t="str">
        <f>IFERROR(__xludf.DUMMYFUNCTION("""COMPUTED_VALUE"""),"https://drive.google.com/file/d/136FQVpyfA-DTBXUKJ3f63JEbjVPkPU1T/view?usp=drivesdk")</f>
        <v>https://drive.google.com/file/d/136FQVpyfA-DTBXUKJ3f63JEbjVPkPU1T/view?usp=drivesdk</v>
      </c>
    </row>
    <row r="43">
      <c r="A43" s="3">
        <f>IFERROR(__xludf.DUMMYFUNCTION("""COMPUTED_VALUE"""),132.0)</f>
        <v>132</v>
      </c>
      <c r="B43" s="11">
        <f>IFERROR(__xludf.DUMMYFUNCTION("""COMPUTED_VALUE"""),45981.55391607639)</f>
        <v>45981.55392</v>
      </c>
      <c r="C43" s="3" t="str">
        <f>IFERROR(__xludf.DUMMYFUNCTION("""COMPUTED_VALUE"""),"ชั้นปีที่ 3")</f>
        <v>ชั้นปีที่ 3</v>
      </c>
      <c r="D43" s="3" t="str">
        <f>IFERROR(__xludf.DUMMYFUNCTION("""COMPUTED_VALUE"""),"6603803")</f>
        <v>6603803</v>
      </c>
      <c r="E43" s="3" t="str">
        <f>IFERROR(__xludf.DUMMYFUNCTION("""COMPUTED_VALUE"""),"49")</f>
        <v>49</v>
      </c>
      <c r="F43" s="3" t="str">
        <f>IFERROR(__xludf.DUMMYFUNCTION("""COMPUTED_VALUE"""),"นพอ.ศิริพร คล้ายแก้ว")</f>
        <v>นพอ.ศิริพร คล้ายแก้ว</v>
      </c>
      <c r="G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" s="3" t="str">
        <f>IFERROR(__xludf.DUMMYFUNCTION("""COMPUTED_VALUE"""),"ค่ายเยาวชนพัฒนา ครั้งที่ 212")</f>
        <v>ค่ายเยาวชนพัฒนา ครั้งที่ 212</v>
      </c>
      <c r="I43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43" s="12">
        <f>IFERROR(__xludf.DUMMYFUNCTION("""COMPUTED_VALUE"""),45884.0)</f>
        <v>45884</v>
      </c>
      <c r="K43" s="3" t="str">
        <f>IFERROR(__xludf.DUMMYFUNCTION("""COMPUTED_VALUE"""),"1700-2300")</f>
        <v>1700-2300</v>
      </c>
      <c r="L43" s="3">
        <f>IFERROR(__xludf.DUMMYFUNCTION("""COMPUTED_VALUE"""),8.0)</f>
        <v>8</v>
      </c>
      <c r="M4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" s="14" t="str">
        <f>IFERROR(__xludf.DUMMYFUNCTION("""COMPUTED_VALUE"""),"https://lh5.googleusercontent.com/d/1uV4tWQn7yn7LmmkoFNA36zkpvL6OeSFL")</f>
        <v>https://lh5.googleusercontent.com/d/1uV4tWQn7yn7LmmkoFNA36zkpvL6OeSFL</v>
      </c>
      <c r="O43" s="14" t="str">
        <f>IFERROR(__xludf.DUMMYFUNCTION("""COMPUTED_VALUE"""),"https://drive.google.com/file/d/1AbfWv-yW2shyRksksaP5l4nh7efJsYBE/view?usp=drivesdk")</f>
        <v>https://drive.google.com/file/d/1AbfWv-yW2shyRksksaP5l4nh7efJsYBE/view?usp=drivesdk</v>
      </c>
    </row>
    <row r="44">
      <c r="A44" s="3">
        <f>IFERROR(__xludf.DUMMYFUNCTION("""COMPUTED_VALUE"""),134.0)</f>
        <v>134</v>
      </c>
      <c r="B44" s="11">
        <f>IFERROR(__xludf.DUMMYFUNCTION("""COMPUTED_VALUE"""),45981.55678349537)</f>
        <v>45981.55678</v>
      </c>
      <c r="C44" s="3" t="str">
        <f>IFERROR(__xludf.DUMMYFUNCTION("""COMPUTED_VALUE"""),"ชั้นปีที่ 3")</f>
        <v>ชั้นปีที่ 3</v>
      </c>
      <c r="D44" s="3" t="str">
        <f>IFERROR(__xludf.DUMMYFUNCTION("""COMPUTED_VALUE"""),"6603803")</f>
        <v>6603803</v>
      </c>
      <c r="E44" s="3" t="str">
        <f>IFERROR(__xludf.DUMMYFUNCTION("""COMPUTED_VALUE"""),"49")</f>
        <v>49</v>
      </c>
      <c r="F44" s="3" t="str">
        <f>IFERROR(__xludf.DUMMYFUNCTION("""COMPUTED_VALUE"""),"นพอ.ศิริพร คล้ายแก้ว")</f>
        <v>นพอ.ศิริพร คล้ายแก้ว</v>
      </c>
      <c r="G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" s="3" t="str">
        <f>IFERROR(__xludf.DUMMYFUNCTION("""COMPUTED_VALUE"""),"ค่ายเยาวชนพัมนา ครั้งที่ 212")</f>
        <v>ค่ายเยาวชนพัมนา ครั้งที่ 212</v>
      </c>
      <c r="I44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44" s="12">
        <f>IFERROR(__xludf.DUMMYFUNCTION("""COMPUTED_VALUE"""),45885.0)</f>
        <v>45885</v>
      </c>
      <c r="K44" s="3" t="str">
        <f>IFERROR(__xludf.DUMMYFUNCTION("""COMPUTED_VALUE"""),"0800-1600")</f>
        <v>0800-1600</v>
      </c>
      <c r="L44" s="3">
        <f>IFERROR(__xludf.DUMMYFUNCTION("""COMPUTED_VALUE"""),8.0)</f>
        <v>8</v>
      </c>
      <c r="M4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" s="14" t="str">
        <f>IFERROR(__xludf.DUMMYFUNCTION("""COMPUTED_VALUE"""),"https://lh5.googleusercontent.com/d/1TN6K1_XYHUd98jRjP_JhEa_A8iaZsURE")</f>
        <v>https://lh5.googleusercontent.com/d/1TN6K1_XYHUd98jRjP_JhEa_A8iaZsURE</v>
      </c>
      <c r="O44" s="14" t="str">
        <f>IFERROR(__xludf.DUMMYFUNCTION("""COMPUTED_VALUE"""),"https://drive.google.com/file/d/1zj9bjURn8JhLMzOp1CQ_nrtnW4fCGlm6/view?usp=drivesdk")</f>
        <v>https://drive.google.com/file/d/1zj9bjURn8JhLMzOp1CQ_nrtnW4fCGlm6/view?usp=drivesdk</v>
      </c>
    </row>
    <row r="45">
      <c r="A45" s="3">
        <f>IFERROR(__xludf.DUMMYFUNCTION("""COMPUTED_VALUE"""),135.0)</f>
        <v>135</v>
      </c>
      <c r="B45" s="11">
        <f>IFERROR(__xludf.DUMMYFUNCTION("""COMPUTED_VALUE"""),45981.55862513889)</f>
        <v>45981.55863</v>
      </c>
      <c r="C45" s="3" t="str">
        <f>IFERROR(__xludf.DUMMYFUNCTION("""COMPUTED_VALUE"""),"ชั้นปีที่ 3")</f>
        <v>ชั้นปีที่ 3</v>
      </c>
      <c r="D45" s="3" t="str">
        <f>IFERROR(__xludf.DUMMYFUNCTION("""COMPUTED_VALUE"""),"6603803")</f>
        <v>6603803</v>
      </c>
      <c r="E45" s="3" t="str">
        <f>IFERROR(__xludf.DUMMYFUNCTION("""COMPUTED_VALUE"""),"49")</f>
        <v>49</v>
      </c>
      <c r="F45" s="3" t="str">
        <f>IFERROR(__xludf.DUMMYFUNCTION("""COMPUTED_VALUE"""),"นพอ.ศิริพร คล้ายแก้ว")</f>
        <v>นพอ.ศิริพร คล้ายแก้ว</v>
      </c>
      <c r="G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" s="3" t="str">
        <f>IFERROR(__xludf.DUMMYFUNCTION("""COMPUTED_VALUE"""),"ค่ายเยาวชนพัมนา ครั้งที่ 212")</f>
        <v>ค่ายเยาวชนพัมนา ครั้งที่ 212</v>
      </c>
      <c r="I45" s="3" t="str">
        <f>IFERROR(__xludf.DUMMYFUNCTION("""COMPUTED_VALUE"""),"โรงเรียนเทศบาล 1 สถาวร")</f>
        <v>โรงเรียนเทศบาล 1 สถาวร</v>
      </c>
      <c r="J45" s="12">
        <f>IFERROR(__xludf.DUMMYFUNCTION("""COMPUTED_VALUE"""),45886.0)</f>
        <v>45886</v>
      </c>
      <c r="K45" s="3" t="str">
        <f>IFERROR(__xludf.DUMMYFUNCTION("""COMPUTED_VALUE"""),"0800-1600")</f>
        <v>0800-1600</v>
      </c>
      <c r="L45" s="3">
        <f>IFERROR(__xludf.DUMMYFUNCTION("""COMPUTED_VALUE"""),8.0)</f>
        <v>8</v>
      </c>
      <c r="M4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" s="14" t="str">
        <f>IFERROR(__xludf.DUMMYFUNCTION("""COMPUTED_VALUE"""),"https://lh5.googleusercontent.com/d/1zkFsSiySfXhJHAXLTFMLP4CQalXNmK6p")</f>
        <v>https://lh5.googleusercontent.com/d/1zkFsSiySfXhJHAXLTFMLP4CQalXNmK6p</v>
      </c>
      <c r="O45" s="14" t="str">
        <f>IFERROR(__xludf.DUMMYFUNCTION("""COMPUTED_VALUE"""),"https://drive.google.com/file/d/1N9ylHNIUON31jBOs_D65Jcc6-T0N1AR8/view?usp=drivesdk")</f>
        <v>https://drive.google.com/file/d/1N9ylHNIUON31jBOs_D65Jcc6-T0N1AR8/view?usp=drivesdk</v>
      </c>
    </row>
    <row r="46">
      <c r="A46" s="3">
        <f>IFERROR(__xludf.DUMMYFUNCTION("""COMPUTED_VALUE"""),136.0)</f>
        <v>136</v>
      </c>
      <c r="B46" s="11">
        <f>IFERROR(__xludf.DUMMYFUNCTION("""COMPUTED_VALUE"""),45981.55960177083)</f>
        <v>45981.5596</v>
      </c>
      <c r="C46" s="3" t="str">
        <f>IFERROR(__xludf.DUMMYFUNCTION("""COMPUTED_VALUE"""),"ชั้นปีที่ 3")</f>
        <v>ชั้นปีที่ 3</v>
      </c>
      <c r="D46" s="3" t="str">
        <f>IFERROR(__xludf.DUMMYFUNCTION("""COMPUTED_VALUE"""),"6603777")</f>
        <v>6603777</v>
      </c>
      <c r="E46" s="3" t="str">
        <f>IFERROR(__xludf.DUMMYFUNCTION("""COMPUTED_VALUE"""),"23")</f>
        <v>23</v>
      </c>
      <c r="F46" s="3" t="str">
        <f>IFERROR(__xludf.DUMMYFUNCTION("""COMPUTED_VALUE"""),"นพอ.นัชธิดา ไกรทองสุข")</f>
        <v>นพอ.นัชธิดา ไกรทองสุข</v>
      </c>
      <c r="G46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6" s="3" t="str">
        <f>IFERROR(__xludf.DUMMYFUNCTION("""COMPUTED_VALUE"""),"ลงนามถวายอาลัย")</f>
        <v>ลงนามถวายอาลัย</v>
      </c>
      <c r="I46" s="3" t="str">
        <f>IFERROR(__xludf.DUMMYFUNCTION("""COMPUTED_VALUE"""),"รพ.ภูมิพลฯ")</f>
        <v>รพ.ภูมิพลฯ</v>
      </c>
      <c r="J46" s="12">
        <f>IFERROR(__xludf.DUMMYFUNCTION("""COMPUTED_VALUE"""),45967.0)</f>
        <v>45967</v>
      </c>
      <c r="K46" s="3" t="str">
        <f>IFERROR(__xludf.DUMMYFUNCTION("""COMPUTED_VALUE"""),"1100-1200")</f>
        <v>1100-1200</v>
      </c>
      <c r="L46" s="3">
        <f>IFERROR(__xludf.DUMMYFUNCTION("""COMPUTED_VALUE"""),1.0)</f>
        <v>1</v>
      </c>
      <c r="M4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" s="14" t="str">
        <f>IFERROR(__xludf.DUMMYFUNCTION("""COMPUTED_VALUE"""),"https://lh5.googleusercontent.com/d/11zT66xuvQ9a7_GsEGW-ENiaGTkqPk2Gt")</f>
        <v>https://lh5.googleusercontent.com/d/11zT66xuvQ9a7_GsEGW-ENiaGTkqPk2Gt</v>
      </c>
      <c r="O46" s="14" t="str">
        <f>IFERROR(__xludf.DUMMYFUNCTION("""COMPUTED_VALUE"""),"https://drive.google.com/file/d/1DhN7pEhH-YVw6cnnt5INjdUHLmyVNbpj/view?usp=drivesdk")</f>
        <v>https://drive.google.com/file/d/1DhN7pEhH-YVw6cnnt5INjdUHLmyVNbpj/view?usp=drivesdk</v>
      </c>
    </row>
    <row r="47">
      <c r="A47" s="3">
        <f>IFERROR(__xludf.DUMMYFUNCTION("""COMPUTED_VALUE"""),137.0)</f>
        <v>137</v>
      </c>
      <c r="B47" s="11">
        <f>IFERROR(__xludf.DUMMYFUNCTION("""COMPUTED_VALUE"""),45981.59828633102)</f>
        <v>45981.59829</v>
      </c>
      <c r="C47" s="3" t="str">
        <f>IFERROR(__xludf.DUMMYFUNCTION("""COMPUTED_VALUE"""),"ชั้นปีที่ 3")</f>
        <v>ชั้นปีที่ 3</v>
      </c>
      <c r="D47" s="3" t="str">
        <f>IFERROR(__xludf.DUMMYFUNCTION("""COMPUTED_VALUE"""),"6603796")</f>
        <v>6603796</v>
      </c>
      <c r="E47" s="3" t="str">
        <f>IFERROR(__xludf.DUMMYFUNCTION("""COMPUTED_VALUE"""),"42")</f>
        <v>42</v>
      </c>
      <c r="F47" s="3" t="str">
        <f>IFERROR(__xludf.DUMMYFUNCTION("""COMPUTED_VALUE"""),"นพอ.พิมพ์พิศา ไพศาลมรกต")</f>
        <v>นพอ.พิมพ์พิศา ไพศาลมรกต</v>
      </c>
      <c r="G4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7" s="3" t="str">
        <f>IFERROR(__xludf.DUMMYFUNCTION("""COMPUTED_VALUE"""),"บริจาคเลือด")</f>
        <v>บริจาคเลือด</v>
      </c>
      <c r="I47" s="3" t="str">
        <f>IFERROR(__xludf.DUMMYFUNCTION("""COMPUTED_VALUE"""),"โรงพยาบาลภูมิพลอดุลเดช")</f>
        <v>โรงพยาบาลภูมิพลอดุลเดช</v>
      </c>
      <c r="J47" s="12">
        <f>IFERROR(__xludf.DUMMYFUNCTION("""COMPUTED_VALUE"""),45981.0)</f>
        <v>45981</v>
      </c>
      <c r="K47" s="3" t="str">
        <f>IFERROR(__xludf.DUMMYFUNCTION("""COMPUTED_VALUE"""),"1200-1300")</f>
        <v>1200-1300</v>
      </c>
      <c r="L47" s="3">
        <f>IFERROR(__xludf.DUMMYFUNCTION("""COMPUTED_VALUE"""),8.0)</f>
        <v>8</v>
      </c>
      <c r="M47" s="3" t="str">
        <f>IFERROR(__xludf.DUMMYFUNCTION("""COMPUTED_VALUE"""),"น.ต.ขวัญชนกพ่วงนาคพันธุ์")</f>
        <v>น.ต.ขวัญชนกพ่วงนาคพันธุ์</v>
      </c>
      <c r="N47" s="14" t="str">
        <f>IFERROR(__xludf.DUMMYFUNCTION("""COMPUTED_VALUE"""),"https://lh5.googleusercontent.com/d/1jl9sgoYDDnJSjSTZvSBWXXr3RL2st578")</f>
        <v>https://lh5.googleusercontent.com/d/1jl9sgoYDDnJSjSTZvSBWXXr3RL2st578</v>
      </c>
      <c r="O47" s="14" t="str">
        <f>IFERROR(__xludf.DUMMYFUNCTION("""COMPUTED_VALUE"""),"https://drive.google.com/file/d/109SL04-w6uYuzaguYV1oTsW7Q0jWJgQL/view?usp=drivesdk")</f>
        <v>https://drive.google.com/file/d/109SL04-w6uYuzaguYV1oTsW7Q0jWJgQL/view?usp=drivesdk</v>
      </c>
    </row>
    <row r="48">
      <c r="A48" s="3">
        <f>IFERROR(__xludf.DUMMYFUNCTION("""COMPUTED_VALUE"""),138.0)</f>
        <v>138</v>
      </c>
      <c r="B48" s="11">
        <f>IFERROR(__xludf.DUMMYFUNCTION("""COMPUTED_VALUE"""),45981.60238325231)</f>
        <v>45981.60238</v>
      </c>
      <c r="C48" s="3" t="str">
        <f>IFERROR(__xludf.DUMMYFUNCTION("""COMPUTED_VALUE"""),"ชั้นปีที่ 3")</f>
        <v>ชั้นปีที่ 3</v>
      </c>
      <c r="D48" s="3" t="str">
        <f>IFERROR(__xludf.DUMMYFUNCTION("""COMPUTED_VALUE"""),"6603796")</f>
        <v>6603796</v>
      </c>
      <c r="E48" s="3" t="str">
        <f>IFERROR(__xludf.DUMMYFUNCTION("""COMPUTED_VALUE"""),"42")</f>
        <v>42</v>
      </c>
      <c r="F48" s="3" t="str">
        <f>IFERROR(__xludf.DUMMYFUNCTION("""COMPUTED_VALUE"""),"นพอ.พิมพ์พิศา ไพศาลมรกต")</f>
        <v>นพอ.พิมพ์พิศา ไพศาลมรกต</v>
      </c>
      <c r="G48" s="3" t="str">
        <f>IFERROR(__xludf.DUMMYFUNCTION("""COMPUTED_VALUE"""),"ช่วยเหลืองานภายใน วพอ.")</f>
        <v>ช่วยเหลืองานภายใน วพอ.</v>
      </c>
      <c r="H48" s="3" t="str">
        <f>IFERROR(__xludf.DUMMYFUNCTION("""COMPUTED_VALUE"""),"เล่นดุริยางค์ตอนเช้า")</f>
        <v>เล่นดุริยางค์ตอนเช้า</v>
      </c>
      <c r="I48" s="3" t="str">
        <f>IFERROR(__xludf.DUMMYFUNCTION("""COMPUTED_VALUE"""),"วิทยาลัยพยาบาลทหารอากาศ")</f>
        <v>วิทยาลัยพยาบาลทหารอากาศ</v>
      </c>
      <c r="J48" s="12">
        <f>IFERROR(__xludf.DUMMYFUNCTION("""COMPUTED_VALUE"""),45908.0)</f>
        <v>45908</v>
      </c>
      <c r="K48" s="3" t="str">
        <f>IFERROR(__xludf.DUMMYFUNCTION("""COMPUTED_VALUE"""),"0700-0800")</f>
        <v>0700-0800</v>
      </c>
      <c r="L48" s="3">
        <f>IFERROR(__xludf.DUMMYFUNCTION("""COMPUTED_VALUE"""),1.0)</f>
        <v>1</v>
      </c>
      <c r="M48" s="3" t="str">
        <f>IFERROR(__xludf.DUMMYFUNCTION("""COMPUTED_VALUE"""),"ร.อ.อนุชิต ทำจะดี")</f>
        <v>ร.อ.อนุชิต ทำจะดี</v>
      </c>
      <c r="N48" s="14" t="str">
        <f>IFERROR(__xludf.DUMMYFUNCTION("""COMPUTED_VALUE"""),"https://lh5.googleusercontent.com/d/1qaUmt0VVBSLlFe29SUjiNBoKtlIc1Zzd")</f>
        <v>https://lh5.googleusercontent.com/d/1qaUmt0VVBSLlFe29SUjiNBoKtlIc1Zzd</v>
      </c>
      <c r="O48" s="14" t="str">
        <f>IFERROR(__xludf.DUMMYFUNCTION("""COMPUTED_VALUE"""),"https://drive.google.com/file/d/1plkBc6vQgD6Zmeax1rQ4DcmBJ09OS3bP/view?usp=drivesdk")</f>
        <v>https://drive.google.com/file/d/1plkBc6vQgD6Zmeax1rQ4DcmBJ09OS3bP/view?usp=drivesdk</v>
      </c>
    </row>
    <row r="49">
      <c r="A49" s="3">
        <f>IFERROR(__xludf.DUMMYFUNCTION("""COMPUTED_VALUE"""),139.0)</f>
        <v>139</v>
      </c>
      <c r="B49" s="11">
        <f>IFERROR(__xludf.DUMMYFUNCTION("""COMPUTED_VALUE"""),45981.779882326395)</f>
        <v>45981.77988</v>
      </c>
      <c r="C49" s="3" t="str">
        <f>IFERROR(__xludf.DUMMYFUNCTION("""COMPUTED_VALUE"""),"ชั้นปีที่ 3")</f>
        <v>ชั้นปีที่ 3</v>
      </c>
      <c r="D49" s="3" t="str">
        <f>IFERROR(__xludf.DUMMYFUNCTION("""COMPUTED_VALUE"""),"6603789")</f>
        <v>6603789</v>
      </c>
      <c r="E49" s="3" t="str">
        <f>IFERROR(__xludf.DUMMYFUNCTION("""COMPUTED_VALUE"""),"35")</f>
        <v>35</v>
      </c>
      <c r="F49" s="3" t="str">
        <f>IFERROR(__xludf.DUMMYFUNCTION("""COMPUTED_VALUE"""),"นพอ.ปานรัศมี  ทองไทย")</f>
        <v>นพอ.ปานรัศมี  ทองไทย</v>
      </c>
      <c r="G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49" s="3" t="str">
        <f>IFERROR(__xludf.DUMMYFUNCTION("""COMPUTED_VALUE"""),"ดุริยางค์ทหารอากาศ")</f>
        <v>ดุริยางค์ทหารอากาศ</v>
      </c>
      <c r="J49" s="12">
        <f>IFERROR(__xludf.DUMMYFUNCTION("""COMPUTED_VALUE"""),45825.0)</f>
        <v>45825</v>
      </c>
      <c r="K49" s="3" t="str">
        <f>IFERROR(__xludf.DUMMYFUNCTION("""COMPUTED_VALUE"""),"0800-1600")</f>
        <v>0800-1600</v>
      </c>
      <c r="L49" s="3">
        <f>IFERROR(__xludf.DUMMYFUNCTION("""COMPUTED_VALUE"""),8.0)</f>
        <v>8</v>
      </c>
      <c r="M49" s="3" t="str">
        <f>IFERROR(__xludf.DUMMYFUNCTION("""COMPUTED_VALUE"""),"ร.อ.หญิง อนุชิต ทำจะดี")</f>
        <v>ร.อ.หญิง อนุชิต ทำจะดี</v>
      </c>
      <c r="N49" s="14" t="str">
        <f>IFERROR(__xludf.DUMMYFUNCTION("""COMPUTED_VALUE"""),"https://lh5.googleusercontent.com/d/1UML06C6Vcdx8gBGlXMV3UBi57XTdPFQL")</f>
        <v>https://lh5.googleusercontent.com/d/1UML06C6Vcdx8gBGlXMV3UBi57XTdPFQL</v>
      </c>
      <c r="O49" s="14" t="str">
        <f>IFERROR(__xludf.DUMMYFUNCTION("""COMPUTED_VALUE"""),"https://drive.google.com/file/d/1EUqq_1xpYpk_0XJMfM4OjM1dwou_kYDS/view?usp=drivesdk")</f>
        <v>https://drive.google.com/file/d/1EUqq_1xpYpk_0XJMfM4OjM1dwou_kYDS/view?usp=drivesdk</v>
      </c>
    </row>
    <row r="50">
      <c r="A50" s="3">
        <f>IFERROR(__xludf.DUMMYFUNCTION("""COMPUTED_VALUE"""),140.0)</f>
        <v>140</v>
      </c>
      <c r="B50" s="11">
        <f>IFERROR(__xludf.DUMMYFUNCTION("""COMPUTED_VALUE"""),45981.784159236115)</f>
        <v>45981.78416</v>
      </c>
      <c r="C50" s="3" t="str">
        <f>IFERROR(__xludf.DUMMYFUNCTION("""COMPUTED_VALUE"""),"ชั้นปีที่ 3")</f>
        <v>ชั้นปีที่ 3</v>
      </c>
      <c r="D50" s="3" t="str">
        <f>IFERROR(__xludf.DUMMYFUNCTION("""COMPUTED_VALUE"""),"6603789")</f>
        <v>6603789</v>
      </c>
      <c r="E50" s="3" t="str">
        <f>IFERROR(__xludf.DUMMYFUNCTION("""COMPUTED_VALUE"""),"35")</f>
        <v>35</v>
      </c>
      <c r="F50" s="3" t="str">
        <f>IFERROR(__xludf.DUMMYFUNCTION("""COMPUTED_VALUE"""),"นพอ.ปานรัศมี ทองไทย")</f>
        <v>นพอ.ปานรัศมี ทองไทย</v>
      </c>
      <c r="G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5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50" s="12">
        <f>IFERROR(__xludf.DUMMYFUNCTION("""COMPUTED_VALUE"""),45838.0)</f>
        <v>45838</v>
      </c>
      <c r="K50" s="3" t="str">
        <f>IFERROR(__xludf.DUMMYFUNCTION("""COMPUTED_VALUE"""),"1400-2200")</f>
        <v>1400-2200</v>
      </c>
      <c r="L50" s="3">
        <f>IFERROR(__xludf.DUMMYFUNCTION("""COMPUTED_VALUE"""),8.0)</f>
        <v>8</v>
      </c>
      <c r="M50" s="3" t="str">
        <f>IFERROR(__xludf.DUMMYFUNCTION("""COMPUTED_VALUE"""),"ร.อ. อนุชิต ทำจะดี")</f>
        <v>ร.อ. อนุชิต ทำจะดี</v>
      </c>
      <c r="N50" s="14" t="str">
        <f>IFERROR(__xludf.DUMMYFUNCTION("""COMPUTED_VALUE"""),"https://lh5.googleusercontent.com/d/1jAT29FhnY14PJyHRlLwxWTRwA5evp2qf")</f>
        <v>https://lh5.googleusercontent.com/d/1jAT29FhnY14PJyHRlLwxWTRwA5evp2qf</v>
      </c>
      <c r="O50" s="14" t="str">
        <f>IFERROR(__xludf.DUMMYFUNCTION("""COMPUTED_VALUE"""),"https://drive.google.com/file/d/1Gvqk7d8LYbUi286vw7pDv_Itl8He06xO/view?usp=drivesdk")</f>
        <v>https://drive.google.com/file/d/1Gvqk7d8LYbUi286vw7pDv_Itl8He06xO/view?usp=drivesdk</v>
      </c>
    </row>
    <row r="51">
      <c r="A51" s="3">
        <f>IFERROR(__xludf.DUMMYFUNCTION("""COMPUTED_VALUE"""),141.0)</f>
        <v>141</v>
      </c>
      <c r="B51" s="11">
        <f>IFERROR(__xludf.DUMMYFUNCTION("""COMPUTED_VALUE"""),45981.78644862268)</f>
        <v>45981.78645</v>
      </c>
      <c r="C51" s="3" t="str">
        <f>IFERROR(__xludf.DUMMYFUNCTION("""COMPUTED_VALUE"""),"ชั้นปีที่ 3")</f>
        <v>ชั้นปีที่ 3</v>
      </c>
      <c r="D51" s="3" t="str">
        <f>IFERROR(__xludf.DUMMYFUNCTION("""COMPUTED_VALUE"""),"6603789")</f>
        <v>6603789</v>
      </c>
      <c r="E51" s="3" t="str">
        <f>IFERROR(__xludf.DUMMYFUNCTION("""COMPUTED_VALUE"""),"35")</f>
        <v>35</v>
      </c>
      <c r="F51" s="3" t="str">
        <f>IFERROR(__xludf.DUMMYFUNCTION("""COMPUTED_VALUE"""),"นพอ.ปานรัศมี ทองไทย")</f>
        <v>นพอ.ปานรัศมี ทองไทย</v>
      </c>
      <c r="G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5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51" s="12">
        <f>IFERROR(__xludf.DUMMYFUNCTION("""COMPUTED_VALUE"""),45839.0)</f>
        <v>45839</v>
      </c>
      <c r="K51" s="3" t="str">
        <f>IFERROR(__xludf.DUMMYFUNCTION("""COMPUTED_VALUE"""),"1400-2200")</f>
        <v>1400-2200</v>
      </c>
      <c r="L51" s="3">
        <f>IFERROR(__xludf.DUMMYFUNCTION("""COMPUTED_VALUE"""),8.0)</f>
        <v>8</v>
      </c>
      <c r="M51" s="3" t="str">
        <f>IFERROR(__xludf.DUMMYFUNCTION("""COMPUTED_VALUE"""),"ร.อ. อนุชิต ทำจะดี")</f>
        <v>ร.อ. อนุชิต ทำจะดี</v>
      </c>
      <c r="N51" s="14" t="str">
        <f>IFERROR(__xludf.DUMMYFUNCTION("""COMPUTED_VALUE"""),"https://lh5.googleusercontent.com/d/1_uGq34VKPxqt0M8jNkJG1MRr9bKO7i1e")</f>
        <v>https://lh5.googleusercontent.com/d/1_uGq34VKPxqt0M8jNkJG1MRr9bKO7i1e</v>
      </c>
      <c r="O51" s="14" t="str">
        <f>IFERROR(__xludf.DUMMYFUNCTION("""COMPUTED_VALUE"""),"https://drive.google.com/file/d/1nLzg9Q1bI2RupfFXvmwfZjOo4Djo-69u/view?usp=drivesdk")</f>
        <v>https://drive.google.com/file/d/1nLzg9Q1bI2RupfFXvmwfZjOo4Djo-69u/view?usp=drivesdk</v>
      </c>
    </row>
    <row r="52">
      <c r="A52" s="3">
        <f>IFERROR(__xludf.DUMMYFUNCTION("""COMPUTED_VALUE"""),142.0)</f>
        <v>142</v>
      </c>
      <c r="B52" s="11">
        <f>IFERROR(__xludf.DUMMYFUNCTION("""COMPUTED_VALUE"""),45981.78898971065)</f>
        <v>45981.78899</v>
      </c>
      <c r="C52" s="3" t="str">
        <f>IFERROR(__xludf.DUMMYFUNCTION("""COMPUTED_VALUE"""),"ชั้นปีที่ 3")</f>
        <v>ชั้นปีที่ 3</v>
      </c>
      <c r="D52" s="3" t="str">
        <f>IFERROR(__xludf.DUMMYFUNCTION("""COMPUTED_VALUE"""),"6603789")</f>
        <v>6603789</v>
      </c>
      <c r="E52" s="3" t="str">
        <f>IFERROR(__xludf.DUMMYFUNCTION("""COMPUTED_VALUE"""),"35")</f>
        <v>35</v>
      </c>
      <c r="F52" s="3" t="str">
        <f>IFERROR(__xludf.DUMMYFUNCTION("""COMPUTED_VALUE"""),"นพอ.ปานรัศมี ทองไทย")</f>
        <v>นพอ.ปานรัศมี ทองไทย</v>
      </c>
      <c r="G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5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52" s="12">
        <f>IFERROR(__xludf.DUMMYFUNCTION("""COMPUTED_VALUE"""),45840.0)</f>
        <v>45840</v>
      </c>
      <c r="K52" s="3" t="str">
        <f>IFERROR(__xludf.DUMMYFUNCTION("""COMPUTED_VALUE"""),"1400 - 2200")</f>
        <v>1400 - 2200</v>
      </c>
      <c r="L52" s="3">
        <f>IFERROR(__xludf.DUMMYFUNCTION("""COMPUTED_VALUE"""),8.0)</f>
        <v>8</v>
      </c>
      <c r="M52" s="3" t="str">
        <f>IFERROR(__xludf.DUMMYFUNCTION("""COMPUTED_VALUE"""),"ร.อ.อนุชิต ทำจะดี")</f>
        <v>ร.อ.อนุชิต ทำจะดี</v>
      </c>
      <c r="N52" s="14" t="str">
        <f>IFERROR(__xludf.DUMMYFUNCTION("""COMPUTED_VALUE"""),"https://lh5.googleusercontent.com/d/1AaeBpypvU24m3gltm4pbmnPqPZ1dQJzl")</f>
        <v>https://lh5.googleusercontent.com/d/1AaeBpypvU24m3gltm4pbmnPqPZ1dQJzl</v>
      </c>
      <c r="O52" s="14" t="str">
        <f>IFERROR(__xludf.DUMMYFUNCTION("""COMPUTED_VALUE"""),"https://drive.google.com/file/d/1ExSs1QIsSlICeMzBFUh0PzNYTXHPIuaz/view?usp=drivesdk")</f>
        <v>https://drive.google.com/file/d/1ExSs1QIsSlICeMzBFUh0PzNYTXHPIuaz/view?usp=drivesdk</v>
      </c>
    </row>
    <row r="53">
      <c r="A53" s="3">
        <f>IFERROR(__xludf.DUMMYFUNCTION("""COMPUTED_VALUE"""),143.0)</f>
        <v>143</v>
      </c>
      <c r="B53" s="11">
        <f>IFERROR(__xludf.DUMMYFUNCTION("""COMPUTED_VALUE"""),45981.81140658564)</f>
        <v>45981.81141</v>
      </c>
      <c r="C53" s="3" t="str">
        <f>IFERROR(__xludf.DUMMYFUNCTION("""COMPUTED_VALUE"""),"ชั้นปีที่ 3")</f>
        <v>ชั้นปีที่ 3</v>
      </c>
      <c r="D53" s="3" t="str">
        <f>IFERROR(__xludf.DUMMYFUNCTION("""COMPUTED_VALUE"""),"6603789")</f>
        <v>6603789</v>
      </c>
      <c r="E53" s="3" t="str">
        <f>IFERROR(__xludf.DUMMYFUNCTION("""COMPUTED_VALUE"""),"35")</f>
        <v>35</v>
      </c>
      <c r="F53" s="3" t="str">
        <f>IFERROR(__xludf.DUMMYFUNCTION("""COMPUTED_VALUE"""),"นพอ.ปานรัศมี ทองไทย")</f>
        <v>นพอ.ปานรัศมี ทองไทย</v>
      </c>
      <c r="G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" s="3" t="str">
        <f>IFERROR(__xludf.DUMMYFUNCTION("""COMPUTED_VALUE"""),"ค่ายเยาวชนพัฒนาเทศบาล1(จปร.)")</f>
        <v>ค่ายเยาวชนพัฒนาเทศบาล1(จปร.)</v>
      </c>
      <c r="I53" s="3" t="str">
        <f>IFERROR(__xludf.DUMMYFUNCTION("""COMPUTED_VALUE"""),"ร.ร.เทศบาล1(สถาวร) ชลบุรี")</f>
        <v>ร.ร.เทศบาล1(สถาวร) ชลบุรี</v>
      </c>
      <c r="J53" s="12">
        <f>IFERROR(__xludf.DUMMYFUNCTION("""COMPUTED_VALUE"""),45884.0)</f>
        <v>45884</v>
      </c>
      <c r="K53" s="3" t="str">
        <f>IFERROR(__xludf.DUMMYFUNCTION("""COMPUTED_VALUE"""),"1400-2200")</f>
        <v>1400-2200</v>
      </c>
      <c r="L53" s="3">
        <f>IFERROR(__xludf.DUMMYFUNCTION("""COMPUTED_VALUE"""),8.0)</f>
        <v>8</v>
      </c>
      <c r="M5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" s="14" t="str">
        <f>IFERROR(__xludf.DUMMYFUNCTION("""COMPUTED_VALUE"""),"https://lh5.googleusercontent.com/d/1wWNX7Oel1bdXyjgck56WtuIn_5qjJn7J")</f>
        <v>https://lh5.googleusercontent.com/d/1wWNX7Oel1bdXyjgck56WtuIn_5qjJn7J</v>
      </c>
      <c r="O53" s="14" t="str">
        <f>IFERROR(__xludf.DUMMYFUNCTION("""COMPUTED_VALUE"""),"https://drive.google.com/file/d/17gO40ap1HAENUDouM2XS4UiTHqvizxuY/view?usp=drivesdk")</f>
        <v>https://drive.google.com/file/d/17gO40ap1HAENUDouM2XS4UiTHqvizxuY/view?usp=drivesdk</v>
      </c>
    </row>
    <row r="54">
      <c r="A54" s="3">
        <f>IFERROR(__xludf.DUMMYFUNCTION("""COMPUTED_VALUE"""),144.0)</f>
        <v>144</v>
      </c>
      <c r="B54" s="11">
        <f>IFERROR(__xludf.DUMMYFUNCTION("""COMPUTED_VALUE"""),45981.81355475694)</f>
        <v>45981.81355</v>
      </c>
      <c r="C54" s="3" t="str">
        <f>IFERROR(__xludf.DUMMYFUNCTION("""COMPUTED_VALUE"""),"ชั้นปีที่ 3")</f>
        <v>ชั้นปีที่ 3</v>
      </c>
      <c r="D54" s="3" t="str">
        <f>IFERROR(__xludf.DUMMYFUNCTION("""COMPUTED_VALUE"""),"6603789")</f>
        <v>6603789</v>
      </c>
      <c r="E54" s="3" t="str">
        <f>IFERROR(__xludf.DUMMYFUNCTION("""COMPUTED_VALUE"""),"35")</f>
        <v>35</v>
      </c>
      <c r="F54" s="3" t="str">
        <f>IFERROR(__xludf.DUMMYFUNCTION("""COMPUTED_VALUE"""),"นพอ.ปานรัศมี ทองไทย")</f>
        <v>นพอ.ปานรัศมี ทองไทย</v>
      </c>
      <c r="G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" s="3" t="str">
        <f>IFERROR(__xludf.DUMMYFUNCTION("""COMPUTED_VALUE"""),"ค่ายเยาวชนพัฒนาเทศบาล1(จปร.)")</f>
        <v>ค่ายเยาวชนพัฒนาเทศบาล1(จปร.)</v>
      </c>
      <c r="I54" s="3" t="str">
        <f>IFERROR(__xludf.DUMMYFUNCTION("""COMPUTED_VALUE"""),"ร.ร.เทศบาล1(สถาวร) ชลบุรี")</f>
        <v>ร.ร.เทศบาล1(สถาวร) ชลบุรี</v>
      </c>
      <c r="J54" s="12">
        <f>IFERROR(__xludf.DUMMYFUNCTION("""COMPUTED_VALUE"""),45885.0)</f>
        <v>45885</v>
      </c>
      <c r="K54" s="3" t="str">
        <f>IFERROR(__xludf.DUMMYFUNCTION("""COMPUTED_VALUE"""),"1400-2200")</f>
        <v>1400-2200</v>
      </c>
      <c r="L54" s="3">
        <f>IFERROR(__xludf.DUMMYFUNCTION("""COMPUTED_VALUE"""),8.0)</f>
        <v>8</v>
      </c>
      <c r="M5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4" s="14" t="str">
        <f>IFERROR(__xludf.DUMMYFUNCTION("""COMPUTED_VALUE"""),"https://lh5.googleusercontent.com/d/1okrU9O2ubnMnQVGUvOJLVO14F5DVnl3b")</f>
        <v>https://lh5.googleusercontent.com/d/1okrU9O2ubnMnQVGUvOJLVO14F5DVnl3b</v>
      </c>
      <c r="O54" s="14" t="str">
        <f>IFERROR(__xludf.DUMMYFUNCTION("""COMPUTED_VALUE"""),"https://drive.google.com/file/d/1BflgMVIfuiNXV5xEe064StvUJYE3l3FO/view?usp=drivesdk")</f>
        <v>https://drive.google.com/file/d/1BflgMVIfuiNXV5xEe064StvUJYE3l3FO/view?usp=drivesdk</v>
      </c>
    </row>
    <row r="55">
      <c r="A55" s="3">
        <f>IFERROR(__xludf.DUMMYFUNCTION("""COMPUTED_VALUE"""),145.0)</f>
        <v>145</v>
      </c>
      <c r="B55" s="11">
        <f>IFERROR(__xludf.DUMMYFUNCTION("""COMPUTED_VALUE"""),45981.81612671296)</f>
        <v>45981.81613</v>
      </c>
      <c r="C55" s="3" t="str">
        <f>IFERROR(__xludf.DUMMYFUNCTION("""COMPUTED_VALUE"""),"ชั้นปีที่ 3")</f>
        <v>ชั้นปีที่ 3</v>
      </c>
      <c r="D55" s="3" t="str">
        <f>IFERROR(__xludf.DUMMYFUNCTION("""COMPUTED_VALUE"""),"6603789")</f>
        <v>6603789</v>
      </c>
      <c r="E55" s="3" t="str">
        <f>IFERROR(__xludf.DUMMYFUNCTION("""COMPUTED_VALUE"""),"35")</f>
        <v>35</v>
      </c>
      <c r="F55" s="3" t="str">
        <f>IFERROR(__xludf.DUMMYFUNCTION("""COMPUTED_VALUE"""),"นพอ.ปานรัศมี ทองไทย")</f>
        <v>นพอ.ปานรัศมี ทองไทย</v>
      </c>
      <c r="G5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" s="3" t="str">
        <f>IFERROR(__xludf.DUMMYFUNCTION("""COMPUTED_VALUE"""),"ค่ายเยาวชนพัฒนาเทศบาล1(จปร.)")</f>
        <v>ค่ายเยาวชนพัฒนาเทศบาล1(จปร.)</v>
      </c>
      <c r="I55" s="3" t="str">
        <f>IFERROR(__xludf.DUMMYFUNCTION("""COMPUTED_VALUE"""),"ร.ร.เทศบาล1(สถาวร) ชลบุรี")</f>
        <v>ร.ร.เทศบาล1(สถาวร) ชลบุรี</v>
      </c>
      <c r="J55" s="12">
        <f>IFERROR(__xludf.DUMMYFUNCTION("""COMPUTED_VALUE"""),45886.0)</f>
        <v>45886</v>
      </c>
      <c r="K55" s="3" t="str">
        <f>IFERROR(__xludf.DUMMYFUNCTION("""COMPUTED_VALUE"""),"1400-2200")</f>
        <v>1400-2200</v>
      </c>
      <c r="L55" s="3">
        <f>IFERROR(__xludf.DUMMYFUNCTION("""COMPUTED_VALUE"""),8.0)</f>
        <v>8</v>
      </c>
      <c r="M5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5" s="14" t="str">
        <f>IFERROR(__xludf.DUMMYFUNCTION("""COMPUTED_VALUE"""),"https://lh5.googleusercontent.com/d/1vhVsHdoyysVnbkeJT2I6r9OTp0aDH_an")</f>
        <v>https://lh5.googleusercontent.com/d/1vhVsHdoyysVnbkeJT2I6r9OTp0aDH_an</v>
      </c>
      <c r="O55" s="14" t="str">
        <f>IFERROR(__xludf.DUMMYFUNCTION("""COMPUTED_VALUE"""),"https://drive.google.com/file/d/1CUywAc1Vzwmj_JfdEHDcT7ymTfcLE3vQ/view?usp=drivesdk")</f>
        <v>https://drive.google.com/file/d/1CUywAc1Vzwmj_JfdEHDcT7ymTfcLE3vQ/view?usp=drivesdk</v>
      </c>
    </row>
    <row r="56">
      <c r="A56" s="3">
        <f>IFERROR(__xludf.DUMMYFUNCTION("""COMPUTED_VALUE"""),166.0)</f>
        <v>166</v>
      </c>
      <c r="B56" s="11">
        <f>IFERROR(__xludf.DUMMYFUNCTION("""COMPUTED_VALUE"""),45982.30088010417)</f>
        <v>45982.30088</v>
      </c>
      <c r="C56" s="3" t="str">
        <f>IFERROR(__xludf.DUMMYFUNCTION("""COMPUTED_VALUE"""),"ชั้นปีที่ 3")</f>
        <v>ชั้นปีที่ 3</v>
      </c>
      <c r="D56" s="3" t="str">
        <f>IFERROR(__xludf.DUMMYFUNCTION("""COMPUTED_VALUE"""),"6603803")</f>
        <v>6603803</v>
      </c>
      <c r="E56" s="3" t="str">
        <f>IFERROR(__xludf.DUMMYFUNCTION("""COMPUTED_VALUE"""),"49")</f>
        <v>49</v>
      </c>
      <c r="F56" s="3" t="str">
        <f>IFERROR(__xludf.DUMMYFUNCTION("""COMPUTED_VALUE"""),"นพอ.ศิริพร คล้ายแก้ว")</f>
        <v>นพอ.ศิริพร คล้ายแก้ว</v>
      </c>
      <c r="G56" s="3" t="str">
        <f>IFERROR(__xludf.DUMMYFUNCTION("""COMPUTED_VALUE"""),"ช่วยเหลืองานภายใน วพอ.")</f>
        <v>ช่วยเหลืองานภายใน วพอ.</v>
      </c>
      <c r="H56" s="3" t="str">
        <f>IFERROR(__xludf.DUMMYFUNCTION("""COMPUTED_VALUE"""),"Buddy นักเรียนพยาบาลเกาหลี")</f>
        <v>Buddy นักเรียนพยาบาลเกาหลี</v>
      </c>
      <c r="I56" s="3" t="str">
        <f>IFERROR(__xludf.DUMMYFUNCTION("""COMPUTED_VALUE"""),"วพอ.พอ.")</f>
        <v>วพอ.พอ.</v>
      </c>
      <c r="J56" s="12">
        <f>IFERROR(__xludf.DUMMYFUNCTION("""COMPUTED_VALUE"""),45949.0)</f>
        <v>45949</v>
      </c>
      <c r="K56" s="3" t="str">
        <f>IFERROR(__xludf.DUMMYFUNCTION("""COMPUTED_VALUE"""),"2000-2400")</f>
        <v>2000-2400</v>
      </c>
      <c r="L56" s="3">
        <f>IFERROR(__xludf.DUMMYFUNCTION("""COMPUTED_VALUE"""),4.0)</f>
        <v>4</v>
      </c>
      <c r="M56" s="3" t="str">
        <f>IFERROR(__xludf.DUMMYFUNCTION("""COMPUTED_VALUE"""),"น.ต.หญิง ประไพศรี ศุภางค์ภร")</f>
        <v>น.ต.หญิง ประไพศรี ศุภางค์ภร</v>
      </c>
      <c r="N56" s="14" t="str">
        <f>IFERROR(__xludf.DUMMYFUNCTION("""COMPUTED_VALUE"""),"https://lh5.googleusercontent.com/d/1LwHG9PUpuT-fLGPfQ2h9T5cYu4777DCd")</f>
        <v>https://lh5.googleusercontent.com/d/1LwHG9PUpuT-fLGPfQ2h9T5cYu4777DCd</v>
      </c>
      <c r="O56" s="14" t="str">
        <f>IFERROR(__xludf.DUMMYFUNCTION("""COMPUTED_VALUE"""),"https://drive.google.com/file/d/1QFPA4eXXqaeLGcZVSGIK7WbyribYazFG/view?usp=drivesdk")</f>
        <v>https://drive.google.com/file/d/1QFPA4eXXqaeLGcZVSGIK7WbyribYazFG/view?usp=drivesdk</v>
      </c>
    </row>
    <row r="57">
      <c r="A57" s="3">
        <f>IFERROR(__xludf.DUMMYFUNCTION("""COMPUTED_VALUE"""),167.0)</f>
        <v>167</v>
      </c>
      <c r="B57" s="11">
        <f>IFERROR(__xludf.DUMMYFUNCTION("""COMPUTED_VALUE"""),45982.30328856481)</f>
        <v>45982.30329</v>
      </c>
      <c r="C57" s="3" t="str">
        <f>IFERROR(__xludf.DUMMYFUNCTION("""COMPUTED_VALUE"""),"ชั้นปีที่ 3")</f>
        <v>ชั้นปีที่ 3</v>
      </c>
      <c r="D57" s="3" t="str">
        <f>IFERROR(__xludf.DUMMYFUNCTION("""COMPUTED_VALUE"""),"6603803")</f>
        <v>6603803</v>
      </c>
      <c r="E57" s="3" t="str">
        <f>IFERROR(__xludf.DUMMYFUNCTION("""COMPUTED_VALUE"""),"49")</f>
        <v>49</v>
      </c>
      <c r="F57" s="3" t="str">
        <f>IFERROR(__xludf.DUMMYFUNCTION("""COMPUTED_VALUE"""),"นพอ.ศิริพร คล้ายแก้ว")</f>
        <v>นพอ.ศิริพร คล้ายแก้ว</v>
      </c>
      <c r="G57" s="3" t="str">
        <f>IFERROR(__xludf.DUMMYFUNCTION("""COMPUTED_VALUE"""),"ช่วยเหลืองานภายใน วพอ.")</f>
        <v>ช่วยเหลืองานภายใน วพอ.</v>
      </c>
      <c r="H57" s="3" t="str">
        <f>IFERROR(__xludf.DUMMYFUNCTION("""COMPUTED_VALUE"""),"Buddy นักเรียนพยาบาลเกาหลี")</f>
        <v>Buddy นักเรียนพยาบาลเกาหลี</v>
      </c>
      <c r="I57" s="3" t="str">
        <f>IFERROR(__xludf.DUMMYFUNCTION("""COMPUTED_VALUE"""),"วพอ.พอ.")</f>
        <v>วพอ.พอ.</v>
      </c>
      <c r="J57" s="12">
        <f>IFERROR(__xludf.DUMMYFUNCTION("""COMPUTED_VALUE"""),45950.0)</f>
        <v>45950</v>
      </c>
      <c r="K57" s="3" t="str">
        <f>IFERROR(__xludf.DUMMYFUNCTION("""COMPUTED_VALUE"""),"1800-2200")</f>
        <v>1800-2200</v>
      </c>
      <c r="L57" s="3">
        <f>IFERROR(__xludf.DUMMYFUNCTION("""COMPUTED_VALUE"""),4.0)</f>
        <v>4</v>
      </c>
      <c r="M57" s="3" t="str">
        <f>IFERROR(__xludf.DUMMYFUNCTION("""COMPUTED_VALUE"""),"น.ต.หญิง ประไพศรี ศุภางค์ภร")</f>
        <v>น.ต.หญิง ประไพศรี ศุภางค์ภร</v>
      </c>
      <c r="N57" s="14" t="str">
        <f>IFERROR(__xludf.DUMMYFUNCTION("""COMPUTED_VALUE"""),"https://lh5.googleusercontent.com/d/1P3tSvwkWBPzhzHEXv54ehAc57bz-_AjC")</f>
        <v>https://lh5.googleusercontent.com/d/1P3tSvwkWBPzhzHEXv54ehAc57bz-_AjC</v>
      </c>
      <c r="O57" s="14" t="str">
        <f>IFERROR(__xludf.DUMMYFUNCTION("""COMPUTED_VALUE"""),"https://drive.google.com/file/d/1x5wKSkz--Wl6B4Q-lqp1uJ7QSmM19mLg/view?usp=drivesdk")</f>
        <v>https://drive.google.com/file/d/1x5wKSkz--Wl6B4Q-lqp1uJ7QSmM19mLg/view?usp=drivesdk</v>
      </c>
    </row>
    <row r="58">
      <c r="A58" s="3">
        <f>IFERROR(__xludf.DUMMYFUNCTION("""COMPUTED_VALUE"""),168.0)</f>
        <v>168</v>
      </c>
      <c r="B58" s="11">
        <f>IFERROR(__xludf.DUMMYFUNCTION("""COMPUTED_VALUE"""),45982.30487693287)</f>
        <v>45982.30488</v>
      </c>
      <c r="C58" s="3" t="str">
        <f>IFERROR(__xludf.DUMMYFUNCTION("""COMPUTED_VALUE"""),"ชั้นปีที่ 3")</f>
        <v>ชั้นปีที่ 3</v>
      </c>
      <c r="D58" s="3" t="str">
        <f>IFERROR(__xludf.DUMMYFUNCTION("""COMPUTED_VALUE"""),"6603803")</f>
        <v>6603803</v>
      </c>
      <c r="E58" s="3" t="str">
        <f>IFERROR(__xludf.DUMMYFUNCTION("""COMPUTED_VALUE"""),"49")</f>
        <v>49</v>
      </c>
      <c r="F58" s="3" t="str">
        <f>IFERROR(__xludf.DUMMYFUNCTION("""COMPUTED_VALUE"""),"นพอ.ศิริพร คล้ายแก้ว")</f>
        <v>นพอ.ศิริพร คล้ายแก้ว</v>
      </c>
      <c r="G58" s="3" t="str">
        <f>IFERROR(__xludf.DUMMYFUNCTION("""COMPUTED_VALUE"""),"ช่วยเหลืองานภายใน วพอ.")</f>
        <v>ช่วยเหลืองานภายใน วพอ.</v>
      </c>
      <c r="H58" s="3" t="str">
        <f>IFERROR(__xludf.DUMMYFUNCTION("""COMPUTED_VALUE"""),"Buddy นักเรียนพยาบาลเกาหลี")</f>
        <v>Buddy นักเรียนพยาบาลเกาหลี</v>
      </c>
      <c r="I58" s="3" t="str">
        <f>IFERROR(__xludf.DUMMYFUNCTION("""COMPUTED_VALUE"""),"วพอ.พอ.")</f>
        <v>วพอ.พอ.</v>
      </c>
      <c r="J58" s="12">
        <f>IFERROR(__xludf.DUMMYFUNCTION("""COMPUTED_VALUE"""),45951.0)</f>
        <v>45951</v>
      </c>
      <c r="K58" s="3" t="str">
        <f>IFERROR(__xludf.DUMMYFUNCTION("""COMPUTED_VALUE"""),"1800-2200")</f>
        <v>1800-2200</v>
      </c>
      <c r="L58" s="3">
        <f>IFERROR(__xludf.DUMMYFUNCTION("""COMPUTED_VALUE"""),4.0)</f>
        <v>4</v>
      </c>
      <c r="M58" s="3" t="str">
        <f>IFERROR(__xludf.DUMMYFUNCTION("""COMPUTED_VALUE"""),"น.ต.หญิง ประไพศรี ศุภางค์ภร")</f>
        <v>น.ต.หญิง ประไพศรี ศุภางค์ภร</v>
      </c>
      <c r="N58" s="14" t="str">
        <f>IFERROR(__xludf.DUMMYFUNCTION("""COMPUTED_VALUE"""),"https://lh5.googleusercontent.com/d/1BFYKywVe2d-Pw78Gzi_7_YzuRbx3yMzy")</f>
        <v>https://lh5.googleusercontent.com/d/1BFYKywVe2d-Pw78Gzi_7_YzuRbx3yMzy</v>
      </c>
      <c r="O58" s="14" t="str">
        <f>IFERROR(__xludf.DUMMYFUNCTION("""COMPUTED_VALUE"""),"https://drive.google.com/file/d/1MS06RpbCH0emJKOVetoaqmcSL3l29tWj/view?usp=drivesdk")</f>
        <v>https://drive.google.com/file/d/1MS06RpbCH0emJKOVetoaqmcSL3l29tWj/view?usp=drivesdk</v>
      </c>
    </row>
    <row r="59">
      <c r="A59" s="3">
        <f>IFERROR(__xludf.DUMMYFUNCTION("""COMPUTED_VALUE"""),169.0)</f>
        <v>169</v>
      </c>
      <c r="B59" s="11">
        <f>IFERROR(__xludf.DUMMYFUNCTION("""COMPUTED_VALUE"""),45982.30762173611)</f>
        <v>45982.30762</v>
      </c>
      <c r="C59" s="3" t="str">
        <f>IFERROR(__xludf.DUMMYFUNCTION("""COMPUTED_VALUE"""),"ชั้นปีที่ 3")</f>
        <v>ชั้นปีที่ 3</v>
      </c>
      <c r="D59" s="3" t="str">
        <f>IFERROR(__xludf.DUMMYFUNCTION("""COMPUTED_VALUE"""),"6603803")</f>
        <v>6603803</v>
      </c>
      <c r="E59" s="3" t="str">
        <f>IFERROR(__xludf.DUMMYFUNCTION("""COMPUTED_VALUE"""),"49")</f>
        <v>49</v>
      </c>
      <c r="F59" s="3" t="str">
        <f>IFERROR(__xludf.DUMMYFUNCTION("""COMPUTED_VALUE"""),"นพอ.ศิริพร คล้ายแก้ว")</f>
        <v>นพอ.ศิริพร คล้ายแก้ว</v>
      </c>
      <c r="G59" s="3" t="str">
        <f>IFERROR(__xludf.DUMMYFUNCTION("""COMPUTED_VALUE"""),"ช่วยเหลืองานภายใน วพอ.")</f>
        <v>ช่วยเหลืองานภายใน วพอ.</v>
      </c>
      <c r="H59" s="3" t="str">
        <f>IFERROR(__xludf.DUMMYFUNCTION("""COMPUTED_VALUE"""),"Buddy นักเรียนพยาบาลเกาหลี")</f>
        <v>Buddy นักเรียนพยาบาลเกาหลี</v>
      </c>
      <c r="I59" s="3" t="str">
        <f>IFERROR(__xludf.DUMMYFUNCTION("""COMPUTED_VALUE"""),"วพอ.พอ.")</f>
        <v>วพอ.พอ.</v>
      </c>
      <c r="J59" s="12">
        <f>IFERROR(__xludf.DUMMYFUNCTION("""COMPUTED_VALUE"""),45952.0)</f>
        <v>45952</v>
      </c>
      <c r="K59" s="3" t="str">
        <f>IFERROR(__xludf.DUMMYFUNCTION("""COMPUTED_VALUE"""),"1800-2200")</f>
        <v>1800-2200</v>
      </c>
      <c r="L59" s="3">
        <f>IFERROR(__xludf.DUMMYFUNCTION("""COMPUTED_VALUE"""),4.0)</f>
        <v>4</v>
      </c>
      <c r="M59" s="3" t="str">
        <f>IFERROR(__xludf.DUMMYFUNCTION("""COMPUTED_VALUE"""),"น.ต.หญิง ประไพศรี ศุภางค์ภร")</f>
        <v>น.ต.หญิง ประไพศรี ศุภางค์ภร</v>
      </c>
      <c r="N59" s="14" t="str">
        <f>IFERROR(__xludf.DUMMYFUNCTION("""COMPUTED_VALUE"""),"https://lh5.googleusercontent.com/d/1tQ9OrDzA0nUXhkXw2FIYXSARvoBQ7RgR")</f>
        <v>https://lh5.googleusercontent.com/d/1tQ9OrDzA0nUXhkXw2FIYXSARvoBQ7RgR</v>
      </c>
      <c r="O59" s="14" t="str">
        <f>IFERROR(__xludf.DUMMYFUNCTION("""COMPUTED_VALUE"""),"https://drive.google.com/file/d/1mY2PYgXMTmxBQDxzvTq6sxI_-FUz9A4x/view?usp=drivesdk")</f>
        <v>https://drive.google.com/file/d/1mY2PYgXMTmxBQDxzvTq6sxI_-FUz9A4x/view?usp=drivesdk</v>
      </c>
    </row>
    <row r="60">
      <c r="A60" s="3">
        <f>IFERROR(__xludf.DUMMYFUNCTION("""COMPUTED_VALUE"""),170.0)</f>
        <v>170</v>
      </c>
      <c r="B60" s="11">
        <f>IFERROR(__xludf.DUMMYFUNCTION("""COMPUTED_VALUE"""),45982.30884096065)</f>
        <v>45982.30884</v>
      </c>
      <c r="C60" s="3" t="str">
        <f>IFERROR(__xludf.DUMMYFUNCTION("""COMPUTED_VALUE"""),"ชั้นปีที่ 3")</f>
        <v>ชั้นปีที่ 3</v>
      </c>
      <c r="D60" s="3" t="str">
        <f>IFERROR(__xludf.DUMMYFUNCTION("""COMPUTED_VALUE"""),"6603803")</f>
        <v>6603803</v>
      </c>
      <c r="E60" s="3" t="str">
        <f>IFERROR(__xludf.DUMMYFUNCTION("""COMPUTED_VALUE"""),"49")</f>
        <v>49</v>
      </c>
      <c r="F60" s="3" t="str">
        <f>IFERROR(__xludf.DUMMYFUNCTION("""COMPUTED_VALUE"""),"นพอ.ศิริพรคล้ายแก้ว")</f>
        <v>นพอ.ศิริพรคล้ายแก้ว</v>
      </c>
      <c r="G60" s="3" t="str">
        <f>IFERROR(__xludf.DUMMYFUNCTION("""COMPUTED_VALUE"""),"ช่วยเหลืองานภายใน วพอ.")</f>
        <v>ช่วยเหลืองานภายใน วพอ.</v>
      </c>
      <c r="H60" s="3" t="str">
        <f>IFERROR(__xludf.DUMMYFUNCTION("""COMPUTED_VALUE"""),"Buddy นักเรียนพยาบาลเกาหลี")</f>
        <v>Buddy นักเรียนพยาบาลเกาหลี</v>
      </c>
      <c r="I60" s="3" t="str">
        <f>IFERROR(__xludf.DUMMYFUNCTION("""COMPUTED_VALUE"""),"วพอ.พอ.")</f>
        <v>วพอ.พอ.</v>
      </c>
      <c r="J60" s="12">
        <f>IFERROR(__xludf.DUMMYFUNCTION("""COMPUTED_VALUE"""),45953.0)</f>
        <v>45953</v>
      </c>
      <c r="K60" s="3" t="str">
        <f>IFERROR(__xludf.DUMMYFUNCTION("""COMPUTED_VALUE"""),"1800-2200")</f>
        <v>1800-2200</v>
      </c>
      <c r="L60" s="3">
        <f>IFERROR(__xludf.DUMMYFUNCTION("""COMPUTED_VALUE"""),4.0)</f>
        <v>4</v>
      </c>
      <c r="M60" s="3" t="str">
        <f>IFERROR(__xludf.DUMMYFUNCTION("""COMPUTED_VALUE"""),"น.ต.หญิง ประไพศรี ศุภางค์ภร")</f>
        <v>น.ต.หญิง ประไพศรี ศุภางค์ภร</v>
      </c>
      <c r="N60" s="14" t="str">
        <f>IFERROR(__xludf.DUMMYFUNCTION("""COMPUTED_VALUE"""),"https://lh5.googleusercontent.com/d/1cL2StfC-kHXJyTw-5m4qN0loVH6fiGup")</f>
        <v>https://lh5.googleusercontent.com/d/1cL2StfC-kHXJyTw-5m4qN0loVH6fiGup</v>
      </c>
      <c r="O60" s="14" t="str">
        <f>IFERROR(__xludf.DUMMYFUNCTION("""COMPUTED_VALUE"""),"https://drive.google.com/file/d/1758GxlKglsz81KnavSqck1dYKJeAPGm1/view?usp=drivesdk")</f>
        <v>https://drive.google.com/file/d/1758GxlKglsz81KnavSqck1dYKJeAPGm1/view?usp=drivesdk</v>
      </c>
    </row>
    <row r="61">
      <c r="A61" s="3">
        <f>IFERROR(__xludf.DUMMYFUNCTION("""COMPUTED_VALUE"""),177.0)</f>
        <v>177</v>
      </c>
      <c r="B61" s="11">
        <f>IFERROR(__xludf.DUMMYFUNCTION("""COMPUTED_VALUE"""),45982.544545729164)</f>
        <v>45982.54455</v>
      </c>
      <c r="C61" s="3" t="str">
        <f>IFERROR(__xludf.DUMMYFUNCTION("""COMPUTED_VALUE"""),"ชั้นปีที่ 3")</f>
        <v>ชั้นปีที่ 3</v>
      </c>
      <c r="D61" s="3" t="str">
        <f>IFERROR(__xludf.DUMMYFUNCTION("""COMPUTED_VALUE"""),"6603803")</f>
        <v>6603803</v>
      </c>
      <c r="E61" s="3" t="str">
        <f>IFERROR(__xludf.DUMMYFUNCTION("""COMPUTED_VALUE"""),"49")</f>
        <v>49</v>
      </c>
      <c r="F61" s="3" t="str">
        <f>IFERROR(__xludf.DUMMYFUNCTION("""COMPUTED_VALUE"""),"นพอ.ศิริพร คล้ายแก้ว")</f>
        <v>นพอ.ศิริพร คล้ายแก้ว</v>
      </c>
      <c r="G61" s="3" t="str">
        <f>IFERROR(__xludf.DUMMYFUNCTION("""COMPUTED_VALUE"""),"ช่วยเหลืองานภายใน วพอ.")</f>
        <v>ช่วยเหลืองานภายใน วพอ.</v>
      </c>
      <c r="H61" s="3" t="str">
        <f>IFERROR(__xludf.DUMMYFUNCTION("""COMPUTED_VALUE"""),"Buddy นักเรียนพยาบาลเกาหลี")</f>
        <v>Buddy นักเรียนพยาบาลเกาหลี</v>
      </c>
      <c r="I61" s="3" t="str">
        <f>IFERROR(__xludf.DUMMYFUNCTION("""COMPUTED_VALUE"""),"วพอ.พอ.")</f>
        <v>วพอ.พอ.</v>
      </c>
      <c r="J61" s="12">
        <f>IFERROR(__xludf.DUMMYFUNCTION("""COMPUTED_VALUE"""),45954.0)</f>
        <v>45954</v>
      </c>
      <c r="K61" s="3" t="str">
        <f>IFERROR(__xludf.DUMMYFUNCTION("""COMPUTED_VALUE"""),"1300-1700")</f>
        <v>1300-1700</v>
      </c>
      <c r="L61" s="3">
        <f>IFERROR(__xludf.DUMMYFUNCTION("""COMPUTED_VALUE"""),4.0)</f>
        <v>4</v>
      </c>
      <c r="M61" s="3" t="str">
        <f>IFERROR(__xludf.DUMMYFUNCTION("""COMPUTED_VALUE"""),"น.ต.หญิง ประไพศรี ศุภางค์ภร")</f>
        <v>น.ต.หญิง ประไพศรี ศุภางค์ภร</v>
      </c>
      <c r="N61" s="14" t="str">
        <f>IFERROR(__xludf.DUMMYFUNCTION("""COMPUTED_VALUE"""),"https://lh5.googleusercontent.com/d/1U323yLfvOmA0_n30B56v92h6J00KGECD")</f>
        <v>https://lh5.googleusercontent.com/d/1U323yLfvOmA0_n30B56v92h6J00KGECD</v>
      </c>
      <c r="O61" s="14" t="str">
        <f>IFERROR(__xludf.DUMMYFUNCTION("""COMPUTED_VALUE"""),"https://drive.google.com/file/d/1l2rttujZ9L0BFP8RTQdrIqoCATrsWq88/view?usp=drivesdk")</f>
        <v>https://drive.google.com/file/d/1l2rttujZ9L0BFP8RTQdrIqoCATrsWq88/view?usp=drivesdk</v>
      </c>
    </row>
    <row r="62">
      <c r="A62" s="3">
        <f>IFERROR(__xludf.DUMMYFUNCTION("""COMPUTED_VALUE"""),178.0)</f>
        <v>178</v>
      </c>
      <c r="B62" s="11">
        <f>IFERROR(__xludf.DUMMYFUNCTION("""COMPUTED_VALUE"""),45982.60299546297)</f>
        <v>45982.603</v>
      </c>
      <c r="C62" s="3" t="str">
        <f>IFERROR(__xludf.DUMMYFUNCTION("""COMPUTED_VALUE"""),"ชั้นปีที่ 3")</f>
        <v>ชั้นปีที่ 3</v>
      </c>
      <c r="D62" s="3" t="str">
        <f>IFERROR(__xludf.DUMMYFUNCTION("""COMPUTED_VALUE"""),"6603811")</f>
        <v>6603811</v>
      </c>
      <c r="E62" s="3" t="str">
        <f>IFERROR(__xludf.DUMMYFUNCTION("""COMPUTED_VALUE"""),"57")</f>
        <v>57</v>
      </c>
      <c r="F62" s="3" t="str">
        <f>IFERROR(__xludf.DUMMYFUNCTION("""COMPUTED_VALUE"""),"นพอ.สุภานัน ธรรมรักษา")</f>
        <v>นพอ.สุภานัน ธรรมรักษา</v>
      </c>
      <c r="G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6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62" s="12">
        <f>IFERROR(__xludf.DUMMYFUNCTION("""COMPUTED_VALUE"""),45859.0)</f>
        <v>45859</v>
      </c>
      <c r="K62" s="3" t="str">
        <f>IFERROR(__xludf.DUMMYFUNCTION("""COMPUTED_VALUE"""),"1400-2200")</f>
        <v>1400-2200</v>
      </c>
      <c r="L62" s="3">
        <f>IFERROR(__xludf.DUMMYFUNCTION("""COMPUTED_VALUE"""),8.0)</f>
        <v>8</v>
      </c>
      <c r="M62" s="3" t="str">
        <f>IFERROR(__xludf.DUMMYFUNCTION("""COMPUTED_VALUE"""),"ร.อ.อนุชิต ทำจะดี")</f>
        <v>ร.อ.อนุชิต ทำจะดี</v>
      </c>
      <c r="N62" s="14" t="str">
        <f>IFERROR(__xludf.DUMMYFUNCTION("""COMPUTED_VALUE"""),"https://lh5.googleusercontent.com/d/1lrV2n1qCZNF1ZRIBsTZukfOdcdYmRBL9")</f>
        <v>https://lh5.googleusercontent.com/d/1lrV2n1qCZNF1ZRIBsTZukfOdcdYmRBL9</v>
      </c>
      <c r="O62" s="14" t="str">
        <f>IFERROR(__xludf.DUMMYFUNCTION("""COMPUTED_VALUE"""),"https://drive.google.com/file/d/1V4DA2JL9vn7G8lYh9fz-4GfDHJSBkw4b/view?usp=drivesdk")</f>
        <v>https://drive.google.com/file/d/1V4DA2JL9vn7G8lYh9fz-4GfDHJSBkw4b/view?usp=drivesdk</v>
      </c>
    </row>
    <row r="63">
      <c r="A63" s="3">
        <f>IFERROR(__xludf.DUMMYFUNCTION("""COMPUTED_VALUE"""),179.0)</f>
        <v>179</v>
      </c>
      <c r="B63" s="11">
        <f>IFERROR(__xludf.DUMMYFUNCTION("""COMPUTED_VALUE"""),45982.6050990625)</f>
        <v>45982.6051</v>
      </c>
      <c r="C63" s="3" t="str">
        <f>IFERROR(__xludf.DUMMYFUNCTION("""COMPUTED_VALUE"""),"ชั้นปีที่ 3")</f>
        <v>ชั้นปีที่ 3</v>
      </c>
      <c r="D63" s="3" t="str">
        <f>IFERROR(__xludf.DUMMYFUNCTION("""COMPUTED_VALUE"""),"6603811")</f>
        <v>6603811</v>
      </c>
      <c r="E63" s="3" t="str">
        <f>IFERROR(__xludf.DUMMYFUNCTION("""COMPUTED_VALUE"""),"57")</f>
        <v>57</v>
      </c>
      <c r="F63" s="3" t="str">
        <f>IFERROR(__xludf.DUMMYFUNCTION("""COMPUTED_VALUE"""),"นพอ.สุภานัน ธรรมรักษา")</f>
        <v>นพอ.สุภานัน ธรรมรักษา</v>
      </c>
      <c r="G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6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63" s="12">
        <f>IFERROR(__xludf.DUMMYFUNCTION("""COMPUTED_VALUE"""),45839.0)</f>
        <v>45839</v>
      </c>
      <c r="K63" s="3" t="str">
        <f>IFERROR(__xludf.DUMMYFUNCTION("""COMPUTED_VALUE"""),"1400-2200")</f>
        <v>1400-2200</v>
      </c>
      <c r="L63" s="3">
        <f>IFERROR(__xludf.DUMMYFUNCTION("""COMPUTED_VALUE"""),8.0)</f>
        <v>8</v>
      </c>
      <c r="M63" s="3" t="str">
        <f>IFERROR(__xludf.DUMMYFUNCTION("""COMPUTED_VALUE"""),"ร.อ.อนุชิต ทำจะดี")</f>
        <v>ร.อ.อนุชิต ทำจะดี</v>
      </c>
      <c r="N63" s="14" t="str">
        <f>IFERROR(__xludf.DUMMYFUNCTION("""COMPUTED_VALUE"""),"https://lh5.googleusercontent.com/d/1cb6g3guQf4Kbh9z2ev72jYLZlJ32K-A5")</f>
        <v>https://lh5.googleusercontent.com/d/1cb6g3guQf4Kbh9z2ev72jYLZlJ32K-A5</v>
      </c>
      <c r="O63" s="14" t="str">
        <f>IFERROR(__xludf.DUMMYFUNCTION("""COMPUTED_VALUE"""),"https://drive.google.com/file/d/1_FTKixmjo4lCSf1x-T6c7ipPiFwT4my7/view?usp=drivesdk")</f>
        <v>https://drive.google.com/file/d/1_FTKixmjo4lCSf1x-T6c7ipPiFwT4my7/view?usp=drivesdk</v>
      </c>
    </row>
    <row r="64">
      <c r="A64" s="3">
        <f>IFERROR(__xludf.DUMMYFUNCTION("""COMPUTED_VALUE"""),180.0)</f>
        <v>180</v>
      </c>
      <c r="B64" s="11">
        <f>IFERROR(__xludf.DUMMYFUNCTION("""COMPUTED_VALUE"""),45982.60727690972)</f>
        <v>45982.60728</v>
      </c>
      <c r="C64" s="3" t="str">
        <f>IFERROR(__xludf.DUMMYFUNCTION("""COMPUTED_VALUE"""),"ชั้นปีที่ 3")</f>
        <v>ชั้นปีที่ 3</v>
      </c>
      <c r="D64" s="3" t="str">
        <f>IFERROR(__xludf.DUMMYFUNCTION("""COMPUTED_VALUE"""),"นพอ.สุภานัน ธรรมรักษา")</f>
        <v>นพอ.สุภานัน ธรรมรักษา</v>
      </c>
      <c r="E64" s="3" t="str">
        <f>IFERROR(__xludf.DUMMYFUNCTION("""COMPUTED_VALUE"""),"57")</f>
        <v>57</v>
      </c>
      <c r="F64" s="3" t="str">
        <f>IFERROR(__xludf.DUMMYFUNCTION("""COMPUTED_VALUE"""),"นพอ.สุภานัน ธรรมรักษ")</f>
        <v>นพอ.สุภานัน ธรรมรักษ</v>
      </c>
      <c r="G6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6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64" s="12">
        <f>IFERROR(__xludf.DUMMYFUNCTION("""COMPUTED_VALUE"""),45840.0)</f>
        <v>45840</v>
      </c>
      <c r="K64" s="3" t="str">
        <f>IFERROR(__xludf.DUMMYFUNCTION("""COMPUTED_VALUE"""),"1400-2200")</f>
        <v>1400-2200</v>
      </c>
      <c r="L64" s="3">
        <f>IFERROR(__xludf.DUMMYFUNCTION("""COMPUTED_VALUE"""),8.0)</f>
        <v>8</v>
      </c>
      <c r="M64" s="3" t="str">
        <f>IFERROR(__xludf.DUMMYFUNCTION("""COMPUTED_VALUE"""),"ร.อ.อนุชิต ทำจะดี")</f>
        <v>ร.อ.อนุชิต ทำจะดี</v>
      </c>
      <c r="N64" s="14" t="str">
        <f>IFERROR(__xludf.DUMMYFUNCTION("""COMPUTED_VALUE"""),"https://lh5.googleusercontent.com/d/12dK96YxXZTGZ3Rzf8RnswqqUKeBgah1i")</f>
        <v>https://lh5.googleusercontent.com/d/12dK96YxXZTGZ3Rzf8RnswqqUKeBgah1i</v>
      </c>
      <c r="O64" s="14" t="str">
        <f>IFERROR(__xludf.DUMMYFUNCTION("""COMPUTED_VALUE"""),"https://drive.google.com/file/d/16IT_W4y53PYq4Jv8McQGOUeqvBeXoMd3/view?usp=drivesdk")</f>
        <v>https://drive.google.com/file/d/16IT_W4y53PYq4Jv8McQGOUeqvBeXoMd3/view?usp=drivesdk</v>
      </c>
    </row>
    <row r="65">
      <c r="A65" s="3">
        <f>IFERROR(__xludf.DUMMYFUNCTION("""COMPUTED_VALUE"""),182.0)</f>
        <v>182</v>
      </c>
      <c r="B65" s="11">
        <f>IFERROR(__xludf.DUMMYFUNCTION("""COMPUTED_VALUE"""),45983.9154225463)</f>
        <v>45983.91542</v>
      </c>
      <c r="C65" s="3" t="str">
        <f>IFERROR(__xludf.DUMMYFUNCTION("""COMPUTED_VALUE"""),"ชั้นปีที่ 3")</f>
        <v>ชั้นปีที่ 3</v>
      </c>
      <c r="D65" s="3" t="str">
        <f>IFERROR(__xludf.DUMMYFUNCTION("""COMPUTED_VALUE"""),"6603788")</f>
        <v>6603788</v>
      </c>
      <c r="E65" s="3" t="str">
        <f>IFERROR(__xludf.DUMMYFUNCTION("""COMPUTED_VALUE"""),"34")</f>
        <v>34</v>
      </c>
      <c r="F65" s="3" t="str">
        <f>IFERROR(__xludf.DUMMYFUNCTION("""COMPUTED_VALUE"""),"นพอ.ปาจีรนันท์ ปิงขุนทด")</f>
        <v>นพอ.ปาจีรนันท์ ปิงขุนทด</v>
      </c>
      <c r="G65" s="3" t="str">
        <f>IFERROR(__xludf.DUMMYFUNCTION("""COMPUTED_VALUE"""),"ช่วยเหลืองานภายใน วพอ.")</f>
        <v>ช่วยเหลืองานภายใน วพอ.</v>
      </c>
      <c r="H65" s="3" t="str">
        <f>IFERROR(__xludf.DUMMYFUNCTION("""COMPUTED_VALUE"""),"รับน้อง SWD68")</f>
        <v>รับน้อง SWD68</v>
      </c>
      <c r="I65" s="3" t="str">
        <f>IFERROR(__xludf.DUMMYFUNCTION("""COMPUTED_VALUE"""),"วพอ.พอ.")</f>
        <v>วพอ.พอ.</v>
      </c>
      <c r="J65" s="12">
        <f>IFERROR(__xludf.DUMMYFUNCTION("""COMPUTED_VALUE"""),45859.0)</f>
        <v>45859</v>
      </c>
      <c r="K65" s="3" t="str">
        <f>IFERROR(__xludf.DUMMYFUNCTION("""COMPUTED_VALUE"""),"0600-1100")</f>
        <v>0600-1100</v>
      </c>
      <c r="L65" s="3">
        <f>IFERROR(__xludf.DUMMYFUNCTION("""COMPUTED_VALUE"""),5.0)</f>
        <v>5</v>
      </c>
      <c r="M6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" s="14" t="str">
        <f>IFERROR(__xludf.DUMMYFUNCTION("""COMPUTED_VALUE"""),"https://lh5.googleusercontent.com/d/1__CzxsoZkJcR-kZ2n2Qo5EQBmi-WvbcM")</f>
        <v>https://lh5.googleusercontent.com/d/1__CzxsoZkJcR-kZ2n2Qo5EQBmi-WvbcM</v>
      </c>
      <c r="O65" s="14" t="str">
        <f>IFERROR(__xludf.DUMMYFUNCTION("""COMPUTED_VALUE"""),"https://drive.google.com/file/d/1qJTn6EqOGNOmt6Mg0Gcz8I8aA8RjIy8K/view?usp=drivesdk")</f>
        <v>https://drive.google.com/file/d/1qJTn6EqOGNOmt6Mg0Gcz8I8aA8RjIy8K/view?usp=drivesdk</v>
      </c>
    </row>
    <row r="66">
      <c r="A66" s="3">
        <f>IFERROR(__xludf.DUMMYFUNCTION("""COMPUTED_VALUE"""),183.0)</f>
        <v>183</v>
      </c>
      <c r="B66" s="11">
        <f>IFERROR(__xludf.DUMMYFUNCTION("""COMPUTED_VALUE"""),45983.92037306713)</f>
        <v>45983.92037</v>
      </c>
      <c r="C66" s="3" t="str">
        <f>IFERROR(__xludf.DUMMYFUNCTION("""COMPUTED_VALUE"""),"ชั้นปีที่ 3")</f>
        <v>ชั้นปีที่ 3</v>
      </c>
      <c r="D66" s="3" t="str">
        <f>IFERROR(__xludf.DUMMYFUNCTION("""COMPUTED_VALUE"""),"6603788")</f>
        <v>6603788</v>
      </c>
      <c r="E66" s="3" t="str">
        <f>IFERROR(__xludf.DUMMYFUNCTION("""COMPUTED_VALUE"""),"34")</f>
        <v>34</v>
      </c>
      <c r="F66" s="3" t="str">
        <f>IFERROR(__xludf.DUMMYFUNCTION("""COMPUTED_VALUE"""),"นพอ.ปาจีรนันท์ ปิงขุนทด")</f>
        <v>นพอ.ปาจีรนันท์ ปิงขุนทด</v>
      </c>
      <c r="G66" s="3" t="str">
        <f>IFERROR(__xludf.DUMMYFUNCTION("""COMPUTED_VALUE"""),"ช่วยเหลืองานภายใน วพอ.")</f>
        <v>ช่วยเหลืองานภายใน วพอ.</v>
      </c>
      <c r="H66" s="3" t="str">
        <f>IFERROR(__xludf.DUMMYFUNCTION("""COMPUTED_VALUE"""),"รับน้อง SWD68")</f>
        <v>รับน้อง SWD68</v>
      </c>
      <c r="I66" s="3" t="str">
        <f>IFERROR(__xludf.DUMMYFUNCTION("""COMPUTED_VALUE"""),"วพอ.พอ.")</f>
        <v>วพอ.พอ.</v>
      </c>
      <c r="J66" s="12">
        <f>IFERROR(__xludf.DUMMYFUNCTION("""COMPUTED_VALUE"""),45859.0)</f>
        <v>45859</v>
      </c>
      <c r="K66" s="3" t="str">
        <f>IFERROR(__xludf.DUMMYFUNCTION("""COMPUTED_VALUE"""),"1200-1700")</f>
        <v>1200-1700</v>
      </c>
      <c r="L66" s="3">
        <f>IFERROR(__xludf.DUMMYFUNCTION("""COMPUTED_VALUE"""),5.0)</f>
        <v>5</v>
      </c>
      <c r="M6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" s="14" t="str">
        <f>IFERROR(__xludf.DUMMYFUNCTION("""COMPUTED_VALUE"""),"https://lh5.googleusercontent.com/d/12KoTnUF9zZSRTw4WWriSRCD89gJ50O-V")</f>
        <v>https://lh5.googleusercontent.com/d/12KoTnUF9zZSRTw4WWriSRCD89gJ50O-V</v>
      </c>
      <c r="O66" s="14" t="str">
        <f>IFERROR(__xludf.DUMMYFUNCTION("""COMPUTED_VALUE"""),"https://drive.google.com/file/d/1CdyiuzWzX8GnlvHO8Npzra2LGPIVTAp0/view?usp=drivesdk")</f>
        <v>https://drive.google.com/file/d/1CdyiuzWzX8GnlvHO8Npzra2LGPIVTAp0/view?usp=drivesdk</v>
      </c>
    </row>
    <row r="67">
      <c r="A67" s="3">
        <f>IFERROR(__xludf.DUMMYFUNCTION("""COMPUTED_VALUE"""),184.0)</f>
        <v>184</v>
      </c>
      <c r="B67" s="11">
        <f>IFERROR(__xludf.DUMMYFUNCTION("""COMPUTED_VALUE"""),45983.92271008102)</f>
        <v>45983.92271</v>
      </c>
      <c r="C67" s="3" t="str">
        <f>IFERROR(__xludf.DUMMYFUNCTION("""COMPUTED_VALUE"""),"ชั้นปีที่ 3")</f>
        <v>ชั้นปีที่ 3</v>
      </c>
      <c r="D67" s="3" t="str">
        <f>IFERROR(__xludf.DUMMYFUNCTION("""COMPUTED_VALUE"""),"6603788")</f>
        <v>6603788</v>
      </c>
      <c r="E67" s="3" t="str">
        <f>IFERROR(__xludf.DUMMYFUNCTION("""COMPUTED_VALUE"""),"34")</f>
        <v>34</v>
      </c>
      <c r="F67" s="3" t="str">
        <f>IFERROR(__xludf.DUMMYFUNCTION("""COMPUTED_VALUE"""),"นพอ.ปาจีรนันท์ ปิงขุนทด")</f>
        <v>นพอ.ปาจีรนันท์ ปิงขุนทด</v>
      </c>
      <c r="G67" s="3" t="str">
        <f>IFERROR(__xludf.DUMMYFUNCTION("""COMPUTED_VALUE"""),"ช่วยเหลืองานภายใน วพอ.")</f>
        <v>ช่วยเหลืองานภายใน วพอ.</v>
      </c>
      <c r="H67" s="3" t="str">
        <f>IFERROR(__xludf.DUMMYFUNCTION("""COMPUTED_VALUE"""),"ถ่ายคลิปวิจัยสื่อการสอนเด็กตัวเหลือง")</f>
        <v>ถ่ายคลิปวิจัยสื่อการสอนเด็กตัวเหลือง</v>
      </c>
      <c r="I67" s="3" t="str">
        <f>IFERROR(__xludf.DUMMYFUNCTION("""COMPUTED_VALUE"""),"วพอ.พอ.")</f>
        <v>วพอ.พอ.</v>
      </c>
      <c r="J67" s="12">
        <f>IFERROR(__xludf.DUMMYFUNCTION("""COMPUTED_VALUE"""),45898.0)</f>
        <v>45898</v>
      </c>
      <c r="K67" s="3" t="str">
        <f>IFERROR(__xludf.DUMMYFUNCTION("""COMPUTED_VALUE"""),"1600-2000")</f>
        <v>1600-2000</v>
      </c>
      <c r="L67" s="3">
        <f>IFERROR(__xludf.DUMMYFUNCTION("""COMPUTED_VALUE"""),4.0)</f>
        <v>4</v>
      </c>
      <c r="M67" s="3" t="str">
        <f>IFERROR(__xludf.DUMMYFUNCTION("""COMPUTED_VALUE"""),"ร.ต.เรวัติ วัชรสิทธิ์")</f>
        <v>ร.ต.เรวัติ วัชรสิทธิ์</v>
      </c>
      <c r="N67" s="14" t="str">
        <f>IFERROR(__xludf.DUMMYFUNCTION("""COMPUTED_VALUE"""),"https://lh5.googleusercontent.com/d/1IL1gREtQjWlAjNv1sA2EJtir3S-lT2jC")</f>
        <v>https://lh5.googleusercontent.com/d/1IL1gREtQjWlAjNv1sA2EJtir3S-lT2jC</v>
      </c>
      <c r="O67" s="14" t="str">
        <f>IFERROR(__xludf.DUMMYFUNCTION("""COMPUTED_VALUE"""),"https://drive.google.com/file/d/12I7mrFWgItHY0XAWxaIhiOlgxT45uhvq/view?usp=drivesdk")</f>
        <v>https://drive.google.com/file/d/12I7mrFWgItHY0XAWxaIhiOlgxT45uhvq/view?usp=drivesdk</v>
      </c>
    </row>
    <row r="68">
      <c r="A68" s="3">
        <f>IFERROR(__xludf.DUMMYFUNCTION("""COMPUTED_VALUE"""),185.0)</f>
        <v>185</v>
      </c>
      <c r="B68" s="11">
        <f>IFERROR(__xludf.DUMMYFUNCTION("""COMPUTED_VALUE"""),45983.92492994213)</f>
        <v>45983.92493</v>
      </c>
      <c r="C68" s="3" t="str">
        <f>IFERROR(__xludf.DUMMYFUNCTION("""COMPUTED_VALUE"""),"ชั้นปีที่ 3")</f>
        <v>ชั้นปีที่ 3</v>
      </c>
      <c r="D68" s="3" t="str">
        <f>IFERROR(__xludf.DUMMYFUNCTION("""COMPUTED_VALUE"""),"6603788")</f>
        <v>6603788</v>
      </c>
      <c r="E68" s="3" t="str">
        <f>IFERROR(__xludf.DUMMYFUNCTION("""COMPUTED_VALUE"""),"34")</f>
        <v>34</v>
      </c>
      <c r="F68" s="3" t="str">
        <f>IFERROR(__xludf.DUMMYFUNCTION("""COMPUTED_VALUE"""),"นพอ.ปาจีรนันท์ ปิงขุนทด")</f>
        <v>นพอ.ปาจีรนันท์ ปิงขุนทด</v>
      </c>
      <c r="G68" s="3" t="str">
        <f>IFERROR(__xludf.DUMMYFUNCTION("""COMPUTED_VALUE"""),"ช่วยเหลืองานภายใน วพอ.")</f>
        <v>ช่วยเหลืองานภายใน วพอ.</v>
      </c>
      <c r="H68" s="3" t="str">
        <f>IFERROR(__xludf.DUMMYFUNCTION("""COMPUTED_VALUE"""),"ฟังสอนแม่ พี่นทน.")</f>
        <v>ฟังสอนแม่ พี่นทน.</v>
      </c>
      <c r="I68" s="3" t="str">
        <f>IFERROR(__xludf.DUMMYFUNCTION("""COMPUTED_VALUE"""),"วพอ.พอ.")</f>
        <v>วพอ.พอ.</v>
      </c>
      <c r="J68" s="12">
        <f>IFERROR(__xludf.DUMMYFUNCTION("""COMPUTED_VALUE"""),45927.0)</f>
        <v>45927</v>
      </c>
      <c r="K68" s="3" t="str">
        <f>IFERROR(__xludf.DUMMYFUNCTION("""COMPUTED_VALUE"""),"0900-1200")</f>
        <v>0900-1200</v>
      </c>
      <c r="L68" s="3">
        <f>IFERROR(__xludf.DUMMYFUNCTION("""COMPUTED_VALUE"""),3.0)</f>
        <v>3</v>
      </c>
      <c r="M68" s="3" t="str">
        <f>IFERROR(__xludf.DUMMYFUNCTION("""COMPUTED_VALUE"""),"น.อ.หญิง ผศ. นิตยา สุขแสน")</f>
        <v>น.อ.หญิง ผศ. นิตยา สุขแสน</v>
      </c>
      <c r="N68" s="14" t="str">
        <f>IFERROR(__xludf.DUMMYFUNCTION("""COMPUTED_VALUE"""),"https://lh5.googleusercontent.com/d/1xTBLxxWlRhGF2Z3Lonm0m7ay5H05o27E")</f>
        <v>https://lh5.googleusercontent.com/d/1xTBLxxWlRhGF2Z3Lonm0m7ay5H05o27E</v>
      </c>
      <c r="O68" s="14" t="str">
        <f>IFERROR(__xludf.DUMMYFUNCTION("""COMPUTED_VALUE"""),"https://drive.google.com/file/d/1TgWqZwZh4Wn2Fjcu0lrEU3IZFN6ieun8/view?usp=drivesdk")</f>
        <v>https://drive.google.com/file/d/1TgWqZwZh4Wn2Fjcu0lrEU3IZFN6ieun8/view?usp=drivesdk</v>
      </c>
    </row>
    <row r="69">
      <c r="A69" s="3">
        <f>IFERROR(__xludf.DUMMYFUNCTION("""COMPUTED_VALUE"""),186.0)</f>
        <v>186</v>
      </c>
      <c r="B69" s="11">
        <f>IFERROR(__xludf.DUMMYFUNCTION("""COMPUTED_VALUE"""),45983.9282341088)</f>
        <v>45983.92823</v>
      </c>
      <c r="C69" s="3" t="str">
        <f>IFERROR(__xludf.DUMMYFUNCTION("""COMPUTED_VALUE"""),"ชั้นปีที่ 3")</f>
        <v>ชั้นปีที่ 3</v>
      </c>
      <c r="D69" s="3" t="str">
        <f>IFERROR(__xludf.DUMMYFUNCTION("""COMPUTED_VALUE"""),"6603788")</f>
        <v>6603788</v>
      </c>
      <c r="E69" s="3" t="str">
        <f>IFERROR(__xludf.DUMMYFUNCTION("""COMPUTED_VALUE"""),"34")</f>
        <v>34</v>
      </c>
      <c r="F69" s="3" t="str">
        <f>IFERROR(__xludf.DUMMYFUNCTION("""COMPUTED_VALUE"""),"นพอ.ปาจีรนันท์ ปิงขุนทด")</f>
        <v>นพอ.ปาจีรนันท์ ปิงขุนทด</v>
      </c>
      <c r="G69" s="3" t="str">
        <f>IFERROR(__xludf.DUMMYFUNCTION("""COMPUTED_VALUE"""),"ช่วยเหลืองานภายใน วพอ.")</f>
        <v>ช่วยเหลืองานภายใน วพอ.</v>
      </c>
      <c r="H69" s="3" t="str">
        <f>IFERROR(__xludf.DUMMYFUNCTION("""COMPUTED_VALUE"""),"จัดงานเกษียณ")</f>
        <v>จัดงานเกษียณ</v>
      </c>
      <c r="I69" s="3" t="str">
        <f>IFERROR(__xludf.DUMMYFUNCTION("""COMPUTED_VALUE"""),"วพอ.พอ.")</f>
        <v>วพอ.พอ.</v>
      </c>
      <c r="J69" s="12">
        <f>IFERROR(__xludf.DUMMYFUNCTION("""COMPUTED_VALUE"""),45928.0)</f>
        <v>45928</v>
      </c>
      <c r="K69" s="3" t="str">
        <f>IFERROR(__xludf.DUMMYFUNCTION("""COMPUTED_VALUE"""),"1100-1400")</f>
        <v>1100-1400</v>
      </c>
      <c r="L69" s="3">
        <f>IFERROR(__xludf.DUMMYFUNCTION("""COMPUTED_VALUE"""),3.0)</f>
        <v>3</v>
      </c>
      <c r="M69" s="3" t="str">
        <f>IFERROR(__xludf.DUMMYFUNCTION("""COMPUTED_VALUE"""),"ร.อ.อนุชิต ทำจะดี")</f>
        <v>ร.อ.อนุชิต ทำจะดี</v>
      </c>
      <c r="N69" s="14" t="str">
        <f>IFERROR(__xludf.DUMMYFUNCTION("""COMPUTED_VALUE"""),"https://lh5.googleusercontent.com/d/1-2bqpXgi36iLyhj9icjM6F2YIkIIu-CP")</f>
        <v>https://lh5.googleusercontent.com/d/1-2bqpXgi36iLyhj9icjM6F2YIkIIu-CP</v>
      </c>
      <c r="O69" s="14" t="str">
        <f>IFERROR(__xludf.DUMMYFUNCTION("""COMPUTED_VALUE"""),"https://drive.google.com/file/d/1W2veplCbgnZ71YjgUXZAS2YV8_HSERl2/view?usp=drivesdk")</f>
        <v>https://drive.google.com/file/d/1W2veplCbgnZ71YjgUXZAS2YV8_HSERl2/view?usp=drivesdk</v>
      </c>
    </row>
    <row r="70">
      <c r="A70" s="3">
        <f>IFERROR(__xludf.DUMMYFUNCTION("""COMPUTED_VALUE"""),187.0)</f>
        <v>187</v>
      </c>
      <c r="B70" s="11">
        <f>IFERROR(__xludf.DUMMYFUNCTION("""COMPUTED_VALUE"""),45983.930960370366)</f>
        <v>45983.93096</v>
      </c>
      <c r="C70" s="3" t="str">
        <f>IFERROR(__xludf.DUMMYFUNCTION("""COMPUTED_VALUE"""),"ชั้นปีที่ 3")</f>
        <v>ชั้นปีที่ 3</v>
      </c>
      <c r="D70" s="3" t="str">
        <f>IFERROR(__xludf.DUMMYFUNCTION("""COMPUTED_VALUE"""),"6603788")</f>
        <v>6603788</v>
      </c>
      <c r="E70" s="3" t="str">
        <f>IFERROR(__xludf.DUMMYFUNCTION("""COMPUTED_VALUE"""),"34")</f>
        <v>34</v>
      </c>
      <c r="F70" s="3" t="str">
        <f>IFERROR(__xludf.DUMMYFUNCTION("""COMPUTED_VALUE"""),"นพอ.ปาจีรนันท์ ปิงขุนทด")</f>
        <v>นพอ.ปาจีรนันท์ ปิงขุนทด</v>
      </c>
      <c r="G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" s="3" t="str">
        <f>IFERROR(__xludf.DUMMYFUNCTION("""COMPUTED_VALUE"""),"รับเสด็จ")</f>
        <v>รับเสด็จ</v>
      </c>
      <c r="I70" s="3" t="str">
        <f>IFERROR(__xludf.DUMMYFUNCTION("""COMPUTED_VALUE"""),"มหาวิทยาลัยมหิดล")</f>
        <v>มหาวิทยาลัยมหิดล</v>
      </c>
      <c r="J70" s="12">
        <f>IFERROR(__xludf.DUMMYFUNCTION("""COMPUTED_VALUE"""),45940.0)</f>
        <v>45940</v>
      </c>
      <c r="K70" s="3" t="str">
        <f>IFERROR(__xludf.DUMMYFUNCTION("""COMPUTED_VALUE"""),"0500-0900")</f>
        <v>0500-0900</v>
      </c>
      <c r="L70" s="3">
        <f>IFERROR(__xludf.DUMMYFUNCTION("""COMPUTED_VALUE"""),4.0)</f>
        <v>4</v>
      </c>
      <c r="M70" s="3" t="str">
        <f>IFERROR(__xludf.DUMMYFUNCTION("""COMPUTED_VALUE"""),"น.ท.หญิง สุพัตรา ปิ่นแก้ว")</f>
        <v>น.ท.หญิง สุพัตรา ปิ่นแก้ว</v>
      </c>
      <c r="N70" s="14" t="str">
        <f>IFERROR(__xludf.DUMMYFUNCTION("""COMPUTED_VALUE"""),"https://lh5.googleusercontent.com/d/1NZYkTLXhh3vlRyIVT3ViTHETeLKLpgnW")</f>
        <v>https://lh5.googleusercontent.com/d/1NZYkTLXhh3vlRyIVT3ViTHETeLKLpgnW</v>
      </c>
      <c r="O70" s="14" t="str">
        <f>IFERROR(__xludf.DUMMYFUNCTION("""COMPUTED_VALUE"""),"https://drive.google.com/file/d/1kFuAEXzlJ0Zn7Gj-9w9amhwNbg7AdL5j/view?usp=drivesdk")</f>
        <v>https://drive.google.com/file/d/1kFuAEXzlJ0Zn7Gj-9w9amhwNbg7AdL5j/view?usp=drivesdk</v>
      </c>
    </row>
    <row r="71">
      <c r="A71" s="3">
        <f>IFERROR(__xludf.DUMMYFUNCTION("""COMPUTED_VALUE"""),188.0)</f>
        <v>188</v>
      </c>
      <c r="B71" s="11">
        <f>IFERROR(__xludf.DUMMYFUNCTION("""COMPUTED_VALUE"""),45983.93709846065)</f>
        <v>45983.9371</v>
      </c>
      <c r="C71" s="3" t="str">
        <f>IFERROR(__xludf.DUMMYFUNCTION("""COMPUTED_VALUE"""),"ชั้นปีที่ 3")</f>
        <v>ชั้นปีที่ 3</v>
      </c>
      <c r="D71" s="3" t="str">
        <f>IFERROR(__xludf.DUMMYFUNCTION("""COMPUTED_VALUE"""),"6603788")</f>
        <v>6603788</v>
      </c>
      <c r="E71" s="3" t="str">
        <f>IFERROR(__xludf.DUMMYFUNCTION("""COMPUTED_VALUE"""),"34")</f>
        <v>34</v>
      </c>
      <c r="F71" s="3" t="str">
        <f>IFERROR(__xludf.DUMMYFUNCTION("""COMPUTED_VALUE"""),"นพอ.ปาจีรนันท์ ปิงขุนทด")</f>
        <v>นพอ.ปาจีรนันท์ ปิงขุนทด</v>
      </c>
      <c r="G7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1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71" s="3" t="str">
        <f>IFERROR(__xludf.DUMMYFUNCTION("""COMPUTED_VALUE"""),"ชุมชนวัดเกาะ")</f>
        <v>ชุมชนวัดเกาะ</v>
      </c>
      <c r="J71" s="12">
        <f>IFERROR(__xludf.DUMMYFUNCTION("""COMPUTED_VALUE"""),45823.0)</f>
        <v>45823</v>
      </c>
      <c r="K71" s="3" t="str">
        <f>IFERROR(__xludf.DUMMYFUNCTION("""COMPUTED_VALUE"""),"0800-1200")</f>
        <v>0800-1200</v>
      </c>
      <c r="L71" s="3">
        <f>IFERROR(__xludf.DUMMYFUNCTION("""COMPUTED_VALUE"""),4.0)</f>
        <v>4</v>
      </c>
      <c r="M71" s="3" t="str">
        <f>IFERROR(__xludf.DUMMYFUNCTION("""COMPUTED_VALUE"""),"น.ต.หญิง ตวงทิพย์ ลดาวัลย์")</f>
        <v>น.ต.หญิง ตวงทิพย์ ลดาวัลย์</v>
      </c>
      <c r="N71" s="3"/>
      <c r="O71" s="3"/>
    </row>
    <row r="72">
      <c r="A72" s="3">
        <f>IFERROR(__xludf.DUMMYFUNCTION("""COMPUTED_VALUE"""),189.0)</f>
        <v>189</v>
      </c>
      <c r="B72" s="11">
        <f>IFERROR(__xludf.DUMMYFUNCTION("""COMPUTED_VALUE"""),45983.93710716435)</f>
        <v>45983.93711</v>
      </c>
      <c r="C72" s="3" t="str">
        <f>IFERROR(__xludf.DUMMYFUNCTION("""COMPUTED_VALUE"""),"ชั้นปีที่ 3")</f>
        <v>ชั้นปีที่ 3</v>
      </c>
      <c r="D72" s="3" t="str">
        <f>IFERROR(__xludf.DUMMYFUNCTION("""COMPUTED_VALUE"""),"6603788")</f>
        <v>6603788</v>
      </c>
      <c r="E72" s="3" t="str">
        <f>IFERROR(__xludf.DUMMYFUNCTION("""COMPUTED_VALUE"""),"34")</f>
        <v>34</v>
      </c>
      <c r="F72" s="3" t="str">
        <f>IFERROR(__xludf.DUMMYFUNCTION("""COMPUTED_VALUE"""),"นพอ.ปาจีรนันท์ ปิงขุนทด")</f>
        <v>นพอ.ปาจีรนันท์ ปิงขุนทด</v>
      </c>
      <c r="G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72" s="3" t="str">
        <f>IFERROR(__xludf.DUMMYFUNCTION("""COMPUTED_VALUE"""),"ชุมชนวัดเกาะ")</f>
        <v>ชุมชนวัดเกาะ</v>
      </c>
      <c r="J72" s="12">
        <f>IFERROR(__xludf.DUMMYFUNCTION("""COMPUTED_VALUE"""),45823.0)</f>
        <v>45823</v>
      </c>
      <c r="K72" s="3" t="str">
        <f>IFERROR(__xludf.DUMMYFUNCTION("""COMPUTED_VALUE"""),"0800-1200")</f>
        <v>0800-1200</v>
      </c>
      <c r="L72" s="3">
        <f>IFERROR(__xludf.DUMMYFUNCTION("""COMPUTED_VALUE"""),4.0)</f>
        <v>4</v>
      </c>
      <c r="M72" s="3" t="str">
        <f>IFERROR(__xludf.DUMMYFUNCTION("""COMPUTED_VALUE"""),"น.ต.หญิง ตวงทิพย์ ลดาวัลย์")</f>
        <v>น.ต.หญิง ตวงทิพย์ ลดาวัลย์</v>
      </c>
      <c r="N72" s="3"/>
      <c r="O72" s="3"/>
    </row>
    <row r="73">
      <c r="A73" s="3">
        <f>IFERROR(__xludf.DUMMYFUNCTION("""COMPUTED_VALUE"""),190.0)</f>
        <v>190</v>
      </c>
      <c r="B73" s="11">
        <f>IFERROR(__xludf.DUMMYFUNCTION("""COMPUTED_VALUE"""),45983.9394519213)</f>
        <v>45983.93945</v>
      </c>
      <c r="C73" s="3" t="str">
        <f>IFERROR(__xludf.DUMMYFUNCTION("""COMPUTED_VALUE"""),"ชั้นปีที่ 3")</f>
        <v>ชั้นปีที่ 3</v>
      </c>
      <c r="D73" s="3" t="str">
        <f>IFERROR(__xludf.DUMMYFUNCTION("""COMPUTED_VALUE"""),"6603788")</f>
        <v>6603788</v>
      </c>
      <c r="E73" s="3" t="str">
        <f>IFERROR(__xludf.DUMMYFUNCTION("""COMPUTED_VALUE"""),"34")</f>
        <v>34</v>
      </c>
      <c r="F73" s="3" t="str">
        <f>IFERROR(__xludf.DUMMYFUNCTION("""COMPUTED_VALUE"""),"นพอ.ปาจีรนันท์ ปิงขุนทด")</f>
        <v>นพอ.ปาจีรนันท์ ปิงขุนทด</v>
      </c>
      <c r="G7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" s="3" t="str">
        <f>IFERROR(__xludf.DUMMYFUNCTION("""COMPUTED_VALUE"""),"โครงการบริการวิชาการแก่สังคม ")</f>
        <v>โครงการบริการวิชาการแก่สังคม </v>
      </c>
      <c r="I73" s="3" t="str">
        <f>IFERROR(__xludf.DUMMYFUNCTION("""COMPUTED_VALUE"""),"ชุมชนวัดเกาะ")</f>
        <v>ชุมชนวัดเกาะ</v>
      </c>
      <c r="J73" s="12">
        <f>IFERROR(__xludf.DUMMYFUNCTION("""COMPUTED_VALUE"""),45823.0)</f>
        <v>45823</v>
      </c>
      <c r="K73" s="3" t="str">
        <f>IFERROR(__xludf.DUMMYFUNCTION("""COMPUTED_VALUE"""),"0800-1200")</f>
        <v>0800-1200</v>
      </c>
      <c r="L73" s="3">
        <f>IFERROR(__xludf.DUMMYFUNCTION("""COMPUTED_VALUE"""),4.0)</f>
        <v>4</v>
      </c>
      <c r="M73" s="3" t="str">
        <f>IFERROR(__xludf.DUMMYFUNCTION("""COMPUTED_VALUE"""),"น.ต.หญิง ตวงทิพย์ ลดาวัลย์")</f>
        <v>น.ต.หญิง ตวงทิพย์ ลดาวัลย์</v>
      </c>
      <c r="N73" s="14" t="str">
        <f>IFERROR(__xludf.DUMMYFUNCTION("""COMPUTED_VALUE"""),"https://lh5.googleusercontent.com/d/1uK83acQpmj_ei1X-z8qV44KVeLwN0pOT")</f>
        <v>https://lh5.googleusercontent.com/d/1uK83acQpmj_ei1X-z8qV44KVeLwN0pOT</v>
      </c>
      <c r="O73" s="14" t="str">
        <f>IFERROR(__xludf.DUMMYFUNCTION("""COMPUTED_VALUE"""),"https://drive.google.com/file/d/1YxB6ANLVzrTVqXgBZ3Q8hOZTvL73Z6vR/view?usp=drivesdk")</f>
        <v>https://drive.google.com/file/d/1YxB6ANLVzrTVqXgBZ3Q8hOZTvL73Z6vR/view?usp=drivesdk</v>
      </c>
    </row>
    <row r="74">
      <c r="A74" s="3">
        <f>IFERROR(__xludf.DUMMYFUNCTION("""COMPUTED_VALUE"""),191.0)</f>
        <v>191</v>
      </c>
      <c r="B74" s="11">
        <f>IFERROR(__xludf.DUMMYFUNCTION("""COMPUTED_VALUE"""),45983.94516275463)</f>
        <v>45983.94516</v>
      </c>
      <c r="C74" s="3" t="str">
        <f>IFERROR(__xludf.DUMMYFUNCTION("""COMPUTED_VALUE"""),"ชั้นปีที่ 3")</f>
        <v>ชั้นปีที่ 3</v>
      </c>
      <c r="D74" s="3" t="str">
        <f>IFERROR(__xludf.DUMMYFUNCTION("""COMPUTED_VALUE"""),"6603788")</f>
        <v>6603788</v>
      </c>
      <c r="E74" s="3" t="str">
        <f>IFERROR(__xludf.DUMMYFUNCTION("""COMPUTED_VALUE"""),"34")</f>
        <v>34</v>
      </c>
      <c r="F74" s="3" t="str">
        <f>IFERROR(__xludf.DUMMYFUNCTION("""COMPUTED_VALUE"""),"นพอ.ปาจีรนันท์ ปิงขุนทด")</f>
        <v>นพอ.ปาจีรนันท์ ปิงขุนทด</v>
      </c>
      <c r="G74" s="3" t="str">
        <f>IFERROR(__xludf.DUMMYFUNCTION("""COMPUTED_VALUE"""),"ช่วยเหลืองานภายใน วพอ.")</f>
        <v>ช่วยเหลืองานภายใน วพอ.</v>
      </c>
      <c r="H74" s="3" t="str">
        <f>IFERROR(__xludf.DUMMYFUNCTION("""COMPUTED_VALUE"""),"Buddy KAFNA ")</f>
        <v>Buddy KAFNA </v>
      </c>
      <c r="I74" s="3" t="str">
        <f>IFERROR(__xludf.DUMMYFUNCTION("""COMPUTED_VALUE"""),"วพอ.พอ.")</f>
        <v>วพอ.พอ.</v>
      </c>
      <c r="J74" s="12">
        <f>IFERROR(__xludf.DUMMYFUNCTION("""COMPUTED_VALUE"""),45949.0)</f>
        <v>45949</v>
      </c>
      <c r="K74" s="3" t="str">
        <f>IFERROR(__xludf.DUMMYFUNCTION("""COMPUTED_VALUE"""),"2000-2400")</f>
        <v>2000-2400</v>
      </c>
      <c r="L74" s="3">
        <f>IFERROR(__xludf.DUMMYFUNCTION("""COMPUTED_VALUE"""),4.0)</f>
        <v>4</v>
      </c>
      <c r="M74" s="3" t="str">
        <f>IFERROR(__xludf.DUMMYFUNCTION("""COMPUTED_VALUE"""),"น.ต.หญิง ประไพศรี ศุภางค์ภร")</f>
        <v>น.ต.หญิง ประไพศรี ศุภางค์ภร</v>
      </c>
      <c r="N74" s="14" t="str">
        <f>IFERROR(__xludf.DUMMYFUNCTION("""COMPUTED_VALUE"""),"https://lh5.googleusercontent.com/d/1Pw96L52X_rsE8C4oaW7_PGFfsrTX5mhK")</f>
        <v>https://lh5.googleusercontent.com/d/1Pw96L52X_rsE8C4oaW7_PGFfsrTX5mhK</v>
      </c>
      <c r="O74" s="14" t="str">
        <f>IFERROR(__xludf.DUMMYFUNCTION("""COMPUTED_VALUE"""),"https://drive.google.com/file/d/1hXrc_5JPOdllBT0WfbbWSy3rgIUtq9FM/view?usp=drivesdk")</f>
        <v>https://drive.google.com/file/d/1hXrc_5JPOdllBT0WfbbWSy3rgIUtq9FM/view?usp=drivesdk</v>
      </c>
    </row>
    <row r="75">
      <c r="A75" s="3">
        <f>IFERROR(__xludf.DUMMYFUNCTION("""COMPUTED_VALUE"""),192.0)</f>
        <v>192</v>
      </c>
      <c r="B75" s="11">
        <f>IFERROR(__xludf.DUMMYFUNCTION("""COMPUTED_VALUE"""),45983.94702172453)</f>
        <v>45983.94702</v>
      </c>
      <c r="C75" s="3" t="str">
        <f>IFERROR(__xludf.DUMMYFUNCTION("""COMPUTED_VALUE"""),"ชั้นปีที่ 3")</f>
        <v>ชั้นปีที่ 3</v>
      </c>
      <c r="D75" s="3" t="str">
        <f>IFERROR(__xludf.DUMMYFUNCTION("""COMPUTED_VALUE"""),"6603788")</f>
        <v>6603788</v>
      </c>
      <c r="E75" s="3" t="str">
        <f>IFERROR(__xludf.DUMMYFUNCTION("""COMPUTED_VALUE"""),"34")</f>
        <v>34</v>
      </c>
      <c r="F75" s="3" t="str">
        <f>IFERROR(__xludf.DUMMYFUNCTION("""COMPUTED_VALUE"""),"นพอ.ปาจีรนันท์ ปิงขุนทด")</f>
        <v>นพอ.ปาจีรนันท์ ปิงขุนทด</v>
      </c>
      <c r="G75" s="3" t="str">
        <f>IFERROR(__xludf.DUMMYFUNCTION("""COMPUTED_VALUE"""),"ช่วยเหลืองานภายใน วพอ.")</f>
        <v>ช่วยเหลืองานภายใน วพอ.</v>
      </c>
      <c r="H75" s="3" t="str">
        <f>IFERROR(__xludf.DUMMYFUNCTION("""COMPUTED_VALUE"""),"Buddy KAFNA ")</f>
        <v>Buddy KAFNA </v>
      </c>
      <c r="I75" s="3" t="str">
        <f>IFERROR(__xludf.DUMMYFUNCTION("""COMPUTED_VALUE"""),"วพอ.พอ.")</f>
        <v>วพอ.พอ.</v>
      </c>
      <c r="J75" s="12">
        <f>IFERROR(__xludf.DUMMYFUNCTION("""COMPUTED_VALUE"""),45950.0)</f>
        <v>45950</v>
      </c>
      <c r="K75" s="3" t="str">
        <f>IFERROR(__xludf.DUMMYFUNCTION("""COMPUTED_VALUE"""),"1800-2200")</f>
        <v>1800-2200</v>
      </c>
      <c r="L75" s="3">
        <f>IFERROR(__xludf.DUMMYFUNCTION("""COMPUTED_VALUE"""),4.0)</f>
        <v>4</v>
      </c>
      <c r="M75" s="3" t="str">
        <f>IFERROR(__xludf.DUMMYFUNCTION("""COMPUTED_VALUE"""),"น.ต.หญิง ประไพศรี ศุภางค์ภร")</f>
        <v>น.ต.หญิง ประไพศรี ศุภางค์ภร</v>
      </c>
      <c r="N75" s="14" t="str">
        <f>IFERROR(__xludf.DUMMYFUNCTION("""COMPUTED_VALUE"""),"https://lh5.googleusercontent.com/d/1CzJ7AqhU1V9uH13XkOsuyX1nFAumNiYQ")</f>
        <v>https://lh5.googleusercontent.com/d/1CzJ7AqhU1V9uH13XkOsuyX1nFAumNiYQ</v>
      </c>
      <c r="O75" s="14" t="str">
        <f>IFERROR(__xludf.DUMMYFUNCTION("""COMPUTED_VALUE"""),"https://drive.google.com/file/d/1bIzoQL5FzRCJxHeXY5abG6FBUchMxfeA/view?usp=drivesdk")</f>
        <v>https://drive.google.com/file/d/1bIzoQL5FzRCJxHeXY5abG6FBUchMxfeA/view?usp=drivesdk</v>
      </c>
    </row>
    <row r="76">
      <c r="A76" s="3">
        <f>IFERROR(__xludf.DUMMYFUNCTION("""COMPUTED_VALUE"""),193.0)</f>
        <v>193</v>
      </c>
      <c r="B76" s="11">
        <f>IFERROR(__xludf.DUMMYFUNCTION("""COMPUTED_VALUE"""),45983.949369050926)</f>
        <v>45983.94937</v>
      </c>
      <c r="C76" s="3" t="str">
        <f>IFERROR(__xludf.DUMMYFUNCTION("""COMPUTED_VALUE"""),"ชั้นปีที่ 3")</f>
        <v>ชั้นปีที่ 3</v>
      </c>
      <c r="D76" s="3" t="str">
        <f>IFERROR(__xludf.DUMMYFUNCTION("""COMPUTED_VALUE"""),"6603788")</f>
        <v>6603788</v>
      </c>
      <c r="E76" s="3" t="str">
        <f>IFERROR(__xludf.DUMMYFUNCTION("""COMPUTED_VALUE"""),"34")</f>
        <v>34</v>
      </c>
      <c r="F76" s="3" t="str">
        <f>IFERROR(__xludf.DUMMYFUNCTION("""COMPUTED_VALUE"""),"นพอ.ปาจีรนันท์ ปิงขุนทด")</f>
        <v>นพอ.ปาจีรนันท์ ปิงขุนทด</v>
      </c>
      <c r="G76" s="3" t="str">
        <f>IFERROR(__xludf.DUMMYFUNCTION("""COMPUTED_VALUE"""),"ช่วยเหลืองานภายใน วพอ.")</f>
        <v>ช่วยเหลืองานภายใน วพอ.</v>
      </c>
      <c r="H76" s="3" t="str">
        <f>IFERROR(__xludf.DUMMYFUNCTION("""COMPUTED_VALUE"""),"Buff KAFNA ")</f>
        <v>Buff KAFNA </v>
      </c>
      <c r="I76" s="3" t="str">
        <f>IFERROR(__xludf.DUMMYFUNCTION("""COMPUTED_VALUE"""),"วพอ.พอ.")</f>
        <v>วพอ.พอ.</v>
      </c>
      <c r="J76" s="12">
        <f>IFERROR(__xludf.DUMMYFUNCTION("""COMPUTED_VALUE"""),45951.0)</f>
        <v>45951</v>
      </c>
      <c r="K76" s="3" t="str">
        <f>IFERROR(__xludf.DUMMYFUNCTION("""COMPUTED_VALUE"""),"1800-2200")</f>
        <v>1800-2200</v>
      </c>
      <c r="L76" s="3">
        <f>IFERROR(__xludf.DUMMYFUNCTION("""COMPUTED_VALUE"""),4.0)</f>
        <v>4</v>
      </c>
      <c r="M76" s="3" t="str">
        <f>IFERROR(__xludf.DUMMYFUNCTION("""COMPUTED_VALUE"""),"น.ต.หญิง ประไพศรี ศุภางค์ภร")</f>
        <v>น.ต.หญิง ประไพศรี ศุภางค์ภร</v>
      </c>
      <c r="N76" s="14" t="str">
        <f>IFERROR(__xludf.DUMMYFUNCTION("""COMPUTED_VALUE"""),"https://lh5.googleusercontent.com/d/1Xvzy1vzetGcso43FkA1obvfCqt9R_LrS")</f>
        <v>https://lh5.googleusercontent.com/d/1Xvzy1vzetGcso43FkA1obvfCqt9R_LrS</v>
      </c>
      <c r="O76" s="14" t="str">
        <f>IFERROR(__xludf.DUMMYFUNCTION("""COMPUTED_VALUE"""),"https://drive.google.com/file/d/1Yps7taksV0mtRGx9AIjDnUoAqHthF87K/view?usp=drivesdk")</f>
        <v>https://drive.google.com/file/d/1Yps7taksV0mtRGx9AIjDnUoAqHthF87K/view?usp=drivesdk</v>
      </c>
    </row>
    <row r="77">
      <c r="A77" s="3">
        <f>IFERROR(__xludf.DUMMYFUNCTION("""COMPUTED_VALUE"""),194.0)</f>
        <v>194</v>
      </c>
      <c r="B77" s="11">
        <f>IFERROR(__xludf.DUMMYFUNCTION("""COMPUTED_VALUE"""),45983.95067032407)</f>
        <v>45983.95067</v>
      </c>
      <c r="C77" s="3" t="str">
        <f>IFERROR(__xludf.DUMMYFUNCTION("""COMPUTED_VALUE"""),"ชั้นปีที่ 3")</f>
        <v>ชั้นปีที่ 3</v>
      </c>
      <c r="D77" s="3" t="str">
        <f>IFERROR(__xludf.DUMMYFUNCTION("""COMPUTED_VALUE"""),"6603788")</f>
        <v>6603788</v>
      </c>
      <c r="E77" s="3" t="str">
        <f>IFERROR(__xludf.DUMMYFUNCTION("""COMPUTED_VALUE"""),"34")</f>
        <v>34</v>
      </c>
      <c r="F77" s="3" t="str">
        <f>IFERROR(__xludf.DUMMYFUNCTION("""COMPUTED_VALUE"""),"นพอ.ปาจีรนันท์ ปิงขุนทด")</f>
        <v>นพอ.ปาจีรนันท์ ปิงขุนทด</v>
      </c>
      <c r="G77" s="3" t="str">
        <f>IFERROR(__xludf.DUMMYFUNCTION("""COMPUTED_VALUE"""),"ช่วยเหลืองานภายใน วพอ.")</f>
        <v>ช่วยเหลืองานภายใน วพอ.</v>
      </c>
      <c r="H77" s="3" t="str">
        <f>IFERROR(__xludf.DUMMYFUNCTION("""COMPUTED_VALUE"""),"Buddy KAFNA ")</f>
        <v>Buddy KAFNA </v>
      </c>
      <c r="I77" s="3" t="str">
        <f>IFERROR(__xludf.DUMMYFUNCTION("""COMPUTED_VALUE"""),"วพอ.พอ.")</f>
        <v>วพอ.พอ.</v>
      </c>
      <c r="J77" s="12">
        <f>IFERROR(__xludf.DUMMYFUNCTION("""COMPUTED_VALUE"""),45952.0)</f>
        <v>45952</v>
      </c>
      <c r="K77" s="3" t="str">
        <f>IFERROR(__xludf.DUMMYFUNCTION("""COMPUTED_VALUE"""),"1800-2200")</f>
        <v>1800-2200</v>
      </c>
      <c r="L77" s="3">
        <f>IFERROR(__xludf.DUMMYFUNCTION("""COMPUTED_VALUE"""),4.0)</f>
        <v>4</v>
      </c>
      <c r="M77" s="3" t="str">
        <f>IFERROR(__xludf.DUMMYFUNCTION("""COMPUTED_VALUE"""),"น.ต.หญิง ประไพศรี ศุภางค์ภร")</f>
        <v>น.ต.หญิง ประไพศรี ศุภางค์ภร</v>
      </c>
      <c r="N77" s="14" t="str">
        <f>IFERROR(__xludf.DUMMYFUNCTION("""COMPUTED_VALUE"""),"https://lh5.googleusercontent.com/d/1y9-eVMml1IthSqMWQAhwQYOHqZjT6m5H")</f>
        <v>https://lh5.googleusercontent.com/d/1y9-eVMml1IthSqMWQAhwQYOHqZjT6m5H</v>
      </c>
      <c r="O77" s="14" t="str">
        <f>IFERROR(__xludf.DUMMYFUNCTION("""COMPUTED_VALUE"""),"https://drive.google.com/file/d/1FpEn821yI7YdvkTf-6lWmcP3RNkQ25s1/view?usp=drivesdk")</f>
        <v>https://drive.google.com/file/d/1FpEn821yI7YdvkTf-6lWmcP3RNkQ25s1/view?usp=drivesdk</v>
      </c>
    </row>
    <row r="78">
      <c r="A78" s="3">
        <f>IFERROR(__xludf.DUMMYFUNCTION("""COMPUTED_VALUE"""),195.0)</f>
        <v>195</v>
      </c>
      <c r="B78" s="11">
        <f>IFERROR(__xludf.DUMMYFUNCTION("""COMPUTED_VALUE"""),45983.9519248611)</f>
        <v>45983.95192</v>
      </c>
      <c r="C78" s="3" t="str">
        <f>IFERROR(__xludf.DUMMYFUNCTION("""COMPUTED_VALUE"""),"ชั้นปีที่ 3")</f>
        <v>ชั้นปีที่ 3</v>
      </c>
      <c r="D78" s="3" t="str">
        <f>IFERROR(__xludf.DUMMYFUNCTION("""COMPUTED_VALUE"""),"6603788")</f>
        <v>6603788</v>
      </c>
      <c r="E78" s="3" t="str">
        <f>IFERROR(__xludf.DUMMYFUNCTION("""COMPUTED_VALUE"""),"34")</f>
        <v>34</v>
      </c>
      <c r="F78" s="3" t="str">
        <f>IFERROR(__xludf.DUMMYFUNCTION("""COMPUTED_VALUE"""),"นพอ.ปาจีรนันท์ ปิงขุนทด")</f>
        <v>นพอ.ปาจีรนันท์ ปิงขุนทด</v>
      </c>
      <c r="G78" s="3" t="str">
        <f>IFERROR(__xludf.DUMMYFUNCTION("""COMPUTED_VALUE"""),"ช่วยเหลืองานภายใน วพอ.")</f>
        <v>ช่วยเหลืองานภายใน วพอ.</v>
      </c>
      <c r="H78" s="3" t="str">
        <f>IFERROR(__xludf.DUMMYFUNCTION("""COMPUTED_VALUE"""),"Buddy KAFNA ")</f>
        <v>Buddy KAFNA </v>
      </c>
      <c r="I78" s="3" t="str">
        <f>IFERROR(__xludf.DUMMYFUNCTION("""COMPUTED_VALUE"""),"วพอ.พอ.")</f>
        <v>วพอ.พอ.</v>
      </c>
      <c r="J78" s="12">
        <f>IFERROR(__xludf.DUMMYFUNCTION("""COMPUTED_VALUE"""),45953.0)</f>
        <v>45953</v>
      </c>
      <c r="K78" s="3" t="str">
        <f>IFERROR(__xludf.DUMMYFUNCTION("""COMPUTED_VALUE"""),"1800-2200")</f>
        <v>1800-2200</v>
      </c>
      <c r="L78" s="3">
        <f>IFERROR(__xludf.DUMMYFUNCTION("""COMPUTED_VALUE"""),4.0)</f>
        <v>4</v>
      </c>
      <c r="M78" s="3" t="str">
        <f>IFERROR(__xludf.DUMMYFUNCTION("""COMPUTED_VALUE"""),"น.ต.หญิง ประไพศรี ศุภางค์ภร")</f>
        <v>น.ต.หญิง ประไพศรี ศุภางค์ภร</v>
      </c>
      <c r="N78" s="14" t="str">
        <f>IFERROR(__xludf.DUMMYFUNCTION("""COMPUTED_VALUE"""),"https://lh5.googleusercontent.com/d/1WgmfLLnSvT7KnKaLQqMNMrm3566QhZUU")</f>
        <v>https://lh5.googleusercontent.com/d/1WgmfLLnSvT7KnKaLQqMNMrm3566QhZUU</v>
      </c>
      <c r="O78" s="14" t="str">
        <f>IFERROR(__xludf.DUMMYFUNCTION("""COMPUTED_VALUE"""),"https://drive.google.com/file/d/1WFN5hIw3JgqQ4ammFga4EaW5uflAVKoc/view?usp=drivesdk")</f>
        <v>https://drive.google.com/file/d/1WFN5hIw3JgqQ4ammFga4EaW5uflAVKoc/view?usp=drivesdk</v>
      </c>
    </row>
    <row r="79">
      <c r="A79" s="3">
        <f>IFERROR(__xludf.DUMMYFUNCTION("""COMPUTED_VALUE"""),196.0)</f>
        <v>196</v>
      </c>
      <c r="B79" s="11">
        <f>IFERROR(__xludf.DUMMYFUNCTION("""COMPUTED_VALUE"""),45983.95321674768)</f>
        <v>45983.95322</v>
      </c>
      <c r="C79" s="3" t="str">
        <f>IFERROR(__xludf.DUMMYFUNCTION("""COMPUTED_VALUE"""),"ชั้นปีที่ 3")</f>
        <v>ชั้นปีที่ 3</v>
      </c>
      <c r="D79" s="3" t="str">
        <f>IFERROR(__xludf.DUMMYFUNCTION("""COMPUTED_VALUE"""),"6603788")</f>
        <v>6603788</v>
      </c>
      <c r="E79" s="3" t="str">
        <f>IFERROR(__xludf.DUMMYFUNCTION("""COMPUTED_VALUE"""),"34")</f>
        <v>34</v>
      </c>
      <c r="F79" s="3" t="str">
        <f>IFERROR(__xludf.DUMMYFUNCTION("""COMPUTED_VALUE"""),"นพอ.ปาจีรนันท์ ปิงขุนทด")</f>
        <v>นพอ.ปาจีรนันท์ ปิงขุนทด</v>
      </c>
      <c r="G79" s="3" t="str">
        <f>IFERROR(__xludf.DUMMYFUNCTION("""COMPUTED_VALUE"""),"ช่วยเหลืองานภายใน วพอ.")</f>
        <v>ช่วยเหลืองานภายใน วพอ.</v>
      </c>
      <c r="H79" s="3" t="str">
        <f>IFERROR(__xludf.DUMMYFUNCTION("""COMPUTED_VALUE"""),"Buddy KAFNA ")</f>
        <v>Buddy KAFNA </v>
      </c>
      <c r="I79" s="3" t="str">
        <f>IFERROR(__xludf.DUMMYFUNCTION("""COMPUTED_VALUE"""),"วพอ.พอ.")</f>
        <v>วพอ.พอ.</v>
      </c>
      <c r="J79" s="12">
        <f>IFERROR(__xludf.DUMMYFUNCTION("""COMPUTED_VALUE"""),45954.0)</f>
        <v>45954</v>
      </c>
      <c r="K79" s="3" t="str">
        <f>IFERROR(__xludf.DUMMYFUNCTION("""COMPUTED_VALUE"""),"1300-1700")</f>
        <v>1300-1700</v>
      </c>
      <c r="L79" s="3">
        <f>IFERROR(__xludf.DUMMYFUNCTION("""COMPUTED_VALUE"""),4.0)</f>
        <v>4</v>
      </c>
      <c r="M79" s="3" t="str">
        <f>IFERROR(__xludf.DUMMYFUNCTION("""COMPUTED_VALUE"""),"น.ต.หญิง ประไพศรี ศุภางค์ภร")</f>
        <v>น.ต.หญิง ประไพศรี ศุภางค์ภร</v>
      </c>
      <c r="N79" s="14" t="str">
        <f>IFERROR(__xludf.DUMMYFUNCTION("""COMPUTED_VALUE"""),"https://lh5.googleusercontent.com/d/17FLJCYVVFh8m1bQKgNKltlkJrlFu-11A")</f>
        <v>https://lh5.googleusercontent.com/d/17FLJCYVVFh8m1bQKgNKltlkJrlFu-11A</v>
      </c>
      <c r="O79" s="14" t="str">
        <f>IFERROR(__xludf.DUMMYFUNCTION("""COMPUTED_VALUE"""),"https://drive.google.com/file/d/1enVTCdyfqTOtolpalTdTDeDZmXTeqMjs/view?usp=drivesdk")</f>
        <v>https://drive.google.com/file/d/1enVTCdyfqTOtolpalTdTDeDZmXTeqMjs/view?usp=drivesdk</v>
      </c>
    </row>
    <row r="80">
      <c r="A80" s="3">
        <f>IFERROR(__xludf.DUMMYFUNCTION("""COMPUTED_VALUE"""),197.0)</f>
        <v>197</v>
      </c>
      <c r="B80" s="11">
        <f>IFERROR(__xludf.DUMMYFUNCTION("""COMPUTED_VALUE"""),45984.480534918985)</f>
        <v>45984.48053</v>
      </c>
      <c r="C80" s="3" t="str">
        <f>IFERROR(__xludf.DUMMYFUNCTION("""COMPUTED_VALUE"""),"ชั้นปีที่ 3")</f>
        <v>ชั้นปีที่ 3</v>
      </c>
      <c r="D80" s="3" t="str">
        <f>IFERROR(__xludf.DUMMYFUNCTION("""COMPUTED_VALUE"""),"6603803")</f>
        <v>6603803</v>
      </c>
      <c r="E80" s="3" t="str">
        <f>IFERROR(__xludf.DUMMYFUNCTION("""COMPUTED_VALUE"""),"49")</f>
        <v>49</v>
      </c>
      <c r="F80" s="3" t="str">
        <f>IFERROR(__xludf.DUMMYFUNCTION("""COMPUTED_VALUE"""),"นพอ.ศิริพร คล้ายแก้ว")</f>
        <v>นพอ.ศิริพร คล้ายแก้ว</v>
      </c>
      <c r="G80" s="3" t="str">
        <f>IFERROR(__xludf.DUMMYFUNCTION("""COMPUTED_VALUE"""),"ช่วยเหลืองานภายใน วพอ.")</f>
        <v>ช่วยเหลืองานภายใน วพอ.</v>
      </c>
      <c r="H80" s="3" t="str">
        <f>IFERROR(__xludf.DUMMYFUNCTION("""COMPUTED_VALUE"""),"Buddy นักเรียนพยาบาลเกาหลี")</f>
        <v>Buddy นักเรียนพยาบาลเกาหลี</v>
      </c>
      <c r="I80" s="3" t="str">
        <f>IFERROR(__xludf.DUMMYFUNCTION("""COMPUTED_VALUE"""),"วพอ.พอ.")</f>
        <v>วพอ.พอ.</v>
      </c>
      <c r="J80" s="12">
        <f>IFERROR(__xludf.DUMMYFUNCTION("""COMPUTED_VALUE"""),45954.0)</f>
        <v>45954</v>
      </c>
      <c r="K80" s="3" t="str">
        <f>IFERROR(__xludf.DUMMYFUNCTION("""COMPUTED_VALUE"""),"1300-1700")</f>
        <v>1300-1700</v>
      </c>
      <c r="L80" s="3">
        <f>IFERROR(__xludf.DUMMYFUNCTION("""COMPUTED_VALUE"""),4.0)</f>
        <v>4</v>
      </c>
      <c r="M80" s="3" t="str">
        <f>IFERROR(__xludf.DUMMYFUNCTION("""COMPUTED_VALUE"""),"น.ต.หญิง ประไพศรี ศุภางค์ภร")</f>
        <v>น.ต.หญิง ประไพศรี ศุภางค์ภร</v>
      </c>
      <c r="N80" s="14" t="str">
        <f>IFERROR(__xludf.DUMMYFUNCTION("""COMPUTED_VALUE"""),"https://lh5.googleusercontent.com/d/1sIFYxmf-LGBJN8-k5aT3swLTnmatPG_J")</f>
        <v>https://lh5.googleusercontent.com/d/1sIFYxmf-LGBJN8-k5aT3swLTnmatPG_J</v>
      </c>
      <c r="O80" s="14" t="str">
        <f>IFERROR(__xludf.DUMMYFUNCTION("""COMPUTED_VALUE"""),"https://drive.google.com/file/d/18NpDj9Iu0ivKQ0s01Hpv4J8o0n2dVR5U/view?usp=drivesdk")</f>
        <v>https://drive.google.com/file/d/18NpDj9Iu0ivKQ0s01Hpv4J8o0n2dVR5U/view?usp=drivesdk</v>
      </c>
    </row>
    <row r="81">
      <c r="A81" s="3">
        <f>IFERROR(__xludf.DUMMYFUNCTION("""COMPUTED_VALUE"""),198.0)</f>
        <v>198</v>
      </c>
      <c r="B81" s="11">
        <f>IFERROR(__xludf.DUMMYFUNCTION("""COMPUTED_VALUE"""),45984.50096326389)</f>
        <v>45984.50096</v>
      </c>
      <c r="C81" s="3" t="str">
        <f>IFERROR(__xludf.DUMMYFUNCTION("""COMPUTED_VALUE"""),"ชั้นปีที่ 3")</f>
        <v>ชั้นปีที่ 3</v>
      </c>
      <c r="D81" s="3" t="str">
        <f>IFERROR(__xludf.DUMMYFUNCTION("""COMPUTED_VALUE"""),"6603777")</f>
        <v>6603777</v>
      </c>
      <c r="E81" s="3" t="str">
        <f>IFERROR(__xludf.DUMMYFUNCTION("""COMPUTED_VALUE"""),"23")</f>
        <v>23</v>
      </c>
      <c r="F81" s="3" t="str">
        <f>IFERROR(__xludf.DUMMYFUNCTION("""COMPUTED_VALUE"""),"นพอ.นัชธิดา ไกรทองสุข")</f>
        <v>นพอ.นัชธิดา ไกรทองสุข</v>
      </c>
      <c r="G8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1" s="3" t="str">
        <f>IFERROR(__xludf.DUMMYFUNCTION("""COMPUTED_VALUE"""),"ค่ายแพทย์อาสา หมอเดินดอย-อมก๋อย เดินเท้าเข้าหมู่บ้าน ")</f>
        <v>ค่ายแพทย์อาสา หมอเดินดอย-อมก๋อย เดินเท้าเข้าหมู่บ้าน </v>
      </c>
      <c r="I81" s="3" t="str">
        <f>IFERROR(__xludf.DUMMYFUNCTION("""COMPUTED_VALUE"""),"นาเกวียน อ.อมก๋อย จ.เชียงใหม่")</f>
        <v>นาเกวียน อ.อมก๋อย จ.เชียงใหม่</v>
      </c>
      <c r="J81" s="12">
        <f>IFERROR(__xludf.DUMMYFUNCTION("""COMPUTED_VALUE"""),45941.0)</f>
        <v>45941</v>
      </c>
      <c r="K81" s="3" t="str">
        <f>IFERROR(__xludf.DUMMYFUNCTION("""COMPUTED_VALUE"""),"0800-1200")</f>
        <v>0800-1200</v>
      </c>
      <c r="L81" s="3">
        <f>IFERROR(__xludf.DUMMYFUNCTION("""COMPUTED_VALUE"""),4.0)</f>
        <v>4</v>
      </c>
      <c r="M81" s="3" t="str">
        <f>IFERROR(__xludf.DUMMYFUNCTION("""COMPUTED_VALUE"""),"น.ส.สุนันทา คีรีรักษ์")</f>
        <v>น.ส.สุนันทา คีรีรักษ์</v>
      </c>
      <c r="N81" s="14" t="str">
        <f>IFERROR(__xludf.DUMMYFUNCTION("""COMPUTED_VALUE"""),"https://lh5.googleusercontent.com/d/1zM4fK3GT2SqS8YgRlJh1GMhz09iRx0E4")</f>
        <v>https://lh5.googleusercontent.com/d/1zM4fK3GT2SqS8YgRlJh1GMhz09iRx0E4</v>
      </c>
      <c r="O81" s="14" t="str">
        <f>IFERROR(__xludf.DUMMYFUNCTION("""COMPUTED_VALUE"""),"https://drive.google.com/file/d/1fltoHuCyi8xWRgckVWAeT0MnyUb-Dhxt/view?usp=drivesdk")</f>
        <v>https://drive.google.com/file/d/1fltoHuCyi8xWRgckVWAeT0MnyUb-Dhxt/view?usp=drivesdk</v>
      </c>
    </row>
    <row r="82">
      <c r="A82" s="3">
        <f>IFERROR(__xludf.DUMMYFUNCTION("""COMPUTED_VALUE"""),199.0)</f>
        <v>199</v>
      </c>
      <c r="B82" s="11">
        <f>IFERROR(__xludf.DUMMYFUNCTION("""COMPUTED_VALUE"""),45984.50800607639)</f>
        <v>45984.50801</v>
      </c>
      <c r="C82" s="3" t="str">
        <f>IFERROR(__xludf.DUMMYFUNCTION("""COMPUTED_VALUE"""),"ชั้นปีที่ 3")</f>
        <v>ชั้นปีที่ 3</v>
      </c>
      <c r="D82" s="3" t="str">
        <f>IFERROR(__xludf.DUMMYFUNCTION("""COMPUTED_VALUE"""),"6603777")</f>
        <v>6603777</v>
      </c>
      <c r="E82" s="3" t="str">
        <f>IFERROR(__xludf.DUMMYFUNCTION("""COMPUTED_VALUE"""),"23")</f>
        <v>23</v>
      </c>
      <c r="F82" s="3" t="str">
        <f>IFERROR(__xludf.DUMMYFUNCTION("""COMPUTED_VALUE"""),"นพอ.นัชธิดา ไกรทองสุข")</f>
        <v>นพอ.นัชธิดา ไกรทองสุข</v>
      </c>
      <c r="G8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2" s="3" t="str">
        <f>IFERROR(__xludf.DUMMYFUNCTION("""COMPUTED_VALUE"""),"ค่ายแพทย์อาสา หมอเดินดอย-อมก๋อย เดินเท้าเข้าหมู่บ้าน ")</f>
        <v>ค่ายแพทย์อาสา หมอเดินดอย-อมก๋อย เดินเท้าเข้าหมู่บ้าน </v>
      </c>
      <c r="I82" s="3" t="str">
        <f>IFERROR(__xludf.DUMMYFUNCTION("""COMPUTED_VALUE"""),"นาเกวียน อ.อมก๋อย จ.เชียงใหม่")</f>
        <v>นาเกวียน อ.อมก๋อย จ.เชียงใหม่</v>
      </c>
      <c r="J82" s="12">
        <f>IFERROR(__xludf.DUMMYFUNCTION("""COMPUTED_VALUE"""),45942.0)</f>
        <v>45942</v>
      </c>
      <c r="K82" s="3" t="str">
        <f>IFERROR(__xludf.DUMMYFUNCTION("""COMPUTED_VALUE"""),"0800-1200")</f>
        <v>0800-1200</v>
      </c>
      <c r="L82" s="3">
        <f>IFERROR(__xludf.DUMMYFUNCTION("""COMPUTED_VALUE"""),4.0)</f>
        <v>4</v>
      </c>
      <c r="M82" s="3" t="str">
        <f>IFERROR(__xludf.DUMMYFUNCTION("""COMPUTED_VALUE"""),"น.ส.สุนันทา คีรีรักษ์")</f>
        <v>น.ส.สุนันทา คีรีรักษ์</v>
      </c>
      <c r="N82" s="14" t="str">
        <f>IFERROR(__xludf.DUMMYFUNCTION("""COMPUTED_VALUE"""),"https://lh5.googleusercontent.com/d/1XgpsxvnNkoHMicdqr_GWeMwRunGSnXQ_")</f>
        <v>https://lh5.googleusercontent.com/d/1XgpsxvnNkoHMicdqr_GWeMwRunGSnXQ_</v>
      </c>
      <c r="O82" s="14" t="str">
        <f>IFERROR(__xludf.DUMMYFUNCTION("""COMPUTED_VALUE"""),"https://drive.google.com/file/d/1_TxGMZhNRmXAB9vjgao8SPuwTQphy7QI/view?usp=drivesdk")</f>
        <v>https://drive.google.com/file/d/1_TxGMZhNRmXAB9vjgao8SPuwTQphy7QI/view?usp=drivesdk</v>
      </c>
    </row>
    <row r="83">
      <c r="A83" s="3">
        <f>IFERROR(__xludf.DUMMYFUNCTION("""COMPUTED_VALUE"""),201.0)</f>
        <v>201</v>
      </c>
      <c r="B83" s="11">
        <f>IFERROR(__xludf.DUMMYFUNCTION("""COMPUTED_VALUE"""),45984.52077326389)</f>
        <v>45984.52077</v>
      </c>
      <c r="C83" s="3" t="str">
        <f>IFERROR(__xludf.DUMMYFUNCTION("""COMPUTED_VALUE"""),"ชั้นปีที่ 3")</f>
        <v>ชั้นปีที่ 3</v>
      </c>
      <c r="D83" s="3" t="str">
        <f>IFERROR(__xludf.DUMMYFUNCTION("""COMPUTED_VALUE"""),"6603777")</f>
        <v>6603777</v>
      </c>
      <c r="E83" s="3" t="str">
        <f>IFERROR(__xludf.DUMMYFUNCTION("""COMPUTED_VALUE"""),"23")</f>
        <v>23</v>
      </c>
      <c r="F83" s="3" t="str">
        <f>IFERROR(__xludf.DUMMYFUNCTION("""COMPUTED_VALUE"""),"นพอ.นัชธิดา ไกรทองสุข")</f>
        <v>นพอ.นัชธิดา ไกรทองสุข</v>
      </c>
      <c r="G83" s="3" t="str">
        <f>IFERROR(__xludf.DUMMYFUNCTION("""COMPUTED_VALUE"""),"ทำนุบำรุงศาสนสถาน")</f>
        <v>ทำนุบำรุงศาสนสถาน</v>
      </c>
      <c r="H83" s="3" t="str">
        <f>IFERROR(__xludf.DUMMYFUNCTION("""COMPUTED_VALUE"""),"กวาดลานวัด")</f>
        <v>กวาดลานวัด</v>
      </c>
      <c r="I83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83" s="12">
        <f>IFERROR(__xludf.DUMMYFUNCTION("""COMPUTED_VALUE"""),45983.0)</f>
        <v>45983</v>
      </c>
      <c r="K83" s="3" t="str">
        <f>IFERROR(__xludf.DUMMYFUNCTION("""COMPUTED_VALUE"""),"1300-1500")</f>
        <v>1300-1500</v>
      </c>
      <c r="L83" s="3">
        <f>IFERROR(__xludf.DUMMYFUNCTION("""COMPUTED_VALUE"""),2.0)</f>
        <v>2</v>
      </c>
      <c r="M83" s="3" t="str">
        <f>IFERROR(__xludf.DUMMYFUNCTION("""COMPUTED_VALUE"""),"พระประจำวัดพระศรีมหาธาตุวรมหาวิหาร")</f>
        <v>พระประจำวัดพระศรีมหาธาตุวรมหาวิหาร</v>
      </c>
      <c r="N83" s="14" t="str">
        <f>IFERROR(__xludf.DUMMYFUNCTION("""COMPUTED_VALUE"""),"https://lh5.googleusercontent.com/d/1SpVdE8Uml6QlwA3j6cj5ZFMcNlr40Ghr")</f>
        <v>https://lh5.googleusercontent.com/d/1SpVdE8Uml6QlwA3j6cj5ZFMcNlr40Ghr</v>
      </c>
      <c r="O83" s="14" t="str">
        <f>IFERROR(__xludf.DUMMYFUNCTION("""COMPUTED_VALUE"""),"https://drive.google.com/file/d/1fJyMWGXMBGuQfUwrUx0Zw_H0VGd6PK9_/view?usp=drivesdk")</f>
        <v>https://drive.google.com/file/d/1fJyMWGXMBGuQfUwrUx0Zw_H0VGd6PK9_/view?usp=drivesdk</v>
      </c>
    </row>
    <row r="84">
      <c r="A84" s="3">
        <f>IFERROR(__xludf.DUMMYFUNCTION("""COMPUTED_VALUE"""),202.0)</f>
        <v>202</v>
      </c>
      <c r="B84" s="11">
        <f>IFERROR(__xludf.DUMMYFUNCTION("""COMPUTED_VALUE"""),45984.601239247684)</f>
        <v>45984.60124</v>
      </c>
      <c r="C84" s="3" t="str">
        <f>IFERROR(__xludf.DUMMYFUNCTION("""COMPUTED_VALUE"""),"ชั้นปีที่ 3")</f>
        <v>ชั้นปีที่ 3</v>
      </c>
      <c r="D84" s="3" t="str">
        <f>IFERROR(__xludf.DUMMYFUNCTION("""COMPUTED_VALUE"""),"6603787")</f>
        <v>6603787</v>
      </c>
      <c r="E84" s="3" t="str">
        <f>IFERROR(__xludf.DUMMYFUNCTION("""COMPUTED_VALUE"""),"33")</f>
        <v>33</v>
      </c>
      <c r="F84" s="3" t="str">
        <f>IFERROR(__xludf.DUMMYFUNCTION("""COMPUTED_VALUE"""),"นพอ.ปรียาภรณ์ ทองอำพันธ์")</f>
        <v>นพอ.ปรียาภรณ์ ทองอำพันธ์</v>
      </c>
      <c r="G8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4" s="3" t="str">
        <f>IFERROR(__xludf.DUMMYFUNCTION("""COMPUTED_VALUE"""),"โครงการบริการวิชาการแก่สังคมชุมชนวัดเกาะ")</f>
        <v>โครงการบริการวิชาการแก่สังคมชุมชนวัดเกาะ</v>
      </c>
      <c r="I84" s="3" t="str">
        <f>IFERROR(__xludf.DUMMYFUNCTION("""COMPUTED_VALUE"""),"ชุมชนวัดเกาะ")</f>
        <v>ชุมชนวัดเกาะ</v>
      </c>
      <c r="J84" s="12">
        <f>IFERROR(__xludf.DUMMYFUNCTION("""COMPUTED_VALUE"""),45823.0)</f>
        <v>45823</v>
      </c>
      <c r="K84" s="3" t="str">
        <f>IFERROR(__xludf.DUMMYFUNCTION("""COMPUTED_VALUE"""),"0800-1200")</f>
        <v>0800-1200</v>
      </c>
      <c r="L84" s="3">
        <f>IFERROR(__xludf.DUMMYFUNCTION("""COMPUTED_VALUE"""),4.0)</f>
        <v>4</v>
      </c>
      <c r="M84" s="3" t="str">
        <f>IFERROR(__xludf.DUMMYFUNCTION("""COMPUTED_VALUE"""),"น.ต.หญิง ตวงทิพย์ ลดาวัลย์")</f>
        <v>น.ต.หญิง ตวงทิพย์ ลดาวัลย์</v>
      </c>
      <c r="N84" s="14" t="str">
        <f>IFERROR(__xludf.DUMMYFUNCTION("""COMPUTED_VALUE"""),"https://lh5.googleusercontent.com/d/1HIUR9MnNKLZJi3FkKCfoo1HRxXWoMlWu")</f>
        <v>https://lh5.googleusercontent.com/d/1HIUR9MnNKLZJi3FkKCfoo1HRxXWoMlWu</v>
      </c>
      <c r="O84" s="14" t="str">
        <f>IFERROR(__xludf.DUMMYFUNCTION("""COMPUTED_VALUE"""),"https://drive.google.com/file/d/1h7sCz-DyvKeRwqUfbGF8LxYv736dkTvY/view?usp=drivesdk")</f>
        <v>https://drive.google.com/file/d/1h7sCz-DyvKeRwqUfbGF8LxYv736dkTvY/view?usp=drivesdk</v>
      </c>
    </row>
    <row r="85">
      <c r="A85" s="3">
        <f>IFERROR(__xludf.DUMMYFUNCTION("""COMPUTED_VALUE"""),203.0)</f>
        <v>203</v>
      </c>
      <c r="B85" s="11">
        <f>IFERROR(__xludf.DUMMYFUNCTION("""COMPUTED_VALUE"""),45984.60551818287)</f>
        <v>45984.60552</v>
      </c>
      <c r="C85" s="3" t="str">
        <f>IFERROR(__xludf.DUMMYFUNCTION("""COMPUTED_VALUE"""),"ชั้นปีที่ 3")</f>
        <v>ชั้นปีที่ 3</v>
      </c>
      <c r="D85" s="3" t="str">
        <f>IFERROR(__xludf.DUMMYFUNCTION("""COMPUTED_VALUE"""),"6603787")</f>
        <v>6603787</v>
      </c>
      <c r="E85" s="3" t="str">
        <f>IFERROR(__xludf.DUMMYFUNCTION("""COMPUTED_VALUE"""),"33")</f>
        <v>33</v>
      </c>
      <c r="F85" s="3" t="str">
        <f>IFERROR(__xludf.DUMMYFUNCTION("""COMPUTED_VALUE"""),"นพอ.ปรียาภรณ์ ทองอำพันธ์")</f>
        <v>นพอ.ปรียาภรณ์ ทองอำพันธ์</v>
      </c>
      <c r="G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85" s="3" t="str">
        <f>IFERROR(__xludf.DUMMYFUNCTION("""COMPUTED_VALUE"""),"ดุริยางค์ทหารอากาศ")</f>
        <v>ดุริยางค์ทหารอากาศ</v>
      </c>
      <c r="J85" s="12">
        <f>IFERROR(__xludf.DUMMYFUNCTION("""COMPUTED_VALUE"""),45825.0)</f>
        <v>45825</v>
      </c>
      <c r="K85" s="3" t="str">
        <f>IFERROR(__xludf.DUMMYFUNCTION("""COMPUTED_VALUE"""),"0800-1600")</f>
        <v>0800-1600</v>
      </c>
      <c r="L85" s="3">
        <f>IFERROR(__xludf.DUMMYFUNCTION("""COMPUTED_VALUE"""),8.0)</f>
        <v>8</v>
      </c>
      <c r="M85" s="3" t="str">
        <f>IFERROR(__xludf.DUMMYFUNCTION("""COMPUTED_VALUE"""),"ร.อ.อนุชิต ทำจะดี")</f>
        <v>ร.อ.อนุชิต ทำจะดี</v>
      </c>
      <c r="N85" s="14" t="str">
        <f>IFERROR(__xludf.DUMMYFUNCTION("""COMPUTED_VALUE"""),"https://lh5.googleusercontent.com/d/1CmTOHms1shMOdRRpaHJUmaXkjtKhGBx4")</f>
        <v>https://lh5.googleusercontent.com/d/1CmTOHms1shMOdRRpaHJUmaXkjtKhGBx4</v>
      </c>
      <c r="O85" s="14" t="str">
        <f>IFERROR(__xludf.DUMMYFUNCTION("""COMPUTED_VALUE"""),"https://drive.google.com/file/d/1l8xW7Zh3lOaHg4grhx3jUFDGaqZF7h40/view?usp=drivesdk")</f>
        <v>https://drive.google.com/file/d/1l8xW7Zh3lOaHg4grhx3jUFDGaqZF7h40/view?usp=drivesdk</v>
      </c>
    </row>
    <row r="86">
      <c r="A86" s="3">
        <f>IFERROR(__xludf.DUMMYFUNCTION("""COMPUTED_VALUE"""),204.0)</f>
        <v>204</v>
      </c>
      <c r="B86" s="11">
        <f>IFERROR(__xludf.DUMMYFUNCTION("""COMPUTED_VALUE"""),45984.60903359953)</f>
        <v>45984.60903</v>
      </c>
      <c r="C86" s="3" t="str">
        <f>IFERROR(__xludf.DUMMYFUNCTION("""COMPUTED_VALUE"""),"ชั้นปีที่ 3")</f>
        <v>ชั้นปีที่ 3</v>
      </c>
      <c r="D86" s="3" t="str">
        <f>IFERROR(__xludf.DUMMYFUNCTION("""COMPUTED_VALUE"""),"6603787")</f>
        <v>6603787</v>
      </c>
      <c r="E86" s="3" t="str">
        <f>IFERROR(__xludf.DUMMYFUNCTION("""COMPUTED_VALUE"""),"33")</f>
        <v>33</v>
      </c>
      <c r="F86" s="3" t="str">
        <f>IFERROR(__xludf.DUMMYFUNCTION("""COMPUTED_VALUE"""),"นพอ.ปรียาภรณ์ ทองอำพันธ์")</f>
        <v>นพอ.ปรียาภรณ์ ทองอำพันธ์</v>
      </c>
      <c r="G8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6" s="3" t="str">
        <f>IFERROR(__xludf.DUMMYFUNCTION("""COMPUTED_VALUE"""),"คอนเสิร์ตทัพฟ้าคู่ไทยเพื่อ“ชัยพัมนา”ครั้งที่ 16")</f>
        <v>คอนเสิร์ตทัพฟ้าคู่ไทยเพื่อ“ชัยพัมนา”ครั้งที่ 16</v>
      </c>
      <c r="I8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86" s="12">
        <f>IFERROR(__xludf.DUMMYFUNCTION("""COMPUTED_VALUE"""),45839.0)</f>
        <v>45839</v>
      </c>
      <c r="K86" s="3" t="str">
        <f>IFERROR(__xludf.DUMMYFUNCTION("""COMPUTED_VALUE"""),"1400-2200")</f>
        <v>1400-2200</v>
      </c>
      <c r="L86" s="3">
        <f>IFERROR(__xludf.DUMMYFUNCTION("""COMPUTED_VALUE"""),8.0)</f>
        <v>8</v>
      </c>
      <c r="M86" s="3" t="str">
        <f>IFERROR(__xludf.DUMMYFUNCTION("""COMPUTED_VALUE"""),"ร.อ.อนุชิต ทำจะดี")</f>
        <v>ร.อ.อนุชิต ทำจะดี</v>
      </c>
      <c r="N86" s="14" t="str">
        <f>IFERROR(__xludf.DUMMYFUNCTION("""COMPUTED_VALUE"""),"https://lh5.googleusercontent.com/d/1Hp3dJ4p3onz7RnPcAWxCMrVFQxgFovA5")</f>
        <v>https://lh5.googleusercontent.com/d/1Hp3dJ4p3onz7RnPcAWxCMrVFQxgFovA5</v>
      </c>
      <c r="O86" s="14" t="str">
        <f>IFERROR(__xludf.DUMMYFUNCTION("""COMPUTED_VALUE"""),"https://drive.google.com/file/d/14hNLjR03iuSk3unuSLEETzunbb3DPZq6/view?usp=drivesdk")</f>
        <v>https://drive.google.com/file/d/14hNLjR03iuSk3unuSLEETzunbb3DPZq6/view?usp=drivesdk</v>
      </c>
    </row>
    <row r="87">
      <c r="A87" s="3">
        <f>IFERROR(__xludf.DUMMYFUNCTION("""COMPUTED_VALUE"""),205.0)</f>
        <v>205</v>
      </c>
      <c r="B87" s="11">
        <f>IFERROR(__xludf.DUMMYFUNCTION("""COMPUTED_VALUE"""),45984.61041114583)</f>
        <v>45984.61041</v>
      </c>
      <c r="C87" s="3" t="str">
        <f>IFERROR(__xludf.DUMMYFUNCTION("""COMPUTED_VALUE"""),"ชั้นปีที่ 3")</f>
        <v>ชั้นปีที่ 3</v>
      </c>
      <c r="D87" s="3" t="str">
        <f>IFERROR(__xludf.DUMMYFUNCTION("""COMPUTED_VALUE"""),"6603787")</f>
        <v>6603787</v>
      </c>
      <c r="E87" s="3" t="str">
        <f>IFERROR(__xludf.DUMMYFUNCTION("""COMPUTED_VALUE"""),"33")</f>
        <v>33</v>
      </c>
      <c r="F87" s="3" t="str">
        <f>IFERROR(__xludf.DUMMYFUNCTION("""COMPUTED_VALUE"""),"นพอ.ปรียาภรณ์ ทองอำพันธ์")</f>
        <v>นพอ.ปรียาภรณ์ ทองอำพันธ์</v>
      </c>
      <c r="G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7" s="3" t="str">
        <f>IFERROR(__xludf.DUMMYFUNCTION("""COMPUTED_VALUE"""),"คอนเสิร์ตทัพฟ้าคู่ไทยเพื่อ“ชัยพัมนา”ครั้งที่ 16")</f>
        <v>คอนเสิร์ตทัพฟ้าคู่ไทยเพื่อ“ชัยพัมนา”ครั้งที่ 16</v>
      </c>
      <c r="I8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87" s="12">
        <f>IFERROR(__xludf.DUMMYFUNCTION("""COMPUTED_VALUE"""),45840.0)</f>
        <v>45840</v>
      </c>
      <c r="K87" s="3" t="str">
        <f>IFERROR(__xludf.DUMMYFUNCTION("""COMPUTED_VALUE"""),"1400-2200")</f>
        <v>1400-2200</v>
      </c>
      <c r="L87" s="3">
        <f>IFERROR(__xludf.DUMMYFUNCTION("""COMPUTED_VALUE"""),8.0)</f>
        <v>8</v>
      </c>
      <c r="M87" s="3" t="str">
        <f>IFERROR(__xludf.DUMMYFUNCTION("""COMPUTED_VALUE"""),"ร.อ.อนุชิต ทำจะดี")</f>
        <v>ร.อ.อนุชิต ทำจะดี</v>
      </c>
      <c r="N87" s="14" t="str">
        <f>IFERROR(__xludf.DUMMYFUNCTION("""COMPUTED_VALUE"""),"https://lh5.googleusercontent.com/d/1_GkTFWmESvn_c1NqOTHJPog4MavHnUcw")</f>
        <v>https://lh5.googleusercontent.com/d/1_GkTFWmESvn_c1NqOTHJPog4MavHnUcw</v>
      </c>
      <c r="O87" s="14" t="str">
        <f>IFERROR(__xludf.DUMMYFUNCTION("""COMPUTED_VALUE"""),"https://drive.google.com/file/d/1IxxyEk0YZSzWLqw-8nZaAqax_EImpNyr/view?usp=drivesdk")</f>
        <v>https://drive.google.com/file/d/1IxxyEk0YZSzWLqw-8nZaAqax_EImpNyr/view?usp=drivesdk</v>
      </c>
    </row>
    <row r="88">
      <c r="A88" s="3">
        <f>IFERROR(__xludf.DUMMYFUNCTION("""COMPUTED_VALUE"""),206.0)</f>
        <v>206</v>
      </c>
      <c r="B88" s="11">
        <f>IFERROR(__xludf.DUMMYFUNCTION("""COMPUTED_VALUE"""),45984.61358041667)</f>
        <v>45984.61358</v>
      </c>
      <c r="C88" s="3" t="str">
        <f>IFERROR(__xludf.DUMMYFUNCTION("""COMPUTED_VALUE"""),"ชั้นปีที่ 3")</f>
        <v>ชั้นปีที่ 3</v>
      </c>
      <c r="D88" s="3" t="str">
        <f>IFERROR(__xludf.DUMMYFUNCTION("""COMPUTED_VALUE"""),"6603787")</f>
        <v>6603787</v>
      </c>
      <c r="E88" s="3" t="str">
        <f>IFERROR(__xludf.DUMMYFUNCTION("""COMPUTED_VALUE"""),"33")</f>
        <v>33</v>
      </c>
      <c r="F88" s="3" t="str">
        <f>IFERROR(__xludf.DUMMYFUNCTION("""COMPUTED_VALUE"""),"นพอ.ปรียาภรณ์ ทองอำพันธ์")</f>
        <v>นพอ.ปรียาภรณ์ ทองอำพันธ์</v>
      </c>
      <c r="G8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8" s="3" t="str">
        <f>IFERROR(__xludf.DUMMYFUNCTION("""COMPUTED_VALUE"""),"รับเสด็จฯเนื่องในงานรับปริญญา นพอ.64")</f>
        <v>รับเสด็จฯเนื่องในงานรับปริญญา นพอ.64</v>
      </c>
      <c r="I88" s="3" t="str">
        <f>IFERROR(__xludf.DUMMYFUNCTION("""COMPUTED_VALUE"""),"มหาวิทยาลัยมหิดล")</f>
        <v>มหาวิทยาลัยมหิดล</v>
      </c>
      <c r="J88" s="12">
        <f>IFERROR(__xludf.DUMMYFUNCTION("""COMPUTED_VALUE"""),45940.0)</f>
        <v>45940</v>
      </c>
      <c r="K88" s="3" t="str">
        <f>IFERROR(__xludf.DUMMYFUNCTION("""COMPUTED_VALUE"""),"0800-1200")</f>
        <v>0800-1200</v>
      </c>
      <c r="L88" s="3">
        <f>IFERROR(__xludf.DUMMYFUNCTION("""COMPUTED_VALUE"""),4.0)</f>
        <v>4</v>
      </c>
      <c r="M88" s="3" t="str">
        <f>IFERROR(__xludf.DUMMYFUNCTION("""COMPUTED_VALUE"""),"น.ท.หญิง สุพัตรา ปิ่นแก้ว")</f>
        <v>น.ท.หญิง สุพัตรา ปิ่นแก้ว</v>
      </c>
      <c r="N88" s="14" t="str">
        <f>IFERROR(__xludf.DUMMYFUNCTION("""COMPUTED_VALUE"""),"https://lh5.googleusercontent.com/d/1ogEMKhMQ_n8fRShn1a8AIl0puPeRGfyJ")</f>
        <v>https://lh5.googleusercontent.com/d/1ogEMKhMQ_n8fRShn1a8AIl0puPeRGfyJ</v>
      </c>
      <c r="O88" s="14" t="str">
        <f>IFERROR(__xludf.DUMMYFUNCTION("""COMPUTED_VALUE"""),"https://drive.google.com/file/d/1ekvmfvWcgYrqN8FyUWqkCkW1-lpiBcAI/view?usp=drivesdk")</f>
        <v>https://drive.google.com/file/d/1ekvmfvWcgYrqN8FyUWqkCkW1-lpiBcAI/view?usp=drivesdk</v>
      </c>
    </row>
    <row r="89">
      <c r="A89" s="3">
        <f>IFERROR(__xludf.DUMMYFUNCTION("""COMPUTED_VALUE"""),207.0)</f>
        <v>207</v>
      </c>
      <c r="B89" s="11">
        <f>IFERROR(__xludf.DUMMYFUNCTION("""COMPUTED_VALUE"""),45984.618221516204)</f>
        <v>45984.61822</v>
      </c>
      <c r="C89" s="3" t="str">
        <f>IFERROR(__xludf.DUMMYFUNCTION("""COMPUTED_VALUE"""),"ชั้นปีที่ 3")</f>
        <v>ชั้นปีที่ 3</v>
      </c>
      <c r="D89" s="3" t="str">
        <f>IFERROR(__xludf.DUMMYFUNCTION("""COMPUTED_VALUE"""),"6603787")</f>
        <v>6603787</v>
      </c>
      <c r="E89" s="3" t="str">
        <f>IFERROR(__xludf.DUMMYFUNCTION("""COMPUTED_VALUE"""),"33")</f>
        <v>33</v>
      </c>
      <c r="F89" s="3" t="str">
        <f>IFERROR(__xludf.DUMMYFUNCTION("""COMPUTED_VALUE"""),"นพอ.ปรียาภรณ์ ทองอำพันธ์")</f>
        <v>นพอ.ปรียาภรณ์ ทองอำพันธ์</v>
      </c>
      <c r="G89" s="3" t="str">
        <f>IFERROR(__xludf.DUMMYFUNCTION("""COMPUTED_VALUE"""),"ช่วยเหลืองานภายใน วพอ.")</f>
        <v>ช่วยเหลืองานภายใน วพอ.</v>
      </c>
      <c r="H89" s="3" t="str">
        <f>IFERROR(__xludf.DUMMYFUNCTION("""COMPUTED_VALUE"""),"รับน้อง นพอ. 68")</f>
        <v>รับน้อง นพอ. 68</v>
      </c>
      <c r="I89" s="3" t="str">
        <f>IFERROR(__xludf.DUMMYFUNCTION("""COMPUTED_VALUE"""),"วพอ.พอ.")</f>
        <v>วพอ.พอ.</v>
      </c>
      <c r="J89" s="12">
        <f>IFERROR(__xludf.DUMMYFUNCTION("""COMPUTED_VALUE"""),45858.0)</f>
        <v>45858</v>
      </c>
      <c r="K89" s="3" t="str">
        <f>IFERROR(__xludf.DUMMYFUNCTION("""COMPUTED_VALUE"""),"1500-1700")</f>
        <v>1500-1700</v>
      </c>
      <c r="L89" s="3">
        <f>IFERROR(__xludf.DUMMYFUNCTION("""COMPUTED_VALUE"""),2.0)</f>
        <v>2</v>
      </c>
      <c r="M89" s="3" t="str">
        <f>IFERROR(__xludf.DUMMYFUNCTION("""COMPUTED_VALUE"""),"น.ต.หญิง ขวัญชนก พ่วงนาคพันธ์")</f>
        <v>น.ต.หญิง ขวัญชนก พ่วงนาคพันธ์</v>
      </c>
      <c r="N89" s="14" t="str">
        <f>IFERROR(__xludf.DUMMYFUNCTION("""COMPUTED_VALUE"""),"https://lh5.googleusercontent.com/d/13BQrqoFCez8XXivE0ubLxxGFXAizkHV7")</f>
        <v>https://lh5.googleusercontent.com/d/13BQrqoFCez8XXivE0ubLxxGFXAizkHV7</v>
      </c>
      <c r="O89" s="14" t="str">
        <f>IFERROR(__xludf.DUMMYFUNCTION("""COMPUTED_VALUE"""),"https://drive.google.com/file/d/10KmywXfmZM_QOnLiIZ02bu496wZfL9aU/view?usp=drivesdk")</f>
        <v>https://drive.google.com/file/d/10KmywXfmZM_QOnLiIZ02bu496wZfL9aU/view?usp=drivesdk</v>
      </c>
    </row>
    <row r="90">
      <c r="A90" s="3">
        <f>IFERROR(__xludf.DUMMYFUNCTION("""COMPUTED_VALUE"""),208.0)</f>
        <v>208</v>
      </c>
      <c r="B90" s="11">
        <f>IFERROR(__xludf.DUMMYFUNCTION("""COMPUTED_VALUE"""),45984.62062509259)</f>
        <v>45984.62063</v>
      </c>
      <c r="C90" s="3" t="str">
        <f>IFERROR(__xludf.DUMMYFUNCTION("""COMPUTED_VALUE"""),"ชั้นปีที่ 3")</f>
        <v>ชั้นปีที่ 3</v>
      </c>
      <c r="D90" s="3" t="str">
        <f>IFERROR(__xludf.DUMMYFUNCTION("""COMPUTED_VALUE"""),"6603787")</f>
        <v>6603787</v>
      </c>
      <c r="E90" s="3" t="str">
        <f>IFERROR(__xludf.DUMMYFUNCTION("""COMPUTED_VALUE"""),"33")</f>
        <v>33</v>
      </c>
      <c r="F90" s="3" t="str">
        <f>IFERROR(__xludf.DUMMYFUNCTION("""COMPUTED_VALUE"""),"นพอ.ปรียาภรณ์ ทองอำพันธ์")</f>
        <v>นพอ.ปรียาภรณ์ ทองอำพันธ์</v>
      </c>
      <c r="G90" s="3" t="str">
        <f>IFERROR(__xludf.DUMMYFUNCTION("""COMPUTED_VALUE"""),"ช่วยเหลืองานภายใน วพอ.")</f>
        <v>ช่วยเหลืองานภายใน วพอ.</v>
      </c>
      <c r="H90" s="3" t="str">
        <f>IFERROR(__xludf.DUMMYFUNCTION("""COMPUTED_VALUE"""),"รับน้อง นพอ.68")</f>
        <v>รับน้อง นพอ.68</v>
      </c>
      <c r="I90" s="3" t="str">
        <f>IFERROR(__xludf.DUMMYFUNCTION("""COMPUTED_VALUE"""),"วพอ.พอ.")</f>
        <v>วพอ.พอ.</v>
      </c>
      <c r="J90" s="12">
        <f>IFERROR(__xludf.DUMMYFUNCTION("""COMPUTED_VALUE"""),45859.0)</f>
        <v>45859</v>
      </c>
      <c r="K90" s="3" t="str">
        <f>IFERROR(__xludf.DUMMYFUNCTION("""COMPUTED_VALUE"""),"0800-1600")</f>
        <v>0800-1600</v>
      </c>
      <c r="L90" s="3">
        <f>IFERROR(__xludf.DUMMYFUNCTION("""COMPUTED_VALUE"""),8.0)</f>
        <v>8</v>
      </c>
      <c r="M90" s="3" t="str">
        <f>IFERROR(__xludf.DUMMYFUNCTION("""COMPUTED_VALUE"""),"น.ต.หญิง ขวัญชนก พ่วงนาคพันธ์")</f>
        <v>น.ต.หญิง ขวัญชนก พ่วงนาคพันธ์</v>
      </c>
      <c r="N90" s="14" t="str">
        <f>IFERROR(__xludf.DUMMYFUNCTION("""COMPUTED_VALUE"""),"https://lh5.googleusercontent.com/d/1ego6DHU1CskZ52FnIJCiVuoitjQ-bmny")</f>
        <v>https://lh5.googleusercontent.com/d/1ego6DHU1CskZ52FnIJCiVuoitjQ-bmny</v>
      </c>
      <c r="O90" s="14" t="str">
        <f>IFERROR(__xludf.DUMMYFUNCTION("""COMPUTED_VALUE"""),"https://drive.google.com/file/d/1MqJzn2S704WrIJX-uF8Kgj60-uDZSitI/view?usp=drivesdk")</f>
        <v>https://drive.google.com/file/d/1MqJzn2S704WrIJX-uF8Kgj60-uDZSitI/view?usp=drivesdk</v>
      </c>
    </row>
    <row r="91">
      <c r="A91" s="3">
        <f>IFERROR(__xludf.DUMMYFUNCTION("""COMPUTED_VALUE"""),215.0)</f>
        <v>215</v>
      </c>
      <c r="B91" s="11">
        <f>IFERROR(__xludf.DUMMYFUNCTION("""COMPUTED_VALUE"""),45984.8725957176)</f>
        <v>45984.8726</v>
      </c>
      <c r="C91" s="3" t="str">
        <f>IFERROR(__xludf.DUMMYFUNCTION("""COMPUTED_VALUE"""),"ชั้นปีที่ 3")</f>
        <v>ชั้นปีที่ 3</v>
      </c>
      <c r="D91" s="3" t="str">
        <f>IFERROR(__xludf.DUMMYFUNCTION("""COMPUTED_VALUE"""),"6603780")</f>
        <v>6603780</v>
      </c>
      <c r="E91" s="3" t="str">
        <f>IFERROR(__xludf.DUMMYFUNCTION("""COMPUTED_VALUE"""),"26")</f>
        <v>26</v>
      </c>
      <c r="F91" s="3" t="str">
        <f>IFERROR(__xludf.DUMMYFUNCTION("""COMPUTED_VALUE"""),"นพอ.นิศาชล ชุมจันทร์")</f>
        <v>นพอ.นิศาชล ชุมจันทร์</v>
      </c>
      <c r="G91" s="3" t="str">
        <f>IFERROR(__xludf.DUMMYFUNCTION("""COMPUTED_VALUE"""),"ช่วยเหลืองานภายใน วพอ.")</f>
        <v>ช่วยเหลืองานภายใน วพอ.</v>
      </c>
      <c r="H91" s="3" t="str">
        <f>IFERROR(__xludf.DUMMYFUNCTION("""COMPUTED_VALUE"""),"ทำการแทน นพอ.บังคับบัญชา ปี68")</f>
        <v>ทำการแทน นพอ.บังคับบัญชา ปี68</v>
      </c>
      <c r="I91" s="3" t="str">
        <f>IFERROR(__xludf.DUMMYFUNCTION("""COMPUTED_VALUE"""),"วพอ.พอ.")</f>
        <v>วพอ.พอ.</v>
      </c>
      <c r="J91" s="12">
        <f>IFERROR(__xludf.DUMMYFUNCTION("""COMPUTED_VALUE"""),45937.0)</f>
        <v>45937</v>
      </c>
      <c r="K91" s="3" t="str">
        <f>IFERROR(__xludf.DUMMYFUNCTION("""COMPUTED_VALUE"""),"0800-1600")</f>
        <v>0800-1600</v>
      </c>
      <c r="L91" s="3">
        <f>IFERROR(__xludf.DUMMYFUNCTION("""COMPUTED_VALUE"""),8.0)</f>
        <v>8</v>
      </c>
      <c r="M91" s="3" t="str">
        <f>IFERROR(__xludf.DUMMYFUNCTION("""COMPUTED_VALUE"""),"ร.อ.อนุชิต ทำจะดี")</f>
        <v>ร.อ.อนุชิต ทำจะดี</v>
      </c>
      <c r="N91" s="14" t="str">
        <f>IFERROR(__xludf.DUMMYFUNCTION("""COMPUTED_VALUE"""),"https://lh5.googleusercontent.com/d/1xOtR0of6if6bYKYypy9e--DvjDPkmioq")</f>
        <v>https://lh5.googleusercontent.com/d/1xOtR0of6if6bYKYypy9e--DvjDPkmioq</v>
      </c>
      <c r="O91" s="14" t="str">
        <f>IFERROR(__xludf.DUMMYFUNCTION("""COMPUTED_VALUE"""),"https://drive.google.com/file/d/1_I2oSzULgi8tWOhy3HF-ozCQ1VaiZt2G/view?usp=drivesdk")</f>
        <v>https://drive.google.com/file/d/1_I2oSzULgi8tWOhy3HF-ozCQ1VaiZt2G/view?usp=drivesdk</v>
      </c>
    </row>
    <row r="92">
      <c r="A92" s="3">
        <f>IFERROR(__xludf.DUMMYFUNCTION("""COMPUTED_VALUE"""),250.0)</f>
        <v>250</v>
      </c>
      <c r="B92" s="11">
        <f>IFERROR(__xludf.DUMMYFUNCTION("""COMPUTED_VALUE"""),45985.43413998842)</f>
        <v>45985.43414</v>
      </c>
      <c r="C92" s="3" t="str">
        <f>IFERROR(__xludf.DUMMYFUNCTION("""COMPUTED_VALUE"""),"ชั้นปีที่ 3")</f>
        <v>ชั้นปีที่ 3</v>
      </c>
      <c r="D92" s="3" t="str">
        <f>IFERROR(__xludf.DUMMYFUNCTION("""COMPUTED_VALUE"""),"6603794")</f>
        <v>6603794</v>
      </c>
      <c r="E92" s="3" t="str">
        <f>IFERROR(__xludf.DUMMYFUNCTION("""COMPUTED_VALUE"""),"40")</f>
        <v>40</v>
      </c>
      <c r="F92" s="3" t="str">
        <f>IFERROR(__xludf.DUMMYFUNCTION("""COMPUTED_VALUE"""),"นพอ.พิชามญชุ์ แก้วเมือง")</f>
        <v>นพอ.พิชามญชุ์ แก้วเมือง</v>
      </c>
      <c r="G9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2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92" s="3" t="str">
        <f>IFERROR(__xludf.DUMMYFUNCTION("""COMPUTED_VALUE"""),"ชุมชนวัดเกาะ")</f>
        <v>ชุมชนวัดเกาะ</v>
      </c>
      <c r="J92" s="12">
        <f>IFERROR(__xludf.DUMMYFUNCTION("""COMPUTED_VALUE"""),45823.0)</f>
        <v>45823</v>
      </c>
      <c r="K92" s="3" t="str">
        <f>IFERROR(__xludf.DUMMYFUNCTION("""COMPUTED_VALUE"""),"0800-1200")</f>
        <v>0800-1200</v>
      </c>
      <c r="L92" s="3">
        <f>IFERROR(__xludf.DUMMYFUNCTION("""COMPUTED_VALUE"""),4.0)</f>
        <v>4</v>
      </c>
      <c r="M92" s="3" t="str">
        <f>IFERROR(__xludf.DUMMYFUNCTION("""COMPUTED_VALUE"""),"น.ต.หญิง ตวงทิพย์ ลดาวัล")</f>
        <v>น.ต.หญิง ตวงทิพย์ ลดาวัล</v>
      </c>
      <c r="N92" s="3"/>
      <c r="O92" s="3"/>
    </row>
    <row r="93">
      <c r="A93" s="3">
        <f>IFERROR(__xludf.DUMMYFUNCTION("""COMPUTED_VALUE"""),251.0)</f>
        <v>251</v>
      </c>
      <c r="B93" s="11">
        <f>IFERROR(__xludf.DUMMYFUNCTION("""COMPUTED_VALUE"""),45985.449374062504)</f>
        <v>45985.44937</v>
      </c>
      <c r="C93" s="3" t="str">
        <f>IFERROR(__xludf.DUMMYFUNCTION("""COMPUTED_VALUE"""),"ชั้นปีที่ 3")</f>
        <v>ชั้นปีที่ 3</v>
      </c>
      <c r="D93" s="3" t="str">
        <f>IFERROR(__xludf.DUMMYFUNCTION("""COMPUTED_VALUE"""),"6603794")</f>
        <v>6603794</v>
      </c>
      <c r="E93" s="3" t="str">
        <f>IFERROR(__xludf.DUMMYFUNCTION("""COMPUTED_VALUE"""),"40")</f>
        <v>40</v>
      </c>
      <c r="F93" s="3" t="str">
        <f>IFERROR(__xludf.DUMMYFUNCTION("""COMPUTED_VALUE"""),"นพอ.พิชามญชุ์ แก้วเมือง")</f>
        <v>นพอ.พิชามญชุ์ แก้วเมือง</v>
      </c>
      <c r="G9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3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93" s="3" t="str">
        <f>IFERROR(__xludf.DUMMYFUNCTION("""COMPUTED_VALUE"""),"ดุริยางค์ทหารอากาศ")</f>
        <v>ดุริยางค์ทหารอากาศ</v>
      </c>
      <c r="J93" s="12">
        <f>IFERROR(__xludf.DUMMYFUNCTION("""COMPUTED_VALUE"""),45825.0)</f>
        <v>45825</v>
      </c>
      <c r="K93" s="3" t="str">
        <f>IFERROR(__xludf.DUMMYFUNCTION("""COMPUTED_VALUE"""),"0800-1600")</f>
        <v>0800-1600</v>
      </c>
      <c r="L93" s="3">
        <f>IFERROR(__xludf.DUMMYFUNCTION("""COMPUTED_VALUE"""),8.0)</f>
        <v>8</v>
      </c>
      <c r="M93" s="3" t="str">
        <f>IFERROR(__xludf.DUMMYFUNCTION("""COMPUTED_VALUE"""),"ร.อ.อนุชิต ทำจะดี")</f>
        <v>ร.อ.อนุชิต ทำจะดี</v>
      </c>
      <c r="N93" s="14" t="str">
        <f>IFERROR(__xludf.DUMMYFUNCTION("""COMPUTED_VALUE"""),"https://lh5.googleusercontent.com/d/1M6FN_lD7nXm86vPI2LDGkmMIVzBcgSS3")</f>
        <v>https://lh5.googleusercontent.com/d/1M6FN_lD7nXm86vPI2LDGkmMIVzBcgSS3</v>
      </c>
      <c r="O93" s="14" t="str">
        <f>IFERROR(__xludf.DUMMYFUNCTION("""COMPUTED_VALUE"""),"https://drive.google.com/file/d/1ZU8yaAzWdYKDFlWBXc3vOldfdIGY712H/view?usp=drivesdk")</f>
        <v>https://drive.google.com/file/d/1ZU8yaAzWdYKDFlWBXc3vOldfdIGY712H/view?usp=drivesdk</v>
      </c>
    </row>
    <row r="94">
      <c r="A94" s="3">
        <f>IFERROR(__xludf.DUMMYFUNCTION("""COMPUTED_VALUE"""),252.0)</f>
        <v>252</v>
      </c>
      <c r="B94" s="11">
        <f>IFERROR(__xludf.DUMMYFUNCTION("""COMPUTED_VALUE"""),45985.452046805556)</f>
        <v>45985.45205</v>
      </c>
      <c r="C94" s="3" t="str">
        <f>IFERROR(__xludf.DUMMYFUNCTION("""COMPUTED_VALUE"""),"ชั้นปีที่ 3")</f>
        <v>ชั้นปีที่ 3</v>
      </c>
      <c r="D94" s="3" t="str">
        <f>IFERROR(__xludf.DUMMYFUNCTION("""COMPUTED_VALUE"""),"6603794")</f>
        <v>6603794</v>
      </c>
      <c r="E94" s="3" t="str">
        <f>IFERROR(__xludf.DUMMYFUNCTION("""COMPUTED_VALUE"""),"40")</f>
        <v>40</v>
      </c>
      <c r="F94" s="3" t="str">
        <f>IFERROR(__xludf.DUMMYFUNCTION("""COMPUTED_VALUE"""),"นพอ.พิชามญชุ์ แก้วเมือง")</f>
        <v>นพอ.พิชามญชุ์ แก้วเมือง</v>
      </c>
      <c r="G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4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9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94" s="12">
        <f>IFERROR(__xludf.DUMMYFUNCTION("""COMPUTED_VALUE"""),45838.0)</f>
        <v>45838</v>
      </c>
      <c r="K94" s="3" t="str">
        <f>IFERROR(__xludf.DUMMYFUNCTION("""COMPUTED_VALUE"""),"1400-2200")</f>
        <v>1400-2200</v>
      </c>
      <c r="L94" s="3">
        <f>IFERROR(__xludf.DUMMYFUNCTION("""COMPUTED_VALUE"""),8.0)</f>
        <v>8</v>
      </c>
      <c r="M94" s="3" t="str">
        <f>IFERROR(__xludf.DUMMYFUNCTION("""COMPUTED_VALUE"""),"ร.อ.อนุชิต ทำจะดี")</f>
        <v>ร.อ.อนุชิต ทำจะดี</v>
      </c>
      <c r="N94" s="14" t="str">
        <f>IFERROR(__xludf.DUMMYFUNCTION("""COMPUTED_VALUE"""),"https://lh5.googleusercontent.com/d/1_JS8W0xqb0Q2x8iMkMRjnpfgdMv96cCp")</f>
        <v>https://lh5.googleusercontent.com/d/1_JS8W0xqb0Q2x8iMkMRjnpfgdMv96cCp</v>
      </c>
      <c r="O94" s="14" t="str">
        <f>IFERROR(__xludf.DUMMYFUNCTION("""COMPUTED_VALUE"""),"https://drive.google.com/file/d/14VCFI5iVr2fRcL1zPgtUtL5MMdirtBBK/view?usp=drivesdk")</f>
        <v>https://drive.google.com/file/d/14VCFI5iVr2fRcL1zPgtUtL5MMdirtBBK/view?usp=drivesdk</v>
      </c>
    </row>
    <row r="95">
      <c r="A95" s="3">
        <f>IFERROR(__xludf.DUMMYFUNCTION("""COMPUTED_VALUE"""),253.0)</f>
        <v>253</v>
      </c>
      <c r="B95" s="11">
        <f>IFERROR(__xludf.DUMMYFUNCTION("""COMPUTED_VALUE"""),45985.45367265047)</f>
        <v>45985.45367</v>
      </c>
      <c r="C95" s="3" t="str">
        <f>IFERROR(__xludf.DUMMYFUNCTION("""COMPUTED_VALUE"""),"ชั้นปีที่ 3")</f>
        <v>ชั้นปีที่ 3</v>
      </c>
      <c r="D95" s="3" t="str">
        <f>IFERROR(__xludf.DUMMYFUNCTION("""COMPUTED_VALUE"""),"6603794")</f>
        <v>6603794</v>
      </c>
      <c r="E95" s="3" t="str">
        <f>IFERROR(__xludf.DUMMYFUNCTION("""COMPUTED_VALUE"""),"40")</f>
        <v>40</v>
      </c>
      <c r="F95" s="3" t="str">
        <f>IFERROR(__xludf.DUMMYFUNCTION("""COMPUTED_VALUE"""),"นพอ.พิชามญชุ์ แก้วเมือง")</f>
        <v>นพอ.พิชามญชุ์ แก้วเมือง</v>
      </c>
      <c r="G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5" s="3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9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95" s="12">
        <f>IFERROR(__xludf.DUMMYFUNCTION("""COMPUTED_VALUE"""),45839.0)</f>
        <v>45839</v>
      </c>
      <c r="K95" s="3" t="str">
        <f>IFERROR(__xludf.DUMMYFUNCTION("""COMPUTED_VALUE"""),"1400-2200")</f>
        <v>1400-2200</v>
      </c>
      <c r="L95" s="3">
        <f>IFERROR(__xludf.DUMMYFUNCTION("""COMPUTED_VALUE"""),8.0)</f>
        <v>8</v>
      </c>
      <c r="M95" s="3" t="str">
        <f>IFERROR(__xludf.DUMMYFUNCTION("""COMPUTED_VALUE"""),"ร.อ.อนุชิต ทำจะดี")</f>
        <v>ร.อ.อนุชิต ทำจะดี</v>
      </c>
      <c r="N95" s="14" t="str">
        <f>IFERROR(__xludf.DUMMYFUNCTION("""COMPUTED_VALUE"""),"https://lh5.googleusercontent.com/d/1vwoeNewFegKldQBP-jXZCjAXUzlf5-oz")</f>
        <v>https://lh5.googleusercontent.com/d/1vwoeNewFegKldQBP-jXZCjAXUzlf5-oz</v>
      </c>
      <c r="O95" s="14" t="str">
        <f>IFERROR(__xludf.DUMMYFUNCTION("""COMPUTED_VALUE"""),"https://drive.google.com/file/d/1dKo1GCnsxAJjY3Yq2E3-YO6F_9w97R95/view?usp=drivesdk")</f>
        <v>https://drive.google.com/file/d/1dKo1GCnsxAJjY3Yq2E3-YO6F_9w97R95/view?usp=drivesdk</v>
      </c>
    </row>
    <row r="96">
      <c r="A96" s="3">
        <f>IFERROR(__xludf.DUMMYFUNCTION("""COMPUTED_VALUE"""),254.0)</f>
        <v>254</v>
      </c>
      <c r="B96" s="11">
        <f>IFERROR(__xludf.DUMMYFUNCTION("""COMPUTED_VALUE"""),45985.45672700232)</f>
        <v>45985.45673</v>
      </c>
      <c r="C96" s="3" t="str">
        <f>IFERROR(__xludf.DUMMYFUNCTION("""COMPUTED_VALUE"""),"ชั้นปีที่ 3")</f>
        <v>ชั้นปีที่ 3</v>
      </c>
      <c r="D96" s="3" t="str">
        <f>IFERROR(__xludf.DUMMYFUNCTION("""COMPUTED_VALUE"""),"6603794")</f>
        <v>6603794</v>
      </c>
      <c r="E96" s="3" t="str">
        <f>IFERROR(__xludf.DUMMYFUNCTION("""COMPUTED_VALUE"""),"40")</f>
        <v>40</v>
      </c>
      <c r="F96" s="3" t="str">
        <f>IFERROR(__xludf.DUMMYFUNCTION("""COMPUTED_VALUE"""),"นพอ.พิชามญชุ์ แก้วเมือง")</f>
        <v>นพอ.พิชามญชุ์ แก้วเมือง</v>
      </c>
      <c r="G9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6" s="3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9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96" s="12">
        <f>IFERROR(__xludf.DUMMYFUNCTION("""COMPUTED_VALUE"""),45840.0)</f>
        <v>45840</v>
      </c>
      <c r="K96" s="3" t="str">
        <f>IFERROR(__xludf.DUMMYFUNCTION("""COMPUTED_VALUE"""),"1400-2200")</f>
        <v>1400-2200</v>
      </c>
      <c r="L96" s="3">
        <f>IFERROR(__xludf.DUMMYFUNCTION("""COMPUTED_VALUE"""),8.0)</f>
        <v>8</v>
      </c>
      <c r="M96" s="3" t="str">
        <f>IFERROR(__xludf.DUMMYFUNCTION("""COMPUTED_VALUE"""),"ร.อ.อนุชิต ทำจะดี")</f>
        <v>ร.อ.อนุชิต ทำจะดี</v>
      </c>
      <c r="N96" s="14" t="str">
        <f>IFERROR(__xludf.DUMMYFUNCTION("""COMPUTED_VALUE"""),"https://lh5.googleusercontent.com/d/1iPaGZQKJ0rC7BEDx-c1UN0Xm7ynzVVRk")</f>
        <v>https://lh5.googleusercontent.com/d/1iPaGZQKJ0rC7BEDx-c1UN0Xm7ynzVVRk</v>
      </c>
      <c r="O96" s="14" t="str">
        <f>IFERROR(__xludf.DUMMYFUNCTION("""COMPUTED_VALUE"""),"https://drive.google.com/file/d/11oCbIcQv4JcZ7OyRLM0t6ZRd72m5WZKc/view?usp=drivesdk")</f>
        <v>https://drive.google.com/file/d/11oCbIcQv4JcZ7OyRLM0t6ZRd72m5WZKc/view?usp=drivesdk</v>
      </c>
    </row>
    <row r="97">
      <c r="A97" s="3">
        <f>IFERROR(__xludf.DUMMYFUNCTION("""COMPUTED_VALUE"""),317.0)</f>
        <v>317</v>
      </c>
      <c r="B97" s="11">
        <f>IFERROR(__xludf.DUMMYFUNCTION("""COMPUTED_VALUE"""),45986.485726666666)</f>
        <v>45986.48573</v>
      </c>
      <c r="C97" s="3" t="str">
        <f>IFERROR(__xludf.DUMMYFUNCTION("""COMPUTED_VALUE"""),"ชั้นปีที่ 3")</f>
        <v>ชั้นปีที่ 3</v>
      </c>
      <c r="D97" s="3" t="str">
        <f>IFERROR(__xludf.DUMMYFUNCTION("""COMPUTED_VALUE"""),"6603780")</f>
        <v>6603780</v>
      </c>
      <c r="E97" s="3" t="str">
        <f>IFERROR(__xludf.DUMMYFUNCTION("""COMPUTED_VALUE"""),"26")</f>
        <v>26</v>
      </c>
      <c r="F97" s="3" t="str">
        <f>IFERROR(__xludf.DUMMYFUNCTION("""COMPUTED_VALUE"""),"นพอ.นิศาชล ชุมจันทร์")</f>
        <v>นพอ.นิศาชล ชุมจันทร์</v>
      </c>
      <c r="G97" s="3" t="str">
        <f>IFERROR(__xludf.DUMMYFUNCTION("""COMPUTED_VALUE"""),"ช่วยเหลืองานภายใน วพอ.")</f>
        <v>ช่วยเหลืองานภายใน วพอ.</v>
      </c>
      <c r="H97" s="3" t="str">
        <f>IFERROR(__xludf.DUMMYFUNCTION("""COMPUTED_VALUE"""),"ทำการแทน นพอ.บังคับบัญชา ปี68")</f>
        <v>ทำการแทน นพอ.บังคับบัญชา ปี68</v>
      </c>
      <c r="I97" s="3" t="str">
        <f>IFERROR(__xludf.DUMMYFUNCTION("""COMPUTED_VALUE"""),"วพอ.พอ.")</f>
        <v>วพอ.พอ.</v>
      </c>
      <c r="J97" s="12">
        <f>IFERROR(__xludf.DUMMYFUNCTION("""COMPUTED_VALUE"""),45961.0)</f>
        <v>45961</v>
      </c>
      <c r="K97" s="3" t="str">
        <f>IFERROR(__xludf.DUMMYFUNCTION("""COMPUTED_VALUE"""),"0800-1600")</f>
        <v>0800-1600</v>
      </c>
      <c r="L97" s="3">
        <f>IFERROR(__xludf.DUMMYFUNCTION("""COMPUTED_VALUE"""),8.0)</f>
        <v>8</v>
      </c>
      <c r="M97" s="3" t="str">
        <f>IFERROR(__xludf.DUMMYFUNCTION("""COMPUTED_VALUE"""),"ร.อ.อนุชิต ทำจะดี")</f>
        <v>ร.อ.อนุชิต ทำจะดี</v>
      </c>
      <c r="N97" s="14" t="str">
        <f>IFERROR(__xludf.DUMMYFUNCTION("""COMPUTED_VALUE"""),"https://lh5.googleusercontent.com/d/1rMo5JN80P-StmTVLXMFG2YxJrA1XqRrk")</f>
        <v>https://lh5.googleusercontent.com/d/1rMo5JN80P-StmTVLXMFG2YxJrA1XqRrk</v>
      </c>
      <c r="O97" s="14" t="str">
        <f>IFERROR(__xludf.DUMMYFUNCTION("""COMPUTED_VALUE"""),"https://drive.google.com/file/d/1tTLRWfoBxhRCqqlJ10trnzT855Vrrlj0/view?usp=drivesdk")</f>
        <v>https://drive.google.com/file/d/1tTLRWfoBxhRCqqlJ10trnzT855Vrrlj0/view?usp=drivesdk</v>
      </c>
    </row>
    <row r="98">
      <c r="A98" s="3">
        <f>IFERROR(__xludf.DUMMYFUNCTION("""COMPUTED_VALUE"""),318.0)</f>
        <v>318</v>
      </c>
      <c r="B98" s="11">
        <f>IFERROR(__xludf.DUMMYFUNCTION("""COMPUTED_VALUE"""),45986.48952623843)</f>
        <v>45986.48953</v>
      </c>
      <c r="C98" s="3" t="str">
        <f>IFERROR(__xludf.DUMMYFUNCTION("""COMPUTED_VALUE"""),"ชั้นปีที่ 3")</f>
        <v>ชั้นปีที่ 3</v>
      </c>
      <c r="D98" s="3" t="str">
        <f>IFERROR(__xludf.DUMMYFUNCTION("""COMPUTED_VALUE"""),"6603780")</f>
        <v>6603780</v>
      </c>
      <c r="E98" s="3" t="str">
        <f>IFERROR(__xludf.DUMMYFUNCTION("""COMPUTED_VALUE"""),"26")</f>
        <v>26</v>
      </c>
      <c r="F98" s="3" t="str">
        <f>IFERROR(__xludf.DUMMYFUNCTION("""COMPUTED_VALUE"""),"นพอ.นิศาชล ชุมจันทร์")</f>
        <v>นพอ.นิศาชล ชุมจันทร์</v>
      </c>
      <c r="G98" s="3" t="str">
        <f>IFERROR(__xludf.DUMMYFUNCTION("""COMPUTED_VALUE"""),"ช่วยเหลืองานภายใน วพอ.")</f>
        <v>ช่วยเหลืองานภายใน วพอ.</v>
      </c>
      <c r="H98" s="3" t="str">
        <f>IFERROR(__xludf.DUMMYFUNCTION("""COMPUTED_VALUE"""),"ทำการแทน นพอ.บังคับบัญชา ปี68")</f>
        <v>ทำการแทน นพอ.บังคับบัญชา ปี68</v>
      </c>
      <c r="I98" s="3" t="str">
        <f>IFERROR(__xludf.DUMMYFUNCTION("""COMPUTED_VALUE"""),"วพอ.พอ.")</f>
        <v>วพอ.พอ.</v>
      </c>
      <c r="J98" s="12">
        <f>IFERROR(__xludf.DUMMYFUNCTION("""COMPUTED_VALUE"""),45974.0)</f>
        <v>45974</v>
      </c>
      <c r="K98" s="3" t="str">
        <f>IFERROR(__xludf.DUMMYFUNCTION("""COMPUTED_VALUE"""),"0800-1200")</f>
        <v>0800-1200</v>
      </c>
      <c r="L98" s="3">
        <f>IFERROR(__xludf.DUMMYFUNCTION("""COMPUTED_VALUE"""),4.0)</f>
        <v>4</v>
      </c>
      <c r="M98" s="3" t="str">
        <f>IFERROR(__xludf.DUMMYFUNCTION("""COMPUTED_VALUE"""),"ร.อ.อนุชิต ทำจะดี")</f>
        <v>ร.อ.อนุชิต ทำจะดี</v>
      </c>
      <c r="N98" s="14" t="str">
        <f>IFERROR(__xludf.DUMMYFUNCTION("""COMPUTED_VALUE"""),"https://lh5.googleusercontent.com/d/1jD2FxmTYV5b-jYnkQQ7RfxgBjqjSxB5B")</f>
        <v>https://lh5.googleusercontent.com/d/1jD2FxmTYV5b-jYnkQQ7RfxgBjqjSxB5B</v>
      </c>
      <c r="O98" s="14" t="str">
        <f>IFERROR(__xludf.DUMMYFUNCTION("""COMPUTED_VALUE"""),"https://drive.google.com/file/d/1JV1cucEeHeXgnjYPT1fkWNb0-g5LHel-/view?usp=drivesdk")</f>
        <v>https://drive.google.com/file/d/1JV1cucEeHeXgnjYPT1fkWNb0-g5LHel-/view?usp=drivesdk</v>
      </c>
    </row>
    <row r="99">
      <c r="A99" s="3">
        <f>IFERROR(__xludf.DUMMYFUNCTION("""COMPUTED_VALUE"""),432.0)</f>
        <v>432</v>
      </c>
      <c r="B99" s="11">
        <f>IFERROR(__xludf.DUMMYFUNCTION("""COMPUTED_VALUE"""),45989.64061215277)</f>
        <v>45989.64061</v>
      </c>
      <c r="C99" s="3" t="str">
        <f>IFERROR(__xludf.DUMMYFUNCTION("""COMPUTED_VALUE"""),"ชั้นปีที่ 3")</f>
        <v>ชั้นปีที่ 3</v>
      </c>
      <c r="D99" s="3" t="str">
        <f>IFERROR(__xludf.DUMMYFUNCTION("""COMPUTED_VALUE"""),"6603814")</f>
        <v>6603814</v>
      </c>
      <c r="E99" s="3" t="str">
        <f>IFERROR(__xludf.DUMMYFUNCTION("""COMPUTED_VALUE"""),"60")</f>
        <v>60</v>
      </c>
      <c r="F99" s="3" t="str">
        <f>IFERROR(__xludf.DUMMYFUNCTION("""COMPUTED_VALUE"""),"นพอ.อนัญญา สิงทิศ")</f>
        <v>นพอ.อนัญญา สิงทิศ</v>
      </c>
      <c r="G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9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99" s="3" t="str">
        <f>IFERROR(__xludf.DUMMYFUNCTION("""COMPUTED_VALUE"""),"ดุริยางค์ทหารอากาศ")</f>
        <v>ดุริยางค์ทหารอากาศ</v>
      </c>
      <c r="J99" s="12">
        <f>IFERROR(__xludf.DUMMYFUNCTION("""COMPUTED_VALUE"""),45825.0)</f>
        <v>45825</v>
      </c>
      <c r="K99" s="3" t="str">
        <f>IFERROR(__xludf.DUMMYFUNCTION("""COMPUTED_VALUE"""),"0800-1600")</f>
        <v>0800-1600</v>
      </c>
      <c r="L99" s="3">
        <f>IFERROR(__xludf.DUMMYFUNCTION("""COMPUTED_VALUE"""),8.0)</f>
        <v>8</v>
      </c>
      <c r="M99" s="3" t="str">
        <f>IFERROR(__xludf.DUMMYFUNCTION("""COMPUTED_VALUE"""),"ร.อ.อนุชิต ทำจะดี")</f>
        <v>ร.อ.อนุชิต ทำจะดี</v>
      </c>
      <c r="N99" s="14" t="str">
        <f>IFERROR(__xludf.DUMMYFUNCTION("""COMPUTED_VALUE"""),"https://lh5.googleusercontent.com/d/1fsIkmnMPkQ-f1tjpgjSdHSLAxPDvCgaH")</f>
        <v>https://lh5.googleusercontent.com/d/1fsIkmnMPkQ-f1tjpgjSdHSLAxPDvCgaH</v>
      </c>
      <c r="O99" s="14" t="str">
        <f>IFERROR(__xludf.DUMMYFUNCTION("""COMPUTED_VALUE"""),"https://drive.google.com/file/d/1uD0E9J84H4eOIyJXCuhvN1uXigNl1g5r/view?usp=drivesdk")</f>
        <v>https://drive.google.com/file/d/1uD0E9J84H4eOIyJXCuhvN1uXigNl1g5r/view?usp=drivesdk</v>
      </c>
    </row>
    <row r="100">
      <c r="A100" s="3">
        <f>IFERROR(__xludf.DUMMYFUNCTION("""COMPUTED_VALUE"""),559.0)</f>
        <v>559</v>
      </c>
      <c r="B100" s="11">
        <f>IFERROR(__xludf.DUMMYFUNCTION("""COMPUTED_VALUE"""),45991.539678611116)</f>
        <v>45991.53968</v>
      </c>
      <c r="C100" s="3" t="str">
        <f>IFERROR(__xludf.DUMMYFUNCTION("""COMPUTED_VALUE"""),"ชั้นปีที่ 3")</f>
        <v>ชั้นปีที่ 3</v>
      </c>
      <c r="D100" s="3" t="str">
        <f>IFERROR(__xludf.DUMMYFUNCTION("""COMPUTED_VALUE"""),"6603754")</f>
        <v>6603754</v>
      </c>
      <c r="E100" s="3" t="str">
        <f>IFERROR(__xludf.DUMMYFUNCTION("""COMPUTED_VALUE"""),"1")</f>
        <v>1</v>
      </c>
      <c r="F100" s="3" t="str">
        <f>IFERROR(__xludf.DUMMYFUNCTION("""COMPUTED_VALUE"""),"นพอ.กรกนก วิไลลักษณ์")</f>
        <v>นพอ.กรกนก วิไลลักษณ์</v>
      </c>
      <c r="G10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0" s="3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10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00" s="12">
        <f>IFERROR(__xludf.DUMMYFUNCTION("""COMPUTED_VALUE"""),45839.0)</f>
        <v>45839</v>
      </c>
      <c r="K100" s="3" t="str">
        <f>IFERROR(__xludf.DUMMYFUNCTION("""COMPUTED_VALUE"""),"1400-2200")</f>
        <v>1400-2200</v>
      </c>
      <c r="L100" s="3">
        <f>IFERROR(__xludf.DUMMYFUNCTION("""COMPUTED_VALUE"""),8.0)</f>
        <v>8</v>
      </c>
      <c r="M100" s="3" t="str">
        <f>IFERROR(__xludf.DUMMYFUNCTION("""COMPUTED_VALUE"""),"ร.อ.อนุชิต ทำจะดี")</f>
        <v>ร.อ.อนุชิต ทำจะดี</v>
      </c>
      <c r="N100" s="14" t="str">
        <f>IFERROR(__xludf.DUMMYFUNCTION("""COMPUTED_VALUE"""),"https://lh5.googleusercontent.com/d/1GYXm0UK1HJrbnD83afaz0ZYTE_VVJtI5")</f>
        <v>https://lh5.googleusercontent.com/d/1GYXm0UK1HJrbnD83afaz0ZYTE_VVJtI5</v>
      </c>
      <c r="O100" s="14" t="str">
        <f>IFERROR(__xludf.DUMMYFUNCTION("""COMPUTED_VALUE"""),"https://drive.google.com/file/d/1vxX315NMZHKItXoaZg6HIZXPOCSg991C/view?usp=drivesdk")</f>
        <v>https://drive.google.com/file/d/1vxX315NMZHKItXoaZg6HIZXPOCSg991C/view?usp=drivesdk</v>
      </c>
    </row>
    <row r="101">
      <c r="A101" s="3">
        <f>IFERROR(__xludf.DUMMYFUNCTION("""COMPUTED_VALUE"""),560.0)</f>
        <v>560</v>
      </c>
      <c r="B101" s="11">
        <f>IFERROR(__xludf.DUMMYFUNCTION("""COMPUTED_VALUE"""),45991.541924826386)</f>
        <v>45991.54192</v>
      </c>
      <c r="C101" s="3" t="str">
        <f>IFERROR(__xludf.DUMMYFUNCTION("""COMPUTED_VALUE"""),"ชั้นปีที่ 3")</f>
        <v>ชั้นปีที่ 3</v>
      </c>
      <c r="D101" s="3" t="str">
        <f>IFERROR(__xludf.DUMMYFUNCTION("""COMPUTED_VALUE"""),"6603754")</f>
        <v>6603754</v>
      </c>
      <c r="E101" s="3" t="str">
        <f>IFERROR(__xludf.DUMMYFUNCTION("""COMPUTED_VALUE"""),"1")</f>
        <v>1</v>
      </c>
      <c r="F101" s="3" t="str">
        <f>IFERROR(__xludf.DUMMYFUNCTION("""COMPUTED_VALUE"""),"นพอ.กรกนก วิไลลักษณ์")</f>
        <v>นพอ.กรกนก วิไลลักษณ์</v>
      </c>
      <c r="G101" s="3" t="str">
        <f>IFERROR(__xludf.DUMMYFUNCTION("""COMPUTED_VALUE"""),"ช่วยเหลืองานภายใน วพอ.")</f>
        <v>ช่วยเหลืองานภายใน วพอ.</v>
      </c>
      <c r="H101" s="3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10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01" s="12">
        <f>IFERROR(__xludf.DUMMYFUNCTION("""COMPUTED_VALUE"""),45840.0)</f>
        <v>45840</v>
      </c>
      <c r="K101" s="3" t="str">
        <f>IFERROR(__xludf.DUMMYFUNCTION("""COMPUTED_VALUE"""),"1400-2200")</f>
        <v>1400-2200</v>
      </c>
      <c r="L101" s="3">
        <f>IFERROR(__xludf.DUMMYFUNCTION("""COMPUTED_VALUE"""),8.0)</f>
        <v>8</v>
      </c>
      <c r="M101" s="3" t="str">
        <f>IFERROR(__xludf.DUMMYFUNCTION("""COMPUTED_VALUE"""),"ร.อ.อนุชิต ทำจะดี")</f>
        <v>ร.อ.อนุชิต ทำจะดี</v>
      </c>
      <c r="N101" s="14" t="str">
        <f>IFERROR(__xludf.DUMMYFUNCTION("""COMPUTED_VALUE"""),"https://lh5.googleusercontent.com/d/1vSmteFngTlwWZ8JZYzB-b4VNNXW1vltk")</f>
        <v>https://lh5.googleusercontent.com/d/1vSmteFngTlwWZ8JZYzB-b4VNNXW1vltk</v>
      </c>
      <c r="O101" s="14" t="str">
        <f>IFERROR(__xludf.DUMMYFUNCTION("""COMPUTED_VALUE"""),"https://drive.google.com/file/d/1t4yWYNWcD9xpDBr7yw-douSvVxCNKbkC/view?usp=drivesdk")</f>
        <v>https://drive.google.com/file/d/1t4yWYNWcD9xpDBr7yw-douSvVxCNKbkC/view?usp=drivesdk</v>
      </c>
    </row>
    <row r="102">
      <c r="A102" s="3">
        <f>IFERROR(__xludf.DUMMYFUNCTION("""COMPUTED_VALUE"""),566.0)</f>
        <v>566</v>
      </c>
      <c r="B102" s="11">
        <f>IFERROR(__xludf.DUMMYFUNCTION("""COMPUTED_VALUE"""),45991.55242878472)</f>
        <v>45991.55243</v>
      </c>
      <c r="C102" s="3" t="str">
        <f>IFERROR(__xludf.DUMMYFUNCTION("""COMPUTED_VALUE"""),"ชั้นปีที่ 3")</f>
        <v>ชั้นปีที่ 3</v>
      </c>
      <c r="D102" s="3" t="str">
        <f>IFERROR(__xludf.DUMMYFUNCTION("""COMPUTED_VALUE"""),"6603811")</f>
        <v>6603811</v>
      </c>
      <c r="E102" s="3" t="str">
        <f>IFERROR(__xludf.DUMMYFUNCTION("""COMPUTED_VALUE"""),"57")</f>
        <v>57</v>
      </c>
      <c r="F102" s="3" t="str">
        <f>IFERROR(__xludf.DUMMYFUNCTION("""COMPUTED_VALUE"""),"นพอ.สุภานัน ธรรมรักษา")</f>
        <v>นพอ.สุภานัน ธรรมรักษา</v>
      </c>
      <c r="G10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2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02" s="3" t="str">
        <f>IFERROR(__xludf.DUMMYFUNCTION("""COMPUTED_VALUE"""),"ชุมชนวัดเกาะ")</f>
        <v>ชุมชนวัดเกาะ</v>
      </c>
      <c r="J102" s="12">
        <f>IFERROR(__xludf.DUMMYFUNCTION("""COMPUTED_VALUE"""),45823.0)</f>
        <v>45823</v>
      </c>
      <c r="K102" s="3" t="str">
        <f>IFERROR(__xludf.DUMMYFUNCTION("""COMPUTED_VALUE"""),"0800-1200")</f>
        <v>0800-1200</v>
      </c>
      <c r="L102" s="3">
        <f>IFERROR(__xludf.DUMMYFUNCTION("""COMPUTED_VALUE"""),4.0)</f>
        <v>4</v>
      </c>
      <c r="M102" s="3" t="str">
        <f>IFERROR(__xludf.DUMMYFUNCTION("""COMPUTED_VALUE"""),"น.ต.หญิง ตวงทิพย์ ลดาวัลย์")</f>
        <v>น.ต.หญิง ตวงทิพย์ ลดาวัลย์</v>
      </c>
      <c r="N102" s="14" t="str">
        <f>IFERROR(__xludf.DUMMYFUNCTION("""COMPUTED_VALUE"""),"https://lh5.googleusercontent.com/d/1EkwQJgmWgqfcXo6pnJy4bp4fQx6dzyWw")</f>
        <v>https://lh5.googleusercontent.com/d/1EkwQJgmWgqfcXo6pnJy4bp4fQx6dzyWw</v>
      </c>
      <c r="O102" s="14" t="str">
        <f>IFERROR(__xludf.DUMMYFUNCTION("""COMPUTED_VALUE"""),"https://drive.google.com/file/d/1q1hmMfXmZM2y03MRuuKzVUkwMFRLmiaD/view?usp=drivesdk")</f>
        <v>https://drive.google.com/file/d/1q1hmMfXmZM2y03MRuuKzVUkwMFRLmiaD/view?usp=drivesdk</v>
      </c>
    </row>
    <row r="103">
      <c r="A103" s="3">
        <f>IFERROR(__xludf.DUMMYFUNCTION("""COMPUTED_VALUE"""),567.0)</f>
        <v>567</v>
      </c>
      <c r="B103" s="11">
        <f>IFERROR(__xludf.DUMMYFUNCTION("""COMPUTED_VALUE"""),45991.55316181713)</f>
        <v>45991.55316</v>
      </c>
      <c r="C103" s="3" t="str">
        <f>IFERROR(__xludf.DUMMYFUNCTION("""COMPUTED_VALUE"""),"ชั้นปีที่ 3")</f>
        <v>ชั้นปีที่ 3</v>
      </c>
      <c r="D103" s="3" t="str">
        <f>IFERROR(__xludf.DUMMYFUNCTION("""COMPUTED_VALUE"""),"6603754")</f>
        <v>6603754</v>
      </c>
      <c r="E103" s="3" t="str">
        <f>IFERROR(__xludf.DUMMYFUNCTION("""COMPUTED_VALUE"""),"1")</f>
        <v>1</v>
      </c>
      <c r="F103" s="3" t="str">
        <f>IFERROR(__xludf.DUMMYFUNCTION("""COMPUTED_VALUE"""),"นพอ.กรกนก วิไลลักษณ์")</f>
        <v>นพอ.กรกนก วิไลลักษณ์</v>
      </c>
      <c r="G10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3" s="3" t="str">
        <f>IFERROR(__xludf.DUMMYFUNCTION("""COMPUTED_VALUE"""),"การแข่งขันลักบี้")</f>
        <v>การแข่งขันลักบี้</v>
      </c>
      <c r="I103" s="3" t="str">
        <f>IFERROR(__xludf.DUMMYFUNCTION("""COMPUTED_VALUE"""),"สนามกีฬาธุปะเตมีย์")</f>
        <v>สนามกีฬาธุปะเตมีย์</v>
      </c>
      <c r="J103" s="12">
        <f>IFERROR(__xludf.DUMMYFUNCTION("""COMPUTED_VALUE"""),45907.0)</f>
        <v>45907</v>
      </c>
      <c r="K103" s="3" t="str">
        <f>IFERROR(__xludf.DUMMYFUNCTION("""COMPUTED_VALUE"""),"1600-2000")</f>
        <v>1600-2000</v>
      </c>
      <c r="L103" s="3">
        <f>IFERROR(__xludf.DUMMYFUNCTION("""COMPUTED_VALUE"""),4.0)</f>
        <v>4</v>
      </c>
      <c r="M103" s="3" t="str">
        <f>IFERROR(__xludf.DUMMYFUNCTION("""COMPUTED_VALUE"""),"น.ต.หญิง อนุกูล  บำรุงวงศ์")</f>
        <v>น.ต.หญิง อนุกูล  บำรุงวงศ์</v>
      </c>
      <c r="N103" s="14" t="str">
        <f>IFERROR(__xludf.DUMMYFUNCTION("""COMPUTED_VALUE"""),"https://lh5.googleusercontent.com/d/1SjQxSSjRRshN46fT0_LCOJXFP3Ns-OOS")</f>
        <v>https://lh5.googleusercontent.com/d/1SjQxSSjRRshN46fT0_LCOJXFP3Ns-OOS</v>
      </c>
      <c r="O103" s="14" t="str">
        <f>IFERROR(__xludf.DUMMYFUNCTION("""COMPUTED_VALUE"""),"https://drive.google.com/file/d/1eHX1gaujb7nLkSp7fcIIQmKoQ-imu1vy/view?usp=drivesdk")</f>
        <v>https://drive.google.com/file/d/1eHX1gaujb7nLkSp7fcIIQmKoQ-imu1vy/view?usp=drivesdk</v>
      </c>
    </row>
    <row r="104">
      <c r="A104" s="3">
        <f>IFERROR(__xludf.DUMMYFUNCTION("""COMPUTED_VALUE"""),572.0)</f>
        <v>572</v>
      </c>
      <c r="B104" s="11">
        <f>IFERROR(__xludf.DUMMYFUNCTION("""COMPUTED_VALUE"""),45991.55596284722)</f>
        <v>45991.55596</v>
      </c>
      <c r="C104" s="3" t="str">
        <f>IFERROR(__xludf.DUMMYFUNCTION("""COMPUTED_VALUE"""),"ชั้นปีที่ 3")</f>
        <v>ชั้นปีที่ 3</v>
      </c>
      <c r="D104" s="3" t="str">
        <f>IFERROR(__xludf.DUMMYFUNCTION("""COMPUTED_VALUE"""),"6603811")</f>
        <v>6603811</v>
      </c>
      <c r="E104" s="3" t="str">
        <f>IFERROR(__xludf.DUMMYFUNCTION("""COMPUTED_VALUE"""),"57")</f>
        <v>57</v>
      </c>
      <c r="F104" s="3" t="str">
        <f>IFERROR(__xludf.DUMMYFUNCTION("""COMPUTED_VALUE"""),"นพอ.สุภานัน ธรรมรักษา")</f>
        <v>นพอ.สุภานัน ธรรมรักษา</v>
      </c>
      <c r="G10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4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0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04" s="12">
        <f>IFERROR(__xludf.DUMMYFUNCTION("""COMPUTED_VALUE"""),45840.0)</f>
        <v>45840</v>
      </c>
      <c r="K104" s="3" t="str">
        <f>IFERROR(__xludf.DUMMYFUNCTION("""COMPUTED_VALUE"""),"1400-2200")</f>
        <v>1400-2200</v>
      </c>
      <c r="L104" s="3">
        <f>IFERROR(__xludf.DUMMYFUNCTION("""COMPUTED_VALUE"""),8.0)</f>
        <v>8</v>
      </c>
      <c r="M104" s="3" t="str">
        <f>IFERROR(__xludf.DUMMYFUNCTION("""COMPUTED_VALUE"""),"ร.อ.อนุชิต ทำจะดี")</f>
        <v>ร.อ.อนุชิต ทำจะดี</v>
      </c>
      <c r="N104" s="14" t="str">
        <f>IFERROR(__xludf.DUMMYFUNCTION("""COMPUTED_VALUE"""),"https://lh5.googleusercontent.com/d/1fqKyZUv06QHmk3kySYQrwBawTFQh41MQ")</f>
        <v>https://lh5.googleusercontent.com/d/1fqKyZUv06QHmk3kySYQrwBawTFQh41MQ</v>
      </c>
      <c r="O104" s="14" t="str">
        <f>IFERROR(__xludf.DUMMYFUNCTION("""COMPUTED_VALUE"""),"https://drive.google.com/file/d/1N3GugfQwWizT10G18mbzMUOPd5Jgbq-0/view?usp=drivesdk")</f>
        <v>https://drive.google.com/file/d/1N3GugfQwWizT10G18mbzMUOPd5Jgbq-0/view?usp=drivesdk</v>
      </c>
    </row>
    <row r="105">
      <c r="A105" s="3">
        <f>IFERROR(__xludf.DUMMYFUNCTION("""COMPUTED_VALUE"""),574.0)</f>
        <v>574</v>
      </c>
      <c r="B105" s="11">
        <f>IFERROR(__xludf.DUMMYFUNCTION("""COMPUTED_VALUE"""),45991.55973356481)</f>
        <v>45991.55973</v>
      </c>
      <c r="C105" s="3" t="str">
        <f>IFERROR(__xludf.DUMMYFUNCTION("""COMPUTED_VALUE"""),"ชั้นปีที่ 3")</f>
        <v>ชั้นปีที่ 3</v>
      </c>
      <c r="D105" s="3" t="str">
        <f>IFERROR(__xludf.DUMMYFUNCTION("""COMPUTED_VALUE"""),"6603811")</f>
        <v>6603811</v>
      </c>
      <c r="E105" s="3" t="str">
        <f>IFERROR(__xludf.DUMMYFUNCTION("""COMPUTED_VALUE"""),"57")</f>
        <v>57</v>
      </c>
      <c r="F105" s="3" t="str">
        <f>IFERROR(__xludf.DUMMYFUNCTION("""COMPUTED_VALUE"""),"นพอ.สุภานัน ธรรมรักษา")</f>
        <v>นพอ.สุภานัน ธรรมรักษา</v>
      </c>
      <c r="G10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5" s="3" t="str">
        <f>IFERROR(__xludf.DUMMYFUNCTION("""COMPUTED_VALUE"""),"รับเสด็จงานรับปริญญา 2568")</f>
        <v>รับเสด็จงานรับปริญญา 2568</v>
      </c>
      <c r="I105" s="3" t="str">
        <f>IFERROR(__xludf.DUMMYFUNCTION("""COMPUTED_VALUE"""),"มหาวิทยาลัยมหิดล")</f>
        <v>มหาวิทยาลัยมหิดล</v>
      </c>
      <c r="J105" s="12">
        <f>IFERROR(__xludf.DUMMYFUNCTION("""COMPUTED_VALUE"""),45940.0)</f>
        <v>45940</v>
      </c>
      <c r="K105" s="3" t="str">
        <f>IFERROR(__xludf.DUMMYFUNCTION("""COMPUTED_VALUE"""),"0800-1200")</f>
        <v>0800-1200</v>
      </c>
      <c r="L105" s="3">
        <f>IFERROR(__xludf.DUMMYFUNCTION("""COMPUTED_VALUE"""),4.0)</f>
        <v>4</v>
      </c>
      <c r="M105" s="3" t="str">
        <f>IFERROR(__xludf.DUMMYFUNCTION("""COMPUTED_VALUE"""),"น.ท.หญิง สุพัตรา ปิ่นแก้ว")</f>
        <v>น.ท.หญิง สุพัตรา ปิ่นแก้ว</v>
      </c>
      <c r="N105" s="14" t="str">
        <f>IFERROR(__xludf.DUMMYFUNCTION("""COMPUTED_VALUE"""),"https://lh5.googleusercontent.com/d/12irtP0B2aC0Eqhy6r1KPGiE6yBHd6hkD")</f>
        <v>https://lh5.googleusercontent.com/d/12irtP0B2aC0Eqhy6r1KPGiE6yBHd6hkD</v>
      </c>
      <c r="O105" s="14" t="str">
        <f>IFERROR(__xludf.DUMMYFUNCTION("""COMPUTED_VALUE"""),"https://drive.google.com/file/d/1XDsf1a1UcGdUIYp4mi6xiFn3Iveb9HCE/view?usp=drivesdk")</f>
        <v>https://drive.google.com/file/d/1XDsf1a1UcGdUIYp4mi6xiFn3Iveb9HCE/view?usp=drivesdk</v>
      </c>
    </row>
    <row r="106">
      <c r="A106" s="3">
        <f>IFERROR(__xludf.DUMMYFUNCTION("""COMPUTED_VALUE"""),576.0)</f>
        <v>576</v>
      </c>
      <c r="B106" s="11">
        <f>IFERROR(__xludf.DUMMYFUNCTION("""COMPUTED_VALUE"""),45991.561150682865)</f>
        <v>45991.56115</v>
      </c>
      <c r="C106" s="3" t="str">
        <f>IFERROR(__xludf.DUMMYFUNCTION("""COMPUTED_VALUE"""),"ชั้นปีที่ 3")</f>
        <v>ชั้นปีที่ 3</v>
      </c>
      <c r="D106" s="3" t="str">
        <f>IFERROR(__xludf.DUMMYFUNCTION("""COMPUTED_VALUE"""),"6603773")</f>
        <v>6603773</v>
      </c>
      <c r="E106" s="3" t="str">
        <f>IFERROR(__xludf.DUMMYFUNCTION("""COMPUTED_VALUE"""),"20")</f>
        <v>20</v>
      </c>
      <c r="F106" s="3" t="str">
        <f>IFERROR(__xludf.DUMMYFUNCTION("""COMPUTED_VALUE"""),"นพอ.ธัญชนก ไชยปรุง")</f>
        <v>นพอ.ธัญชนก ไชยปรุง</v>
      </c>
      <c r="G10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6" s="3" t="str">
        <f>IFERROR(__xludf.DUMMYFUNCTION("""COMPUTED_VALUE"""),"ซ้อมร้องประสานเสียงงานคอนเสิร์ตทัพฟ้า (ดุริยางค์ทหารอากาศ)")</f>
        <v>ซ้อมร้องประสานเสียงงานคอนเสิร์ตทัพฟ้า (ดุริยางค์ทหารอากาศ)</v>
      </c>
      <c r="I106" s="3" t="str">
        <f>IFERROR(__xludf.DUMMYFUNCTION("""COMPUTED_VALUE"""),"ดุริยางค์ทหารอากาศ")</f>
        <v>ดุริยางค์ทหารอากาศ</v>
      </c>
      <c r="J106" s="12">
        <f>IFERROR(__xludf.DUMMYFUNCTION("""COMPUTED_VALUE"""),45825.0)</f>
        <v>45825</v>
      </c>
      <c r="K106" s="3" t="str">
        <f>IFERROR(__xludf.DUMMYFUNCTION("""COMPUTED_VALUE"""),"0800-1600")</f>
        <v>0800-1600</v>
      </c>
      <c r="L106" s="3">
        <f>IFERROR(__xludf.DUMMYFUNCTION("""COMPUTED_VALUE"""),8.0)</f>
        <v>8</v>
      </c>
      <c r="M106" s="3" t="str">
        <f>IFERROR(__xludf.DUMMYFUNCTION("""COMPUTED_VALUE"""),"ร.อ. อนุชิต ทำจะดี")</f>
        <v>ร.อ. อนุชิต ทำจะดี</v>
      </c>
      <c r="N106" s="14" t="str">
        <f>IFERROR(__xludf.DUMMYFUNCTION("""COMPUTED_VALUE"""),"https://lh5.googleusercontent.com/d/1DgAIpcorG8LcNtAmL8hN9xK919Zz1Udx")</f>
        <v>https://lh5.googleusercontent.com/d/1DgAIpcorG8LcNtAmL8hN9xK919Zz1Udx</v>
      </c>
      <c r="O106" s="14" t="str">
        <f>IFERROR(__xludf.DUMMYFUNCTION("""COMPUTED_VALUE"""),"https://drive.google.com/file/d/1Tmbag725UVn523Wi7SXtBHVhTULeWv2G/view?usp=drivesdk")</f>
        <v>https://drive.google.com/file/d/1Tmbag725UVn523Wi7SXtBHVhTULeWv2G/view?usp=drivesdk</v>
      </c>
    </row>
    <row r="107">
      <c r="A107" s="3">
        <f>IFERROR(__xludf.DUMMYFUNCTION("""COMPUTED_VALUE"""),582.0)</f>
        <v>582</v>
      </c>
      <c r="B107" s="11">
        <f>IFERROR(__xludf.DUMMYFUNCTION("""COMPUTED_VALUE"""),45991.56724297454)</f>
        <v>45991.56724</v>
      </c>
      <c r="C107" s="3" t="str">
        <f>IFERROR(__xludf.DUMMYFUNCTION("""COMPUTED_VALUE"""),"ชั้นปีที่ 3")</f>
        <v>ชั้นปีที่ 3</v>
      </c>
      <c r="D107" s="3" t="str">
        <f>IFERROR(__xludf.DUMMYFUNCTION("""COMPUTED_VALUE"""),"6603760")</f>
        <v>6603760</v>
      </c>
      <c r="E107" s="3" t="str">
        <f>IFERROR(__xludf.DUMMYFUNCTION("""COMPUTED_VALUE"""),"7")</f>
        <v>7</v>
      </c>
      <c r="F107" s="3" t="str">
        <f>IFERROR(__xludf.DUMMYFUNCTION("""COMPUTED_VALUE"""),"นพอ.ฉัตรชนก กันสาตร")</f>
        <v>นพอ.ฉัตรชนก กันสาตร</v>
      </c>
      <c r="G1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7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07" s="3" t="str">
        <f>IFERROR(__xludf.DUMMYFUNCTION("""COMPUTED_VALUE"""),"ดุริยางค์ทหารอากาศ")</f>
        <v>ดุริยางค์ทหารอากาศ</v>
      </c>
      <c r="J107" s="12">
        <f>IFERROR(__xludf.DUMMYFUNCTION("""COMPUTED_VALUE"""),45825.0)</f>
        <v>45825</v>
      </c>
      <c r="K107" s="3" t="str">
        <f>IFERROR(__xludf.DUMMYFUNCTION("""COMPUTED_VALUE"""),"0800-1600")</f>
        <v>0800-1600</v>
      </c>
      <c r="L107" s="3">
        <f>IFERROR(__xludf.DUMMYFUNCTION("""COMPUTED_VALUE"""),8.0)</f>
        <v>8</v>
      </c>
      <c r="M107" s="3" t="str">
        <f>IFERROR(__xludf.DUMMYFUNCTION("""COMPUTED_VALUE"""),"ร.อ.อนุชิต ทำจะดี")</f>
        <v>ร.อ.อนุชิต ทำจะดี</v>
      </c>
      <c r="N107" s="14" t="str">
        <f>IFERROR(__xludf.DUMMYFUNCTION("""COMPUTED_VALUE"""),"https://lh5.googleusercontent.com/d/19KGqcvpJPRWw7SrXV8dOSzXC-0g98aeH")</f>
        <v>https://lh5.googleusercontent.com/d/19KGqcvpJPRWw7SrXV8dOSzXC-0g98aeH</v>
      </c>
      <c r="O107" s="14" t="str">
        <f>IFERROR(__xludf.DUMMYFUNCTION("""COMPUTED_VALUE"""),"https://drive.google.com/file/d/1zSvU6Elb2Yx3pvNYRYgjAW25lzPond4O/view?usp=drivesdk")</f>
        <v>https://drive.google.com/file/d/1zSvU6Elb2Yx3pvNYRYgjAW25lzPond4O/view?usp=drivesdk</v>
      </c>
    </row>
    <row r="108">
      <c r="A108" s="3">
        <f>IFERROR(__xludf.DUMMYFUNCTION("""COMPUTED_VALUE"""),583.0)</f>
        <v>583</v>
      </c>
      <c r="B108" s="11">
        <f>IFERROR(__xludf.DUMMYFUNCTION("""COMPUTED_VALUE"""),45991.56861460648)</f>
        <v>45991.56861</v>
      </c>
      <c r="C108" s="3" t="str">
        <f>IFERROR(__xludf.DUMMYFUNCTION("""COMPUTED_VALUE"""),"ชั้นปีที่ 3")</f>
        <v>ชั้นปีที่ 3</v>
      </c>
      <c r="D108" s="3" t="str">
        <f>IFERROR(__xludf.DUMMYFUNCTION("""COMPUTED_VALUE"""),"6603760")</f>
        <v>6603760</v>
      </c>
      <c r="E108" s="3" t="str">
        <f>IFERROR(__xludf.DUMMYFUNCTION("""COMPUTED_VALUE"""),"7")</f>
        <v>7</v>
      </c>
      <c r="F108" s="3" t="str">
        <f>IFERROR(__xludf.DUMMYFUNCTION("""COMPUTED_VALUE"""),"นพอ.ฉัตรชนก กันสาตร")</f>
        <v>นพอ.ฉัตรชนก กันสาตร</v>
      </c>
      <c r="G10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8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08" s="3" t="str">
        <f>IFERROR(__xludf.DUMMYFUNCTION("""COMPUTED_VALUE"""),"กองบัญชาการกองทัพอากาศ")</f>
        <v>กองบัญชาการกองทัพอากาศ</v>
      </c>
      <c r="J108" s="12">
        <f>IFERROR(__xludf.DUMMYFUNCTION("""COMPUTED_VALUE"""),45833.0)</f>
        <v>45833</v>
      </c>
      <c r="K108" s="3" t="str">
        <f>IFERROR(__xludf.DUMMYFUNCTION("""COMPUTED_VALUE"""),"0800-1600")</f>
        <v>0800-1600</v>
      </c>
      <c r="L108" s="3">
        <f>IFERROR(__xludf.DUMMYFUNCTION("""COMPUTED_VALUE"""),8.0)</f>
        <v>8</v>
      </c>
      <c r="M108" s="3" t="str">
        <f>IFERROR(__xludf.DUMMYFUNCTION("""COMPUTED_VALUE"""),"ร.อ.อนุชิต ทำจะดี")</f>
        <v>ร.อ.อนุชิต ทำจะดี</v>
      </c>
      <c r="N108" s="14" t="str">
        <f>IFERROR(__xludf.DUMMYFUNCTION("""COMPUTED_VALUE"""),"https://lh5.googleusercontent.com/d/1-06zEHnwqg0xRCW4UgOnFd8zA_pAB744")</f>
        <v>https://lh5.googleusercontent.com/d/1-06zEHnwqg0xRCW4UgOnFd8zA_pAB744</v>
      </c>
      <c r="O108" s="14" t="str">
        <f>IFERROR(__xludf.DUMMYFUNCTION("""COMPUTED_VALUE"""),"https://drive.google.com/file/d/1F5ckWNoqQgzOlrJe_BvFvjMuSVN390Vm/view?usp=drivesdk")</f>
        <v>https://drive.google.com/file/d/1F5ckWNoqQgzOlrJe_BvFvjMuSVN390Vm/view?usp=drivesdk</v>
      </c>
    </row>
    <row r="109">
      <c r="A109" s="3">
        <f>IFERROR(__xludf.DUMMYFUNCTION("""COMPUTED_VALUE"""),584.0)</f>
        <v>584</v>
      </c>
      <c r="B109" s="11">
        <f>IFERROR(__xludf.DUMMYFUNCTION("""COMPUTED_VALUE"""),45991.57323306713)</f>
        <v>45991.57323</v>
      </c>
      <c r="C109" s="3" t="str">
        <f>IFERROR(__xludf.DUMMYFUNCTION("""COMPUTED_VALUE"""),"ชั้นปีที่ 3")</f>
        <v>ชั้นปีที่ 3</v>
      </c>
      <c r="D109" s="3" t="str">
        <f>IFERROR(__xludf.DUMMYFUNCTION("""COMPUTED_VALUE"""),"6603760")</f>
        <v>6603760</v>
      </c>
      <c r="E109" s="3" t="str">
        <f>IFERROR(__xludf.DUMMYFUNCTION("""COMPUTED_VALUE"""),"7")</f>
        <v>7</v>
      </c>
      <c r="F109" s="3" t="str">
        <f>IFERROR(__xludf.DUMMYFUNCTION("""COMPUTED_VALUE"""),"นพอ.ฉัตรชนก กันสาตร")</f>
        <v>นพอ.ฉัตรชนก กันสาตร</v>
      </c>
      <c r="G10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9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0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09" s="12">
        <f>IFERROR(__xludf.DUMMYFUNCTION("""COMPUTED_VALUE"""),45838.0)</f>
        <v>45838</v>
      </c>
      <c r="K109" s="3" t="str">
        <f>IFERROR(__xludf.DUMMYFUNCTION("""COMPUTED_VALUE"""),"1400-2200")</f>
        <v>1400-2200</v>
      </c>
      <c r="L109" s="3">
        <f>IFERROR(__xludf.DUMMYFUNCTION("""COMPUTED_VALUE"""),8.0)</f>
        <v>8</v>
      </c>
      <c r="M109" s="3" t="str">
        <f>IFERROR(__xludf.DUMMYFUNCTION("""COMPUTED_VALUE"""),"ร.อ.อนุชิต ทำจะดี")</f>
        <v>ร.อ.อนุชิต ทำจะดี</v>
      </c>
      <c r="N109" s="14" t="str">
        <f>IFERROR(__xludf.DUMMYFUNCTION("""COMPUTED_VALUE"""),"https://lh5.googleusercontent.com/d/1HNk-tJ_cPGBtcMUP5LhEG8Te_iRnVOX-")</f>
        <v>https://lh5.googleusercontent.com/d/1HNk-tJ_cPGBtcMUP5LhEG8Te_iRnVOX-</v>
      </c>
      <c r="O109" s="14" t="str">
        <f>IFERROR(__xludf.DUMMYFUNCTION("""COMPUTED_VALUE"""),"https://drive.google.com/file/d/1ppuGL4hB8GCpf9lW92pR9KRPPB5xB6Ok/view?usp=drivesdk")</f>
        <v>https://drive.google.com/file/d/1ppuGL4hB8GCpf9lW92pR9KRPPB5xB6Ok/view?usp=drivesdk</v>
      </c>
    </row>
    <row r="110">
      <c r="A110" s="3">
        <f>IFERROR(__xludf.DUMMYFUNCTION("""COMPUTED_VALUE"""),585.0)</f>
        <v>585</v>
      </c>
      <c r="B110" s="11">
        <f>IFERROR(__xludf.DUMMYFUNCTION("""COMPUTED_VALUE"""),45991.57597150462)</f>
        <v>45991.57597</v>
      </c>
      <c r="C110" s="3" t="str">
        <f>IFERROR(__xludf.DUMMYFUNCTION("""COMPUTED_VALUE"""),"ชั้นปีที่ 3")</f>
        <v>ชั้นปีที่ 3</v>
      </c>
      <c r="D110" s="3" t="str">
        <f>IFERROR(__xludf.DUMMYFUNCTION("""COMPUTED_VALUE"""),"6603760")</f>
        <v>6603760</v>
      </c>
      <c r="E110" s="3" t="str">
        <f>IFERROR(__xludf.DUMMYFUNCTION("""COMPUTED_VALUE"""),"7")</f>
        <v>7</v>
      </c>
      <c r="F110" s="3" t="str">
        <f>IFERROR(__xludf.DUMMYFUNCTION("""COMPUTED_VALUE"""),"นพอ.ฉัตรชนก กันสาตร")</f>
        <v>นพอ.ฉัตรชนก กันสาตร</v>
      </c>
      <c r="G11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0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11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0" s="12">
        <f>IFERROR(__xludf.DUMMYFUNCTION("""COMPUTED_VALUE"""),45839.0)</f>
        <v>45839</v>
      </c>
      <c r="K110" s="3" t="str">
        <f>IFERROR(__xludf.DUMMYFUNCTION("""COMPUTED_VALUE"""),"1400-2200")</f>
        <v>1400-2200</v>
      </c>
      <c r="L110" s="3">
        <f>IFERROR(__xludf.DUMMYFUNCTION("""COMPUTED_VALUE"""),8.0)</f>
        <v>8</v>
      </c>
      <c r="M110" s="3" t="str">
        <f>IFERROR(__xludf.DUMMYFUNCTION("""COMPUTED_VALUE"""),"ร.อ.อนุชิต ทำจะดี")</f>
        <v>ร.อ.อนุชิต ทำจะดี</v>
      </c>
      <c r="N110" s="14" t="str">
        <f>IFERROR(__xludf.DUMMYFUNCTION("""COMPUTED_VALUE"""),"https://lh5.googleusercontent.com/d/1pcDb7TbcDFKDB-7iLpohI1NZggljyHYx")</f>
        <v>https://lh5.googleusercontent.com/d/1pcDb7TbcDFKDB-7iLpohI1NZggljyHYx</v>
      </c>
      <c r="O110" s="14" t="str">
        <f>IFERROR(__xludf.DUMMYFUNCTION("""COMPUTED_VALUE"""),"https://drive.google.com/file/d/14OrvdJ7BEeaTxLT9PUNu9SNvi1XoSBMM/view?usp=drivesdk")</f>
        <v>https://drive.google.com/file/d/14OrvdJ7BEeaTxLT9PUNu9SNvi1XoSBMM/view?usp=drivesdk</v>
      </c>
    </row>
    <row r="111">
      <c r="A111" s="3">
        <f>IFERROR(__xludf.DUMMYFUNCTION("""COMPUTED_VALUE"""),586.0)</f>
        <v>586</v>
      </c>
      <c r="B111" s="11">
        <f>IFERROR(__xludf.DUMMYFUNCTION("""COMPUTED_VALUE"""),45991.57796015046)</f>
        <v>45991.57796</v>
      </c>
      <c r="C111" s="3" t="str">
        <f>IFERROR(__xludf.DUMMYFUNCTION("""COMPUTED_VALUE"""),"ชั้นปีที่ 3")</f>
        <v>ชั้นปีที่ 3</v>
      </c>
      <c r="D111" s="3" t="str">
        <f>IFERROR(__xludf.DUMMYFUNCTION("""COMPUTED_VALUE"""),"6603760")</f>
        <v>6603760</v>
      </c>
      <c r="E111" s="3" t="str">
        <f>IFERROR(__xludf.DUMMYFUNCTION("""COMPUTED_VALUE"""),"7")</f>
        <v>7</v>
      </c>
      <c r="F111" s="3" t="str">
        <f>IFERROR(__xludf.DUMMYFUNCTION("""COMPUTED_VALUE"""),"นพแ.ฉัตรชนก กันสาตร")</f>
        <v>นพแ.ฉัตรชนก กันสาตร</v>
      </c>
      <c r="G1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1" s="3" t="str">
        <f>IFERROR(__xludf.DUMMYFUNCTION("""COMPUTED_VALUE"""),"คอนเสิร์ตทัพฟ้าคู่ไทยเพื่อ ”ชัยพัฒนา“ ครั้งที่ 16")</f>
        <v>คอนเสิร์ตทัพฟ้าคู่ไทยเพื่อ ”ชัยพัฒนา“ ครั้งที่ 16</v>
      </c>
      <c r="I11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1" s="12">
        <f>IFERROR(__xludf.DUMMYFUNCTION("""COMPUTED_VALUE"""),45840.0)</f>
        <v>45840</v>
      </c>
      <c r="K111" s="3" t="str">
        <f>IFERROR(__xludf.DUMMYFUNCTION("""COMPUTED_VALUE"""),"1400-2200")</f>
        <v>1400-2200</v>
      </c>
      <c r="L111" s="3">
        <f>IFERROR(__xludf.DUMMYFUNCTION("""COMPUTED_VALUE"""),8.0)</f>
        <v>8</v>
      </c>
      <c r="M111" s="3" t="str">
        <f>IFERROR(__xludf.DUMMYFUNCTION("""COMPUTED_VALUE"""),"ร.อ.อนุชิต ทำจะดี")</f>
        <v>ร.อ.อนุชิต ทำจะดี</v>
      </c>
      <c r="N111" s="14" t="str">
        <f>IFERROR(__xludf.DUMMYFUNCTION("""COMPUTED_VALUE"""),"https://lh5.googleusercontent.com/d/1Fb3AnquxieFF41B3M9DHX9RX5o2gXSKb")</f>
        <v>https://lh5.googleusercontent.com/d/1Fb3AnquxieFF41B3M9DHX9RX5o2gXSKb</v>
      </c>
      <c r="O111" s="14" t="str">
        <f>IFERROR(__xludf.DUMMYFUNCTION("""COMPUTED_VALUE"""),"https://drive.google.com/file/d/16NDr5SPt6Oqv7mlOPiu0wopbN7kjf8Pt/view?usp=drivesdk")</f>
        <v>https://drive.google.com/file/d/16NDr5SPt6Oqv7mlOPiu0wopbN7kjf8Pt/view?usp=drivesdk</v>
      </c>
    </row>
    <row r="112">
      <c r="A112" s="3">
        <f>IFERROR(__xludf.DUMMYFUNCTION("""COMPUTED_VALUE"""),590.0)</f>
        <v>590</v>
      </c>
      <c r="B112" s="11">
        <f>IFERROR(__xludf.DUMMYFUNCTION("""COMPUTED_VALUE"""),45991.58747186343)</f>
        <v>45991.58747</v>
      </c>
      <c r="C112" s="3" t="str">
        <f>IFERROR(__xludf.DUMMYFUNCTION("""COMPUTED_VALUE"""),"ชั้นปีที่ 3")</f>
        <v>ชั้นปีที่ 3</v>
      </c>
      <c r="D112" s="3" t="str">
        <f>IFERROR(__xludf.DUMMYFUNCTION("""COMPUTED_VALUE"""),"6603760")</f>
        <v>6603760</v>
      </c>
      <c r="E112" s="3" t="str">
        <f>IFERROR(__xludf.DUMMYFUNCTION("""COMPUTED_VALUE"""),"7")</f>
        <v>7</v>
      </c>
      <c r="F112" s="3" t="str">
        <f>IFERROR(__xludf.DUMMYFUNCTION("""COMPUTED_VALUE"""),"นพอ.ฉัตรชนก กันสาตร")</f>
        <v>นพอ.ฉัตรชนก กันสาตร</v>
      </c>
      <c r="G1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2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12" s="3" t="str">
        <f>IFERROR(__xludf.DUMMYFUNCTION("""COMPUTED_VALUE"""),"ชุมชนวัดเกาะ")</f>
        <v>ชุมชนวัดเกาะ</v>
      </c>
      <c r="J112" s="12">
        <f>IFERROR(__xludf.DUMMYFUNCTION("""COMPUTED_VALUE"""),45823.0)</f>
        <v>45823</v>
      </c>
      <c r="K112" s="3" t="str">
        <f>IFERROR(__xludf.DUMMYFUNCTION("""COMPUTED_VALUE"""),"0800-1200")</f>
        <v>0800-1200</v>
      </c>
      <c r="L112" s="3">
        <f>IFERROR(__xludf.DUMMYFUNCTION("""COMPUTED_VALUE"""),4.0)</f>
        <v>4</v>
      </c>
      <c r="M112" s="3" t="str">
        <f>IFERROR(__xludf.DUMMYFUNCTION("""COMPUTED_VALUE"""),"น.ต.หญิง ตวงทิพย์ ลดาวัลย์")</f>
        <v>น.ต.หญิง ตวงทิพย์ ลดาวัลย์</v>
      </c>
      <c r="N112" s="14" t="str">
        <f>IFERROR(__xludf.DUMMYFUNCTION("""COMPUTED_VALUE"""),"https://lh5.googleusercontent.com/d/12Bl_KI155m3rX38hBBCvwmxnQlOQeJ1u")</f>
        <v>https://lh5.googleusercontent.com/d/12Bl_KI155m3rX38hBBCvwmxnQlOQeJ1u</v>
      </c>
      <c r="O112" s="3"/>
    </row>
    <row r="113">
      <c r="A113" s="3">
        <f>IFERROR(__xludf.DUMMYFUNCTION("""COMPUTED_VALUE"""),600.0)</f>
        <v>600</v>
      </c>
      <c r="B113" s="11">
        <f>IFERROR(__xludf.DUMMYFUNCTION("""COMPUTED_VALUE"""),45991.60088295139)</f>
        <v>45991.60088</v>
      </c>
      <c r="C113" s="3" t="str">
        <f>IFERROR(__xludf.DUMMYFUNCTION("""COMPUTED_VALUE"""),"ชั้นปีที่ 3")</f>
        <v>ชั้นปีที่ 3</v>
      </c>
      <c r="D113" s="3" t="str">
        <f>IFERROR(__xludf.DUMMYFUNCTION("""COMPUTED_VALUE"""),"6603767")</f>
        <v>6603767</v>
      </c>
      <c r="E113" s="3" t="str">
        <f>IFERROR(__xludf.DUMMYFUNCTION("""COMPUTED_VALUE"""),"14")</f>
        <v>14</v>
      </c>
      <c r="F113" s="3" t="str">
        <f>IFERROR(__xludf.DUMMYFUNCTION("""COMPUTED_VALUE"""),"นพอ.ณัฐนรินทร์ เต่าไธสง")</f>
        <v>นพอ.ณัฐนรินทร์ เต่าไธสง</v>
      </c>
      <c r="G113" s="3" t="str">
        <f>IFERROR(__xludf.DUMMYFUNCTION("""COMPUTED_VALUE"""),"ช่วยเหลืองานภายใน วพอ.")</f>
        <v>ช่วยเหลืองานภายใน วพอ.</v>
      </c>
      <c r="H113" s="3" t="str">
        <f>IFERROR(__xludf.DUMMYFUNCTION("""COMPUTED_VALUE"""),"ทำการแทนน.ป.ค.")</f>
        <v>ทำการแทนน.ป.ค.</v>
      </c>
      <c r="I113" s="3" t="str">
        <f>IFERROR(__xludf.DUMMYFUNCTION("""COMPUTED_VALUE"""),"วพอ.พอ.")</f>
        <v>วพอ.พอ.</v>
      </c>
      <c r="J113" s="12">
        <f>IFERROR(__xludf.DUMMYFUNCTION("""COMPUTED_VALUE"""),45938.0)</f>
        <v>45938</v>
      </c>
      <c r="K113" s="3" t="str">
        <f>IFERROR(__xludf.DUMMYFUNCTION("""COMPUTED_VALUE"""),"0800-1600")</f>
        <v>0800-1600</v>
      </c>
      <c r="L113" s="3">
        <f>IFERROR(__xludf.DUMMYFUNCTION("""COMPUTED_VALUE"""),8.0)</f>
        <v>8</v>
      </c>
      <c r="M113" s="3" t="str">
        <f>IFERROR(__xludf.DUMMYFUNCTION("""COMPUTED_VALUE"""),"ร.อ.อนุชิต ทำจะดี")</f>
        <v>ร.อ.อนุชิต ทำจะดี</v>
      </c>
      <c r="N113" s="14" t="str">
        <f>IFERROR(__xludf.DUMMYFUNCTION("""COMPUTED_VALUE"""),"https://lh5.googleusercontent.com/d/1tEfe0fNbu3NI7INKkwqOpJS5VsoF_hD7")</f>
        <v>https://lh5.googleusercontent.com/d/1tEfe0fNbu3NI7INKkwqOpJS5VsoF_hD7</v>
      </c>
      <c r="O113" s="14" t="str">
        <f>IFERROR(__xludf.DUMMYFUNCTION("""COMPUTED_VALUE"""),"https://drive.google.com/file/d/1ybGZkLIb-nF3TxZ19biociasamVBgU9x/view?usp=drivesdk")</f>
        <v>https://drive.google.com/file/d/1ybGZkLIb-nF3TxZ19biociasamVBgU9x/view?usp=drivesdk</v>
      </c>
    </row>
    <row r="114">
      <c r="A114" s="3">
        <f>IFERROR(__xludf.DUMMYFUNCTION("""COMPUTED_VALUE"""),601.0)</f>
        <v>601</v>
      </c>
      <c r="B114" s="11">
        <f>IFERROR(__xludf.DUMMYFUNCTION("""COMPUTED_VALUE"""),45991.60234010417)</f>
        <v>45991.60234</v>
      </c>
      <c r="C114" s="3" t="str">
        <f>IFERROR(__xludf.DUMMYFUNCTION("""COMPUTED_VALUE"""),"ชั้นปีที่ 3")</f>
        <v>ชั้นปีที่ 3</v>
      </c>
      <c r="D114" s="3" t="str">
        <f>IFERROR(__xludf.DUMMYFUNCTION("""COMPUTED_VALUE"""),"6603767")</f>
        <v>6603767</v>
      </c>
      <c r="E114" s="3" t="str">
        <f>IFERROR(__xludf.DUMMYFUNCTION("""COMPUTED_VALUE"""),"14")</f>
        <v>14</v>
      </c>
      <c r="F114" s="3" t="str">
        <f>IFERROR(__xludf.DUMMYFUNCTION("""COMPUTED_VALUE"""),"นพอ.ณัฐนรินทร์ เต่าไธสง")</f>
        <v>นพอ.ณัฐนรินทร์ เต่าไธสง</v>
      </c>
      <c r="G114" s="3" t="str">
        <f>IFERROR(__xludf.DUMMYFUNCTION("""COMPUTED_VALUE"""),"ช่วยเหลืองานภายใน วพอ.")</f>
        <v>ช่วยเหลืองานภายใน วพอ.</v>
      </c>
      <c r="H114" s="3" t="str">
        <f>IFERROR(__xludf.DUMMYFUNCTION("""COMPUTED_VALUE"""),"ทำการแทนน.ป.ค.")</f>
        <v>ทำการแทนน.ป.ค.</v>
      </c>
      <c r="I114" s="3" t="str">
        <f>IFERROR(__xludf.DUMMYFUNCTION("""COMPUTED_VALUE"""),"วพอ.พอ.")</f>
        <v>วพอ.พอ.</v>
      </c>
      <c r="J114" s="12">
        <f>IFERROR(__xludf.DUMMYFUNCTION("""COMPUTED_VALUE"""),45939.0)</f>
        <v>45939</v>
      </c>
      <c r="K114" s="3" t="str">
        <f>IFERROR(__xludf.DUMMYFUNCTION("""COMPUTED_VALUE"""),"0800-1600")</f>
        <v>0800-1600</v>
      </c>
      <c r="L114" s="3">
        <f>IFERROR(__xludf.DUMMYFUNCTION("""COMPUTED_VALUE"""),8.0)</f>
        <v>8</v>
      </c>
      <c r="M114" s="3" t="str">
        <f>IFERROR(__xludf.DUMMYFUNCTION("""COMPUTED_VALUE"""),"ร.อ.อนุชิต ทำจะดี")</f>
        <v>ร.อ.อนุชิต ทำจะดี</v>
      </c>
      <c r="N114" s="14" t="str">
        <f>IFERROR(__xludf.DUMMYFUNCTION("""COMPUTED_VALUE"""),"https://lh5.googleusercontent.com/d/1VWKWHPfpIIDeIxxHtCkOlALHjlcF1-tg")</f>
        <v>https://lh5.googleusercontent.com/d/1VWKWHPfpIIDeIxxHtCkOlALHjlcF1-tg</v>
      </c>
      <c r="O114" s="14" t="str">
        <f>IFERROR(__xludf.DUMMYFUNCTION("""COMPUTED_VALUE"""),"https://drive.google.com/file/d/1B-soZzESpcpPbKhU-_0xJu1ofAfxDcf-/view?usp=drivesdk")</f>
        <v>https://drive.google.com/file/d/1B-soZzESpcpPbKhU-_0xJu1ofAfxDcf-/view?usp=drivesdk</v>
      </c>
    </row>
    <row r="115">
      <c r="A115" s="3">
        <f>IFERROR(__xludf.DUMMYFUNCTION("""COMPUTED_VALUE"""),602.0)</f>
        <v>602</v>
      </c>
      <c r="B115" s="11">
        <f>IFERROR(__xludf.DUMMYFUNCTION("""COMPUTED_VALUE"""),45991.603512500005)</f>
        <v>45991.60351</v>
      </c>
      <c r="C115" s="3" t="str">
        <f>IFERROR(__xludf.DUMMYFUNCTION("""COMPUTED_VALUE"""),"ชั้นปีที่ 3")</f>
        <v>ชั้นปีที่ 3</v>
      </c>
      <c r="D115" s="3" t="str">
        <f>IFERROR(__xludf.DUMMYFUNCTION("""COMPUTED_VALUE"""),"6603767")</f>
        <v>6603767</v>
      </c>
      <c r="E115" s="3" t="str">
        <f>IFERROR(__xludf.DUMMYFUNCTION("""COMPUTED_VALUE"""),"14")</f>
        <v>14</v>
      </c>
      <c r="F115" s="3" t="str">
        <f>IFERROR(__xludf.DUMMYFUNCTION("""COMPUTED_VALUE"""),"นพอ.ณัฐนรินทร์ เต่าไธสง")</f>
        <v>นพอ.ณัฐนรินทร์ เต่าไธสง</v>
      </c>
      <c r="G115" s="3" t="str">
        <f>IFERROR(__xludf.DUMMYFUNCTION("""COMPUTED_VALUE"""),"ช่วยเหลืองานภายใน วพอ.")</f>
        <v>ช่วยเหลืองานภายใน วพอ.</v>
      </c>
      <c r="H115" s="3" t="str">
        <f>IFERROR(__xludf.DUMMYFUNCTION("""COMPUTED_VALUE"""),"ทำการแทนน.ป.ค.")</f>
        <v>ทำการแทนน.ป.ค.</v>
      </c>
      <c r="I115" s="3" t="str">
        <f>IFERROR(__xludf.DUMMYFUNCTION("""COMPUTED_VALUE"""),"วพอ.พอ.")</f>
        <v>วพอ.พอ.</v>
      </c>
      <c r="J115" s="12">
        <f>IFERROR(__xludf.DUMMYFUNCTION("""COMPUTED_VALUE"""),45940.0)</f>
        <v>45940</v>
      </c>
      <c r="K115" s="3" t="str">
        <f>IFERROR(__xludf.DUMMYFUNCTION("""COMPUTED_VALUE"""),"0800-1200")</f>
        <v>0800-1200</v>
      </c>
      <c r="L115" s="3">
        <f>IFERROR(__xludf.DUMMYFUNCTION("""COMPUTED_VALUE"""),4.0)</f>
        <v>4</v>
      </c>
      <c r="M115" s="3" t="str">
        <f>IFERROR(__xludf.DUMMYFUNCTION("""COMPUTED_VALUE"""),"ร.อ.อนุชิต ทำจะดี")</f>
        <v>ร.อ.อนุชิต ทำจะดี</v>
      </c>
      <c r="N115" s="14" t="str">
        <f>IFERROR(__xludf.DUMMYFUNCTION("""COMPUTED_VALUE"""),"https://lh5.googleusercontent.com/d/1jPYCRWOC5_glZe1iYbd6paP3CEjvXim1")</f>
        <v>https://lh5.googleusercontent.com/d/1jPYCRWOC5_glZe1iYbd6paP3CEjvXim1</v>
      </c>
      <c r="O115" s="14" t="str">
        <f>IFERROR(__xludf.DUMMYFUNCTION("""COMPUTED_VALUE"""),"https://drive.google.com/file/d/1nlxjNBLxm82E1C3dF2gtLrzYR52bmuPH/view?usp=drivesdk")</f>
        <v>https://drive.google.com/file/d/1nlxjNBLxm82E1C3dF2gtLrzYR52bmuPH/view?usp=drivesdk</v>
      </c>
    </row>
    <row r="116">
      <c r="A116" s="3">
        <f>IFERROR(__xludf.DUMMYFUNCTION("""COMPUTED_VALUE"""),606.0)</f>
        <v>606</v>
      </c>
      <c r="B116" s="11">
        <f>IFERROR(__xludf.DUMMYFUNCTION("""COMPUTED_VALUE"""),45991.6130856713)</f>
        <v>45991.61309</v>
      </c>
      <c r="C116" s="3" t="str">
        <f>IFERROR(__xludf.DUMMYFUNCTION("""COMPUTED_VALUE"""),"ชั้นปีที่ 3")</f>
        <v>ชั้นปีที่ 3</v>
      </c>
      <c r="D116" s="3" t="str">
        <f>IFERROR(__xludf.DUMMYFUNCTION("""COMPUTED_VALUE"""),"6603773")</f>
        <v>6603773</v>
      </c>
      <c r="E116" s="3" t="str">
        <f>IFERROR(__xludf.DUMMYFUNCTION("""COMPUTED_VALUE"""),"20")</f>
        <v>20</v>
      </c>
      <c r="F116" s="3" t="str">
        <f>IFERROR(__xludf.DUMMYFUNCTION("""COMPUTED_VALUE"""),"นพอ.ธัญชนก ไชยปรุง")</f>
        <v>นพอ.ธัญชนก ไชยปรุง</v>
      </c>
      <c r="G1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6" s="3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1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6" s="12">
        <f>IFERROR(__xludf.DUMMYFUNCTION("""COMPUTED_VALUE"""),45839.0)</f>
        <v>45839</v>
      </c>
      <c r="K116" s="3" t="str">
        <f>IFERROR(__xludf.DUMMYFUNCTION("""COMPUTED_VALUE"""),"1400-2200")</f>
        <v>1400-2200</v>
      </c>
      <c r="L116" s="3">
        <f>IFERROR(__xludf.DUMMYFUNCTION("""COMPUTED_VALUE"""),8.0)</f>
        <v>8</v>
      </c>
      <c r="M116" s="3" t="str">
        <f>IFERROR(__xludf.DUMMYFUNCTION("""COMPUTED_VALUE"""),"ร.อ. อนุชิต ทำจะดี")</f>
        <v>ร.อ. อนุชิต ทำจะดี</v>
      </c>
      <c r="N116" s="14" t="str">
        <f>IFERROR(__xludf.DUMMYFUNCTION("""COMPUTED_VALUE"""),"https://lh5.googleusercontent.com/d/15ZikLWqewi0XCQi-oidT_DnR8Z6lpFY1")</f>
        <v>https://lh5.googleusercontent.com/d/15ZikLWqewi0XCQi-oidT_DnR8Z6lpFY1</v>
      </c>
      <c r="O116" s="14" t="str">
        <f>IFERROR(__xludf.DUMMYFUNCTION("""COMPUTED_VALUE"""),"https://drive.google.com/file/d/1tjW0OhKJvwJsD4gsPSqzMn7rkUeqgZIa/view?usp=drivesdk")</f>
        <v>https://drive.google.com/file/d/1tjW0OhKJvwJsD4gsPSqzMn7rkUeqgZIa/view?usp=drivesdk</v>
      </c>
    </row>
    <row r="117">
      <c r="A117" s="3">
        <f>IFERROR(__xludf.DUMMYFUNCTION("""COMPUTED_VALUE"""),608.0)</f>
        <v>608</v>
      </c>
      <c r="B117" s="11">
        <f>IFERROR(__xludf.DUMMYFUNCTION("""COMPUTED_VALUE"""),45991.61925603009)</f>
        <v>45991.61926</v>
      </c>
      <c r="C117" s="3" t="str">
        <f>IFERROR(__xludf.DUMMYFUNCTION("""COMPUTED_VALUE"""),"ชั้นปีที่ 3")</f>
        <v>ชั้นปีที่ 3</v>
      </c>
      <c r="D117" s="3" t="str">
        <f>IFERROR(__xludf.DUMMYFUNCTION("""COMPUTED_VALUE"""),"6603773")</f>
        <v>6603773</v>
      </c>
      <c r="E117" s="3" t="str">
        <f>IFERROR(__xludf.DUMMYFUNCTION("""COMPUTED_VALUE"""),"20")</f>
        <v>20</v>
      </c>
      <c r="F117" s="3" t="str">
        <f>IFERROR(__xludf.DUMMYFUNCTION("""COMPUTED_VALUE"""),"นพอ.ธัญชนก ไชยปรุง")</f>
        <v>นพอ.ธัญชนก ไชยปรุง</v>
      </c>
      <c r="G1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7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1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7" s="12">
        <f>IFERROR(__xludf.DUMMYFUNCTION("""COMPUTED_VALUE"""),45840.0)</f>
        <v>45840</v>
      </c>
      <c r="K117" s="3" t="str">
        <f>IFERROR(__xludf.DUMMYFUNCTION("""COMPUTED_VALUE"""),"1400-2200")</f>
        <v>1400-2200</v>
      </c>
      <c r="L117" s="3">
        <f>IFERROR(__xludf.DUMMYFUNCTION("""COMPUTED_VALUE"""),8.0)</f>
        <v>8</v>
      </c>
      <c r="M117" s="3" t="str">
        <f>IFERROR(__xludf.DUMMYFUNCTION("""COMPUTED_VALUE"""),"ร.อ. อนุชิต ทำจะดี")</f>
        <v>ร.อ. อนุชิต ทำจะดี</v>
      </c>
      <c r="N117" s="14" t="str">
        <f>IFERROR(__xludf.DUMMYFUNCTION("""COMPUTED_VALUE"""),"https://lh5.googleusercontent.com/d/1KKMyQNgs1cAmKRfIImMSu1cNv_0W9xLt")</f>
        <v>https://lh5.googleusercontent.com/d/1KKMyQNgs1cAmKRfIImMSu1cNv_0W9xLt</v>
      </c>
      <c r="O117" s="14" t="str">
        <f>IFERROR(__xludf.DUMMYFUNCTION("""COMPUTED_VALUE"""),"https://drive.google.com/file/d/1gq3HKZbh-pqpcvS9QSPN_E1Kns27lYmO/view?usp=drivesdk")</f>
        <v>https://drive.google.com/file/d/1gq3HKZbh-pqpcvS9QSPN_E1Kns27lYmO/view?usp=drivesdk</v>
      </c>
    </row>
    <row r="118">
      <c r="A118" s="3">
        <f>IFERROR(__xludf.DUMMYFUNCTION("""COMPUTED_VALUE"""),615.0)</f>
        <v>615</v>
      </c>
      <c r="B118" s="11">
        <f>IFERROR(__xludf.DUMMYFUNCTION("""COMPUTED_VALUE"""),45991.62680780092)</f>
        <v>45991.62681</v>
      </c>
      <c r="C118" s="3" t="str">
        <f>IFERROR(__xludf.DUMMYFUNCTION("""COMPUTED_VALUE"""),"ชั้นปีที่ 3")</f>
        <v>ชั้นปีที่ 3</v>
      </c>
      <c r="D118" s="3" t="str">
        <f>IFERROR(__xludf.DUMMYFUNCTION("""COMPUTED_VALUE"""),"6603773")</f>
        <v>6603773</v>
      </c>
      <c r="E118" s="3" t="str">
        <f>IFERROR(__xludf.DUMMYFUNCTION("""COMPUTED_VALUE"""),"20")</f>
        <v>20</v>
      </c>
      <c r="F118" s="3" t="str">
        <f>IFERROR(__xludf.DUMMYFUNCTION("""COMPUTED_VALUE"""),"นพอ.ธัญชนก ไชยปรุง")</f>
        <v>นพอ.ธัญชนก ไชยปรุง</v>
      </c>
      <c r="G1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8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18" s="3" t="str">
        <f>IFERROR(__xludf.DUMMYFUNCTION("""COMPUTED_VALUE"""),"ชุมชนวันเกาะ")</f>
        <v>ชุมชนวันเกาะ</v>
      </c>
      <c r="J118" s="12">
        <f>IFERROR(__xludf.DUMMYFUNCTION("""COMPUTED_VALUE"""),45823.0)</f>
        <v>45823</v>
      </c>
      <c r="K118" s="3" t="str">
        <f>IFERROR(__xludf.DUMMYFUNCTION("""COMPUTED_VALUE"""),"0800-1200")</f>
        <v>0800-1200</v>
      </c>
      <c r="L118" s="3">
        <f>IFERROR(__xludf.DUMMYFUNCTION("""COMPUTED_VALUE"""),4.0)</f>
        <v>4</v>
      </c>
      <c r="M118" s="3" t="str">
        <f>IFERROR(__xludf.DUMMYFUNCTION("""COMPUTED_VALUE"""),"น.ต.หญิง ตวงทิพย์ ลดาวัลย์")</f>
        <v>น.ต.หญิง ตวงทิพย์ ลดาวัลย์</v>
      </c>
      <c r="N118" s="14" t="str">
        <f>IFERROR(__xludf.DUMMYFUNCTION("""COMPUTED_VALUE"""),"https://lh5.googleusercontent.com/d/1U0kfm4NqANeNoEjKn2mobZQTn9cL6EUc")</f>
        <v>https://lh5.googleusercontent.com/d/1U0kfm4NqANeNoEjKn2mobZQTn9cL6EUc</v>
      </c>
      <c r="O118" s="14" t="str">
        <f>IFERROR(__xludf.DUMMYFUNCTION("""COMPUTED_VALUE"""),"https://drive.google.com/file/d/1YxZZyMQmcApHPL9e05qwM0ged1qXy1Bc/view?usp=drivesdk")</f>
        <v>https://drive.google.com/file/d/1YxZZyMQmcApHPL9e05qwM0ged1qXy1Bc/view?usp=drivesdk</v>
      </c>
    </row>
    <row r="119">
      <c r="A119" s="3">
        <f>IFERROR(__xludf.DUMMYFUNCTION("""COMPUTED_VALUE"""),619.0)</f>
        <v>619</v>
      </c>
      <c r="B119" s="11">
        <f>IFERROR(__xludf.DUMMYFUNCTION("""COMPUTED_VALUE"""),45991.63123482639)</f>
        <v>45991.63123</v>
      </c>
      <c r="C119" s="3" t="str">
        <f>IFERROR(__xludf.DUMMYFUNCTION("""COMPUTED_VALUE"""),"ชั้นปีที่ 3")</f>
        <v>ชั้นปีที่ 3</v>
      </c>
      <c r="D119" s="3" t="str">
        <f>IFERROR(__xludf.DUMMYFUNCTION("""COMPUTED_VALUE"""),"6603773")</f>
        <v>6603773</v>
      </c>
      <c r="E119" s="3" t="str">
        <f>IFERROR(__xludf.DUMMYFUNCTION("""COMPUTED_VALUE"""),"20")</f>
        <v>20</v>
      </c>
      <c r="F119" s="3" t="str">
        <f>IFERROR(__xludf.DUMMYFUNCTION("""COMPUTED_VALUE"""),"นพอ.ธัญชนก ไชยปรุง")</f>
        <v>นพอ.ธัญชนก ไชยปรุง</v>
      </c>
      <c r="G1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9" s="3" t="str">
        <f>IFERROR(__xludf.DUMMYFUNCTION("""COMPUTED_VALUE"""),"ฟังการสัมมนาสื่อสร้างสรรค์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</v>
      </c>
      <c r="I119" s="3" t="str">
        <f>IFERROR(__xludf.DUMMYFUNCTION("""COMPUTED_VALUE"""),"อาคารเอนกประสงค์ เอสซีจี สำนักงานใหญ่ บางซื่อ")</f>
        <v>อาคารเอนกประสงค์ เอสซีจี สำนักงานใหญ่ บางซื่อ</v>
      </c>
      <c r="J119" s="12">
        <f>IFERROR(__xludf.DUMMYFUNCTION("""COMPUTED_VALUE"""),45955.0)</f>
        <v>45955</v>
      </c>
      <c r="K119" s="3" t="str">
        <f>IFERROR(__xludf.DUMMYFUNCTION("""COMPUTED_VALUE"""),"0730-1230")</f>
        <v>0730-1230</v>
      </c>
      <c r="L119" s="3">
        <f>IFERROR(__xludf.DUMMYFUNCTION("""COMPUTED_VALUE"""),5.0)</f>
        <v>5</v>
      </c>
      <c r="M119" s="3" t="str">
        <f>IFERROR(__xludf.DUMMYFUNCTION("""COMPUTED_VALUE"""),"น.ท.หญิง ฤทัยวรรณ นวมพันธ์")</f>
        <v>น.ท.หญิง ฤทัยวรรณ นวมพันธ์</v>
      </c>
      <c r="N119" s="14" t="str">
        <f>IFERROR(__xludf.DUMMYFUNCTION("""COMPUTED_VALUE"""),"https://lh5.googleusercontent.com/d/1FyWZ7-srPBvFoIy--VXiSMyqVbLNoe1d")</f>
        <v>https://lh5.googleusercontent.com/d/1FyWZ7-srPBvFoIy--VXiSMyqVbLNoe1d</v>
      </c>
      <c r="O119" s="14" t="str">
        <f>IFERROR(__xludf.DUMMYFUNCTION("""COMPUTED_VALUE"""),"https://drive.google.com/file/d/1mUACHonNeLiX5aPpON7sGkW346G0p0QG/view?usp=drivesdk")</f>
        <v>https://drive.google.com/file/d/1mUACHonNeLiX5aPpON7sGkW346G0p0QG/view?usp=drivesdk</v>
      </c>
    </row>
    <row r="120">
      <c r="A120" s="3">
        <f>IFERROR(__xludf.DUMMYFUNCTION("""COMPUTED_VALUE"""),623.0)</f>
        <v>623</v>
      </c>
      <c r="B120" s="11">
        <f>IFERROR(__xludf.DUMMYFUNCTION("""COMPUTED_VALUE"""),45991.63520913194)</f>
        <v>45991.63521</v>
      </c>
      <c r="C120" s="3" t="str">
        <f>IFERROR(__xludf.DUMMYFUNCTION("""COMPUTED_VALUE"""),"ชั้นปีที่ 3")</f>
        <v>ชั้นปีที่ 3</v>
      </c>
      <c r="D120" s="3" t="str">
        <f>IFERROR(__xludf.DUMMYFUNCTION("""COMPUTED_VALUE"""),"6603773")</f>
        <v>6603773</v>
      </c>
      <c r="E120" s="3" t="str">
        <f>IFERROR(__xludf.DUMMYFUNCTION("""COMPUTED_VALUE"""),"20")</f>
        <v>20</v>
      </c>
      <c r="F120" s="3" t="str">
        <f>IFERROR(__xludf.DUMMYFUNCTION("""COMPUTED_VALUE"""),"นพอ.ธัญชนก ไชยปรุง")</f>
        <v>นพอ.ธัญชนก ไชยปรุง</v>
      </c>
      <c r="G120" s="3" t="str">
        <f>IFERROR(__xludf.DUMMYFUNCTION("""COMPUTED_VALUE"""),"ช่วยเหลืองานภายใน วพอ.")</f>
        <v>ช่วยเหลืองานภายใน วพอ.</v>
      </c>
      <c r="H120" s="3" t="str">
        <f>IFERROR(__xludf.DUMMYFUNCTION("""COMPUTED_VALUE"""),"ทำการเเทนนักเรียนบังคับบัญชา")</f>
        <v>ทำการเเทนนักเรียนบังคับบัญชา</v>
      </c>
      <c r="I120" s="3" t="str">
        <f>IFERROR(__xludf.DUMMYFUNCTION("""COMPUTED_VALUE"""),"วพอ.พอ.")</f>
        <v>วพอ.พอ.</v>
      </c>
      <c r="J120" s="12">
        <f>IFERROR(__xludf.DUMMYFUNCTION("""COMPUTED_VALUE"""),45939.0)</f>
        <v>45939</v>
      </c>
      <c r="K120" s="3" t="str">
        <f>IFERROR(__xludf.DUMMYFUNCTION("""COMPUTED_VALUE"""),"0800-1600")</f>
        <v>0800-1600</v>
      </c>
      <c r="L120" s="3">
        <f>IFERROR(__xludf.DUMMYFUNCTION("""COMPUTED_VALUE"""),8.0)</f>
        <v>8</v>
      </c>
      <c r="M120" s="3" t="str">
        <f>IFERROR(__xludf.DUMMYFUNCTION("""COMPUTED_VALUE"""),"ร.อ. อนุชิต ทำจะดี")</f>
        <v>ร.อ. อนุชิต ทำจะดี</v>
      </c>
      <c r="N120" s="14" t="str">
        <f>IFERROR(__xludf.DUMMYFUNCTION("""COMPUTED_VALUE"""),"https://lh5.googleusercontent.com/d/1Plxo_NlOxjoZcJMkyQMOYjoLr7RhCrS5")</f>
        <v>https://lh5.googleusercontent.com/d/1Plxo_NlOxjoZcJMkyQMOYjoLr7RhCrS5</v>
      </c>
      <c r="O120" s="14" t="str">
        <f>IFERROR(__xludf.DUMMYFUNCTION("""COMPUTED_VALUE"""),"https://drive.google.com/file/d/10qifHhROCtjkqzKu4HsaPPIP0n44luLU/view?usp=drivesdk")</f>
        <v>https://drive.google.com/file/d/10qifHhROCtjkqzKu4HsaPPIP0n44luLU/view?usp=drivesdk</v>
      </c>
    </row>
    <row r="121">
      <c r="A121" s="3">
        <f>IFERROR(__xludf.DUMMYFUNCTION("""COMPUTED_VALUE"""),626.0)</f>
        <v>626</v>
      </c>
      <c r="B121" s="11">
        <f>IFERROR(__xludf.DUMMYFUNCTION("""COMPUTED_VALUE"""),45991.640455173605)</f>
        <v>45991.64046</v>
      </c>
      <c r="C121" s="3" t="str">
        <f>IFERROR(__xludf.DUMMYFUNCTION("""COMPUTED_VALUE"""),"ชั้นปีที่ 3")</f>
        <v>ชั้นปีที่ 3</v>
      </c>
      <c r="D121" s="3" t="str">
        <f>IFERROR(__xludf.DUMMYFUNCTION("""COMPUTED_VALUE"""),"6603773")</f>
        <v>6603773</v>
      </c>
      <c r="E121" s="3" t="str">
        <f>IFERROR(__xludf.DUMMYFUNCTION("""COMPUTED_VALUE"""),"20")</f>
        <v>20</v>
      </c>
      <c r="F121" s="3" t="str">
        <f>IFERROR(__xludf.DUMMYFUNCTION("""COMPUTED_VALUE"""),"นพอ.ธัญชนก ไชยปรุง")</f>
        <v>นพอ.ธัญชนก ไชยปรุง</v>
      </c>
      <c r="G121" s="3" t="str">
        <f>IFERROR(__xludf.DUMMYFUNCTION("""COMPUTED_VALUE"""),"ช่วยเหลืองานภายใน วพอ.")</f>
        <v>ช่วยเหลืองานภายใน วพอ.</v>
      </c>
      <c r="H121" s="3" t="str">
        <f>IFERROR(__xludf.DUMMYFUNCTION("""COMPUTED_VALUE"""),"ทำการเเทนนพอ.บังคับบัญชา")</f>
        <v>ทำการเเทนนพอ.บังคับบัญชา</v>
      </c>
      <c r="I121" s="3" t="str">
        <f>IFERROR(__xludf.DUMMYFUNCTION("""COMPUTED_VALUE"""),"วพอ.พอ.")</f>
        <v>วพอ.พอ.</v>
      </c>
      <c r="J121" s="12">
        <f>IFERROR(__xludf.DUMMYFUNCTION("""COMPUTED_VALUE"""),45945.0)</f>
        <v>45945</v>
      </c>
      <c r="K121" s="3" t="str">
        <f>IFERROR(__xludf.DUMMYFUNCTION("""COMPUTED_VALUE"""),"0800-1600")</f>
        <v>0800-1600</v>
      </c>
      <c r="L121" s="3">
        <f>IFERROR(__xludf.DUMMYFUNCTION("""COMPUTED_VALUE"""),8.0)</f>
        <v>8</v>
      </c>
      <c r="M121" s="3" t="str">
        <f>IFERROR(__xludf.DUMMYFUNCTION("""COMPUTED_VALUE"""),"ร.อ. อนุชิต ทำจะดี")</f>
        <v>ร.อ. อนุชิต ทำจะดี</v>
      </c>
      <c r="N121" s="14" t="str">
        <f>IFERROR(__xludf.DUMMYFUNCTION("""COMPUTED_VALUE"""),"https://lh5.googleusercontent.com/d/1U1jqRChI42p80e9DUalNCQh1wRLjAm8q")</f>
        <v>https://lh5.googleusercontent.com/d/1U1jqRChI42p80e9DUalNCQh1wRLjAm8q</v>
      </c>
      <c r="O121" s="14" t="str">
        <f>IFERROR(__xludf.DUMMYFUNCTION("""COMPUTED_VALUE"""),"https://drive.google.com/file/d/16cyo7mEREc0F7XFmVb3rkdixcTRKoZLC/view?usp=drivesdk")</f>
        <v>https://drive.google.com/file/d/16cyo7mEREc0F7XFmVb3rkdixcTRKoZLC/view?usp=drivesdk</v>
      </c>
    </row>
    <row r="122">
      <c r="A122" s="3">
        <f>IFERROR(__xludf.DUMMYFUNCTION("""COMPUTED_VALUE"""),627.0)</f>
        <v>627</v>
      </c>
      <c r="B122" s="11">
        <f>IFERROR(__xludf.DUMMYFUNCTION("""COMPUTED_VALUE"""),45991.64293068287)</f>
        <v>45991.64293</v>
      </c>
      <c r="C122" s="3" t="str">
        <f>IFERROR(__xludf.DUMMYFUNCTION("""COMPUTED_VALUE"""),"ชั้นปีที่ 3")</f>
        <v>ชั้นปีที่ 3</v>
      </c>
      <c r="D122" s="3" t="str">
        <f>IFERROR(__xludf.DUMMYFUNCTION("""COMPUTED_VALUE"""),"6603773")</f>
        <v>6603773</v>
      </c>
      <c r="E122" s="3" t="str">
        <f>IFERROR(__xludf.DUMMYFUNCTION("""COMPUTED_VALUE"""),"20")</f>
        <v>20</v>
      </c>
      <c r="F122" s="3" t="str">
        <f>IFERROR(__xludf.DUMMYFUNCTION("""COMPUTED_VALUE"""),"นพอ.ธัญชนก ไชยปรุง")</f>
        <v>นพอ.ธัญชนก ไชยปรุง</v>
      </c>
      <c r="G122" s="3" t="str">
        <f>IFERROR(__xludf.DUMMYFUNCTION("""COMPUTED_VALUE"""),"ช่วยเหลืองานภายใน วพอ.")</f>
        <v>ช่วยเหลืองานภายใน วพอ.</v>
      </c>
      <c r="H122" s="3" t="str">
        <f>IFERROR(__xludf.DUMMYFUNCTION("""COMPUTED_VALUE"""),"ทำการเเทนนพอ.บังคับบัญชา")</f>
        <v>ทำการเเทนนพอ.บังคับบัญชา</v>
      </c>
      <c r="I122" s="3" t="str">
        <f>IFERROR(__xludf.DUMMYFUNCTION("""COMPUTED_VALUE"""),"วพอ.พอ.")</f>
        <v>วพอ.พอ.</v>
      </c>
      <c r="J122" s="12">
        <f>IFERROR(__xludf.DUMMYFUNCTION("""COMPUTED_VALUE"""),45958.0)</f>
        <v>45958</v>
      </c>
      <c r="K122" s="3" t="str">
        <f>IFERROR(__xludf.DUMMYFUNCTION("""COMPUTED_VALUE"""),"0800-1200")</f>
        <v>0800-1200</v>
      </c>
      <c r="L122" s="3">
        <f>IFERROR(__xludf.DUMMYFUNCTION("""COMPUTED_VALUE"""),4.0)</f>
        <v>4</v>
      </c>
      <c r="M122" s="3" t="str">
        <f>IFERROR(__xludf.DUMMYFUNCTION("""COMPUTED_VALUE"""),"ร.อ. อนุชิต ทำจะดี")</f>
        <v>ร.อ. อนุชิต ทำจะดี</v>
      </c>
      <c r="N122" s="14" t="str">
        <f>IFERROR(__xludf.DUMMYFUNCTION("""COMPUTED_VALUE"""),"https://lh5.googleusercontent.com/d/1MUmImOimu_MsQwfQ2MC3mEYHrYxth9UZ")</f>
        <v>https://lh5.googleusercontent.com/d/1MUmImOimu_MsQwfQ2MC3mEYHrYxth9UZ</v>
      </c>
      <c r="O122" s="14" t="str">
        <f>IFERROR(__xludf.DUMMYFUNCTION("""COMPUTED_VALUE"""),"https://drive.google.com/file/d/1EkogE-IBHLNJ2rn9X_RBNUOWabdRsH0U/view?usp=drivesdk")</f>
        <v>https://drive.google.com/file/d/1EkogE-IBHLNJ2rn9X_RBNUOWabdRsH0U/view?usp=drivesdk</v>
      </c>
    </row>
    <row r="123">
      <c r="A123" s="3">
        <f>IFERROR(__xludf.DUMMYFUNCTION("""COMPUTED_VALUE"""),631.0)</f>
        <v>631</v>
      </c>
      <c r="B123" s="11">
        <f>IFERROR(__xludf.DUMMYFUNCTION("""COMPUTED_VALUE"""),45991.67847560185)</f>
        <v>45991.67848</v>
      </c>
      <c r="C123" s="3" t="str">
        <f>IFERROR(__xludf.DUMMYFUNCTION("""COMPUTED_VALUE"""),"ชั้นปีที่ 3")</f>
        <v>ชั้นปีที่ 3</v>
      </c>
      <c r="D123" s="3" t="str">
        <f>IFERROR(__xludf.DUMMYFUNCTION("""COMPUTED_VALUE"""),"6603811")</f>
        <v>6603811</v>
      </c>
      <c r="E123" s="3" t="str">
        <f>IFERROR(__xludf.DUMMYFUNCTION("""COMPUTED_VALUE"""),"57")</f>
        <v>57</v>
      </c>
      <c r="F123" s="3" t="str">
        <f>IFERROR(__xludf.DUMMYFUNCTION("""COMPUTED_VALUE"""),"นพอ.สุภานัน ธรรมรักษา")</f>
        <v>นพอ.สุภานัน ธรรมรักษา</v>
      </c>
      <c r="G123" s="3" t="str">
        <f>IFERROR(__xludf.DUMMYFUNCTION("""COMPUTED_VALUE"""),"ช่วยเหลืองานภายใน วพอ.")</f>
        <v>ช่วยเหลืองานภายใน วพอ.</v>
      </c>
      <c r="H123" s="3" t="str">
        <f>IFERROR(__xludf.DUMMYFUNCTION("""COMPUTED_VALUE"""),"ทกท.นปค.มว.นพอ.ปี 2")</f>
        <v>ทกท.นปค.มว.นพอ.ปี 2</v>
      </c>
      <c r="I123" s="3" t="str">
        <f>IFERROR(__xludf.DUMMYFUNCTION("""COMPUTED_VALUE"""),"วพอ.พอ.")</f>
        <v>วพอ.พอ.</v>
      </c>
      <c r="J123" s="12">
        <f>IFERROR(__xludf.DUMMYFUNCTION("""COMPUTED_VALUE"""),45938.0)</f>
        <v>45938</v>
      </c>
      <c r="K123" s="3" t="str">
        <f>IFERROR(__xludf.DUMMYFUNCTION("""COMPUTED_VALUE"""),"0800-1600")</f>
        <v>0800-1600</v>
      </c>
      <c r="L123" s="3">
        <f>IFERROR(__xludf.DUMMYFUNCTION("""COMPUTED_VALUE"""),8.0)</f>
        <v>8</v>
      </c>
      <c r="M123" s="3" t="str">
        <f>IFERROR(__xludf.DUMMYFUNCTION("""COMPUTED_VALUE"""),"ร.อ.อนุชิต ทำจะดี")</f>
        <v>ร.อ.อนุชิต ทำจะดี</v>
      </c>
      <c r="N123" s="14" t="str">
        <f>IFERROR(__xludf.DUMMYFUNCTION("""COMPUTED_VALUE"""),"https://lh5.googleusercontent.com/d/1LJX120gtRCMR1K4AFOM1tI7QB6xgxfI0")</f>
        <v>https://lh5.googleusercontent.com/d/1LJX120gtRCMR1K4AFOM1tI7QB6xgxfI0</v>
      </c>
      <c r="O123" s="14" t="str">
        <f>IFERROR(__xludf.DUMMYFUNCTION("""COMPUTED_VALUE"""),"https://drive.google.com/file/d/1YNW2XlvknbvNwNQmaXO8BwtERSqNuMvT/view?usp=drivesdk")</f>
        <v>https://drive.google.com/file/d/1YNW2XlvknbvNwNQmaXO8BwtERSqNuMvT/view?usp=drivesdk</v>
      </c>
    </row>
    <row r="124">
      <c r="A124" s="3">
        <f>IFERROR(__xludf.DUMMYFUNCTION("""COMPUTED_VALUE"""),632.0)</f>
        <v>632</v>
      </c>
      <c r="B124" s="11">
        <f>IFERROR(__xludf.DUMMYFUNCTION("""COMPUTED_VALUE"""),45991.68096006944)</f>
        <v>45991.68096</v>
      </c>
      <c r="C124" s="3" t="str">
        <f>IFERROR(__xludf.DUMMYFUNCTION("""COMPUTED_VALUE"""),"ชั้นปีที่ 3")</f>
        <v>ชั้นปีที่ 3</v>
      </c>
      <c r="D124" s="3" t="str">
        <f>IFERROR(__xludf.DUMMYFUNCTION("""COMPUTED_VALUE"""),"6603803")</f>
        <v>6603803</v>
      </c>
      <c r="E124" s="3" t="str">
        <f>IFERROR(__xludf.DUMMYFUNCTION("""COMPUTED_VALUE"""),"49")</f>
        <v>49</v>
      </c>
      <c r="F124" s="3" t="str">
        <f>IFERROR(__xludf.DUMMYFUNCTION("""COMPUTED_VALUE"""),"นพอ.ศิริพร คล้ายแก้ว")</f>
        <v>นพอ.ศิริพร คล้ายแก้ว</v>
      </c>
      <c r="G124" s="3" t="str">
        <f>IFERROR(__xludf.DUMMYFUNCTION("""COMPUTED_VALUE"""),"ช่วยเหลืองานภายใน วพอ.")</f>
        <v>ช่วยเหลืองานภายใน วพอ.</v>
      </c>
      <c r="H124" s="3" t="str">
        <f>IFERROR(__xludf.DUMMYFUNCTION("""COMPUTED_VALUE"""),"ทกท.นปค.มว.นพอ.ปี 3")</f>
        <v>ทกท.นปค.มว.นพอ.ปี 3</v>
      </c>
      <c r="I124" s="3" t="str">
        <f>IFERROR(__xludf.DUMMYFUNCTION("""COMPUTED_VALUE"""),"วพอ.พอ.")</f>
        <v>วพอ.พอ.</v>
      </c>
      <c r="J124" s="12">
        <f>IFERROR(__xludf.DUMMYFUNCTION("""COMPUTED_VALUE"""),45938.0)</f>
        <v>45938</v>
      </c>
      <c r="K124" s="3" t="str">
        <f>IFERROR(__xludf.DUMMYFUNCTION("""COMPUTED_VALUE"""),"0800-1600")</f>
        <v>0800-1600</v>
      </c>
      <c r="L124" s="3">
        <f>IFERROR(__xludf.DUMMYFUNCTION("""COMPUTED_VALUE"""),8.0)</f>
        <v>8</v>
      </c>
      <c r="M124" s="3" t="str">
        <f>IFERROR(__xludf.DUMMYFUNCTION("""COMPUTED_VALUE"""),"ร.อ.อนุชิต ทำจะดี")</f>
        <v>ร.อ.อนุชิต ทำจะดี</v>
      </c>
      <c r="N124" s="14" t="str">
        <f>IFERROR(__xludf.DUMMYFUNCTION("""COMPUTED_VALUE"""),"https://lh5.googleusercontent.com/d/1bXC1oXN8lveLLH5_PTtSNsSqFzwVulGL")</f>
        <v>https://lh5.googleusercontent.com/d/1bXC1oXN8lveLLH5_PTtSNsSqFzwVulGL</v>
      </c>
      <c r="O124" s="14" t="str">
        <f>IFERROR(__xludf.DUMMYFUNCTION("""COMPUTED_VALUE"""),"https://drive.google.com/file/d/16WgCOKg_WNKuRsNG9a8LrQu6eTuih5jx/view?usp=drivesdk")</f>
        <v>https://drive.google.com/file/d/16WgCOKg_WNKuRsNG9a8LrQu6eTuih5jx/view?usp=drivesdk</v>
      </c>
    </row>
    <row r="125">
      <c r="A125" s="3">
        <f>IFERROR(__xludf.DUMMYFUNCTION("""COMPUTED_VALUE"""),633.0)</f>
        <v>633</v>
      </c>
      <c r="B125" s="11">
        <f>IFERROR(__xludf.DUMMYFUNCTION("""COMPUTED_VALUE"""),45991.68221672454)</f>
        <v>45991.68222</v>
      </c>
      <c r="C125" s="3" t="str">
        <f>IFERROR(__xludf.DUMMYFUNCTION("""COMPUTED_VALUE"""),"ชั้นปีที่ 3")</f>
        <v>ชั้นปีที่ 3</v>
      </c>
      <c r="D125" s="3" t="str">
        <f>IFERROR(__xludf.DUMMYFUNCTION("""COMPUTED_VALUE"""),"6603811")</f>
        <v>6603811</v>
      </c>
      <c r="E125" s="3" t="str">
        <f>IFERROR(__xludf.DUMMYFUNCTION("""COMPUTED_VALUE"""),"57")</f>
        <v>57</v>
      </c>
      <c r="F125" s="3" t="str">
        <f>IFERROR(__xludf.DUMMYFUNCTION("""COMPUTED_VALUE"""),"นพอ.สุภานัน ธรรมรักษา")</f>
        <v>นพอ.สุภานัน ธรรมรักษา</v>
      </c>
      <c r="G125" s="3" t="str">
        <f>IFERROR(__xludf.DUMMYFUNCTION("""COMPUTED_VALUE"""),"ช่วยเหลืองานภายใน วพอ.")</f>
        <v>ช่วยเหลืองานภายใน วพอ.</v>
      </c>
      <c r="H125" s="3" t="str">
        <f>IFERROR(__xludf.DUMMYFUNCTION("""COMPUTED_VALUE"""),"ทกท.นปค.มว.นพอ.ปี 2")</f>
        <v>ทกท.นปค.มว.นพอ.ปี 2</v>
      </c>
      <c r="I125" s="3" t="str">
        <f>IFERROR(__xludf.DUMMYFUNCTION("""COMPUTED_VALUE"""),"วพอ.พอ.")</f>
        <v>วพอ.พอ.</v>
      </c>
      <c r="J125" s="12">
        <f>IFERROR(__xludf.DUMMYFUNCTION("""COMPUTED_VALUE"""),45939.0)</f>
        <v>45939</v>
      </c>
      <c r="K125" s="3" t="str">
        <f>IFERROR(__xludf.DUMMYFUNCTION("""COMPUTED_VALUE"""),"0800-1600")</f>
        <v>0800-1600</v>
      </c>
      <c r="L125" s="3">
        <f>IFERROR(__xludf.DUMMYFUNCTION("""COMPUTED_VALUE"""),8.0)</f>
        <v>8</v>
      </c>
      <c r="M125" s="3" t="str">
        <f>IFERROR(__xludf.DUMMYFUNCTION("""COMPUTED_VALUE"""),"ร.อ.อนุชิต ทำจะดี")</f>
        <v>ร.อ.อนุชิต ทำจะดี</v>
      </c>
      <c r="N125" s="14" t="str">
        <f>IFERROR(__xludf.DUMMYFUNCTION("""COMPUTED_VALUE"""),"https://lh5.googleusercontent.com/d/1xtGzteATjE-_xTl5YghOdhN1StgVtffT")</f>
        <v>https://lh5.googleusercontent.com/d/1xtGzteATjE-_xTl5YghOdhN1StgVtffT</v>
      </c>
      <c r="O125" s="14" t="str">
        <f>IFERROR(__xludf.DUMMYFUNCTION("""COMPUTED_VALUE"""),"https://drive.google.com/file/d/1yAErEn1vt-OG9CzirmaUG6E3PdkKjb0z/view?usp=drivesdk")</f>
        <v>https://drive.google.com/file/d/1yAErEn1vt-OG9CzirmaUG6E3PdkKjb0z/view?usp=drivesdk</v>
      </c>
    </row>
    <row r="126">
      <c r="A126" s="3">
        <f>IFERROR(__xludf.DUMMYFUNCTION("""COMPUTED_VALUE"""),634.0)</f>
        <v>634</v>
      </c>
      <c r="B126" s="11">
        <f>IFERROR(__xludf.DUMMYFUNCTION("""COMPUTED_VALUE"""),45991.68304420139)</f>
        <v>45991.68304</v>
      </c>
      <c r="C126" s="3" t="str">
        <f>IFERROR(__xludf.DUMMYFUNCTION("""COMPUTED_VALUE"""),"ชั้นปีที่ 3")</f>
        <v>ชั้นปีที่ 3</v>
      </c>
      <c r="D126" s="3" t="str">
        <f>IFERROR(__xludf.DUMMYFUNCTION("""COMPUTED_VALUE"""),"6603803")</f>
        <v>6603803</v>
      </c>
      <c r="E126" s="3" t="str">
        <f>IFERROR(__xludf.DUMMYFUNCTION("""COMPUTED_VALUE"""),"49")</f>
        <v>49</v>
      </c>
      <c r="F126" s="3" t="str">
        <f>IFERROR(__xludf.DUMMYFUNCTION("""COMPUTED_VALUE"""),"นพอ.ศิริพร คล้ายแก้ว")</f>
        <v>นพอ.ศิริพร คล้ายแก้ว</v>
      </c>
      <c r="G126" s="3" t="str">
        <f>IFERROR(__xludf.DUMMYFUNCTION("""COMPUTED_VALUE"""),"ช่วยเหลืองานภายใน วพอ.")</f>
        <v>ช่วยเหลืองานภายใน วพอ.</v>
      </c>
      <c r="H126" s="3" t="str">
        <f>IFERROR(__xludf.DUMMYFUNCTION("""COMPUTED_VALUE"""),"ทกท.นปค.มว.นพอ.ปี 3")</f>
        <v>ทกท.นปค.มว.นพอ.ปี 3</v>
      </c>
      <c r="I126" s="3" t="str">
        <f>IFERROR(__xludf.DUMMYFUNCTION("""COMPUTED_VALUE"""),"วพอ.พอ.")</f>
        <v>วพอ.พอ.</v>
      </c>
      <c r="J126" s="12">
        <f>IFERROR(__xludf.DUMMYFUNCTION("""COMPUTED_VALUE"""),45939.0)</f>
        <v>45939</v>
      </c>
      <c r="K126" s="3" t="str">
        <f>IFERROR(__xludf.DUMMYFUNCTION("""COMPUTED_VALUE"""),"0800-1600")</f>
        <v>0800-1600</v>
      </c>
      <c r="L126" s="3">
        <f>IFERROR(__xludf.DUMMYFUNCTION("""COMPUTED_VALUE"""),8.0)</f>
        <v>8</v>
      </c>
      <c r="M126" s="3" t="str">
        <f>IFERROR(__xludf.DUMMYFUNCTION("""COMPUTED_VALUE"""),"ร.อ.อนุชิต ทำจะดี")</f>
        <v>ร.อ.อนุชิต ทำจะดี</v>
      </c>
      <c r="N126" s="14" t="str">
        <f>IFERROR(__xludf.DUMMYFUNCTION("""COMPUTED_VALUE"""),"https://lh5.googleusercontent.com/d/1CT69p5bnVDXV78xjmX-C8Wef8yJlLAjv")</f>
        <v>https://lh5.googleusercontent.com/d/1CT69p5bnVDXV78xjmX-C8Wef8yJlLAjv</v>
      </c>
      <c r="O126" s="14" t="str">
        <f>IFERROR(__xludf.DUMMYFUNCTION("""COMPUTED_VALUE"""),"https://drive.google.com/file/d/1LAA5y1L0Osyii5u8q4gJWK32285dlniL/view?usp=drivesdk")</f>
        <v>https://drive.google.com/file/d/1LAA5y1L0Osyii5u8q4gJWK32285dlniL/view?usp=drivesdk</v>
      </c>
    </row>
    <row r="127">
      <c r="A127" s="3">
        <f>IFERROR(__xludf.DUMMYFUNCTION("""COMPUTED_VALUE"""),635.0)</f>
        <v>635</v>
      </c>
      <c r="B127" s="11">
        <f>IFERROR(__xludf.DUMMYFUNCTION("""COMPUTED_VALUE"""),45991.6835569676)</f>
        <v>45991.68356</v>
      </c>
      <c r="C127" s="3" t="str">
        <f>IFERROR(__xludf.DUMMYFUNCTION("""COMPUTED_VALUE"""),"ชั้นปีที่ 3")</f>
        <v>ชั้นปีที่ 3</v>
      </c>
      <c r="D127" s="3" t="str">
        <f>IFERROR(__xludf.DUMMYFUNCTION("""COMPUTED_VALUE"""),"6603811")</f>
        <v>6603811</v>
      </c>
      <c r="E127" s="3" t="str">
        <f>IFERROR(__xludf.DUMMYFUNCTION("""COMPUTED_VALUE"""),"57")</f>
        <v>57</v>
      </c>
      <c r="F127" s="3" t="str">
        <f>IFERROR(__xludf.DUMMYFUNCTION("""COMPUTED_VALUE"""),"นพอ.สุภานัน ธรรมรักษา")</f>
        <v>นพอ.สุภานัน ธรรมรักษา</v>
      </c>
      <c r="G127" s="3" t="str">
        <f>IFERROR(__xludf.DUMMYFUNCTION("""COMPUTED_VALUE"""),"ช่วยเหลืองานภายใน วพอ.")</f>
        <v>ช่วยเหลืองานภายใน วพอ.</v>
      </c>
      <c r="H127" s="3" t="str">
        <f>IFERROR(__xludf.DUMMYFUNCTION("""COMPUTED_VALUE"""),"ทกท.นปค.มว.นพอ.ปี 2")</f>
        <v>ทกท.นปค.มว.นพอ.ปี 2</v>
      </c>
      <c r="I127" s="3" t="str">
        <f>IFERROR(__xludf.DUMMYFUNCTION("""COMPUTED_VALUE"""),"วพอ.พอ.")</f>
        <v>วพอ.พอ.</v>
      </c>
      <c r="J127" s="12">
        <f>IFERROR(__xludf.DUMMYFUNCTION("""COMPUTED_VALUE"""),45940.0)</f>
        <v>45940</v>
      </c>
      <c r="K127" s="3" t="str">
        <f>IFERROR(__xludf.DUMMYFUNCTION("""COMPUTED_VALUE"""),"0800-1200")</f>
        <v>0800-1200</v>
      </c>
      <c r="L127" s="3">
        <f>IFERROR(__xludf.DUMMYFUNCTION("""COMPUTED_VALUE"""),4.0)</f>
        <v>4</v>
      </c>
      <c r="M127" s="3" t="str">
        <f>IFERROR(__xludf.DUMMYFUNCTION("""COMPUTED_VALUE"""),"ร.อ.อนุชิต ทำจะดี")</f>
        <v>ร.อ.อนุชิต ทำจะดี</v>
      </c>
      <c r="N127" s="14" t="str">
        <f>IFERROR(__xludf.DUMMYFUNCTION("""COMPUTED_VALUE"""),"https://lh5.googleusercontent.com/d/1MROnDXGBwEBH7NmbliOkVedWnEoAvHpt")</f>
        <v>https://lh5.googleusercontent.com/d/1MROnDXGBwEBH7NmbliOkVedWnEoAvHpt</v>
      </c>
      <c r="O127" s="14" t="str">
        <f>IFERROR(__xludf.DUMMYFUNCTION("""COMPUTED_VALUE"""),"https://drive.google.com/file/d/1ZZ0Q7hrCt22OG2MEeNjLich_R8NkN6B-/view?usp=drivesdk")</f>
        <v>https://drive.google.com/file/d/1ZZ0Q7hrCt22OG2MEeNjLich_R8NkN6B-/view?usp=drivesdk</v>
      </c>
    </row>
    <row r="128">
      <c r="A128" s="3">
        <f>IFERROR(__xludf.DUMMYFUNCTION("""COMPUTED_VALUE"""),636.0)</f>
        <v>636</v>
      </c>
      <c r="B128" s="11">
        <f>IFERROR(__xludf.DUMMYFUNCTION("""COMPUTED_VALUE"""),45991.684788148144)</f>
        <v>45991.68479</v>
      </c>
      <c r="C128" s="3" t="str">
        <f>IFERROR(__xludf.DUMMYFUNCTION("""COMPUTED_VALUE"""),"ชั้นปีที่ 3")</f>
        <v>ชั้นปีที่ 3</v>
      </c>
      <c r="D128" s="3" t="str">
        <f>IFERROR(__xludf.DUMMYFUNCTION("""COMPUTED_VALUE"""),"6603803")</f>
        <v>6603803</v>
      </c>
      <c r="E128" s="3" t="str">
        <f>IFERROR(__xludf.DUMMYFUNCTION("""COMPUTED_VALUE"""),"49")</f>
        <v>49</v>
      </c>
      <c r="F128" s="3" t="str">
        <f>IFERROR(__xludf.DUMMYFUNCTION("""COMPUTED_VALUE"""),"นพอ.ศิริพร คล้ายแก้ว")</f>
        <v>นพอ.ศิริพร คล้ายแก้ว</v>
      </c>
      <c r="G128" s="3" t="str">
        <f>IFERROR(__xludf.DUMMYFUNCTION("""COMPUTED_VALUE"""),"ช่วยเหลืองานภายใน วพอ.")</f>
        <v>ช่วยเหลืองานภายใน วพอ.</v>
      </c>
      <c r="H128" s="3" t="str">
        <f>IFERROR(__xludf.DUMMYFUNCTION("""COMPUTED_VALUE"""),"ทกท.นปค.มว.นพอ.ปี 3")</f>
        <v>ทกท.นปค.มว.นพอ.ปี 3</v>
      </c>
      <c r="I128" s="3" t="str">
        <f>IFERROR(__xludf.DUMMYFUNCTION("""COMPUTED_VALUE"""),"วพอ.พอ.")</f>
        <v>วพอ.พอ.</v>
      </c>
      <c r="J128" s="12">
        <f>IFERROR(__xludf.DUMMYFUNCTION("""COMPUTED_VALUE"""),45940.0)</f>
        <v>45940</v>
      </c>
      <c r="K128" s="3" t="str">
        <f>IFERROR(__xludf.DUMMYFUNCTION("""COMPUTED_VALUE"""),"0800-1200")</f>
        <v>0800-1200</v>
      </c>
      <c r="L128" s="3">
        <f>IFERROR(__xludf.DUMMYFUNCTION("""COMPUTED_VALUE"""),4.0)</f>
        <v>4</v>
      </c>
      <c r="M128" s="3" t="str">
        <f>IFERROR(__xludf.DUMMYFUNCTION("""COMPUTED_VALUE"""),"ร.อ.อนุชิต ทำจะดี")</f>
        <v>ร.อ.อนุชิต ทำจะดี</v>
      </c>
      <c r="N128" s="14" t="str">
        <f>IFERROR(__xludf.DUMMYFUNCTION("""COMPUTED_VALUE"""),"https://lh5.googleusercontent.com/d/1OZTU1Ww9ssDqhYy8tbADYpg0u-m8R20M")</f>
        <v>https://lh5.googleusercontent.com/d/1OZTU1Ww9ssDqhYy8tbADYpg0u-m8R20M</v>
      </c>
      <c r="O128" s="14" t="str">
        <f>IFERROR(__xludf.DUMMYFUNCTION("""COMPUTED_VALUE"""),"https://drive.google.com/file/d/160t0XhyNnQb1CZ713xblfy5Fbf9aooSW/view?usp=drivesdk")</f>
        <v>https://drive.google.com/file/d/160t0XhyNnQb1CZ713xblfy5Fbf9aooSW/view?usp=drivesdk</v>
      </c>
    </row>
    <row r="129">
      <c r="A129" s="3">
        <f>IFERROR(__xludf.DUMMYFUNCTION("""COMPUTED_VALUE"""),643.0)</f>
        <v>643</v>
      </c>
      <c r="B129" s="11">
        <f>IFERROR(__xludf.DUMMYFUNCTION("""COMPUTED_VALUE"""),45991.70480753472)</f>
        <v>45991.70481</v>
      </c>
      <c r="C129" s="3" t="str">
        <f>IFERROR(__xludf.DUMMYFUNCTION("""COMPUTED_VALUE"""),"ชั้นปีที่ 3")</f>
        <v>ชั้นปีที่ 3</v>
      </c>
      <c r="D129" s="3" t="str">
        <f>IFERROR(__xludf.DUMMYFUNCTION("""COMPUTED_VALUE"""),"6603782")</f>
        <v>6603782</v>
      </c>
      <c r="E129" s="3" t="str">
        <f>IFERROR(__xludf.DUMMYFUNCTION("""COMPUTED_VALUE"""),"28")</f>
        <v>28</v>
      </c>
      <c r="F129" s="3" t="str">
        <f>IFERROR(__xludf.DUMMYFUNCTION("""COMPUTED_VALUE"""),"นพอ.เนตรชนก ชูหนู")</f>
        <v>นพอ.เนตรชนก ชูหนู</v>
      </c>
      <c r="G12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9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12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9" s="12">
        <f>IFERROR(__xludf.DUMMYFUNCTION("""COMPUTED_VALUE"""),45839.0)</f>
        <v>45839</v>
      </c>
      <c r="K129" s="3" t="str">
        <f>IFERROR(__xludf.DUMMYFUNCTION("""COMPUTED_VALUE"""),"0800-1600")</f>
        <v>0800-1600</v>
      </c>
      <c r="L129" s="3">
        <f>IFERROR(__xludf.DUMMYFUNCTION("""COMPUTED_VALUE"""),8.0)</f>
        <v>8</v>
      </c>
      <c r="M129" s="3" t="str">
        <f>IFERROR(__xludf.DUMMYFUNCTION("""COMPUTED_VALUE"""),"ร.อ.อนุชิต ทำจะดี")</f>
        <v>ร.อ.อนุชิต ทำจะดี</v>
      </c>
      <c r="N129" s="14" t="str">
        <f>IFERROR(__xludf.DUMMYFUNCTION("""COMPUTED_VALUE"""),"https://lh5.googleusercontent.com/d/1TqkOAic7aSnCNCDKCliIiPlKvFW_c2rz")</f>
        <v>https://lh5.googleusercontent.com/d/1TqkOAic7aSnCNCDKCliIiPlKvFW_c2rz</v>
      </c>
      <c r="O129" s="14" t="str">
        <f>IFERROR(__xludf.DUMMYFUNCTION("""COMPUTED_VALUE"""),"https://drive.google.com/file/d/1Xshz2Pjucim-dhO5v7ApwHMQke5RQQMP/view?usp=drivesdk")</f>
        <v>https://drive.google.com/file/d/1Xshz2Pjucim-dhO5v7ApwHMQke5RQQMP/view?usp=drivesdk</v>
      </c>
    </row>
    <row r="130">
      <c r="A130" s="3">
        <f>IFERROR(__xludf.DUMMYFUNCTION("""COMPUTED_VALUE"""),648.0)</f>
        <v>648</v>
      </c>
      <c r="B130" s="11">
        <f>IFERROR(__xludf.DUMMYFUNCTION("""COMPUTED_VALUE"""),45991.71363293982)</f>
        <v>45991.71363</v>
      </c>
      <c r="C130" s="3" t="str">
        <f>IFERROR(__xludf.DUMMYFUNCTION("""COMPUTED_VALUE"""),"ชั้นปีที่ 3")</f>
        <v>ชั้นปีที่ 3</v>
      </c>
      <c r="D130" s="3" t="str">
        <f>IFERROR(__xludf.DUMMYFUNCTION("""COMPUTED_VALUE"""),"6603798")</f>
        <v>6603798</v>
      </c>
      <c r="E130" s="3" t="str">
        <f>IFERROR(__xludf.DUMMYFUNCTION("""COMPUTED_VALUE"""),"44")</f>
        <v>44</v>
      </c>
      <c r="F130" s="3" t="str">
        <f>IFERROR(__xludf.DUMMYFUNCTION("""COMPUTED_VALUE"""),"นพอ.วรรณพร ศรีด่านจาก")</f>
        <v>นพอ.วรรณพร ศรีด่านจาก</v>
      </c>
      <c r="G13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30" s="3" t="str">
        <f>IFERROR(__xludf.DUMMYFUNCTION("""COMPUTED_VALUE"""),"บริจาคโลหิต")</f>
        <v>บริจาคโลหิต</v>
      </c>
      <c r="I130" s="3" t="str">
        <f>IFERROR(__xludf.DUMMYFUNCTION("""COMPUTED_VALUE"""),"เดอะมอลล์โคราช")</f>
        <v>เดอะมอลล์โคราช</v>
      </c>
      <c r="J130" s="12">
        <f>IFERROR(__xludf.DUMMYFUNCTION("""COMPUTED_VALUE"""),45955.0)</f>
        <v>45955</v>
      </c>
      <c r="K130" s="3" t="str">
        <f>IFERROR(__xludf.DUMMYFUNCTION("""COMPUTED_VALUE"""),"1300-1400")</f>
        <v>1300-1400</v>
      </c>
      <c r="L130" s="3">
        <f>IFERROR(__xludf.DUMMYFUNCTION("""COMPUTED_VALUE"""),8.0)</f>
        <v>8</v>
      </c>
      <c r="M130" s="3" t="str">
        <f>IFERROR(__xludf.DUMMYFUNCTION("""COMPUTED_VALUE"""),"ศูนย์บริจาคโลหิตเดอะมอลล์โคราช")</f>
        <v>ศูนย์บริจาคโลหิตเดอะมอลล์โคราช</v>
      </c>
      <c r="N130" s="14" t="str">
        <f>IFERROR(__xludf.DUMMYFUNCTION("""COMPUTED_VALUE"""),"https://lh5.googleusercontent.com/d/1nOs6_exOsYO4eJDkM1B3UOH-yrSb8u7-")</f>
        <v>https://lh5.googleusercontent.com/d/1nOs6_exOsYO4eJDkM1B3UOH-yrSb8u7-</v>
      </c>
      <c r="O130" s="14" t="str">
        <f>IFERROR(__xludf.DUMMYFUNCTION("""COMPUTED_VALUE"""),"https://drive.google.com/file/d/1pckvYX9VmbWhYx5DMgBNHIBLNx7Y1f_c/view?usp=drivesdk")</f>
        <v>https://drive.google.com/file/d/1pckvYX9VmbWhYx5DMgBNHIBLNx7Y1f_c/view?usp=drivesdk</v>
      </c>
    </row>
    <row r="131">
      <c r="A131" s="3">
        <f>IFERROR(__xludf.DUMMYFUNCTION("""COMPUTED_VALUE"""),656.0)</f>
        <v>656</v>
      </c>
      <c r="B131" s="11">
        <f>IFERROR(__xludf.DUMMYFUNCTION("""COMPUTED_VALUE"""),45991.717113969906)</f>
        <v>45991.71711</v>
      </c>
      <c r="C131" s="3" t="str">
        <f>IFERROR(__xludf.DUMMYFUNCTION("""COMPUTED_VALUE"""),"ชั้นปีที่ 3")</f>
        <v>ชั้นปีที่ 3</v>
      </c>
      <c r="D131" s="3" t="str">
        <f>IFERROR(__xludf.DUMMYFUNCTION("""COMPUTED_VALUE"""),"6603798")</f>
        <v>6603798</v>
      </c>
      <c r="E131" s="3" t="str">
        <f>IFERROR(__xludf.DUMMYFUNCTION("""COMPUTED_VALUE"""),"44")</f>
        <v>44</v>
      </c>
      <c r="F131" s="3" t="str">
        <f>IFERROR(__xludf.DUMMYFUNCTION("""COMPUTED_VALUE"""),"นพอ.วรรณพร ศรีด่านจาก")</f>
        <v>นพอ.วรรณพร ศรีด่านจาก</v>
      </c>
      <c r="G1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1" s="3" t="str">
        <f>IFERROR(__xludf.DUMMYFUNCTION("""COMPUTED_VALUE"""),"โครงการบริหารวิชาการแก่สังคม")</f>
        <v>โครงการบริหารวิชาการแก่สังคม</v>
      </c>
      <c r="I131" s="3" t="str">
        <f>IFERROR(__xludf.DUMMYFUNCTION("""COMPUTED_VALUE"""),"ชุมชนวัดเกาะ")</f>
        <v>ชุมชนวัดเกาะ</v>
      </c>
      <c r="J131" s="12">
        <f>IFERROR(__xludf.DUMMYFUNCTION("""COMPUTED_VALUE"""),45823.0)</f>
        <v>45823</v>
      </c>
      <c r="K131" s="3" t="str">
        <f>IFERROR(__xludf.DUMMYFUNCTION("""COMPUTED_VALUE"""),"0800-1200")</f>
        <v>0800-1200</v>
      </c>
      <c r="L131" s="3">
        <f>IFERROR(__xludf.DUMMYFUNCTION("""COMPUTED_VALUE"""),4.0)</f>
        <v>4</v>
      </c>
      <c r="M131" s="3" t="str">
        <f>IFERROR(__xludf.DUMMYFUNCTION("""COMPUTED_VALUE"""),"น.ต.หญิง ตวงทิพย์ ลดาวัลย์")</f>
        <v>น.ต.หญิง ตวงทิพย์ ลดาวัลย์</v>
      </c>
      <c r="N131" s="14" t="str">
        <f>IFERROR(__xludf.DUMMYFUNCTION("""COMPUTED_VALUE"""),"https://lh5.googleusercontent.com/d/1cM26XX4U29VUPoA8pLdYzYYosak1qSRU")</f>
        <v>https://lh5.googleusercontent.com/d/1cM26XX4U29VUPoA8pLdYzYYosak1qSRU</v>
      </c>
      <c r="O131" s="14" t="str">
        <f>IFERROR(__xludf.DUMMYFUNCTION("""COMPUTED_VALUE"""),"https://drive.google.com/file/d/1aRdMd0AZOdvvgDfFZ8hXBHu0b3N3jrPs/view?usp=drivesdk")</f>
        <v>https://drive.google.com/file/d/1aRdMd0AZOdvvgDfFZ8hXBHu0b3N3jrPs/view?usp=drivesdk</v>
      </c>
    </row>
    <row r="132">
      <c r="A132" s="3">
        <f>IFERROR(__xludf.DUMMYFUNCTION("""COMPUTED_VALUE"""),660.0)</f>
        <v>660</v>
      </c>
      <c r="B132" s="11">
        <f>IFERROR(__xludf.DUMMYFUNCTION("""COMPUTED_VALUE"""),45991.72175866897)</f>
        <v>45991.72176</v>
      </c>
      <c r="C132" s="3" t="str">
        <f>IFERROR(__xludf.DUMMYFUNCTION("""COMPUTED_VALUE"""),"ชั้นปีที่ 3")</f>
        <v>ชั้นปีที่ 3</v>
      </c>
      <c r="D132" s="3" t="str">
        <f>IFERROR(__xludf.DUMMYFUNCTION("""COMPUTED_VALUE"""),"6603798")</f>
        <v>6603798</v>
      </c>
      <c r="E132" s="3" t="str">
        <f>IFERROR(__xludf.DUMMYFUNCTION("""COMPUTED_VALUE"""),"44")</f>
        <v>44</v>
      </c>
      <c r="F132" s="3" t="str">
        <f>IFERROR(__xludf.DUMMYFUNCTION("""COMPUTED_VALUE"""),"นพอ.วรรณพร ศรีด่านจาก")</f>
        <v>นพอ.วรรณพร ศรีด่านจาก</v>
      </c>
      <c r="G1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2" s="3" t="str">
        <f>IFERROR(__xludf.DUMMYFUNCTION("""COMPUTED_VALUE""")," คอนเสิร์ตทัพฟ้าคู่ไทยเพื่อ ""ชัยพัฒนา"" ครั้งที่ 16 ")</f>
        <v> คอนเสิร์ตทัพฟ้าคู่ไทยเพื่อ "ชัยพัฒนา" ครั้งที่ 16 </v>
      </c>
      <c r="I13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2" s="12">
        <f>IFERROR(__xludf.DUMMYFUNCTION("""COMPUTED_VALUE"""),45839.0)</f>
        <v>45839</v>
      </c>
      <c r="K132" s="3" t="str">
        <f>IFERROR(__xludf.DUMMYFUNCTION("""COMPUTED_VALUE"""),"1400-2200")</f>
        <v>1400-2200</v>
      </c>
      <c r="L132" s="3">
        <f>IFERROR(__xludf.DUMMYFUNCTION("""COMPUTED_VALUE"""),8.0)</f>
        <v>8</v>
      </c>
      <c r="M132" s="3" t="str">
        <f>IFERROR(__xludf.DUMMYFUNCTION("""COMPUTED_VALUE"""),"ร.อ.อนุชิต ทำจะดี")</f>
        <v>ร.อ.อนุชิต ทำจะดี</v>
      </c>
      <c r="N132" s="14" t="str">
        <f>IFERROR(__xludf.DUMMYFUNCTION("""COMPUTED_VALUE"""),"https://lh5.googleusercontent.com/d/19e17jDjvZbxkB3uoQewT6CWz9sITkx7R")</f>
        <v>https://lh5.googleusercontent.com/d/19e17jDjvZbxkB3uoQewT6CWz9sITkx7R</v>
      </c>
      <c r="O132" s="14" t="str">
        <f>IFERROR(__xludf.DUMMYFUNCTION("""COMPUTED_VALUE"""),"https://drive.google.com/file/d/1rp5A71Aj7FmD-8tv0CRVhWFWetgnIFN5/view?usp=drivesdk")</f>
        <v>https://drive.google.com/file/d/1rp5A71Aj7FmD-8tv0CRVhWFWetgnIFN5/view?usp=drivesdk</v>
      </c>
    </row>
    <row r="133">
      <c r="A133" s="3">
        <f>IFERROR(__xludf.DUMMYFUNCTION("""COMPUTED_VALUE"""),664.0)</f>
        <v>664</v>
      </c>
      <c r="B133" s="11">
        <f>IFERROR(__xludf.DUMMYFUNCTION("""COMPUTED_VALUE"""),45991.774196122686)</f>
        <v>45991.7742</v>
      </c>
      <c r="C133" s="3" t="str">
        <f>IFERROR(__xludf.DUMMYFUNCTION("""COMPUTED_VALUE"""),"ชั้นปีที่ 3")</f>
        <v>ชั้นปีที่ 3</v>
      </c>
      <c r="D133" s="3" t="str">
        <f>IFERROR(__xludf.DUMMYFUNCTION("""COMPUTED_VALUE"""),"6603782")</f>
        <v>6603782</v>
      </c>
      <c r="E133" s="3" t="str">
        <f>IFERROR(__xludf.DUMMYFUNCTION("""COMPUTED_VALUE"""),"28")</f>
        <v>28</v>
      </c>
      <c r="F133" s="3" t="str">
        <f>IFERROR(__xludf.DUMMYFUNCTION("""COMPUTED_VALUE"""),"นพอ.เนตรชนก ชูหนู")</f>
        <v>นพอ.เนตรชนก ชูหนู</v>
      </c>
      <c r="G13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3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3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3" s="12">
        <f>IFERROR(__xludf.DUMMYFUNCTION("""COMPUTED_VALUE"""),45840.0)</f>
        <v>45840</v>
      </c>
      <c r="K133" s="3" t="str">
        <f>IFERROR(__xludf.DUMMYFUNCTION("""COMPUTED_VALUE"""),"0800-1600")</f>
        <v>0800-1600</v>
      </c>
      <c r="L133" s="3">
        <f>IFERROR(__xludf.DUMMYFUNCTION("""COMPUTED_VALUE"""),8.0)</f>
        <v>8</v>
      </c>
      <c r="M133" s="3" t="str">
        <f>IFERROR(__xludf.DUMMYFUNCTION("""COMPUTED_VALUE"""),"ร.อ.อนุชิต ทำจะดี")</f>
        <v>ร.อ.อนุชิต ทำจะดี</v>
      </c>
      <c r="N133" s="14" t="str">
        <f>IFERROR(__xludf.DUMMYFUNCTION("""COMPUTED_VALUE"""),"https://lh5.googleusercontent.com/d/1JXwD0vyXQ6ZVCF3vpjkNU_LBGc-Lg8pJ")</f>
        <v>https://lh5.googleusercontent.com/d/1JXwD0vyXQ6ZVCF3vpjkNU_LBGc-Lg8pJ</v>
      </c>
      <c r="O133" s="14" t="str">
        <f>IFERROR(__xludf.DUMMYFUNCTION("""COMPUTED_VALUE"""),"https://drive.google.com/file/d/1Qk-UQbyTghIS8qQiixESFplWXQLWrfIR/view?usp=drivesdk")</f>
        <v>https://drive.google.com/file/d/1Qk-UQbyTghIS8qQiixESFplWXQLWrfIR/view?usp=drivesdk</v>
      </c>
    </row>
    <row r="134">
      <c r="A134" s="3">
        <f>IFERROR(__xludf.DUMMYFUNCTION("""COMPUTED_VALUE"""),667.0)</f>
        <v>667</v>
      </c>
      <c r="B134" s="11">
        <f>IFERROR(__xludf.DUMMYFUNCTION("""COMPUTED_VALUE"""),45991.782278819446)</f>
        <v>45991.78228</v>
      </c>
      <c r="C134" s="3" t="str">
        <f>IFERROR(__xludf.DUMMYFUNCTION("""COMPUTED_VALUE"""),"ชั้นปีที่ 3")</f>
        <v>ชั้นปีที่ 3</v>
      </c>
      <c r="D134" s="3" t="str">
        <f>IFERROR(__xludf.DUMMYFUNCTION("""COMPUTED_VALUE"""),"6603782")</f>
        <v>6603782</v>
      </c>
      <c r="E134" s="3" t="str">
        <f>IFERROR(__xludf.DUMMYFUNCTION("""COMPUTED_VALUE"""),"28")</f>
        <v>28</v>
      </c>
      <c r="F134" s="3" t="str">
        <f>IFERROR(__xludf.DUMMYFUNCTION("""COMPUTED_VALUE"""),"นพอ.เนตรชนก ชูหนู")</f>
        <v>นพอ.เนตรชนก ชูหนู</v>
      </c>
      <c r="G1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4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34" s="3" t="str">
        <f>IFERROR(__xludf.DUMMYFUNCTION("""COMPUTED_VALUE"""),"ชุมชนวัดเกาะ")</f>
        <v>ชุมชนวัดเกาะ</v>
      </c>
      <c r="J134" s="12">
        <f>IFERROR(__xludf.DUMMYFUNCTION("""COMPUTED_VALUE"""),45823.0)</f>
        <v>45823</v>
      </c>
      <c r="K134" s="3" t="str">
        <f>IFERROR(__xludf.DUMMYFUNCTION("""COMPUTED_VALUE"""),"0800-1200")</f>
        <v>0800-1200</v>
      </c>
      <c r="L134" s="3">
        <f>IFERROR(__xludf.DUMMYFUNCTION("""COMPUTED_VALUE"""),4.0)</f>
        <v>4</v>
      </c>
      <c r="M134" s="3" t="str">
        <f>IFERROR(__xludf.DUMMYFUNCTION("""COMPUTED_VALUE"""),"น.ต.หญิง ตวงทิพย์ ลดาวัลย์")</f>
        <v>น.ต.หญิง ตวงทิพย์ ลดาวัลย์</v>
      </c>
      <c r="N134" s="14" t="str">
        <f>IFERROR(__xludf.DUMMYFUNCTION("""COMPUTED_VALUE"""),"https://lh5.googleusercontent.com/d/1h1DafnDmc9PcDKbN3AbZ1Tyvx6gAOdE0")</f>
        <v>https://lh5.googleusercontent.com/d/1h1DafnDmc9PcDKbN3AbZ1Tyvx6gAOdE0</v>
      </c>
      <c r="O134" s="14" t="str">
        <f>IFERROR(__xludf.DUMMYFUNCTION("""COMPUTED_VALUE"""),"https://drive.google.com/file/d/1XsCg6c6h3bURxF1uDwaP570miL4n91l6/view?usp=drivesdk")</f>
        <v>https://drive.google.com/file/d/1XsCg6c6h3bURxF1uDwaP570miL4n91l6/view?usp=drivesdk</v>
      </c>
    </row>
    <row r="135">
      <c r="A135" s="3">
        <f>IFERROR(__xludf.DUMMYFUNCTION("""COMPUTED_VALUE"""),668.0)</f>
        <v>668</v>
      </c>
      <c r="B135" s="11">
        <f>IFERROR(__xludf.DUMMYFUNCTION("""COMPUTED_VALUE"""),45991.78237690972)</f>
        <v>45991.78238</v>
      </c>
      <c r="C135" s="3" t="str">
        <f>IFERROR(__xludf.DUMMYFUNCTION("""COMPUTED_VALUE"""),"ชั้นปีที่ 3")</f>
        <v>ชั้นปีที่ 3</v>
      </c>
      <c r="D135" s="3" t="str">
        <f>IFERROR(__xludf.DUMMYFUNCTION("""COMPUTED_VALUE"""),"6603797")</f>
        <v>6603797</v>
      </c>
      <c r="E135" s="3" t="str">
        <f>IFERROR(__xludf.DUMMYFUNCTION("""COMPUTED_VALUE"""),"43")</f>
        <v>43</v>
      </c>
      <c r="F135" s="3" t="str">
        <f>IFERROR(__xludf.DUMMYFUNCTION("""COMPUTED_VALUE"""),"นพอ.พิมพ์ลภัส ทองดีเลิศ")</f>
        <v>นพอ.พิมพ์ลภัส ทองดีเลิศ</v>
      </c>
      <c r="G135" s="3" t="str">
        <f>IFERROR(__xludf.DUMMYFUNCTION("""COMPUTED_VALUE"""),"ทำนุบำรุงศาสนสถาน")</f>
        <v>ทำนุบำรุงศาสนสถาน</v>
      </c>
      <c r="H135" s="3" t="str">
        <f>IFERROR(__xludf.DUMMYFUNCTION("""COMPUTED_VALUE"""),"กวาดลาน")</f>
        <v>กวาดลาน</v>
      </c>
      <c r="I135" s="3" t="str">
        <f>IFERROR(__xludf.DUMMYFUNCTION("""COMPUTED_VALUE"""),"ลานสำนักพ่อปู่")</f>
        <v>ลานสำนักพ่อปู่</v>
      </c>
      <c r="J135" s="12">
        <f>IFERROR(__xludf.DUMMYFUNCTION("""COMPUTED_VALUE"""),45878.0)</f>
        <v>45878</v>
      </c>
      <c r="K135" s="3" t="str">
        <f>IFERROR(__xludf.DUMMYFUNCTION("""COMPUTED_VALUE"""),"1300-1700")</f>
        <v>1300-1700</v>
      </c>
      <c r="L135" s="3">
        <f>IFERROR(__xludf.DUMMYFUNCTION("""COMPUTED_VALUE"""),4.0)</f>
        <v>4</v>
      </c>
      <c r="M135" s="3" t="str">
        <f>IFERROR(__xludf.DUMMYFUNCTION("""COMPUTED_VALUE"""),"นางเพ็ญศรี ทองดีเลิศ")</f>
        <v>นางเพ็ญศรี ทองดีเลิศ</v>
      </c>
      <c r="N135" s="14" t="str">
        <f>IFERROR(__xludf.DUMMYFUNCTION("""COMPUTED_VALUE"""),"https://lh5.googleusercontent.com/d/19Sip8O1q0P5bPffMyEbrUJc96Tnl2_y5")</f>
        <v>https://lh5.googleusercontent.com/d/19Sip8O1q0P5bPffMyEbrUJc96Tnl2_y5</v>
      </c>
      <c r="O135" s="14" t="str">
        <f>IFERROR(__xludf.DUMMYFUNCTION("""COMPUTED_VALUE"""),"https://drive.google.com/file/d/1T__x_n3lfY26rvYGsnab6tRbodCvaq1g/view?usp=drivesdk")</f>
        <v>https://drive.google.com/file/d/1T__x_n3lfY26rvYGsnab6tRbodCvaq1g/view?usp=drivesdk</v>
      </c>
    </row>
    <row r="136">
      <c r="A136" s="3">
        <f>IFERROR(__xludf.DUMMYFUNCTION("""COMPUTED_VALUE"""),671.0)</f>
        <v>671</v>
      </c>
      <c r="B136" s="11">
        <f>IFERROR(__xludf.DUMMYFUNCTION("""COMPUTED_VALUE"""),45991.783548935186)</f>
        <v>45991.78355</v>
      </c>
      <c r="C136" s="3" t="str">
        <f>IFERROR(__xludf.DUMMYFUNCTION("""COMPUTED_VALUE"""),"ชั้นปีที่ 3")</f>
        <v>ชั้นปีที่ 3</v>
      </c>
      <c r="D136" s="3" t="str">
        <f>IFERROR(__xludf.DUMMYFUNCTION("""COMPUTED_VALUE"""),"6603758")</f>
        <v>6603758</v>
      </c>
      <c r="E136" s="3" t="str">
        <f>IFERROR(__xludf.DUMMYFUNCTION("""COMPUTED_VALUE"""),"5")</f>
        <v>5</v>
      </c>
      <c r="F136" s="3" t="str">
        <f>IFERROR(__xludf.DUMMYFUNCTION("""COMPUTED_VALUE"""),"นพอ.กาญจน์สุดา เหล่าบุตรดี")</f>
        <v>นพอ.กาญจน์สุดา เหล่าบุตรดี</v>
      </c>
      <c r="G1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6" s="3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13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6" s="12">
        <f>IFERROR(__xludf.DUMMYFUNCTION("""COMPUTED_VALUE"""),45839.0)</f>
        <v>45839</v>
      </c>
      <c r="K136" s="3" t="str">
        <f>IFERROR(__xludf.DUMMYFUNCTION("""COMPUTED_VALUE"""),"1400-2200")</f>
        <v>1400-2200</v>
      </c>
      <c r="L136" s="3">
        <f>IFERROR(__xludf.DUMMYFUNCTION("""COMPUTED_VALUE"""),8.0)</f>
        <v>8</v>
      </c>
      <c r="M136" s="3" t="str">
        <f>IFERROR(__xludf.DUMMYFUNCTION("""COMPUTED_VALUE"""),"ร.อ.อนุชิต ทำจะดี")</f>
        <v>ร.อ.อนุชิต ทำจะดี</v>
      </c>
      <c r="N136" s="14" t="str">
        <f>IFERROR(__xludf.DUMMYFUNCTION("""COMPUTED_VALUE"""),"https://lh5.googleusercontent.com/d/1Yk6EAGcs3Usnc5Gsz62OPE09YiX80jqB")</f>
        <v>https://lh5.googleusercontent.com/d/1Yk6EAGcs3Usnc5Gsz62OPE09YiX80jqB</v>
      </c>
      <c r="O136" s="14" t="str">
        <f>IFERROR(__xludf.DUMMYFUNCTION("""COMPUTED_VALUE"""),"https://drive.google.com/file/d/1sdgdF1GVZAblMBG8xRPqy0CKp8Ka7H2w/view?usp=drivesdk")</f>
        <v>https://drive.google.com/file/d/1sdgdF1GVZAblMBG8xRPqy0CKp8Ka7H2w/view?usp=drivesdk</v>
      </c>
    </row>
    <row r="137">
      <c r="A137" s="3">
        <f>IFERROR(__xludf.DUMMYFUNCTION("""COMPUTED_VALUE"""),672.0)</f>
        <v>672</v>
      </c>
      <c r="B137" s="11">
        <f>IFERROR(__xludf.DUMMYFUNCTION("""COMPUTED_VALUE"""),45991.78446293982)</f>
        <v>45991.78446</v>
      </c>
      <c r="C137" s="3" t="str">
        <f>IFERROR(__xludf.DUMMYFUNCTION("""COMPUTED_VALUE"""),"ชั้นปีที่ 3")</f>
        <v>ชั้นปีที่ 3</v>
      </c>
      <c r="D137" s="3" t="str">
        <f>IFERROR(__xludf.DUMMYFUNCTION("""COMPUTED_VALUE"""),"6603769")</f>
        <v>6603769</v>
      </c>
      <c r="E137" s="3" t="str">
        <f>IFERROR(__xludf.DUMMYFUNCTION("""COMPUTED_VALUE"""),"16")</f>
        <v>16</v>
      </c>
      <c r="F137" s="3" t="str">
        <f>IFERROR(__xludf.DUMMYFUNCTION("""COMPUTED_VALUE"""),"นพอ.ณิชนันท์ ศิรประภารัตน์")</f>
        <v>นพอ.ณิชนันท์ ศิรประภารัตน์</v>
      </c>
      <c r="G1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7" s="3" t="str">
        <f>IFERROR(__xludf.DUMMYFUNCTION("""COMPUTED_VALUE"""),"ทัพฟ้าคู่ไทย เพื่อชัยพัฒนา")</f>
        <v>ทัพฟ้าคู่ไทย เพื่อชัยพัฒนา</v>
      </c>
      <c r="I137" s="3" t="str">
        <f>IFERROR(__xludf.DUMMYFUNCTION("""COMPUTED_VALUE"""),"โรงเรียนดุริยางค์ทหารอากาศ")</f>
        <v>โรงเรียนดุริยางค์ทหารอากาศ</v>
      </c>
      <c r="J137" s="12">
        <f>IFERROR(__xludf.DUMMYFUNCTION("""COMPUTED_VALUE"""),45825.0)</f>
        <v>45825</v>
      </c>
      <c r="K137" s="3" t="str">
        <f>IFERROR(__xludf.DUMMYFUNCTION("""COMPUTED_VALUE"""),"0800-1600")</f>
        <v>0800-1600</v>
      </c>
      <c r="L137" s="3">
        <f>IFERROR(__xludf.DUMMYFUNCTION("""COMPUTED_VALUE"""),8.0)</f>
        <v>8</v>
      </c>
      <c r="M137" s="3" t="str">
        <f>IFERROR(__xludf.DUMMYFUNCTION("""COMPUTED_VALUE"""),"ร.อ.อนุชิต ")</f>
        <v>ร.อ.อนุชิต </v>
      </c>
      <c r="N137" s="14" t="str">
        <f>IFERROR(__xludf.DUMMYFUNCTION("""COMPUTED_VALUE"""),"https://lh5.googleusercontent.com/d/1Ao_W2sRczPGUEMEhFNWuIFwu36a1VaCC")</f>
        <v>https://lh5.googleusercontent.com/d/1Ao_W2sRczPGUEMEhFNWuIFwu36a1VaCC</v>
      </c>
      <c r="O137" s="14" t="str">
        <f>IFERROR(__xludf.DUMMYFUNCTION("""COMPUTED_VALUE"""),"https://drive.google.com/file/d/10FY48x-MoIEf6Pmu0YJLYGhsBPS7MpBX/view?usp=drivesdk")</f>
        <v>https://drive.google.com/file/d/10FY48x-MoIEf6Pmu0YJLYGhsBPS7MpBX/view?usp=drivesdk</v>
      </c>
    </row>
    <row r="138">
      <c r="A138" s="3">
        <f>IFERROR(__xludf.DUMMYFUNCTION("""COMPUTED_VALUE"""),674.0)</f>
        <v>674</v>
      </c>
      <c r="B138" s="11">
        <f>IFERROR(__xludf.DUMMYFUNCTION("""COMPUTED_VALUE"""),45991.78626431713)</f>
        <v>45991.78626</v>
      </c>
      <c r="C138" s="3" t="str">
        <f>IFERROR(__xludf.DUMMYFUNCTION("""COMPUTED_VALUE"""),"ชั้นปีที่ 3")</f>
        <v>ชั้นปีที่ 3</v>
      </c>
      <c r="D138" s="3" t="str">
        <f>IFERROR(__xludf.DUMMYFUNCTION("""COMPUTED_VALUE"""),"6603758")</f>
        <v>6603758</v>
      </c>
      <c r="E138" s="3" t="str">
        <f>IFERROR(__xludf.DUMMYFUNCTION("""COMPUTED_VALUE"""),"5")</f>
        <v>5</v>
      </c>
      <c r="F138" s="3" t="str">
        <f>IFERROR(__xludf.DUMMYFUNCTION("""COMPUTED_VALUE"""),"นพอ.กาญจน์สุดา เหล่าบุตรดี")</f>
        <v>นพอ.กาญจน์สุดา เหล่าบุตรดี</v>
      </c>
      <c r="G13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8" s="3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3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8" s="12">
        <f>IFERROR(__xludf.DUMMYFUNCTION("""COMPUTED_VALUE"""),45840.0)</f>
        <v>45840</v>
      </c>
      <c r="K138" s="3" t="str">
        <f>IFERROR(__xludf.DUMMYFUNCTION("""COMPUTED_VALUE"""),"1400-2200")</f>
        <v>1400-2200</v>
      </c>
      <c r="L138" s="3">
        <f>IFERROR(__xludf.DUMMYFUNCTION("""COMPUTED_VALUE"""),8.0)</f>
        <v>8</v>
      </c>
      <c r="M138" s="3" t="str">
        <f>IFERROR(__xludf.DUMMYFUNCTION("""COMPUTED_VALUE"""),"ร.อ.อนุชิต ทำจะดี")</f>
        <v>ร.อ.อนุชิต ทำจะดี</v>
      </c>
      <c r="N138" s="14" t="str">
        <f>IFERROR(__xludf.DUMMYFUNCTION("""COMPUTED_VALUE"""),"https://lh5.googleusercontent.com/d/1OvizXkf-CTCTEdjmGOjTx_sjmX11ZGVU")</f>
        <v>https://lh5.googleusercontent.com/d/1OvizXkf-CTCTEdjmGOjTx_sjmX11ZGVU</v>
      </c>
      <c r="O138" s="14" t="str">
        <f>IFERROR(__xludf.DUMMYFUNCTION("""COMPUTED_VALUE"""),"https://drive.google.com/file/d/1kufY5mq6DToGVfvzRlXIqUflOezVx3ak/view?usp=drivesdk")</f>
        <v>https://drive.google.com/file/d/1kufY5mq6DToGVfvzRlXIqUflOezVx3ak/view?usp=drivesdk</v>
      </c>
    </row>
    <row r="139">
      <c r="A139" s="3">
        <f>IFERROR(__xludf.DUMMYFUNCTION("""COMPUTED_VALUE"""),679.0)</f>
        <v>679</v>
      </c>
      <c r="B139" s="11">
        <f>IFERROR(__xludf.DUMMYFUNCTION("""COMPUTED_VALUE"""),45991.78984452546)</f>
        <v>45991.78984</v>
      </c>
      <c r="C139" s="3" t="str">
        <f>IFERROR(__xludf.DUMMYFUNCTION("""COMPUTED_VALUE"""),"ชั้นปีที่ 3")</f>
        <v>ชั้นปีที่ 3</v>
      </c>
      <c r="D139" s="3" t="str">
        <f>IFERROR(__xludf.DUMMYFUNCTION("""COMPUTED_VALUE"""),"6603797")</f>
        <v>6603797</v>
      </c>
      <c r="E139" s="3" t="str">
        <f>IFERROR(__xludf.DUMMYFUNCTION("""COMPUTED_VALUE"""),"43")</f>
        <v>43</v>
      </c>
      <c r="F139" s="3" t="str">
        <f>IFERROR(__xludf.DUMMYFUNCTION("""COMPUTED_VALUE"""),"นพอ.พิมพ์ลภัส ทองดีเลิศ")</f>
        <v>นพอ.พิมพ์ลภัส ทองดีเลิศ</v>
      </c>
      <c r="G1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9" s="3" t="str">
        <f>IFERROR(__xludf.DUMMYFUNCTION("""COMPUTED_VALUE"""),"งานคอนเสิร์ตทัพฟ้า")</f>
        <v>งานคอนเสิร์ตทัพฟ้า</v>
      </c>
      <c r="I13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9" s="12">
        <f>IFERROR(__xludf.DUMMYFUNCTION("""COMPUTED_VALUE"""),45839.0)</f>
        <v>45839</v>
      </c>
      <c r="K139" s="3" t="str">
        <f>IFERROR(__xludf.DUMMYFUNCTION("""COMPUTED_VALUE"""),"1400-2200")</f>
        <v>1400-2200</v>
      </c>
      <c r="L139" s="3">
        <f>IFERROR(__xludf.DUMMYFUNCTION("""COMPUTED_VALUE"""),8.0)</f>
        <v>8</v>
      </c>
      <c r="M139" s="3" t="str">
        <f>IFERROR(__xludf.DUMMYFUNCTION("""COMPUTED_VALUE"""),"ร.อ.อนุชิต ทำจะดี")</f>
        <v>ร.อ.อนุชิต ทำจะดี</v>
      </c>
      <c r="N139" s="14" t="str">
        <f>IFERROR(__xludf.DUMMYFUNCTION("""COMPUTED_VALUE"""),"https://lh5.googleusercontent.com/d/1sjPdD5yDEkMeoTZ1DNYhmyik8-lwtmDz")</f>
        <v>https://lh5.googleusercontent.com/d/1sjPdD5yDEkMeoTZ1DNYhmyik8-lwtmDz</v>
      </c>
      <c r="O139" s="14" t="str">
        <f>IFERROR(__xludf.DUMMYFUNCTION("""COMPUTED_VALUE"""),"https://drive.google.com/file/d/1_AR_cQPj9R_4joYk-KggVwzosfRb6mcJ/view?usp=drivesdk")</f>
        <v>https://drive.google.com/file/d/1_AR_cQPj9R_4joYk-KggVwzosfRb6mcJ/view?usp=drivesdk</v>
      </c>
    </row>
    <row r="140">
      <c r="A140" s="3">
        <f>IFERROR(__xludf.DUMMYFUNCTION("""COMPUTED_VALUE"""),680.0)</f>
        <v>680</v>
      </c>
      <c r="B140" s="11">
        <f>IFERROR(__xludf.DUMMYFUNCTION("""COMPUTED_VALUE"""),45991.79084357639)</f>
        <v>45991.79084</v>
      </c>
      <c r="C140" s="3" t="str">
        <f>IFERROR(__xludf.DUMMYFUNCTION("""COMPUTED_VALUE"""),"ชั้นปีที่ 3")</f>
        <v>ชั้นปีที่ 3</v>
      </c>
      <c r="D140" s="3" t="str">
        <f>IFERROR(__xludf.DUMMYFUNCTION("""COMPUTED_VALUE"""),"6603769")</f>
        <v>6603769</v>
      </c>
      <c r="E140" s="3" t="str">
        <f>IFERROR(__xludf.DUMMYFUNCTION("""COMPUTED_VALUE"""),"16")</f>
        <v>16</v>
      </c>
      <c r="F140" s="3" t="str">
        <f>IFERROR(__xludf.DUMMYFUNCTION("""COMPUTED_VALUE"""),"นพอ.ณิชนันท์ ศิรประภารัตน์ ")</f>
        <v>นพอ.ณิชนันท์ ศิรประภารัตน์ </v>
      </c>
      <c r="G14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0" s="3" t="str">
        <f>IFERROR(__xludf.DUMMYFUNCTION("""COMPUTED_VALUE"""),"ซ้อมร้องประสานเสียงคอนเสิร์ตทัพฟ้า")</f>
        <v>ซ้อมร้องประสานเสียงคอนเสิร์ตทัพฟ้า</v>
      </c>
      <c r="I14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0" s="12">
        <f>IFERROR(__xludf.DUMMYFUNCTION("""COMPUTED_VALUE"""),45838.0)</f>
        <v>45838</v>
      </c>
      <c r="K140" s="3" t="str">
        <f>IFERROR(__xludf.DUMMYFUNCTION("""COMPUTED_VALUE"""),"1400-2200")</f>
        <v>1400-2200</v>
      </c>
      <c r="L140" s="3">
        <f>IFERROR(__xludf.DUMMYFUNCTION("""COMPUTED_VALUE"""),8.0)</f>
        <v>8</v>
      </c>
      <c r="M140" s="3" t="str">
        <f>IFERROR(__xludf.DUMMYFUNCTION("""COMPUTED_VALUE"""),"ร.อ.อนุชิต ทำจะดี ")</f>
        <v>ร.อ.อนุชิต ทำจะดี </v>
      </c>
      <c r="N140" s="14" t="str">
        <f>IFERROR(__xludf.DUMMYFUNCTION("""COMPUTED_VALUE"""),"https://lh5.googleusercontent.com/d/19lMgWN_kl_O5t6n2p2yPHU2Bghi1gv6j")</f>
        <v>https://lh5.googleusercontent.com/d/19lMgWN_kl_O5t6n2p2yPHU2Bghi1gv6j</v>
      </c>
      <c r="O140" s="14" t="str">
        <f>IFERROR(__xludf.DUMMYFUNCTION("""COMPUTED_VALUE"""),"https://drive.google.com/file/d/1_5WzeAJyK_YQMwABn3hN4VgkRGG59i4E/view?usp=drivesdk")</f>
        <v>https://drive.google.com/file/d/1_5WzeAJyK_YQMwABn3hN4VgkRGG59i4E/view?usp=drivesdk</v>
      </c>
    </row>
    <row r="141">
      <c r="A141" s="3">
        <f>IFERROR(__xludf.DUMMYFUNCTION("""COMPUTED_VALUE"""),682.0)</f>
        <v>682</v>
      </c>
      <c r="B141" s="11">
        <f>IFERROR(__xludf.DUMMYFUNCTION("""COMPUTED_VALUE"""),45991.79286100694)</f>
        <v>45991.79286</v>
      </c>
      <c r="C141" s="3" t="str">
        <f>IFERROR(__xludf.DUMMYFUNCTION("""COMPUTED_VALUE"""),"ชั้นปีที่ 3")</f>
        <v>ชั้นปีที่ 3</v>
      </c>
      <c r="D141" s="3" t="str">
        <f>IFERROR(__xludf.DUMMYFUNCTION("""COMPUTED_VALUE"""),"6603758")</f>
        <v>6603758</v>
      </c>
      <c r="E141" s="3" t="str">
        <f>IFERROR(__xludf.DUMMYFUNCTION("""COMPUTED_VALUE"""),"5")</f>
        <v>5</v>
      </c>
      <c r="F141" s="3" t="str">
        <f>IFERROR(__xludf.DUMMYFUNCTION("""COMPUTED_VALUE"""),"นพอ.กาญจน์สุดา เหล่าบุตรดี")</f>
        <v>นพอ.กาญจน์สุดา เหล่าบุตรดี</v>
      </c>
      <c r="G14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41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41" s="3" t="str">
        <f>IFERROR(__xludf.DUMMYFUNCTION("""COMPUTED_VALUE"""),"ชุมชนวัดเกาะ")</f>
        <v>ชุมชนวัดเกาะ</v>
      </c>
      <c r="J141" s="12">
        <f>IFERROR(__xludf.DUMMYFUNCTION("""COMPUTED_VALUE"""),45823.0)</f>
        <v>45823</v>
      </c>
      <c r="K141" s="3" t="str">
        <f>IFERROR(__xludf.DUMMYFUNCTION("""COMPUTED_VALUE"""),"0800-1200")</f>
        <v>0800-1200</v>
      </c>
      <c r="L141" s="3">
        <f>IFERROR(__xludf.DUMMYFUNCTION("""COMPUTED_VALUE"""),4.0)</f>
        <v>4</v>
      </c>
      <c r="M141" s="3" t="str">
        <f>IFERROR(__xludf.DUMMYFUNCTION("""COMPUTED_VALUE"""),"น.ต.หญิง ตวงทิพย์ ลดาวัลย์")</f>
        <v>น.ต.หญิง ตวงทิพย์ ลดาวัลย์</v>
      </c>
      <c r="N141" s="14" t="str">
        <f>IFERROR(__xludf.DUMMYFUNCTION("""COMPUTED_VALUE"""),"https://lh5.googleusercontent.com/d/1eF12A8QNe5cljzPKcSXTKdxiT0fJgK8d")</f>
        <v>https://lh5.googleusercontent.com/d/1eF12A8QNe5cljzPKcSXTKdxiT0fJgK8d</v>
      </c>
      <c r="O141" s="14" t="str">
        <f>IFERROR(__xludf.DUMMYFUNCTION("""COMPUTED_VALUE"""),"https://drive.google.com/file/d/11cyr_qkh7-Q6dLp5Bz6pW1iccGKA1c8f/view?usp=drivesdk")</f>
        <v>https://drive.google.com/file/d/11cyr_qkh7-Q6dLp5Bz6pW1iccGKA1c8f/view?usp=drivesdk</v>
      </c>
    </row>
    <row r="142">
      <c r="A142" s="3">
        <f>IFERROR(__xludf.DUMMYFUNCTION("""COMPUTED_VALUE"""),685.0)</f>
        <v>685</v>
      </c>
      <c r="B142" s="11">
        <f>IFERROR(__xludf.DUMMYFUNCTION("""COMPUTED_VALUE"""),45991.79369739584)</f>
        <v>45991.7937</v>
      </c>
      <c r="C142" s="3" t="str">
        <f>IFERROR(__xludf.DUMMYFUNCTION("""COMPUTED_VALUE"""),"ชั้นปีที่ 3")</f>
        <v>ชั้นปีที่ 3</v>
      </c>
      <c r="D142" s="3" t="str">
        <f>IFERROR(__xludf.DUMMYFUNCTION("""COMPUTED_VALUE"""),"6603797")</f>
        <v>6603797</v>
      </c>
      <c r="E142" s="3" t="str">
        <f>IFERROR(__xludf.DUMMYFUNCTION("""COMPUTED_VALUE"""),"43")</f>
        <v>43</v>
      </c>
      <c r="F142" s="3" t="str">
        <f>IFERROR(__xludf.DUMMYFUNCTION("""COMPUTED_VALUE"""),"นพอ.พิมพ์ลภัส ทองดีเลิศ")</f>
        <v>นพอ.พิมพ์ลภัส ทองดีเลิศ</v>
      </c>
      <c r="G1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2" s="3" t="str">
        <f>IFERROR(__xludf.DUMMYFUNCTION("""COMPUTED_VALUE"""),"งานคอนเสิร์ตทัพฟ้า")</f>
        <v>งานคอนเสิร์ตทัพฟ้า</v>
      </c>
      <c r="I14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2" s="12">
        <f>IFERROR(__xludf.DUMMYFUNCTION("""COMPUTED_VALUE"""),45840.0)</f>
        <v>45840</v>
      </c>
      <c r="K142" s="3" t="str">
        <f>IFERROR(__xludf.DUMMYFUNCTION("""COMPUTED_VALUE"""),"1400-2200")</f>
        <v>1400-2200</v>
      </c>
      <c r="L142" s="3">
        <f>IFERROR(__xludf.DUMMYFUNCTION("""COMPUTED_VALUE"""),8.0)</f>
        <v>8</v>
      </c>
      <c r="M142" s="3" t="str">
        <f>IFERROR(__xludf.DUMMYFUNCTION("""COMPUTED_VALUE"""),"ร.อ.อนุชิต ทำจะดี")</f>
        <v>ร.อ.อนุชิต ทำจะดี</v>
      </c>
      <c r="N142" s="14" t="str">
        <f>IFERROR(__xludf.DUMMYFUNCTION("""COMPUTED_VALUE"""),"https://lh5.googleusercontent.com/d/1fSuNME3Za0HueiRrDII_QqaGbH8LCdic")</f>
        <v>https://lh5.googleusercontent.com/d/1fSuNME3Za0HueiRrDII_QqaGbH8LCdic</v>
      </c>
      <c r="O142" s="14" t="str">
        <f>IFERROR(__xludf.DUMMYFUNCTION("""COMPUTED_VALUE"""),"https://drive.google.com/file/d/16GWhE0K3X0bN4f9BlhDtK9Q4a4ZOj2Hm/view?usp=drivesdk")</f>
        <v>https://drive.google.com/file/d/16GWhE0K3X0bN4f9BlhDtK9Q4a4ZOj2Hm/view?usp=drivesdk</v>
      </c>
    </row>
    <row r="143">
      <c r="A143" s="3">
        <f>IFERROR(__xludf.DUMMYFUNCTION("""COMPUTED_VALUE"""),686.0)</f>
        <v>686</v>
      </c>
      <c r="B143" s="11">
        <f>IFERROR(__xludf.DUMMYFUNCTION("""COMPUTED_VALUE"""),45991.794802523145)</f>
        <v>45991.7948</v>
      </c>
      <c r="C143" s="3" t="str">
        <f>IFERROR(__xludf.DUMMYFUNCTION("""COMPUTED_VALUE"""),"ชั้นปีที่ 3")</f>
        <v>ชั้นปีที่ 3</v>
      </c>
      <c r="D143" s="3" t="str">
        <f>IFERROR(__xludf.DUMMYFUNCTION("""COMPUTED_VALUE"""),"6603756")</f>
        <v>6603756</v>
      </c>
      <c r="E143" s="3" t="str">
        <f>IFERROR(__xludf.DUMMYFUNCTION("""COMPUTED_VALUE"""),"3")</f>
        <v>3</v>
      </c>
      <c r="F143" s="3" t="str">
        <f>IFERROR(__xludf.DUMMYFUNCTION("""COMPUTED_VALUE"""),"นพอ.กันต์ฤทัย อินทรเทศ")</f>
        <v>นพอ.กันต์ฤทัย อินทรเทศ</v>
      </c>
      <c r="G1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3" s="3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14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3" s="12">
        <f>IFERROR(__xludf.DUMMYFUNCTION("""COMPUTED_VALUE"""),45839.0)</f>
        <v>45839</v>
      </c>
      <c r="K143" s="3" t="str">
        <f>IFERROR(__xludf.DUMMYFUNCTION("""COMPUTED_VALUE"""),"12.00-20.00")</f>
        <v>12.00-20.00</v>
      </c>
      <c r="L143" s="3">
        <f>IFERROR(__xludf.DUMMYFUNCTION("""COMPUTED_VALUE"""),8.0)</f>
        <v>8</v>
      </c>
      <c r="M143" s="3" t="str">
        <f>IFERROR(__xludf.DUMMYFUNCTION("""COMPUTED_VALUE"""),"ร.อ.อนุชิต ทำจะดี")</f>
        <v>ร.อ.อนุชิต ทำจะดี</v>
      </c>
      <c r="N143" s="14" t="str">
        <f>IFERROR(__xludf.DUMMYFUNCTION("""COMPUTED_VALUE"""),"https://lh5.googleusercontent.com/d/1GR-CtrqVFVletXmeHssIYA_bJvFOk-SV")</f>
        <v>https://lh5.googleusercontent.com/d/1GR-CtrqVFVletXmeHssIYA_bJvFOk-SV</v>
      </c>
      <c r="O143" s="14" t="str">
        <f>IFERROR(__xludf.DUMMYFUNCTION("""COMPUTED_VALUE"""),"https://drive.google.com/file/d/1OquBF3hKV9teI0yRZ9RZ-QP7u_C1sfDU/view?usp=drivesdk")</f>
        <v>https://drive.google.com/file/d/1OquBF3hKV9teI0yRZ9RZ-QP7u_C1sfDU/view?usp=drivesdk</v>
      </c>
    </row>
    <row r="144">
      <c r="A144" s="3">
        <f>IFERROR(__xludf.DUMMYFUNCTION("""COMPUTED_VALUE"""),687.0)</f>
        <v>687</v>
      </c>
      <c r="B144" s="11">
        <f>IFERROR(__xludf.DUMMYFUNCTION("""COMPUTED_VALUE"""),45991.79556895833)</f>
        <v>45991.79557</v>
      </c>
      <c r="C144" s="3" t="str">
        <f>IFERROR(__xludf.DUMMYFUNCTION("""COMPUTED_VALUE"""),"ชั้นปีที่ 3")</f>
        <v>ชั้นปีที่ 3</v>
      </c>
      <c r="D144" s="3" t="str">
        <f>IFERROR(__xludf.DUMMYFUNCTION("""COMPUTED_VALUE"""),"6603769")</f>
        <v>6603769</v>
      </c>
      <c r="E144" s="3" t="str">
        <f>IFERROR(__xludf.DUMMYFUNCTION("""COMPUTED_VALUE"""),"16")</f>
        <v>16</v>
      </c>
      <c r="F144" s="3" t="str">
        <f>IFERROR(__xludf.DUMMYFUNCTION("""COMPUTED_VALUE"""),"นพอ.ณิชนันท์ ศิรประภารัตน์")</f>
        <v>นพอ.ณิชนันท์ ศิรประภารัตน์</v>
      </c>
      <c r="G1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4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4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4" s="12">
        <f>IFERROR(__xludf.DUMMYFUNCTION("""COMPUTED_VALUE"""),45839.0)</f>
        <v>45839</v>
      </c>
      <c r="K144" s="3" t="str">
        <f>IFERROR(__xludf.DUMMYFUNCTION("""COMPUTED_VALUE"""),"1400-2200")</f>
        <v>1400-2200</v>
      </c>
      <c r="L144" s="3">
        <f>IFERROR(__xludf.DUMMYFUNCTION("""COMPUTED_VALUE"""),8.0)</f>
        <v>8</v>
      </c>
      <c r="M144" s="3" t="str">
        <f>IFERROR(__xludf.DUMMYFUNCTION("""COMPUTED_VALUE"""),"ร.อ.อนุชิต ทำจะดี ")</f>
        <v>ร.อ.อนุชิต ทำจะดี </v>
      </c>
      <c r="N144" s="14" t="str">
        <f>IFERROR(__xludf.DUMMYFUNCTION("""COMPUTED_VALUE"""),"https://lh5.googleusercontent.com/d/1gtVhuJhsa9Ll-ybZqFiAzm68m6vS2aTS")</f>
        <v>https://lh5.googleusercontent.com/d/1gtVhuJhsa9Ll-ybZqFiAzm68m6vS2aTS</v>
      </c>
      <c r="O144" s="14" t="str">
        <f>IFERROR(__xludf.DUMMYFUNCTION("""COMPUTED_VALUE"""),"https://drive.google.com/file/d/1BDl_GFTp-1epUh_mcACR7Z5DCAnCXtKS/view?usp=drivesdk")</f>
        <v>https://drive.google.com/file/d/1BDl_GFTp-1epUh_mcACR7Z5DCAnCXtKS/view?usp=drivesdk</v>
      </c>
    </row>
    <row r="145">
      <c r="A145" s="3">
        <f>IFERROR(__xludf.DUMMYFUNCTION("""COMPUTED_VALUE"""),691.0)</f>
        <v>691</v>
      </c>
      <c r="B145" s="11">
        <f>IFERROR(__xludf.DUMMYFUNCTION("""COMPUTED_VALUE"""),45991.79649482639)</f>
        <v>45991.79649</v>
      </c>
      <c r="C145" s="3" t="str">
        <f>IFERROR(__xludf.DUMMYFUNCTION("""COMPUTED_VALUE"""),"ชั้นปีที่ 3")</f>
        <v>ชั้นปีที่ 3</v>
      </c>
      <c r="D145" s="3" t="str">
        <f>IFERROR(__xludf.DUMMYFUNCTION("""COMPUTED_VALUE"""),"6603761")</f>
        <v>6603761</v>
      </c>
      <c r="E145" s="3" t="str">
        <f>IFERROR(__xludf.DUMMYFUNCTION("""COMPUTED_VALUE"""),"8")</f>
        <v>8</v>
      </c>
      <c r="F145" s="3" t="str">
        <f>IFERROR(__xludf.DUMMYFUNCTION("""COMPUTED_VALUE"""),"นพอ.ชญานิศ ทองแสงแก้ว")</f>
        <v>นพอ.ชญานิศ ทองแสงแก้ว</v>
      </c>
      <c r="G1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5" s="3" t="str">
        <f>IFERROR(__xludf.DUMMYFUNCTION("""COMPUTED_VALUE"""),"มิตรประชากองทัพอากาศ")</f>
        <v>มิตรประชากองทัพอากาศ</v>
      </c>
      <c r="I145" s="3" t="str">
        <f>IFERROR(__xludf.DUMMYFUNCTION("""COMPUTED_VALUE"""),"โรงเรียนวัดท่าแพ")</f>
        <v>โรงเรียนวัดท่าแพ</v>
      </c>
      <c r="J145" s="12">
        <f>IFERROR(__xludf.DUMMYFUNCTION("""COMPUTED_VALUE"""),45845.0)</f>
        <v>45845</v>
      </c>
      <c r="K145" s="3" t="str">
        <f>IFERROR(__xludf.DUMMYFUNCTION("""COMPUTED_VALUE"""),"0800-1600")</f>
        <v>0800-1600</v>
      </c>
      <c r="L145" s="3">
        <f>IFERROR(__xludf.DUMMYFUNCTION("""COMPUTED_VALUE"""),8.0)</f>
        <v>8</v>
      </c>
      <c r="M145" s="3" t="str">
        <f>IFERROR(__xludf.DUMMYFUNCTION("""COMPUTED_VALUE"""),"น.ต.หญิง ขวัญชนก พ่วงนาคพันธ์ุ")</f>
        <v>น.ต.หญิง ขวัญชนก พ่วงนาคพันธ์ุ</v>
      </c>
      <c r="N145" s="14" t="str">
        <f>IFERROR(__xludf.DUMMYFUNCTION("""COMPUTED_VALUE"""),"https://lh5.googleusercontent.com/d/1pSX2Tg9iaFArkPiYPFNmPK9hkeBDpGEF")</f>
        <v>https://lh5.googleusercontent.com/d/1pSX2Tg9iaFArkPiYPFNmPK9hkeBDpGEF</v>
      </c>
      <c r="O145" s="14" t="str">
        <f>IFERROR(__xludf.DUMMYFUNCTION("""COMPUTED_VALUE"""),"https://drive.google.com/file/d/15Njt8mUGcL4lO9Kgebaoxv6EnwU6lSRn/view?usp=drivesdk")</f>
        <v>https://drive.google.com/file/d/15Njt8mUGcL4lO9Kgebaoxv6EnwU6lSRn/view?usp=drivesdk</v>
      </c>
    </row>
    <row r="146">
      <c r="A146" s="3">
        <f>IFERROR(__xludf.DUMMYFUNCTION("""COMPUTED_VALUE"""),692.0)</f>
        <v>692</v>
      </c>
      <c r="B146" s="11">
        <f>IFERROR(__xludf.DUMMYFUNCTION("""COMPUTED_VALUE"""),45991.7967972338)</f>
        <v>45991.7968</v>
      </c>
      <c r="C146" s="3" t="str">
        <f>IFERROR(__xludf.DUMMYFUNCTION("""COMPUTED_VALUE"""),"ชั้นปีที่ 3")</f>
        <v>ชั้นปีที่ 3</v>
      </c>
      <c r="D146" s="3" t="str">
        <f>IFERROR(__xludf.DUMMYFUNCTION("""COMPUTED_VALUE"""),"6603769")</f>
        <v>6603769</v>
      </c>
      <c r="E146" s="3" t="str">
        <f>IFERROR(__xludf.DUMMYFUNCTION("""COMPUTED_VALUE"""),"16")</f>
        <v>16</v>
      </c>
      <c r="F146" s="3" t="str">
        <f>IFERROR(__xludf.DUMMYFUNCTION("""COMPUTED_VALUE"""),"นพอ.ณิชนันท์ ศิรประภารัตน์")</f>
        <v>นพอ.ณิชนันท์ ศิรประภารัตน์</v>
      </c>
      <c r="G1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6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4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6" s="12">
        <f>IFERROR(__xludf.DUMMYFUNCTION("""COMPUTED_VALUE"""),45840.0)</f>
        <v>45840</v>
      </c>
      <c r="K146" s="3" t="str">
        <f>IFERROR(__xludf.DUMMYFUNCTION("""COMPUTED_VALUE"""),"1400-2200")</f>
        <v>1400-2200</v>
      </c>
      <c r="L146" s="3">
        <f>IFERROR(__xludf.DUMMYFUNCTION("""COMPUTED_VALUE"""),8.0)</f>
        <v>8</v>
      </c>
      <c r="M146" s="3" t="str">
        <f>IFERROR(__xludf.DUMMYFUNCTION("""COMPUTED_VALUE"""),"ร.อ.อนุชิต ทำจะดี")</f>
        <v>ร.อ.อนุชิต ทำจะดี</v>
      </c>
      <c r="N146" s="14" t="str">
        <f>IFERROR(__xludf.DUMMYFUNCTION("""COMPUTED_VALUE"""),"https://lh5.googleusercontent.com/d/1oLm_l711UexsNikDawferS4GrVUMfO8F")</f>
        <v>https://lh5.googleusercontent.com/d/1oLm_l711UexsNikDawferS4GrVUMfO8F</v>
      </c>
      <c r="O146" s="14" t="str">
        <f>IFERROR(__xludf.DUMMYFUNCTION("""COMPUTED_VALUE"""),"https://drive.google.com/file/d/1ZDHIexpxNRGjLHUUGZZCHKGSSymESCcH/view?usp=drivesdk")</f>
        <v>https://drive.google.com/file/d/1ZDHIexpxNRGjLHUUGZZCHKGSSymESCcH/view?usp=drivesdk</v>
      </c>
    </row>
    <row r="147">
      <c r="A147" s="3">
        <f>IFERROR(__xludf.DUMMYFUNCTION("""COMPUTED_VALUE"""),693.0)</f>
        <v>693</v>
      </c>
      <c r="B147" s="11">
        <f>IFERROR(__xludf.DUMMYFUNCTION("""COMPUTED_VALUE"""),45991.79722122685)</f>
        <v>45991.79722</v>
      </c>
      <c r="C147" s="3" t="str">
        <f>IFERROR(__xludf.DUMMYFUNCTION("""COMPUTED_VALUE"""),"ชั้นปีที่ 3")</f>
        <v>ชั้นปีที่ 3</v>
      </c>
      <c r="D147" s="3" t="str">
        <f>IFERROR(__xludf.DUMMYFUNCTION("""COMPUTED_VALUE"""),"6603801")</f>
        <v>6603801</v>
      </c>
      <c r="E147" s="3" t="str">
        <f>IFERROR(__xludf.DUMMYFUNCTION("""COMPUTED_VALUE"""),"47")</f>
        <v>47</v>
      </c>
      <c r="F147" s="3" t="str">
        <f>IFERROR(__xludf.DUMMYFUNCTION("""COMPUTED_VALUE"""),"นพอ.วาสิตา ไทรทอง")</f>
        <v>นพอ.วาสิตา ไทรทอง</v>
      </c>
      <c r="G1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7" s="3" t="str">
        <f>IFERROR(__xludf.DUMMYFUNCTION("""COMPUTED_VALUE"""),"เสาร์ประทีป ")</f>
        <v>เสาร์ประทีป </v>
      </c>
      <c r="I147" s="3" t="str">
        <f>IFERROR(__xludf.DUMMYFUNCTION("""COMPUTED_VALUE"""),"โรงเรียนนายร้อย จปร.")</f>
        <v>โรงเรียนนายร้อย จปร.</v>
      </c>
      <c r="J147" s="12">
        <f>IFERROR(__xludf.DUMMYFUNCTION("""COMPUTED_VALUE"""),45836.0)</f>
        <v>45836</v>
      </c>
      <c r="K147" s="3" t="str">
        <f>IFERROR(__xludf.DUMMYFUNCTION("""COMPUTED_VALUE"""),"0700-1200")</f>
        <v>0700-1200</v>
      </c>
      <c r="L147" s="3">
        <f>IFERROR(__xludf.DUMMYFUNCTION("""COMPUTED_VALUE"""),5.0)</f>
        <v>5</v>
      </c>
      <c r="M14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47" s="14" t="str">
        <f>IFERROR(__xludf.DUMMYFUNCTION("""COMPUTED_VALUE"""),"https://lh5.googleusercontent.com/d/15a6VJt6DFmW3fx194CUqyNorXuY98rmT")</f>
        <v>https://lh5.googleusercontent.com/d/15a6VJt6DFmW3fx194CUqyNorXuY98rmT</v>
      </c>
      <c r="O147" s="14" t="str">
        <f>IFERROR(__xludf.DUMMYFUNCTION("""COMPUTED_VALUE"""),"https://drive.google.com/file/d/1-KReA1MLL5drrRtpLEY3kZBNDya2nEwq/view?usp=drivesdk")</f>
        <v>https://drive.google.com/file/d/1-KReA1MLL5drrRtpLEY3kZBNDya2nEwq/view?usp=drivesdk</v>
      </c>
    </row>
    <row r="148">
      <c r="A148" s="3">
        <f>IFERROR(__xludf.DUMMYFUNCTION("""COMPUTED_VALUE"""),696.0)</f>
        <v>696</v>
      </c>
      <c r="B148" s="11">
        <f>IFERROR(__xludf.DUMMYFUNCTION("""COMPUTED_VALUE"""),45991.79918394676)</f>
        <v>45991.79918</v>
      </c>
      <c r="C148" s="3" t="str">
        <f>IFERROR(__xludf.DUMMYFUNCTION("""COMPUTED_VALUE"""),"ชั้นปีที่ 3")</f>
        <v>ชั้นปีที่ 3</v>
      </c>
      <c r="D148" s="3" t="str">
        <f>IFERROR(__xludf.DUMMYFUNCTION("""COMPUTED_VALUE"""),"6603814")</f>
        <v>6603814</v>
      </c>
      <c r="E148" s="3" t="str">
        <f>IFERROR(__xludf.DUMMYFUNCTION("""COMPUTED_VALUE"""),"60")</f>
        <v>60</v>
      </c>
      <c r="F148" s="3" t="str">
        <f>IFERROR(__xludf.DUMMYFUNCTION("""COMPUTED_VALUE"""),"นพอ.อนัญญา สิงทิศ")</f>
        <v>นพอ.อนัญญา สิงทิศ</v>
      </c>
      <c r="G14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8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4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8" s="12">
        <f>IFERROR(__xludf.DUMMYFUNCTION("""COMPUTED_VALUE"""),45838.0)</f>
        <v>45838</v>
      </c>
      <c r="K148" s="3" t="str">
        <f>IFERROR(__xludf.DUMMYFUNCTION("""COMPUTED_VALUE"""),"1400-2200")</f>
        <v>1400-2200</v>
      </c>
      <c r="L148" s="3">
        <f>IFERROR(__xludf.DUMMYFUNCTION("""COMPUTED_VALUE"""),8.0)</f>
        <v>8</v>
      </c>
      <c r="M148" s="3" t="str">
        <f>IFERROR(__xludf.DUMMYFUNCTION("""COMPUTED_VALUE"""),"ร.อ.อนุชิต ทำจะดี")</f>
        <v>ร.อ.อนุชิต ทำจะดี</v>
      </c>
      <c r="N148" s="14" t="str">
        <f>IFERROR(__xludf.DUMMYFUNCTION("""COMPUTED_VALUE"""),"https://lh5.googleusercontent.com/d/1Mw84FPRFN29juk__6QeAXcOd31hgytVN")</f>
        <v>https://lh5.googleusercontent.com/d/1Mw84FPRFN29juk__6QeAXcOd31hgytVN</v>
      </c>
      <c r="O148" s="3"/>
    </row>
    <row r="149">
      <c r="A149" s="3">
        <f>IFERROR(__xludf.DUMMYFUNCTION("""COMPUTED_VALUE"""),699.0)</f>
        <v>699</v>
      </c>
      <c r="B149" s="11">
        <f>IFERROR(__xludf.DUMMYFUNCTION("""COMPUTED_VALUE"""),45991.800118287036)</f>
        <v>45991.80012</v>
      </c>
      <c r="C149" s="3" t="str">
        <f>IFERROR(__xludf.DUMMYFUNCTION("""COMPUTED_VALUE"""),"ชั้นปีที่ 3")</f>
        <v>ชั้นปีที่ 3</v>
      </c>
      <c r="D149" s="3" t="str">
        <f>IFERROR(__xludf.DUMMYFUNCTION("""COMPUTED_VALUE"""),"6603756")</f>
        <v>6603756</v>
      </c>
      <c r="E149" s="3" t="str">
        <f>IFERROR(__xludf.DUMMYFUNCTION("""COMPUTED_VALUE"""),"3")</f>
        <v>3</v>
      </c>
      <c r="F149" s="3" t="str">
        <f>IFERROR(__xludf.DUMMYFUNCTION("""COMPUTED_VALUE"""),"นพอ.กันต์ฤทัย อินทรเทศ")</f>
        <v>นพอ.กันต์ฤทัย อินทรเทศ</v>
      </c>
      <c r="G1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9" s="3" t="str">
        <f>IFERROR(__xludf.DUMMYFUNCTION("""COMPUTED_VALUE"""),"คอนเสิร์ตทัพฟ้าคู่ไทยเพื่อ“ชัยพัฒนา“ครั้งที่ 16")</f>
        <v>คอนเสิร์ตทัพฟ้าคู่ไทยเพื่อ“ชัยพัฒนา“ครั้งที่ 16</v>
      </c>
      <c r="I14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9" s="12">
        <f>IFERROR(__xludf.DUMMYFUNCTION("""COMPUTED_VALUE"""),45840.0)</f>
        <v>45840</v>
      </c>
      <c r="K149" s="3" t="str">
        <f>IFERROR(__xludf.DUMMYFUNCTION("""COMPUTED_VALUE"""),"08.00-20.00")</f>
        <v>08.00-20.00</v>
      </c>
      <c r="L149" s="3">
        <f>IFERROR(__xludf.DUMMYFUNCTION("""COMPUTED_VALUE"""),8.0)</f>
        <v>8</v>
      </c>
      <c r="M149" s="3" t="str">
        <f>IFERROR(__xludf.DUMMYFUNCTION("""COMPUTED_VALUE"""),"ร.อ.อนุชิต ทำจะดี")</f>
        <v>ร.อ.อนุชิต ทำจะดี</v>
      </c>
      <c r="N149" s="14" t="str">
        <f>IFERROR(__xludf.DUMMYFUNCTION("""COMPUTED_VALUE"""),"https://lh5.googleusercontent.com/d/1Whk7LuYr38eSB_SalevS-EnagDZnvDvu")</f>
        <v>https://lh5.googleusercontent.com/d/1Whk7LuYr38eSB_SalevS-EnagDZnvDvu</v>
      </c>
      <c r="O149" s="14" t="str">
        <f>IFERROR(__xludf.DUMMYFUNCTION("""COMPUTED_VALUE"""),"https://drive.google.com/file/d/1QHfKbbUzFJ0ajsWpbvPLLvQ6tp8_iWxJ/view?usp=drivesdk")</f>
        <v>https://drive.google.com/file/d/1QHfKbbUzFJ0ajsWpbvPLLvQ6tp8_iWxJ/view?usp=drivesdk</v>
      </c>
    </row>
    <row r="150">
      <c r="A150" s="3">
        <f>IFERROR(__xludf.DUMMYFUNCTION("""COMPUTED_VALUE"""),700.0)</f>
        <v>700</v>
      </c>
      <c r="B150" s="11">
        <f>IFERROR(__xludf.DUMMYFUNCTION("""COMPUTED_VALUE"""),45991.80046480324)</f>
        <v>45991.80046</v>
      </c>
      <c r="C150" s="3" t="str">
        <f>IFERROR(__xludf.DUMMYFUNCTION("""COMPUTED_VALUE"""),"ชั้นปีที่ 3")</f>
        <v>ชั้นปีที่ 3</v>
      </c>
      <c r="D150" s="3" t="str">
        <f>IFERROR(__xludf.DUMMYFUNCTION("""COMPUTED_VALUE"""),"6603769")</f>
        <v>6603769</v>
      </c>
      <c r="E150" s="3" t="str">
        <f>IFERROR(__xludf.DUMMYFUNCTION("""COMPUTED_VALUE"""),"16")</f>
        <v>16</v>
      </c>
      <c r="F150" s="3" t="str">
        <f>IFERROR(__xludf.DUMMYFUNCTION("""COMPUTED_VALUE"""),"นพอ.ณิชนันท์ ศิรประภารัตน์")</f>
        <v>นพอ.ณิชนันท์ ศิรประภารัตน์</v>
      </c>
      <c r="G1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0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5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0" s="12">
        <f>IFERROR(__xludf.DUMMYFUNCTION("""COMPUTED_VALUE"""),45840.0)</f>
        <v>45840</v>
      </c>
      <c r="K150" s="3" t="str">
        <f>IFERROR(__xludf.DUMMYFUNCTION("""COMPUTED_VALUE"""),"1400-2200")</f>
        <v>1400-2200</v>
      </c>
      <c r="L150" s="3">
        <f>IFERROR(__xludf.DUMMYFUNCTION("""COMPUTED_VALUE"""),8.0)</f>
        <v>8</v>
      </c>
      <c r="M150" s="3" t="str">
        <f>IFERROR(__xludf.DUMMYFUNCTION("""COMPUTED_VALUE"""),"ร.อ.อนุชิต ทำจะดี")</f>
        <v>ร.อ.อนุชิต ทำจะดี</v>
      </c>
      <c r="N150" s="14" t="str">
        <f>IFERROR(__xludf.DUMMYFUNCTION("""COMPUTED_VALUE"""),"https://lh5.googleusercontent.com/d/1H0vyhgGqCFT_Ov0bmfOE6xLwG2JECZda")</f>
        <v>https://lh5.googleusercontent.com/d/1H0vyhgGqCFT_Ov0bmfOE6xLwG2JECZda</v>
      </c>
      <c r="O150" s="14" t="str">
        <f>IFERROR(__xludf.DUMMYFUNCTION("""COMPUTED_VALUE"""),"https://drive.google.com/file/d/1T3yc4xzyNhkYt6ISElWikpWiw1kXOAkQ/view?usp=drivesdk")</f>
        <v>https://drive.google.com/file/d/1T3yc4xzyNhkYt6ISElWikpWiw1kXOAkQ/view?usp=drivesdk</v>
      </c>
    </row>
    <row r="151">
      <c r="A151" s="3">
        <f>IFERROR(__xludf.DUMMYFUNCTION("""COMPUTED_VALUE"""),701.0)</f>
        <v>701</v>
      </c>
      <c r="B151" s="11">
        <f>IFERROR(__xludf.DUMMYFUNCTION("""COMPUTED_VALUE"""),45991.800807962965)</f>
        <v>45991.80081</v>
      </c>
      <c r="C151" s="3" t="str">
        <f>IFERROR(__xludf.DUMMYFUNCTION("""COMPUTED_VALUE"""),"ชั้นปีที่ 3")</f>
        <v>ชั้นปีที่ 3</v>
      </c>
      <c r="D151" s="3" t="str">
        <f>IFERROR(__xludf.DUMMYFUNCTION("""COMPUTED_VALUE"""),"6603761")</f>
        <v>6603761</v>
      </c>
      <c r="E151" s="3" t="str">
        <f>IFERROR(__xludf.DUMMYFUNCTION("""COMPUTED_VALUE"""),"8")</f>
        <v>8</v>
      </c>
      <c r="F151" s="3" t="str">
        <f>IFERROR(__xludf.DUMMYFUNCTION("""COMPUTED_VALUE"""),"นพอ.ชญานิศ ทองแสงแก้ว")</f>
        <v>นพอ.ชญานิศ ทองแสงแก้ว</v>
      </c>
      <c r="G1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1" s="3" t="str">
        <f>IFERROR(__xludf.DUMMYFUNCTION("""COMPUTED_VALUE"""),"มิตรประชากองทัพอากาศ")</f>
        <v>มิตรประชากองทัพอากาศ</v>
      </c>
      <c r="I151" s="3" t="str">
        <f>IFERROR(__xludf.DUMMYFUNCTION("""COMPUTED_VALUE"""),"โรงเรียนทุ่งสง")</f>
        <v>โรงเรียนทุ่งสง</v>
      </c>
      <c r="J151" s="12">
        <f>IFERROR(__xludf.DUMMYFUNCTION("""COMPUTED_VALUE"""),45846.0)</f>
        <v>45846</v>
      </c>
      <c r="K151" s="3" t="str">
        <f>IFERROR(__xludf.DUMMYFUNCTION("""COMPUTED_VALUE"""),"0800-1600")</f>
        <v>0800-1600</v>
      </c>
      <c r="L151" s="3">
        <f>IFERROR(__xludf.DUMMYFUNCTION("""COMPUTED_VALUE"""),8.0)</f>
        <v>8</v>
      </c>
      <c r="M15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51" s="14" t="str">
        <f>IFERROR(__xludf.DUMMYFUNCTION("""COMPUTED_VALUE"""),"https://lh5.googleusercontent.com/d/1k11l9UfQGzsjgEpx6jujDRslm_DJF1Y5")</f>
        <v>https://lh5.googleusercontent.com/d/1k11l9UfQGzsjgEpx6jujDRslm_DJF1Y5</v>
      </c>
      <c r="O151" s="14" t="str">
        <f>IFERROR(__xludf.DUMMYFUNCTION("""COMPUTED_VALUE"""),"https://drive.google.com/file/d/1zZhU4W1YDm8LRigF-DfePkZFJ5DxMmLZ/view?usp=drivesdk")</f>
        <v>https://drive.google.com/file/d/1zZhU4W1YDm8LRigF-DfePkZFJ5DxMmLZ/view?usp=drivesdk</v>
      </c>
    </row>
    <row r="152">
      <c r="A152" s="3">
        <f>IFERROR(__xludf.DUMMYFUNCTION("""COMPUTED_VALUE"""),702.0)</f>
        <v>702</v>
      </c>
      <c r="B152" s="11">
        <f>IFERROR(__xludf.DUMMYFUNCTION("""COMPUTED_VALUE"""),45991.80199568287)</f>
        <v>45991.802</v>
      </c>
      <c r="C152" s="3" t="str">
        <f>IFERROR(__xludf.DUMMYFUNCTION("""COMPUTED_VALUE"""),"ชั้นปีที่ 3")</f>
        <v>ชั้นปีที่ 3</v>
      </c>
      <c r="D152" s="3" t="str">
        <f>IFERROR(__xludf.DUMMYFUNCTION("""COMPUTED_VALUE"""),"6603801")</f>
        <v>6603801</v>
      </c>
      <c r="E152" s="3" t="str">
        <f>IFERROR(__xludf.DUMMYFUNCTION("""COMPUTED_VALUE"""),"47")</f>
        <v>47</v>
      </c>
      <c r="F152" s="3" t="str">
        <f>IFERROR(__xludf.DUMMYFUNCTION("""COMPUTED_VALUE"""),"นพอ.วาสิตา ไทรทอง")</f>
        <v>นพอ.วาสิตา ไทรทอง</v>
      </c>
      <c r="G1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2" s="3" t="str">
        <f>IFERROR(__xludf.DUMMYFUNCTION("""COMPUTED_VALUE"""),"คอนเสิร์ตทัพฟ้าคู่ไทยเพื่อ”ชัยพัฒนา“ ครั้งที่ 16 ")</f>
        <v>คอนเสิร์ตทัพฟ้าคู่ไทยเพื่อ”ชัยพัฒนา“ ครั้งที่ 16 </v>
      </c>
      <c r="I15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2" s="12">
        <f>IFERROR(__xludf.DUMMYFUNCTION("""COMPUTED_VALUE"""),45839.0)</f>
        <v>45839</v>
      </c>
      <c r="K152" s="3" t="str">
        <f>IFERROR(__xludf.DUMMYFUNCTION("""COMPUTED_VALUE"""),"1400-2200")</f>
        <v>1400-2200</v>
      </c>
      <c r="L152" s="3">
        <f>IFERROR(__xludf.DUMMYFUNCTION("""COMPUTED_VALUE"""),8.0)</f>
        <v>8</v>
      </c>
      <c r="M152" s="3" t="str">
        <f>IFERROR(__xludf.DUMMYFUNCTION("""COMPUTED_VALUE"""),"ร.อ. อนุชิต ทำจะดี")</f>
        <v>ร.อ. อนุชิต ทำจะดี</v>
      </c>
      <c r="N152" s="14" t="str">
        <f>IFERROR(__xludf.DUMMYFUNCTION("""COMPUTED_VALUE"""),"https://lh5.googleusercontent.com/d/1_YSB7T1bkZqoqL1s8ADQU2-CDeKaor6P")</f>
        <v>https://lh5.googleusercontent.com/d/1_YSB7T1bkZqoqL1s8ADQU2-CDeKaor6P</v>
      </c>
      <c r="O152" s="14" t="str">
        <f>IFERROR(__xludf.DUMMYFUNCTION("""COMPUTED_VALUE"""),"https://drive.google.com/file/d/19UenIB7x7jk9ciQKStVYjMbje3D74jWT/view?usp=drivesdk")</f>
        <v>https://drive.google.com/file/d/19UenIB7x7jk9ciQKStVYjMbje3D74jWT/view?usp=drivesdk</v>
      </c>
    </row>
    <row r="153">
      <c r="A153" s="3">
        <f>IFERROR(__xludf.DUMMYFUNCTION("""COMPUTED_VALUE"""),703.0)</f>
        <v>703</v>
      </c>
      <c r="B153" s="11">
        <f>IFERROR(__xludf.DUMMYFUNCTION("""COMPUTED_VALUE"""),45991.802220648155)</f>
        <v>45991.80222</v>
      </c>
      <c r="C153" s="3" t="str">
        <f>IFERROR(__xludf.DUMMYFUNCTION("""COMPUTED_VALUE"""),"ชั้นปีที่ 3")</f>
        <v>ชั้นปีที่ 3</v>
      </c>
      <c r="D153" s="3" t="str">
        <f>IFERROR(__xludf.DUMMYFUNCTION("""COMPUTED_VALUE"""),"6603797")</f>
        <v>6603797</v>
      </c>
      <c r="E153" s="3" t="str">
        <f>IFERROR(__xludf.DUMMYFUNCTION("""COMPUTED_VALUE"""),"43")</f>
        <v>43</v>
      </c>
      <c r="F153" s="3" t="str">
        <f>IFERROR(__xludf.DUMMYFUNCTION("""COMPUTED_VALUE"""),"นพอ.พิมพ์ลภัส ทองดีเลิศ")</f>
        <v>นพอ.พิมพ์ลภัส ทองดีเลิศ</v>
      </c>
      <c r="G153" s="3" t="str">
        <f>IFERROR(__xludf.DUMMYFUNCTION("""COMPUTED_VALUE"""),"งานฟรีทั่วไป")</f>
        <v>งานฟรีทั่วไป</v>
      </c>
      <c r="H153" s="3" t="str">
        <f>IFERROR(__xludf.DUMMYFUNCTION("""COMPUTED_VALUE"""),"ทำงานบ้าน")</f>
        <v>ทำงานบ้าน</v>
      </c>
      <c r="I153" s="3" t="str">
        <f>IFERROR(__xludf.DUMMYFUNCTION("""COMPUTED_VALUE"""),"บ้าน")</f>
        <v>บ้าน</v>
      </c>
      <c r="J153" s="12">
        <f>IFERROR(__xludf.DUMMYFUNCTION("""COMPUTED_VALUE"""),45871.0)</f>
        <v>45871</v>
      </c>
      <c r="K153" s="3" t="str">
        <f>IFERROR(__xludf.DUMMYFUNCTION("""COMPUTED_VALUE"""),"1600-1800")</f>
        <v>1600-1800</v>
      </c>
      <c r="L153" s="3">
        <f>IFERROR(__xludf.DUMMYFUNCTION("""COMPUTED_VALUE"""),2.0)</f>
        <v>2</v>
      </c>
      <c r="M153" s="3" t="str">
        <f>IFERROR(__xludf.DUMMYFUNCTION("""COMPUTED_VALUE"""),"นางเพ็ญศรี ทองดีเลิศ")</f>
        <v>นางเพ็ญศรี ทองดีเลิศ</v>
      </c>
      <c r="N153" s="14" t="str">
        <f>IFERROR(__xludf.DUMMYFUNCTION("""COMPUTED_VALUE"""),"https://lh5.googleusercontent.com/d/1AfwVfGkb412DySdZJUcYd3sg17tNE-Lx")</f>
        <v>https://lh5.googleusercontent.com/d/1AfwVfGkb412DySdZJUcYd3sg17tNE-Lx</v>
      </c>
      <c r="O153" s="14" t="str">
        <f>IFERROR(__xludf.DUMMYFUNCTION("""COMPUTED_VALUE"""),"https://drive.google.com/file/d/1gBTWhsVO3VLyV97oK0PaEQo3D_khN4yx/view?usp=drivesdk")</f>
        <v>https://drive.google.com/file/d/1gBTWhsVO3VLyV97oK0PaEQo3D_khN4yx/view?usp=drivesdk</v>
      </c>
    </row>
    <row r="154">
      <c r="A154" s="3">
        <f>IFERROR(__xludf.DUMMYFUNCTION("""COMPUTED_VALUE"""),705.0)</f>
        <v>705</v>
      </c>
      <c r="B154" s="11">
        <f>IFERROR(__xludf.DUMMYFUNCTION("""COMPUTED_VALUE"""),45991.804064247684)</f>
        <v>45991.80406</v>
      </c>
      <c r="C154" s="3" t="str">
        <f>IFERROR(__xludf.DUMMYFUNCTION("""COMPUTED_VALUE"""),"ชั้นปีที่ 3")</f>
        <v>ชั้นปีที่ 3</v>
      </c>
      <c r="D154" s="3" t="str">
        <f>IFERROR(__xludf.DUMMYFUNCTION("""COMPUTED_VALUE"""),"6603797")</f>
        <v>6603797</v>
      </c>
      <c r="E154" s="3" t="str">
        <f>IFERROR(__xludf.DUMMYFUNCTION("""COMPUTED_VALUE"""),"43")</f>
        <v>43</v>
      </c>
      <c r="F154" s="3" t="str">
        <f>IFERROR(__xludf.DUMMYFUNCTION("""COMPUTED_VALUE"""),"นพอ.พิมพ์ลภัส ทองดีเลิศ")</f>
        <v>นพอ.พิมพ์ลภัส ทองดีเลิศ</v>
      </c>
      <c r="G1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4" s="3" t="str">
        <f>IFERROR(__xludf.DUMMYFUNCTION("""COMPUTED_VALUE"""),"โครงการบริหารวิชาการแก่สังคม")</f>
        <v>โครงการบริหารวิชาการแก่สังคม</v>
      </c>
      <c r="I154" s="3" t="str">
        <f>IFERROR(__xludf.DUMMYFUNCTION("""COMPUTED_VALUE"""),"ชุมชนวัดเกาะ")</f>
        <v>ชุมชนวัดเกาะ</v>
      </c>
      <c r="J154" s="12">
        <f>IFERROR(__xludf.DUMMYFUNCTION("""COMPUTED_VALUE"""),45823.0)</f>
        <v>45823</v>
      </c>
      <c r="K154" s="3" t="str">
        <f>IFERROR(__xludf.DUMMYFUNCTION("""COMPUTED_VALUE"""),"0800-1200")</f>
        <v>0800-1200</v>
      </c>
      <c r="L154" s="3">
        <f>IFERROR(__xludf.DUMMYFUNCTION("""COMPUTED_VALUE"""),4.0)</f>
        <v>4</v>
      </c>
      <c r="M154" s="3" t="str">
        <f>IFERROR(__xludf.DUMMYFUNCTION("""COMPUTED_VALUE"""),"น.ต.หญิง ตวงทิพย์ ลดาวัลย์")</f>
        <v>น.ต.หญิง ตวงทิพย์ ลดาวัลย์</v>
      </c>
      <c r="N154" s="14" t="str">
        <f>IFERROR(__xludf.DUMMYFUNCTION("""COMPUTED_VALUE"""),"https://lh5.googleusercontent.com/d/1xOXmTa_alj9tCfyHP9kPX6W6Uul1FXwa")</f>
        <v>https://lh5.googleusercontent.com/d/1xOXmTa_alj9tCfyHP9kPX6W6Uul1FXwa</v>
      </c>
      <c r="O154" s="14" t="str">
        <f>IFERROR(__xludf.DUMMYFUNCTION("""COMPUTED_VALUE"""),"https://drive.google.com/file/d/1sOSj0O9sLNsXedlP8nQyIMve6W3RU2vS/view?usp=drivesdk")</f>
        <v>https://drive.google.com/file/d/1sOSj0O9sLNsXedlP8nQyIMve6W3RU2vS/view?usp=drivesdk</v>
      </c>
    </row>
    <row r="155">
      <c r="A155" s="3">
        <f>IFERROR(__xludf.DUMMYFUNCTION("""COMPUTED_VALUE"""),708.0)</f>
        <v>708</v>
      </c>
      <c r="B155" s="11">
        <f>IFERROR(__xludf.DUMMYFUNCTION("""COMPUTED_VALUE"""),45991.80600628472)</f>
        <v>45991.80601</v>
      </c>
      <c r="C155" s="3" t="str">
        <f>IFERROR(__xludf.DUMMYFUNCTION("""COMPUTED_VALUE"""),"ชั้นปีที่ 3")</f>
        <v>ชั้นปีที่ 3</v>
      </c>
      <c r="D155" s="3" t="str">
        <f>IFERROR(__xludf.DUMMYFUNCTION("""COMPUTED_VALUE"""),"6603761")</f>
        <v>6603761</v>
      </c>
      <c r="E155" s="3" t="str">
        <f>IFERROR(__xludf.DUMMYFUNCTION("""COMPUTED_VALUE"""),"8")</f>
        <v>8</v>
      </c>
      <c r="F155" s="3" t="str">
        <f>IFERROR(__xludf.DUMMYFUNCTION("""COMPUTED_VALUE"""),"นพอ.ชญานิศ ทองแสงแก้ว")</f>
        <v>นพอ.ชญานิศ ทองแสงแก้ว</v>
      </c>
      <c r="G15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5" s="3" t="str">
        <f>IFERROR(__xludf.DUMMYFUNCTION("""COMPUTED_VALUE"""),"วัดเกาะร่วมใจ ใส่ใจสุขภาพ")</f>
        <v>วัดเกาะร่วมใจ ใส่ใจสุขภาพ</v>
      </c>
      <c r="I155" s="3" t="str">
        <f>IFERROR(__xludf.DUMMYFUNCTION("""COMPUTED_VALUE"""),"ลานชุมชนวัดเกาะ เขตสายไหม")</f>
        <v>ลานชุมชนวัดเกาะ เขตสายไหม</v>
      </c>
      <c r="J155" s="12">
        <f>IFERROR(__xludf.DUMMYFUNCTION("""COMPUTED_VALUE"""),45823.0)</f>
        <v>45823</v>
      </c>
      <c r="K155" s="3" t="str">
        <f>IFERROR(__xludf.DUMMYFUNCTION("""COMPUTED_VALUE"""),"0800-1200")</f>
        <v>0800-1200</v>
      </c>
      <c r="L155" s="3">
        <f>IFERROR(__xludf.DUMMYFUNCTION("""COMPUTED_VALUE"""),4.0)</f>
        <v>4</v>
      </c>
      <c r="M155" s="3" t="str">
        <f>IFERROR(__xludf.DUMMYFUNCTION("""COMPUTED_VALUE"""),"น.ต.หญิง ตวงทิพย์ ลดาวัลย์")</f>
        <v>น.ต.หญิง ตวงทิพย์ ลดาวัลย์</v>
      </c>
      <c r="N155" s="14" t="str">
        <f>IFERROR(__xludf.DUMMYFUNCTION("""COMPUTED_VALUE"""),"https://lh5.googleusercontent.com/d/1UaAugIkn42julk9RmMDRJzqWYX16mbLl")</f>
        <v>https://lh5.googleusercontent.com/d/1UaAugIkn42julk9RmMDRJzqWYX16mbLl</v>
      </c>
      <c r="O155" s="14" t="str">
        <f>IFERROR(__xludf.DUMMYFUNCTION("""COMPUTED_VALUE"""),"https://drive.google.com/file/d/11dTOfWRfPKz6VzIBp8bNNsRFVMau_KWo/view?usp=drivesdk")</f>
        <v>https://drive.google.com/file/d/11dTOfWRfPKz6VzIBp8bNNsRFVMau_KWo/view?usp=drivesdk</v>
      </c>
    </row>
    <row r="156">
      <c r="A156" s="3">
        <f>IFERROR(__xludf.DUMMYFUNCTION("""COMPUTED_VALUE"""),709.0)</f>
        <v>709</v>
      </c>
      <c r="B156" s="11">
        <f>IFERROR(__xludf.DUMMYFUNCTION("""COMPUTED_VALUE"""),45991.80683246528)</f>
        <v>45991.80683</v>
      </c>
      <c r="C156" s="3" t="str">
        <f>IFERROR(__xludf.DUMMYFUNCTION("""COMPUTED_VALUE"""),"ชั้นปีที่ 3")</f>
        <v>ชั้นปีที่ 3</v>
      </c>
      <c r="D156" s="3" t="str">
        <f>IFERROR(__xludf.DUMMYFUNCTION("""COMPUTED_VALUE"""),"6603756")</f>
        <v>6603756</v>
      </c>
      <c r="E156" s="3" t="str">
        <f>IFERROR(__xludf.DUMMYFUNCTION("""COMPUTED_VALUE"""),"3")</f>
        <v>3</v>
      </c>
      <c r="F156" s="3" t="str">
        <f>IFERROR(__xludf.DUMMYFUNCTION("""COMPUTED_VALUE"""),"นพอ.กันต์ฤทัย อินทรเทศ")</f>
        <v>นพอ.กันต์ฤทัย อินทรเทศ</v>
      </c>
      <c r="G1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6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56" s="3" t="str">
        <f>IFERROR(__xludf.DUMMYFUNCTION("""COMPUTED_VALUE"""),"ชุมชนวัดเกาะ")</f>
        <v>ชุมชนวัดเกาะ</v>
      </c>
      <c r="J156" s="12">
        <f>IFERROR(__xludf.DUMMYFUNCTION("""COMPUTED_VALUE"""),45823.0)</f>
        <v>45823</v>
      </c>
      <c r="K156" s="3" t="str">
        <f>IFERROR(__xludf.DUMMYFUNCTION("""COMPUTED_VALUE"""),"08.00-12.00")</f>
        <v>08.00-12.00</v>
      </c>
      <c r="L156" s="3">
        <f>IFERROR(__xludf.DUMMYFUNCTION("""COMPUTED_VALUE"""),4.0)</f>
        <v>4</v>
      </c>
      <c r="M156" s="3" t="str">
        <f>IFERROR(__xludf.DUMMYFUNCTION("""COMPUTED_VALUE"""),"น.ต.หญิง ตวงทิพย์ ลดาวัลย์")</f>
        <v>น.ต.หญิง ตวงทิพย์ ลดาวัลย์</v>
      </c>
      <c r="N156" s="14" t="str">
        <f>IFERROR(__xludf.DUMMYFUNCTION("""COMPUTED_VALUE"""),"https://lh5.googleusercontent.com/d/1scr_19zRbwZyZ3vXBHntw3hGpNe-LTdv")</f>
        <v>https://lh5.googleusercontent.com/d/1scr_19zRbwZyZ3vXBHntw3hGpNe-LTdv</v>
      </c>
      <c r="O156" s="14" t="str">
        <f>IFERROR(__xludf.DUMMYFUNCTION("""COMPUTED_VALUE"""),"https://drive.google.com/file/d/1JZHZXNxW9IckaqMlXIm3v2hiNDP58VmK/view?usp=drivesdk")</f>
        <v>https://drive.google.com/file/d/1JZHZXNxW9IckaqMlXIm3v2hiNDP58VmK/view?usp=drivesdk</v>
      </c>
    </row>
    <row r="157">
      <c r="A157" s="3">
        <f>IFERROR(__xludf.DUMMYFUNCTION("""COMPUTED_VALUE"""),710.0)</f>
        <v>710</v>
      </c>
      <c r="B157" s="11">
        <f>IFERROR(__xludf.DUMMYFUNCTION("""COMPUTED_VALUE"""),45991.80700457176)</f>
        <v>45991.807</v>
      </c>
      <c r="C157" s="3" t="str">
        <f>IFERROR(__xludf.DUMMYFUNCTION("""COMPUTED_VALUE"""),"ชั้นปีที่ 3")</f>
        <v>ชั้นปีที่ 3</v>
      </c>
      <c r="D157" s="3" t="str">
        <f>IFERROR(__xludf.DUMMYFUNCTION("""COMPUTED_VALUE"""),"6603769")</f>
        <v>6603769</v>
      </c>
      <c r="E157" s="3" t="str">
        <f>IFERROR(__xludf.DUMMYFUNCTION("""COMPUTED_VALUE"""),"16")</f>
        <v>16</v>
      </c>
      <c r="F157" s="3" t="str">
        <f>IFERROR(__xludf.DUMMYFUNCTION("""COMPUTED_VALUE"""),"นพอ.ณิชนันท์ ศิรประภารัตน์")</f>
        <v>นพอ.ณิชนันท์ ศิรประภารัตน์</v>
      </c>
      <c r="G1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7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57" s="3" t="str">
        <f>IFERROR(__xludf.DUMMYFUNCTION("""COMPUTED_VALUE"""),"ชุมชนวัดเกาะ")</f>
        <v>ชุมชนวัดเกาะ</v>
      </c>
      <c r="J157" s="12">
        <f>IFERROR(__xludf.DUMMYFUNCTION("""COMPUTED_VALUE"""),45823.0)</f>
        <v>45823</v>
      </c>
      <c r="K157" s="3" t="str">
        <f>IFERROR(__xludf.DUMMYFUNCTION("""COMPUTED_VALUE"""),"0800-1200")</f>
        <v>0800-1200</v>
      </c>
      <c r="L157" s="3">
        <f>IFERROR(__xludf.DUMMYFUNCTION("""COMPUTED_VALUE"""),4.0)</f>
        <v>4</v>
      </c>
      <c r="M157" s="3" t="str">
        <f>IFERROR(__xludf.DUMMYFUNCTION("""COMPUTED_VALUE"""),"น.ต.หญิง ตวงทิพย์ ลดาวัลย์")</f>
        <v>น.ต.หญิง ตวงทิพย์ ลดาวัลย์</v>
      </c>
      <c r="N157" s="14" t="str">
        <f>IFERROR(__xludf.DUMMYFUNCTION("""COMPUTED_VALUE"""),"https://lh5.googleusercontent.com/d/1Fxrn6Y6somEyTIlTlwY7IscRu4lar6-o")</f>
        <v>https://lh5.googleusercontent.com/d/1Fxrn6Y6somEyTIlTlwY7IscRu4lar6-o</v>
      </c>
      <c r="O157" s="14" t="str">
        <f>IFERROR(__xludf.DUMMYFUNCTION("""COMPUTED_VALUE"""),"https://drive.google.com/file/d/1YdMQCro4TiFyIESAF3oxTOJsOvMVqF_2/view?usp=drivesdk")</f>
        <v>https://drive.google.com/file/d/1YdMQCro4TiFyIESAF3oxTOJsOvMVqF_2/view?usp=drivesdk</v>
      </c>
    </row>
    <row r="158">
      <c r="A158" s="3">
        <f>IFERROR(__xludf.DUMMYFUNCTION("""COMPUTED_VALUE"""),711.0)</f>
        <v>711</v>
      </c>
      <c r="B158" s="11">
        <f>IFERROR(__xludf.DUMMYFUNCTION("""COMPUTED_VALUE"""),45991.80736508102)</f>
        <v>45991.80737</v>
      </c>
      <c r="C158" s="3" t="str">
        <f>IFERROR(__xludf.DUMMYFUNCTION("""COMPUTED_VALUE"""),"ชั้นปีที่ 3")</f>
        <v>ชั้นปีที่ 3</v>
      </c>
      <c r="D158" s="3" t="str">
        <f>IFERROR(__xludf.DUMMYFUNCTION("""COMPUTED_VALUE"""),"660380“")</f>
        <v>660380“</v>
      </c>
      <c r="E158" s="3" t="str">
        <f>IFERROR(__xludf.DUMMYFUNCTION("""COMPUTED_VALUE"""),"47")</f>
        <v>47</v>
      </c>
      <c r="F158" s="3" t="str">
        <f>IFERROR(__xludf.DUMMYFUNCTION("""COMPUTED_VALUE"""),"นพอ.วาสิตา ไทรทอง")</f>
        <v>นพอ.วาสิตา ไทรทอง</v>
      </c>
      <c r="G1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8" s="3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15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8" s="12">
        <f>IFERROR(__xludf.DUMMYFUNCTION("""COMPUTED_VALUE"""),45840.0)</f>
        <v>45840</v>
      </c>
      <c r="K158" s="3" t="str">
        <f>IFERROR(__xludf.DUMMYFUNCTION("""COMPUTED_VALUE"""),"1400-2200")</f>
        <v>1400-2200</v>
      </c>
      <c r="L158" s="3">
        <f>IFERROR(__xludf.DUMMYFUNCTION("""COMPUTED_VALUE"""),8.0)</f>
        <v>8</v>
      </c>
      <c r="M158" s="3" t="str">
        <f>IFERROR(__xludf.DUMMYFUNCTION("""COMPUTED_VALUE"""),"ร.อ.อนุชิต ทำจะดี")</f>
        <v>ร.อ.อนุชิต ทำจะดี</v>
      </c>
      <c r="N158" s="14" t="str">
        <f>IFERROR(__xludf.DUMMYFUNCTION("""COMPUTED_VALUE"""),"https://lh5.googleusercontent.com/d/1N1_Fq3pPhJTD1t7aDDebrxzonPe_hwO1")</f>
        <v>https://lh5.googleusercontent.com/d/1N1_Fq3pPhJTD1t7aDDebrxzonPe_hwO1</v>
      </c>
      <c r="O158" s="3"/>
    </row>
    <row r="159">
      <c r="A159" s="3">
        <f>IFERROR(__xludf.DUMMYFUNCTION("""COMPUTED_VALUE"""),714.0)</f>
        <v>714</v>
      </c>
      <c r="B159" s="11">
        <f>IFERROR(__xludf.DUMMYFUNCTION("""COMPUTED_VALUE"""),45991.80834916666)</f>
        <v>45991.80835</v>
      </c>
      <c r="C159" s="3" t="str">
        <f>IFERROR(__xludf.DUMMYFUNCTION("""COMPUTED_VALUE"""),"ชั้นปีที่ 3")</f>
        <v>ชั้นปีที่ 3</v>
      </c>
      <c r="D159" s="3" t="str">
        <f>IFERROR(__xludf.DUMMYFUNCTION("""COMPUTED_VALUE"""),"6603801")</f>
        <v>6603801</v>
      </c>
      <c r="E159" s="3" t="str">
        <f>IFERROR(__xludf.DUMMYFUNCTION("""COMPUTED_VALUE"""),"47")</f>
        <v>47</v>
      </c>
      <c r="F159" s="3" t="str">
        <f>IFERROR(__xludf.DUMMYFUNCTION("""COMPUTED_VALUE"""),"นพอ.วาสิตา ไทรทอง")</f>
        <v>นพอ.วาสิตา ไทรทอง</v>
      </c>
      <c r="G1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9" s="3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15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9" s="12">
        <f>IFERROR(__xludf.DUMMYFUNCTION("""COMPUTED_VALUE"""),45840.0)</f>
        <v>45840</v>
      </c>
      <c r="K159" s="3" t="str">
        <f>IFERROR(__xludf.DUMMYFUNCTION("""COMPUTED_VALUE"""),"1400-2200")</f>
        <v>1400-2200</v>
      </c>
      <c r="L159" s="3">
        <f>IFERROR(__xludf.DUMMYFUNCTION("""COMPUTED_VALUE"""),8.0)</f>
        <v>8</v>
      </c>
      <c r="M159" s="3" t="str">
        <f>IFERROR(__xludf.DUMMYFUNCTION("""COMPUTED_VALUE"""),"ร.อ.อนุชิต ทำจะดี")</f>
        <v>ร.อ.อนุชิต ทำจะดี</v>
      </c>
      <c r="N159" s="14" t="str">
        <f>IFERROR(__xludf.DUMMYFUNCTION("""COMPUTED_VALUE"""),"https://lh5.googleusercontent.com/d/1f8uidhLJ9RFdCKjqDHkNH48iGqjnS9FN")</f>
        <v>https://lh5.googleusercontent.com/d/1f8uidhLJ9RFdCKjqDHkNH48iGqjnS9FN</v>
      </c>
      <c r="O159" s="14" t="str">
        <f>IFERROR(__xludf.DUMMYFUNCTION("""COMPUTED_VALUE"""),"https://drive.google.com/file/d/1r_ETGbFvqIrPbmXtmpAA_8v3VRivdd5N/view?usp=drivesdk")</f>
        <v>https://drive.google.com/file/d/1r_ETGbFvqIrPbmXtmpAA_8v3VRivdd5N/view?usp=drivesdk</v>
      </c>
    </row>
    <row r="160">
      <c r="A160" s="3">
        <f>IFERROR(__xludf.DUMMYFUNCTION("""COMPUTED_VALUE"""),715.0)</f>
        <v>715</v>
      </c>
      <c r="B160" s="11">
        <f>IFERROR(__xludf.DUMMYFUNCTION("""COMPUTED_VALUE"""),45991.8086378125)</f>
        <v>45991.80864</v>
      </c>
      <c r="C160" s="3" t="str">
        <f>IFERROR(__xludf.DUMMYFUNCTION("""COMPUTED_VALUE"""),"ชั้นปีที่ 3")</f>
        <v>ชั้นปีที่ 3</v>
      </c>
      <c r="D160" s="3" t="str">
        <f>IFERROR(__xludf.DUMMYFUNCTION("""COMPUTED_VALUE"""),"6603769")</f>
        <v>6603769</v>
      </c>
      <c r="E160" s="3" t="str">
        <f>IFERROR(__xludf.DUMMYFUNCTION("""COMPUTED_VALUE"""),"16")</f>
        <v>16</v>
      </c>
      <c r="F160" s="3" t="str">
        <f>IFERROR(__xludf.DUMMYFUNCTION("""COMPUTED_VALUE"""),"นพอ.ณิชนันท์ ศิรประภารัตน์")</f>
        <v>นพอ.ณิชนันท์ ศิรประภารัตน์</v>
      </c>
      <c r="G16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0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60" s="3" t="str">
        <f>IFERROR(__xludf.DUMMYFUNCTION("""COMPUTED_VALUE"""),"ชุมชนวัดเกาะ")</f>
        <v>ชุมชนวัดเกาะ</v>
      </c>
      <c r="J160" s="12">
        <f>IFERROR(__xludf.DUMMYFUNCTION("""COMPUTED_VALUE"""),45823.0)</f>
        <v>45823</v>
      </c>
      <c r="K160" s="3" t="str">
        <f>IFERROR(__xludf.DUMMYFUNCTION("""COMPUTED_VALUE"""),"0800-1200")</f>
        <v>0800-1200</v>
      </c>
      <c r="L160" s="3">
        <f>IFERROR(__xludf.DUMMYFUNCTION("""COMPUTED_VALUE"""),4.0)</f>
        <v>4</v>
      </c>
      <c r="M160" s="3" t="str">
        <f>IFERROR(__xludf.DUMMYFUNCTION("""COMPUTED_VALUE"""),"น.ต.หญิง ตวงทิพย์ ลดาวัลย์")</f>
        <v>น.ต.หญิง ตวงทิพย์ ลดาวัลย์</v>
      </c>
      <c r="N160" s="14" t="str">
        <f>IFERROR(__xludf.DUMMYFUNCTION("""COMPUTED_VALUE"""),"https://lh5.googleusercontent.com/d/1UpPZPg8K3SJVWNXrGg-jkIexHwTVtqBM")</f>
        <v>https://lh5.googleusercontent.com/d/1UpPZPg8K3SJVWNXrGg-jkIexHwTVtqBM</v>
      </c>
      <c r="O160" s="14" t="str">
        <f>IFERROR(__xludf.DUMMYFUNCTION("""COMPUTED_VALUE"""),"https://drive.google.com/file/d/13T-C2LplNrWFsSOF4hYe4CoiFtqvYCL3/view?usp=drivesdk")</f>
        <v>https://drive.google.com/file/d/13T-C2LplNrWFsSOF4hYe4CoiFtqvYCL3/view?usp=drivesdk</v>
      </c>
    </row>
    <row r="161">
      <c r="A161" s="3">
        <f>IFERROR(__xludf.DUMMYFUNCTION("""COMPUTED_VALUE"""),716.0)</f>
        <v>716</v>
      </c>
      <c r="B161" s="11">
        <f>IFERROR(__xludf.DUMMYFUNCTION("""COMPUTED_VALUE"""),45991.81000313657)</f>
        <v>45991.81</v>
      </c>
      <c r="C161" s="3" t="str">
        <f>IFERROR(__xludf.DUMMYFUNCTION("""COMPUTED_VALUE"""),"ชั้นปีที่ 3")</f>
        <v>ชั้นปีที่ 3</v>
      </c>
      <c r="D161" s="3" t="str">
        <f>IFERROR(__xludf.DUMMYFUNCTION("""COMPUTED_VALUE"""),"6603815")</f>
        <v>6603815</v>
      </c>
      <c r="E161" s="3" t="str">
        <f>IFERROR(__xludf.DUMMYFUNCTION("""COMPUTED_VALUE"""),"61")</f>
        <v>61</v>
      </c>
      <c r="F161" s="3" t="str">
        <f>IFERROR(__xludf.DUMMYFUNCTION("""COMPUTED_VALUE"""),"นพอ.อภิรชา คำเจริญ")</f>
        <v>นพอ.อภิรชา คำเจริญ</v>
      </c>
      <c r="G1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1" s="3" t="str">
        <f>IFERROR(__xludf.DUMMYFUNCTION("""COMPUTED_VALUE"""),"รับคณะศึกษาดูงานรร.พยาบาลกห.กล.ต.(สาธารณรัฐเกาหลี)")</f>
        <v>รับคณะศึกษาดูงานรร.พยาบาลกห.กล.ต.(สาธารณรัฐเกาหลี)</v>
      </c>
      <c r="I161" s="3" t="str">
        <f>IFERROR(__xludf.DUMMYFUNCTION("""COMPUTED_VALUE"""),"สนามบินสุวรรณภูมิ จว.สมุทรปราการ")</f>
        <v>สนามบินสุวรรณภูมิ จว.สมุทรปราการ</v>
      </c>
      <c r="J161" s="12">
        <f>IFERROR(__xludf.DUMMYFUNCTION("""COMPUTED_VALUE"""),45949.0)</f>
        <v>45949</v>
      </c>
      <c r="K161" s="3" t="str">
        <f>IFERROR(__xludf.DUMMYFUNCTION("""COMPUTED_VALUE"""),"2000-2400")</f>
        <v>2000-2400</v>
      </c>
      <c r="L161" s="3">
        <f>IFERROR(__xludf.DUMMYFUNCTION("""COMPUTED_VALUE"""),4.0)</f>
        <v>4</v>
      </c>
      <c r="M161" s="3" t="str">
        <f>IFERROR(__xludf.DUMMYFUNCTION("""COMPUTED_VALUE"""),"น.ต.หญิง ประไพศรี ศุภางค์ภร")</f>
        <v>น.ต.หญิง ประไพศรี ศุภางค์ภร</v>
      </c>
      <c r="N161" s="14" t="str">
        <f>IFERROR(__xludf.DUMMYFUNCTION("""COMPUTED_VALUE"""),"https://lh5.googleusercontent.com/d/1JUgvBt0Lee-y4FS5Hhetiji4_MVjuduQ")</f>
        <v>https://lh5.googleusercontent.com/d/1JUgvBt0Lee-y4FS5Hhetiji4_MVjuduQ</v>
      </c>
      <c r="O161" s="14" t="str">
        <f>IFERROR(__xludf.DUMMYFUNCTION("""COMPUTED_VALUE"""),"https://drive.google.com/file/d/17Db5JLnSlBgnLcQ5l24Vq_ISAuPbKqbr/view?usp=drivesdk")</f>
        <v>https://drive.google.com/file/d/17Db5JLnSlBgnLcQ5l24Vq_ISAuPbKqbr/view?usp=drivesdk</v>
      </c>
    </row>
    <row r="162">
      <c r="A162" s="3">
        <f>IFERROR(__xludf.DUMMYFUNCTION("""COMPUTED_VALUE"""),720.0)</f>
        <v>720</v>
      </c>
      <c r="B162" s="11">
        <f>IFERROR(__xludf.DUMMYFUNCTION("""COMPUTED_VALUE"""),45991.81178420139)</f>
        <v>45991.81178</v>
      </c>
      <c r="C162" s="3" t="str">
        <f>IFERROR(__xludf.DUMMYFUNCTION("""COMPUTED_VALUE"""),"ชั้นปีที่ 3")</f>
        <v>ชั้นปีที่ 3</v>
      </c>
      <c r="D162" s="3" t="str">
        <f>IFERROR(__xludf.DUMMYFUNCTION("""COMPUTED_VALUE"""),"6603813")</f>
        <v>6603813</v>
      </c>
      <c r="E162" s="3" t="str">
        <f>IFERROR(__xludf.DUMMYFUNCTION("""COMPUTED_VALUE"""),"59")</f>
        <v>59</v>
      </c>
      <c r="F162" s="3" t="str">
        <f>IFERROR(__xludf.DUMMYFUNCTION("""COMPUTED_VALUE"""),"นพอ.อโณชา จันทรา")</f>
        <v>นพอ.อโณชา จันทรา</v>
      </c>
      <c r="G162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62" s="3" t="str">
        <f>IFERROR(__xludf.DUMMYFUNCTION("""COMPUTED_VALUE"""),"บริจาคโลหิต")</f>
        <v>บริจาคโลหิต</v>
      </c>
      <c r="I162" s="3" t="str">
        <f>IFERROR(__xludf.DUMMYFUNCTION("""COMPUTED_VALUE"""),"รพ.ภูมิพลอดุลยเดช")</f>
        <v>รพ.ภูมิพลอดุลยเดช</v>
      </c>
      <c r="J162" s="12">
        <f>IFERROR(__xludf.DUMMYFUNCTION("""COMPUTED_VALUE"""),45981.0)</f>
        <v>45981</v>
      </c>
      <c r="K162" s="3" t="str">
        <f>IFERROR(__xludf.DUMMYFUNCTION("""COMPUTED_VALUE"""),"1300")</f>
        <v>1300</v>
      </c>
      <c r="L162" s="3">
        <f>IFERROR(__xludf.DUMMYFUNCTION("""COMPUTED_VALUE"""),8.0)</f>
        <v>8</v>
      </c>
      <c r="M16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62" s="14" t="str">
        <f>IFERROR(__xludf.DUMMYFUNCTION("""COMPUTED_VALUE"""),"https://lh5.googleusercontent.com/d/10OEt-FknEfPtIVgN4bmlTfzWbCrDWhPF")</f>
        <v>https://lh5.googleusercontent.com/d/10OEt-FknEfPtIVgN4bmlTfzWbCrDWhPF</v>
      </c>
      <c r="O162" s="14" t="str">
        <f>IFERROR(__xludf.DUMMYFUNCTION("""COMPUTED_VALUE"""),"https://drive.google.com/file/d/1HIFfpAJlp-F__xjleXe9pacuBttn6oaH/view?usp=drivesdk")</f>
        <v>https://drive.google.com/file/d/1HIFfpAJlp-F__xjleXe9pacuBttn6oaH/view?usp=drivesdk</v>
      </c>
    </row>
    <row r="163">
      <c r="A163" s="3">
        <f>IFERROR(__xludf.DUMMYFUNCTION("""COMPUTED_VALUE"""),721.0)</f>
        <v>721</v>
      </c>
      <c r="B163" s="11">
        <f>IFERROR(__xludf.DUMMYFUNCTION("""COMPUTED_VALUE"""),45991.81198770834)</f>
        <v>45991.81199</v>
      </c>
      <c r="C163" s="3" t="str">
        <f>IFERROR(__xludf.DUMMYFUNCTION("""COMPUTED_VALUE"""),"ชั้นปีที่ 3")</f>
        <v>ชั้นปีที่ 3</v>
      </c>
      <c r="D163" s="3" t="str">
        <f>IFERROR(__xludf.DUMMYFUNCTION("""COMPUTED_VALUE"""),"6603815")</f>
        <v>6603815</v>
      </c>
      <c r="E163" s="3" t="str">
        <f>IFERROR(__xludf.DUMMYFUNCTION("""COMPUTED_VALUE"""),"61")</f>
        <v>61</v>
      </c>
      <c r="F163" s="3" t="str">
        <f>IFERROR(__xludf.DUMMYFUNCTION("""COMPUTED_VALUE"""),"นพอ.อภิรชา คำเจริญ")</f>
        <v>นพอ.อภิรชา คำเจริญ</v>
      </c>
      <c r="G1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3" s="3" t="str">
        <f>IFERROR(__xludf.DUMMYFUNCTION("""COMPUTED_VALUE"""),"Buddy Korean")</f>
        <v>Buddy Korean</v>
      </c>
      <c r="I163" s="3" t="str">
        <f>IFERROR(__xludf.DUMMYFUNCTION("""COMPUTED_VALUE"""),"วิทยาลัยพยาบาลทหารอากาศ")</f>
        <v>วิทยาลัยพยาบาลทหารอากาศ</v>
      </c>
      <c r="J163" s="12">
        <f>IFERROR(__xludf.DUMMYFUNCTION("""COMPUTED_VALUE"""),45981.0)</f>
        <v>45981</v>
      </c>
      <c r="K163" s="3" t="str">
        <f>IFERROR(__xludf.DUMMYFUNCTION("""COMPUTED_VALUE"""),"1800-2200")</f>
        <v>1800-2200</v>
      </c>
      <c r="L163" s="3">
        <f>IFERROR(__xludf.DUMMYFUNCTION("""COMPUTED_VALUE"""),4.0)</f>
        <v>4</v>
      </c>
      <c r="M163" s="3" t="str">
        <f>IFERROR(__xludf.DUMMYFUNCTION("""COMPUTED_VALUE"""),"น.ต.หญิง ประไพศรี ศุภางค์ภร")</f>
        <v>น.ต.หญิง ประไพศรี ศุภางค์ภร</v>
      </c>
      <c r="N163" s="14" t="str">
        <f>IFERROR(__xludf.DUMMYFUNCTION("""COMPUTED_VALUE"""),"https://lh5.googleusercontent.com/d/1XZgJa0BWACnXPlxLki3edMpRuO09sVhw")</f>
        <v>https://lh5.googleusercontent.com/d/1XZgJa0BWACnXPlxLki3edMpRuO09sVhw</v>
      </c>
      <c r="O163" s="3"/>
    </row>
    <row r="164">
      <c r="A164" s="3">
        <f>IFERROR(__xludf.DUMMYFUNCTION("""COMPUTED_VALUE"""),722.0)</f>
        <v>722</v>
      </c>
      <c r="B164" s="11">
        <f>IFERROR(__xludf.DUMMYFUNCTION("""COMPUTED_VALUE"""),45991.81200342593)</f>
        <v>45991.812</v>
      </c>
      <c r="C164" s="3" t="str">
        <f>IFERROR(__xludf.DUMMYFUNCTION("""COMPUTED_VALUE"""),"ชั้นปีที่ 3")</f>
        <v>ชั้นปีที่ 3</v>
      </c>
      <c r="D164" s="3" t="str">
        <f>IFERROR(__xludf.DUMMYFUNCTION("""COMPUTED_VALUE"""),"6603758")</f>
        <v>6603758</v>
      </c>
      <c r="E164" s="3" t="str">
        <f>IFERROR(__xludf.DUMMYFUNCTION("""COMPUTED_VALUE"""),"5")</f>
        <v>5</v>
      </c>
      <c r="F164" s="3" t="str">
        <f>IFERROR(__xludf.DUMMYFUNCTION("""COMPUTED_VALUE"""),"นพอ.กาญจน์สุดา เหล่าบุตรดี")</f>
        <v>นพอ.กาญจน์สุดา เหล่าบุตรดี</v>
      </c>
      <c r="G16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64" s="3" t="str">
        <f>IFERROR(__xludf.DUMMYFUNCTION("""COMPUTED_VALUE"""),"บริจาคโลหิต")</f>
        <v>บริจาคโลหิต</v>
      </c>
      <c r="I164" s="3" t="str">
        <f>IFERROR(__xludf.DUMMYFUNCTION("""COMPUTED_VALUE"""),"สภากาชาดไทย")</f>
        <v>สภากาชาดไทย</v>
      </c>
      <c r="J164" s="12">
        <f>IFERROR(__xludf.DUMMYFUNCTION("""COMPUTED_VALUE"""),45941.0)</f>
        <v>45941</v>
      </c>
      <c r="K164" s="3" t="str">
        <f>IFERROR(__xludf.DUMMYFUNCTION("""COMPUTED_VALUE"""),"1100-1200")</f>
        <v>1100-1200</v>
      </c>
      <c r="L164" s="3">
        <f>IFERROR(__xludf.DUMMYFUNCTION("""COMPUTED_VALUE"""),8.0)</f>
        <v>8</v>
      </c>
      <c r="M164" s="3" t="str">
        <f>IFERROR(__xludf.DUMMYFUNCTION("""COMPUTED_VALUE"""),"นพอ.กาญจน์สุดา เหล่าบุตรดี")</f>
        <v>นพอ.กาญจน์สุดา เหล่าบุตรดี</v>
      </c>
      <c r="N164" s="14" t="str">
        <f>IFERROR(__xludf.DUMMYFUNCTION("""COMPUTED_VALUE"""),"https://lh5.googleusercontent.com/d/1rcxoreCDgP0Y41NOGK-Jpvlpxnfr2KxD")</f>
        <v>https://lh5.googleusercontent.com/d/1rcxoreCDgP0Y41NOGK-Jpvlpxnfr2KxD</v>
      </c>
      <c r="O164" s="14" t="str">
        <f>IFERROR(__xludf.DUMMYFUNCTION("""COMPUTED_VALUE"""),"https://drive.google.com/file/d/1OwN7IhXM0uev7oFqi7HljwwY_EbSpfuV/view?usp=drivesdk")</f>
        <v>https://drive.google.com/file/d/1OwN7IhXM0uev7oFqi7HljwwY_EbSpfuV/view?usp=drivesdk</v>
      </c>
    </row>
    <row r="165">
      <c r="A165" s="3">
        <f>IFERROR(__xludf.DUMMYFUNCTION("""COMPUTED_VALUE"""),724.0)</f>
        <v>724</v>
      </c>
      <c r="B165" s="11">
        <f>IFERROR(__xludf.DUMMYFUNCTION("""COMPUTED_VALUE"""),45991.813534849534)</f>
        <v>45991.81353</v>
      </c>
      <c r="C165" s="3" t="str">
        <f>IFERROR(__xludf.DUMMYFUNCTION("""COMPUTED_VALUE"""),"ชั้นปีที่ 3")</f>
        <v>ชั้นปีที่ 3</v>
      </c>
      <c r="D165" s="3" t="str">
        <f>IFERROR(__xludf.DUMMYFUNCTION("""COMPUTED_VALUE"""),"6603761")</f>
        <v>6603761</v>
      </c>
      <c r="E165" s="3" t="str">
        <f>IFERROR(__xludf.DUMMYFUNCTION("""COMPUTED_VALUE"""),"8")</f>
        <v>8</v>
      </c>
      <c r="F165" s="3" t="str">
        <f>IFERROR(__xludf.DUMMYFUNCTION("""COMPUTED_VALUE"""),"นพอ.ชญานิศ ทองแสงแก้ว")</f>
        <v>นพอ.ชญานิศ ทองแสงแก้ว</v>
      </c>
      <c r="G165" s="3" t="str">
        <f>IFERROR(__xludf.DUMMYFUNCTION("""COMPUTED_VALUE"""),"ทำนุบำรุงศาสนสถาน")</f>
        <v>ทำนุบำรุงศาสนสถาน</v>
      </c>
      <c r="H165" s="3" t="str">
        <f>IFERROR(__xludf.DUMMYFUNCTION("""COMPUTED_VALUE"""),"ที่รวมใจ ณ วัดท่าเจริญ")</f>
        <v>ที่รวมใจ ณ วัดท่าเจริญ</v>
      </c>
      <c r="I165" s="3" t="str">
        <f>IFERROR(__xludf.DUMMYFUNCTION("""COMPUTED_VALUE"""),"วัดท่าเจริญ จ.สุราษฎร์ธานี")</f>
        <v>วัดท่าเจริญ จ.สุราษฎร์ธานี</v>
      </c>
      <c r="J165" s="12">
        <f>IFERROR(__xludf.DUMMYFUNCTION("""COMPUTED_VALUE"""),45857.0)</f>
        <v>45857</v>
      </c>
      <c r="K165" s="3" t="str">
        <f>IFERROR(__xludf.DUMMYFUNCTION("""COMPUTED_VALUE"""),"0900-1100")</f>
        <v>0900-1100</v>
      </c>
      <c r="L165" s="3">
        <f>IFERROR(__xludf.DUMMYFUNCTION("""COMPUTED_VALUE"""),2.0)</f>
        <v>2</v>
      </c>
      <c r="M165" s="3" t="str">
        <f>IFERROR(__xludf.DUMMYFUNCTION("""COMPUTED_VALUE"""),"พระครูวิสุทธิธรรมวิธาน")</f>
        <v>พระครูวิสุทธิธรรมวิธาน</v>
      </c>
      <c r="N165" s="14" t="str">
        <f>IFERROR(__xludf.DUMMYFUNCTION("""COMPUTED_VALUE"""),"https://lh5.googleusercontent.com/d/1MxlechmLRL11aNUfgm4OtK15ek3PZXId")</f>
        <v>https://lh5.googleusercontent.com/d/1MxlechmLRL11aNUfgm4OtK15ek3PZXId</v>
      </c>
      <c r="O165" s="14" t="str">
        <f>IFERROR(__xludf.DUMMYFUNCTION("""COMPUTED_VALUE"""),"https://drive.google.com/file/d/15NL7TFfehX_DmFlfQaYmesZfYqNEWAYT/view?usp=drivesdk")</f>
        <v>https://drive.google.com/file/d/15NL7TFfehX_DmFlfQaYmesZfYqNEWAYT/view?usp=drivesdk</v>
      </c>
    </row>
    <row r="166">
      <c r="A166" s="3">
        <f>IFERROR(__xludf.DUMMYFUNCTION("""COMPUTED_VALUE"""),725.0)</f>
        <v>725</v>
      </c>
      <c r="B166" s="11">
        <f>IFERROR(__xludf.DUMMYFUNCTION("""COMPUTED_VALUE"""),45991.81364137732)</f>
        <v>45991.81364</v>
      </c>
      <c r="C166" s="3" t="str">
        <f>IFERROR(__xludf.DUMMYFUNCTION("""COMPUTED_VALUE"""),"ชั้นปีที่ 3")</f>
        <v>ชั้นปีที่ 3</v>
      </c>
      <c r="D166" s="3" t="str">
        <f>IFERROR(__xludf.DUMMYFUNCTION("""COMPUTED_VALUE"""),"6603815")</f>
        <v>6603815</v>
      </c>
      <c r="E166" s="3" t="str">
        <f>IFERROR(__xludf.DUMMYFUNCTION("""COMPUTED_VALUE"""),"61")</f>
        <v>61</v>
      </c>
      <c r="F166" s="3" t="str">
        <f>IFERROR(__xludf.DUMMYFUNCTION("""COMPUTED_VALUE"""),"นพอ.อภิรชา คำเจริญ")</f>
        <v>นพอ.อภิรชา คำเจริญ</v>
      </c>
      <c r="G1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6" s="3" t="str">
        <f>IFERROR(__xludf.DUMMYFUNCTION("""COMPUTED_VALUE"""),"Buddy Korean")</f>
        <v>Buddy Korean</v>
      </c>
      <c r="I166" s="3" t="str">
        <f>IFERROR(__xludf.DUMMYFUNCTION("""COMPUTED_VALUE"""),"วิทยาลัยพยาบาลทหารอากาศ")</f>
        <v>วิทยาลัยพยาบาลทหารอากาศ</v>
      </c>
      <c r="J166" s="12">
        <f>IFERROR(__xludf.DUMMYFUNCTION("""COMPUTED_VALUE"""),45951.0)</f>
        <v>45951</v>
      </c>
      <c r="K166" s="3" t="str">
        <f>IFERROR(__xludf.DUMMYFUNCTION("""COMPUTED_VALUE"""),"1800-2200")</f>
        <v>1800-2200</v>
      </c>
      <c r="L166" s="3">
        <f>IFERROR(__xludf.DUMMYFUNCTION("""COMPUTED_VALUE"""),4.0)</f>
        <v>4</v>
      </c>
      <c r="M166" s="3" t="str">
        <f>IFERROR(__xludf.DUMMYFUNCTION("""COMPUTED_VALUE"""),"น.ต.หญิง ประไพศรี ศุภางค์ภร")</f>
        <v>น.ต.หญิง ประไพศรี ศุภางค์ภร</v>
      </c>
      <c r="N166" s="14" t="str">
        <f>IFERROR(__xludf.DUMMYFUNCTION("""COMPUTED_VALUE"""),"https://lh5.googleusercontent.com/d/1NpOGa8WuJEXc4RX7m5_tSOaBMYcdpPsZ")</f>
        <v>https://lh5.googleusercontent.com/d/1NpOGa8WuJEXc4RX7m5_tSOaBMYcdpPsZ</v>
      </c>
      <c r="O166" s="14" t="str">
        <f>IFERROR(__xludf.DUMMYFUNCTION("""COMPUTED_VALUE"""),"https://drive.google.com/file/d/18VC3K-YDmmE1SNaJ581ehREhTHLbrBCu/view?usp=drivesdk")</f>
        <v>https://drive.google.com/file/d/18VC3K-YDmmE1SNaJ581ehREhTHLbrBCu/view?usp=drivesdk</v>
      </c>
    </row>
    <row r="167">
      <c r="A167" s="3">
        <f>IFERROR(__xludf.DUMMYFUNCTION("""COMPUTED_VALUE"""),729.0)</f>
        <v>729</v>
      </c>
      <c r="B167" s="11">
        <f>IFERROR(__xludf.DUMMYFUNCTION("""COMPUTED_VALUE"""),45991.81530287037)</f>
        <v>45991.8153</v>
      </c>
      <c r="C167" s="3" t="str">
        <f>IFERROR(__xludf.DUMMYFUNCTION("""COMPUTED_VALUE"""),"ชั้นปีที่ 3")</f>
        <v>ชั้นปีที่ 3</v>
      </c>
      <c r="D167" s="3" t="str">
        <f>IFERROR(__xludf.DUMMYFUNCTION("""COMPUTED_VALUE"""),"6603801")</f>
        <v>6603801</v>
      </c>
      <c r="E167" s="3" t="str">
        <f>IFERROR(__xludf.DUMMYFUNCTION("""COMPUTED_VALUE"""),"47")</f>
        <v>47</v>
      </c>
      <c r="F167" s="3" t="str">
        <f>IFERROR(__xludf.DUMMYFUNCTION("""COMPUTED_VALUE"""),"นพอ.วาสิตา ไทรทอง")</f>
        <v>นพอ.วาสิตา ไทรทอง</v>
      </c>
      <c r="G16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7" s="3" t="str">
        <f>IFERROR(__xludf.DUMMYFUNCTION("""COMPUTED_VALUE"""),"กีฬาประเพณีโรงเรียนทหาร-ตำรวจครั้งที่ 59")</f>
        <v>กีฬาประเพณีโรงเรียนทหาร-ตำรวจครั้งที่ 59</v>
      </c>
      <c r="I167" s="3" t="str">
        <f>IFERROR(__xludf.DUMMYFUNCTION("""COMPUTED_VALUE"""),"โรงเรียนนายเรืออากาศนวมินทกษัตริยาธิราช")</f>
        <v>โรงเรียนนายเรืออากาศนวมินทกษัตริยาธิราช</v>
      </c>
      <c r="J167" s="12">
        <f>IFERROR(__xludf.DUMMYFUNCTION("""COMPUTED_VALUE"""),45841.0)</f>
        <v>45841</v>
      </c>
      <c r="K167" s="3" t="str">
        <f>IFERROR(__xludf.DUMMYFUNCTION("""COMPUTED_VALUE"""),"1200-1800")</f>
        <v>1200-1800</v>
      </c>
      <c r="L167" s="3">
        <f>IFERROR(__xludf.DUMMYFUNCTION("""COMPUTED_VALUE"""),6.0)</f>
        <v>6</v>
      </c>
      <c r="M167" s="3" t="str">
        <f>IFERROR(__xludf.DUMMYFUNCTION("""COMPUTED_VALUE"""),"ร.ต.หญิง สุริยกาล มงคลมะไฟ")</f>
        <v>ร.ต.หญิง สุริยกาล มงคลมะไฟ</v>
      </c>
      <c r="N167" s="14" t="str">
        <f>IFERROR(__xludf.DUMMYFUNCTION("""COMPUTED_VALUE"""),"https://lh5.googleusercontent.com/d/10mlBgByESESDzr4PHoj7yOP2JE2zowdv")</f>
        <v>https://lh5.googleusercontent.com/d/10mlBgByESESDzr4PHoj7yOP2JE2zowdv</v>
      </c>
      <c r="O167" s="14" t="str">
        <f>IFERROR(__xludf.DUMMYFUNCTION("""COMPUTED_VALUE"""),"https://drive.google.com/file/d/1dCAcXLNlk2XMBXCKgwvrk0n6XtvL7dNb/view?usp=drivesdk")</f>
        <v>https://drive.google.com/file/d/1dCAcXLNlk2XMBXCKgwvrk0n6XtvL7dNb/view?usp=drivesdk</v>
      </c>
    </row>
    <row r="168">
      <c r="A168" s="3">
        <f>IFERROR(__xludf.DUMMYFUNCTION("""COMPUTED_VALUE"""),730.0)</f>
        <v>730</v>
      </c>
      <c r="B168" s="11">
        <f>IFERROR(__xludf.DUMMYFUNCTION("""COMPUTED_VALUE"""),45991.81580679398)</f>
        <v>45991.81581</v>
      </c>
      <c r="C168" s="3" t="str">
        <f>IFERROR(__xludf.DUMMYFUNCTION("""COMPUTED_VALUE"""),"ชั้นปีที่ 3")</f>
        <v>ชั้นปีที่ 3</v>
      </c>
      <c r="D168" s="3" t="str">
        <f>IFERROR(__xludf.DUMMYFUNCTION("""COMPUTED_VALUE"""),"6603815")</f>
        <v>6603815</v>
      </c>
      <c r="E168" s="3" t="str">
        <f>IFERROR(__xludf.DUMMYFUNCTION("""COMPUTED_VALUE"""),"61")</f>
        <v>61</v>
      </c>
      <c r="F168" s="3" t="str">
        <f>IFERROR(__xludf.DUMMYFUNCTION("""COMPUTED_VALUE"""),"นพอ.อภิรชา คำเจริญ")</f>
        <v>นพอ.อภิรชา คำเจริญ</v>
      </c>
      <c r="G16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8" s="3" t="str">
        <f>IFERROR(__xludf.DUMMYFUNCTION("""COMPUTED_VALUE"""),"Buddy Korean")</f>
        <v>Buddy Korean</v>
      </c>
      <c r="I168" s="3" t="str">
        <f>IFERROR(__xludf.DUMMYFUNCTION("""COMPUTED_VALUE"""),"วิทยาลัยพยาบาลทหารอากาศ")</f>
        <v>วิทยาลัยพยาบาลทหารอากาศ</v>
      </c>
      <c r="J168" s="12">
        <f>IFERROR(__xludf.DUMMYFUNCTION("""COMPUTED_VALUE"""),45952.0)</f>
        <v>45952</v>
      </c>
      <c r="K168" s="3" t="str">
        <f>IFERROR(__xludf.DUMMYFUNCTION("""COMPUTED_VALUE"""),"1800-2200")</f>
        <v>1800-2200</v>
      </c>
      <c r="L168" s="3">
        <f>IFERROR(__xludf.DUMMYFUNCTION("""COMPUTED_VALUE"""),4.0)</f>
        <v>4</v>
      </c>
      <c r="M168" s="3" t="str">
        <f>IFERROR(__xludf.DUMMYFUNCTION("""COMPUTED_VALUE"""),"น.ต.หญิง ประไพศรี ศุภางค์ภร")</f>
        <v>น.ต.หญิง ประไพศรี ศุภางค์ภร</v>
      </c>
      <c r="N168" s="14" t="str">
        <f>IFERROR(__xludf.DUMMYFUNCTION("""COMPUTED_VALUE"""),"https://lh5.googleusercontent.com/d/1HacrSWot8CEbjidcfLzUJZcYFV7MUDW4")</f>
        <v>https://lh5.googleusercontent.com/d/1HacrSWot8CEbjidcfLzUJZcYFV7MUDW4</v>
      </c>
      <c r="O168" s="14" t="str">
        <f>IFERROR(__xludf.DUMMYFUNCTION("""COMPUTED_VALUE"""),"https://drive.google.com/file/d/1MIPlYQoODosELH0NxDu4Qog5zoVnXu5n/view?usp=drivesdk")</f>
        <v>https://drive.google.com/file/d/1MIPlYQoODosELH0NxDu4Qog5zoVnXu5n/view?usp=drivesdk</v>
      </c>
    </row>
    <row r="169">
      <c r="A169" s="3">
        <f>IFERROR(__xludf.DUMMYFUNCTION("""COMPUTED_VALUE"""),731.0)</f>
        <v>731</v>
      </c>
      <c r="B169" s="11">
        <f>IFERROR(__xludf.DUMMYFUNCTION("""COMPUTED_VALUE"""),45991.81613442129)</f>
        <v>45991.81613</v>
      </c>
      <c r="C169" s="3" t="str">
        <f>IFERROR(__xludf.DUMMYFUNCTION("""COMPUTED_VALUE"""),"ชั้นปีที่ 3")</f>
        <v>ชั้นปีที่ 3</v>
      </c>
      <c r="D169" s="3" t="str">
        <f>IFERROR(__xludf.DUMMYFUNCTION("""COMPUTED_VALUE"""),"6603761")</f>
        <v>6603761</v>
      </c>
      <c r="E169" s="3" t="str">
        <f>IFERROR(__xludf.DUMMYFUNCTION("""COMPUTED_VALUE"""),"8")</f>
        <v>8</v>
      </c>
      <c r="F169" s="3" t="str">
        <f>IFERROR(__xludf.DUMMYFUNCTION("""COMPUTED_VALUE"""),"นพอ.ชญานิศ ทองแสงแก้ว")</f>
        <v>นพอ.ชญานิศ ทองแสงแก้ว</v>
      </c>
      <c r="G169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69" s="3" t="str">
        <f>IFERROR(__xludf.DUMMYFUNCTION("""COMPUTED_VALUE"""),"ลงนามถวาวพระพรศวรรคตพระพันปีหลวง")</f>
        <v>ลงนามถวาวพระพรศวรรคตพระพันปีหลวง</v>
      </c>
      <c r="I169" s="3" t="str">
        <f>IFERROR(__xludf.DUMMYFUNCTION("""COMPUTED_VALUE"""),"วิทยาลัยพยาบาลทหารอากาศ")</f>
        <v>วิทยาลัยพยาบาลทหารอากาศ</v>
      </c>
      <c r="J169" s="12">
        <f>IFERROR(__xludf.DUMMYFUNCTION("""COMPUTED_VALUE"""),45991.0)</f>
        <v>45991</v>
      </c>
      <c r="K169" s="3" t="str">
        <f>IFERROR(__xludf.DUMMYFUNCTION("""COMPUTED_VALUE"""),"1500-1600")</f>
        <v>1500-1600</v>
      </c>
      <c r="L169" s="3">
        <f>IFERROR(__xludf.DUMMYFUNCTION("""COMPUTED_VALUE"""),1.0)</f>
        <v>1</v>
      </c>
      <c r="M169" s="3" t="str">
        <f>IFERROR(__xludf.DUMMYFUNCTION("""COMPUTED_VALUE"""),"วิทยาลัยพยาบาลทหารอากาศ")</f>
        <v>วิทยาลัยพยาบาลทหารอากาศ</v>
      </c>
      <c r="N169" s="14" t="str">
        <f>IFERROR(__xludf.DUMMYFUNCTION("""COMPUTED_VALUE"""),"https://lh5.googleusercontent.com/d/1jZmXsZnfqiPRUasQw9priRMw4NjUwB_L")</f>
        <v>https://lh5.googleusercontent.com/d/1jZmXsZnfqiPRUasQw9priRMw4NjUwB_L</v>
      </c>
      <c r="O169" s="14" t="str">
        <f>IFERROR(__xludf.DUMMYFUNCTION("""COMPUTED_VALUE"""),"https://drive.google.com/file/d/1IgiT1Z8j-MARrkBXS6fgYLfEp-XDOFbb/view?usp=drivesdk")</f>
        <v>https://drive.google.com/file/d/1IgiT1Z8j-MARrkBXS6fgYLfEp-XDOFbb/view?usp=drivesdk</v>
      </c>
    </row>
    <row r="170">
      <c r="A170" s="3">
        <f>IFERROR(__xludf.DUMMYFUNCTION("""COMPUTED_VALUE"""),732.0)</f>
        <v>732</v>
      </c>
      <c r="B170" s="11">
        <f>IFERROR(__xludf.DUMMYFUNCTION("""COMPUTED_VALUE"""),45991.81697936342)</f>
        <v>45991.81698</v>
      </c>
      <c r="C170" s="3" t="str">
        <f>IFERROR(__xludf.DUMMYFUNCTION("""COMPUTED_VALUE"""),"ชั้นปีที่ 3")</f>
        <v>ชั้นปีที่ 3</v>
      </c>
      <c r="D170" s="3" t="str">
        <f>IFERROR(__xludf.DUMMYFUNCTION("""COMPUTED_VALUE"""),"6603815")</f>
        <v>6603815</v>
      </c>
      <c r="E170" s="3" t="str">
        <f>IFERROR(__xludf.DUMMYFUNCTION("""COMPUTED_VALUE"""),"61")</f>
        <v>61</v>
      </c>
      <c r="F170" s="3" t="str">
        <f>IFERROR(__xludf.DUMMYFUNCTION("""COMPUTED_VALUE"""),"นพอ.อภิรชา คำเจริญ")</f>
        <v>นพอ.อภิรชา คำเจริญ</v>
      </c>
      <c r="G1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0" s="3" t="str">
        <f>IFERROR(__xludf.DUMMYFUNCTION("""COMPUTED_VALUE"""),"Buddy Korean ")</f>
        <v>Buddy Korean </v>
      </c>
      <c r="I170" s="3" t="str">
        <f>IFERROR(__xludf.DUMMYFUNCTION("""COMPUTED_VALUE"""),"วิทยาลัยพยาบาลทหารอากาศ")</f>
        <v>วิทยาลัยพยาบาลทหารอากาศ</v>
      </c>
      <c r="J170" s="12">
        <f>IFERROR(__xludf.DUMMYFUNCTION("""COMPUTED_VALUE"""),45953.0)</f>
        <v>45953</v>
      </c>
      <c r="K170" s="3" t="str">
        <f>IFERROR(__xludf.DUMMYFUNCTION("""COMPUTED_VALUE"""),"1800-2200")</f>
        <v>1800-2200</v>
      </c>
      <c r="L170" s="3">
        <f>IFERROR(__xludf.DUMMYFUNCTION("""COMPUTED_VALUE"""),4.0)</f>
        <v>4</v>
      </c>
      <c r="M170" s="3" t="str">
        <f>IFERROR(__xludf.DUMMYFUNCTION("""COMPUTED_VALUE"""),"น.ต.หญิง ประไพศรี ศุภางค์ภร")</f>
        <v>น.ต.หญิง ประไพศรี ศุภางค์ภร</v>
      </c>
      <c r="N170" s="14" t="str">
        <f>IFERROR(__xludf.DUMMYFUNCTION("""COMPUTED_VALUE"""),"https://lh5.googleusercontent.com/d/1DJIJlGndpIix3vMsNpcRkCaj7imSXd15")</f>
        <v>https://lh5.googleusercontent.com/d/1DJIJlGndpIix3vMsNpcRkCaj7imSXd15</v>
      </c>
      <c r="O170" s="14" t="str">
        <f>IFERROR(__xludf.DUMMYFUNCTION("""COMPUTED_VALUE"""),"https://drive.google.com/file/d/1sUei27xAbNQhne3R1N1qgpAUdRReh7TF/view?usp=drivesdk")</f>
        <v>https://drive.google.com/file/d/1sUei27xAbNQhne3R1N1qgpAUdRReh7TF/view?usp=drivesdk</v>
      </c>
    </row>
    <row r="171">
      <c r="A171" s="3">
        <f>IFERROR(__xludf.DUMMYFUNCTION("""COMPUTED_VALUE"""),733.0)</f>
        <v>733</v>
      </c>
      <c r="B171" s="11">
        <f>IFERROR(__xludf.DUMMYFUNCTION("""COMPUTED_VALUE"""),45991.81713274306)</f>
        <v>45991.81713</v>
      </c>
      <c r="C171" s="3" t="str">
        <f>IFERROR(__xludf.DUMMYFUNCTION("""COMPUTED_VALUE"""),"ชั้นปีที่ 3")</f>
        <v>ชั้นปีที่ 3</v>
      </c>
      <c r="D171" s="3" t="str">
        <f>IFERROR(__xludf.DUMMYFUNCTION("""COMPUTED_VALUE"""),"6603813")</f>
        <v>6603813</v>
      </c>
      <c r="E171" s="3" t="str">
        <f>IFERROR(__xludf.DUMMYFUNCTION("""COMPUTED_VALUE"""),"59")</f>
        <v>59</v>
      </c>
      <c r="F171" s="3" t="str">
        <f>IFERROR(__xludf.DUMMYFUNCTION("""COMPUTED_VALUE"""),"นพอ.อโณชา จันทรา")</f>
        <v>นพอ.อโณชา จันทรา</v>
      </c>
      <c r="G17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71" s="3" t="str">
        <f>IFERROR(__xludf.DUMMYFUNCTION("""COMPUTED_VALUE"""),"ทำกระทง")</f>
        <v>ทำกระทง</v>
      </c>
      <c r="I171" s="3" t="str">
        <f>IFERROR(__xludf.DUMMYFUNCTION("""COMPUTED_VALUE"""),"วัดเนรัญชราราม")</f>
        <v>วัดเนรัญชราราม</v>
      </c>
      <c r="J171" s="12">
        <f>IFERROR(__xludf.DUMMYFUNCTION("""COMPUTED_VALUE"""),45962.0)</f>
        <v>45962</v>
      </c>
      <c r="K171" s="3" t="str">
        <f>IFERROR(__xludf.DUMMYFUNCTION("""COMPUTED_VALUE"""),"1300-1700")</f>
        <v>1300-1700</v>
      </c>
      <c r="L171" s="3">
        <f>IFERROR(__xludf.DUMMYFUNCTION("""COMPUTED_VALUE"""),4.0)</f>
        <v>4</v>
      </c>
      <c r="M171" s="3" t="str">
        <f>IFERROR(__xludf.DUMMYFUNCTION("""COMPUTED_VALUE"""),"น.ส.ผันนภา หอมเหมือน")</f>
        <v>น.ส.ผันนภา หอมเหมือน</v>
      </c>
      <c r="N171" s="14" t="str">
        <f>IFERROR(__xludf.DUMMYFUNCTION("""COMPUTED_VALUE"""),"https://lh5.googleusercontent.com/d/1GI_pcD5sv1G72D61ikU9x6srkEmnDD-x")</f>
        <v>https://lh5.googleusercontent.com/d/1GI_pcD5sv1G72D61ikU9x6srkEmnDD-x</v>
      </c>
      <c r="O171" s="14" t="str">
        <f>IFERROR(__xludf.DUMMYFUNCTION("""COMPUTED_VALUE"""),"https://drive.google.com/file/d/1zHBzPwZOAGD6Z5jhlGOg95eVTiPcJVuG/view?usp=drivesdk")</f>
        <v>https://drive.google.com/file/d/1zHBzPwZOAGD6Z5jhlGOg95eVTiPcJVuG/view?usp=drivesdk</v>
      </c>
    </row>
    <row r="172">
      <c r="A172" s="3">
        <f>IFERROR(__xludf.DUMMYFUNCTION("""COMPUTED_VALUE"""),737.0)</f>
        <v>737</v>
      </c>
      <c r="B172" s="11">
        <f>IFERROR(__xludf.DUMMYFUNCTION("""COMPUTED_VALUE"""),45991.81886424769)</f>
        <v>45991.81886</v>
      </c>
      <c r="C172" s="3" t="str">
        <f>IFERROR(__xludf.DUMMYFUNCTION("""COMPUTED_VALUE"""),"ชั้นปีที่ 3")</f>
        <v>ชั้นปีที่ 3</v>
      </c>
      <c r="D172" s="3" t="str">
        <f>IFERROR(__xludf.DUMMYFUNCTION("""COMPUTED_VALUE"""),"6603813")</f>
        <v>6603813</v>
      </c>
      <c r="E172" s="3" t="str">
        <f>IFERROR(__xludf.DUMMYFUNCTION("""COMPUTED_VALUE"""),"59")</f>
        <v>59</v>
      </c>
      <c r="F172" s="3" t="str">
        <f>IFERROR(__xludf.DUMMYFUNCTION("""COMPUTED_VALUE"""),"นพอ.อโณชา จันทรา")</f>
        <v>นพอ.อโณชา จันทรา</v>
      </c>
      <c r="G1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2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72" s="3" t="str">
        <f>IFERROR(__xludf.DUMMYFUNCTION("""COMPUTED_VALUE"""),"ชุมชนวัดเกาะ")</f>
        <v>ชุมชนวัดเกาะ</v>
      </c>
      <c r="J172" s="12">
        <f>IFERROR(__xludf.DUMMYFUNCTION("""COMPUTED_VALUE"""),45823.0)</f>
        <v>45823</v>
      </c>
      <c r="K172" s="3" t="str">
        <f>IFERROR(__xludf.DUMMYFUNCTION("""COMPUTED_VALUE"""),"0800-1200")</f>
        <v>0800-1200</v>
      </c>
      <c r="L172" s="3">
        <f>IFERROR(__xludf.DUMMYFUNCTION("""COMPUTED_VALUE"""),4.0)</f>
        <v>4</v>
      </c>
      <c r="M172" s="3" t="str">
        <f>IFERROR(__xludf.DUMMYFUNCTION("""COMPUTED_VALUE"""),"น.ต.หญิง ตวงทิพย์ ลดาวัลย์")</f>
        <v>น.ต.หญิง ตวงทิพย์ ลดาวัลย์</v>
      </c>
      <c r="N172" s="14" t="str">
        <f>IFERROR(__xludf.DUMMYFUNCTION("""COMPUTED_VALUE"""),"https://lh5.googleusercontent.com/d/1WF3bkDFCidrWLs_BuAvxUP0qoLy_tzyw")</f>
        <v>https://lh5.googleusercontent.com/d/1WF3bkDFCidrWLs_BuAvxUP0qoLy_tzyw</v>
      </c>
      <c r="O172" s="14" t="str">
        <f>IFERROR(__xludf.DUMMYFUNCTION("""COMPUTED_VALUE"""),"https://drive.google.com/file/d/1qJI33S2wOfIfpO78Xez_xY6Vlxtpxuk9/view?usp=drivesdk")</f>
        <v>https://drive.google.com/file/d/1qJI33S2wOfIfpO78Xez_xY6Vlxtpxuk9/view?usp=drivesdk</v>
      </c>
    </row>
    <row r="173">
      <c r="A173" s="3">
        <f>IFERROR(__xludf.DUMMYFUNCTION("""COMPUTED_VALUE"""),738.0)</f>
        <v>738</v>
      </c>
      <c r="B173" s="11">
        <f>IFERROR(__xludf.DUMMYFUNCTION("""COMPUTED_VALUE"""),45991.81894585649)</f>
        <v>45991.81895</v>
      </c>
      <c r="C173" s="3" t="str">
        <f>IFERROR(__xludf.DUMMYFUNCTION("""COMPUTED_VALUE"""),"ชั้นปีที่ 3")</f>
        <v>ชั้นปีที่ 3</v>
      </c>
      <c r="D173" s="3" t="str">
        <f>IFERROR(__xludf.DUMMYFUNCTION("""COMPUTED_VALUE"""),"6603815")</f>
        <v>6603815</v>
      </c>
      <c r="E173" s="3" t="str">
        <f>IFERROR(__xludf.DUMMYFUNCTION("""COMPUTED_VALUE"""),"61")</f>
        <v>61</v>
      </c>
      <c r="F173" s="3" t="str">
        <f>IFERROR(__xludf.DUMMYFUNCTION("""COMPUTED_VALUE"""),"นพอ.อภิรชา คำเจริญ")</f>
        <v>นพอ.อภิรชา คำเจริญ</v>
      </c>
      <c r="G17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3" s="3" t="str">
        <f>IFERROR(__xludf.DUMMYFUNCTION("""COMPUTED_VALUE"""),"Buddy Korean")</f>
        <v>Buddy Korean</v>
      </c>
      <c r="I173" s="3" t="str">
        <f>IFERROR(__xludf.DUMMYFUNCTION("""COMPUTED_VALUE"""),"วิทยาลัยพยาบาลทหารอากาศ")</f>
        <v>วิทยาลัยพยาบาลทหารอากาศ</v>
      </c>
      <c r="J173" s="12">
        <f>IFERROR(__xludf.DUMMYFUNCTION("""COMPUTED_VALUE"""),45950.0)</f>
        <v>45950</v>
      </c>
      <c r="K173" s="3" t="str">
        <f>IFERROR(__xludf.DUMMYFUNCTION("""COMPUTED_VALUE"""),"1800-2200")</f>
        <v>1800-2200</v>
      </c>
      <c r="L173" s="3">
        <f>IFERROR(__xludf.DUMMYFUNCTION("""COMPUTED_VALUE"""),4.0)</f>
        <v>4</v>
      </c>
      <c r="M173" s="3" t="str">
        <f>IFERROR(__xludf.DUMMYFUNCTION("""COMPUTED_VALUE"""),"น.ต.หญิง ประไพศรี ศุภางค์ภร")</f>
        <v>น.ต.หญิง ประไพศรี ศุภางค์ภร</v>
      </c>
      <c r="N173" s="14" t="str">
        <f>IFERROR(__xludf.DUMMYFUNCTION("""COMPUTED_VALUE"""),"https://lh5.googleusercontent.com/d/1rY5MU_nyBERbTsYN1AAb93aGq-vJN1F2")</f>
        <v>https://lh5.googleusercontent.com/d/1rY5MU_nyBERbTsYN1AAb93aGq-vJN1F2</v>
      </c>
      <c r="O173" s="14" t="str">
        <f>IFERROR(__xludf.DUMMYFUNCTION("""COMPUTED_VALUE"""),"https://drive.google.com/file/d/1_w1Y1VvdpkilXK-iUtHxCy6jx9YqLeZO/view?usp=drivesdk")</f>
        <v>https://drive.google.com/file/d/1_w1Y1VvdpkilXK-iUtHxCy6jx9YqLeZO/view?usp=drivesdk</v>
      </c>
    </row>
    <row r="174">
      <c r="A174" s="3">
        <f>IFERROR(__xludf.DUMMYFUNCTION("""COMPUTED_VALUE"""),740.0)</f>
        <v>740</v>
      </c>
      <c r="B174" s="11">
        <f>IFERROR(__xludf.DUMMYFUNCTION("""COMPUTED_VALUE"""),45991.819906620374)</f>
        <v>45991.81991</v>
      </c>
      <c r="C174" s="3" t="str">
        <f>IFERROR(__xludf.DUMMYFUNCTION("""COMPUTED_VALUE"""),"ชั้นปีที่ 3")</f>
        <v>ชั้นปีที่ 3</v>
      </c>
      <c r="D174" s="3" t="str">
        <f>IFERROR(__xludf.DUMMYFUNCTION("""COMPUTED_VALUE"""),"6603790")</f>
        <v>6603790</v>
      </c>
      <c r="E174" s="3" t="str">
        <f>IFERROR(__xludf.DUMMYFUNCTION("""COMPUTED_VALUE"""),"36")</f>
        <v>36</v>
      </c>
      <c r="F174" s="3" t="str">
        <f>IFERROR(__xludf.DUMMYFUNCTION("""COMPUTED_VALUE"""),"นพอ.ปิยะนันท์ ตุนก")</f>
        <v>นพอ.ปิยะนันท์ ตุนก</v>
      </c>
      <c r="G17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4" s="3" t="str">
        <f>IFERROR(__xludf.DUMMYFUNCTION("""COMPUTED_VALUE"""),"ซ้อมร้องประสานเสียงงานคอนเสิร์ต")</f>
        <v>ซ้อมร้องประสานเสียงงานคอนเสิร์ต</v>
      </c>
      <c r="I174" s="3" t="str">
        <f>IFERROR(__xludf.DUMMYFUNCTION("""COMPUTED_VALUE"""),"ดุริยางค์ทหารอากาศ")</f>
        <v>ดุริยางค์ทหารอากาศ</v>
      </c>
      <c r="J174" s="12">
        <f>IFERROR(__xludf.DUMMYFUNCTION("""COMPUTED_VALUE"""),45825.0)</f>
        <v>45825</v>
      </c>
      <c r="K174" s="3" t="str">
        <f>IFERROR(__xludf.DUMMYFUNCTION("""COMPUTED_VALUE"""),"0800-1600")</f>
        <v>0800-1600</v>
      </c>
      <c r="L174" s="3">
        <f>IFERROR(__xludf.DUMMYFUNCTION("""COMPUTED_VALUE"""),8.0)</f>
        <v>8</v>
      </c>
      <c r="M174" s="3" t="str">
        <f>IFERROR(__xludf.DUMMYFUNCTION("""COMPUTED_VALUE"""),"ร.อ.อนุชิต ทำจะดี")</f>
        <v>ร.อ.อนุชิต ทำจะดี</v>
      </c>
      <c r="N174" s="14" t="str">
        <f>IFERROR(__xludf.DUMMYFUNCTION("""COMPUTED_VALUE"""),"https://lh5.googleusercontent.com/d/1_Mjim1n2dmRQli6kwTg3SwNHGfNTq0_l")</f>
        <v>https://lh5.googleusercontent.com/d/1_Mjim1n2dmRQli6kwTg3SwNHGfNTq0_l</v>
      </c>
      <c r="O174" s="14" t="str">
        <f>IFERROR(__xludf.DUMMYFUNCTION("""COMPUTED_VALUE"""),"https://drive.google.com/file/d/1sVu0ciGG1BRVTJcE7WqJqW-TCq9-8Jc9/view?usp=drivesdk")</f>
        <v>https://drive.google.com/file/d/1sVu0ciGG1BRVTJcE7WqJqW-TCq9-8Jc9/view?usp=drivesdk</v>
      </c>
    </row>
    <row r="175">
      <c r="A175" s="3">
        <f>IFERROR(__xludf.DUMMYFUNCTION("""COMPUTED_VALUE"""),744.0)</f>
        <v>744</v>
      </c>
      <c r="B175" s="11">
        <f>IFERROR(__xludf.DUMMYFUNCTION("""COMPUTED_VALUE"""),45991.821137175924)</f>
        <v>45991.82114</v>
      </c>
      <c r="C175" s="3" t="str">
        <f>IFERROR(__xludf.DUMMYFUNCTION("""COMPUTED_VALUE"""),"ชั้นปีที่ 3")</f>
        <v>ชั้นปีที่ 3</v>
      </c>
      <c r="D175" s="3" t="str">
        <f>IFERROR(__xludf.DUMMYFUNCTION("""COMPUTED_VALUE"""),"6603790")</f>
        <v>6603790</v>
      </c>
      <c r="E175" s="3" t="str">
        <f>IFERROR(__xludf.DUMMYFUNCTION("""COMPUTED_VALUE"""),"36")</f>
        <v>36</v>
      </c>
      <c r="F175" s="3" t="str">
        <f>IFERROR(__xludf.DUMMYFUNCTION("""COMPUTED_VALUE"""),"นพอ.ปิยะนันท์ ตุนก")</f>
        <v>นพอ.ปิยะนันท์ ตุนก</v>
      </c>
      <c r="G1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5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75" s="3" t="str">
        <f>IFERROR(__xludf.DUMMYFUNCTION("""COMPUTED_VALUE"""),"กองบัญชาการกองทัพอากาศ")</f>
        <v>กองบัญชาการกองทัพอากาศ</v>
      </c>
      <c r="J175" s="12">
        <f>IFERROR(__xludf.DUMMYFUNCTION("""COMPUTED_VALUE"""),45833.0)</f>
        <v>45833</v>
      </c>
      <c r="K175" s="3" t="str">
        <f>IFERROR(__xludf.DUMMYFUNCTION("""COMPUTED_VALUE"""),"0800-1600")</f>
        <v>0800-1600</v>
      </c>
      <c r="L175" s="3">
        <f>IFERROR(__xludf.DUMMYFUNCTION("""COMPUTED_VALUE"""),8.0)</f>
        <v>8</v>
      </c>
      <c r="M175" s="3" t="str">
        <f>IFERROR(__xludf.DUMMYFUNCTION("""COMPUTED_VALUE"""),"ร.อ.อนุชิต ทำจะดี")</f>
        <v>ร.อ.อนุชิต ทำจะดี</v>
      </c>
      <c r="N175" s="14" t="str">
        <f>IFERROR(__xludf.DUMMYFUNCTION("""COMPUTED_VALUE"""),"https://lh5.googleusercontent.com/d/1MiqEloKy8vusVFBQke8ubn0GPxeO4wt5")</f>
        <v>https://lh5.googleusercontent.com/d/1MiqEloKy8vusVFBQke8ubn0GPxeO4wt5</v>
      </c>
      <c r="O175" s="14" t="str">
        <f>IFERROR(__xludf.DUMMYFUNCTION("""COMPUTED_VALUE"""),"https://drive.google.com/file/d/1MviE6huDJ8UrYRZonqHKF9cnF0gSUv9A/view?usp=drivesdk")</f>
        <v>https://drive.google.com/file/d/1MviE6huDJ8UrYRZonqHKF9cnF0gSUv9A/view?usp=drivesdk</v>
      </c>
    </row>
    <row r="176">
      <c r="A176" s="3">
        <f>IFERROR(__xludf.DUMMYFUNCTION("""COMPUTED_VALUE"""),747.0)</f>
        <v>747</v>
      </c>
      <c r="B176" s="11">
        <f>IFERROR(__xludf.DUMMYFUNCTION("""COMPUTED_VALUE"""),45991.821307418984)</f>
        <v>45991.82131</v>
      </c>
      <c r="C176" s="3" t="str">
        <f>IFERROR(__xludf.DUMMYFUNCTION("""COMPUTED_VALUE"""),"ชั้นปีที่ 3")</f>
        <v>ชั้นปีที่ 3</v>
      </c>
      <c r="D176" s="3" t="str">
        <f>IFERROR(__xludf.DUMMYFUNCTION("""COMPUTED_VALUE"""),"6603813")</f>
        <v>6603813</v>
      </c>
      <c r="E176" s="3" t="str">
        <f>IFERROR(__xludf.DUMMYFUNCTION("""COMPUTED_VALUE"""),"59")</f>
        <v>59</v>
      </c>
      <c r="F176" s="3" t="str">
        <f>IFERROR(__xludf.DUMMYFUNCTION("""COMPUTED_VALUE"""),"นพอ.อโณชา จันทรา")</f>
        <v>นพอ.อโณชา จันทรา</v>
      </c>
      <c r="G176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76" s="3" t="str">
        <f>IFERROR(__xludf.DUMMYFUNCTION("""COMPUTED_VALUE"""),"ลงนามถวายความอาลัย")</f>
        <v>ลงนามถวายความอาลัย</v>
      </c>
      <c r="I176" s="3" t="str">
        <f>IFERROR(__xludf.DUMMYFUNCTION("""COMPUTED_VALUE"""),"รพ.ภูมิพลอดุลยเดช")</f>
        <v>รพ.ภูมิพลอดุลยเดช</v>
      </c>
      <c r="J176" s="12">
        <f>IFERROR(__xludf.DUMMYFUNCTION("""COMPUTED_VALUE"""),45967.0)</f>
        <v>45967</v>
      </c>
      <c r="K176" s="3" t="str">
        <f>IFERROR(__xludf.DUMMYFUNCTION("""COMPUTED_VALUE"""),"1200")</f>
        <v>1200</v>
      </c>
      <c r="L176" s="3">
        <f>IFERROR(__xludf.DUMMYFUNCTION("""COMPUTED_VALUE"""),1.0)</f>
        <v>1</v>
      </c>
      <c r="M17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76" s="14" t="str">
        <f>IFERROR(__xludf.DUMMYFUNCTION("""COMPUTED_VALUE"""),"https://lh5.googleusercontent.com/d/1RqRsu0_zbcM9HgoWftIFUQ-NTcpIFs_q")</f>
        <v>https://lh5.googleusercontent.com/d/1RqRsu0_zbcM9HgoWftIFUQ-NTcpIFs_q</v>
      </c>
      <c r="O176" s="14" t="str">
        <f>IFERROR(__xludf.DUMMYFUNCTION("""COMPUTED_VALUE"""),"https://drive.google.com/file/d/1QIR5Kt9gQFj6AS2TDiWlY4UzSy4e9RnJ/view?usp=drivesdk")</f>
        <v>https://drive.google.com/file/d/1QIR5Kt9gQFj6AS2TDiWlY4UzSy4e9RnJ/view?usp=drivesdk</v>
      </c>
    </row>
    <row r="177">
      <c r="A177" s="3">
        <f>IFERROR(__xludf.DUMMYFUNCTION("""COMPUTED_VALUE"""),748.0)</f>
        <v>748</v>
      </c>
      <c r="B177" s="11">
        <f>IFERROR(__xludf.DUMMYFUNCTION("""COMPUTED_VALUE"""),45991.822619942126)</f>
        <v>45991.82262</v>
      </c>
      <c r="C177" s="3" t="str">
        <f>IFERROR(__xludf.DUMMYFUNCTION("""COMPUTED_VALUE"""),"ชั้นปีที่ 3")</f>
        <v>ชั้นปีที่ 3</v>
      </c>
      <c r="D177" s="3" t="str">
        <f>IFERROR(__xludf.DUMMYFUNCTION("""COMPUTED_VALUE"""),"6603813")</f>
        <v>6603813</v>
      </c>
      <c r="E177" s="3" t="str">
        <f>IFERROR(__xludf.DUMMYFUNCTION("""COMPUTED_VALUE"""),"59")</f>
        <v>59</v>
      </c>
      <c r="F177" s="3" t="str">
        <f>IFERROR(__xludf.DUMMYFUNCTION("""COMPUTED_VALUE"""),"นพอ.อโณชา จันทรา")</f>
        <v>นพอ.อโณชา จันทรา</v>
      </c>
      <c r="G1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7" s="3" t="str">
        <f>IFERROR(__xludf.DUMMYFUNCTION("""COMPUTED_VALUE"""),"พิธีรับเสด็จรับปริญญา นพอ.รุ่นที่64")</f>
        <v>พิธีรับเสด็จรับปริญญา นพอ.รุ่นที่64</v>
      </c>
      <c r="I177" s="3" t="str">
        <f>IFERROR(__xludf.DUMMYFUNCTION("""COMPUTED_VALUE"""),"มหาวิทยาลัยมหิดล")</f>
        <v>มหาวิทยาลัยมหิดล</v>
      </c>
      <c r="J177" s="12">
        <f>IFERROR(__xludf.DUMMYFUNCTION("""COMPUTED_VALUE"""),45940.0)</f>
        <v>45940</v>
      </c>
      <c r="K177" s="3" t="str">
        <f>IFERROR(__xludf.DUMMYFUNCTION("""COMPUTED_VALUE"""),"0800-1200")</f>
        <v>0800-1200</v>
      </c>
      <c r="L177" s="3">
        <f>IFERROR(__xludf.DUMMYFUNCTION("""COMPUTED_VALUE"""),4.0)</f>
        <v>4</v>
      </c>
      <c r="M177" s="3" t="str">
        <f>IFERROR(__xludf.DUMMYFUNCTION("""COMPUTED_VALUE"""),"น.ท.หญิง สุพัตรา ปิ่นแก้ว")</f>
        <v>น.ท.หญิง สุพัตรา ปิ่นแก้ว</v>
      </c>
      <c r="N177" s="14" t="str">
        <f>IFERROR(__xludf.DUMMYFUNCTION("""COMPUTED_VALUE"""),"https://lh5.googleusercontent.com/d/1rZM5c_IOY2ahrKl152vQfBgcCegV4TPr")</f>
        <v>https://lh5.googleusercontent.com/d/1rZM5c_IOY2ahrKl152vQfBgcCegV4TPr</v>
      </c>
      <c r="O177" s="14" t="str">
        <f>IFERROR(__xludf.DUMMYFUNCTION("""COMPUTED_VALUE"""),"https://drive.google.com/file/d/1yX2zboT8wXdvKCIaHqhRgnWgo3MhQPcP/view?usp=drivesdk")</f>
        <v>https://drive.google.com/file/d/1yX2zboT8wXdvKCIaHqhRgnWgo3MhQPcP/view?usp=drivesdk</v>
      </c>
    </row>
    <row r="178">
      <c r="A178" s="3">
        <f>IFERROR(__xludf.DUMMYFUNCTION("""COMPUTED_VALUE"""),749.0)</f>
        <v>749</v>
      </c>
      <c r="B178" s="11">
        <f>IFERROR(__xludf.DUMMYFUNCTION("""COMPUTED_VALUE"""),45991.82284863426)</f>
        <v>45991.82285</v>
      </c>
      <c r="C178" s="3" t="str">
        <f>IFERROR(__xludf.DUMMYFUNCTION("""COMPUTED_VALUE"""),"ชั้นปีที่ 3")</f>
        <v>ชั้นปีที่ 3</v>
      </c>
      <c r="D178" s="3" t="str">
        <f>IFERROR(__xludf.DUMMYFUNCTION("""COMPUTED_VALUE"""),"6603761")</f>
        <v>6603761</v>
      </c>
      <c r="E178" s="3" t="str">
        <f>IFERROR(__xludf.DUMMYFUNCTION("""COMPUTED_VALUE"""),"8")</f>
        <v>8</v>
      </c>
      <c r="F178" s="3" t="str">
        <f>IFERROR(__xludf.DUMMYFUNCTION("""COMPUTED_VALUE"""),"นพอ.ชญานิศ ทองแสงแก้ว")</f>
        <v>นพอ.ชญานิศ ทองแสงแก้ว</v>
      </c>
      <c r="G178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78" s="3" t="str">
        <f>IFERROR(__xludf.DUMMYFUNCTION("""COMPUTED_VALUE"""),"ลงนามถวายพระพรแสดงความอาลัยพระพันปีหลวง")</f>
        <v>ลงนามถวายพระพรแสดงความอาลัยพระพันปีหลวง</v>
      </c>
      <c r="I178" s="3" t="str">
        <f>IFERROR(__xludf.DUMMYFUNCTION("""COMPUTED_VALUE"""),"กระทวงดิจิทัล ออนไลน์")</f>
        <v>กระทวงดิจิทัล ออนไลน์</v>
      </c>
      <c r="J178" s="12">
        <f>IFERROR(__xludf.DUMMYFUNCTION("""COMPUTED_VALUE"""),45955.0)</f>
        <v>45955</v>
      </c>
      <c r="K178" s="3" t="str">
        <f>IFERROR(__xludf.DUMMYFUNCTION("""COMPUTED_VALUE"""),"1300-1400")</f>
        <v>1300-1400</v>
      </c>
      <c r="L178" s="3">
        <f>IFERROR(__xludf.DUMMYFUNCTION("""COMPUTED_VALUE"""),1.0)</f>
        <v>1</v>
      </c>
      <c r="M178" s="3" t="str">
        <f>IFERROR(__xludf.DUMMYFUNCTION("""COMPUTED_VALUE"""),"กระทรวงดิจิทัล ")</f>
        <v>กระทรวงดิจิทัล </v>
      </c>
      <c r="N178" s="14" t="str">
        <f>IFERROR(__xludf.DUMMYFUNCTION("""COMPUTED_VALUE"""),"https://lh5.googleusercontent.com/d/1RzyfQSbBNiu0wmaJEzeSHCFPkRHNuQXp")</f>
        <v>https://lh5.googleusercontent.com/d/1RzyfQSbBNiu0wmaJEzeSHCFPkRHNuQXp</v>
      </c>
      <c r="O178" s="14" t="str">
        <f>IFERROR(__xludf.DUMMYFUNCTION("""COMPUTED_VALUE"""),"https://drive.google.com/file/d/1wmgK0vEXOC756aHr5KVHcJFDhqaWjOTk/view?usp=drivesdk")</f>
        <v>https://drive.google.com/file/d/1wmgK0vEXOC756aHr5KVHcJFDhqaWjOTk/view?usp=drivesdk</v>
      </c>
    </row>
    <row r="179">
      <c r="A179" s="3">
        <f>IFERROR(__xludf.DUMMYFUNCTION("""COMPUTED_VALUE"""),752.0)</f>
        <v>752</v>
      </c>
      <c r="B179" s="11">
        <f>IFERROR(__xludf.DUMMYFUNCTION("""COMPUTED_VALUE"""),45991.82377652778)</f>
        <v>45991.82378</v>
      </c>
      <c r="C179" s="3" t="str">
        <f>IFERROR(__xludf.DUMMYFUNCTION("""COMPUTED_VALUE"""),"ชั้นปีที่ 3")</f>
        <v>ชั้นปีที่ 3</v>
      </c>
      <c r="D179" s="3" t="str">
        <f>IFERROR(__xludf.DUMMYFUNCTION("""COMPUTED_VALUE"""),"6603790")</f>
        <v>6603790</v>
      </c>
      <c r="E179" s="3" t="str">
        <f>IFERROR(__xludf.DUMMYFUNCTION("""COMPUTED_VALUE"""),"36")</f>
        <v>36</v>
      </c>
      <c r="F179" s="3" t="str">
        <f>IFERROR(__xludf.DUMMYFUNCTION("""COMPUTED_VALUE"""),"นพอ.ปิยะนันท์ ตุนก")</f>
        <v>นพอ.ปิยะนันท์ ตุนก</v>
      </c>
      <c r="G1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9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7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9" s="12">
        <f>IFERROR(__xludf.DUMMYFUNCTION("""COMPUTED_VALUE"""),45839.0)</f>
        <v>45839</v>
      </c>
      <c r="K179" s="3" t="str">
        <f>IFERROR(__xludf.DUMMYFUNCTION("""COMPUTED_VALUE"""),"1400-2200")</f>
        <v>1400-2200</v>
      </c>
      <c r="L179" s="3">
        <f>IFERROR(__xludf.DUMMYFUNCTION("""COMPUTED_VALUE"""),8.0)</f>
        <v>8</v>
      </c>
      <c r="M179" s="3" t="str">
        <f>IFERROR(__xludf.DUMMYFUNCTION("""COMPUTED_VALUE"""),"ร.อ.อนุชิต ทำจะดี")</f>
        <v>ร.อ.อนุชิต ทำจะดี</v>
      </c>
      <c r="N179" s="14" t="str">
        <f>IFERROR(__xludf.DUMMYFUNCTION("""COMPUTED_VALUE"""),"https://lh5.googleusercontent.com/d/1xQNTE9ITNXeBjQJcFr1ekMCoR7dHQEbO")</f>
        <v>https://lh5.googleusercontent.com/d/1xQNTE9ITNXeBjQJcFr1ekMCoR7dHQEbO</v>
      </c>
      <c r="O179" s="14" t="str">
        <f>IFERROR(__xludf.DUMMYFUNCTION("""COMPUTED_VALUE"""),"https://drive.google.com/file/d/1K8Hk5Ox25-bi2bYlYVFXLQ_ViA6qyLtX/view?usp=drivesdk")</f>
        <v>https://drive.google.com/file/d/1K8Hk5Ox25-bi2bYlYVFXLQ_ViA6qyLtX/view?usp=drivesdk</v>
      </c>
    </row>
    <row r="180">
      <c r="A180" s="3">
        <f>IFERROR(__xludf.DUMMYFUNCTION("""COMPUTED_VALUE"""),754.0)</f>
        <v>754</v>
      </c>
      <c r="B180" s="11">
        <f>IFERROR(__xludf.DUMMYFUNCTION("""COMPUTED_VALUE"""),45991.82557630787)</f>
        <v>45991.82558</v>
      </c>
      <c r="C180" s="3" t="str">
        <f>IFERROR(__xludf.DUMMYFUNCTION("""COMPUTED_VALUE"""),"ชั้นปีที่ 3")</f>
        <v>ชั้นปีที่ 3</v>
      </c>
      <c r="D180" s="3" t="str">
        <f>IFERROR(__xludf.DUMMYFUNCTION("""COMPUTED_VALUE"""),"6603790")</f>
        <v>6603790</v>
      </c>
      <c r="E180" s="3" t="str">
        <f>IFERROR(__xludf.DUMMYFUNCTION("""COMPUTED_VALUE"""),"36")</f>
        <v>36</v>
      </c>
      <c r="F180" s="3" t="str">
        <f>IFERROR(__xludf.DUMMYFUNCTION("""COMPUTED_VALUE"""),"นพอ.ปิยะนันท์ ตุนก")</f>
        <v>นพอ.ปิยะนันท์ ตุนก</v>
      </c>
      <c r="G1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0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8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0" s="12">
        <f>IFERROR(__xludf.DUMMYFUNCTION("""COMPUTED_VALUE"""),45838.0)</f>
        <v>45838</v>
      </c>
      <c r="K180" s="3" t="str">
        <f>IFERROR(__xludf.DUMMYFUNCTION("""COMPUTED_VALUE"""),"1400-2200")</f>
        <v>1400-2200</v>
      </c>
      <c r="L180" s="3">
        <f>IFERROR(__xludf.DUMMYFUNCTION("""COMPUTED_VALUE"""),8.0)</f>
        <v>8</v>
      </c>
      <c r="M180" s="3" t="str">
        <f>IFERROR(__xludf.DUMMYFUNCTION("""COMPUTED_VALUE"""),"ร.อ.อนุชิต ทำจะดี")</f>
        <v>ร.อ.อนุชิต ทำจะดี</v>
      </c>
      <c r="N180" s="14" t="str">
        <f>IFERROR(__xludf.DUMMYFUNCTION("""COMPUTED_VALUE"""),"https://lh5.googleusercontent.com/d/1aXWoTCycAGX1whA-v0raF8gySbr4urIH")</f>
        <v>https://lh5.googleusercontent.com/d/1aXWoTCycAGX1whA-v0raF8gySbr4urIH</v>
      </c>
      <c r="O180" s="3"/>
    </row>
    <row r="181">
      <c r="A181" s="3">
        <f>IFERROR(__xludf.DUMMYFUNCTION("""COMPUTED_VALUE"""),763.0)</f>
        <v>763</v>
      </c>
      <c r="B181" s="11">
        <f>IFERROR(__xludf.DUMMYFUNCTION("""COMPUTED_VALUE"""),45991.82870480324)</f>
        <v>45991.8287</v>
      </c>
      <c r="C181" s="3" t="str">
        <f>IFERROR(__xludf.DUMMYFUNCTION("""COMPUTED_VALUE"""),"ชั้นปีที่ 3")</f>
        <v>ชั้นปีที่ 3</v>
      </c>
      <c r="D181" s="3" t="str">
        <f>IFERROR(__xludf.DUMMYFUNCTION("""COMPUTED_VALUE"""),"6603790")</f>
        <v>6603790</v>
      </c>
      <c r="E181" s="3" t="str">
        <f>IFERROR(__xludf.DUMMYFUNCTION("""COMPUTED_VALUE"""),"36")</f>
        <v>36</v>
      </c>
      <c r="F181" s="3" t="str">
        <f>IFERROR(__xludf.DUMMYFUNCTION("""COMPUTED_VALUE"""),"นพอ.ปิยะนันท์ ตุนก")</f>
        <v>นพอ.ปิยะนันท์ ตุนก</v>
      </c>
      <c r="G1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1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8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1" s="12">
        <f>IFERROR(__xludf.DUMMYFUNCTION("""COMPUTED_VALUE"""),45840.0)</f>
        <v>45840</v>
      </c>
      <c r="K181" s="3" t="str">
        <f>IFERROR(__xludf.DUMMYFUNCTION("""COMPUTED_VALUE"""),"1400-2200")</f>
        <v>1400-2200</v>
      </c>
      <c r="L181" s="3">
        <f>IFERROR(__xludf.DUMMYFUNCTION("""COMPUTED_VALUE"""),8.0)</f>
        <v>8</v>
      </c>
      <c r="M181" s="3" t="str">
        <f>IFERROR(__xludf.DUMMYFUNCTION("""COMPUTED_VALUE"""),"ร.อ.อนุชิต ทำจะดี")</f>
        <v>ร.อ.อนุชิต ทำจะดี</v>
      </c>
      <c r="N181" s="14" t="str">
        <f>IFERROR(__xludf.DUMMYFUNCTION("""COMPUTED_VALUE"""),"https://lh5.googleusercontent.com/d/1TSt4jsxveiZgOejdd3jFdcHKPeJjCjlh")</f>
        <v>https://lh5.googleusercontent.com/d/1TSt4jsxveiZgOejdd3jFdcHKPeJjCjlh</v>
      </c>
      <c r="O181" s="14" t="str">
        <f>IFERROR(__xludf.DUMMYFUNCTION("""COMPUTED_VALUE"""),"https://drive.google.com/file/d/1FnFWFi_zBcsRJkfL5YK3aNOeSwcPA8YS/view?usp=drivesdk")</f>
        <v>https://drive.google.com/file/d/1FnFWFi_zBcsRJkfL5YK3aNOeSwcPA8YS/view?usp=drivesdk</v>
      </c>
    </row>
    <row r="182">
      <c r="A182" s="3">
        <f>IFERROR(__xludf.DUMMYFUNCTION("""COMPUTED_VALUE"""),764.0)</f>
        <v>764</v>
      </c>
      <c r="B182" s="11">
        <f>IFERROR(__xludf.DUMMYFUNCTION("""COMPUTED_VALUE"""),45991.829081284726)</f>
        <v>45991.82908</v>
      </c>
      <c r="C182" s="3" t="str">
        <f>IFERROR(__xludf.DUMMYFUNCTION("""COMPUTED_VALUE"""),"ชั้นปีที่ 3")</f>
        <v>ชั้นปีที่ 3</v>
      </c>
      <c r="D182" s="3" t="str">
        <f>IFERROR(__xludf.DUMMYFUNCTION("""COMPUTED_VALUE"""),"6603761")</f>
        <v>6603761</v>
      </c>
      <c r="E182" s="3" t="str">
        <f>IFERROR(__xludf.DUMMYFUNCTION("""COMPUTED_VALUE"""),"8")</f>
        <v>8</v>
      </c>
      <c r="F182" s="3" t="str">
        <f>IFERROR(__xludf.DUMMYFUNCTION("""COMPUTED_VALUE"""),"นพอ.ชญานิศ ทองแสงแก้ว")</f>
        <v>นพอ.ชญานิศ ทองแสงแก้ว</v>
      </c>
      <c r="G182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82" s="3" t="str">
        <f>IFERROR(__xludf.DUMMYFUNCTION("""COMPUTED_VALUE"""),"ลงนามสถวายพระพรวันวันเฉลิมพระชนพรรษา ร.10")</f>
        <v>ลงนามสถวายพระพรวันวันเฉลิมพระชนพรรษา ร.10</v>
      </c>
      <c r="I182" s="3" t="str">
        <f>IFERROR(__xludf.DUMMYFUNCTION("""COMPUTED_VALUE"""),"กระทรวงมหาดไทย ออนไลน์")</f>
        <v>กระทรวงมหาดไทย ออนไลน์</v>
      </c>
      <c r="J182" s="12">
        <f>IFERROR(__xludf.DUMMYFUNCTION("""COMPUTED_VALUE"""),45866.0)</f>
        <v>45866</v>
      </c>
      <c r="K182" s="3" t="str">
        <f>IFERROR(__xludf.DUMMYFUNCTION("""COMPUTED_VALUE"""),"0800-1900")</f>
        <v>0800-1900</v>
      </c>
      <c r="L182" s="3">
        <f>IFERROR(__xludf.DUMMYFUNCTION("""COMPUTED_VALUE"""),1.0)</f>
        <v>1</v>
      </c>
      <c r="M182" s="3" t="str">
        <f>IFERROR(__xludf.DUMMYFUNCTION("""COMPUTED_VALUE"""),"กระทวงมหาดไทย")</f>
        <v>กระทวงมหาดไทย</v>
      </c>
      <c r="N182" s="14" t="str">
        <f>IFERROR(__xludf.DUMMYFUNCTION("""COMPUTED_VALUE"""),"https://lh5.googleusercontent.com/d/1In1yHmLgnVL9B--ta-IZQ_8mcgGlUmxK")</f>
        <v>https://lh5.googleusercontent.com/d/1In1yHmLgnVL9B--ta-IZQ_8mcgGlUmxK</v>
      </c>
      <c r="O182" s="14" t="str">
        <f>IFERROR(__xludf.DUMMYFUNCTION("""COMPUTED_VALUE"""),"https://drive.google.com/file/d/12H9tWPK25CAn9L3gBZXZs1QOzH-oDfrh/view?usp=drivesdk")</f>
        <v>https://drive.google.com/file/d/12H9tWPK25CAn9L3gBZXZs1QOzH-oDfrh/view?usp=drivesdk</v>
      </c>
    </row>
    <row r="183">
      <c r="A183" s="3">
        <f>IFERROR(__xludf.DUMMYFUNCTION("""COMPUTED_VALUE"""),765.0)</f>
        <v>765</v>
      </c>
      <c r="B183" s="11">
        <f>IFERROR(__xludf.DUMMYFUNCTION("""COMPUTED_VALUE"""),45991.829513206016)</f>
        <v>45991.82951</v>
      </c>
      <c r="C183" s="3" t="str">
        <f>IFERROR(__xludf.DUMMYFUNCTION("""COMPUTED_VALUE"""),"ชั้นปีที่ 3")</f>
        <v>ชั้นปีที่ 3</v>
      </c>
      <c r="D183" s="3" t="str">
        <f>IFERROR(__xludf.DUMMYFUNCTION("""COMPUTED_VALUE"""),"6603801")</f>
        <v>6603801</v>
      </c>
      <c r="E183" s="3" t="str">
        <f>IFERROR(__xludf.DUMMYFUNCTION("""COMPUTED_VALUE"""),"47")</f>
        <v>47</v>
      </c>
      <c r="F183" s="3" t="str">
        <f>IFERROR(__xludf.DUMMYFUNCTION("""COMPUTED_VALUE"""),"นพอ.วาสิตา ไทรทอง")</f>
        <v>นพอ.วาสิตา ไทรทอง</v>
      </c>
      <c r="G183" s="3" t="str">
        <f>IFERROR(__xludf.DUMMYFUNCTION("""COMPUTED_VALUE"""),"ช่วยเหลืองานภายใน วพอ.")</f>
        <v>ช่วยเหลืองานภายใน วพอ.</v>
      </c>
      <c r="H183" s="3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83" s="3" t="str">
        <f>IFERROR(__xludf.DUMMYFUNCTION("""COMPUTED_VALUE"""),"วิทยาลัยพยาบาลทหารอากาศ")</f>
        <v>วิทยาลัยพยาบาลทหารอากาศ</v>
      </c>
      <c r="J183" s="12">
        <f>IFERROR(__xludf.DUMMYFUNCTION("""COMPUTED_VALUE"""),45949.0)</f>
        <v>45949</v>
      </c>
      <c r="K183" s="3" t="str">
        <f>IFERROR(__xludf.DUMMYFUNCTION("""COMPUTED_VALUE"""),"2000-2400")</f>
        <v>2000-2400</v>
      </c>
      <c r="L183" s="3">
        <f>IFERROR(__xludf.DUMMYFUNCTION("""COMPUTED_VALUE"""),4.0)</f>
        <v>4</v>
      </c>
      <c r="M183" s="3" t="str">
        <f>IFERROR(__xludf.DUMMYFUNCTION("""COMPUTED_VALUE"""),"น.ต.หญิง ประไพศรี ศุภางค์ภร")</f>
        <v>น.ต.หญิง ประไพศรี ศุภางค์ภร</v>
      </c>
      <c r="N183" s="14" t="str">
        <f>IFERROR(__xludf.DUMMYFUNCTION("""COMPUTED_VALUE"""),"https://lh5.googleusercontent.com/d/1tIGk5HNcT6LflcpzMcSkXt2dlQqzJoVK")</f>
        <v>https://lh5.googleusercontent.com/d/1tIGk5HNcT6LflcpzMcSkXt2dlQqzJoVK</v>
      </c>
      <c r="O183" s="14" t="str">
        <f>IFERROR(__xludf.DUMMYFUNCTION("""COMPUTED_VALUE"""),"https://drive.google.com/file/d/1nnA5so0qV1PeQinWhfLmGV9-j4ayEQu7/view?usp=drivesdk")</f>
        <v>https://drive.google.com/file/d/1nnA5so0qV1PeQinWhfLmGV9-j4ayEQu7/view?usp=drivesdk</v>
      </c>
    </row>
    <row r="184">
      <c r="A184" s="3">
        <f>IFERROR(__xludf.DUMMYFUNCTION("""COMPUTED_VALUE"""),768.0)</f>
        <v>768</v>
      </c>
      <c r="B184" s="11">
        <f>IFERROR(__xludf.DUMMYFUNCTION("""COMPUTED_VALUE"""),45991.83124121528)</f>
        <v>45991.83124</v>
      </c>
      <c r="C184" s="3" t="str">
        <f>IFERROR(__xludf.DUMMYFUNCTION("""COMPUTED_VALUE"""),"ชั้นปีที่ 3")</f>
        <v>ชั้นปีที่ 3</v>
      </c>
      <c r="D184" s="3" t="str">
        <f>IFERROR(__xludf.DUMMYFUNCTION("""COMPUTED_VALUE"""),"6603813")</f>
        <v>6603813</v>
      </c>
      <c r="E184" s="3" t="str">
        <f>IFERROR(__xludf.DUMMYFUNCTION("""COMPUTED_VALUE"""),"59")</f>
        <v>59</v>
      </c>
      <c r="F184" s="3" t="str">
        <f>IFERROR(__xludf.DUMMYFUNCTION("""COMPUTED_VALUE"""),"นพอ.อโณชา จันทรา")</f>
        <v>นพอ.อโณชา จันทรา</v>
      </c>
      <c r="G184" s="3" t="str">
        <f>IFERROR(__xludf.DUMMYFUNCTION("""COMPUTED_VALUE"""),"ทำนุบำรุงศาสนสถาน")</f>
        <v>ทำนุบำรุงศาสนสถาน</v>
      </c>
      <c r="H184" s="3" t="str">
        <f>IFERROR(__xludf.DUMMYFUNCTION("""COMPUTED_VALUE"""),"ช่วยพับดอกบัว")</f>
        <v>ช่วยพับดอกบัว</v>
      </c>
      <c r="I184" s="3" t="str">
        <f>IFERROR(__xludf.DUMMYFUNCTION("""COMPUTED_VALUE"""),"วัดเนรัญชราราม")</f>
        <v>วัดเนรัญชราราม</v>
      </c>
      <c r="J184" s="12">
        <f>IFERROR(__xludf.DUMMYFUNCTION("""COMPUTED_VALUE"""),45849.0)</f>
        <v>45849</v>
      </c>
      <c r="K184" s="3" t="str">
        <f>IFERROR(__xludf.DUMMYFUNCTION("""COMPUTED_VALUE"""),"0800-1100")</f>
        <v>0800-1100</v>
      </c>
      <c r="L184" s="3">
        <f>IFERROR(__xludf.DUMMYFUNCTION("""COMPUTED_VALUE"""),3.0)</f>
        <v>3</v>
      </c>
      <c r="M184" s="3" t="str">
        <f>IFERROR(__xludf.DUMMYFUNCTION("""COMPUTED_VALUE"""),"พระสมบัติ โชติโก")</f>
        <v>พระสมบัติ โชติโก</v>
      </c>
      <c r="N184" s="14" t="str">
        <f>IFERROR(__xludf.DUMMYFUNCTION("""COMPUTED_VALUE"""),"https://lh5.googleusercontent.com/d/199g-8wcaHuq31FIJWyto49SVA3hmD59U")</f>
        <v>https://lh5.googleusercontent.com/d/199g-8wcaHuq31FIJWyto49SVA3hmD59U</v>
      </c>
      <c r="O184" s="14" t="str">
        <f>IFERROR(__xludf.DUMMYFUNCTION("""COMPUTED_VALUE"""),"https://drive.google.com/file/d/10MXYncf-xTI-4Rkkzt0JGLnkU__YlmQ0/view?usp=drivesdk")</f>
        <v>https://drive.google.com/file/d/10MXYncf-xTI-4Rkkzt0JGLnkU__YlmQ0/view?usp=drivesdk</v>
      </c>
    </row>
    <row r="185">
      <c r="A185" s="3">
        <f>IFERROR(__xludf.DUMMYFUNCTION("""COMPUTED_VALUE"""),771.0)</f>
        <v>771</v>
      </c>
      <c r="B185" s="11">
        <f>IFERROR(__xludf.DUMMYFUNCTION("""COMPUTED_VALUE"""),45991.83178913194)</f>
        <v>45991.83179</v>
      </c>
      <c r="C185" s="3" t="str">
        <f>IFERROR(__xludf.DUMMYFUNCTION("""COMPUTED_VALUE"""),"ชั้นปีที่ 3")</f>
        <v>ชั้นปีที่ 3</v>
      </c>
      <c r="D185" s="3" t="str">
        <f>IFERROR(__xludf.DUMMYFUNCTION("""COMPUTED_VALUE"""),"6603790")</f>
        <v>6603790</v>
      </c>
      <c r="E185" s="3" t="str">
        <f>IFERROR(__xludf.DUMMYFUNCTION("""COMPUTED_VALUE"""),"36")</f>
        <v>36</v>
      </c>
      <c r="F185" s="3" t="str">
        <f>IFERROR(__xludf.DUMMYFUNCTION("""COMPUTED_VALUE"""),"นพอ.ปิยะนันท์ ตุนก")</f>
        <v>นพอ.ปิยะนันท์ ตุนก</v>
      </c>
      <c r="G1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5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185" s="3" t="str">
        <f>IFERROR(__xludf.DUMMYFUNCTION("""COMPUTED_VALUE"""),"ชุมชนวัดเกาะ")</f>
        <v>ชุมชนวัดเกาะ</v>
      </c>
      <c r="J185" s="12">
        <f>IFERROR(__xludf.DUMMYFUNCTION("""COMPUTED_VALUE"""),45823.0)</f>
        <v>45823</v>
      </c>
      <c r="K185" s="3" t="str">
        <f>IFERROR(__xludf.DUMMYFUNCTION("""COMPUTED_VALUE"""),"0800-1200")</f>
        <v>0800-1200</v>
      </c>
      <c r="L185" s="3">
        <f>IFERROR(__xludf.DUMMYFUNCTION("""COMPUTED_VALUE"""),4.0)</f>
        <v>4</v>
      </c>
      <c r="M185" s="3" t="str">
        <f>IFERROR(__xludf.DUMMYFUNCTION("""COMPUTED_VALUE"""),"น.ต.หญิง ตวงทิพย์ ลดาวัลย์")</f>
        <v>น.ต.หญิง ตวงทิพย์ ลดาวัลย์</v>
      </c>
      <c r="N185" s="14" t="str">
        <f>IFERROR(__xludf.DUMMYFUNCTION("""COMPUTED_VALUE"""),"https://lh5.googleusercontent.com/d/1UPgtPe9hKHu4sanGh_QLt6FRj4lczhIN")</f>
        <v>https://lh5.googleusercontent.com/d/1UPgtPe9hKHu4sanGh_QLt6FRj4lczhIN</v>
      </c>
      <c r="O185" s="3"/>
    </row>
    <row r="186">
      <c r="A186" s="3">
        <f>IFERROR(__xludf.DUMMYFUNCTION("""COMPUTED_VALUE"""),773.0)</f>
        <v>773</v>
      </c>
      <c r="B186" s="11">
        <f>IFERROR(__xludf.DUMMYFUNCTION("""COMPUTED_VALUE"""),45991.83339569445)</f>
        <v>45991.8334</v>
      </c>
      <c r="C186" s="3" t="str">
        <f>IFERROR(__xludf.DUMMYFUNCTION("""COMPUTED_VALUE"""),"ชั้นปีที่ 3")</f>
        <v>ชั้นปีที่ 3</v>
      </c>
      <c r="D186" s="3" t="str">
        <f>IFERROR(__xludf.DUMMYFUNCTION("""COMPUTED_VALUE"""),"6603813")</f>
        <v>6603813</v>
      </c>
      <c r="E186" s="3" t="str">
        <f>IFERROR(__xludf.DUMMYFUNCTION("""COMPUTED_VALUE"""),"59")</f>
        <v>59</v>
      </c>
      <c r="F186" s="3" t="str">
        <f>IFERROR(__xludf.DUMMYFUNCTION("""COMPUTED_VALUE"""),"นพอ.อโณชา จันทรา")</f>
        <v>นพอ.อโณชา จันทรา</v>
      </c>
      <c r="G186" s="3" t="str">
        <f>IFERROR(__xludf.DUMMYFUNCTION("""COMPUTED_VALUE"""),"ทำนุบำรุงศาสนสถาน")</f>
        <v>ทำนุบำรุงศาสนสถาน</v>
      </c>
      <c r="H186" s="3" t="str">
        <f>IFERROR(__xludf.DUMMYFUNCTION("""COMPUTED_VALUE"""),"กวาดลานวัด")</f>
        <v>กวาดลานวัด</v>
      </c>
      <c r="I186" s="3" t="str">
        <f>IFERROR(__xludf.DUMMYFUNCTION("""COMPUTED_VALUE"""),"วัดเนรัญชราราม")</f>
        <v>วัดเนรัญชราราม</v>
      </c>
      <c r="J186" s="12">
        <f>IFERROR(__xludf.DUMMYFUNCTION("""COMPUTED_VALUE"""),45920.0)</f>
        <v>45920</v>
      </c>
      <c r="K186" s="3" t="str">
        <f>IFERROR(__xludf.DUMMYFUNCTION("""COMPUTED_VALUE"""),"0800-1000")</f>
        <v>0800-1000</v>
      </c>
      <c r="L186" s="3">
        <f>IFERROR(__xludf.DUMMYFUNCTION("""COMPUTED_VALUE"""),2.0)</f>
        <v>2</v>
      </c>
      <c r="M186" s="3" t="str">
        <f>IFERROR(__xludf.DUMMYFUNCTION("""COMPUTED_VALUE"""),"พระสมบัติ โชติโก")</f>
        <v>พระสมบัติ โชติโก</v>
      </c>
      <c r="N186" s="14" t="str">
        <f>IFERROR(__xludf.DUMMYFUNCTION("""COMPUTED_VALUE"""),"https://lh5.googleusercontent.com/d/1EWZhmCkAUbFj01IdwShvTfqU2Nd6rbw7")</f>
        <v>https://lh5.googleusercontent.com/d/1EWZhmCkAUbFj01IdwShvTfqU2Nd6rbw7</v>
      </c>
      <c r="O186" s="3"/>
    </row>
    <row r="187">
      <c r="A187" s="3">
        <f>IFERROR(__xludf.DUMMYFUNCTION("""COMPUTED_VALUE"""),779.0)</f>
        <v>779</v>
      </c>
      <c r="B187" s="11">
        <f>IFERROR(__xludf.DUMMYFUNCTION("""COMPUTED_VALUE"""),45991.83582537037)</f>
        <v>45991.83583</v>
      </c>
      <c r="C187" s="3" t="str">
        <f>IFERROR(__xludf.DUMMYFUNCTION("""COMPUTED_VALUE"""),"ชั้นปีที่ 3")</f>
        <v>ชั้นปีที่ 3</v>
      </c>
      <c r="D187" s="3" t="str">
        <f>IFERROR(__xludf.DUMMYFUNCTION("""COMPUTED_VALUE"""),"6603774")</f>
        <v>6603774</v>
      </c>
      <c r="E187" s="3" t="str">
        <f>IFERROR(__xludf.DUMMYFUNCTION("""COMPUTED_VALUE"""),"21")</f>
        <v>21</v>
      </c>
      <c r="F187" s="3" t="str">
        <f>IFERROR(__xludf.DUMMYFUNCTION("""COMPUTED_VALUE"""),"นพอ.ธัญลักษณ์ ระลึกเย็น")</f>
        <v>นพอ.ธัญลักษณ์ ระลึกเย็น</v>
      </c>
      <c r="G1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7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87" s="3" t="str">
        <f>IFERROR(__xludf.DUMMYFUNCTION("""COMPUTED_VALUE"""),"โรงเรียนดุริยางค์ทหารอากาศ")</f>
        <v>โรงเรียนดุริยางค์ทหารอากาศ</v>
      </c>
      <c r="J187" s="12">
        <f>IFERROR(__xludf.DUMMYFUNCTION("""COMPUTED_VALUE"""),45825.0)</f>
        <v>45825</v>
      </c>
      <c r="K187" s="3" t="str">
        <f>IFERROR(__xludf.DUMMYFUNCTION("""COMPUTED_VALUE"""),"0800-1600")</f>
        <v>0800-1600</v>
      </c>
      <c r="L187" s="3">
        <f>IFERROR(__xludf.DUMMYFUNCTION("""COMPUTED_VALUE"""),8.0)</f>
        <v>8</v>
      </c>
      <c r="M187" s="3" t="str">
        <f>IFERROR(__xludf.DUMMYFUNCTION("""COMPUTED_VALUE"""),"ร.อ.อนุชิต ทำจะดี")</f>
        <v>ร.อ.อนุชิต ทำจะดี</v>
      </c>
      <c r="N187" s="14" t="str">
        <f>IFERROR(__xludf.DUMMYFUNCTION("""COMPUTED_VALUE"""),"https://lh5.googleusercontent.com/d/1FKC6Z21zSEg1q9s6lBu_SdBqxWI9kIv8")</f>
        <v>https://lh5.googleusercontent.com/d/1FKC6Z21zSEg1q9s6lBu_SdBqxWI9kIv8</v>
      </c>
      <c r="O187" s="14" t="str">
        <f>IFERROR(__xludf.DUMMYFUNCTION("""COMPUTED_VALUE"""),"https://drive.google.com/file/d/18TfAeATuXK0dy6L_u5Y4MM2VOhwikLPr/view?usp=drivesdk")</f>
        <v>https://drive.google.com/file/d/18TfAeATuXK0dy6L_u5Y4MM2VOhwikLPr/view?usp=drivesdk</v>
      </c>
    </row>
    <row r="188">
      <c r="A188" s="3">
        <f>IFERROR(__xludf.DUMMYFUNCTION("""COMPUTED_VALUE"""),783.0)</f>
        <v>783</v>
      </c>
      <c r="B188" s="11">
        <f>IFERROR(__xludf.DUMMYFUNCTION("""COMPUTED_VALUE"""),45991.83840032407)</f>
        <v>45991.8384</v>
      </c>
      <c r="C188" s="3" t="str">
        <f>IFERROR(__xludf.DUMMYFUNCTION("""COMPUTED_VALUE"""),"ชั้นปีที่ 3")</f>
        <v>ชั้นปีที่ 3</v>
      </c>
      <c r="D188" s="3" t="str">
        <f>IFERROR(__xludf.DUMMYFUNCTION("""COMPUTED_VALUE"""),"6603774")</f>
        <v>6603774</v>
      </c>
      <c r="E188" s="3" t="str">
        <f>IFERROR(__xludf.DUMMYFUNCTION("""COMPUTED_VALUE"""),"21")</f>
        <v>21</v>
      </c>
      <c r="F188" s="3" t="str">
        <f>IFERROR(__xludf.DUMMYFUNCTION("""COMPUTED_VALUE"""),"นพอ.ธัญลักษณ์ ระลึกเย็น")</f>
        <v>นพอ.ธัญลักษณ์ ระลึกเย็น</v>
      </c>
      <c r="G18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8" s="3" t="str">
        <f>IFERROR(__xludf.DUMMYFUNCTION("""COMPUTED_VALUE"""),"รับเสด็จ")</f>
        <v>รับเสด็จ</v>
      </c>
      <c r="I188" s="3" t="str">
        <f>IFERROR(__xludf.DUMMYFUNCTION("""COMPUTED_VALUE"""),"มหาวิทยาลัยมหิดล")</f>
        <v>มหาวิทยาลัยมหิดล</v>
      </c>
      <c r="J188" s="12">
        <f>IFERROR(__xludf.DUMMYFUNCTION("""COMPUTED_VALUE"""),45940.0)</f>
        <v>45940</v>
      </c>
      <c r="K188" s="3" t="str">
        <f>IFERROR(__xludf.DUMMYFUNCTION("""COMPUTED_VALUE"""),"0800-1200")</f>
        <v>0800-1200</v>
      </c>
      <c r="L188" s="3">
        <f>IFERROR(__xludf.DUMMYFUNCTION("""COMPUTED_VALUE"""),4.0)</f>
        <v>4</v>
      </c>
      <c r="M188" s="3" t="str">
        <f>IFERROR(__xludf.DUMMYFUNCTION("""COMPUTED_VALUE"""),"น.ท.หญิง สุพัตรา ปิ่นเเก้ว")</f>
        <v>น.ท.หญิง สุพัตรา ปิ่นเเก้ว</v>
      </c>
      <c r="N188" s="14" t="str">
        <f>IFERROR(__xludf.DUMMYFUNCTION("""COMPUTED_VALUE"""),"https://lh5.googleusercontent.com/d/1OPMhcYFGgNWzC-ZpcfhU1fwmruk82gH0")</f>
        <v>https://lh5.googleusercontent.com/d/1OPMhcYFGgNWzC-ZpcfhU1fwmruk82gH0</v>
      </c>
      <c r="O188" s="14" t="str">
        <f>IFERROR(__xludf.DUMMYFUNCTION("""COMPUTED_VALUE"""),"https://drive.google.com/file/d/1ceT9IxxlRXDV-0ePoB5G0Gyw2UZg6Nh7/view?usp=drivesdk")</f>
        <v>https://drive.google.com/file/d/1ceT9IxxlRXDV-0ePoB5G0Gyw2UZg6Nh7/view?usp=drivesdk</v>
      </c>
    </row>
    <row r="189">
      <c r="A189" s="3">
        <f>IFERROR(__xludf.DUMMYFUNCTION("""COMPUTED_VALUE"""),790.0)</f>
        <v>790</v>
      </c>
      <c r="B189" s="11">
        <f>IFERROR(__xludf.DUMMYFUNCTION("""COMPUTED_VALUE"""),45991.84207987269)</f>
        <v>45991.84208</v>
      </c>
      <c r="C189" s="3" t="str">
        <f>IFERROR(__xludf.DUMMYFUNCTION("""COMPUTED_VALUE"""),"ชั้นปีที่ 3")</f>
        <v>ชั้นปีที่ 3</v>
      </c>
      <c r="D189" s="3" t="str">
        <f>IFERROR(__xludf.DUMMYFUNCTION("""COMPUTED_VALUE"""),"6603774")</f>
        <v>6603774</v>
      </c>
      <c r="E189" s="3" t="str">
        <f>IFERROR(__xludf.DUMMYFUNCTION("""COMPUTED_VALUE"""),"21")</f>
        <v>21</v>
      </c>
      <c r="F189" s="3" t="str">
        <f>IFERROR(__xludf.DUMMYFUNCTION("""COMPUTED_VALUE"""),"นพอ.ธัญลักษณ์ ระลึกเย็น")</f>
        <v>นพอ.ธัญลักษณ์ ระลึกเย็น</v>
      </c>
      <c r="G18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9" s="3" t="str">
        <f>IFERROR(__xludf.DUMMYFUNCTION("""COMPUTED_VALUE"""),"โครงการบริการวิชาการเเก่สังคม")</f>
        <v>โครงการบริการวิชาการเเก่สังคม</v>
      </c>
      <c r="I189" s="3" t="str">
        <f>IFERROR(__xludf.DUMMYFUNCTION("""COMPUTED_VALUE"""),"ชุมชนวัดเกาะ")</f>
        <v>ชุมชนวัดเกาะ</v>
      </c>
      <c r="J189" s="12">
        <f>IFERROR(__xludf.DUMMYFUNCTION("""COMPUTED_VALUE"""),45823.0)</f>
        <v>45823</v>
      </c>
      <c r="K189" s="3" t="str">
        <f>IFERROR(__xludf.DUMMYFUNCTION("""COMPUTED_VALUE"""),"0800-1200")</f>
        <v>0800-1200</v>
      </c>
      <c r="L189" s="3">
        <f>IFERROR(__xludf.DUMMYFUNCTION("""COMPUTED_VALUE"""),4.0)</f>
        <v>4</v>
      </c>
      <c r="M189" s="3" t="str">
        <f>IFERROR(__xludf.DUMMYFUNCTION("""COMPUTED_VALUE"""),"น.ต. ตวงทิพย์ ลดาวัลย์")</f>
        <v>น.ต. ตวงทิพย์ ลดาวัลย์</v>
      </c>
      <c r="N189" s="14" t="str">
        <f>IFERROR(__xludf.DUMMYFUNCTION("""COMPUTED_VALUE"""),"https://lh5.googleusercontent.com/d/1FRcCa3k4J1RtN6DWUFfNshIXgsgwZ220")</f>
        <v>https://lh5.googleusercontent.com/d/1FRcCa3k4J1RtN6DWUFfNshIXgsgwZ220</v>
      </c>
      <c r="O189" s="3"/>
    </row>
    <row r="190">
      <c r="A190" s="3">
        <f>IFERROR(__xludf.DUMMYFUNCTION("""COMPUTED_VALUE"""),799.0)</f>
        <v>799</v>
      </c>
      <c r="B190" s="11">
        <f>IFERROR(__xludf.DUMMYFUNCTION("""COMPUTED_VALUE"""),45991.8478569213)</f>
        <v>45991.84786</v>
      </c>
      <c r="C190" s="3" t="str">
        <f>IFERROR(__xludf.DUMMYFUNCTION("""COMPUTED_VALUE"""),"ชั้นปีที่ 3")</f>
        <v>ชั้นปีที่ 3</v>
      </c>
      <c r="D190" s="3" t="str">
        <f>IFERROR(__xludf.DUMMYFUNCTION("""COMPUTED_VALUE"""),"6603801")</f>
        <v>6603801</v>
      </c>
      <c r="E190" s="3" t="str">
        <f>IFERROR(__xludf.DUMMYFUNCTION("""COMPUTED_VALUE"""),"47")</f>
        <v>47</v>
      </c>
      <c r="F190" s="3" t="str">
        <f>IFERROR(__xludf.DUMMYFUNCTION("""COMPUTED_VALUE"""),"นพอ.วาสิตา ไทรทอง")</f>
        <v>นพอ.วาสิตา ไทรทอง</v>
      </c>
      <c r="G190" s="3" t="str">
        <f>IFERROR(__xludf.DUMMYFUNCTION("""COMPUTED_VALUE"""),"ช่วยเหลืองานภายใน วพอ.")</f>
        <v>ช่วยเหลืองานภายใน วพอ.</v>
      </c>
      <c r="H190" s="3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90" s="3" t="str">
        <f>IFERROR(__xludf.DUMMYFUNCTION("""COMPUTED_VALUE"""),"วพอ.พอ.")</f>
        <v>วพอ.พอ.</v>
      </c>
      <c r="J190" s="12">
        <f>IFERROR(__xludf.DUMMYFUNCTION("""COMPUTED_VALUE"""),45950.0)</f>
        <v>45950</v>
      </c>
      <c r="K190" s="3" t="str">
        <f>IFERROR(__xludf.DUMMYFUNCTION("""COMPUTED_VALUE"""),"1800-2200")</f>
        <v>1800-2200</v>
      </c>
      <c r="L190" s="3">
        <f>IFERROR(__xludf.DUMMYFUNCTION("""COMPUTED_VALUE"""),4.0)</f>
        <v>4</v>
      </c>
      <c r="M190" s="3" t="str">
        <f>IFERROR(__xludf.DUMMYFUNCTION("""COMPUTED_VALUE"""),"น.ต.หญิง ประไพศรี ศุภางค์ภร")</f>
        <v>น.ต.หญิง ประไพศรี ศุภางค์ภร</v>
      </c>
      <c r="N190" s="14" t="str">
        <f>IFERROR(__xludf.DUMMYFUNCTION("""COMPUTED_VALUE"""),"https://lh5.googleusercontent.com/d/1eT2gWNDTmqx1NkCsLgSyVhcWlHd4vr3w")</f>
        <v>https://lh5.googleusercontent.com/d/1eT2gWNDTmqx1NkCsLgSyVhcWlHd4vr3w</v>
      </c>
      <c r="O190" s="14" t="str">
        <f>IFERROR(__xludf.DUMMYFUNCTION("""COMPUTED_VALUE"""),"https://drive.google.com/file/d/1_elY1jzXtDS2aWGWrtnHOGMz6_JmDvJD/view?usp=drivesdk")</f>
        <v>https://drive.google.com/file/d/1_elY1jzXtDS2aWGWrtnHOGMz6_JmDvJD/view?usp=drivesdk</v>
      </c>
    </row>
    <row r="191">
      <c r="A191" s="3">
        <f>IFERROR(__xludf.DUMMYFUNCTION("""COMPUTED_VALUE"""),808.0)</f>
        <v>808</v>
      </c>
      <c r="B191" s="11">
        <f>IFERROR(__xludf.DUMMYFUNCTION("""COMPUTED_VALUE"""),45991.85115422454)</f>
        <v>45991.85115</v>
      </c>
      <c r="C191" s="3" t="str">
        <f>IFERROR(__xludf.DUMMYFUNCTION("""COMPUTED_VALUE"""),"ชั้นปีที่ 3")</f>
        <v>ชั้นปีที่ 3</v>
      </c>
      <c r="D191" s="3" t="str">
        <f>IFERROR(__xludf.DUMMYFUNCTION("""COMPUTED_VALUE"""),"6603801")</f>
        <v>6603801</v>
      </c>
      <c r="E191" s="3" t="str">
        <f>IFERROR(__xludf.DUMMYFUNCTION("""COMPUTED_VALUE"""),"47")</f>
        <v>47</v>
      </c>
      <c r="F191" s="3" t="str">
        <f>IFERROR(__xludf.DUMMYFUNCTION("""COMPUTED_VALUE"""),"นพอ.วาสิตา ไทรทอง")</f>
        <v>นพอ.วาสิตา ไทรทอง</v>
      </c>
      <c r="G191" s="3" t="str">
        <f>IFERROR(__xludf.DUMMYFUNCTION("""COMPUTED_VALUE"""),"ช่วยเหลืองานภายใน วพอ.")</f>
        <v>ช่วยเหลืองานภายใน วพอ.</v>
      </c>
      <c r="H191" s="3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91" s="3" t="str">
        <f>IFERROR(__xludf.DUMMYFUNCTION("""COMPUTED_VALUE"""),"วพอ.พอ.")</f>
        <v>วพอ.พอ.</v>
      </c>
      <c r="J191" s="12">
        <f>IFERROR(__xludf.DUMMYFUNCTION("""COMPUTED_VALUE"""),45951.0)</f>
        <v>45951</v>
      </c>
      <c r="K191" s="3" t="str">
        <f>IFERROR(__xludf.DUMMYFUNCTION("""COMPUTED_VALUE"""),"1800-2200")</f>
        <v>1800-2200</v>
      </c>
      <c r="L191" s="3">
        <f>IFERROR(__xludf.DUMMYFUNCTION("""COMPUTED_VALUE"""),4.0)</f>
        <v>4</v>
      </c>
      <c r="M191" s="3" t="str">
        <f>IFERROR(__xludf.DUMMYFUNCTION("""COMPUTED_VALUE"""),"น.ต.หญิง ประไพศรี ศุภางค์ภร")</f>
        <v>น.ต.หญิง ประไพศรี ศุภางค์ภร</v>
      </c>
      <c r="N191" s="14" t="str">
        <f>IFERROR(__xludf.DUMMYFUNCTION("""COMPUTED_VALUE"""),"https://lh5.googleusercontent.com/d/11H4_CjBqeol9lXGeyDmfhdBreB5Ok6wd")</f>
        <v>https://lh5.googleusercontent.com/d/11H4_CjBqeol9lXGeyDmfhdBreB5Ok6wd</v>
      </c>
      <c r="O191" s="14" t="str">
        <f>IFERROR(__xludf.DUMMYFUNCTION("""COMPUTED_VALUE"""),"https://drive.google.com/file/d/1y0JrXh3YZdfMvBsh4fGTDs4Ip618kGGA/view?usp=drivesdk")</f>
        <v>https://drive.google.com/file/d/1y0JrXh3YZdfMvBsh4fGTDs4Ip618kGGA/view?usp=drivesdk</v>
      </c>
    </row>
    <row r="192">
      <c r="A192" s="3">
        <f>IFERROR(__xludf.DUMMYFUNCTION("""COMPUTED_VALUE"""),813.0)</f>
        <v>813</v>
      </c>
      <c r="B192" s="11">
        <f>IFERROR(__xludf.DUMMYFUNCTION("""COMPUTED_VALUE"""),45991.85408525463)</f>
        <v>45991.85409</v>
      </c>
      <c r="C192" s="3" t="str">
        <f>IFERROR(__xludf.DUMMYFUNCTION("""COMPUTED_VALUE"""),"ชั้นปีที่ 3")</f>
        <v>ชั้นปีที่ 3</v>
      </c>
      <c r="D192" s="3" t="str">
        <f>IFERROR(__xludf.DUMMYFUNCTION("""COMPUTED_VALUE"""),"6603801")</f>
        <v>6603801</v>
      </c>
      <c r="E192" s="3" t="str">
        <f>IFERROR(__xludf.DUMMYFUNCTION("""COMPUTED_VALUE"""),"47")</f>
        <v>47</v>
      </c>
      <c r="F192" s="3" t="str">
        <f>IFERROR(__xludf.DUMMYFUNCTION("""COMPUTED_VALUE"""),"นพอ.วาสิตา ไทรทอง")</f>
        <v>นพอ.วาสิตา ไทรทอง</v>
      </c>
      <c r="G192" s="3" t="str">
        <f>IFERROR(__xludf.DUMMYFUNCTION("""COMPUTED_VALUE"""),"ช่วยเหลืองานภายใน วพอ.")</f>
        <v>ช่วยเหลืองานภายใน วพอ.</v>
      </c>
      <c r="H192" s="3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92" s="3" t="str">
        <f>IFERROR(__xludf.DUMMYFUNCTION("""COMPUTED_VALUE"""),"วพอ.พอ.")</f>
        <v>วพอ.พอ.</v>
      </c>
      <c r="J192" s="12">
        <f>IFERROR(__xludf.DUMMYFUNCTION("""COMPUTED_VALUE"""),45952.0)</f>
        <v>45952</v>
      </c>
      <c r="K192" s="3" t="str">
        <f>IFERROR(__xludf.DUMMYFUNCTION("""COMPUTED_VALUE"""),"1800-2200")</f>
        <v>1800-2200</v>
      </c>
      <c r="L192" s="3">
        <f>IFERROR(__xludf.DUMMYFUNCTION("""COMPUTED_VALUE"""),4.0)</f>
        <v>4</v>
      </c>
      <c r="M192" s="3" t="str">
        <f>IFERROR(__xludf.DUMMYFUNCTION("""COMPUTED_VALUE"""),"น.ต.หญิง ประไพศรี ศุภางค์ภร")</f>
        <v>น.ต.หญิง ประไพศรี ศุภางค์ภร</v>
      </c>
      <c r="N192" s="14" t="str">
        <f>IFERROR(__xludf.DUMMYFUNCTION("""COMPUTED_VALUE"""),"https://lh5.googleusercontent.com/d/1jHmsA-38dKxOv6NwWNh2fum1cQ8Rj_gG")</f>
        <v>https://lh5.googleusercontent.com/d/1jHmsA-38dKxOv6NwWNh2fum1cQ8Rj_gG</v>
      </c>
      <c r="O192" s="14" t="str">
        <f>IFERROR(__xludf.DUMMYFUNCTION("""COMPUTED_VALUE"""),"https://drive.google.com/file/d/1vZwRUzCUMZnwnFXrEA3m5845cgm_vTcR/view?usp=drivesdk")</f>
        <v>https://drive.google.com/file/d/1vZwRUzCUMZnwnFXrEA3m5845cgm_vTcR/view?usp=drivesdk</v>
      </c>
    </row>
    <row r="193">
      <c r="A193" s="3">
        <f>IFERROR(__xludf.DUMMYFUNCTION("""COMPUTED_VALUE"""),819.0)</f>
        <v>819</v>
      </c>
      <c r="B193" s="11">
        <f>IFERROR(__xludf.DUMMYFUNCTION("""COMPUTED_VALUE"""),45991.85624303241)</f>
        <v>45991.85624</v>
      </c>
      <c r="C193" s="3" t="str">
        <f>IFERROR(__xludf.DUMMYFUNCTION("""COMPUTED_VALUE"""),"ชั้นปีที่ 3")</f>
        <v>ชั้นปีที่ 3</v>
      </c>
      <c r="D193" s="3" t="str">
        <f>IFERROR(__xludf.DUMMYFUNCTION("""COMPUTED_VALUE"""),"6603801")</f>
        <v>6603801</v>
      </c>
      <c r="E193" s="3" t="str">
        <f>IFERROR(__xludf.DUMMYFUNCTION("""COMPUTED_VALUE"""),"47")</f>
        <v>47</v>
      </c>
      <c r="F193" s="3" t="str">
        <f>IFERROR(__xludf.DUMMYFUNCTION("""COMPUTED_VALUE"""),"นพอ.วาสิตา ไทรทอง")</f>
        <v>นพอ.วาสิตา ไทรทอง</v>
      </c>
      <c r="G193" s="3" t="str">
        <f>IFERROR(__xludf.DUMMYFUNCTION("""COMPUTED_VALUE"""),"ช่วยเหลืองานภายใน วพอ.")</f>
        <v>ช่วยเหลืองานภายใน วพอ.</v>
      </c>
      <c r="H193" s="3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93" s="3" t="str">
        <f>IFERROR(__xludf.DUMMYFUNCTION("""COMPUTED_VALUE"""),"วพอ.พอ.")</f>
        <v>วพอ.พอ.</v>
      </c>
      <c r="J193" s="12">
        <f>IFERROR(__xludf.DUMMYFUNCTION("""COMPUTED_VALUE"""),45953.0)</f>
        <v>45953</v>
      </c>
      <c r="K193" s="3" t="str">
        <f>IFERROR(__xludf.DUMMYFUNCTION("""COMPUTED_VALUE"""),"1800-2200")</f>
        <v>1800-2200</v>
      </c>
      <c r="L193" s="3">
        <f>IFERROR(__xludf.DUMMYFUNCTION("""COMPUTED_VALUE"""),4.0)</f>
        <v>4</v>
      </c>
      <c r="M193" s="3" t="str">
        <f>IFERROR(__xludf.DUMMYFUNCTION("""COMPUTED_VALUE"""),"น.ต.หญิง ประไพศรี ศุภางค์ภร")</f>
        <v>น.ต.หญิง ประไพศรี ศุภางค์ภร</v>
      </c>
      <c r="N193" s="14" t="str">
        <f>IFERROR(__xludf.DUMMYFUNCTION("""COMPUTED_VALUE"""),"https://lh5.googleusercontent.com/d/1zOVekVVPIO8YTHXM7hI4j08jFrLFLL_K")</f>
        <v>https://lh5.googleusercontent.com/d/1zOVekVVPIO8YTHXM7hI4j08jFrLFLL_K</v>
      </c>
      <c r="O193" s="3"/>
    </row>
    <row r="194">
      <c r="A194" s="3">
        <f>IFERROR(__xludf.DUMMYFUNCTION("""COMPUTED_VALUE"""),822.0)</f>
        <v>822</v>
      </c>
      <c r="B194" s="11">
        <f>IFERROR(__xludf.DUMMYFUNCTION("""COMPUTED_VALUE"""),45991.85767802084)</f>
        <v>45991.85768</v>
      </c>
      <c r="C194" s="3" t="str">
        <f>IFERROR(__xludf.DUMMYFUNCTION("""COMPUTED_VALUE"""),"ชั้นปีที่ 3")</f>
        <v>ชั้นปีที่ 3</v>
      </c>
      <c r="D194" s="3" t="str">
        <f>IFERROR(__xludf.DUMMYFUNCTION("""COMPUTED_VALUE"""),"6603801")</f>
        <v>6603801</v>
      </c>
      <c r="E194" s="3" t="str">
        <f>IFERROR(__xludf.DUMMYFUNCTION("""COMPUTED_VALUE"""),"47")</f>
        <v>47</v>
      </c>
      <c r="F194" s="3" t="str">
        <f>IFERROR(__xludf.DUMMYFUNCTION("""COMPUTED_VALUE"""),"นพอ.วาสิตา ไทรทอง")</f>
        <v>นพอ.วาสิตา ไทรทอง</v>
      </c>
      <c r="G194" s="3" t="str">
        <f>IFERROR(__xludf.DUMMYFUNCTION("""COMPUTED_VALUE"""),"ช่วยเหลืองานภายใน วพอ.")</f>
        <v>ช่วยเหลืองานภายใน วพอ.</v>
      </c>
      <c r="H194" s="3" t="str">
        <f>IFERROR(__xludf.DUMMYFUNCTION("""COMPUTED_VALUE"""),"บัดดี้นักเรียนพยาบาลเหล่าทัพเกาหลี")</f>
        <v>บัดดี้นักเรียนพยาบาลเหล่าทัพเกาหลี</v>
      </c>
      <c r="I194" s="3" t="str">
        <f>IFERROR(__xludf.DUMMYFUNCTION("""COMPUTED_VALUE"""),"วพอ.พอ.")</f>
        <v>วพอ.พอ.</v>
      </c>
      <c r="J194" s="12">
        <f>IFERROR(__xludf.DUMMYFUNCTION("""COMPUTED_VALUE"""),45954.0)</f>
        <v>45954</v>
      </c>
      <c r="K194" s="3" t="str">
        <f>IFERROR(__xludf.DUMMYFUNCTION("""COMPUTED_VALUE"""),"1300-1700")</f>
        <v>1300-1700</v>
      </c>
      <c r="L194" s="3">
        <f>IFERROR(__xludf.DUMMYFUNCTION("""COMPUTED_VALUE"""),4.0)</f>
        <v>4</v>
      </c>
      <c r="M194" s="3" t="str">
        <f>IFERROR(__xludf.DUMMYFUNCTION("""COMPUTED_VALUE"""),"น.ต.หญิง ประไพศรี ศุภางค์ภร")</f>
        <v>น.ต.หญิง ประไพศรี ศุภางค์ภร</v>
      </c>
      <c r="N194" s="14" t="str">
        <f>IFERROR(__xludf.DUMMYFUNCTION("""COMPUTED_VALUE"""),"https://lh5.googleusercontent.com/d/1U2ecABmy0Ctewnjgn08-4iBxuscoctc1")</f>
        <v>https://lh5.googleusercontent.com/d/1U2ecABmy0Ctewnjgn08-4iBxuscoctc1</v>
      </c>
      <c r="O194" s="14" t="str">
        <f>IFERROR(__xludf.DUMMYFUNCTION("""COMPUTED_VALUE"""),"https://drive.google.com/file/d/1g87cHJ_LjBuYm7qwylhbXCG5jbb7uXlE/view?usp=drivesdk")</f>
        <v>https://drive.google.com/file/d/1g87cHJ_LjBuYm7qwylhbXCG5jbb7uXlE/view?usp=drivesdk</v>
      </c>
    </row>
    <row r="195">
      <c r="A195" s="3">
        <f>IFERROR(__xludf.DUMMYFUNCTION("""COMPUTED_VALUE"""),828.0)</f>
        <v>828</v>
      </c>
      <c r="B195" s="11">
        <f>IFERROR(__xludf.DUMMYFUNCTION("""COMPUTED_VALUE"""),45991.86118216435)</f>
        <v>45991.86118</v>
      </c>
      <c r="C195" s="3" t="str">
        <f>IFERROR(__xludf.DUMMYFUNCTION("""COMPUTED_VALUE"""),"ชั้นปีที่ 3")</f>
        <v>ชั้นปีที่ 3</v>
      </c>
      <c r="D195" s="3" t="str">
        <f>IFERROR(__xludf.DUMMYFUNCTION("""COMPUTED_VALUE"""),"6603798")</f>
        <v>6603798</v>
      </c>
      <c r="E195" s="3" t="str">
        <f>IFERROR(__xludf.DUMMYFUNCTION("""COMPUTED_VALUE"""),"44")</f>
        <v>44</v>
      </c>
      <c r="F195" s="3" t="str">
        <f>IFERROR(__xludf.DUMMYFUNCTION("""COMPUTED_VALUE"""),"นพอ.วรรณพร ศรีด่านจาก")</f>
        <v>นพอ.วรรณพร ศรีด่านจาก</v>
      </c>
      <c r="G1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5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9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5" s="12">
        <f>IFERROR(__xludf.DUMMYFUNCTION("""COMPUTED_VALUE"""),45840.0)</f>
        <v>45840</v>
      </c>
      <c r="K195" s="3" t="str">
        <f>IFERROR(__xludf.DUMMYFUNCTION("""COMPUTED_VALUE"""),"1400-2200")</f>
        <v>1400-2200</v>
      </c>
      <c r="L195" s="3">
        <f>IFERROR(__xludf.DUMMYFUNCTION("""COMPUTED_VALUE"""),8.0)</f>
        <v>8</v>
      </c>
      <c r="M195" s="3" t="str">
        <f>IFERROR(__xludf.DUMMYFUNCTION("""COMPUTED_VALUE"""),"ร.อ.อนุชิต ทำจะดี")</f>
        <v>ร.อ.อนุชิต ทำจะดี</v>
      </c>
      <c r="N195" s="14" t="str">
        <f>IFERROR(__xludf.DUMMYFUNCTION("""COMPUTED_VALUE"""),"https://lh5.googleusercontent.com/d/1F5I-trgkKB8NByKa17LMCpnjXk7BvuBF")</f>
        <v>https://lh5.googleusercontent.com/d/1F5I-trgkKB8NByKa17LMCpnjXk7BvuBF</v>
      </c>
      <c r="O195" s="14" t="str">
        <f>IFERROR(__xludf.DUMMYFUNCTION("""COMPUTED_VALUE"""),"https://drive.google.com/file/d/1cbWyo4HuBj0ZhCHsf-fYLntmCklZx2GC/view?usp=drivesdk")</f>
        <v>https://drive.google.com/file/d/1cbWyo4HuBj0ZhCHsf-fYLntmCklZx2GC/view?usp=drivesdk</v>
      </c>
    </row>
    <row r="196">
      <c r="A196" s="3">
        <f>IFERROR(__xludf.DUMMYFUNCTION("""COMPUTED_VALUE"""),832.0)</f>
        <v>832</v>
      </c>
      <c r="B196" s="11">
        <f>IFERROR(__xludf.DUMMYFUNCTION("""COMPUTED_VALUE"""),45991.88740760417)</f>
        <v>45991.88741</v>
      </c>
      <c r="C196" s="3" t="str">
        <f>IFERROR(__xludf.DUMMYFUNCTION("""COMPUTED_VALUE"""),"ชั้นปีที่ 3")</f>
        <v>ชั้นปีที่ 3</v>
      </c>
      <c r="D196" s="3" t="str">
        <f>IFERROR(__xludf.DUMMYFUNCTION("""COMPUTED_VALUE"""),"6603795")</f>
        <v>6603795</v>
      </c>
      <c r="E196" s="3" t="str">
        <f>IFERROR(__xludf.DUMMYFUNCTION("""COMPUTED_VALUE"""),"41")</f>
        <v>41</v>
      </c>
      <c r="F196" s="3" t="str">
        <f>IFERROR(__xludf.DUMMYFUNCTION("""COMPUTED_VALUE"""),"นพอ.พิทยาภรณ์ คำลือ")</f>
        <v>นพอ.พิทยาภรณ์ คำลือ</v>
      </c>
      <c r="G19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6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196" s="3" t="str">
        <f>IFERROR(__xludf.DUMMYFUNCTION("""COMPUTED_VALUE"""),"หอประชุมใหญ่ ศูนย์วัฒนธรรมแห่งประเทศไทย")</f>
        <v>หอประชุมใหญ่ ศูนย์วัฒนธรรมแห่งประเทศไทย</v>
      </c>
      <c r="J196" s="12">
        <f>IFERROR(__xludf.DUMMYFUNCTION("""COMPUTED_VALUE"""),45839.0)</f>
        <v>45839</v>
      </c>
      <c r="K196" s="3" t="str">
        <f>IFERROR(__xludf.DUMMYFUNCTION("""COMPUTED_VALUE"""),"1400-2200")</f>
        <v>1400-2200</v>
      </c>
      <c r="L196" s="3">
        <f>IFERROR(__xludf.DUMMYFUNCTION("""COMPUTED_VALUE"""),8.0)</f>
        <v>8</v>
      </c>
      <c r="M196" s="3" t="str">
        <f>IFERROR(__xludf.DUMMYFUNCTION("""COMPUTED_VALUE"""),"ร.อ.อนุชิต ทำจะดี")</f>
        <v>ร.อ.อนุชิต ทำจะดี</v>
      </c>
      <c r="N196" s="14" t="str">
        <f>IFERROR(__xludf.DUMMYFUNCTION("""COMPUTED_VALUE"""),"https://lh5.googleusercontent.com/d/1V8lUHqZ0fhAsDjBaPTZCvw_6IRvgc5Ns")</f>
        <v>https://lh5.googleusercontent.com/d/1V8lUHqZ0fhAsDjBaPTZCvw_6IRvgc5Ns</v>
      </c>
      <c r="O196" s="14" t="str">
        <f>IFERROR(__xludf.DUMMYFUNCTION("""COMPUTED_VALUE"""),"https://drive.google.com/file/d/1lMGwauSfmA7vcakay0f6-m2Zt3L_rDix/view?usp=drivesdk")</f>
        <v>https://drive.google.com/file/d/1lMGwauSfmA7vcakay0f6-m2Zt3L_rDix/view?usp=drivesdk</v>
      </c>
    </row>
    <row r="197">
      <c r="A197" s="3">
        <f>IFERROR(__xludf.DUMMYFUNCTION("""COMPUTED_VALUE"""),833.0)</f>
        <v>833</v>
      </c>
      <c r="B197" s="11">
        <f>IFERROR(__xludf.DUMMYFUNCTION("""COMPUTED_VALUE"""),45991.891483946754)</f>
        <v>45991.89148</v>
      </c>
      <c r="C197" s="3" t="str">
        <f>IFERROR(__xludf.DUMMYFUNCTION("""COMPUTED_VALUE"""),"ชั้นปีที่ 3")</f>
        <v>ชั้นปีที่ 3</v>
      </c>
      <c r="D197" s="3" t="str">
        <f>IFERROR(__xludf.DUMMYFUNCTION("""COMPUTED_VALUE"""),"6603795")</f>
        <v>6603795</v>
      </c>
      <c r="E197" s="3" t="str">
        <f>IFERROR(__xludf.DUMMYFUNCTION("""COMPUTED_VALUE"""),"41")</f>
        <v>41</v>
      </c>
      <c r="F197" s="3" t="str">
        <f>IFERROR(__xludf.DUMMYFUNCTION("""COMPUTED_VALUE"""),"นพอ.พิทยาภรณ์ คำลือ")</f>
        <v>นพอ.พิทยาภรณ์ คำลือ</v>
      </c>
      <c r="G19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7" s="3" t="str">
        <f>IFERROR(__xludf.DUMMYFUNCTION("""COMPUTED_VALUE"""),"คอนเสิร์ตทัพฟ้าคู่ไทยเพื่อชัยพัฒนา")</f>
        <v>คอนเสิร์ตทัพฟ้าคู่ไทยเพื่อชัยพัฒนา</v>
      </c>
      <c r="I197" s="3" t="str">
        <f>IFERROR(__xludf.DUMMYFUNCTION("""COMPUTED_VALUE"""),"หอประชุมใหญ่ ศูนย์วัฒนธรรมแห่งชาติ")</f>
        <v>หอประชุมใหญ่ ศูนย์วัฒนธรรมแห่งชาติ</v>
      </c>
      <c r="J197" s="12">
        <f>IFERROR(__xludf.DUMMYFUNCTION("""COMPUTED_VALUE"""),45840.0)</f>
        <v>45840</v>
      </c>
      <c r="K197" s="3" t="str">
        <f>IFERROR(__xludf.DUMMYFUNCTION("""COMPUTED_VALUE"""),"1400-2200")</f>
        <v>1400-2200</v>
      </c>
      <c r="L197" s="3">
        <f>IFERROR(__xludf.DUMMYFUNCTION("""COMPUTED_VALUE"""),8.0)</f>
        <v>8</v>
      </c>
      <c r="M197" s="3" t="str">
        <f>IFERROR(__xludf.DUMMYFUNCTION("""COMPUTED_VALUE"""),"ร.อ.อนุชิต ทำจะดี")</f>
        <v>ร.อ.อนุชิต ทำจะดี</v>
      </c>
      <c r="N197" s="14" t="str">
        <f>IFERROR(__xludf.DUMMYFUNCTION("""COMPUTED_VALUE"""),"https://lh5.googleusercontent.com/d/1hGiMsPiZ_YacFI0us6F8LdlQ1CIOvUPq")</f>
        <v>https://lh5.googleusercontent.com/d/1hGiMsPiZ_YacFI0us6F8LdlQ1CIOvUPq</v>
      </c>
      <c r="O197" s="14" t="str">
        <f>IFERROR(__xludf.DUMMYFUNCTION("""COMPUTED_VALUE"""),"https://drive.google.com/file/d/1LUO-UGbtcwyPdZPibfDggKwJNYjH13a3/view?usp=drivesdk")</f>
        <v>https://drive.google.com/file/d/1LUO-UGbtcwyPdZPibfDggKwJNYjH13a3/view?usp=drivesdk</v>
      </c>
    </row>
    <row r="198">
      <c r="A198" s="3">
        <f>IFERROR(__xludf.DUMMYFUNCTION("""COMPUTED_VALUE"""),834.0)</f>
        <v>834</v>
      </c>
      <c r="B198" s="11">
        <f>IFERROR(__xludf.DUMMYFUNCTION("""COMPUTED_VALUE"""),45991.893743217595)</f>
        <v>45991.89374</v>
      </c>
      <c r="C198" s="3" t="str">
        <f>IFERROR(__xludf.DUMMYFUNCTION("""COMPUTED_VALUE"""),"ชั้นปีที่ 3")</f>
        <v>ชั้นปีที่ 3</v>
      </c>
      <c r="D198" s="3" t="str">
        <f>IFERROR(__xludf.DUMMYFUNCTION("""COMPUTED_VALUE"""),"6603795")</f>
        <v>6603795</v>
      </c>
      <c r="E198" s="3" t="str">
        <f>IFERROR(__xludf.DUMMYFUNCTION("""COMPUTED_VALUE"""),"41")</f>
        <v>41</v>
      </c>
      <c r="F198" s="3" t="str">
        <f>IFERROR(__xludf.DUMMYFUNCTION("""COMPUTED_VALUE"""),"นพอ.พิทยาภรณ์ คำลือ")</f>
        <v>นพอ.พิทยาภรณ์ คำลือ</v>
      </c>
      <c r="G19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8" s="3" t="str">
        <f>IFERROR(__xludf.DUMMYFUNCTION("""COMPUTED_VALUE"""),"ซ้อมดนตรีไทย งานไหว้ครูดนตรีไทย 10 สถาบัน")</f>
        <v>ซ้อมดนตรีไทย งานไหว้ครูดนตรีไทย 10 สถาบัน</v>
      </c>
      <c r="I198" s="3" t="str">
        <f>IFERROR(__xludf.DUMMYFUNCTION("""COMPUTED_VALUE"""),"วพอ.พอ.")</f>
        <v>วพอ.พอ.</v>
      </c>
      <c r="J198" s="12">
        <f>IFERROR(__xludf.DUMMYFUNCTION("""COMPUTED_VALUE"""),45793.0)</f>
        <v>45793</v>
      </c>
      <c r="K198" s="3" t="str">
        <f>IFERROR(__xludf.DUMMYFUNCTION("""COMPUTED_VALUE"""),"0900-1100")</f>
        <v>0900-1100</v>
      </c>
      <c r="L198" s="3">
        <f>IFERROR(__xludf.DUMMYFUNCTION("""COMPUTED_VALUE"""),2.0)</f>
        <v>2</v>
      </c>
      <c r="M198" s="3" t="str">
        <f>IFERROR(__xludf.DUMMYFUNCTION("""COMPUTED_VALUE"""),"น.ต.หญิง สมพงษ์ แก้วพรรณา")</f>
        <v>น.ต.หญิง สมพงษ์ แก้วพรรณา</v>
      </c>
      <c r="N198" s="14" t="str">
        <f>IFERROR(__xludf.DUMMYFUNCTION("""COMPUTED_VALUE"""),"https://lh5.googleusercontent.com/d/1j1Qc76wviLOF6xAuxOp4Ox8vrVxe8DU-")</f>
        <v>https://lh5.googleusercontent.com/d/1j1Qc76wviLOF6xAuxOp4Ox8vrVxe8DU-</v>
      </c>
      <c r="O198" s="14" t="str">
        <f>IFERROR(__xludf.DUMMYFUNCTION("""COMPUTED_VALUE"""),"https://drive.google.com/file/d/1GBjXCybHwYxREoe0pyUbpmaD43V98yWS/view?usp=drivesdk")</f>
        <v>https://drive.google.com/file/d/1GBjXCybHwYxREoe0pyUbpmaD43V98yWS/view?usp=drivesdk</v>
      </c>
    </row>
    <row r="199">
      <c r="A199" s="3">
        <f>IFERROR(__xludf.DUMMYFUNCTION("""COMPUTED_VALUE"""),838.0)</f>
        <v>838</v>
      </c>
      <c r="B199" s="11">
        <f>IFERROR(__xludf.DUMMYFUNCTION("""COMPUTED_VALUE"""),45991.897102523144)</f>
        <v>45991.8971</v>
      </c>
      <c r="C199" s="3" t="str">
        <f>IFERROR(__xludf.DUMMYFUNCTION("""COMPUTED_VALUE"""),"ชั้นปีที่ 3")</f>
        <v>ชั้นปีที่ 3</v>
      </c>
      <c r="D199" s="3" t="str">
        <f>IFERROR(__xludf.DUMMYFUNCTION("""COMPUTED_VALUE"""),"6603795")</f>
        <v>6603795</v>
      </c>
      <c r="E199" s="3" t="str">
        <f>IFERROR(__xludf.DUMMYFUNCTION("""COMPUTED_VALUE"""),"41")</f>
        <v>41</v>
      </c>
      <c r="F199" s="3" t="str">
        <f>IFERROR(__xludf.DUMMYFUNCTION("""COMPUTED_VALUE"""),"นพอ.พิทยาภรณ์ คำลือ")</f>
        <v>นพอ.พิทยาภรณ์ คำลือ</v>
      </c>
      <c r="G1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9" s="3" t="str">
        <f>IFERROR(__xludf.DUMMYFUNCTION("""COMPUTED_VALUE"""),"ซ้อมดนตรีไทย งานไหว้ครูดนตรีไทย 10 สถาบัน")</f>
        <v>ซ้อมดนตรีไทย งานไหว้ครูดนตรีไทย 10 สถาบัน</v>
      </c>
      <c r="I199" s="3" t="str">
        <f>IFERROR(__xludf.DUMMYFUNCTION("""COMPUTED_VALUE"""),"วพอ.พอ.")</f>
        <v>วพอ.พอ.</v>
      </c>
      <c r="J199" s="12">
        <f>IFERROR(__xludf.DUMMYFUNCTION("""COMPUTED_VALUE"""),45800.0)</f>
        <v>45800</v>
      </c>
      <c r="K199" s="3" t="str">
        <f>IFERROR(__xludf.DUMMYFUNCTION("""COMPUTED_VALUE"""),"1800-2000")</f>
        <v>1800-2000</v>
      </c>
      <c r="L199" s="3">
        <f>IFERROR(__xludf.DUMMYFUNCTION("""COMPUTED_VALUE"""),2.0)</f>
        <v>2</v>
      </c>
      <c r="M199" s="3" t="str">
        <f>IFERROR(__xludf.DUMMYFUNCTION("""COMPUTED_VALUE"""),"น.ต.หญิง สมพงษ์ แก้วพรรณา")</f>
        <v>น.ต.หญิง สมพงษ์ แก้วพรรณา</v>
      </c>
      <c r="N199" s="14" t="str">
        <f>IFERROR(__xludf.DUMMYFUNCTION("""COMPUTED_VALUE"""),"https://lh5.googleusercontent.com/d/13YnaMO_Brf4NLOAFSs3phAmxETXGgkKe")</f>
        <v>https://lh5.googleusercontent.com/d/13YnaMO_Brf4NLOAFSs3phAmxETXGgkKe</v>
      </c>
      <c r="O199" s="14" t="str">
        <f>IFERROR(__xludf.DUMMYFUNCTION("""COMPUTED_VALUE"""),"https://drive.google.com/file/d/1m_gXPFpgyqasSxm4tAuBsnzWb5TL1tXx/view?usp=drivesdk")</f>
        <v>https://drive.google.com/file/d/1m_gXPFpgyqasSxm4tAuBsnzWb5TL1tXx/view?usp=drivesdk</v>
      </c>
    </row>
    <row r="200">
      <c r="A200" s="3">
        <f>IFERROR(__xludf.DUMMYFUNCTION("""COMPUTED_VALUE"""),850.0)</f>
        <v>850</v>
      </c>
      <c r="B200" s="11">
        <f>IFERROR(__xludf.DUMMYFUNCTION("""COMPUTED_VALUE"""),45991.90342548611)</f>
        <v>45991.90343</v>
      </c>
      <c r="C200" s="3" t="str">
        <f>IFERROR(__xludf.DUMMYFUNCTION("""COMPUTED_VALUE"""),"ชั้นปีที่ 3")</f>
        <v>ชั้นปีที่ 3</v>
      </c>
      <c r="D200" s="3" t="str">
        <f>IFERROR(__xludf.DUMMYFUNCTION("""COMPUTED_VALUE"""),"6603795")</f>
        <v>6603795</v>
      </c>
      <c r="E200" s="3" t="str">
        <f>IFERROR(__xludf.DUMMYFUNCTION("""COMPUTED_VALUE"""),"41")</f>
        <v>41</v>
      </c>
      <c r="F200" s="3" t="str">
        <f>IFERROR(__xludf.DUMMYFUNCTION("""COMPUTED_VALUE"""),"นพอ.พิทยาภรณ์ คำลือ")</f>
        <v>นพอ.พิทยาภรณ์ คำลือ</v>
      </c>
      <c r="G20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0" s="3" t="str">
        <f>IFERROR(__xludf.DUMMYFUNCTION("""COMPUTED_VALUE"""),"ซ้อมดนตรีไทย งานไหว้ครูดนตรีไทย 10 สถาบัน")</f>
        <v>ซ้อมดนตรีไทย งานไหว้ครูดนตรีไทย 10 สถาบัน</v>
      </c>
      <c r="I200" s="3" t="str">
        <f>IFERROR(__xludf.DUMMYFUNCTION("""COMPUTED_VALUE"""),"วพอ.พอ.")</f>
        <v>วพอ.พอ.</v>
      </c>
      <c r="J200" s="12">
        <f>IFERROR(__xludf.DUMMYFUNCTION("""COMPUTED_VALUE"""),45807.0)</f>
        <v>45807</v>
      </c>
      <c r="K200" s="3" t="str">
        <f>IFERROR(__xludf.DUMMYFUNCTION("""COMPUTED_VALUE"""),"1800-2000")</f>
        <v>1800-2000</v>
      </c>
      <c r="L200" s="3">
        <f>IFERROR(__xludf.DUMMYFUNCTION("""COMPUTED_VALUE"""),2.0)</f>
        <v>2</v>
      </c>
      <c r="M200" s="3" t="str">
        <f>IFERROR(__xludf.DUMMYFUNCTION("""COMPUTED_VALUE"""),"น.ต.หญิง สมพงษ์ แก้วพรรณา")</f>
        <v>น.ต.หญิง สมพงษ์ แก้วพรรณา</v>
      </c>
      <c r="N200" s="14" t="str">
        <f>IFERROR(__xludf.DUMMYFUNCTION("""COMPUTED_VALUE"""),"https://lh5.googleusercontent.com/d/1aXRrx-u6OQ9DzVeTnulBRotqz_N5dK8w")</f>
        <v>https://lh5.googleusercontent.com/d/1aXRrx-u6OQ9DzVeTnulBRotqz_N5dK8w</v>
      </c>
      <c r="O200" s="14" t="str">
        <f>IFERROR(__xludf.DUMMYFUNCTION("""COMPUTED_VALUE"""),"https://drive.google.com/file/d/1GIzmN-CTdQa2pniICpVAM4hp1bG5Eq4O/view?usp=drivesdk")</f>
        <v>https://drive.google.com/file/d/1GIzmN-CTdQa2pniICpVAM4hp1bG5Eq4O/view?usp=drivesdk</v>
      </c>
    </row>
    <row r="201">
      <c r="A201" s="3">
        <f>IFERROR(__xludf.DUMMYFUNCTION("""COMPUTED_VALUE"""),857.0)</f>
        <v>857</v>
      </c>
      <c r="B201" s="11">
        <f>IFERROR(__xludf.DUMMYFUNCTION("""COMPUTED_VALUE"""),45991.90720731482)</f>
        <v>45991.90721</v>
      </c>
      <c r="C201" s="3" t="str">
        <f>IFERROR(__xludf.DUMMYFUNCTION("""COMPUTED_VALUE"""),"ชั้นปีที่ 3")</f>
        <v>ชั้นปีที่ 3</v>
      </c>
      <c r="D201" s="3" t="str">
        <f>IFERROR(__xludf.DUMMYFUNCTION("""COMPUTED_VALUE"""),"6603795")</f>
        <v>6603795</v>
      </c>
      <c r="E201" s="3" t="str">
        <f>IFERROR(__xludf.DUMMYFUNCTION("""COMPUTED_VALUE"""),"41")</f>
        <v>41</v>
      </c>
      <c r="F201" s="3" t="str">
        <f>IFERROR(__xludf.DUMMYFUNCTION("""COMPUTED_VALUE"""),"นพอ.พิทยาภรณ์ คำลือ")</f>
        <v>นพอ.พิทยาภรณ์ คำลือ</v>
      </c>
      <c r="G201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01" s="3" t="str">
        <f>IFERROR(__xludf.DUMMYFUNCTION("""COMPUTED_VALUE"""),"ลงนามถวายพระพรสมเด็จพระบรมราชินีพันปีหลวง")</f>
        <v>ลงนามถวายพระพรสมเด็จพระบรมราชินีพันปีหลวง</v>
      </c>
      <c r="I201" s="3" t="str">
        <f>IFERROR(__xludf.DUMMYFUNCTION("""COMPUTED_VALUE"""),"-")</f>
        <v>-</v>
      </c>
      <c r="J201" s="12">
        <f>IFERROR(__xludf.DUMMYFUNCTION("""COMPUTED_VALUE"""),45879.0)</f>
        <v>45879</v>
      </c>
      <c r="K201" s="3" t="str">
        <f>IFERROR(__xludf.DUMMYFUNCTION("""COMPUTED_VALUE"""),"0800-0900")</f>
        <v>0800-0900</v>
      </c>
      <c r="L201" s="3">
        <f>IFERROR(__xludf.DUMMYFUNCTION("""COMPUTED_VALUE"""),1.0)</f>
        <v>1</v>
      </c>
      <c r="M201" s="3" t="str">
        <f>IFERROR(__xludf.DUMMYFUNCTION("""COMPUTED_VALUE"""),"ร.อ.อนุชิต ทำจะดี")</f>
        <v>ร.อ.อนุชิต ทำจะดี</v>
      </c>
      <c r="N201" s="14" t="str">
        <f>IFERROR(__xludf.DUMMYFUNCTION("""COMPUTED_VALUE"""),"https://lh5.googleusercontent.com/d/1mnPsxY_yhG9EoX_A-_aZIhS-SNQM7qLO")</f>
        <v>https://lh5.googleusercontent.com/d/1mnPsxY_yhG9EoX_A-_aZIhS-SNQM7qLO</v>
      </c>
      <c r="O201" s="14" t="str">
        <f>IFERROR(__xludf.DUMMYFUNCTION("""COMPUTED_VALUE"""),"https://drive.google.com/file/d/1B4XEAZ6HhooIXi2uvyn8D8BFw0vW9hwN/view?usp=drivesdk")</f>
        <v>https://drive.google.com/file/d/1B4XEAZ6HhooIXi2uvyn8D8BFw0vW9hwN/view?usp=drivesdk</v>
      </c>
    </row>
    <row r="202">
      <c r="A202" s="3">
        <f>IFERROR(__xludf.DUMMYFUNCTION("""COMPUTED_VALUE"""),858.0)</f>
        <v>858</v>
      </c>
      <c r="B202" s="11">
        <f>IFERROR(__xludf.DUMMYFUNCTION("""COMPUTED_VALUE"""),45991.90934627315)</f>
        <v>45991.90935</v>
      </c>
      <c r="C202" s="3" t="str">
        <f>IFERROR(__xludf.DUMMYFUNCTION("""COMPUTED_VALUE"""),"ชั้นปีที่ 3")</f>
        <v>ชั้นปีที่ 3</v>
      </c>
      <c r="D202" s="3" t="str">
        <f>IFERROR(__xludf.DUMMYFUNCTION("""COMPUTED_VALUE"""),"6603814")</f>
        <v>6603814</v>
      </c>
      <c r="E202" s="3" t="str">
        <f>IFERROR(__xludf.DUMMYFUNCTION("""COMPUTED_VALUE"""),"60")</f>
        <v>60</v>
      </c>
      <c r="F202" s="3" t="str">
        <f>IFERROR(__xludf.DUMMYFUNCTION("""COMPUTED_VALUE"""),"นพอ.อนัญญา สิงทิศ")</f>
        <v>นพอ.อนัญญา สิงทิศ</v>
      </c>
      <c r="G20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2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0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02" s="12">
        <f>IFERROR(__xludf.DUMMYFUNCTION("""COMPUTED_VALUE"""),45839.0)</f>
        <v>45839</v>
      </c>
      <c r="K202" s="3" t="str">
        <f>IFERROR(__xludf.DUMMYFUNCTION("""COMPUTED_VALUE"""),"1400-2200")</f>
        <v>1400-2200</v>
      </c>
      <c r="L202" s="3">
        <f>IFERROR(__xludf.DUMMYFUNCTION("""COMPUTED_VALUE"""),8.0)</f>
        <v>8</v>
      </c>
      <c r="M202" s="3" t="str">
        <f>IFERROR(__xludf.DUMMYFUNCTION("""COMPUTED_VALUE"""),"ร.อ.อนุชิต ทำจะดี")</f>
        <v>ร.อ.อนุชิต ทำจะดี</v>
      </c>
      <c r="N202" s="14" t="str">
        <f>IFERROR(__xludf.DUMMYFUNCTION("""COMPUTED_VALUE"""),"https://lh5.googleusercontent.com/d/1UMqS3e1fCpq-71825BTsxvpRN1JaXHy7")</f>
        <v>https://lh5.googleusercontent.com/d/1UMqS3e1fCpq-71825BTsxvpRN1JaXHy7</v>
      </c>
      <c r="O202" s="14" t="str">
        <f>IFERROR(__xludf.DUMMYFUNCTION("""COMPUTED_VALUE"""),"https://drive.google.com/file/d/1xNu5FJ1wirRC-tDpIoHkjQDf7eWYnHNj/view?usp=drivesdk")</f>
        <v>https://drive.google.com/file/d/1xNu5FJ1wirRC-tDpIoHkjQDf7eWYnHNj/view?usp=drivesdk</v>
      </c>
    </row>
    <row r="203">
      <c r="A203" s="3">
        <f>IFERROR(__xludf.DUMMYFUNCTION("""COMPUTED_VALUE"""),860.0)</f>
        <v>860</v>
      </c>
      <c r="B203" s="11">
        <f>IFERROR(__xludf.DUMMYFUNCTION("""COMPUTED_VALUE"""),45991.91107277778)</f>
        <v>45991.91107</v>
      </c>
      <c r="C203" s="3" t="str">
        <f>IFERROR(__xludf.DUMMYFUNCTION("""COMPUTED_VALUE"""),"ชั้นปีที่ 3")</f>
        <v>ชั้นปีที่ 3</v>
      </c>
      <c r="D203" s="3" t="str">
        <f>IFERROR(__xludf.DUMMYFUNCTION("""COMPUTED_VALUE"""),"6603795")</f>
        <v>6603795</v>
      </c>
      <c r="E203" s="3" t="str">
        <f>IFERROR(__xludf.DUMMYFUNCTION("""COMPUTED_VALUE"""),"41")</f>
        <v>41</v>
      </c>
      <c r="F203" s="3" t="str">
        <f>IFERROR(__xludf.DUMMYFUNCTION("""COMPUTED_VALUE"""),"นพอ.พิทยาภรณ์ คำลือ")</f>
        <v>นพอ.พิทยาภรณ์ คำลือ</v>
      </c>
      <c r="G203" s="3" t="str">
        <f>IFERROR(__xludf.DUMMYFUNCTION("""COMPUTED_VALUE"""),"ทำนุบำรุงศาสนสถาน")</f>
        <v>ทำนุบำรุงศาสนสถาน</v>
      </c>
      <c r="H203" s="3" t="str">
        <f>IFERROR(__xludf.DUMMYFUNCTION("""COMPUTED_VALUE"""),"กวาดลานวัด")</f>
        <v>กวาดลานวัด</v>
      </c>
      <c r="I203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203" s="12">
        <f>IFERROR(__xludf.DUMMYFUNCTION("""COMPUTED_VALUE"""),45984.0)</f>
        <v>45984</v>
      </c>
      <c r="K203" s="3" t="str">
        <f>IFERROR(__xludf.DUMMYFUNCTION("""COMPUTED_VALUE"""),"0800-1000")</f>
        <v>0800-1000</v>
      </c>
      <c r="L203" s="3">
        <f>IFERROR(__xludf.DUMMYFUNCTION("""COMPUTED_VALUE"""),2.0)</f>
        <v>2</v>
      </c>
      <c r="M203" s="3" t="str">
        <f>IFERROR(__xludf.DUMMYFUNCTION("""COMPUTED_VALUE"""),"พระประจำวัดพระศรีมหาธาตุ")</f>
        <v>พระประจำวัดพระศรีมหาธาตุ</v>
      </c>
      <c r="N203" s="14" t="str">
        <f>IFERROR(__xludf.DUMMYFUNCTION("""COMPUTED_VALUE"""),"https://lh5.googleusercontent.com/d/1DGvIV7JI6aFkVSthhtGJkUUqIRsIZcDq")</f>
        <v>https://lh5.googleusercontent.com/d/1DGvIV7JI6aFkVSthhtGJkUUqIRsIZcDq</v>
      </c>
      <c r="O203" s="14" t="str">
        <f>IFERROR(__xludf.DUMMYFUNCTION("""COMPUTED_VALUE"""),"https://drive.google.com/file/d/1gICk6-JzgcDUEqbq-V-AE8yUOJUXlOnt/view?usp=drivesdk")</f>
        <v>https://drive.google.com/file/d/1gICk6-JzgcDUEqbq-V-AE8yUOJUXlOnt/view?usp=drivesdk</v>
      </c>
    </row>
    <row r="204">
      <c r="A204" s="3">
        <f>IFERROR(__xludf.DUMMYFUNCTION("""COMPUTED_VALUE"""),863.0)</f>
        <v>863</v>
      </c>
      <c r="B204" s="11">
        <f>IFERROR(__xludf.DUMMYFUNCTION("""COMPUTED_VALUE"""),45991.914073217595)</f>
        <v>45991.91407</v>
      </c>
      <c r="C204" s="3" t="str">
        <f>IFERROR(__xludf.DUMMYFUNCTION("""COMPUTED_VALUE"""),"ชั้นปีที่ 3")</f>
        <v>ชั้นปีที่ 3</v>
      </c>
      <c r="D204" s="3" t="str">
        <f>IFERROR(__xludf.DUMMYFUNCTION("""COMPUTED_VALUE"""),"6603784")</f>
        <v>6603784</v>
      </c>
      <c r="E204" s="3" t="str">
        <f>IFERROR(__xludf.DUMMYFUNCTION("""COMPUTED_VALUE"""),"30")</f>
        <v>30</v>
      </c>
      <c r="F204" s="3" t="str">
        <f>IFERROR(__xludf.DUMMYFUNCTION("""COMPUTED_VALUE"""),"นพอ.เบญจมาภรณ์ เกตุมณี")</f>
        <v>นพอ.เบญจมาภรณ์ เกตุมณี</v>
      </c>
      <c r="G204" s="3" t="str">
        <f>IFERROR(__xludf.DUMMYFUNCTION("""COMPUTED_VALUE"""),"ช่วยเหลืองานภายใน วพอ.")</f>
        <v>ช่วยเหลืองานภายใน วพอ.</v>
      </c>
      <c r="H204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04" s="3" t="str">
        <f>IFERROR(__xludf.DUMMYFUNCTION("""COMPUTED_VALUE"""),"วัดเกาะ")</f>
        <v>วัดเกาะ</v>
      </c>
      <c r="J204" s="12">
        <f>IFERROR(__xludf.DUMMYFUNCTION("""COMPUTED_VALUE"""),45823.0)</f>
        <v>45823</v>
      </c>
      <c r="K204" s="3" t="str">
        <f>IFERROR(__xludf.DUMMYFUNCTION("""COMPUTED_VALUE"""),"0800-1200")</f>
        <v>0800-1200</v>
      </c>
      <c r="L204" s="3">
        <f>IFERROR(__xludf.DUMMYFUNCTION("""COMPUTED_VALUE"""),4.0)</f>
        <v>4</v>
      </c>
      <c r="M204" s="3" t="str">
        <f>IFERROR(__xludf.DUMMYFUNCTION("""COMPUTED_VALUE"""),"น.ต.หญิงตวงทิพย์ ลดาวัลย์")</f>
        <v>น.ต.หญิงตวงทิพย์ ลดาวัลย์</v>
      </c>
      <c r="N204" s="14" t="str">
        <f>IFERROR(__xludf.DUMMYFUNCTION("""COMPUTED_VALUE"""),"https://lh5.googleusercontent.com/d/1pz0AvfocOcjntSMXaQASSPgdI0Fkvm6D")</f>
        <v>https://lh5.googleusercontent.com/d/1pz0AvfocOcjntSMXaQASSPgdI0Fkvm6D</v>
      </c>
      <c r="O204" s="14" t="str">
        <f>IFERROR(__xludf.DUMMYFUNCTION("""COMPUTED_VALUE"""),"https://drive.google.com/file/d/1JIEQt2HyJgApXbymX5h-wPrSkhdCeZe4/view?usp=drivesdk")</f>
        <v>https://drive.google.com/file/d/1JIEQt2HyJgApXbymX5h-wPrSkhdCeZe4/view?usp=drivesdk</v>
      </c>
    </row>
    <row r="205">
      <c r="A205" s="3">
        <f>IFERROR(__xludf.DUMMYFUNCTION("""COMPUTED_VALUE"""),866.0)</f>
        <v>866</v>
      </c>
      <c r="B205" s="11">
        <f>IFERROR(__xludf.DUMMYFUNCTION("""COMPUTED_VALUE"""),45991.916593229165)</f>
        <v>45991.91659</v>
      </c>
      <c r="C205" s="3" t="str">
        <f>IFERROR(__xludf.DUMMYFUNCTION("""COMPUTED_VALUE"""),"ชั้นปีที่ 3")</f>
        <v>ชั้นปีที่ 3</v>
      </c>
      <c r="D205" s="3" t="str">
        <f>IFERROR(__xludf.DUMMYFUNCTION("""COMPUTED_VALUE"""),"6603784")</f>
        <v>6603784</v>
      </c>
      <c r="E205" s="3" t="str">
        <f>IFERROR(__xludf.DUMMYFUNCTION("""COMPUTED_VALUE"""),"30")</f>
        <v>30</v>
      </c>
      <c r="F205" s="3" t="str">
        <f>IFERROR(__xludf.DUMMYFUNCTION("""COMPUTED_VALUE"""),"นพอ.เบญจมาภรณ์ เกตุมณี")</f>
        <v>นพอ.เบญจมาภรณ์ เกตุมณี</v>
      </c>
      <c r="G20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5" s="3" t="str">
        <f>IFERROR(__xludf.DUMMYFUNCTION("""COMPUTED_VALUE"""),"โครงการมิตรประชา")</f>
        <v>โครงการมิตรประชา</v>
      </c>
      <c r="I205" s="3" t="str">
        <f>IFERROR(__xludf.DUMMYFUNCTION("""COMPUTED_VALUE"""),"โรงเรียนมัธยมเทศบาลวัดท่าแพ จ.นครศรีธรรมราช")</f>
        <v>โรงเรียนมัธยมเทศบาลวัดท่าแพ จ.นครศรีธรรมราช</v>
      </c>
      <c r="J205" s="12">
        <f>IFERROR(__xludf.DUMMYFUNCTION("""COMPUTED_VALUE"""),45843.0)</f>
        <v>45843</v>
      </c>
      <c r="K205" s="3" t="str">
        <f>IFERROR(__xludf.DUMMYFUNCTION("""COMPUTED_VALUE"""),"0800-1600")</f>
        <v>0800-1600</v>
      </c>
      <c r="L205" s="3">
        <f>IFERROR(__xludf.DUMMYFUNCTION("""COMPUTED_VALUE"""),8.0)</f>
        <v>8</v>
      </c>
      <c r="M205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05" s="14" t="str">
        <f>IFERROR(__xludf.DUMMYFUNCTION("""COMPUTED_VALUE"""),"https://lh5.googleusercontent.com/d/1suBuk7ISoLszH7UKTU86W-TPpxrCOKTu")</f>
        <v>https://lh5.googleusercontent.com/d/1suBuk7ISoLszH7UKTU86W-TPpxrCOKTu</v>
      </c>
      <c r="O205" s="14" t="str">
        <f>IFERROR(__xludf.DUMMYFUNCTION("""COMPUTED_VALUE"""),"https://drive.google.com/file/d/1brgUtXSD4hq979ZWBVg2N8GNWx4xuqKB/view?usp=drivesdk")</f>
        <v>https://drive.google.com/file/d/1brgUtXSD4hq979ZWBVg2N8GNWx4xuqKB/view?usp=drivesdk</v>
      </c>
    </row>
    <row r="206">
      <c r="A206" s="3">
        <f>IFERROR(__xludf.DUMMYFUNCTION("""COMPUTED_VALUE"""),867.0)</f>
        <v>867</v>
      </c>
      <c r="B206" s="11">
        <f>IFERROR(__xludf.DUMMYFUNCTION("""COMPUTED_VALUE"""),45991.91713594907)</f>
        <v>45991.91714</v>
      </c>
      <c r="C206" s="3" t="str">
        <f>IFERROR(__xludf.DUMMYFUNCTION("""COMPUTED_VALUE"""),"ชั้นปีที่ 3")</f>
        <v>ชั้นปีที่ 3</v>
      </c>
      <c r="D206" s="3" t="str">
        <f>IFERROR(__xludf.DUMMYFUNCTION("""COMPUTED_VALUE"""),"6603795")</f>
        <v>6603795</v>
      </c>
      <c r="E206" s="3" t="str">
        <f>IFERROR(__xludf.DUMMYFUNCTION("""COMPUTED_VALUE"""),"41")</f>
        <v>41</v>
      </c>
      <c r="F206" s="3" t="str">
        <f>IFERROR(__xludf.DUMMYFUNCTION("""COMPUTED_VALUE"""),"นพอ.พิทยาภรณ์ คำลือ")</f>
        <v>นพอ.พิทยาภรณ์ คำลือ</v>
      </c>
      <c r="G206" s="3" t="str">
        <f>IFERROR(__xludf.DUMMYFUNCTION("""COMPUTED_VALUE"""),"งานฟรีทั่วไป")</f>
        <v>งานฟรีทั่วไป</v>
      </c>
      <c r="H206" s="3" t="str">
        <f>IFERROR(__xludf.DUMMYFUNCTION("""COMPUTED_VALUE"""),"ล้างจาน")</f>
        <v>ล้างจาน</v>
      </c>
      <c r="I206" s="3" t="str">
        <f>IFERROR(__xludf.DUMMYFUNCTION("""COMPUTED_VALUE"""),"บ้าน")</f>
        <v>บ้าน</v>
      </c>
      <c r="J206" s="12">
        <f>IFERROR(__xludf.DUMMYFUNCTION("""COMPUTED_VALUE"""),45913.0)</f>
        <v>45913</v>
      </c>
      <c r="K206" s="3" t="str">
        <f>IFERROR(__xludf.DUMMYFUNCTION("""COMPUTED_VALUE"""),"0900-1000")</f>
        <v>0900-1000</v>
      </c>
      <c r="L206" s="3">
        <f>IFERROR(__xludf.DUMMYFUNCTION("""COMPUTED_VALUE"""),1.0)</f>
        <v>1</v>
      </c>
      <c r="M206" s="3" t="str">
        <f>IFERROR(__xludf.DUMMYFUNCTION("""COMPUTED_VALUE"""),"นางวิภารัตน์ คำลือ")</f>
        <v>นางวิภารัตน์ คำลือ</v>
      </c>
      <c r="N206" s="14" t="str">
        <f>IFERROR(__xludf.DUMMYFUNCTION("""COMPUTED_VALUE"""),"https://lh5.googleusercontent.com/d/188OZLEQ1eiRs2dIDK1Em7HsjihHgfrwB")</f>
        <v>https://lh5.googleusercontent.com/d/188OZLEQ1eiRs2dIDK1Em7HsjihHgfrwB</v>
      </c>
      <c r="O206" s="14" t="str">
        <f>IFERROR(__xludf.DUMMYFUNCTION("""COMPUTED_VALUE"""),"https://drive.google.com/file/d/1-CeRMAO2t8gtg7J0a7Coo951aCRHX1cL/view?usp=drivesdk")</f>
        <v>https://drive.google.com/file/d/1-CeRMAO2t8gtg7J0a7Coo951aCRHX1cL/view?usp=drivesdk</v>
      </c>
    </row>
    <row r="207">
      <c r="A207" s="3">
        <f>IFERROR(__xludf.DUMMYFUNCTION("""COMPUTED_VALUE"""),868.0)</f>
        <v>868</v>
      </c>
      <c r="B207" s="11">
        <f>IFERROR(__xludf.DUMMYFUNCTION("""COMPUTED_VALUE"""),45991.91823130787)</f>
        <v>45991.91823</v>
      </c>
      <c r="C207" s="3" t="str">
        <f>IFERROR(__xludf.DUMMYFUNCTION("""COMPUTED_VALUE"""),"ชั้นปีที่ 3")</f>
        <v>ชั้นปีที่ 3</v>
      </c>
      <c r="D207" s="3" t="str">
        <f>IFERROR(__xludf.DUMMYFUNCTION("""COMPUTED_VALUE"""),"6603784")</f>
        <v>6603784</v>
      </c>
      <c r="E207" s="3" t="str">
        <f>IFERROR(__xludf.DUMMYFUNCTION("""COMPUTED_VALUE"""),"30")</f>
        <v>30</v>
      </c>
      <c r="F207" s="3" t="str">
        <f>IFERROR(__xludf.DUMMYFUNCTION("""COMPUTED_VALUE"""),"นพอ.เบญจมาภรณ์ เกตุมณี")</f>
        <v>นพอ.เบญจมาภรณ์ เกตุมณี</v>
      </c>
      <c r="G2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7" s="3" t="str">
        <f>IFERROR(__xludf.DUMMYFUNCTION("""COMPUTED_VALUE"""),"โครงการมิตรประชา")</f>
        <v>โครงการมิตรประชา</v>
      </c>
      <c r="I207" s="3" t="str">
        <f>IFERROR(__xludf.DUMMYFUNCTION("""COMPUTED_VALUE"""),"โรงเรียนมัธยมทุ่งสง จ.นครศรีธรรมราช")</f>
        <v>โรงเรียนมัธยมทุ่งสง จ.นครศรีธรรมราช</v>
      </c>
      <c r="J207" s="12">
        <f>IFERROR(__xludf.DUMMYFUNCTION("""COMPUTED_VALUE"""),45844.0)</f>
        <v>45844</v>
      </c>
      <c r="K207" s="3" t="str">
        <f>IFERROR(__xludf.DUMMYFUNCTION("""COMPUTED_VALUE"""),"0800-1600")</f>
        <v>0800-1600</v>
      </c>
      <c r="L207" s="3">
        <f>IFERROR(__xludf.DUMMYFUNCTION("""COMPUTED_VALUE"""),8.0)</f>
        <v>8</v>
      </c>
      <c r="M20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07" s="14" t="str">
        <f>IFERROR(__xludf.DUMMYFUNCTION("""COMPUTED_VALUE"""),"https://lh5.googleusercontent.com/d/1U1XRitG4lz38GnjEUApN_hz0pW6wlu9R")</f>
        <v>https://lh5.googleusercontent.com/d/1U1XRitG4lz38GnjEUApN_hz0pW6wlu9R</v>
      </c>
      <c r="O207" s="14" t="str">
        <f>IFERROR(__xludf.DUMMYFUNCTION("""COMPUTED_VALUE"""),"https://drive.google.com/file/d/1mxY0Il8YSnIxhNZla7FeMZ982PyjcS7S/view?usp=drivesdk")</f>
        <v>https://drive.google.com/file/d/1mxY0Il8YSnIxhNZla7FeMZ982PyjcS7S/view?usp=drivesdk</v>
      </c>
    </row>
    <row r="208">
      <c r="A208" s="3">
        <f>IFERROR(__xludf.DUMMYFUNCTION("""COMPUTED_VALUE"""),870.0)</f>
        <v>870</v>
      </c>
      <c r="B208" s="11">
        <f>IFERROR(__xludf.DUMMYFUNCTION("""COMPUTED_VALUE"""),45991.9197704051)</f>
        <v>45991.91977</v>
      </c>
      <c r="C208" s="3" t="str">
        <f>IFERROR(__xludf.DUMMYFUNCTION("""COMPUTED_VALUE"""),"ชั้นปีที่ 3")</f>
        <v>ชั้นปีที่ 3</v>
      </c>
      <c r="D208" s="3" t="str">
        <f>IFERROR(__xludf.DUMMYFUNCTION("""COMPUTED_VALUE"""),"6603784")</f>
        <v>6603784</v>
      </c>
      <c r="E208" s="3" t="str">
        <f>IFERROR(__xludf.DUMMYFUNCTION("""COMPUTED_VALUE"""),"30")</f>
        <v>30</v>
      </c>
      <c r="F208" s="3" t="str">
        <f>IFERROR(__xludf.DUMMYFUNCTION("""COMPUTED_VALUE"""),"นพอ.เบญจมาภรณ์ เกตุมณี")</f>
        <v>นพอ.เบญจมาภรณ์ เกตุมณี</v>
      </c>
      <c r="G20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8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0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08" s="12">
        <f>IFERROR(__xludf.DUMMYFUNCTION("""COMPUTED_VALUE"""),45839.0)</f>
        <v>45839</v>
      </c>
      <c r="K208" s="3" t="str">
        <f>IFERROR(__xludf.DUMMYFUNCTION("""COMPUTED_VALUE"""),"1400-2200")</f>
        <v>1400-2200</v>
      </c>
      <c r="L208" s="3">
        <f>IFERROR(__xludf.DUMMYFUNCTION("""COMPUTED_VALUE"""),8.0)</f>
        <v>8</v>
      </c>
      <c r="M208" s="3" t="str">
        <f>IFERROR(__xludf.DUMMYFUNCTION("""COMPUTED_VALUE"""),"ร.อ.อนุชิต ทำจะดี")</f>
        <v>ร.อ.อนุชิต ทำจะดี</v>
      </c>
      <c r="N208" s="14" t="str">
        <f>IFERROR(__xludf.DUMMYFUNCTION("""COMPUTED_VALUE"""),"https://lh5.googleusercontent.com/d/1oeQ3Z8IxTqt7hT6t_pMqttz1ksy8iVkT")</f>
        <v>https://lh5.googleusercontent.com/d/1oeQ3Z8IxTqt7hT6t_pMqttz1ksy8iVkT</v>
      </c>
      <c r="O208" s="14" t="str">
        <f>IFERROR(__xludf.DUMMYFUNCTION("""COMPUTED_VALUE"""),"https://drive.google.com/file/d/1Ze0CUoOG9PmjRqeWOR1TnmTTn-bY6HTs/view?usp=drivesdk")</f>
        <v>https://drive.google.com/file/d/1Ze0CUoOG9PmjRqeWOR1TnmTTn-bY6HTs/view?usp=drivesdk</v>
      </c>
    </row>
    <row r="209">
      <c r="A209" s="3">
        <f>IFERROR(__xludf.DUMMYFUNCTION("""COMPUTED_VALUE"""),872.0)</f>
        <v>872</v>
      </c>
      <c r="B209" s="11">
        <f>IFERROR(__xludf.DUMMYFUNCTION("""COMPUTED_VALUE"""),45991.92100163194)</f>
        <v>45991.921</v>
      </c>
      <c r="C209" s="3" t="str">
        <f>IFERROR(__xludf.DUMMYFUNCTION("""COMPUTED_VALUE"""),"ชั้นปีที่ 3")</f>
        <v>ชั้นปีที่ 3</v>
      </c>
      <c r="D209" s="3" t="str">
        <f>IFERROR(__xludf.DUMMYFUNCTION("""COMPUTED_VALUE"""),"6603809")</f>
        <v>6603809</v>
      </c>
      <c r="E209" s="3" t="str">
        <f>IFERROR(__xludf.DUMMYFUNCTION("""COMPUTED_VALUE"""),"55")</f>
        <v>55</v>
      </c>
      <c r="F209" s="3" t="str">
        <f>IFERROR(__xludf.DUMMYFUNCTION("""COMPUTED_VALUE"""),"นพอ.สุณัญญา แก้วเจริญ")</f>
        <v>นพอ.สุณัญญา แก้วเจริญ</v>
      </c>
      <c r="G209" s="3" t="str">
        <f>IFERROR(__xludf.DUMMYFUNCTION("""COMPUTED_VALUE"""),"ช่วยเหลืองานภายใน วพอ.")</f>
        <v>ช่วยเหลืองานภายใน วพอ.</v>
      </c>
      <c r="H209" s="3" t="str">
        <f>IFERROR(__xludf.DUMMYFUNCTION("""COMPUTED_VALUE"""),"Buddy Korea")</f>
        <v>Buddy Korea</v>
      </c>
      <c r="I209" s="3" t="str">
        <f>IFERROR(__xludf.DUMMYFUNCTION("""COMPUTED_VALUE"""),"วิทยาลัยพยาบาลทหารอากาศ")</f>
        <v>วิทยาลัยพยาบาลทหารอากาศ</v>
      </c>
      <c r="J209" s="12">
        <f>IFERROR(__xludf.DUMMYFUNCTION("""COMPUTED_VALUE"""),45949.0)</f>
        <v>45949</v>
      </c>
      <c r="K209" s="3" t="str">
        <f>IFERROR(__xludf.DUMMYFUNCTION("""COMPUTED_VALUE"""),"2000-2400")</f>
        <v>2000-2400</v>
      </c>
      <c r="L209" s="3">
        <f>IFERROR(__xludf.DUMMYFUNCTION("""COMPUTED_VALUE"""),4.0)</f>
        <v>4</v>
      </c>
      <c r="M209" s="3" t="str">
        <f>IFERROR(__xludf.DUMMYFUNCTION("""COMPUTED_VALUE"""),"น.ต.หญิง ประไพศรี ศุภางค์ภร")</f>
        <v>น.ต.หญิง ประไพศรี ศุภางค์ภร</v>
      </c>
      <c r="N209" s="14" t="str">
        <f>IFERROR(__xludf.DUMMYFUNCTION("""COMPUTED_VALUE"""),"https://lh5.googleusercontent.com/d/1N48IoLsTb1yuljhQ3XAlWk4IMp6VmUVY")</f>
        <v>https://lh5.googleusercontent.com/d/1N48IoLsTb1yuljhQ3XAlWk4IMp6VmUVY</v>
      </c>
      <c r="O209" s="14" t="str">
        <f>IFERROR(__xludf.DUMMYFUNCTION("""COMPUTED_VALUE"""),"https://drive.google.com/file/d/1j0uDFogVyJteKaYNAjX7jpvRjrx3Svkv/view?usp=drivesdk")</f>
        <v>https://drive.google.com/file/d/1j0uDFogVyJteKaYNAjX7jpvRjrx3Svkv/view?usp=drivesdk</v>
      </c>
    </row>
    <row r="210">
      <c r="A210" s="3">
        <f>IFERROR(__xludf.DUMMYFUNCTION("""COMPUTED_VALUE"""),874.0)</f>
        <v>874</v>
      </c>
      <c r="B210" s="11">
        <f>IFERROR(__xludf.DUMMYFUNCTION("""COMPUTED_VALUE"""),45991.922343645834)</f>
        <v>45991.92234</v>
      </c>
      <c r="C210" s="3" t="str">
        <f>IFERROR(__xludf.DUMMYFUNCTION("""COMPUTED_VALUE"""),"ชั้นปีที่ 3")</f>
        <v>ชั้นปีที่ 3</v>
      </c>
      <c r="D210" s="3" t="str">
        <f>IFERROR(__xludf.DUMMYFUNCTION("""COMPUTED_VALUE"""),"6603771")</f>
        <v>6603771</v>
      </c>
      <c r="E210" s="3" t="str">
        <f>IFERROR(__xludf.DUMMYFUNCTION("""COMPUTED_VALUE"""),"18")</f>
        <v>18</v>
      </c>
      <c r="F210" s="3" t="str">
        <f>IFERROR(__xludf.DUMMYFUNCTION("""COMPUTED_VALUE"""),"นพอ.ทวิกา สอิ้งแก้ว")</f>
        <v>นพอ.ทวิกา สอิ้งแก้ว</v>
      </c>
      <c r="G210" s="3" t="str">
        <f>IFERROR(__xludf.DUMMYFUNCTION("""COMPUTED_VALUE"""),"ช่วยเหลืองานภายใน วพอ.")</f>
        <v>ช่วยเหลืองานภายใน วพอ.</v>
      </c>
      <c r="H210" s="3" t="str">
        <f>IFERROR(__xludf.DUMMYFUNCTION("""COMPUTED_VALUE"""),"รับน้อง swd68")</f>
        <v>รับน้อง swd68</v>
      </c>
      <c r="I210" s="3" t="str">
        <f>IFERROR(__xludf.DUMMYFUNCTION("""COMPUTED_VALUE"""),"วพอ.พอ.")</f>
        <v>วพอ.พอ.</v>
      </c>
      <c r="J210" s="12">
        <f>IFERROR(__xludf.DUMMYFUNCTION("""COMPUTED_VALUE"""),45859.0)</f>
        <v>45859</v>
      </c>
      <c r="K210" s="3" t="str">
        <f>IFERROR(__xludf.DUMMYFUNCTION("""COMPUTED_VALUE"""),"0800-1200")</f>
        <v>0800-1200</v>
      </c>
      <c r="L210" s="3">
        <f>IFERROR(__xludf.DUMMYFUNCTION("""COMPUTED_VALUE"""),5.0)</f>
        <v>5</v>
      </c>
      <c r="M210" s="3" t="str">
        <f>IFERROR(__xludf.DUMMYFUNCTION("""COMPUTED_VALUE"""),"น.ต.หญิง ขวัญชนก พ่วงนาคพันธ์")</f>
        <v>น.ต.หญิง ขวัญชนก พ่วงนาคพันธ์</v>
      </c>
      <c r="N210" s="14" t="str">
        <f>IFERROR(__xludf.DUMMYFUNCTION("""COMPUTED_VALUE"""),"https://lh5.googleusercontent.com/d/1xrJ_gND1uDQ7VTeRkUva2iJlhBQ6M9RT")</f>
        <v>https://lh5.googleusercontent.com/d/1xrJ_gND1uDQ7VTeRkUva2iJlhBQ6M9RT</v>
      </c>
      <c r="O210" s="14" t="str">
        <f>IFERROR(__xludf.DUMMYFUNCTION("""COMPUTED_VALUE"""),"https://drive.google.com/file/d/1P0YmaL6J2CqQ1qpo-3IBmU4HQO4Uwp57/view?usp=drivesdk")</f>
        <v>https://drive.google.com/file/d/1P0YmaL6J2CqQ1qpo-3IBmU4HQO4Uwp57/view?usp=drivesdk</v>
      </c>
    </row>
    <row r="211">
      <c r="A211" s="3">
        <f>IFERROR(__xludf.DUMMYFUNCTION("""COMPUTED_VALUE"""),875.0)</f>
        <v>875</v>
      </c>
      <c r="B211" s="11">
        <f>IFERROR(__xludf.DUMMYFUNCTION("""COMPUTED_VALUE"""),45991.923529374995)</f>
        <v>45991.92353</v>
      </c>
      <c r="C211" s="3" t="str">
        <f>IFERROR(__xludf.DUMMYFUNCTION("""COMPUTED_VALUE"""),"ชั้นปีที่ 3")</f>
        <v>ชั้นปีที่ 3</v>
      </c>
      <c r="D211" s="3" t="str">
        <f>IFERROR(__xludf.DUMMYFUNCTION("""COMPUTED_VALUE"""),"6603809")</f>
        <v>6603809</v>
      </c>
      <c r="E211" s="3" t="str">
        <f>IFERROR(__xludf.DUMMYFUNCTION("""COMPUTED_VALUE"""),"55")</f>
        <v>55</v>
      </c>
      <c r="F211" s="3" t="str">
        <f>IFERROR(__xludf.DUMMYFUNCTION("""COMPUTED_VALUE"""),"นพอ.สุณัญญา แก้วเจริญ")</f>
        <v>นพอ.สุณัญญา แก้วเจริญ</v>
      </c>
      <c r="G211" s="3" t="str">
        <f>IFERROR(__xludf.DUMMYFUNCTION("""COMPUTED_VALUE"""),"ช่วยเหลืองานภายใน วพอ.")</f>
        <v>ช่วยเหลืองานภายใน วพอ.</v>
      </c>
      <c r="H211" s="3" t="str">
        <f>IFERROR(__xludf.DUMMYFUNCTION("""COMPUTED_VALUE"""),"Buddy Korea")</f>
        <v>Buddy Korea</v>
      </c>
      <c r="I211" s="3" t="str">
        <f>IFERROR(__xludf.DUMMYFUNCTION("""COMPUTED_VALUE"""),"วิทยาลัยพยาบาลทหารอากาศ")</f>
        <v>วิทยาลัยพยาบาลทหารอากาศ</v>
      </c>
      <c r="J211" s="12">
        <f>IFERROR(__xludf.DUMMYFUNCTION("""COMPUTED_VALUE"""),45950.0)</f>
        <v>45950</v>
      </c>
      <c r="K211" s="3" t="str">
        <f>IFERROR(__xludf.DUMMYFUNCTION("""COMPUTED_VALUE"""),"1800-2200")</f>
        <v>1800-2200</v>
      </c>
      <c r="L211" s="3">
        <f>IFERROR(__xludf.DUMMYFUNCTION("""COMPUTED_VALUE"""),4.0)</f>
        <v>4</v>
      </c>
      <c r="M211" s="3" t="str">
        <f>IFERROR(__xludf.DUMMYFUNCTION("""COMPUTED_VALUE"""),"น.ต.หญิง ประไพศรี ศุภางค์ภร")</f>
        <v>น.ต.หญิง ประไพศรี ศุภางค์ภร</v>
      </c>
      <c r="N211" s="14" t="str">
        <f>IFERROR(__xludf.DUMMYFUNCTION("""COMPUTED_VALUE"""),"https://lh5.googleusercontent.com/d/1nrmr4LSib4AwLjxijLwTyMkA5_Tvn0IC")</f>
        <v>https://lh5.googleusercontent.com/d/1nrmr4LSib4AwLjxijLwTyMkA5_Tvn0IC</v>
      </c>
      <c r="O211" s="14" t="str">
        <f>IFERROR(__xludf.DUMMYFUNCTION("""COMPUTED_VALUE"""),"https://drive.google.com/file/d/1YFZBr5gujRwRegL30QLTcFlgHcqygCT7/view?usp=drivesdk")</f>
        <v>https://drive.google.com/file/d/1YFZBr5gujRwRegL30QLTcFlgHcqygCT7/view?usp=drivesdk</v>
      </c>
    </row>
    <row r="212">
      <c r="A212" s="3">
        <f>IFERROR(__xludf.DUMMYFUNCTION("""COMPUTED_VALUE"""),881.0)</f>
        <v>881</v>
      </c>
      <c r="B212" s="11">
        <f>IFERROR(__xludf.DUMMYFUNCTION("""COMPUTED_VALUE"""),45991.92673483796)</f>
        <v>45991.92673</v>
      </c>
      <c r="C212" s="3" t="str">
        <f>IFERROR(__xludf.DUMMYFUNCTION("""COMPUTED_VALUE"""),"ชั้นปีที่ 3")</f>
        <v>ชั้นปีที่ 3</v>
      </c>
      <c r="D212" s="3" t="str">
        <f>IFERROR(__xludf.DUMMYFUNCTION("""COMPUTED_VALUE"""),"6603782")</f>
        <v>6603782</v>
      </c>
      <c r="E212" s="3" t="str">
        <f>IFERROR(__xludf.DUMMYFUNCTION("""COMPUTED_VALUE"""),"28")</f>
        <v>28</v>
      </c>
      <c r="F212" s="3" t="str">
        <f>IFERROR(__xludf.DUMMYFUNCTION("""COMPUTED_VALUE"""),"นพอ.เนตรชนก ชูหนู")</f>
        <v>นพอ.เนตรชนก ชูหนู</v>
      </c>
      <c r="G2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2" s="3" t="str">
        <f>IFERROR(__xludf.DUMMYFUNCTION("""COMPUTED_VALUE"""),"ประชุมวิชาการเทิดพระเกียรติสมเด็จพระศรีนครินทราบรม")</f>
        <v>ประชุมวิชาการเทิดพระเกียรติสมเด็จพระศรีนครินทราบรม</v>
      </c>
      <c r="I212" s="3" t="str">
        <f>IFERROR(__xludf.DUMMYFUNCTION("""COMPUTED_VALUE"""),"สภาการพยาบาล")</f>
        <v>สภาการพยาบาล</v>
      </c>
      <c r="J212" s="12">
        <f>IFERROR(__xludf.DUMMYFUNCTION("""COMPUTED_VALUE"""),45954.0)</f>
        <v>45954</v>
      </c>
      <c r="K212" s="3" t="str">
        <f>IFERROR(__xludf.DUMMYFUNCTION("""COMPUTED_VALUE"""),"0800-1200")</f>
        <v>0800-1200</v>
      </c>
      <c r="L212" s="3">
        <f>IFERROR(__xludf.DUMMYFUNCTION("""COMPUTED_VALUE"""),8.0)</f>
        <v>8</v>
      </c>
      <c r="M212" s="3" t="str">
        <f>IFERROR(__xludf.DUMMYFUNCTION("""COMPUTED_VALUE"""),"น.ต.หญิง สมพงษ์ แก้วพรรณา")</f>
        <v>น.ต.หญิง สมพงษ์ แก้วพรรณา</v>
      </c>
      <c r="N212" s="14" t="str">
        <f>IFERROR(__xludf.DUMMYFUNCTION("""COMPUTED_VALUE"""),"https://lh5.googleusercontent.com/d/15Kf-ec7OUR3ITDlZCPTyfn53HWmteKab")</f>
        <v>https://lh5.googleusercontent.com/d/15Kf-ec7OUR3ITDlZCPTyfn53HWmteKab</v>
      </c>
      <c r="O212" s="14" t="str">
        <f>IFERROR(__xludf.DUMMYFUNCTION("""COMPUTED_VALUE"""),"https://drive.google.com/file/d/1YK5wgYaJpoP6z9fslztq0CDakExpKdHq/view?usp=drivesdk")</f>
        <v>https://drive.google.com/file/d/1YK5wgYaJpoP6z9fslztq0CDakExpKdHq/view?usp=drivesdk</v>
      </c>
    </row>
    <row r="213">
      <c r="A213" s="3">
        <f>IFERROR(__xludf.DUMMYFUNCTION("""COMPUTED_VALUE"""),883.0)</f>
        <v>883</v>
      </c>
      <c r="B213" s="11">
        <f>IFERROR(__xludf.DUMMYFUNCTION("""COMPUTED_VALUE"""),45991.92884634259)</f>
        <v>45991.92885</v>
      </c>
      <c r="C213" s="3" t="str">
        <f>IFERROR(__xludf.DUMMYFUNCTION("""COMPUTED_VALUE"""),"ชั้นปีที่ 3")</f>
        <v>ชั้นปีที่ 3</v>
      </c>
      <c r="D213" s="3" t="str">
        <f>IFERROR(__xludf.DUMMYFUNCTION("""COMPUTED_VALUE"""),"6603771")</f>
        <v>6603771</v>
      </c>
      <c r="E213" s="3" t="str">
        <f>IFERROR(__xludf.DUMMYFUNCTION("""COMPUTED_VALUE"""),"18")</f>
        <v>18</v>
      </c>
      <c r="F213" s="3" t="str">
        <f>IFERROR(__xludf.DUMMYFUNCTION("""COMPUTED_VALUE"""),"นพอ.ทวิกา สอิ้งแก้ว")</f>
        <v>นพอ.ทวิกา สอิ้งแก้ว</v>
      </c>
      <c r="G213" s="3" t="str">
        <f>IFERROR(__xludf.DUMMYFUNCTION("""COMPUTED_VALUE"""),"ช่วยเหลืองานภายใน วพอ.")</f>
        <v>ช่วยเหลืองานภายใน วพอ.</v>
      </c>
      <c r="H213" s="3" t="str">
        <f>IFERROR(__xludf.DUMMYFUNCTION("""COMPUTED_VALUE"""),"รับน้อง swd 68")</f>
        <v>รับน้อง swd 68</v>
      </c>
      <c r="I213" s="3" t="str">
        <f>IFERROR(__xludf.DUMMYFUNCTION("""COMPUTED_VALUE"""),"วพอ.พอ.")</f>
        <v>วพอ.พอ.</v>
      </c>
      <c r="J213" s="12">
        <f>IFERROR(__xludf.DUMMYFUNCTION("""COMPUTED_VALUE"""),45859.0)</f>
        <v>45859</v>
      </c>
      <c r="K213" s="3" t="str">
        <f>IFERROR(__xludf.DUMMYFUNCTION("""COMPUTED_VALUE"""),"1200-1700")</f>
        <v>1200-1700</v>
      </c>
      <c r="L213" s="3">
        <f>IFERROR(__xludf.DUMMYFUNCTION("""COMPUTED_VALUE"""),5.0)</f>
        <v>5</v>
      </c>
      <c r="M213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13" s="14" t="str">
        <f>IFERROR(__xludf.DUMMYFUNCTION("""COMPUTED_VALUE"""),"https://lh5.googleusercontent.com/d/1Ucbxw2Mx1V59T5-2lMdSL4hsEEa1Yjtt")</f>
        <v>https://lh5.googleusercontent.com/d/1Ucbxw2Mx1V59T5-2lMdSL4hsEEa1Yjtt</v>
      </c>
      <c r="O213" s="14" t="str">
        <f>IFERROR(__xludf.DUMMYFUNCTION("""COMPUTED_VALUE"""),"https://drive.google.com/file/d/100p746DDcKQHyRmW02VIH14oPVS_d8WM/view?usp=drivesdk")</f>
        <v>https://drive.google.com/file/d/100p746DDcKQHyRmW02VIH14oPVS_d8WM/view?usp=drivesdk</v>
      </c>
    </row>
    <row r="214">
      <c r="A214" s="3">
        <f>IFERROR(__xludf.DUMMYFUNCTION("""COMPUTED_VALUE"""),892.0)</f>
        <v>892</v>
      </c>
      <c r="B214" s="11">
        <f>IFERROR(__xludf.DUMMYFUNCTION("""COMPUTED_VALUE"""),45991.93254829861)</f>
        <v>45991.93255</v>
      </c>
      <c r="C214" s="3" t="str">
        <f>IFERROR(__xludf.DUMMYFUNCTION("""COMPUTED_VALUE"""),"ชั้นปีที่ 3")</f>
        <v>ชั้นปีที่ 3</v>
      </c>
      <c r="D214" s="3" t="str">
        <f>IFERROR(__xludf.DUMMYFUNCTION("""COMPUTED_VALUE"""),"6603796")</f>
        <v>6603796</v>
      </c>
      <c r="E214" s="3" t="str">
        <f>IFERROR(__xludf.DUMMYFUNCTION("""COMPUTED_VALUE"""),"42")</f>
        <v>42</v>
      </c>
      <c r="F214" s="3" t="str">
        <f>IFERROR(__xludf.DUMMYFUNCTION("""COMPUTED_VALUE"""),"นพอ.พิมพ์พิศา ไพศาลมรกต")</f>
        <v>นพอ.พิมพ์พิศา ไพศาลมรกต</v>
      </c>
      <c r="G21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14" s="3" t="str">
        <f>IFERROR(__xludf.DUMMYFUNCTION("""COMPUTED_VALUE"""),"วิ่งห่างไกลจากโรคNCDsและบุหรี่ไฟฟ้า")</f>
        <v>วิ่งห่างไกลจากโรคNCDsและบุหรี่ไฟฟ้า</v>
      </c>
      <c r="I214" s="3" t="str">
        <f>IFERROR(__xludf.DUMMYFUNCTION("""COMPUTED_VALUE"""),"จังหวัดเชียงใหม่")</f>
        <v>จังหวัดเชียงใหม่</v>
      </c>
      <c r="J214" s="12">
        <f>IFERROR(__xludf.DUMMYFUNCTION("""COMPUTED_VALUE"""),45858.0)</f>
        <v>45858</v>
      </c>
      <c r="K214" s="3" t="str">
        <f>IFERROR(__xludf.DUMMYFUNCTION("""COMPUTED_VALUE"""),"0500-0900")</f>
        <v>0500-0900</v>
      </c>
      <c r="L214" s="3">
        <f>IFERROR(__xludf.DUMMYFUNCTION("""COMPUTED_VALUE"""),4.0)</f>
        <v>4</v>
      </c>
      <c r="M214" s="3" t="str">
        <f>IFERROR(__xludf.DUMMYFUNCTION("""COMPUTED_VALUE"""),"นาง ธัญชนก ไพศาลมรกต")</f>
        <v>นาง ธัญชนก ไพศาลมรกต</v>
      </c>
      <c r="N214" s="14" t="str">
        <f>IFERROR(__xludf.DUMMYFUNCTION("""COMPUTED_VALUE"""),"https://lh5.googleusercontent.com/d/13Wt-oiiu7t36XU1b725KVpnKIyTjHuKL")</f>
        <v>https://lh5.googleusercontent.com/d/13Wt-oiiu7t36XU1b725KVpnKIyTjHuKL</v>
      </c>
      <c r="O214" s="14" t="str">
        <f>IFERROR(__xludf.DUMMYFUNCTION("""COMPUTED_VALUE"""),"https://drive.google.com/file/d/1outDmNq68d_r90iTiP1ScA9BPmGi9tge/view?usp=drivesdk")</f>
        <v>https://drive.google.com/file/d/1outDmNq68d_r90iTiP1ScA9BPmGi9tge/view?usp=drivesdk</v>
      </c>
    </row>
    <row r="215">
      <c r="A215" s="3">
        <f>IFERROR(__xludf.DUMMYFUNCTION("""COMPUTED_VALUE"""),894.0)</f>
        <v>894</v>
      </c>
      <c r="B215" s="11">
        <f>IFERROR(__xludf.DUMMYFUNCTION("""COMPUTED_VALUE"""),45991.93276575231)</f>
        <v>45991.93277</v>
      </c>
      <c r="C215" s="3" t="str">
        <f>IFERROR(__xludf.DUMMYFUNCTION("""COMPUTED_VALUE"""),"ชั้นปีที่ 3")</f>
        <v>ชั้นปีที่ 3</v>
      </c>
      <c r="D215" s="3" t="str">
        <f>IFERROR(__xludf.DUMMYFUNCTION("""COMPUTED_VALUE"""),"6603771")</f>
        <v>6603771</v>
      </c>
      <c r="E215" s="3" t="str">
        <f>IFERROR(__xludf.DUMMYFUNCTION("""COMPUTED_VALUE"""),"18")</f>
        <v>18</v>
      </c>
      <c r="F215" s="3" t="str">
        <f>IFERROR(__xludf.DUMMYFUNCTION("""COMPUTED_VALUE"""),"นพอ.ทวิกา สอิ้งแก้ว")</f>
        <v>นพอ.ทวิกา สอิ้งแก้ว</v>
      </c>
      <c r="G2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5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15" s="3" t="str">
        <f>IFERROR(__xludf.DUMMYFUNCTION("""COMPUTED_VALUE"""),"ชุมชนวัดเกาะ")</f>
        <v>ชุมชนวัดเกาะ</v>
      </c>
      <c r="J215" s="12">
        <f>IFERROR(__xludf.DUMMYFUNCTION("""COMPUTED_VALUE"""),45823.0)</f>
        <v>45823</v>
      </c>
      <c r="K215" s="3" t="str">
        <f>IFERROR(__xludf.DUMMYFUNCTION("""COMPUTED_VALUE"""),"0800-1200")</f>
        <v>0800-1200</v>
      </c>
      <c r="L215" s="3">
        <f>IFERROR(__xludf.DUMMYFUNCTION("""COMPUTED_VALUE"""),4.0)</f>
        <v>4</v>
      </c>
      <c r="M215" s="3" t="str">
        <f>IFERROR(__xludf.DUMMYFUNCTION("""COMPUTED_VALUE"""),"น.ต.หญิงตวงทิพย์ ลดาวัลย์")</f>
        <v>น.ต.หญิงตวงทิพย์ ลดาวัลย์</v>
      </c>
      <c r="N215" s="14" t="str">
        <f>IFERROR(__xludf.DUMMYFUNCTION("""COMPUTED_VALUE"""),"https://lh5.googleusercontent.com/d/14PjxKC0_qMirv4HoN0nZKkfM3GxpOk2H")</f>
        <v>https://lh5.googleusercontent.com/d/14PjxKC0_qMirv4HoN0nZKkfM3GxpOk2H</v>
      </c>
      <c r="O215" s="14" t="str">
        <f>IFERROR(__xludf.DUMMYFUNCTION("""COMPUTED_VALUE"""),"https://drive.google.com/file/d/1IY7FV9u8jOFjWOGcStv4opEfcbQkZlgk/view?usp=drivesdk")</f>
        <v>https://drive.google.com/file/d/1IY7FV9u8jOFjWOGcStv4opEfcbQkZlgk/view?usp=drivesdk</v>
      </c>
    </row>
    <row r="216">
      <c r="A216" s="3">
        <f>IFERROR(__xludf.DUMMYFUNCTION("""COMPUTED_VALUE"""),902.0)</f>
        <v>902</v>
      </c>
      <c r="B216" s="11">
        <f>IFERROR(__xludf.DUMMYFUNCTION("""COMPUTED_VALUE"""),45991.937867500004)</f>
        <v>45991.93787</v>
      </c>
      <c r="C216" s="3" t="str">
        <f>IFERROR(__xludf.DUMMYFUNCTION("""COMPUTED_VALUE"""),"ชั้นปีที่ 3")</f>
        <v>ชั้นปีที่ 3</v>
      </c>
      <c r="D216" s="3" t="str">
        <f>IFERROR(__xludf.DUMMYFUNCTION("""COMPUTED_VALUE"""),"6603771")</f>
        <v>6603771</v>
      </c>
      <c r="E216" s="3" t="str">
        <f>IFERROR(__xludf.DUMMYFUNCTION("""COMPUTED_VALUE"""),"18")</f>
        <v>18</v>
      </c>
      <c r="F216" s="3" t="str">
        <f>IFERROR(__xludf.DUMMYFUNCTION("""COMPUTED_VALUE"""),"นพอ.ทวิกา สอิ้งแก้ว")</f>
        <v>นพอ.ทวิกา สอิ้งแก้ว</v>
      </c>
      <c r="G2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6" s="3" t="str">
        <f>IFERROR(__xludf.DUMMYFUNCTION("""COMPUTED_VALUE"""),"เสาร์ประทีบ")</f>
        <v>เสาร์ประทีบ</v>
      </c>
      <c r="I216" s="3" t="str">
        <f>IFERROR(__xludf.DUMMYFUNCTION("""COMPUTED_VALUE"""),"รร.นายร้อยจปร")</f>
        <v>รร.นายร้อยจปร</v>
      </c>
      <c r="J216" s="12">
        <f>IFERROR(__xludf.DUMMYFUNCTION("""COMPUTED_VALUE"""),45836.0)</f>
        <v>45836</v>
      </c>
      <c r="K216" s="3" t="str">
        <f>IFERROR(__xludf.DUMMYFUNCTION("""COMPUTED_VALUE"""),"0800-1300")</f>
        <v>0800-1300</v>
      </c>
      <c r="L216" s="3">
        <f>IFERROR(__xludf.DUMMYFUNCTION("""COMPUTED_VALUE"""),5.0)</f>
        <v>5</v>
      </c>
      <c r="M216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16" s="14" t="str">
        <f>IFERROR(__xludf.DUMMYFUNCTION("""COMPUTED_VALUE"""),"https://lh5.googleusercontent.com/d/1w2On9Vcfzgb53NBMPGW71KOM2T8q0B4e")</f>
        <v>https://lh5.googleusercontent.com/d/1w2On9Vcfzgb53NBMPGW71KOM2T8q0B4e</v>
      </c>
      <c r="O216" s="14" t="str">
        <f>IFERROR(__xludf.DUMMYFUNCTION("""COMPUTED_VALUE"""),"https://drive.google.com/file/d/1VWtkLGhjdVpHYq9-gmD8xx6PFygmoXci/view?usp=drivesdk")</f>
        <v>https://drive.google.com/file/d/1VWtkLGhjdVpHYq9-gmD8xx6PFygmoXci/view?usp=drivesdk</v>
      </c>
    </row>
    <row r="217">
      <c r="A217" s="3">
        <f>IFERROR(__xludf.DUMMYFUNCTION("""COMPUTED_VALUE"""),904.0)</f>
        <v>904</v>
      </c>
      <c r="B217" s="11">
        <f>IFERROR(__xludf.DUMMYFUNCTION("""COMPUTED_VALUE"""),45991.94193190972)</f>
        <v>45991.94193</v>
      </c>
      <c r="C217" s="3" t="str">
        <f>IFERROR(__xludf.DUMMYFUNCTION("""COMPUTED_VALUE"""),"ชั้นปีที่ 3")</f>
        <v>ชั้นปีที่ 3</v>
      </c>
      <c r="D217" s="3" t="str">
        <f>IFERROR(__xludf.DUMMYFUNCTION("""COMPUTED_VALUE"""),"6603771")</f>
        <v>6603771</v>
      </c>
      <c r="E217" s="3" t="str">
        <f>IFERROR(__xludf.DUMMYFUNCTION("""COMPUTED_VALUE"""),"18")</f>
        <v>18</v>
      </c>
      <c r="F217" s="3" t="str">
        <f>IFERROR(__xludf.DUMMYFUNCTION("""COMPUTED_VALUE"""),"นพอ.ทวิกา สอิ้งแก้ว")</f>
        <v>นพอ.ทวิกา สอิ้งแก้ว</v>
      </c>
      <c r="G2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7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17" s="3" t="str">
        <f>IFERROR(__xludf.DUMMYFUNCTION("""COMPUTED_VALUE"""),"ดุริยางค์ทหารอากาศ")</f>
        <v>ดุริยางค์ทหารอากาศ</v>
      </c>
      <c r="J217" s="12">
        <f>IFERROR(__xludf.DUMMYFUNCTION("""COMPUTED_VALUE"""),45825.0)</f>
        <v>45825</v>
      </c>
      <c r="K217" s="3" t="str">
        <f>IFERROR(__xludf.DUMMYFUNCTION("""COMPUTED_VALUE"""),"0800-1600")</f>
        <v>0800-1600</v>
      </c>
      <c r="L217" s="3">
        <f>IFERROR(__xludf.DUMMYFUNCTION("""COMPUTED_VALUE"""),8.0)</f>
        <v>8</v>
      </c>
      <c r="M217" s="3" t="str">
        <f>IFERROR(__xludf.DUMMYFUNCTION("""COMPUTED_VALUE"""),"ร.อ.อนุชิต ทำจะดี")</f>
        <v>ร.อ.อนุชิต ทำจะดี</v>
      </c>
      <c r="N217" s="14" t="str">
        <f>IFERROR(__xludf.DUMMYFUNCTION("""COMPUTED_VALUE"""),"https://lh5.googleusercontent.com/d/1DWbIaIhIodDGE6AUZvrMtk4URNueY4al")</f>
        <v>https://lh5.googleusercontent.com/d/1DWbIaIhIodDGE6AUZvrMtk4URNueY4al</v>
      </c>
      <c r="O217" s="14" t="str">
        <f>IFERROR(__xludf.DUMMYFUNCTION("""COMPUTED_VALUE"""),"https://drive.google.com/file/d/1nyQHcQqcJZty4X4ugFZFBaIAYk2fkF1X/view?usp=drivesdk")</f>
        <v>https://drive.google.com/file/d/1nyQHcQqcJZty4X4ugFZFBaIAYk2fkF1X/view?usp=drivesdk</v>
      </c>
    </row>
    <row r="218">
      <c r="A218" s="3">
        <f>IFERROR(__xludf.DUMMYFUNCTION("""COMPUTED_VALUE"""),905.0)</f>
        <v>905</v>
      </c>
      <c r="B218" s="11">
        <f>IFERROR(__xludf.DUMMYFUNCTION("""COMPUTED_VALUE"""),45991.944492291674)</f>
        <v>45991.94449</v>
      </c>
      <c r="C218" s="3" t="str">
        <f>IFERROR(__xludf.DUMMYFUNCTION("""COMPUTED_VALUE"""),"ชั้นปีที่ 3")</f>
        <v>ชั้นปีที่ 3</v>
      </c>
      <c r="D218" s="3" t="str">
        <f>IFERROR(__xludf.DUMMYFUNCTION("""COMPUTED_VALUE"""),"6603771")</f>
        <v>6603771</v>
      </c>
      <c r="E218" s="3" t="str">
        <f>IFERROR(__xludf.DUMMYFUNCTION("""COMPUTED_VALUE"""),"18")</f>
        <v>18</v>
      </c>
      <c r="F218" s="3" t="str">
        <f>IFERROR(__xludf.DUMMYFUNCTION("""COMPUTED_VALUE"""),"นพอ.ทวิกา สอิ้งแก้ว")</f>
        <v>นพอ.ทวิกา สอิ้งแก้ว</v>
      </c>
      <c r="G2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8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18" s="3" t="str">
        <f>IFERROR(__xludf.DUMMYFUNCTION("""COMPUTED_VALUE"""),"กองบัญชาการกองทัพอากาศ")</f>
        <v>กองบัญชาการกองทัพอากาศ</v>
      </c>
      <c r="J218" s="12">
        <f>IFERROR(__xludf.DUMMYFUNCTION("""COMPUTED_VALUE"""),45833.0)</f>
        <v>45833</v>
      </c>
      <c r="K218" s="3" t="str">
        <f>IFERROR(__xludf.DUMMYFUNCTION("""COMPUTED_VALUE"""),"0800-1600")</f>
        <v>0800-1600</v>
      </c>
      <c r="L218" s="3">
        <f>IFERROR(__xludf.DUMMYFUNCTION("""COMPUTED_VALUE"""),8.0)</f>
        <v>8</v>
      </c>
      <c r="M218" s="3" t="str">
        <f>IFERROR(__xludf.DUMMYFUNCTION("""COMPUTED_VALUE"""),"ร.อ.อนุชิต ทำจะดี")</f>
        <v>ร.อ.อนุชิต ทำจะดี</v>
      </c>
      <c r="N218" s="14" t="str">
        <f>IFERROR(__xludf.DUMMYFUNCTION("""COMPUTED_VALUE"""),"https://lh5.googleusercontent.com/d/1wWxMNY19RIsSvW1EJ05UMVRaM1FyXVr-")</f>
        <v>https://lh5.googleusercontent.com/d/1wWxMNY19RIsSvW1EJ05UMVRaM1FyXVr-</v>
      </c>
      <c r="O218" s="14" t="str">
        <f>IFERROR(__xludf.DUMMYFUNCTION("""COMPUTED_VALUE"""),"https://drive.google.com/file/d/13loXTQeROPcK8RSbA6e8GD4Ct-uVFFgB/view?usp=drivesdk")</f>
        <v>https://drive.google.com/file/d/13loXTQeROPcK8RSbA6e8GD4Ct-uVFFgB/view?usp=drivesdk</v>
      </c>
    </row>
    <row r="219">
      <c r="A219" s="3">
        <f>IFERROR(__xludf.DUMMYFUNCTION("""COMPUTED_VALUE"""),906.0)</f>
        <v>906</v>
      </c>
      <c r="B219" s="11">
        <f>IFERROR(__xludf.DUMMYFUNCTION("""COMPUTED_VALUE"""),45991.94464956019)</f>
        <v>45991.94465</v>
      </c>
      <c r="C219" s="3" t="str">
        <f>IFERROR(__xludf.DUMMYFUNCTION("""COMPUTED_VALUE"""),"ชั้นปีที่ 3")</f>
        <v>ชั้นปีที่ 3</v>
      </c>
      <c r="D219" s="3" t="str">
        <f>IFERROR(__xludf.DUMMYFUNCTION("""COMPUTED_VALUE"""),"6603809")</f>
        <v>6603809</v>
      </c>
      <c r="E219" s="3" t="str">
        <f>IFERROR(__xludf.DUMMYFUNCTION("""COMPUTED_VALUE"""),"55")</f>
        <v>55</v>
      </c>
      <c r="F219" s="3" t="str">
        <f>IFERROR(__xludf.DUMMYFUNCTION("""COMPUTED_VALUE"""),"นพอ.สุณัญญา แก้วเจริญ")</f>
        <v>นพอ.สุณัญญา แก้วเจริญ</v>
      </c>
      <c r="G219" s="3" t="str">
        <f>IFERROR(__xludf.DUMMYFUNCTION("""COMPUTED_VALUE"""),"ช่วยเหลืองานภายใน วพอ.")</f>
        <v>ช่วยเหลืองานภายใน วพอ.</v>
      </c>
      <c r="H219" s="3" t="str">
        <f>IFERROR(__xludf.DUMMYFUNCTION("""COMPUTED_VALUE"""),"Buddy Korea")</f>
        <v>Buddy Korea</v>
      </c>
      <c r="I219" s="3" t="str">
        <f>IFERROR(__xludf.DUMMYFUNCTION("""COMPUTED_VALUE"""),"วิทยาลัยพยาบาลทหารอากาศ")</f>
        <v>วิทยาลัยพยาบาลทหารอากาศ</v>
      </c>
      <c r="J219" s="12">
        <f>IFERROR(__xludf.DUMMYFUNCTION("""COMPUTED_VALUE"""),45951.0)</f>
        <v>45951</v>
      </c>
      <c r="K219" s="3" t="str">
        <f>IFERROR(__xludf.DUMMYFUNCTION("""COMPUTED_VALUE"""),"1800-2200")</f>
        <v>1800-2200</v>
      </c>
      <c r="L219" s="3">
        <f>IFERROR(__xludf.DUMMYFUNCTION("""COMPUTED_VALUE"""),4.0)</f>
        <v>4</v>
      </c>
      <c r="M219" s="3" t="str">
        <f>IFERROR(__xludf.DUMMYFUNCTION("""COMPUTED_VALUE"""),"น.ต.หญิง ประไพศรี ศุภางค์ภร")</f>
        <v>น.ต.หญิง ประไพศรี ศุภางค์ภร</v>
      </c>
      <c r="N219" s="14" t="str">
        <f>IFERROR(__xludf.DUMMYFUNCTION("""COMPUTED_VALUE"""),"https://lh5.googleusercontent.com/d/14VfkYA43lLYzvWXGbBi0ato9lB7NE0w1")</f>
        <v>https://lh5.googleusercontent.com/d/14VfkYA43lLYzvWXGbBi0ato9lB7NE0w1</v>
      </c>
      <c r="O219" s="14" t="str">
        <f>IFERROR(__xludf.DUMMYFUNCTION("""COMPUTED_VALUE"""),"https://drive.google.com/file/d/1jQF-y_m3TjDDj5syJw9_SVzIeuDywWOA/view?usp=drivesdk")</f>
        <v>https://drive.google.com/file/d/1jQF-y_m3TjDDj5syJw9_SVzIeuDywWOA/view?usp=drivesdk</v>
      </c>
    </row>
    <row r="220">
      <c r="A220" s="3">
        <f>IFERROR(__xludf.DUMMYFUNCTION("""COMPUTED_VALUE"""),908.0)</f>
        <v>908</v>
      </c>
      <c r="B220" s="11">
        <f>IFERROR(__xludf.DUMMYFUNCTION("""COMPUTED_VALUE"""),45991.94679876157)</f>
        <v>45991.9468</v>
      </c>
      <c r="C220" s="3" t="str">
        <f>IFERROR(__xludf.DUMMYFUNCTION("""COMPUTED_VALUE"""),"ชั้นปีที่ 3")</f>
        <v>ชั้นปีที่ 3</v>
      </c>
      <c r="D220" s="3" t="str">
        <f>IFERROR(__xludf.DUMMYFUNCTION("""COMPUTED_VALUE"""),"6603809")</f>
        <v>6603809</v>
      </c>
      <c r="E220" s="3" t="str">
        <f>IFERROR(__xludf.DUMMYFUNCTION("""COMPUTED_VALUE"""),"55")</f>
        <v>55</v>
      </c>
      <c r="F220" s="3" t="str">
        <f>IFERROR(__xludf.DUMMYFUNCTION("""COMPUTED_VALUE"""),"นพอ.สุณัญญา แก้วเจริญ")</f>
        <v>นพอ.สุณัญญา แก้วเจริญ</v>
      </c>
      <c r="G220" s="3" t="str">
        <f>IFERROR(__xludf.DUMMYFUNCTION("""COMPUTED_VALUE"""),"ช่วยเหลืองานภายใน วพอ.")</f>
        <v>ช่วยเหลืองานภายใน วพอ.</v>
      </c>
      <c r="H220" s="3" t="str">
        <f>IFERROR(__xludf.DUMMYFUNCTION("""COMPUTED_VALUE"""),"Buddy Korea")</f>
        <v>Buddy Korea</v>
      </c>
      <c r="I220" s="3" t="str">
        <f>IFERROR(__xludf.DUMMYFUNCTION("""COMPUTED_VALUE"""),"วิทยาลัยพยาบาลทหารอากาศ")</f>
        <v>วิทยาลัยพยาบาลทหารอากาศ</v>
      </c>
      <c r="J220" s="12">
        <f>IFERROR(__xludf.DUMMYFUNCTION("""COMPUTED_VALUE"""),45952.0)</f>
        <v>45952</v>
      </c>
      <c r="K220" s="3" t="str">
        <f>IFERROR(__xludf.DUMMYFUNCTION("""COMPUTED_VALUE"""),"1800-2200")</f>
        <v>1800-2200</v>
      </c>
      <c r="L220" s="3">
        <f>IFERROR(__xludf.DUMMYFUNCTION("""COMPUTED_VALUE"""),4.0)</f>
        <v>4</v>
      </c>
      <c r="M220" s="3" t="str">
        <f>IFERROR(__xludf.DUMMYFUNCTION("""COMPUTED_VALUE"""),"น.ต.หญิง ประไพศรี ศุภางค์ภร")</f>
        <v>น.ต.หญิง ประไพศรี ศุภางค์ภร</v>
      </c>
      <c r="N220" s="14" t="str">
        <f>IFERROR(__xludf.DUMMYFUNCTION("""COMPUTED_VALUE"""),"https://lh5.googleusercontent.com/d/1btL_lBJ4y-2n5EZhwZA9zFJCTTcDCCWt")</f>
        <v>https://lh5.googleusercontent.com/d/1btL_lBJ4y-2n5EZhwZA9zFJCTTcDCCWt</v>
      </c>
      <c r="O220" s="14" t="str">
        <f>IFERROR(__xludf.DUMMYFUNCTION("""COMPUTED_VALUE"""),"https://drive.google.com/file/d/1PAVfvmYFpB06kDQWRr4h7tL6hleeDHMC/view?usp=drivesdk")</f>
        <v>https://drive.google.com/file/d/1PAVfvmYFpB06kDQWRr4h7tL6hleeDHMC/view?usp=drivesdk</v>
      </c>
    </row>
    <row r="221">
      <c r="A221" s="3">
        <f>IFERROR(__xludf.DUMMYFUNCTION("""COMPUTED_VALUE"""),910.0)</f>
        <v>910</v>
      </c>
      <c r="B221" s="11">
        <f>IFERROR(__xludf.DUMMYFUNCTION("""COMPUTED_VALUE"""),45991.94902530093)</f>
        <v>45991.94903</v>
      </c>
      <c r="C221" s="3" t="str">
        <f>IFERROR(__xludf.DUMMYFUNCTION("""COMPUTED_VALUE"""),"ชั้นปีที่ 3")</f>
        <v>ชั้นปีที่ 3</v>
      </c>
      <c r="D221" s="3" t="str">
        <f>IFERROR(__xludf.DUMMYFUNCTION("""COMPUTED_VALUE"""),"6603809")</f>
        <v>6603809</v>
      </c>
      <c r="E221" s="3" t="str">
        <f>IFERROR(__xludf.DUMMYFUNCTION("""COMPUTED_VALUE"""),"55")</f>
        <v>55</v>
      </c>
      <c r="F221" s="3" t="str">
        <f>IFERROR(__xludf.DUMMYFUNCTION("""COMPUTED_VALUE"""),"นพอ.สุณัญญา แก้วเจริญ")</f>
        <v>นพอ.สุณัญญา แก้วเจริญ</v>
      </c>
      <c r="G221" s="3" t="str">
        <f>IFERROR(__xludf.DUMMYFUNCTION("""COMPUTED_VALUE"""),"ช่วยเหลืองานภายใน วพอ.")</f>
        <v>ช่วยเหลืองานภายใน วพอ.</v>
      </c>
      <c r="H221" s="3" t="str">
        <f>IFERROR(__xludf.DUMMYFUNCTION("""COMPUTED_VALUE"""),"Buddy Korea")</f>
        <v>Buddy Korea</v>
      </c>
      <c r="I221" s="3" t="str">
        <f>IFERROR(__xludf.DUMMYFUNCTION("""COMPUTED_VALUE"""),"วพอ.")</f>
        <v>วพอ.</v>
      </c>
      <c r="J221" s="12">
        <f>IFERROR(__xludf.DUMMYFUNCTION("""COMPUTED_VALUE"""),45953.0)</f>
        <v>45953</v>
      </c>
      <c r="K221" s="3" t="str">
        <f>IFERROR(__xludf.DUMMYFUNCTION("""COMPUTED_VALUE"""),"1800-2200")</f>
        <v>1800-2200</v>
      </c>
      <c r="L221" s="3">
        <f>IFERROR(__xludf.DUMMYFUNCTION("""COMPUTED_VALUE"""),4.0)</f>
        <v>4</v>
      </c>
      <c r="M221" s="3" t="str">
        <f>IFERROR(__xludf.DUMMYFUNCTION("""COMPUTED_VALUE"""),"น.ต.หญิง ประไพศรี ศุภางค์ภร")</f>
        <v>น.ต.หญิง ประไพศรี ศุภางค์ภร</v>
      </c>
      <c r="N221" s="14" t="str">
        <f>IFERROR(__xludf.DUMMYFUNCTION("""COMPUTED_VALUE"""),"https://lh5.googleusercontent.com/d/1JE5MFc4KxPbnEtLfFhoprl7AoCmWq0-Z")</f>
        <v>https://lh5.googleusercontent.com/d/1JE5MFc4KxPbnEtLfFhoprl7AoCmWq0-Z</v>
      </c>
      <c r="O221" s="14" t="str">
        <f>IFERROR(__xludf.DUMMYFUNCTION("""COMPUTED_VALUE"""),"https://drive.google.com/file/d/1Nnm0ev-a0wPy32QCBLjcqaIFUEIeQYi7/view?usp=drivesdk")</f>
        <v>https://drive.google.com/file/d/1Nnm0ev-a0wPy32QCBLjcqaIFUEIeQYi7/view?usp=drivesdk</v>
      </c>
    </row>
    <row r="222">
      <c r="A222" s="3">
        <f>IFERROR(__xludf.DUMMYFUNCTION("""COMPUTED_VALUE"""),923.0)</f>
        <v>923</v>
      </c>
      <c r="B222" s="11">
        <f>IFERROR(__xludf.DUMMYFUNCTION("""COMPUTED_VALUE"""),45991.95550725695)</f>
        <v>45991.95551</v>
      </c>
      <c r="C222" s="3" t="str">
        <f>IFERROR(__xludf.DUMMYFUNCTION("""COMPUTED_VALUE"""),"ชั้นปีที่ 3")</f>
        <v>ชั้นปีที่ 3</v>
      </c>
      <c r="D222" s="3" t="str">
        <f>IFERROR(__xludf.DUMMYFUNCTION("""COMPUTED_VALUE"""),"6603809")</f>
        <v>6603809</v>
      </c>
      <c r="E222" s="3" t="str">
        <f>IFERROR(__xludf.DUMMYFUNCTION("""COMPUTED_VALUE"""),"55")</f>
        <v>55</v>
      </c>
      <c r="F222" s="3" t="str">
        <f>IFERROR(__xludf.DUMMYFUNCTION("""COMPUTED_VALUE"""),"นพอ.สุณัญญา แก้วเจริญ")</f>
        <v>นพอ.สุณัญญา แก้วเจริญ</v>
      </c>
      <c r="G222" s="3" t="str">
        <f>IFERROR(__xludf.DUMMYFUNCTION("""COMPUTED_VALUE"""),"ช่วยเหลืองานภายใน วพอ.")</f>
        <v>ช่วยเหลืองานภายใน วพอ.</v>
      </c>
      <c r="H222" s="3" t="str">
        <f>IFERROR(__xludf.DUMMYFUNCTION("""COMPUTED_VALUE"""),"Buddy Korea")</f>
        <v>Buddy Korea</v>
      </c>
      <c r="I222" s="3" t="str">
        <f>IFERROR(__xludf.DUMMYFUNCTION("""COMPUTED_VALUE"""),"วพอ.")</f>
        <v>วพอ.</v>
      </c>
      <c r="J222" s="12">
        <f>IFERROR(__xludf.DUMMYFUNCTION("""COMPUTED_VALUE"""),45954.0)</f>
        <v>45954</v>
      </c>
      <c r="K222" s="3" t="str">
        <f>IFERROR(__xludf.DUMMYFUNCTION("""COMPUTED_VALUE"""),"1300-1700")</f>
        <v>1300-1700</v>
      </c>
      <c r="L222" s="3">
        <f>IFERROR(__xludf.DUMMYFUNCTION("""COMPUTED_VALUE"""),4.0)</f>
        <v>4</v>
      </c>
      <c r="M222" s="3" t="str">
        <f>IFERROR(__xludf.DUMMYFUNCTION("""COMPUTED_VALUE"""),"น.ต.หญิง ประไพศรี ศุภางค์ภร")</f>
        <v>น.ต.หญิง ประไพศรี ศุภางค์ภร</v>
      </c>
      <c r="N222" s="14" t="str">
        <f>IFERROR(__xludf.DUMMYFUNCTION("""COMPUTED_VALUE"""),"https://lh5.googleusercontent.com/d/1kpx0vW27rv9VhaKF6dsqA8Fd7mCnLS0j")</f>
        <v>https://lh5.googleusercontent.com/d/1kpx0vW27rv9VhaKF6dsqA8Fd7mCnLS0j</v>
      </c>
      <c r="O222" s="14" t="str">
        <f>IFERROR(__xludf.DUMMYFUNCTION("""COMPUTED_VALUE"""),"https://drive.google.com/file/d/1UhHTFzbEYHEvf3tV1H5BfSf_la1u9xpg/view?usp=drivesdk")</f>
        <v>https://drive.google.com/file/d/1UhHTFzbEYHEvf3tV1H5BfSf_la1u9xpg/view?usp=drivesdk</v>
      </c>
    </row>
    <row r="223">
      <c r="A223" s="3">
        <f>IFERROR(__xludf.DUMMYFUNCTION("""COMPUTED_VALUE"""),925.0)</f>
        <v>925</v>
      </c>
      <c r="B223" s="11">
        <f>IFERROR(__xludf.DUMMYFUNCTION("""COMPUTED_VALUE"""),45991.95608315972)</f>
        <v>45991.95608</v>
      </c>
      <c r="C223" s="3" t="str">
        <f>IFERROR(__xludf.DUMMYFUNCTION("""COMPUTED_VALUE"""),"ชั้นปีที่ 3")</f>
        <v>ชั้นปีที่ 3</v>
      </c>
      <c r="D223" s="3" t="str">
        <f>IFERROR(__xludf.DUMMYFUNCTION("""COMPUTED_VALUE"""),"6603768")</f>
        <v>6603768</v>
      </c>
      <c r="E223" s="3" t="str">
        <f>IFERROR(__xludf.DUMMYFUNCTION("""COMPUTED_VALUE"""),"15")</f>
        <v>15</v>
      </c>
      <c r="F223" s="3" t="str">
        <f>IFERROR(__xludf.DUMMYFUNCTION("""COMPUTED_VALUE"""),"นพอ.ณัฐวุฒิ แสงคร้าม")</f>
        <v>นพอ.ณัฐวุฒิ แสงคร้าม</v>
      </c>
      <c r="G2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3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23" s="3" t="str">
        <f>IFERROR(__xludf.DUMMYFUNCTION("""COMPUTED_VALUE"""),"วัดเกาะ")</f>
        <v>วัดเกาะ</v>
      </c>
      <c r="J223" s="12">
        <f>IFERROR(__xludf.DUMMYFUNCTION("""COMPUTED_VALUE"""),45823.0)</f>
        <v>45823</v>
      </c>
      <c r="K223" s="3" t="str">
        <f>IFERROR(__xludf.DUMMYFUNCTION("""COMPUTED_VALUE"""),"0800-1200")</f>
        <v>0800-1200</v>
      </c>
      <c r="L223" s="3">
        <f>IFERROR(__xludf.DUMMYFUNCTION("""COMPUTED_VALUE"""),4.0)</f>
        <v>4</v>
      </c>
      <c r="M223" s="3" t="str">
        <f>IFERROR(__xludf.DUMMYFUNCTION("""COMPUTED_VALUE"""),"น.ต.หญิง ตวงทิพย์  ลดาวัลย์")</f>
        <v>น.ต.หญิง ตวงทิพย์  ลดาวัลย์</v>
      </c>
      <c r="N223" s="14" t="str">
        <f>IFERROR(__xludf.DUMMYFUNCTION("""COMPUTED_VALUE"""),"https://lh5.googleusercontent.com/d/1maGcMw4Ry8DLi0EOdNOT6MNwr2xWpJmr")</f>
        <v>https://lh5.googleusercontent.com/d/1maGcMw4Ry8DLi0EOdNOT6MNwr2xWpJmr</v>
      </c>
      <c r="O223" s="14" t="str">
        <f>IFERROR(__xludf.DUMMYFUNCTION("""COMPUTED_VALUE"""),"https://drive.google.com/file/d/1XR0WwgLtjIqgqpsaiPPkKxUQVZpWIExw/view?usp=drivesdk")</f>
        <v>https://drive.google.com/file/d/1XR0WwgLtjIqgqpsaiPPkKxUQVZpWIExw/view?usp=drivesdk</v>
      </c>
    </row>
    <row r="224">
      <c r="A224" s="3">
        <f>IFERROR(__xludf.DUMMYFUNCTION("""COMPUTED_VALUE"""),927.0)</f>
        <v>927</v>
      </c>
      <c r="B224" s="11">
        <f>IFERROR(__xludf.DUMMYFUNCTION("""COMPUTED_VALUE"""),45991.96038332176)</f>
        <v>45991.96038</v>
      </c>
      <c r="C224" s="3" t="str">
        <f>IFERROR(__xludf.DUMMYFUNCTION("""COMPUTED_VALUE"""),"ชั้นปีที่ 3")</f>
        <v>ชั้นปีที่ 3</v>
      </c>
      <c r="D224" s="3" t="str">
        <f>IFERROR(__xludf.DUMMYFUNCTION("""COMPUTED_VALUE"""),"6603809")</f>
        <v>6603809</v>
      </c>
      <c r="E224" s="3" t="str">
        <f>IFERROR(__xludf.DUMMYFUNCTION("""COMPUTED_VALUE"""),"55")</f>
        <v>55</v>
      </c>
      <c r="F224" s="3" t="str">
        <f>IFERROR(__xludf.DUMMYFUNCTION("""COMPUTED_VALUE"""),"นพอ.สุณัญญา แก้วเจริญ")</f>
        <v>นพอ.สุณัญญา แก้วเจริญ</v>
      </c>
      <c r="G224" s="3" t="str">
        <f>IFERROR(__xludf.DUMMYFUNCTION("""COMPUTED_VALUE"""),"ช่วยเหลืองานภายใน วพอ.")</f>
        <v>ช่วยเหลืองานภายใน วพอ.</v>
      </c>
      <c r="H224" s="3" t="str">
        <f>IFERROR(__xludf.DUMMYFUNCTION("""COMPUTED_VALUE"""),"ทกท.")</f>
        <v>ทกท.</v>
      </c>
      <c r="I224" s="3" t="str">
        <f>IFERROR(__xludf.DUMMYFUNCTION("""COMPUTED_VALUE"""),"วพอ.")</f>
        <v>วพอ.</v>
      </c>
      <c r="J224" s="12">
        <f>IFERROR(__xludf.DUMMYFUNCTION("""COMPUTED_VALUE"""),45964.0)</f>
        <v>45964</v>
      </c>
      <c r="K224" s="3" t="str">
        <f>IFERROR(__xludf.DUMMYFUNCTION("""COMPUTED_VALUE"""),"0700-1500")</f>
        <v>0700-1500</v>
      </c>
      <c r="L224" s="3">
        <f>IFERROR(__xludf.DUMMYFUNCTION("""COMPUTED_VALUE"""),8.0)</f>
        <v>8</v>
      </c>
      <c r="M224" s="3" t="str">
        <f>IFERROR(__xludf.DUMMYFUNCTION("""COMPUTED_VALUE"""),"ร.อ.อนุชิต ทำจะดี")</f>
        <v>ร.อ.อนุชิต ทำจะดี</v>
      </c>
      <c r="N224" s="14" t="str">
        <f>IFERROR(__xludf.DUMMYFUNCTION("""COMPUTED_VALUE"""),"https://lh5.googleusercontent.com/d/1OZWA_54Yl3xWAJGN6B7LkEK9_qE95yYR")</f>
        <v>https://lh5.googleusercontent.com/d/1OZWA_54Yl3xWAJGN6B7LkEK9_qE95yYR</v>
      </c>
      <c r="O224" s="14" t="str">
        <f>IFERROR(__xludf.DUMMYFUNCTION("""COMPUTED_VALUE"""),"https://drive.google.com/file/d/1v_BGGchhn5DXqgp8s87H8Tw_Kf-Srxki/view?usp=drivesdk")</f>
        <v>https://drive.google.com/file/d/1v_BGGchhn5DXqgp8s87H8Tw_Kf-Srxki/view?usp=drivesdk</v>
      </c>
    </row>
    <row r="225">
      <c r="A225" s="3">
        <f>IFERROR(__xludf.DUMMYFUNCTION("""COMPUTED_VALUE"""),929.0)</f>
        <v>929</v>
      </c>
      <c r="B225" s="11">
        <f>IFERROR(__xludf.DUMMYFUNCTION("""COMPUTED_VALUE"""),45991.9612818287)</f>
        <v>45991.96128</v>
      </c>
      <c r="C225" s="3" t="str">
        <f>IFERROR(__xludf.DUMMYFUNCTION("""COMPUTED_VALUE"""),"ชั้นปีที่ 3")</f>
        <v>ชั้นปีที่ 3</v>
      </c>
      <c r="D225" s="3" t="str">
        <f>IFERROR(__xludf.DUMMYFUNCTION("""COMPUTED_VALUE"""),"6603809")</f>
        <v>6603809</v>
      </c>
      <c r="E225" s="3" t="str">
        <f>IFERROR(__xludf.DUMMYFUNCTION("""COMPUTED_VALUE"""),"55")</f>
        <v>55</v>
      </c>
      <c r="F225" s="3" t="str">
        <f>IFERROR(__xludf.DUMMYFUNCTION("""COMPUTED_VALUE"""),"นพอ.สุณัญญา แก้วเจริญ")</f>
        <v>นพอ.สุณัญญา แก้วเจริญ</v>
      </c>
      <c r="G225" s="3" t="str">
        <f>IFERROR(__xludf.DUMMYFUNCTION("""COMPUTED_VALUE"""),"ช่วยเหลืองานภายใน วพอ.")</f>
        <v>ช่วยเหลืองานภายใน วพอ.</v>
      </c>
      <c r="H225" s="3" t="str">
        <f>IFERROR(__xludf.DUMMYFUNCTION("""COMPUTED_VALUE"""),"ทกท.")</f>
        <v>ทกท.</v>
      </c>
      <c r="I225" s="3" t="str">
        <f>IFERROR(__xludf.DUMMYFUNCTION("""COMPUTED_VALUE"""),"วพอ.")</f>
        <v>วพอ.</v>
      </c>
      <c r="J225" s="12">
        <f>IFERROR(__xludf.DUMMYFUNCTION("""COMPUTED_VALUE"""),45965.0)</f>
        <v>45965</v>
      </c>
      <c r="K225" s="3" t="str">
        <f>IFERROR(__xludf.DUMMYFUNCTION("""COMPUTED_VALUE"""),"0700-1500")</f>
        <v>0700-1500</v>
      </c>
      <c r="L225" s="3">
        <f>IFERROR(__xludf.DUMMYFUNCTION("""COMPUTED_VALUE"""),8.0)</f>
        <v>8</v>
      </c>
      <c r="M225" s="3" t="str">
        <f>IFERROR(__xludf.DUMMYFUNCTION("""COMPUTED_VALUE"""),"ร.อ.อนุชิต ทำจะดี")</f>
        <v>ร.อ.อนุชิต ทำจะดี</v>
      </c>
      <c r="N225" s="14" t="str">
        <f>IFERROR(__xludf.DUMMYFUNCTION("""COMPUTED_VALUE"""),"https://lh5.googleusercontent.com/d/1TVwPbYeFxnkRnRxulQZCHV1TuGSNZkwm")</f>
        <v>https://lh5.googleusercontent.com/d/1TVwPbYeFxnkRnRxulQZCHV1TuGSNZkwm</v>
      </c>
      <c r="O225" s="14" t="str">
        <f>IFERROR(__xludf.DUMMYFUNCTION("""COMPUTED_VALUE"""),"https://drive.google.com/file/d/1SRFRuC_DgOYUlGpqnug4MzYRJbKxBoRk/view?usp=drivesdk")</f>
        <v>https://drive.google.com/file/d/1SRFRuC_DgOYUlGpqnug4MzYRJbKxBoRk/view?usp=drivesdk</v>
      </c>
    </row>
    <row r="226">
      <c r="A226" s="3">
        <f>IFERROR(__xludf.DUMMYFUNCTION("""COMPUTED_VALUE"""),931.0)</f>
        <v>931</v>
      </c>
      <c r="B226" s="11">
        <f>IFERROR(__xludf.DUMMYFUNCTION("""COMPUTED_VALUE"""),45991.96207081019)</f>
        <v>45991.96207</v>
      </c>
      <c r="C226" s="3" t="str">
        <f>IFERROR(__xludf.DUMMYFUNCTION("""COMPUTED_VALUE"""),"ชั้นปีที่ 3")</f>
        <v>ชั้นปีที่ 3</v>
      </c>
      <c r="D226" s="3" t="str">
        <f>IFERROR(__xludf.DUMMYFUNCTION("""COMPUTED_VALUE"""),"6603768")</f>
        <v>6603768</v>
      </c>
      <c r="E226" s="3" t="str">
        <f>IFERROR(__xludf.DUMMYFUNCTION("""COMPUTED_VALUE"""),"15")</f>
        <v>15</v>
      </c>
      <c r="F226" s="3" t="str">
        <f>IFERROR(__xludf.DUMMYFUNCTION("""COMPUTED_VALUE"""),"นพอ.ณัฐวุฒิ แสงคร้าม")</f>
        <v>นพอ.ณัฐวุฒิ แสงคร้าม</v>
      </c>
      <c r="G22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6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2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26" s="12">
        <f>IFERROR(__xludf.DUMMYFUNCTION("""COMPUTED_VALUE"""),45839.0)</f>
        <v>45839</v>
      </c>
      <c r="K226" s="3" t="str">
        <f>IFERROR(__xludf.DUMMYFUNCTION("""COMPUTED_VALUE"""),"1400-2200")</f>
        <v>1400-2200</v>
      </c>
      <c r="L226" s="3">
        <f>IFERROR(__xludf.DUMMYFUNCTION("""COMPUTED_VALUE"""),8.0)</f>
        <v>8</v>
      </c>
      <c r="M226" s="3" t="str">
        <f>IFERROR(__xludf.DUMMYFUNCTION("""COMPUTED_VALUE"""),"ร.อ.อนุชิต ทำจะดี")</f>
        <v>ร.อ.อนุชิต ทำจะดี</v>
      </c>
      <c r="N226" s="14" t="str">
        <f>IFERROR(__xludf.DUMMYFUNCTION("""COMPUTED_VALUE"""),"https://lh5.googleusercontent.com/d/1GAwCHnWVePnI3c5sLPEvQO0PufUyznmQ")</f>
        <v>https://lh5.googleusercontent.com/d/1GAwCHnWVePnI3c5sLPEvQO0PufUyznmQ</v>
      </c>
      <c r="O226" s="14" t="str">
        <f>IFERROR(__xludf.DUMMYFUNCTION("""COMPUTED_VALUE"""),"https://drive.google.com/file/d/1WZmgSuhoShKzHk7BPxsR0oJLFllEbUvV/view?usp=drivesdk")</f>
        <v>https://drive.google.com/file/d/1WZmgSuhoShKzHk7BPxsR0oJLFllEbUvV/view?usp=drivesdk</v>
      </c>
    </row>
    <row r="227">
      <c r="A227" s="3">
        <f>IFERROR(__xludf.DUMMYFUNCTION("""COMPUTED_VALUE"""),932.0)</f>
        <v>932</v>
      </c>
      <c r="B227" s="11">
        <f>IFERROR(__xludf.DUMMYFUNCTION("""COMPUTED_VALUE"""),45991.96236489584)</f>
        <v>45991.96236</v>
      </c>
      <c r="C227" s="3" t="str">
        <f>IFERROR(__xludf.DUMMYFUNCTION("""COMPUTED_VALUE"""),"ชั้นปีที่ 3")</f>
        <v>ชั้นปีที่ 3</v>
      </c>
      <c r="D227" s="3" t="str">
        <f>IFERROR(__xludf.DUMMYFUNCTION("""COMPUTED_VALUE"""),"6603809")</f>
        <v>6603809</v>
      </c>
      <c r="E227" s="3" t="str">
        <f>IFERROR(__xludf.DUMMYFUNCTION("""COMPUTED_VALUE"""),"55")</f>
        <v>55</v>
      </c>
      <c r="F227" s="3" t="str">
        <f>IFERROR(__xludf.DUMMYFUNCTION("""COMPUTED_VALUE"""),"นพอ.สุณัญญา แก้วเจริญ")</f>
        <v>นพอ.สุณัญญา แก้วเจริญ</v>
      </c>
      <c r="G227" s="3" t="str">
        <f>IFERROR(__xludf.DUMMYFUNCTION("""COMPUTED_VALUE"""),"ช่วยเหลืองานภายใน วพอ.")</f>
        <v>ช่วยเหลืองานภายใน วพอ.</v>
      </c>
      <c r="H227" s="3" t="str">
        <f>IFERROR(__xludf.DUMMYFUNCTION("""COMPUTED_VALUE"""),"ทกท.")</f>
        <v>ทกท.</v>
      </c>
      <c r="I227" s="3" t="str">
        <f>IFERROR(__xludf.DUMMYFUNCTION("""COMPUTED_VALUE"""),"วพอ.")</f>
        <v>วพอ.</v>
      </c>
      <c r="J227" s="12">
        <f>IFERROR(__xludf.DUMMYFUNCTION("""COMPUTED_VALUE"""),45966.0)</f>
        <v>45966</v>
      </c>
      <c r="K227" s="3" t="str">
        <f>IFERROR(__xludf.DUMMYFUNCTION("""COMPUTED_VALUE"""),"0700-1100")</f>
        <v>0700-1100</v>
      </c>
      <c r="L227" s="3">
        <f>IFERROR(__xludf.DUMMYFUNCTION("""COMPUTED_VALUE"""),4.0)</f>
        <v>4</v>
      </c>
      <c r="M227" s="3" t="str">
        <f>IFERROR(__xludf.DUMMYFUNCTION("""COMPUTED_VALUE"""),"ร.อ.อนุชิต ทำจะดี")</f>
        <v>ร.อ.อนุชิต ทำจะดี</v>
      </c>
      <c r="N227" s="14" t="str">
        <f>IFERROR(__xludf.DUMMYFUNCTION("""COMPUTED_VALUE"""),"https://lh5.googleusercontent.com/d/1_lor1oxUewuSz9qMHrk1gIgNET18LCDk")</f>
        <v>https://lh5.googleusercontent.com/d/1_lor1oxUewuSz9qMHrk1gIgNET18LCDk</v>
      </c>
      <c r="O227" s="14" t="str">
        <f>IFERROR(__xludf.DUMMYFUNCTION("""COMPUTED_VALUE"""),"https://drive.google.com/file/d/1JSSs9vmQnInYdNuiIDus4BJ64_TWpeBC/view?usp=drivesdk")</f>
        <v>https://drive.google.com/file/d/1JSSs9vmQnInYdNuiIDus4BJ64_TWpeBC/view?usp=drivesdk</v>
      </c>
    </row>
    <row r="228">
      <c r="A228" s="3">
        <f>IFERROR(__xludf.DUMMYFUNCTION("""COMPUTED_VALUE"""),934.0)</f>
        <v>934</v>
      </c>
      <c r="B228" s="11">
        <f>IFERROR(__xludf.DUMMYFUNCTION("""COMPUTED_VALUE"""),45991.96297061343)</f>
        <v>45991.96297</v>
      </c>
      <c r="C228" s="3" t="str">
        <f>IFERROR(__xludf.DUMMYFUNCTION("""COMPUTED_VALUE"""),"ชั้นปีที่ 3")</f>
        <v>ชั้นปีที่ 3</v>
      </c>
      <c r="D228" s="3" t="str">
        <f>IFERROR(__xludf.DUMMYFUNCTION("""COMPUTED_VALUE"""),"6603768")</f>
        <v>6603768</v>
      </c>
      <c r="E228" s="3" t="str">
        <f>IFERROR(__xludf.DUMMYFUNCTION("""COMPUTED_VALUE"""),"15")</f>
        <v>15</v>
      </c>
      <c r="F228" s="3" t="str">
        <f>IFERROR(__xludf.DUMMYFUNCTION("""COMPUTED_VALUE"""),"นพอ.ณัฐวุฒิ แสงคร้าม")</f>
        <v>นพอ.ณัฐวุฒิ แสงคร้าม</v>
      </c>
      <c r="G2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8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2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28" s="12">
        <f>IFERROR(__xludf.DUMMYFUNCTION("""COMPUTED_VALUE"""),45840.0)</f>
        <v>45840</v>
      </c>
      <c r="K228" s="3" t="str">
        <f>IFERROR(__xludf.DUMMYFUNCTION("""COMPUTED_VALUE"""),"1400-2200")</f>
        <v>1400-2200</v>
      </c>
      <c r="L228" s="3">
        <f>IFERROR(__xludf.DUMMYFUNCTION("""COMPUTED_VALUE"""),8.0)</f>
        <v>8</v>
      </c>
      <c r="M228" s="3" t="str">
        <f>IFERROR(__xludf.DUMMYFUNCTION("""COMPUTED_VALUE"""),"ร.อ.อนุชิต ทำจะดี")</f>
        <v>ร.อ.อนุชิต ทำจะดี</v>
      </c>
      <c r="N228" s="14" t="str">
        <f>IFERROR(__xludf.DUMMYFUNCTION("""COMPUTED_VALUE"""),"https://lh5.googleusercontent.com/d/1KhliTb2DcdDoXaI_YgIWRCUCiY92Xv85")</f>
        <v>https://lh5.googleusercontent.com/d/1KhliTb2DcdDoXaI_YgIWRCUCiY92Xv85</v>
      </c>
      <c r="O228" s="14" t="str">
        <f>IFERROR(__xludf.DUMMYFUNCTION("""COMPUTED_VALUE"""),"https://drive.google.com/file/d/1GB-5JWDUAHOULyURJQMVi9KTFc15fSrM/view?usp=drivesdk")</f>
        <v>https://drive.google.com/file/d/1GB-5JWDUAHOULyURJQMVi9KTFc15fSrM/view?usp=drivesdk</v>
      </c>
    </row>
    <row r="229">
      <c r="A229" s="3">
        <f>IFERROR(__xludf.DUMMYFUNCTION("""COMPUTED_VALUE"""),939.0)</f>
        <v>939</v>
      </c>
      <c r="B229" s="11">
        <f>IFERROR(__xludf.DUMMYFUNCTION("""COMPUTED_VALUE"""),45991.97389085648)</f>
        <v>45991.97389</v>
      </c>
      <c r="C229" s="3" t="str">
        <f>IFERROR(__xludf.DUMMYFUNCTION("""COMPUTED_VALUE"""),"ชั้นปีที่ 3")</f>
        <v>ชั้นปีที่ 3</v>
      </c>
      <c r="D229" s="3" t="str">
        <f>IFERROR(__xludf.DUMMYFUNCTION("""COMPUTED_VALUE"""),"6603757")</f>
        <v>6603757</v>
      </c>
      <c r="E229" s="3" t="str">
        <f>IFERROR(__xludf.DUMMYFUNCTION("""COMPUTED_VALUE"""),"4")</f>
        <v>4</v>
      </c>
      <c r="F229" s="3" t="str">
        <f>IFERROR(__xludf.DUMMYFUNCTION("""COMPUTED_VALUE"""),"นพอ.กัลยาณี นารีพล")</f>
        <v>นพอ.กัลยาณี นารีพล</v>
      </c>
      <c r="G22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9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29" s="3" t="str">
        <f>IFERROR(__xludf.DUMMYFUNCTION("""COMPUTED_VALUE"""),"ชุมชนวัดเกาะ")</f>
        <v>ชุมชนวัดเกาะ</v>
      </c>
      <c r="J229" s="12">
        <f>IFERROR(__xludf.DUMMYFUNCTION("""COMPUTED_VALUE"""),45823.0)</f>
        <v>45823</v>
      </c>
      <c r="K229" s="3" t="str">
        <f>IFERROR(__xludf.DUMMYFUNCTION("""COMPUTED_VALUE"""),"0800-1200")</f>
        <v>0800-1200</v>
      </c>
      <c r="L229" s="3">
        <f>IFERROR(__xludf.DUMMYFUNCTION("""COMPUTED_VALUE"""),4.0)</f>
        <v>4</v>
      </c>
      <c r="M229" s="3" t="str">
        <f>IFERROR(__xludf.DUMMYFUNCTION("""COMPUTED_VALUE"""),"น.ต.หญิง ตวงทิพย์ ลดาวัลย์")</f>
        <v>น.ต.หญิง ตวงทิพย์ ลดาวัลย์</v>
      </c>
      <c r="N229" s="14" t="str">
        <f>IFERROR(__xludf.DUMMYFUNCTION("""COMPUTED_VALUE"""),"https://lh5.googleusercontent.com/d/1t8rz73Lf99VEd3c5Bvs7D7gb3amjpPrd")</f>
        <v>https://lh5.googleusercontent.com/d/1t8rz73Lf99VEd3c5Bvs7D7gb3amjpPrd</v>
      </c>
      <c r="O229" s="14" t="str">
        <f>IFERROR(__xludf.DUMMYFUNCTION("""COMPUTED_VALUE"""),"https://drive.google.com/file/d/1nSTfLGeB1c0Jpbfguc_Yg4LncdJEEvZq/view?usp=drivesdk")</f>
        <v>https://drive.google.com/file/d/1nSTfLGeB1c0Jpbfguc_Yg4LncdJEEvZq/view?usp=drivesdk</v>
      </c>
    </row>
    <row r="230">
      <c r="A230" s="3">
        <f>IFERROR(__xludf.DUMMYFUNCTION("""COMPUTED_VALUE"""),941.0)</f>
        <v>941</v>
      </c>
      <c r="B230" s="11">
        <f>IFERROR(__xludf.DUMMYFUNCTION("""COMPUTED_VALUE"""),45991.97578403936)</f>
        <v>45991.97578</v>
      </c>
      <c r="C230" s="3" t="str">
        <f>IFERROR(__xludf.DUMMYFUNCTION("""COMPUTED_VALUE"""),"ชั้นปีที่ 3")</f>
        <v>ชั้นปีที่ 3</v>
      </c>
      <c r="D230" s="3" t="str">
        <f>IFERROR(__xludf.DUMMYFUNCTION("""COMPUTED_VALUE"""),"6603757")</f>
        <v>6603757</v>
      </c>
      <c r="E230" s="3" t="str">
        <f>IFERROR(__xludf.DUMMYFUNCTION("""COMPUTED_VALUE"""),"4")</f>
        <v>4</v>
      </c>
      <c r="F230" s="3" t="str">
        <f>IFERROR(__xludf.DUMMYFUNCTION("""COMPUTED_VALUE"""),"นพอ.กัลยาณี นารีพล")</f>
        <v>นพอ.กัลยาณี นารีพล</v>
      </c>
      <c r="G23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0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3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30" s="12">
        <f>IFERROR(__xludf.DUMMYFUNCTION("""COMPUTED_VALUE"""),45839.0)</f>
        <v>45839</v>
      </c>
      <c r="K230" s="3" t="str">
        <f>IFERROR(__xludf.DUMMYFUNCTION("""COMPUTED_VALUE"""),"1400-2200")</f>
        <v>1400-2200</v>
      </c>
      <c r="L230" s="3">
        <f>IFERROR(__xludf.DUMMYFUNCTION("""COMPUTED_VALUE"""),8.0)</f>
        <v>8</v>
      </c>
      <c r="M230" s="3" t="str">
        <f>IFERROR(__xludf.DUMMYFUNCTION("""COMPUTED_VALUE"""),"ร.อ.อนุชิต ทำจะดี")</f>
        <v>ร.อ.อนุชิต ทำจะดี</v>
      </c>
      <c r="N230" s="14" t="str">
        <f>IFERROR(__xludf.DUMMYFUNCTION("""COMPUTED_VALUE"""),"https://lh5.googleusercontent.com/d/1xz10Fmbe5CQM14WDTxwr-serQI59VM62")</f>
        <v>https://lh5.googleusercontent.com/d/1xz10Fmbe5CQM14WDTxwr-serQI59VM62</v>
      </c>
      <c r="O230" s="14" t="str">
        <f>IFERROR(__xludf.DUMMYFUNCTION("""COMPUTED_VALUE"""),"https://drive.google.com/file/d/101hbrr4a3QP2-IvcIbjNSgiCS8R5M-MK/view?usp=drivesdk")</f>
        <v>https://drive.google.com/file/d/101hbrr4a3QP2-IvcIbjNSgiCS8R5M-MK/view?usp=drivesdk</v>
      </c>
    </row>
    <row r="231">
      <c r="A231" s="3">
        <f>IFERROR(__xludf.DUMMYFUNCTION("""COMPUTED_VALUE"""),942.0)</f>
        <v>942</v>
      </c>
      <c r="B231" s="11">
        <f>IFERROR(__xludf.DUMMYFUNCTION("""COMPUTED_VALUE"""),45991.97683528935)</f>
        <v>45991.97684</v>
      </c>
      <c r="C231" s="3" t="str">
        <f>IFERROR(__xludf.DUMMYFUNCTION("""COMPUTED_VALUE"""),"ชั้นปีที่ 3")</f>
        <v>ชั้นปีที่ 3</v>
      </c>
      <c r="D231" s="3" t="str">
        <f>IFERROR(__xludf.DUMMYFUNCTION("""COMPUTED_VALUE"""),"6603757")</f>
        <v>6603757</v>
      </c>
      <c r="E231" s="3" t="str">
        <f>IFERROR(__xludf.DUMMYFUNCTION("""COMPUTED_VALUE"""),"4")</f>
        <v>4</v>
      </c>
      <c r="F231" s="3" t="str">
        <f>IFERROR(__xludf.DUMMYFUNCTION("""COMPUTED_VALUE"""),"นพอ.กัลยาณี นารีพล")</f>
        <v>นพอ.กัลยาณี นารีพล</v>
      </c>
      <c r="G2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1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3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31" s="12">
        <f>IFERROR(__xludf.DUMMYFUNCTION("""COMPUTED_VALUE"""),45840.0)</f>
        <v>45840</v>
      </c>
      <c r="K231" s="3" t="str">
        <f>IFERROR(__xludf.DUMMYFUNCTION("""COMPUTED_VALUE"""),"1400-2200")</f>
        <v>1400-2200</v>
      </c>
      <c r="L231" s="3">
        <f>IFERROR(__xludf.DUMMYFUNCTION("""COMPUTED_VALUE"""),8.0)</f>
        <v>8</v>
      </c>
      <c r="M231" s="3" t="str">
        <f>IFERROR(__xludf.DUMMYFUNCTION("""COMPUTED_VALUE"""),"ร.อ.อนุชิต ทำจะดี")</f>
        <v>ร.อ.อนุชิต ทำจะดี</v>
      </c>
      <c r="N231" s="14" t="str">
        <f>IFERROR(__xludf.DUMMYFUNCTION("""COMPUTED_VALUE"""),"https://lh5.googleusercontent.com/d/1_XL-WmUVIGL7cpMg_qPTeljgy8BjEY-A")</f>
        <v>https://lh5.googleusercontent.com/d/1_XL-WmUVIGL7cpMg_qPTeljgy8BjEY-A</v>
      </c>
      <c r="O231" s="14" t="str">
        <f>IFERROR(__xludf.DUMMYFUNCTION("""COMPUTED_VALUE"""),"https://drive.google.com/file/d/1HLAXVBWKwhyvSxOaHieA4pQrK6Dd46HK/view?usp=drivesdk")</f>
        <v>https://drive.google.com/file/d/1HLAXVBWKwhyvSxOaHieA4pQrK6Dd46HK/view?usp=drivesdk</v>
      </c>
    </row>
    <row r="232">
      <c r="A232" s="3">
        <f>IFERROR(__xludf.DUMMYFUNCTION("""COMPUTED_VALUE"""),943.0)</f>
        <v>943</v>
      </c>
      <c r="B232" s="11">
        <f>IFERROR(__xludf.DUMMYFUNCTION("""COMPUTED_VALUE"""),45991.979293136574)</f>
        <v>45991.97929</v>
      </c>
      <c r="C232" s="3" t="str">
        <f>IFERROR(__xludf.DUMMYFUNCTION("""COMPUTED_VALUE"""),"ชั้นปีที่ 3")</f>
        <v>ชั้นปีที่ 3</v>
      </c>
      <c r="D232" s="3" t="str">
        <f>IFERROR(__xludf.DUMMYFUNCTION("""COMPUTED_VALUE"""),"6603757")</f>
        <v>6603757</v>
      </c>
      <c r="E232" s="3" t="str">
        <f>IFERROR(__xludf.DUMMYFUNCTION("""COMPUTED_VALUE"""),"4")</f>
        <v>4</v>
      </c>
      <c r="F232" s="3" t="str">
        <f>IFERROR(__xludf.DUMMYFUNCTION("""COMPUTED_VALUE"""),"นพอ.กัลยาณี นารีพล")</f>
        <v>นพอ.กัลยาณี นารีพล</v>
      </c>
      <c r="G232" s="3" t="str">
        <f>IFERROR(__xludf.DUMMYFUNCTION("""COMPUTED_VALUE"""),"ช่วยเหลืองานภายใน วพอ.")</f>
        <v>ช่วยเหลืองานภายใน วพอ.</v>
      </c>
      <c r="H232" s="3" t="str">
        <f>IFERROR(__xludf.DUMMYFUNCTION("""COMPUTED_VALUE"""),"ทำการแทนนพอ.บังคับบัญชา")</f>
        <v>ทำการแทนนพอ.บังคับบัญชา</v>
      </c>
      <c r="I232" s="3" t="str">
        <f>IFERROR(__xludf.DUMMYFUNCTION("""COMPUTED_VALUE"""),"วพอ.พอ.")</f>
        <v>วพอ.พอ.</v>
      </c>
      <c r="J232" s="12">
        <f>IFERROR(__xludf.DUMMYFUNCTION("""COMPUTED_VALUE"""),45939.0)</f>
        <v>45939</v>
      </c>
      <c r="K232" s="3" t="str">
        <f>IFERROR(__xludf.DUMMYFUNCTION("""COMPUTED_VALUE"""),"0800-1600")</f>
        <v>0800-1600</v>
      </c>
      <c r="L232" s="3">
        <f>IFERROR(__xludf.DUMMYFUNCTION("""COMPUTED_VALUE"""),8.0)</f>
        <v>8</v>
      </c>
      <c r="M232" s="3" t="str">
        <f>IFERROR(__xludf.DUMMYFUNCTION("""COMPUTED_VALUE"""),"ร.อ.อนุชิต ทำจะดี")</f>
        <v>ร.อ.อนุชิต ทำจะดี</v>
      </c>
      <c r="N232" s="14" t="str">
        <f>IFERROR(__xludf.DUMMYFUNCTION("""COMPUTED_VALUE"""),"https://lh5.googleusercontent.com/d/1G09xQsMG3xfnxJXlTn3ZUSRyft3juIe_")</f>
        <v>https://lh5.googleusercontent.com/d/1G09xQsMG3xfnxJXlTn3ZUSRyft3juIe_</v>
      </c>
      <c r="O232" s="14" t="str">
        <f>IFERROR(__xludf.DUMMYFUNCTION("""COMPUTED_VALUE"""),"https://drive.google.com/file/d/1ldLZY6OcabjAx_S6X9lzTJiW3-9y295g/view?usp=drivesdk")</f>
        <v>https://drive.google.com/file/d/1ldLZY6OcabjAx_S6X9lzTJiW3-9y295g/view?usp=drivesdk</v>
      </c>
    </row>
    <row r="233">
      <c r="A233" s="3">
        <f>IFERROR(__xludf.DUMMYFUNCTION("""COMPUTED_VALUE"""),945.0)</f>
        <v>945</v>
      </c>
      <c r="B233" s="11">
        <f>IFERROR(__xludf.DUMMYFUNCTION("""COMPUTED_VALUE"""),45991.98115043981)</f>
        <v>45991.98115</v>
      </c>
      <c r="C233" s="3" t="str">
        <f>IFERROR(__xludf.DUMMYFUNCTION("""COMPUTED_VALUE"""),"ชั้นปีที่ 3")</f>
        <v>ชั้นปีที่ 3</v>
      </c>
      <c r="D233" s="3" t="str">
        <f>IFERROR(__xludf.DUMMYFUNCTION("""COMPUTED_VALUE"""),"6603757")</f>
        <v>6603757</v>
      </c>
      <c r="E233" s="3" t="str">
        <f>IFERROR(__xludf.DUMMYFUNCTION("""COMPUTED_VALUE"""),"4")</f>
        <v>4</v>
      </c>
      <c r="F233" s="3" t="str">
        <f>IFERROR(__xludf.DUMMYFUNCTION("""COMPUTED_VALUE"""),"นพอ.กัลยาณี นารีพล")</f>
        <v>นพอ.กัลยาณี นารีพล</v>
      </c>
      <c r="G233" s="3" t="str">
        <f>IFERROR(__xludf.DUMMYFUNCTION("""COMPUTED_VALUE"""),"ช่วยเหลืองานภายใน วพอ.")</f>
        <v>ช่วยเหลืองานภายใน วพอ.</v>
      </c>
      <c r="H233" s="3" t="str">
        <f>IFERROR(__xludf.DUMMYFUNCTION("""COMPUTED_VALUE"""),"ทำการแทนนพอ.บังคับบัญชา")</f>
        <v>ทำการแทนนพอ.บังคับบัญชา</v>
      </c>
      <c r="I233" s="3" t="str">
        <f>IFERROR(__xludf.DUMMYFUNCTION("""COMPUTED_VALUE"""),"วพอ.พอ.")</f>
        <v>วพอ.พอ.</v>
      </c>
      <c r="J233" s="12">
        <f>IFERROR(__xludf.DUMMYFUNCTION("""COMPUTED_VALUE"""),45947.0)</f>
        <v>45947</v>
      </c>
      <c r="K233" s="3" t="str">
        <f>IFERROR(__xludf.DUMMYFUNCTION("""COMPUTED_VALUE"""),"0800-1600")</f>
        <v>0800-1600</v>
      </c>
      <c r="L233" s="3">
        <f>IFERROR(__xludf.DUMMYFUNCTION("""COMPUTED_VALUE"""),8.0)</f>
        <v>8</v>
      </c>
      <c r="M233" s="3" t="str">
        <f>IFERROR(__xludf.DUMMYFUNCTION("""COMPUTED_VALUE"""),"ร.อ.อนุชิต ทำจะดี")</f>
        <v>ร.อ.อนุชิต ทำจะดี</v>
      </c>
      <c r="N233" s="14" t="str">
        <f>IFERROR(__xludf.DUMMYFUNCTION("""COMPUTED_VALUE"""),"https://lh5.googleusercontent.com/d/115xBkw0w0JCwyx8vNcQVx_aQyjjCrHT7")</f>
        <v>https://lh5.googleusercontent.com/d/115xBkw0w0JCwyx8vNcQVx_aQyjjCrHT7</v>
      </c>
      <c r="O233" s="14" t="str">
        <f>IFERROR(__xludf.DUMMYFUNCTION("""COMPUTED_VALUE"""),"https://drive.google.com/file/d/1aGgYKs6vm4SiZIqvcRPijBJi17WnnNfp/view?usp=drivesdk")</f>
        <v>https://drive.google.com/file/d/1aGgYKs6vm4SiZIqvcRPijBJi17WnnNfp/view?usp=drivesdk</v>
      </c>
    </row>
    <row r="234">
      <c r="A234" s="3">
        <f>IFERROR(__xludf.DUMMYFUNCTION("""COMPUTED_VALUE"""),946.0)</f>
        <v>946</v>
      </c>
      <c r="B234" s="11">
        <f>IFERROR(__xludf.DUMMYFUNCTION("""COMPUTED_VALUE"""),45991.98246616898)</f>
        <v>45991.98247</v>
      </c>
      <c r="C234" s="3" t="str">
        <f>IFERROR(__xludf.DUMMYFUNCTION("""COMPUTED_VALUE"""),"ชั้นปีที่ 3")</f>
        <v>ชั้นปีที่ 3</v>
      </c>
      <c r="D234" s="3" t="str">
        <f>IFERROR(__xludf.DUMMYFUNCTION("""COMPUTED_VALUE"""),"6603757")</f>
        <v>6603757</v>
      </c>
      <c r="E234" s="3" t="str">
        <f>IFERROR(__xludf.DUMMYFUNCTION("""COMPUTED_VALUE"""),"4")</f>
        <v>4</v>
      </c>
      <c r="F234" s="3" t="str">
        <f>IFERROR(__xludf.DUMMYFUNCTION("""COMPUTED_VALUE"""),"นพอ.กัลยาณี นารีพล")</f>
        <v>นพอ.กัลยาณี นารีพล</v>
      </c>
      <c r="G234" s="3" t="str">
        <f>IFERROR(__xludf.DUMMYFUNCTION("""COMPUTED_VALUE"""),"ช่วยเหลืองานภายใน วพอ.")</f>
        <v>ช่วยเหลืองานภายใน วพอ.</v>
      </c>
      <c r="H234" s="3" t="str">
        <f>IFERROR(__xludf.DUMMYFUNCTION("""COMPUTED_VALUE"""),"ทำการแทนนพอ.บังคับบัญชา")</f>
        <v>ทำการแทนนพอ.บังคับบัญชา</v>
      </c>
      <c r="I234" s="3" t="str">
        <f>IFERROR(__xludf.DUMMYFUNCTION("""COMPUTED_VALUE"""),"วพอ.พอ.")</f>
        <v>วพอ.พอ.</v>
      </c>
      <c r="J234" s="12">
        <f>IFERROR(__xludf.DUMMYFUNCTION("""COMPUTED_VALUE"""),45954.0)</f>
        <v>45954</v>
      </c>
      <c r="K234" s="3" t="str">
        <f>IFERROR(__xludf.DUMMYFUNCTION("""COMPUTED_VALUE"""),"0800-1200")</f>
        <v>0800-1200</v>
      </c>
      <c r="L234" s="3">
        <f>IFERROR(__xludf.DUMMYFUNCTION("""COMPUTED_VALUE"""),4.0)</f>
        <v>4</v>
      </c>
      <c r="M234" s="3" t="str">
        <f>IFERROR(__xludf.DUMMYFUNCTION("""COMPUTED_VALUE"""),"ร.อ.อนุชิต ทำจะดี")</f>
        <v>ร.อ.อนุชิต ทำจะดี</v>
      </c>
      <c r="N234" s="14" t="str">
        <f>IFERROR(__xludf.DUMMYFUNCTION("""COMPUTED_VALUE"""),"https://lh5.googleusercontent.com/d/1zNqwv3MXVjofhdRjxr9PIgijeOz73wRS")</f>
        <v>https://lh5.googleusercontent.com/d/1zNqwv3MXVjofhdRjxr9PIgijeOz73wRS</v>
      </c>
      <c r="O234" s="14" t="str">
        <f>IFERROR(__xludf.DUMMYFUNCTION("""COMPUTED_VALUE"""),"https://drive.google.com/file/d/1fL1qB2GbvDPp7xTTlL_C6uyN17DGm_wv/view?usp=drivesdk")</f>
        <v>https://drive.google.com/file/d/1fL1qB2GbvDPp7xTTlL_C6uyN17DGm_wv/view?usp=drivesdk</v>
      </c>
    </row>
    <row r="235">
      <c r="A235" s="3">
        <f>IFERROR(__xludf.DUMMYFUNCTION("""COMPUTED_VALUE"""),947.0)</f>
        <v>947</v>
      </c>
      <c r="B235" s="11">
        <f>IFERROR(__xludf.DUMMYFUNCTION("""COMPUTED_VALUE"""),45991.98530748842)</f>
        <v>45991.98531</v>
      </c>
      <c r="C235" s="3" t="str">
        <f>IFERROR(__xludf.DUMMYFUNCTION("""COMPUTED_VALUE"""),"ชั้นปีที่ 3")</f>
        <v>ชั้นปีที่ 3</v>
      </c>
      <c r="D235" s="3" t="str">
        <f>IFERROR(__xludf.DUMMYFUNCTION("""COMPUTED_VALUE"""),"6603754")</f>
        <v>6603754</v>
      </c>
      <c r="E235" s="3" t="str">
        <f>IFERROR(__xludf.DUMMYFUNCTION("""COMPUTED_VALUE"""),"1")</f>
        <v>1</v>
      </c>
      <c r="F235" s="3" t="str">
        <f>IFERROR(__xludf.DUMMYFUNCTION("""COMPUTED_VALUE"""),"นพอ.กรกนก วิไลลักษณ์")</f>
        <v>นพอ.กรกนก วิไลลักษณ์</v>
      </c>
      <c r="G2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5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35" s="3" t="str">
        <f>IFERROR(__xludf.DUMMYFUNCTION("""COMPUTED_VALUE"""),"ชุมชนวัดเกาะ")</f>
        <v>ชุมชนวัดเกาะ</v>
      </c>
      <c r="J235" s="12">
        <f>IFERROR(__xludf.DUMMYFUNCTION("""COMPUTED_VALUE"""),45823.0)</f>
        <v>45823</v>
      </c>
      <c r="K235" s="3" t="str">
        <f>IFERROR(__xludf.DUMMYFUNCTION("""COMPUTED_VALUE"""),"0800-1200")</f>
        <v>0800-1200</v>
      </c>
      <c r="L235" s="3">
        <f>IFERROR(__xludf.DUMMYFUNCTION("""COMPUTED_VALUE"""),4.0)</f>
        <v>4</v>
      </c>
      <c r="M235" s="3" t="str">
        <f>IFERROR(__xludf.DUMMYFUNCTION("""COMPUTED_VALUE"""),"น.ต.หญิง ตวงทิพย์ ลดาวัลย์")</f>
        <v>น.ต.หญิง ตวงทิพย์ ลดาวัลย์</v>
      </c>
      <c r="N235" s="14" t="str">
        <f>IFERROR(__xludf.DUMMYFUNCTION("""COMPUTED_VALUE"""),"https://lh5.googleusercontent.com/d/1qAYS9y75-CI7gG1HdePdjNRV4Wy3_bko")</f>
        <v>https://lh5.googleusercontent.com/d/1qAYS9y75-CI7gG1HdePdjNRV4Wy3_bko</v>
      </c>
      <c r="O235" s="14" t="str">
        <f>IFERROR(__xludf.DUMMYFUNCTION("""COMPUTED_VALUE"""),"https://drive.google.com/file/d/12QSyzEjt0OOWCc29n3focKFnPJxLKJYb/view?usp=drivesdk")</f>
        <v>https://drive.google.com/file/d/12QSyzEjt0OOWCc29n3focKFnPJxLKJYb/view?usp=drivesdk</v>
      </c>
    </row>
    <row r="236">
      <c r="A236" s="3">
        <f>IFERROR(__xludf.DUMMYFUNCTION("""COMPUTED_VALUE"""),949.0)</f>
        <v>949</v>
      </c>
      <c r="B236" s="11">
        <f>IFERROR(__xludf.DUMMYFUNCTION("""COMPUTED_VALUE"""),45991.98791596065)</f>
        <v>45991.98792</v>
      </c>
      <c r="C236" s="3" t="str">
        <f>IFERROR(__xludf.DUMMYFUNCTION("""COMPUTED_VALUE"""),"ชั้นปีที่ 3")</f>
        <v>ชั้นปีที่ 3</v>
      </c>
      <c r="D236" s="3" t="str">
        <f>IFERROR(__xludf.DUMMYFUNCTION("""COMPUTED_VALUE"""),"6603757")</f>
        <v>6603757</v>
      </c>
      <c r="E236" s="3" t="str">
        <f>IFERROR(__xludf.DUMMYFUNCTION("""COMPUTED_VALUE"""),"4")</f>
        <v>4</v>
      </c>
      <c r="F236" s="3" t="str">
        <f>IFERROR(__xludf.DUMMYFUNCTION("""COMPUTED_VALUE"""),"นพอ.กัลยาณี นารีพล")</f>
        <v>นพอ.กัลยาณี นารีพล</v>
      </c>
      <c r="G2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6" s="3" t="str">
        <f>IFERROR(__xludf.DUMMYFUNCTION("""COMPUTED_VALUE"""),"ฟังการสัมนาสื่อสร้างสรรค์ เสริมพลังการสื่่อสาร พัฒนาสังคม")</f>
        <v>ฟังการสัมนาสื่อสร้างสรรค์ เสริมพลังการสื่่อสาร พัฒนาสังคม</v>
      </c>
      <c r="I236" s="3" t="str">
        <f>IFERROR(__xludf.DUMMYFUNCTION("""COMPUTED_VALUE"""),"อาคารSCG")</f>
        <v>อาคารSCG</v>
      </c>
      <c r="J236" s="12">
        <f>IFERROR(__xludf.DUMMYFUNCTION("""COMPUTED_VALUE"""),45955.0)</f>
        <v>45955</v>
      </c>
      <c r="K236" s="3" t="str">
        <f>IFERROR(__xludf.DUMMYFUNCTION("""COMPUTED_VALUE"""),"0730-1230")</f>
        <v>0730-1230</v>
      </c>
      <c r="L236" s="3">
        <f>IFERROR(__xludf.DUMMYFUNCTION("""COMPUTED_VALUE"""),5.0)</f>
        <v>5</v>
      </c>
      <c r="M236" s="3" t="str">
        <f>IFERROR(__xludf.DUMMYFUNCTION("""COMPUTED_VALUE"""),"น.ท.หญิง ฤทัยวรรณ นวมพันธ์")</f>
        <v>น.ท.หญิง ฤทัยวรรณ นวมพันธ์</v>
      </c>
      <c r="N236" s="14" t="str">
        <f>IFERROR(__xludf.DUMMYFUNCTION("""COMPUTED_VALUE"""),"https://lh5.googleusercontent.com/d/1oAWh3ZSYRnTuo8NYWIyGthgB59Bi6us5")</f>
        <v>https://lh5.googleusercontent.com/d/1oAWh3ZSYRnTuo8NYWIyGthgB59Bi6us5</v>
      </c>
      <c r="O236" s="14" t="str">
        <f>IFERROR(__xludf.DUMMYFUNCTION("""COMPUTED_VALUE"""),"https://drive.google.com/file/d/1m5EnD6d_-z2By0tE0nM7wKVZzWIh3dY1/view?usp=drivesdk")</f>
        <v>https://drive.google.com/file/d/1m5EnD6d_-z2By0tE0nM7wKVZzWIh3dY1/view?usp=drivesdk</v>
      </c>
    </row>
    <row r="237">
      <c r="A237" s="3">
        <f>IFERROR(__xludf.DUMMYFUNCTION("""COMPUTED_VALUE"""),950.0)</f>
        <v>950</v>
      </c>
      <c r="B237" s="11">
        <f>IFERROR(__xludf.DUMMYFUNCTION("""COMPUTED_VALUE"""),45991.989077962964)</f>
        <v>45991.98908</v>
      </c>
      <c r="C237" s="3" t="str">
        <f>IFERROR(__xludf.DUMMYFUNCTION("""COMPUTED_VALUE"""),"ชั้นปีที่ 3")</f>
        <v>ชั้นปีที่ 3</v>
      </c>
      <c r="D237" s="3" t="str">
        <f>IFERROR(__xludf.DUMMYFUNCTION("""COMPUTED_VALUE"""),"6603796")</f>
        <v>6603796</v>
      </c>
      <c r="E237" s="3" t="str">
        <f>IFERROR(__xludf.DUMMYFUNCTION("""COMPUTED_VALUE"""),"42")</f>
        <v>42</v>
      </c>
      <c r="F237" s="3" t="str">
        <f>IFERROR(__xludf.DUMMYFUNCTION("""COMPUTED_VALUE"""),"นพอ.พิมพ์พิศา ไพศาลมรกต")</f>
        <v>นพอ.พิมพ์พิศา ไพศาลมรกต</v>
      </c>
      <c r="G237" s="3" t="str">
        <f>IFERROR(__xludf.DUMMYFUNCTION("""COMPUTED_VALUE"""),"ทำนุบำรุงศาสนสถาน")</f>
        <v>ทำนุบำรุงศาสนสถาน</v>
      </c>
      <c r="H237" s="3" t="str">
        <f>IFERROR(__xludf.DUMMYFUNCTION("""COMPUTED_VALUE"""),"กวาดลานวัด")</f>
        <v>กวาดลานวัด</v>
      </c>
      <c r="I237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237" s="12">
        <f>IFERROR(__xludf.DUMMYFUNCTION("""COMPUTED_VALUE"""),45984.0)</f>
        <v>45984</v>
      </c>
      <c r="K237" s="3" t="str">
        <f>IFERROR(__xludf.DUMMYFUNCTION("""COMPUTED_VALUE"""),"0900-1100")</f>
        <v>0900-1100</v>
      </c>
      <c r="L237" s="3">
        <f>IFERROR(__xludf.DUMMYFUNCTION("""COMPUTED_VALUE"""),2.0)</f>
        <v>2</v>
      </c>
      <c r="M237" s="3" t="str">
        <f>IFERROR(__xludf.DUMMYFUNCTION("""COMPUTED_VALUE"""),"พระมหาวชิรมุนีวงศ์")</f>
        <v>พระมหาวชิรมุนีวงศ์</v>
      </c>
      <c r="N237" s="14" t="str">
        <f>IFERROR(__xludf.DUMMYFUNCTION("""COMPUTED_VALUE"""),"https://lh5.googleusercontent.com/d/16HXkyL7BkIIhuYI0qiil18YRtH5sfwEb")</f>
        <v>https://lh5.googleusercontent.com/d/16HXkyL7BkIIhuYI0qiil18YRtH5sfwEb</v>
      </c>
      <c r="O237" s="14" t="str">
        <f>IFERROR(__xludf.DUMMYFUNCTION("""COMPUTED_VALUE"""),"https://drive.google.com/file/d/155RRGMRAcU55H7rE9h1Zr10geLN0PPuL/view?usp=drivesdk")</f>
        <v>https://drive.google.com/file/d/155RRGMRAcU55H7rE9h1Zr10geLN0PPuL/view?usp=drivesdk</v>
      </c>
    </row>
    <row r="238">
      <c r="A238" s="3">
        <f>IFERROR(__xludf.DUMMYFUNCTION("""COMPUTED_VALUE"""),951.0)</f>
        <v>951</v>
      </c>
      <c r="B238" s="11">
        <f>IFERROR(__xludf.DUMMYFUNCTION("""COMPUTED_VALUE"""),45991.989613460646)</f>
        <v>45991.98961</v>
      </c>
      <c r="C238" s="3" t="str">
        <f>IFERROR(__xludf.DUMMYFUNCTION("""COMPUTED_VALUE"""),"ชั้นปีที่ 3")</f>
        <v>ชั้นปีที่ 3</v>
      </c>
      <c r="D238" s="3" t="str">
        <f>IFERROR(__xludf.DUMMYFUNCTION("""COMPUTED_VALUE"""),"6603754")</f>
        <v>6603754</v>
      </c>
      <c r="E238" s="3" t="str">
        <f>IFERROR(__xludf.DUMMYFUNCTION("""COMPUTED_VALUE"""),"1")</f>
        <v>1</v>
      </c>
      <c r="F238" s="3" t="str">
        <f>IFERROR(__xludf.DUMMYFUNCTION("""COMPUTED_VALUE"""),"นพอ.กรกนก วิไลลักษณ์")</f>
        <v>นพอ.กรกนก วิไลลักษณ์</v>
      </c>
      <c r="G238" s="3" t="str">
        <f>IFERROR(__xludf.DUMMYFUNCTION("""COMPUTED_VALUE"""),"ช่วยเหลืองานภายใน วพอ.")</f>
        <v>ช่วยเหลืองานภายใน วพอ.</v>
      </c>
      <c r="H238" s="3" t="str">
        <f>IFERROR(__xludf.DUMMYFUNCTION("""COMPUTED_VALUE"""),"ทำการแทนนักเรียนบังคับบัญชา มว.2")</f>
        <v>ทำการแทนนักเรียนบังคับบัญชา มว.2</v>
      </c>
      <c r="I238" s="3" t="str">
        <f>IFERROR(__xludf.DUMMYFUNCTION("""COMPUTED_VALUE"""),"วพอ.พอ.")</f>
        <v>วพอ.พอ.</v>
      </c>
      <c r="J238" s="12">
        <f>IFERROR(__xludf.DUMMYFUNCTION("""COMPUTED_VALUE"""),45939.0)</f>
        <v>45939</v>
      </c>
      <c r="K238" s="3" t="str">
        <f>IFERROR(__xludf.DUMMYFUNCTION("""COMPUTED_VALUE"""),"0800-1600")</f>
        <v>0800-1600</v>
      </c>
      <c r="L238" s="3">
        <f>IFERROR(__xludf.DUMMYFUNCTION("""COMPUTED_VALUE"""),8.0)</f>
        <v>8</v>
      </c>
      <c r="M238" s="3" t="str">
        <f>IFERROR(__xludf.DUMMYFUNCTION("""COMPUTED_VALUE"""),"ร.อ.อนุชิต ทำจะดี")</f>
        <v>ร.อ.อนุชิต ทำจะดี</v>
      </c>
      <c r="N238" s="14" t="str">
        <f>IFERROR(__xludf.DUMMYFUNCTION("""COMPUTED_VALUE"""),"https://lh5.googleusercontent.com/d/1vQZKUxqEXO4HGCqm3dql_T6AkPV3Wm4u")</f>
        <v>https://lh5.googleusercontent.com/d/1vQZKUxqEXO4HGCqm3dql_T6AkPV3Wm4u</v>
      </c>
      <c r="O238" s="14" t="str">
        <f>IFERROR(__xludf.DUMMYFUNCTION("""COMPUTED_VALUE"""),"https://drive.google.com/file/d/1y3ybQ_QhZ4bwND_17ZkRnckF-n9JeiYt/view?usp=drivesdk")</f>
        <v>https://drive.google.com/file/d/1y3ybQ_QhZ4bwND_17ZkRnckF-n9JeiYt/view?usp=drivesdk</v>
      </c>
    </row>
    <row r="239">
      <c r="A239" s="3">
        <f>IFERROR(__xludf.DUMMYFUNCTION("""COMPUTED_VALUE"""),952.0)</f>
        <v>952</v>
      </c>
      <c r="B239" s="11">
        <f>IFERROR(__xludf.DUMMYFUNCTION("""COMPUTED_VALUE"""),45991.99105336805)</f>
        <v>45991.99105</v>
      </c>
      <c r="C239" s="3" t="str">
        <f>IFERROR(__xludf.DUMMYFUNCTION("""COMPUTED_VALUE"""),"ชั้นปีที่ 3")</f>
        <v>ชั้นปีที่ 3</v>
      </c>
      <c r="D239" s="3" t="str">
        <f>IFERROR(__xludf.DUMMYFUNCTION("""COMPUTED_VALUE"""),"6603754")</f>
        <v>6603754</v>
      </c>
      <c r="E239" s="3" t="str">
        <f>IFERROR(__xludf.DUMMYFUNCTION("""COMPUTED_VALUE"""),"1")</f>
        <v>1</v>
      </c>
      <c r="F239" s="3" t="str">
        <f>IFERROR(__xludf.DUMMYFUNCTION("""COMPUTED_VALUE"""),"นพอ.กรกนก วิไลลักษณ์")</f>
        <v>นพอ.กรกนก วิไลลักษณ์</v>
      </c>
      <c r="G239" s="3" t="str">
        <f>IFERROR(__xludf.DUMMYFUNCTION("""COMPUTED_VALUE"""),"ช่วยเหลืองานภายใน วพอ.")</f>
        <v>ช่วยเหลืองานภายใน วพอ.</v>
      </c>
      <c r="H239" s="3" t="str">
        <f>IFERROR(__xludf.DUMMYFUNCTION("""COMPUTED_VALUE"""),"ทำการแทนนักเรียนบังคับบัญชา มว.2")</f>
        <v>ทำการแทนนักเรียนบังคับบัญชา มว.2</v>
      </c>
      <c r="I239" s="3" t="str">
        <f>IFERROR(__xludf.DUMMYFUNCTION("""COMPUTED_VALUE"""),"วพอ.พอ")</f>
        <v>วพอ.พอ</v>
      </c>
      <c r="J239" s="12">
        <f>IFERROR(__xludf.DUMMYFUNCTION("""COMPUTED_VALUE"""),45940.0)</f>
        <v>45940</v>
      </c>
      <c r="K239" s="3" t="str">
        <f>IFERROR(__xludf.DUMMYFUNCTION("""COMPUTED_VALUE"""),"0800-1600")</f>
        <v>0800-1600</v>
      </c>
      <c r="L239" s="3">
        <f>IFERROR(__xludf.DUMMYFUNCTION("""COMPUTED_VALUE"""),8.0)</f>
        <v>8</v>
      </c>
      <c r="M239" s="3" t="str">
        <f>IFERROR(__xludf.DUMMYFUNCTION("""COMPUTED_VALUE"""),"ร.อ.อนุชิต ทำจะดี")</f>
        <v>ร.อ.อนุชิต ทำจะดี</v>
      </c>
      <c r="N239" s="14" t="str">
        <f>IFERROR(__xludf.DUMMYFUNCTION("""COMPUTED_VALUE"""),"https://lh5.googleusercontent.com/d/1zrjM3X6rvntPxxOrn6Z7Uy-udPaeYXMg")</f>
        <v>https://lh5.googleusercontent.com/d/1zrjM3X6rvntPxxOrn6Z7Uy-udPaeYXMg</v>
      </c>
      <c r="O239" s="14" t="str">
        <f>IFERROR(__xludf.DUMMYFUNCTION("""COMPUTED_VALUE"""),"https://drive.google.com/file/d/1RPBmc-Zi_DTLH_Z1hVxBbk3mGATqxllc/view?usp=drivesdk")</f>
        <v>https://drive.google.com/file/d/1RPBmc-Zi_DTLH_Z1hVxBbk3mGATqxllc/view?usp=drivesdk</v>
      </c>
    </row>
    <row r="240">
      <c r="A240" s="3">
        <f>IFERROR(__xludf.DUMMYFUNCTION("""COMPUTED_VALUE"""),954.0)</f>
        <v>954</v>
      </c>
      <c r="B240" s="11">
        <f>IFERROR(__xludf.DUMMYFUNCTION("""COMPUTED_VALUE"""),45991.99329021991)</f>
        <v>45991.99329</v>
      </c>
      <c r="C240" s="3" t="str">
        <f>IFERROR(__xludf.DUMMYFUNCTION("""COMPUTED_VALUE"""),"ชั้นปีที่ 3")</f>
        <v>ชั้นปีที่ 3</v>
      </c>
      <c r="D240" s="3" t="str">
        <f>IFERROR(__xludf.DUMMYFUNCTION("""COMPUTED_VALUE"""),"6603754")</f>
        <v>6603754</v>
      </c>
      <c r="E240" s="3" t="str">
        <f>IFERROR(__xludf.DUMMYFUNCTION("""COMPUTED_VALUE"""),"1")</f>
        <v>1</v>
      </c>
      <c r="F240" s="3" t="str">
        <f>IFERROR(__xludf.DUMMYFUNCTION("""COMPUTED_VALUE"""),"นพอ.กรกนก วิไลลักษณ์")</f>
        <v>นพอ.กรกนก วิไลลักษณ์</v>
      </c>
      <c r="G240" s="3" t="str">
        <f>IFERROR(__xludf.DUMMYFUNCTION("""COMPUTED_VALUE"""),"ช่วยเหลืองานภายใน วพอ.")</f>
        <v>ช่วยเหลืองานภายใน วพอ.</v>
      </c>
      <c r="H240" s="3" t="str">
        <f>IFERROR(__xludf.DUMMYFUNCTION("""COMPUTED_VALUE"""),"ทำการแทนนักเรียนบังคับบัญชา มว.2")</f>
        <v>ทำการแทนนักเรียนบังคับบัญชา มว.2</v>
      </c>
      <c r="I240" s="3" t="str">
        <f>IFERROR(__xludf.DUMMYFUNCTION("""COMPUTED_VALUE"""),"วพอ.พอ")</f>
        <v>วพอ.พอ</v>
      </c>
      <c r="J240" s="12">
        <f>IFERROR(__xludf.DUMMYFUNCTION("""COMPUTED_VALUE"""),45941.0)</f>
        <v>45941</v>
      </c>
      <c r="K240" s="3" t="str">
        <f>IFERROR(__xludf.DUMMYFUNCTION("""COMPUTED_VALUE"""),"1600-2000")</f>
        <v>1600-2000</v>
      </c>
      <c r="L240" s="3">
        <f>IFERROR(__xludf.DUMMYFUNCTION("""COMPUTED_VALUE"""),4.0)</f>
        <v>4</v>
      </c>
      <c r="M240" s="3" t="str">
        <f>IFERROR(__xludf.DUMMYFUNCTION("""COMPUTED_VALUE"""),"ร.อ.อนุชิต ทำจะดี")</f>
        <v>ร.อ.อนุชิต ทำจะดี</v>
      </c>
      <c r="N240" s="14" t="str">
        <f>IFERROR(__xludf.DUMMYFUNCTION("""COMPUTED_VALUE"""),"https://lh5.googleusercontent.com/d/1pXactzX3sVn45HIRSZBQmT1HAu3FqMgw")</f>
        <v>https://lh5.googleusercontent.com/d/1pXactzX3sVn45HIRSZBQmT1HAu3FqMgw</v>
      </c>
      <c r="O240" s="14" t="str">
        <f>IFERROR(__xludf.DUMMYFUNCTION("""COMPUTED_VALUE"""),"https://drive.google.com/file/d/1IgdPLyL6UTYfaXeirtdNyNp2Smy1qDkb/view?usp=drivesdk")</f>
        <v>https://drive.google.com/file/d/1IgdPLyL6UTYfaXeirtdNyNp2Smy1qDkb/view?usp=drivesdk</v>
      </c>
    </row>
    <row r="241">
      <c r="A241" s="3">
        <f>IFERROR(__xludf.DUMMYFUNCTION("""COMPUTED_VALUE"""),956.0)</f>
        <v>956</v>
      </c>
      <c r="B241" s="11">
        <f>IFERROR(__xludf.DUMMYFUNCTION("""COMPUTED_VALUE"""),45991.99589883102)</f>
        <v>45991.9959</v>
      </c>
      <c r="C241" s="3" t="str">
        <f>IFERROR(__xludf.DUMMYFUNCTION("""COMPUTED_VALUE"""),"ชั้นปีที่ 3")</f>
        <v>ชั้นปีที่ 3</v>
      </c>
      <c r="D241" s="3" t="str">
        <f>IFERROR(__xludf.DUMMYFUNCTION("""COMPUTED_VALUE"""),"6603754")</f>
        <v>6603754</v>
      </c>
      <c r="E241" s="3" t="str">
        <f>IFERROR(__xludf.DUMMYFUNCTION("""COMPUTED_VALUE"""),"1")</f>
        <v>1</v>
      </c>
      <c r="F241" s="3" t="str">
        <f>IFERROR(__xludf.DUMMYFUNCTION("""COMPUTED_VALUE"""),"นพอ.กรกนก วิไลลักษณ์")</f>
        <v>นพอ.กรกนก วิไลลักษณ์</v>
      </c>
      <c r="G24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1" s="3" t="str">
        <f>IFERROR(__xludf.DUMMYFUNCTION("""COMPUTED_VALUE"""),"การสัมมนาสื่อสร้างสรรค์ เสริมพลังการสื่อสาร พัฒนาสังคม ")</f>
        <v>การสัมมนาสื่อสร้างสรรค์ เสริมพลังการสื่อสาร พัฒนาสังคม </v>
      </c>
      <c r="I241" s="3" t="str">
        <f>IFERROR(__xludf.DUMMYFUNCTION("""COMPUTED_VALUE"""),"อาคารSCG")</f>
        <v>อาคารSCG</v>
      </c>
      <c r="J241" s="12">
        <f>IFERROR(__xludf.DUMMYFUNCTION("""COMPUTED_VALUE"""),45955.0)</f>
        <v>45955</v>
      </c>
      <c r="K241" s="3" t="str">
        <f>IFERROR(__xludf.DUMMYFUNCTION("""COMPUTED_VALUE"""),"0730-1230")</f>
        <v>0730-1230</v>
      </c>
      <c r="L241" s="3">
        <f>IFERROR(__xludf.DUMMYFUNCTION("""COMPUTED_VALUE"""),5.0)</f>
        <v>5</v>
      </c>
      <c r="M241" s="3" t="str">
        <f>IFERROR(__xludf.DUMMYFUNCTION("""COMPUTED_VALUE"""),"น.ท.หญิง ฤทัยวรรณ นวมพันธ์")</f>
        <v>น.ท.หญิง ฤทัยวรรณ นวมพันธ์</v>
      </c>
      <c r="N241" s="14" t="str">
        <f>IFERROR(__xludf.DUMMYFUNCTION("""COMPUTED_VALUE"""),"https://lh5.googleusercontent.com/d/1yQsOZ0-Qy1eknZl-YHR0KS7-2Q4BsZdF")</f>
        <v>https://lh5.googleusercontent.com/d/1yQsOZ0-Qy1eknZl-YHR0KS7-2Q4BsZdF</v>
      </c>
      <c r="O241" s="14" t="str">
        <f>IFERROR(__xludf.DUMMYFUNCTION("""COMPUTED_VALUE"""),"https://drive.google.com/file/d/1CdR4GVBssWM4k1wCdqPYqsEiTJfIfEku/view?usp=drivesdk")</f>
        <v>https://drive.google.com/file/d/1CdR4GVBssWM4k1wCdqPYqsEiTJfIfEku/view?usp=drivesdk</v>
      </c>
    </row>
    <row r="242">
      <c r="A242" s="3">
        <f>IFERROR(__xludf.DUMMYFUNCTION("""COMPUTED_VALUE"""),960.0)</f>
        <v>960</v>
      </c>
      <c r="B242" s="11">
        <f>IFERROR(__xludf.DUMMYFUNCTION("""COMPUTED_VALUE"""),45991.99743878472)</f>
        <v>45991.99744</v>
      </c>
      <c r="C242" s="3" t="str">
        <f>IFERROR(__xludf.DUMMYFUNCTION("""COMPUTED_VALUE"""),"ชั้นปีที่ 3")</f>
        <v>ชั้นปีที่ 3</v>
      </c>
      <c r="D242" s="3" t="str">
        <f>IFERROR(__xludf.DUMMYFUNCTION("""COMPUTED_VALUE"""),"6603796")</f>
        <v>6603796</v>
      </c>
      <c r="E242" s="3" t="str">
        <f>IFERROR(__xludf.DUMMYFUNCTION("""COMPUTED_VALUE"""),"42")</f>
        <v>42</v>
      </c>
      <c r="F242" s="3" t="str">
        <f>IFERROR(__xludf.DUMMYFUNCTION("""COMPUTED_VALUE"""),"นพอ.พิมพ์พิศา ไพศาลมรกต")</f>
        <v>นพอ.พิมพ์พิศา ไพศาลมรกต</v>
      </c>
      <c r="G242" s="3" t="str">
        <f>IFERROR(__xludf.DUMMYFUNCTION("""COMPUTED_VALUE"""),"งานฟรีทั่วไป")</f>
        <v>งานฟรีทั่วไป</v>
      </c>
      <c r="H242" s="3" t="str">
        <f>IFERROR(__xludf.DUMMYFUNCTION("""COMPUTED_VALUE"""),"ทำความสะอาดบ้าน")</f>
        <v>ทำความสะอาดบ้าน</v>
      </c>
      <c r="I242" s="3" t="str">
        <f>IFERROR(__xludf.DUMMYFUNCTION("""COMPUTED_VALUE"""),"เชียงใหม่")</f>
        <v>เชียงใหม่</v>
      </c>
      <c r="J242" s="12">
        <f>IFERROR(__xludf.DUMMYFUNCTION("""COMPUTED_VALUE"""),45854.0)</f>
        <v>45854</v>
      </c>
      <c r="K242" s="3" t="str">
        <f>IFERROR(__xludf.DUMMYFUNCTION("""COMPUTED_VALUE"""),"1000-1100")</f>
        <v>1000-1100</v>
      </c>
      <c r="L242" s="3">
        <f>IFERROR(__xludf.DUMMYFUNCTION("""COMPUTED_VALUE"""),1.0)</f>
        <v>1</v>
      </c>
      <c r="M242" s="3" t="str">
        <f>IFERROR(__xludf.DUMMYFUNCTION("""COMPUTED_VALUE"""),"นางธัญชนก ไพศาลมรกต")</f>
        <v>นางธัญชนก ไพศาลมรกต</v>
      </c>
      <c r="N242" s="14" t="str">
        <f>IFERROR(__xludf.DUMMYFUNCTION("""COMPUTED_VALUE"""),"https://lh5.googleusercontent.com/d/1MrWGGB9WpLPGuLW5sc_yUFoXgHQeaiPl")</f>
        <v>https://lh5.googleusercontent.com/d/1MrWGGB9WpLPGuLW5sc_yUFoXgHQeaiPl</v>
      </c>
      <c r="O242" s="14" t="str">
        <f>IFERROR(__xludf.DUMMYFUNCTION("""COMPUTED_VALUE"""),"https://drive.google.com/file/d/11oUmnDHr9ZGBFJp3lQu8CqstfedLnTGL/view?usp=drivesdk")</f>
        <v>https://drive.google.com/file/d/11oUmnDHr9ZGBFJp3lQu8CqstfedLnTGL/view?usp=drivesdk</v>
      </c>
    </row>
    <row r="243">
      <c r="A243" s="3">
        <f>IFERROR(__xludf.DUMMYFUNCTION("""COMPUTED_VALUE"""),962.0)</f>
        <v>962</v>
      </c>
      <c r="B243" s="11">
        <f>IFERROR(__xludf.DUMMYFUNCTION("""COMPUTED_VALUE"""),45991.99923311343)</f>
        <v>45991.99923</v>
      </c>
      <c r="C243" s="3" t="str">
        <f>IFERROR(__xludf.DUMMYFUNCTION("""COMPUTED_VALUE"""),"ชั้นปีที่ 3")</f>
        <v>ชั้นปีที่ 3</v>
      </c>
      <c r="D243" s="3" t="str">
        <f>IFERROR(__xludf.DUMMYFUNCTION("""COMPUTED_VALUE"""),"6603796")</f>
        <v>6603796</v>
      </c>
      <c r="E243" s="3" t="str">
        <f>IFERROR(__xludf.DUMMYFUNCTION("""COMPUTED_VALUE"""),"42")</f>
        <v>42</v>
      </c>
      <c r="F243" s="3" t="str">
        <f>IFERROR(__xludf.DUMMYFUNCTION("""COMPUTED_VALUE"""),"นพอ.พิมพ์พิศา ไพศาลมรกต")</f>
        <v>นพอ.พิมพ์พิศา ไพศาลมรกต</v>
      </c>
      <c r="G243" s="3" t="str">
        <f>IFERROR(__xludf.DUMMYFUNCTION("""COMPUTED_VALUE"""),"งานฟรีทั่วไป")</f>
        <v>งานฟรีทั่วไป</v>
      </c>
      <c r="H243" s="3" t="str">
        <f>IFERROR(__xludf.DUMMYFUNCTION("""COMPUTED_VALUE"""),"ทำความสะอาดบ้าน")</f>
        <v>ทำความสะอาดบ้าน</v>
      </c>
      <c r="I243" s="3" t="str">
        <f>IFERROR(__xludf.DUMMYFUNCTION("""COMPUTED_VALUE"""),"เชียงใหม่")</f>
        <v>เชียงใหม่</v>
      </c>
      <c r="J243" s="12">
        <f>IFERROR(__xludf.DUMMYFUNCTION("""COMPUTED_VALUE"""),45846.0)</f>
        <v>45846</v>
      </c>
      <c r="K243" s="3" t="str">
        <f>IFERROR(__xludf.DUMMYFUNCTION("""COMPUTED_VALUE"""),"0900-1000")</f>
        <v>0900-1000</v>
      </c>
      <c r="L243" s="3">
        <f>IFERROR(__xludf.DUMMYFUNCTION("""COMPUTED_VALUE"""),1.0)</f>
        <v>1</v>
      </c>
      <c r="M243" s="3" t="str">
        <f>IFERROR(__xludf.DUMMYFUNCTION("""COMPUTED_VALUE"""),"นางธัญชนก ไพศาลมรกต")</f>
        <v>นางธัญชนก ไพศาลมรกต</v>
      </c>
      <c r="N243" s="14" t="str">
        <f>IFERROR(__xludf.DUMMYFUNCTION("""COMPUTED_VALUE"""),"https://lh5.googleusercontent.com/d/1FezFWAZ7Balequ4hm34GANiy_-rxpPcO")</f>
        <v>https://lh5.googleusercontent.com/d/1FezFWAZ7Balequ4hm34GANiy_-rxpPcO</v>
      </c>
      <c r="O243" s="14" t="str">
        <f>IFERROR(__xludf.DUMMYFUNCTION("""COMPUTED_VALUE"""),"https://drive.google.com/file/d/1e5v9vCT63QemLx6THxRHi8Xourw2LVKX/view?usp=drivesdk")</f>
        <v>https://drive.google.com/file/d/1e5v9vCT63QemLx6THxRHi8Xourw2LVKX/view?usp=drivesdk</v>
      </c>
    </row>
    <row r="244">
      <c r="A244" s="3">
        <f>IFERROR(__xludf.DUMMYFUNCTION("""COMPUTED_VALUE"""),963.0)</f>
        <v>963</v>
      </c>
      <c r="B244" s="11">
        <f>IFERROR(__xludf.DUMMYFUNCTION("""COMPUTED_VALUE"""),45992.00190255787)</f>
        <v>45992.0019</v>
      </c>
      <c r="C244" s="3" t="str">
        <f>IFERROR(__xludf.DUMMYFUNCTION("""COMPUTED_VALUE"""),"ชั้นปีที่ 3")</f>
        <v>ชั้นปีที่ 3</v>
      </c>
      <c r="D244" s="3" t="str">
        <f>IFERROR(__xludf.DUMMYFUNCTION("""COMPUTED_VALUE"""),"6603796")</f>
        <v>6603796</v>
      </c>
      <c r="E244" s="3" t="str">
        <f>IFERROR(__xludf.DUMMYFUNCTION("""COMPUTED_VALUE"""),"42")</f>
        <v>42</v>
      </c>
      <c r="F244" s="3" t="str">
        <f>IFERROR(__xludf.DUMMYFUNCTION("""COMPUTED_VALUE"""),"นพอ.พิมพ์พิศา ไพศาลมรกต")</f>
        <v>นพอ.พิมพ์พิศา ไพศาลมรกต</v>
      </c>
      <c r="G244" s="3" t="str">
        <f>IFERROR(__xludf.DUMMYFUNCTION("""COMPUTED_VALUE"""),"ทำนุบำรุงศาสนสถาน")</f>
        <v>ทำนุบำรุงศาสนสถาน</v>
      </c>
      <c r="H244" s="3" t="str">
        <f>IFERROR(__xludf.DUMMYFUNCTION("""COMPUTED_VALUE"""),"กวาดลานวัด")</f>
        <v>กวาดลานวัด</v>
      </c>
      <c r="I244" s="3" t="str">
        <f>IFERROR(__xludf.DUMMYFUNCTION("""COMPUTED_VALUE"""),"วัดพระศรีวรมหาวิหาร")</f>
        <v>วัดพระศรีวรมหาวิหาร</v>
      </c>
      <c r="J244" s="12">
        <f>IFERROR(__xludf.DUMMYFUNCTION("""COMPUTED_VALUE"""),45983.0)</f>
        <v>45983</v>
      </c>
      <c r="K244" s="3" t="str">
        <f>IFERROR(__xludf.DUMMYFUNCTION("""COMPUTED_VALUE"""),"0900-1100")</f>
        <v>0900-1100</v>
      </c>
      <c r="L244" s="3">
        <f>IFERROR(__xludf.DUMMYFUNCTION("""COMPUTED_VALUE"""),2.0)</f>
        <v>2</v>
      </c>
      <c r="M244" s="3" t="str">
        <f>IFERROR(__xludf.DUMMYFUNCTION("""COMPUTED_VALUE"""),"พระมหาวชิรมุนีวงศ์")</f>
        <v>พระมหาวชิรมุนีวงศ์</v>
      </c>
      <c r="N244" s="14" t="str">
        <f>IFERROR(__xludf.DUMMYFUNCTION("""COMPUTED_VALUE"""),"https://lh5.googleusercontent.com/d/1xRRNY-2P816XBanGNcROOrNVUYc45ud0")</f>
        <v>https://lh5.googleusercontent.com/d/1xRRNY-2P816XBanGNcROOrNVUYc45ud0</v>
      </c>
      <c r="O244" s="14" t="str">
        <f>IFERROR(__xludf.DUMMYFUNCTION("""COMPUTED_VALUE"""),"https://drive.google.com/file/d/15YSktzZzSpZ6WYDdn-LQDVdYpy_av7if/view?usp=drivesdk")</f>
        <v>https://drive.google.com/file/d/15YSktzZzSpZ6WYDdn-LQDVdYpy_av7if/view?usp=drivesdk</v>
      </c>
    </row>
    <row r="245">
      <c r="A245" s="3">
        <f>IFERROR(__xludf.DUMMYFUNCTION("""COMPUTED_VALUE"""),965.0)</f>
        <v>965</v>
      </c>
      <c r="B245" s="11">
        <f>IFERROR(__xludf.DUMMYFUNCTION("""COMPUTED_VALUE"""),45992.03265635417)</f>
        <v>45992.03266</v>
      </c>
      <c r="C245" s="3" t="str">
        <f>IFERROR(__xludf.DUMMYFUNCTION("""COMPUTED_VALUE"""),"ชั้นปีที่ 3")</f>
        <v>ชั้นปีที่ 3</v>
      </c>
      <c r="D245" s="3" t="str">
        <f>IFERROR(__xludf.DUMMYFUNCTION("""COMPUTED_VALUE"""),"6603764")</f>
        <v>6603764</v>
      </c>
      <c r="E245" s="3" t="str">
        <f>IFERROR(__xludf.DUMMYFUNCTION("""COMPUTED_VALUE"""),"11")</f>
        <v>11</v>
      </c>
      <c r="F245" s="3" t="str">
        <f>IFERROR(__xludf.DUMMYFUNCTION("""COMPUTED_VALUE"""),"นพอ.ชวัลลักษณ์ อินทะชุบ")</f>
        <v>นพอ.ชวัลลักษณ์ อินทะชุบ</v>
      </c>
      <c r="G2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5" s="3" t="str">
        <f>IFERROR(__xludf.DUMMYFUNCTION("""COMPUTED_VALUE"""),"ซ้อทร้องประสานเสียงงานคอนเสิร์ตทัพฟ้า")</f>
        <v>ซ้อทร้องประสานเสียงงานคอนเสิร์ตทัพฟ้า</v>
      </c>
      <c r="I24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45" s="12">
        <f>IFERROR(__xludf.DUMMYFUNCTION("""COMPUTED_VALUE"""),45838.0)</f>
        <v>45838</v>
      </c>
      <c r="K245" s="3" t="str">
        <f>IFERROR(__xludf.DUMMYFUNCTION("""COMPUTED_VALUE"""),"1500-2200")</f>
        <v>1500-2200</v>
      </c>
      <c r="L245" s="3">
        <f>IFERROR(__xludf.DUMMYFUNCTION("""COMPUTED_VALUE"""),8.0)</f>
        <v>8</v>
      </c>
      <c r="M245" s="3" t="str">
        <f>IFERROR(__xludf.DUMMYFUNCTION("""COMPUTED_VALUE"""),"ร.อ.อนุชิต ทำจะดี")</f>
        <v>ร.อ.อนุชิต ทำจะดี</v>
      </c>
      <c r="N245" s="14" t="str">
        <f>IFERROR(__xludf.DUMMYFUNCTION("""COMPUTED_VALUE"""),"https://lh5.googleusercontent.com/d/1s9fUVNhKDafygNNAKHbNIAJ5Rpzghjiy")</f>
        <v>https://lh5.googleusercontent.com/d/1s9fUVNhKDafygNNAKHbNIAJ5Rpzghjiy</v>
      </c>
      <c r="O245" s="14" t="str">
        <f>IFERROR(__xludf.DUMMYFUNCTION("""COMPUTED_VALUE"""),"https://drive.google.com/file/d/17P69zmX6NF1Fv2XGEHbI3bwM1nGetTiQ/view?usp=drivesdk")</f>
        <v>https://drive.google.com/file/d/17P69zmX6NF1Fv2XGEHbI3bwM1nGetTiQ/view?usp=drivesdk</v>
      </c>
    </row>
    <row r="246">
      <c r="A246" s="3">
        <f>IFERROR(__xludf.DUMMYFUNCTION("""COMPUTED_VALUE"""),966.0)</f>
        <v>966</v>
      </c>
      <c r="B246" s="11">
        <f>IFERROR(__xludf.DUMMYFUNCTION("""COMPUTED_VALUE"""),45992.03537736111)</f>
        <v>45992.03538</v>
      </c>
      <c r="C246" s="3" t="str">
        <f>IFERROR(__xludf.DUMMYFUNCTION("""COMPUTED_VALUE"""),"ชั้นปีที่ 3")</f>
        <v>ชั้นปีที่ 3</v>
      </c>
      <c r="D246" s="3" t="str">
        <f>IFERROR(__xludf.DUMMYFUNCTION("""COMPUTED_VALUE"""),"6603764")</f>
        <v>6603764</v>
      </c>
      <c r="E246" s="3" t="str">
        <f>IFERROR(__xludf.DUMMYFUNCTION("""COMPUTED_VALUE"""),"11")</f>
        <v>11</v>
      </c>
      <c r="F246" s="3" t="str">
        <f>IFERROR(__xludf.DUMMYFUNCTION("""COMPUTED_VALUE"""),"นพอ.ชวัลลักษณ์ อินทะชุบ")</f>
        <v>นพอ.ชวัลลักษณ์ อินทะชุบ</v>
      </c>
      <c r="G2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6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4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46" s="12">
        <f>IFERROR(__xludf.DUMMYFUNCTION("""COMPUTED_VALUE"""),45839.0)</f>
        <v>45839</v>
      </c>
      <c r="K246" s="3" t="str">
        <f>IFERROR(__xludf.DUMMYFUNCTION("""COMPUTED_VALUE"""),"1100-1900")</f>
        <v>1100-1900</v>
      </c>
      <c r="L246" s="3">
        <f>IFERROR(__xludf.DUMMYFUNCTION("""COMPUTED_VALUE"""),8.0)</f>
        <v>8</v>
      </c>
      <c r="M246" s="3" t="str">
        <f>IFERROR(__xludf.DUMMYFUNCTION("""COMPUTED_VALUE"""),"ร.อ.อนุชิต ทำจะดี")</f>
        <v>ร.อ.อนุชิต ทำจะดี</v>
      </c>
      <c r="N246" s="14" t="str">
        <f>IFERROR(__xludf.DUMMYFUNCTION("""COMPUTED_VALUE"""),"https://lh5.googleusercontent.com/d/10UBBkuBwiRnefJh99y_6yENIF1SQHvQd")</f>
        <v>https://lh5.googleusercontent.com/d/10UBBkuBwiRnefJh99y_6yENIF1SQHvQd</v>
      </c>
      <c r="O246" s="14" t="str">
        <f>IFERROR(__xludf.DUMMYFUNCTION("""COMPUTED_VALUE"""),"https://drive.google.com/file/d/1Wt9cKtv0gnEs5rIIT5RCYCW5lP2RTArA/view?usp=drivesdk")</f>
        <v>https://drive.google.com/file/d/1Wt9cKtv0gnEs5rIIT5RCYCW5lP2RTArA/view?usp=drivesdk</v>
      </c>
    </row>
    <row r="247">
      <c r="A247" s="3">
        <f>IFERROR(__xludf.DUMMYFUNCTION("""COMPUTED_VALUE"""),967.0)</f>
        <v>967</v>
      </c>
      <c r="B247" s="11">
        <f>IFERROR(__xludf.DUMMYFUNCTION("""COMPUTED_VALUE"""),45992.03690327546)</f>
        <v>45992.0369</v>
      </c>
      <c r="C247" s="3" t="str">
        <f>IFERROR(__xludf.DUMMYFUNCTION("""COMPUTED_VALUE"""),"ชั้นปีที่ 3")</f>
        <v>ชั้นปีที่ 3</v>
      </c>
      <c r="D247" s="3" t="str">
        <f>IFERROR(__xludf.DUMMYFUNCTION("""COMPUTED_VALUE"""),"6603764")</f>
        <v>6603764</v>
      </c>
      <c r="E247" s="3" t="str">
        <f>IFERROR(__xludf.DUMMYFUNCTION("""COMPUTED_VALUE"""),"11")</f>
        <v>11</v>
      </c>
      <c r="F247" s="3" t="str">
        <f>IFERROR(__xludf.DUMMYFUNCTION("""COMPUTED_VALUE"""),"นพอ.ชวัลลักษณ์ อินทะชุบ")</f>
        <v>นพอ.ชวัลลักษณ์ อินทะชุบ</v>
      </c>
      <c r="G2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7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4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47" s="12">
        <f>IFERROR(__xludf.DUMMYFUNCTION("""COMPUTED_VALUE"""),45840.0)</f>
        <v>45840</v>
      </c>
      <c r="K247" s="3" t="str">
        <f>IFERROR(__xludf.DUMMYFUNCTION("""COMPUTED_VALUE"""),"1100-1900")</f>
        <v>1100-1900</v>
      </c>
      <c r="L247" s="3">
        <f>IFERROR(__xludf.DUMMYFUNCTION("""COMPUTED_VALUE"""),8.0)</f>
        <v>8</v>
      </c>
      <c r="M247" s="3" t="str">
        <f>IFERROR(__xludf.DUMMYFUNCTION("""COMPUTED_VALUE"""),"ร.อ.อนุชิต ทำจะดี")</f>
        <v>ร.อ.อนุชิต ทำจะดี</v>
      </c>
      <c r="N247" s="14" t="str">
        <f>IFERROR(__xludf.DUMMYFUNCTION("""COMPUTED_VALUE"""),"https://lh5.googleusercontent.com/d/1Dv_-EPa-GXsOgofMDihA96lL3Fd5QEOa")</f>
        <v>https://lh5.googleusercontent.com/d/1Dv_-EPa-GXsOgofMDihA96lL3Fd5QEOa</v>
      </c>
      <c r="O247" s="14" t="str">
        <f>IFERROR(__xludf.DUMMYFUNCTION("""COMPUTED_VALUE"""),"https://drive.google.com/file/d/11-FSYa7ms6uYe3KTSsHkzIobtwD55qqk/view?usp=drivesdk")</f>
        <v>https://drive.google.com/file/d/11-FSYa7ms6uYe3KTSsHkzIobtwD55qqk/view?usp=drivesdk</v>
      </c>
    </row>
    <row r="248">
      <c r="A248" s="3">
        <f>IFERROR(__xludf.DUMMYFUNCTION("""COMPUTED_VALUE"""),968.0)</f>
        <v>968</v>
      </c>
      <c r="B248" s="11">
        <f>IFERROR(__xludf.DUMMYFUNCTION("""COMPUTED_VALUE"""),45992.04060125)</f>
        <v>45992.0406</v>
      </c>
      <c r="C248" s="3" t="str">
        <f>IFERROR(__xludf.DUMMYFUNCTION("""COMPUTED_VALUE"""),"ชั้นปีที่ 3")</f>
        <v>ชั้นปีที่ 3</v>
      </c>
      <c r="D248" s="3" t="str">
        <f>IFERROR(__xludf.DUMMYFUNCTION("""COMPUTED_VALUE"""),"6603764")</f>
        <v>6603764</v>
      </c>
      <c r="E248" s="3" t="str">
        <f>IFERROR(__xludf.DUMMYFUNCTION("""COMPUTED_VALUE"""),"11")</f>
        <v>11</v>
      </c>
      <c r="F248" s="3" t="str">
        <f>IFERROR(__xludf.DUMMYFUNCTION("""COMPUTED_VALUE"""),"นพอ.ชวัลลักษณ์ อินทะชุบ")</f>
        <v>นพอ.ชวัลลักษณ์ อินทะชุบ</v>
      </c>
      <c r="G24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8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48" s="3" t="str">
        <f>IFERROR(__xludf.DUMMYFUNCTION("""COMPUTED_VALUE"""),"ดุริยางค์ทหารอากาศ")</f>
        <v>ดุริยางค์ทหารอากาศ</v>
      </c>
      <c r="J248" s="12">
        <f>IFERROR(__xludf.DUMMYFUNCTION("""COMPUTED_VALUE"""),45825.0)</f>
        <v>45825</v>
      </c>
      <c r="K248" s="3" t="str">
        <f>IFERROR(__xludf.DUMMYFUNCTION("""COMPUTED_VALUE"""),"0800-1600")</f>
        <v>0800-1600</v>
      </c>
      <c r="L248" s="3">
        <f>IFERROR(__xludf.DUMMYFUNCTION("""COMPUTED_VALUE"""),8.0)</f>
        <v>8</v>
      </c>
      <c r="M248" s="3" t="str">
        <f>IFERROR(__xludf.DUMMYFUNCTION("""COMPUTED_VALUE"""),"ร.อ.อนุชิต ทำจะดี")</f>
        <v>ร.อ.อนุชิต ทำจะดี</v>
      </c>
      <c r="N248" s="14" t="str">
        <f>IFERROR(__xludf.DUMMYFUNCTION("""COMPUTED_VALUE"""),"https://lh5.googleusercontent.com/d/1p9Vay9zhx1kCNFH3rsSGUjF1YDE8A6Fn")</f>
        <v>https://lh5.googleusercontent.com/d/1p9Vay9zhx1kCNFH3rsSGUjF1YDE8A6Fn</v>
      </c>
      <c r="O248" s="14" t="str">
        <f>IFERROR(__xludf.DUMMYFUNCTION("""COMPUTED_VALUE"""),"https://drive.google.com/file/d/1xONm3Ab0Q0fsroj3IGOUewu29miVfBnQ/view?usp=drivesdk")</f>
        <v>https://drive.google.com/file/d/1xONm3Ab0Q0fsroj3IGOUewu29miVfBnQ/view?usp=drivesdk</v>
      </c>
    </row>
    <row r="249">
      <c r="A249" s="3">
        <f>IFERROR(__xludf.DUMMYFUNCTION("""COMPUTED_VALUE"""),969.0)</f>
        <v>969</v>
      </c>
      <c r="B249" s="11">
        <f>IFERROR(__xludf.DUMMYFUNCTION("""COMPUTED_VALUE"""),45992.04398699074)</f>
        <v>45992.04399</v>
      </c>
      <c r="C249" s="3" t="str">
        <f>IFERROR(__xludf.DUMMYFUNCTION("""COMPUTED_VALUE"""),"ชั้นปีที่ 3")</f>
        <v>ชั้นปีที่ 3</v>
      </c>
      <c r="D249" s="3" t="str">
        <f>IFERROR(__xludf.DUMMYFUNCTION("""COMPUTED_VALUE"""),"นพอ.ชวัลลักษณ์ อินทะชุบ")</f>
        <v>นพอ.ชวัลลักษณ์ อินทะชุบ</v>
      </c>
      <c r="E249" s="3" t="str">
        <f>IFERROR(__xludf.DUMMYFUNCTION("""COMPUTED_VALUE"""),"11")</f>
        <v>11</v>
      </c>
      <c r="F249" s="3" t="str">
        <f>IFERROR(__xludf.DUMMYFUNCTION("""COMPUTED_VALUE"""),"นพอ.ชวัลลักษณ์ อินทะชุบ")</f>
        <v>นพอ.ชวัลลักษณ์ อินทะชุบ</v>
      </c>
      <c r="G2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9" s="3" t="str">
        <f>IFERROR(__xludf.DUMMYFUNCTION("""COMPUTED_VALUE"""),"วัดเกาะร่วมใจ ใส่ใจสุขภาพ")</f>
        <v>วัดเกาะร่วมใจ ใส่ใจสุขภาพ</v>
      </c>
      <c r="I249" s="3" t="str">
        <f>IFERROR(__xludf.DUMMYFUNCTION("""COMPUTED_VALUE"""),"ชุมชนวัดเกาะ เขตสายไหม")</f>
        <v>ชุมชนวัดเกาะ เขตสายไหม</v>
      </c>
      <c r="J249" s="12">
        <f>IFERROR(__xludf.DUMMYFUNCTION("""COMPUTED_VALUE"""),45823.0)</f>
        <v>45823</v>
      </c>
      <c r="K249" s="3" t="str">
        <f>IFERROR(__xludf.DUMMYFUNCTION("""COMPUTED_VALUE"""),"0700-1200")</f>
        <v>0700-1200</v>
      </c>
      <c r="L249" s="3">
        <f>IFERROR(__xludf.DUMMYFUNCTION("""COMPUTED_VALUE"""),4.0)</f>
        <v>4</v>
      </c>
      <c r="M249" s="3" t="str">
        <f>IFERROR(__xludf.DUMMYFUNCTION("""COMPUTED_VALUE"""),"น.ต.หญิง ตวงทิพย์ ลดาวัลย์")</f>
        <v>น.ต.หญิง ตวงทิพย์ ลดาวัลย์</v>
      </c>
      <c r="N249" s="14" t="str">
        <f>IFERROR(__xludf.DUMMYFUNCTION("""COMPUTED_VALUE"""),"https://lh5.googleusercontent.com/d/1ZUUEzh2XLyQUYu4Ae6qXbwbHNy7aXJOj")</f>
        <v>https://lh5.googleusercontent.com/d/1ZUUEzh2XLyQUYu4Ae6qXbwbHNy7aXJOj</v>
      </c>
      <c r="O249" s="14" t="str">
        <f>IFERROR(__xludf.DUMMYFUNCTION("""COMPUTED_VALUE"""),"https://drive.google.com/file/d/1fbp0MVecpGOFaQBy-w9ed7QkYEPFwC25/view?usp=drivesdk")</f>
        <v>https://drive.google.com/file/d/1fbp0MVecpGOFaQBy-w9ed7QkYEPFwC25/view?usp=drivesdk</v>
      </c>
    </row>
    <row r="250">
      <c r="A250" s="3">
        <f>IFERROR(__xludf.DUMMYFUNCTION("""COMPUTED_VALUE"""),970.0)</f>
        <v>970</v>
      </c>
      <c r="B250" s="11">
        <f>IFERROR(__xludf.DUMMYFUNCTION("""COMPUTED_VALUE"""),45992.04663956018)</f>
        <v>45992.04664</v>
      </c>
      <c r="C250" s="3" t="str">
        <f>IFERROR(__xludf.DUMMYFUNCTION("""COMPUTED_VALUE"""),"ชั้นปีที่ 3")</f>
        <v>ชั้นปีที่ 3</v>
      </c>
      <c r="D250" s="3" t="str">
        <f>IFERROR(__xludf.DUMMYFUNCTION("""COMPUTED_VALUE"""),"6603764")</f>
        <v>6603764</v>
      </c>
      <c r="E250" s="3" t="str">
        <f>IFERROR(__xludf.DUMMYFUNCTION("""COMPUTED_VALUE"""),"11")</f>
        <v>11</v>
      </c>
      <c r="F250" s="3" t="str">
        <f>IFERROR(__xludf.DUMMYFUNCTION("""COMPUTED_VALUE"""),"นพอ.ชวัลลักษณ์ อินทะชุบ")</f>
        <v>นพอ.ชวัลลักษณ์ อินทะชุบ</v>
      </c>
      <c r="G2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0" s="3" t="str">
        <f>IFERROR(__xludf.DUMMYFUNCTION("""COMPUTED_VALUE"""),"วัดเกาะร่วมใจ ใส่ใจสุขภาพ")</f>
        <v>วัดเกาะร่วมใจ ใส่ใจสุขภาพ</v>
      </c>
      <c r="I250" s="3" t="str">
        <f>IFERROR(__xludf.DUMMYFUNCTION("""COMPUTED_VALUE"""),"ชุมชนวัดเกาะ เขตสายไหม")</f>
        <v>ชุมชนวัดเกาะ เขตสายไหม</v>
      </c>
      <c r="J250" s="12">
        <f>IFERROR(__xludf.DUMMYFUNCTION("""COMPUTED_VALUE"""),45823.0)</f>
        <v>45823</v>
      </c>
      <c r="K250" s="3" t="str">
        <f>IFERROR(__xludf.DUMMYFUNCTION("""COMPUTED_VALUE"""),"0700-1200")</f>
        <v>0700-1200</v>
      </c>
      <c r="L250" s="3">
        <f>IFERROR(__xludf.DUMMYFUNCTION("""COMPUTED_VALUE"""),4.0)</f>
        <v>4</v>
      </c>
      <c r="M250" s="3" t="str">
        <f>IFERROR(__xludf.DUMMYFUNCTION("""COMPUTED_VALUE"""),"น.ต.หญิง ตวงทิพย์ ลดาวัลย์")</f>
        <v>น.ต.หญิง ตวงทิพย์ ลดาวัลย์</v>
      </c>
      <c r="N250" s="14" t="str">
        <f>IFERROR(__xludf.DUMMYFUNCTION("""COMPUTED_VALUE"""),"https://lh5.googleusercontent.com/d/1vkEBa-fvxHGqXWr_nNUzeQQdmYeGERN_")</f>
        <v>https://lh5.googleusercontent.com/d/1vkEBa-fvxHGqXWr_nNUzeQQdmYeGERN_</v>
      </c>
      <c r="O250" s="14" t="str">
        <f>IFERROR(__xludf.DUMMYFUNCTION("""COMPUTED_VALUE"""),"https://drive.google.com/file/d/1YVxFBC4Fwm48l0bf5Qsx4Y9hfFLVS7qP/view?usp=drivesdk")</f>
        <v>https://drive.google.com/file/d/1YVxFBC4Fwm48l0bf5Qsx4Y9hfFLVS7qP/view?usp=drivesdk</v>
      </c>
    </row>
    <row r="251">
      <c r="A251" s="3">
        <f>IFERROR(__xludf.DUMMYFUNCTION("""COMPUTED_VALUE"""),971.0)</f>
        <v>971</v>
      </c>
      <c r="B251" s="11">
        <f>IFERROR(__xludf.DUMMYFUNCTION("""COMPUTED_VALUE"""),45992.04896090278)</f>
        <v>45992.04896</v>
      </c>
      <c r="C251" s="3" t="str">
        <f>IFERROR(__xludf.DUMMYFUNCTION("""COMPUTED_VALUE"""),"ชั้นปีที่ 3")</f>
        <v>ชั้นปีที่ 3</v>
      </c>
      <c r="D251" s="3" t="str">
        <f>IFERROR(__xludf.DUMMYFUNCTION("""COMPUTED_VALUE"""),"6603764")</f>
        <v>6603764</v>
      </c>
      <c r="E251" s="3" t="str">
        <f>IFERROR(__xludf.DUMMYFUNCTION("""COMPUTED_VALUE"""),"11")</f>
        <v>11</v>
      </c>
      <c r="F251" s="3" t="str">
        <f>IFERROR(__xludf.DUMMYFUNCTION("""COMPUTED_VALUE"""),"นพอ.ชวัลลักษณ์ อินทะชุบ")</f>
        <v>นพอ.ชวัลลักษณ์ อินทะชุบ</v>
      </c>
      <c r="G2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1" s="3" t="str">
        <f>IFERROR(__xludf.DUMMYFUNCTION("""COMPUTED_VALUE"""),"รับคณะศึกษาดูงานรร.พยาบาลกห.กล.ต.(สาธารณรัฐเกาหลี)")</f>
        <v>รับคณะศึกษาดูงานรร.พยาบาลกห.กล.ต.(สาธารณรัฐเกาหลี)</v>
      </c>
      <c r="I251" s="3" t="str">
        <f>IFERROR(__xludf.DUMMYFUNCTION("""COMPUTED_VALUE"""),"สนามบินสุววรรณภูมิ")</f>
        <v>สนามบินสุววรรณภูมิ</v>
      </c>
      <c r="J251" s="12">
        <f>IFERROR(__xludf.DUMMYFUNCTION("""COMPUTED_VALUE"""),45949.0)</f>
        <v>45949</v>
      </c>
      <c r="K251" s="3" t="str">
        <f>IFERROR(__xludf.DUMMYFUNCTION("""COMPUTED_VALUE"""),"1900-2300")</f>
        <v>1900-2300</v>
      </c>
      <c r="L251" s="3">
        <f>IFERROR(__xludf.DUMMYFUNCTION("""COMPUTED_VALUE"""),4.0)</f>
        <v>4</v>
      </c>
      <c r="M251" s="3" t="str">
        <f>IFERROR(__xludf.DUMMYFUNCTION("""COMPUTED_VALUE"""),"น.ต.หญิง ประไพศรี ศุภางค์ภร")</f>
        <v>น.ต.หญิง ประไพศรี ศุภางค์ภร</v>
      </c>
      <c r="N251" s="14" t="str">
        <f>IFERROR(__xludf.DUMMYFUNCTION("""COMPUTED_VALUE"""),"https://lh5.googleusercontent.com/d/164F-KPBEH1yYE6bfudxM6EmdV_LjlQHX")</f>
        <v>https://lh5.googleusercontent.com/d/164F-KPBEH1yYE6bfudxM6EmdV_LjlQHX</v>
      </c>
      <c r="O251" s="14" t="str">
        <f>IFERROR(__xludf.DUMMYFUNCTION("""COMPUTED_VALUE"""),"https://drive.google.com/file/d/1R13YijVvwmLdZ0HAKXS3N9Ktz6t5rk0N/view?usp=drivesdk")</f>
        <v>https://drive.google.com/file/d/1R13YijVvwmLdZ0HAKXS3N9Ktz6t5rk0N/view?usp=drivesdk</v>
      </c>
    </row>
    <row r="252">
      <c r="A252" s="3">
        <f>IFERROR(__xludf.DUMMYFUNCTION("""COMPUTED_VALUE"""),972.0)</f>
        <v>972</v>
      </c>
      <c r="B252" s="11">
        <f>IFERROR(__xludf.DUMMYFUNCTION("""COMPUTED_VALUE"""),45992.050993958335)</f>
        <v>45992.05099</v>
      </c>
      <c r="C252" s="3" t="str">
        <f>IFERROR(__xludf.DUMMYFUNCTION("""COMPUTED_VALUE"""),"ชั้นปีที่ 3")</f>
        <v>ชั้นปีที่ 3</v>
      </c>
      <c r="D252" s="3" t="str">
        <f>IFERROR(__xludf.DUMMYFUNCTION("""COMPUTED_VALUE"""),"6603764")</f>
        <v>6603764</v>
      </c>
      <c r="E252" s="3" t="str">
        <f>IFERROR(__xludf.DUMMYFUNCTION("""COMPUTED_VALUE"""),"11")</f>
        <v>11</v>
      </c>
      <c r="F252" s="3" t="str">
        <f>IFERROR(__xludf.DUMMYFUNCTION("""COMPUTED_VALUE"""),"นพอ.ชวัลลักษณ์ อินทะชุบ")</f>
        <v>นพอ.ชวัลลักษณ์ อินทะชุบ</v>
      </c>
      <c r="G2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2" s="3" t="str">
        <f>IFERROR(__xludf.DUMMYFUNCTION("""COMPUTED_VALUE""")," Buddy Korean")</f>
        <v> Buddy Korean</v>
      </c>
      <c r="I252" s="3" t="str">
        <f>IFERROR(__xludf.DUMMYFUNCTION("""COMPUTED_VALUE"""),"วิทยาลับพยาบาลทหารอากาศ")</f>
        <v>วิทยาลับพยาบาลทหารอากาศ</v>
      </c>
      <c r="J252" s="12">
        <f>IFERROR(__xludf.DUMMYFUNCTION("""COMPUTED_VALUE"""),45951.0)</f>
        <v>45951</v>
      </c>
      <c r="K252" s="3" t="str">
        <f>IFERROR(__xludf.DUMMYFUNCTION("""COMPUTED_VALUE"""),"0700-1100")</f>
        <v>0700-1100</v>
      </c>
      <c r="L252" s="3">
        <f>IFERROR(__xludf.DUMMYFUNCTION("""COMPUTED_VALUE"""),4.0)</f>
        <v>4</v>
      </c>
      <c r="M252" s="3" t="str">
        <f>IFERROR(__xludf.DUMMYFUNCTION("""COMPUTED_VALUE"""),"น.ต.หญิง ประไพศรี ศุภางค์ภร")</f>
        <v>น.ต.หญิง ประไพศรี ศุภางค์ภร</v>
      </c>
      <c r="N252" s="14" t="str">
        <f>IFERROR(__xludf.DUMMYFUNCTION("""COMPUTED_VALUE"""),"https://lh5.googleusercontent.com/d/16KIGA6hkYcgy29_GuRUao4pFgWu9yncW")</f>
        <v>https://lh5.googleusercontent.com/d/16KIGA6hkYcgy29_GuRUao4pFgWu9yncW</v>
      </c>
      <c r="O252" s="14" t="str">
        <f>IFERROR(__xludf.DUMMYFUNCTION("""COMPUTED_VALUE"""),"https://drive.google.com/file/d/1xT9RWUm8MOtkRF14TenOKRjkTwrCh49H/view?usp=drivesdk")</f>
        <v>https://drive.google.com/file/d/1xT9RWUm8MOtkRF14TenOKRjkTwrCh49H/view?usp=drivesdk</v>
      </c>
    </row>
    <row r="253">
      <c r="A253" s="3">
        <f>IFERROR(__xludf.DUMMYFUNCTION("""COMPUTED_VALUE"""),973.0)</f>
        <v>973</v>
      </c>
      <c r="B253" s="11">
        <f>IFERROR(__xludf.DUMMYFUNCTION("""COMPUTED_VALUE"""),45992.05275407407)</f>
        <v>45992.05275</v>
      </c>
      <c r="C253" s="3" t="str">
        <f>IFERROR(__xludf.DUMMYFUNCTION("""COMPUTED_VALUE"""),"ชั้นปีที่ 3")</f>
        <v>ชั้นปีที่ 3</v>
      </c>
      <c r="D253" s="3" t="str">
        <f>IFERROR(__xludf.DUMMYFUNCTION("""COMPUTED_VALUE"""),"6603764")</f>
        <v>6603764</v>
      </c>
      <c r="E253" s="3" t="str">
        <f>IFERROR(__xludf.DUMMYFUNCTION("""COMPUTED_VALUE"""),"11")</f>
        <v>11</v>
      </c>
      <c r="F253" s="3" t="str">
        <f>IFERROR(__xludf.DUMMYFUNCTION("""COMPUTED_VALUE"""),"นพอ.ชวัลลักษณ์ อินทะชุบ")</f>
        <v>นพอ.ชวัลลักษณ์ อินทะชุบ</v>
      </c>
      <c r="G2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3" s="3" t="str">
        <f>IFERROR(__xludf.DUMMYFUNCTION("""COMPUTED_VALUE"""),"Buddy Korean")</f>
        <v>Buddy Korean</v>
      </c>
      <c r="I253" s="3" t="str">
        <f>IFERROR(__xludf.DUMMYFUNCTION("""COMPUTED_VALUE"""),"วิทยาลัยพยาบาลทหารอากาศ")</f>
        <v>วิทยาลัยพยาบาลทหารอากาศ</v>
      </c>
      <c r="J253" s="12">
        <f>IFERROR(__xludf.DUMMYFUNCTION("""COMPUTED_VALUE"""),45952.0)</f>
        <v>45952</v>
      </c>
      <c r="K253" s="3" t="str">
        <f>IFERROR(__xludf.DUMMYFUNCTION("""COMPUTED_VALUE"""),"0700-1100")</f>
        <v>0700-1100</v>
      </c>
      <c r="L253" s="3">
        <f>IFERROR(__xludf.DUMMYFUNCTION("""COMPUTED_VALUE"""),4.0)</f>
        <v>4</v>
      </c>
      <c r="M253" s="3" t="str">
        <f>IFERROR(__xludf.DUMMYFUNCTION("""COMPUTED_VALUE"""),"น.ต.หญิง ประไพศรี ศุภางค์ภร")</f>
        <v>น.ต.หญิง ประไพศรี ศุภางค์ภร</v>
      </c>
      <c r="N253" s="14" t="str">
        <f>IFERROR(__xludf.DUMMYFUNCTION("""COMPUTED_VALUE"""),"https://lh5.googleusercontent.com/d/1wsTjCwq-pAK3zrLumN7nQcUR00bvhaZm")</f>
        <v>https://lh5.googleusercontent.com/d/1wsTjCwq-pAK3zrLumN7nQcUR00bvhaZm</v>
      </c>
      <c r="O253" s="14" t="str">
        <f>IFERROR(__xludf.DUMMYFUNCTION("""COMPUTED_VALUE"""),"https://drive.google.com/file/d/1MiACVqi0T1Y0gXNK1DLTpSOSt5-XbRtj/view?usp=drivesdk")</f>
        <v>https://drive.google.com/file/d/1MiACVqi0T1Y0gXNK1DLTpSOSt5-XbRtj/view?usp=drivesdk</v>
      </c>
    </row>
    <row r="254">
      <c r="A254" s="3">
        <f>IFERROR(__xludf.DUMMYFUNCTION("""COMPUTED_VALUE"""),974.0)</f>
        <v>974</v>
      </c>
      <c r="B254" s="11">
        <f>IFERROR(__xludf.DUMMYFUNCTION("""COMPUTED_VALUE"""),45992.055031400465)</f>
        <v>45992.05503</v>
      </c>
      <c r="C254" s="3" t="str">
        <f>IFERROR(__xludf.DUMMYFUNCTION("""COMPUTED_VALUE"""),"ชั้นปีที่ 3")</f>
        <v>ชั้นปีที่ 3</v>
      </c>
      <c r="D254" s="3" t="str">
        <f>IFERROR(__xludf.DUMMYFUNCTION("""COMPUTED_VALUE"""),"6603764")</f>
        <v>6603764</v>
      </c>
      <c r="E254" s="3" t="str">
        <f>IFERROR(__xludf.DUMMYFUNCTION("""COMPUTED_VALUE"""),"11")</f>
        <v>11</v>
      </c>
      <c r="F254" s="3" t="str">
        <f>IFERROR(__xludf.DUMMYFUNCTION("""COMPUTED_VALUE"""),"นพอ.ชวัลลักษณ์ อินทะชุบ")</f>
        <v>นพอ.ชวัลลักษณ์ อินทะชุบ</v>
      </c>
      <c r="G2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4" s="3" t="str">
        <f>IFERROR(__xludf.DUMMYFUNCTION("""COMPUTED_VALUE"""),"Buddy Korean")</f>
        <v>Buddy Korean</v>
      </c>
      <c r="I254" s="3" t="str">
        <f>IFERROR(__xludf.DUMMYFUNCTION("""COMPUTED_VALUE"""),"วิทยาลัยพยาบาลทหารอากาศ")</f>
        <v>วิทยาลัยพยาบาลทหารอากาศ</v>
      </c>
      <c r="J254" s="12">
        <f>IFERROR(__xludf.DUMMYFUNCTION("""COMPUTED_VALUE"""),45953.0)</f>
        <v>45953</v>
      </c>
      <c r="K254" s="3" t="str">
        <f>IFERROR(__xludf.DUMMYFUNCTION("""COMPUTED_VALUE"""),"0700-1100")</f>
        <v>0700-1100</v>
      </c>
      <c r="L254" s="3">
        <f>IFERROR(__xludf.DUMMYFUNCTION("""COMPUTED_VALUE"""),4.0)</f>
        <v>4</v>
      </c>
      <c r="M254" s="3" t="str">
        <f>IFERROR(__xludf.DUMMYFUNCTION("""COMPUTED_VALUE"""),"น.ต.หญิง ประไพศรี ศุภางค์ภร")</f>
        <v>น.ต.หญิง ประไพศรี ศุภางค์ภร</v>
      </c>
      <c r="N254" s="14" t="str">
        <f>IFERROR(__xludf.DUMMYFUNCTION("""COMPUTED_VALUE"""),"https://lh5.googleusercontent.com/d/1qogKoM4JWAT5M6vtIaOcx0vhArBWO4nQ")</f>
        <v>https://lh5.googleusercontent.com/d/1qogKoM4JWAT5M6vtIaOcx0vhArBWO4nQ</v>
      </c>
      <c r="O254" s="14" t="str">
        <f>IFERROR(__xludf.DUMMYFUNCTION("""COMPUTED_VALUE"""),"https://drive.google.com/file/d/157rSOAplzQxNgmPjUzawBoZttuJdfTqu/view?usp=drivesdk")</f>
        <v>https://drive.google.com/file/d/157rSOAplzQxNgmPjUzawBoZttuJdfTqu/view?usp=drivesdk</v>
      </c>
    </row>
    <row r="255">
      <c r="A255" s="3">
        <f>IFERROR(__xludf.DUMMYFUNCTION("""COMPUTED_VALUE"""),975.0)</f>
        <v>975</v>
      </c>
      <c r="B255" s="11">
        <f>IFERROR(__xludf.DUMMYFUNCTION("""COMPUTED_VALUE"""),45992.05749615741)</f>
        <v>45992.0575</v>
      </c>
      <c r="C255" s="3" t="str">
        <f>IFERROR(__xludf.DUMMYFUNCTION("""COMPUTED_VALUE"""),"ชั้นปีที่ 3")</f>
        <v>ชั้นปีที่ 3</v>
      </c>
      <c r="D255" s="3" t="str">
        <f>IFERROR(__xludf.DUMMYFUNCTION("""COMPUTED_VALUE"""),"6603764")</f>
        <v>6603764</v>
      </c>
      <c r="E255" s="3" t="str">
        <f>IFERROR(__xludf.DUMMYFUNCTION("""COMPUTED_VALUE"""),"11")</f>
        <v>11</v>
      </c>
      <c r="F255" s="3" t="str">
        <f>IFERROR(__xludf.DUMMYFUNCTION("""COMPUTED_VALUE"""),"นพอ.ชวัลลักษณ์ อินทะชุบ")</f>
        <v>นพอ.ชวัลลักษณ์ อินทะชุบ</v>
      </c>
      <c r="G25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5" s="3" t="str">
        <f>IFERROR(__xludf.DUMMYFUNCTION("""COMPUTED_VALUE"""),"Buddy Korean")</f>
        <v>Buddy Korean</v>
      </c>
      <c r="I255" s="3" t="str">
        <f>IFERROR(__xludf.DUMMYFUNCTION("""COMPUTED_VALUE"""),"วิทยาลัยพยาบาลทหารอากาศ")</f>
        <v>วิทยาลัยพยาบาลทหารอากาศ</v>
      </c>
      <c r="J255" s="12">
        <f>IFERROR(__xludf.DUMMYFUNCTION("""COMPUTED_VALUE"""),45950.0)</f>
        <v>45950</v>
      </c>
      <c r="K255" s="3" t="str">
        <f>IFERROR(__xludf.DUMMYFUNCTION("""COMPUTED_VALUE"""),"0700-1100")</f>
        <v>0700-1100</v>
      </c>
      <c r="L255" s="3">
        <f>IFERROR(__xludf.DUMMYFUNCTION("""COMPUTED_VALUE"""),4.0)</f>
        <v>4</v>
      </c>
      <c r="M255" s="3" t="str">
        <f>IFERROR(__xludf.DUMMYFUNCTION("""COMPUTED_VALUE"""),"น.ต.หญิง ประไพศรี ศุภางค์ภร")</f>
        <v>น.ต.หญิง ประไพศรี ศุภางค์ภร</v>
      </c>
      <c r="N255" s="14" t="str">
        <f>IFERROR(__xludf.DUMMYFUNCTION("""COMPUTED_VALUE"""),"https://lh5.googleusercontent.com/d/1r0buZEXcq20cC27ZIPAWDXMxFhWKCOLt")</f>
        <v>https://lh5.googleusercontent.com/d/1r0buZEXcq20cC27ZIPAWDXMxFhWKCOLt</v>
      </c>
      <c r="O255" s="14" t="str">
        <f>IFERROR(__xludf.DUMMYFUNCTION("""COMPUTED_VALUE"""),"https://drive.google.com/file/d/12ixDm8gWgZe8mrKsVhC6ra7LuW_S4_H-/view?usp=drivesdk")</f>
        <v>https://drive.google.com/file/d/12ixDm8gWgZe8mrKsVhC6ra7LuW_S4_H-/view?usp=drivesdk</v>
      </c>
    </row>
    <row r="256">
      <c r="A256" s="3">
        <f>IFERROR(__xludf.DUMMYFUNCTION("""COMPUTED_VALUE"""),976.0)</f>
        <v>976</v>
      </c>
      <c r="B256" s="11">
        <f>IFERROR(__xludf.DUMMYFUNCTION("""COMPUTED_VALUE"""),45992.05955440972)</f>
        <v>45992.05955</v>
      </c>
      <c r="C256" s="3" t="str">
        <f>IFERROR(__xludf.DUMMYFUNCTION("""COMPUTED_VALUE"""),"ชั้นปีที่ 3")</f>
        <v>ชั้นปีที่ 3</v>
      </c>
      <c r="D256" s="3" t="str">
        <f>IFERROR(__xludf.DUMMYFUNCTION("""COMPUTED_VALUE"""),"6603764")</f>
        <v>6603764</v>
      </c>
      <c r="E256" s="3" t="str">
        <f>IFERROR(__xludf.DUMMYFUNCTION("""COMPUTED_VALUE"""),"11")</f>
        <v>11</v>
      </c>
      <c r="F256" s="3" t="str">
        <f>IFERROR(__xludf.DUMMYFUNCTION("""COMPUTED_VALUE"""),"นพอ.ชวัลลักษณ์ อินทะชุบ")</f>
        <v>นพอ.ชวัลลักษณ์ อินทะชุบ</v>
      </c>
      <c r="G2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6" s="3" t="str">
        <f>IFERROR(__xludf.DUMMYFUNCTION("""COMPUTED_VALUE"""),"รับเสด็จ")</f>
        <v>รับเสด็จ</v>
      </c>
      <c r="I256" s="3" t="str">
        <f>IFERROR(__xludf.DUMMYFUNCTION("""COMPUTED_VALUE"""),"มหาวิทยาลัยมหิดลศาลายา")</f>
        <v>มหาวิทยาลัยมหิดลศาลายา</v>
      </c>
      <c r="J256" s="12">
        <f>IFERROR(__xludf.DUMMYFUNCTION("""COMPUTED_VALUE"""),45940.0)</f>
        <v>45940</v>
      </c>
      <c r="K256" s="3" t="str">
        <f>IFERROR(__xludf.DUMMYFUNCTION("""COMPUTED_VALUE"""),"0700-1100")</f>
        <v>0700-1100</v>
      </c>
      <c r="L256" s="3">
        <f>IFERROR(__xludf.DUMMYFUNCTION("""COMPUTED_VALUE"""),4.0)</f>
        <v>4</v>
      </c>
      <c r="M256" s="3" t="str">
        <f>IFERROR(__xludf.DUMMYFUNCTION("""COMPUTED_VALUE"""),"น.ท.หญิง สุพัตรา ปิ่นแก้ว")</f>
        <v>น.ท.หญิง สุพัตรา ปิ่นแก้ว</v>
      </c>
      <c r="N256" s="14" t="str">
        <f>IFERROR(__xludf.DUMMYFUNCTION("""COMPUTED_VALUE"""),"https://lh5.googleusercontent.com/d/12-Apj_ZGNL0xD6U-uwuvYHir50FSxcd2")</f>
        <v>https://lh5.googleusercontent.com/d/12-Apj_ZGNL0xD6U-uwuvYHir50FSxcd2</v>
      </c>
      <c r="O256" s="14" t="str">
        <f>IFERROR(__xludf.DUMMYFUNCTION("""COMPUTED_VALUE"""),"https://drive.google.com/file/d/1HignqHGWk6CNykX7Dy4QcysU2lqVKPmJ/view?usp=drivesdk")</f>
        <v>https://drive.google.com/file/d/1HignqHGWk6CNykX7Dy4QcysU2lqVKPmJ/view?usp=drivesdk</v>
      </c>
    </row>
    <row r="257">
      <c r="A257" s="3">
        <f>IFERROR(__xludf.DUMMYFUNCTION("""COMPUTED_VALUE"""),977.0)</f>
        <v>977</v>
      </c>
      <c r="B257" s="11">
        <f>IFERROR(__xludf.DUMMYFUNCTION("""COMPUTED_VALUE"""),45992.06948957176)</f>
        <v>45992.06949</v>
      </c>
      <c r="C257" s="3" t="str">
        <f>IFERROR(__xludf.DUMMYFUNCTION("""COMPUTED_VALUE"""),"ชั้นปีที่ 3")</f>
        <v>ชั้นปีที่ 3</v>
      </c>
      <c r="D257" s="3" t="str">
        <f>IFERROR(__xludf.DUMMYFUNCTION("""COMPUTED_VALUE"""),"6603764")</f>
        <v>6603764</v>
      </c>
      <c r="E257" s="3" t="str">
        <f>IFERROR(__xludf.DUMMYFUNCTION("""COMPUTED_VALUE"""),"11")</f>
        <v>11</v>
      </c>
      <c r="F257" s="3" t="str">
        <f>IFERROR(__xludf.DUMMYFUNCTION("""COMPUTED_VALUE"""),"นพอ.ชวัลลักษณ์ อินทะชุบ")</f>
        <v>นพอ.ชวัลลักษณ์ อินทะชุบ</v>
      </c>
      <c r="G2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7" s="3" t="str">
        <f>IFERROR(__xludf.DUMMYFUNCTION("""COMPUTED_VALUE"""),"ค่ายแนะแนวรัฐบุรุษ1")</f>
        <v>ค่ายแนะแนวรัฐบุรุษ1</v>
      </c>
      <c r="I257" s="3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57" s="12">
        <f>IFERROR(__xludf.DUMMYFUNCTION("""COMPUTED_VALUE"""),45891.0)</f>
        <v>45891</v>
      </c>
      <c r="K257" s="3" t="str">
        <f>IFERROR(__xludf.DUMMYFUNCTION("""COMPUTED_VALUE"""),"1700-2100")</f>
        <v>1700-2100</v>
      </c>
      <c r="L257" s="3">
        <f>IFERROR(__xludf.DUMMYFUNCTION("""COMPUTED_VALUE"""),4.0)</f>
        <v>4</v>
      </c>
      <c r="M257" s="3" t="str">
        <f>IFERROR(__xludf.DUMMYFUNCTION("""COMPUTED_VALUE"""),"น.ต.ขวัญชนก พ่วงนาคพันธุ์")</f>
        <v>น.ต.ขวัญชนก พ่วงนาคพันธุ์</v>
      </c>
      <c r="N257" s="14" t="str">
        <f>IFERROR(__xludf.DUMMYFUNCTION("""COMPUTED_VALUE"""),"https://lh5.googleusercontent.com/d/1irO6Rsr8tvaEJDTgt54DxthORRyEGAnr")</f>
        <v>https://lh5.googleusercontent.com/d/1irO6Rsr8tvaEJDTgt54DxthORRyEGAnr</v>
      </c>
      <c r="O257" s="14" t="str">
        <f>IFERROR(__xludf.DUMMYFUNCTION("""COMPUTED_VALUE"""),"https://drive.google.com/file/d/1UQQelc6r8s283dXmxulfDqCH8XLCrBxf/view?usp=drivesdk")</f>
        <v>https://drive.google.com/file/d/1UQQelc6r8s283dXmxulfDqCH8XLCrBxf/view?usp=drivesdk</v>
      </c>
    </row>
    <row r="258">
      <c r="A258" s="3">
        <f>IFERROR(__xludf.DUMMYFUNCTION("""COMPUTED_VALUE"""),978.0)</f>
        <v>978</v>
      </c>
      <c r="B258" s="11">
        <f>IFERROR(__xludf.DUMMYFUNCTION("""COMPUTED_VALUE"""),45992.07171991898)</f>
        <v>45992.07172</v>
      </c>
      <c r="C258" s="3" t="str">
        <f>IFERROR(__xludf.DUMMYFUNCTION("""COMPUTED_VALUE"""),"ชั้นปีที่ 3")</f>
        <v>ชั้นปีที่ 3</v>
      </c>
      <c r="D258" s="3" t="str">
        <f>IFERROR(__xludf.DUMMYFUNCTION("""COMPUTED_VALUE"""),"6603764")</f>
        <v>6603764</v>
      </c>
      <c r="E258" s="3" t="str">
        <f>IFERROR(__xludf.DUMMYFUNCTION("""COMPUTED_VALUE"""),"11")</f>
        <v>11</v>
      </c>
      <c r="F258" s="3" t="str">
        <f>IFERROR(__xludf.DUMMYFUNCTION("""COMPUTED_VALUE"""),"นพอ.ชวัลลักษณ์ อินทะชุบ")</f>
        <v>นพอ.ชวัลลักษณ์ อินทะชุบ</v>
      </c>
      <c r="G2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8" s="3" t="str">
        <f>IFERROR(__xludf.DUMMYFUNCTION("""COMPUTED_VALUE"""),"ค่ายแนะแนวรัฐบุรุษ1")</f>
        <v>ค่ายแนะแนวรัฐบุรุษ1</v>
      </c>
      <c r="I258" s="3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58" s="12">
        <f>IFERROR(__xludf.DUMMYFUNCTION("""COMPUTED_VALUE"""),45892.0)</f>
        <v>45892</v>
      </c>
      <c r="K258" s="3" t="str">
        <f>IFERROR(__xludf.DUMMYFUNCTION("""COMPUTED_VALUE"""),"0700-1500")</f>
        <v>0700-1500</v>
      </c>
      <c r="L258" s="3">
        <f>IFERROR(__xludf.DUMMYFUNCTION("""COMPUTED_VALUE"""),8.0)</f>
        <v>8</v>
      </c>
      <c r="M25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8" s="14" t="str">
        <f>IFERROR(__xludf.DUMMYFUNCTION("""COMPUTED_VALUE"""),"https://lh5.googleusercontent.com/d/1RCtmtycRtozuF8U2LCjrpvHNpCS3MjiO")</f>
        <v>https://lh5.googleusercontent.com/d/1RCtmtycRtozuF8U2LCjrpvHNpCS3MjiO</v>
      </c>
      <c r="O258" s="14" t="str">
        <f>IFERROR(__xludf.DUMMYFUNCTION("""COMPUTED_VALUE"""),"https://drive.google.com/file/d/1O4DzA_XSMVw3L4nEMpF4ZRQcUSS-TqW-/view?usp=drivesdk")</f>
        <v>https://drive.google.com/file/d/1O4DzA_XSMVw3L4nEMpF4ZRQcUSS-TqW-/view?usp=drivesdk</v>
      </c>
    </row>
    <row r="259">
      <c r="A259" s="3">
        <f>IFERROR(__xludf.DUMMYFUNCTION("""COMPUTED_VALUE"""),979.0)</f>
        <v>979</v>
      </c>
      <c r="B259" s="11">
        <f>IFERROR(__xludf.DUMMYFUNCTION("""COMPUTED_VALUE"""),45992.07350168981)</f>
        <v>45992.0735</v>
      </c>
      <c r="C259" s="3" t="str">
        <f>IFERROR(__xludf.DUMMYFUNCTION("""COMPUTED_VALUE"""),"ชั้นปีที่ 3")</f>
        <v>ชั้นปีที่ 3</v>
      </c>
      <c r="D259" s="3" t="str">
        <f>IFERROR(__xludf.DUMMYFUNCTION("""COMPUTED_VALUE"""),"6603764")</f>
        <v>6603764</v>
      </c>
      <c r="E259" s="3" t="str">
        <f>IFERROR(__xludf.DUMMYFUNCTION("""COMPUTED_VALUE"""),"11")</f>
        <v>11</v>
      </c>
      <c r="F259" s="3" t="str">
        <f>IFERROR(__xludf.DUMMYFUNCTION("""COMPUTED_VALUE"""),"นพอ.ชวัลลักษณ์ อินทะชุบ")</f>
        <v>นพอ.ชวัลลักษณ์ อินทะชุบ</v>
      </c>
      <c r="G2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9" s="3" t="str">
        <f>IFERROR(__xludf.DUMMYFUNCTION("""COMPUTED_VALUE"""),"ค่ายแนะแนวรัฐบุรุษ1")</f>
        <v>ค่ายแนะแนวรัฐบุรุษ1</v>
      </c>
      <c r="I259" s="3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59" s="12">
        <f>IFERROR(__xludf.DUMMYFUNCTION("""COMPUTED_VALUE"""),45893.0)</f>
        <v>45893</v>
      </c>
      <c r="K259" s="3" t="str">
        <f>IFERROR(__xludf.DUMMYFUNCTION("""COMPUTED_VALUE"""),"0700-1500")</f>
        <v>0700-1500</v>
      </c>
      <c r="L259" s="3">
        <f>IFERROR(__xludf.DUMMYFUNCTION("""COMPUTED_VALUE"""),8.0)</f>
        <v>8</v>
      </c>
      <c r="M25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9" s="14" t="str">
        <f>IFERROR(__xludf.DUMMYFUNCTION("""COMPUTED_VALUE"""),"https://lh5.googleusercontent.com/d/1KR71CCWQqhdm8IhnkmuwbkXSz2jRaKDv")</f>
        <v>https://lh5.googleusercontent.com/d/1KR71CCWQqhdm8IhnkmuwbkXSz2jRaKDv</v>
      </c>
      <c r="O259" s="14" t="str">
        <f>IFERROR(__xludf.DUMMYFUNCTION("""COMPUTED_VALUE"""),"https://drive.google.com/file/d/1muQNWMgPGAkdLUBjN9H8Ps0ZJOcRTuCa/view?usp=drivesdk")</f>
        <v>https://drive.google.com/file/d/1muQNWMgPGAkdLUBjN9H8Ps0ZJOcRTuCa/view?usp=drivesdk</v>
      </c>
    </row>
    <row r="260">
      <c r="A260" s="3">
        <f>IFERROR(__xludf.DUMMYFUNCTION("""COMPUTED_VALUE"""),980.0)</f>
        <v>980</v>
      </c>
      <c r="B260" s="11">
        <f>IFERROR(__xludf.DUMMYFUNCTION("""COMPUTED_VALUE"""),45992.07590158565)</f>
        <v>45992.0759</v>
      </c>
      <c r="C260" s="3" t="str">
        <f>IFERROR(__xludf.DUMMYFUNCTION("""COMPUTED_VALUE"""),"ชั้นปีที่ 3")</f>
        <v>ชั้นปีที่ 3</v>
      </c>
      <c r="D260" s="3" t="str">
        <f>IFERROR(__xludf.DUMMYFUNCTION("""COMPUTED_VALUE"""),"6603764")</f>
        <v>6603764</v>
      </c>
      <c r="E260" s="3" t="str">
        <f>IFERROR(__xludf.DUMMYFUNCTION("""COMPUTED_VALUE"""),"11")</f>
        <v>11</v>
      </c>
      <c r="F260" s="3" t="str">
        <f>IFERROR(__xludf.DUMMYFUNCTION("""COMPUTED_VALUE"""),"นพอ.ชวัลลักษณ์ อินทะชุบ")</f>
        <v>นพอ.ชวัลลักษณ์ อินทะชุบ</v>
      </c>
      <c r="G260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60" s="3" t="str">
        <f>IFERROR(__xludf.DUMMYFUNCTION("""COMPUTED_VALUE"""),"ลงนามถวายพระพรวันเฉลิมพระชนมพรรษา ร.10")</f>
        <v>ลงนามถวายพระพรวันเฉลิมพระชนมพรรษา ร.10</v>
      </c>
      <c r="I260" s="3" t="str">
        <f>IFERROR(__xludf.DUMMYFUNCTION("""COMPUTED_VALUE"""),"กระทรวงมหาดไทย ออนไลน์")</f>
        <v>กระทรวงมหาดไทย ออนไลน์</v>
      </c>
      <c r="J260" s="12">
        <f>IFERROR(__xludf.DUMMYFUNCTION("""COMPUTED_VALUE"""),45866.0)</f>
        <v>45866</v>
      </c>
      <c r="K260" s="3" t="str">
        <f>IFERROR(__xludf.DUMMYFUNCTION("""COMPUTED_VALUE"""),"1500")</f>
        <v>1500</v>
      </c>
      <c r="L260" s="3">
        <f>IFERROR(__xludf.DUMMYFUNCTION("""COMPUTED_VALUE"""),1.0)</f>
        <v>1</v>
      </c>
      <c r="M260" s="3" t="str">
        <f>IFERROR(__xludf.DUMMYFUNCTION("""COMPUTED_VALUE"""),"กระทรวงมหาดไทย")</f>
        <v>กระทรวงมหาดไทย</v>
      </c>
      <c r="N260" s="14" t="str">
        <f>IFERROR(__xludf.DUMMYFUNCTION("""COMPUTED_VALUE"""),"https://lh5.googleusercontent.com/d/1YOE1y8-FaEmVLwihcE69Wg3n6hR3EmlK")</f>
        <v>https://lh5.googleusercontent.com/d/1YOE1y8-FaEmVLwihcE69Wg3n6hR3EmlK</v>
      </c>
      <c r="O260" s="14" t="str">
        <f>IFERROR(__xludf.DUMMYFUNCTION("""COMPUTED_VALUE"""),"https://drive.google.com/file/d/13-YIDwnFJTdRix5rl_PUn6spqAChKy-s/view?usp=drivesdk")</f>
        <v>https://drive.google.com/file/d/13-YIDwnFJTdRix5rl_PUn6spqAChKy-s/view?usp=drivesdk</v>
      </c>
    </row>
    <row r="261">
      <c r="A261" s="3">
        <f>IFERROR(__xludf.DUMMYFUNCTION("""COMPUTED_VALUE"""),981.0)</f>
        <v>981</v>
      </c>
      <c r="B261" s="11">
        <f>IFERROR(__xludf.DUMMYFUNCTION("""COMPUTED_VALUE"""),45992.07808378473)</f>
        <v>45992.07808</v>
      </c>
      <c r="C261" s="3" t="str">
        <f>IFERROR(__xludf.DUMMYFUNCTION("""COMPUTED_VALUE"""),"ชั้นปีที่ 3")</f>
        <v>ชั้นปีที่ 3</v>
      </c>
      <c r="D261" s="3" t="str">
        <f>IFERROR(__xludf.DUMMYFUNCTION("""COMPUTED_VALUE"""),"6603764")</f>
        <v>6603764</v>
      </c>
      <c r="E261" s="3" t="str">
        <f>IFERROR(__xludf.DUMMYFUNCTION("""COMPUTED_VALUE"""),"11")</f>
        <v>11</v>
      </c>
      <c r="F261" s="3" t="str">
        <f>IFERROR(__xludf.DUMMYFUNCTION("""COMPUTED_VALUE"""),"นพอ.ชวัลลักษณ์ อินทะชุบ")</f>
        <v>นพอ.ชวัลลักษณ์ อินทะชุบ</v>
      </c>
      <c r="G261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61" s="3" t="str">
        <f>IFERROR(__xludf.DUMMYFUNCTION("""COMPUTED_VALUE"""),"วันเฉลิมพระชนมพรรษา พระบรมราชชนนีพันปีหลวง")</f>
        <v>วันเฉลิมพระชนมพรรษา พระบรมราชชนนีพันปีหลวง</v>
      </c>
      <c r="I261" s="3" t="str">
        <f>IFERROR(__xludf.DUMMYFUNCTION("""COMPUTED_VALUE"""),"วพอ.พอ.")</f>
        <v>วพอ.พอ.</v>
      </c>
      <c r="J261" s="12">
        <f>IFERROR(__xludf.DUMMYFUNCTION("""COMPUTED_VALUE"""),45881.0)</f>
        <v>45881</v>
      </c>
      <c r="K261" s="3" t="str">
        <f>IFERROR(__xludf.DUMMYFUNCTION("""COMPUTED_VALUE"""),"1500")</f>
        <v>1500</v>
      </c>
      <c r="L261" s="3">
        <f>IFERROR(__xludf.DUMMYFUNCTION("""COMPUTED_VALUE"""),1.0)</f>
        <v>1</v>
      </c>
      <c r="M261" s="3" t="str">
        <f>IFERROR(__xludf.DUMMYFUNCTION("""COMPUTED_VALUE"""),"วิทยาลัยพยาบาลทหารอากาศ")</f>
        <v>วิทยาลัยพยาบาลทหารอากาศ</v>
      </c>
      <c r="N261" s="14" t="str">
        <f>IFERROR(__xludf.DUMMYFUNCTION("""COMPUTED_VALUE"""),"https://lh5.googleusercontent.com/d/1TAzEBJJy3w_FG6gVL8Co858mKlxRRUmF")</f>
        <v>https://lh5.googleusercontent.com/d/1TAzEBJJy3w_FG6gVL8Co858mKlxRRUmF</v>
      </c>
      <c r="O261" s="14" t="str">
        <f>IFERROR(__xludf.DUMMYFUNCTION("""COMPUTED_VALUE"""),"https://drive.google.com/file/d/1JiF9wwcI_eGNBjIMz9CZiMBkCrTTRuI9/view?usp=drivesdk")</f>
        <v>https://drive.google.com/file/d/1JiF9wwcI_eGNBjIMz9CZiMBkCrTTRuI9/view?usp=drivesdk</v>
      </c>
    </row>
    <row r="262">
      <c r="A262" s="3">
        <f>IFERROR(__xludf.DUMMYFUNCTION("""COMPUTED_VALUE"""),982.0)</f>
        <v>982</v>
      </c>
      <c r="B262" s="11">
        <f>IFERROR(__xludf.DUMMYFUNCTION("""COMPUTED_VALUE"""),45992.08474496527)</f>
        <v>45992.08474</v>
      </c>
      <c r="C262" s="3" t="str">
        <f>IFERROR(__xludf.DUMMYFUNCTION("""COMPUTED_VALUE"""),"ชั้นปีที่ 3")</f>
        <v>ชั้นปีที่ 3</v>
      </c>
      <c r="D262" s="3" t="str">
        <f>IFERROR(__xludf.DUMMYFUNCTION("""COMPUTED_VALUE"""),"6603786")</f>
        <v>6603786</v>
      </c>
      <c r="E262" s="3" t="str">
        <f>IFERROR(__xludf.DUMMYFUNCTION("""COMPUTED_VALUE"""),"32")</f>
        <v>32</v>
      </c>
      <c r="F262" s="3" t="str">
        <f>IFERROR(__xludf.DUMMYFUNCTION("""COMPUTED_VALUE"""),"ประภัสสร คีตวัฒนานนท์")</f>
        <v>ประภัสสร คีตวัฒนานนท์</v>
      </c>
      <c r="G2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2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62" s="3" t="str">
        <f>IFERROR(__xludf.DUMMYFUNCTION("""COMPUTED_VALUE"""),"โรงเรียนดุริยางค์ทหารอากาศ")</f>
        <v>โรงเรียนดุริยางค์ทหารอากาศ</v>
      </c>
      <c r="J262" s="12">
        <f>IFERROR(__xludf.DUMMYFUNCTION("""COMPUTED_VALUE"""),45825.0)</f>
        <v>45825</v>
      </c>
      <c r="K262" s="3" t="str">
        <f>IFERROR(__xludf.DUMMYFUNCTION("""COMPUTED_VALUE"""),"0800-1600")</f>
        <v>0800-1600</v>
      </c>
      <c r="L262" s="3">
        <f>IFERROR(__xludf.DUMMYFUNCTION("""COMPUTED_VALUE"""),8.0)</f>
        <v>8</v>
      </c>
      <c r="M262" s="3" t="str">
        <f>IFERROR(__xludf.DUMMYFUNCTION("""COMPUTED_VALUE"""),"ร.อ.อนุชิต ทำจะดี")</f>
        <v>ร.อ.อนุชิต ทำจะดี</v>
      </c>
      <c r="N262" s="14" t="str">
        <f>IFERROR(__xludf.DUMMYFUNCTION("""COMPUTED_VALUE"""),"https://lh5.googleusercontent.com/d/1kiGPfZhmKB3VUyIy9NzKw-2gbbyItxcF")</f>
        <v>https://lh5.googleusercontent.com/d/1kiGPfZhmKB3VUyIy9NzKw-2gbbyItxcF</v>
      </c>
      <c r="O262" s="14" t="str">
        <f>IFERROR(__xludf.DUMMYFUNCTION("""COMPUTED_VALUE"""),"https://drive.google.com/file/d/17EVNPLMCxczhtOszrBX4tSGtIRCIFCdE/view?usp=drivesdk")</f>
        <v>https://drive.google.com/file/d/17EVNPLMCxczhtOszrBX4tSGtIRCIFCdE/view?usp=drivesdk</v>
      </c>
    </row>
    <row r="263">
      <c r="A263" s="3">
        <f>IFERROR(__xludf.DUMMYFUNCTION("""COMPUTED_VALUE"""),983.0)</f>
        <v>983</v>
      </c>
      <c r="B263" s="11">
        <f>IFERROR(__xludf.DUMMYFUNCTION("""COMPUTED_VALUE"""),45992.090302453704)</f>
        <v>45992.0903</v>
      </c>
      <c r="C263" s="3" t="str">
        <f>IFERROR(__xludf.DUMMYFUNCTION("""COMPUTED_VALUE"""),"ชั้นปีที่ 3")</f>
        <v>ชั้นปีที่ 3</v>
      </c>
      <c r="D263" s="3" t="str">
        <f>IFERROR(__xludf.DUMMYFUNCTION("""COMPUTED_VALUE"""),"6603786")</f>
        <v>6603786</v>
      </c>
      <c r="E263" s="3" t="str">
        <f>IFERROR(__xludf.DUMMYFUNCTION("""COMPUTED_VALUE"""),"32")</f>
        <v>32</v>
      </c>
      <c r="F263" s="3" t="str">
        <f>IFERROR(__xludf.DUMMYFUNCTION("""COMPUTED_VALUE"""),"ประภัสสร คีตวัฒนานนท์")</f>
        <v>ประภัสสร คีตวัฒนานนท์</v>
      </c>
      <c r="G2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3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63" s="3" t="str">
        <f>IFERROR(__xludf.DUMMYFUNCTION("""COMPUTED_VALUE"""),"กองบัญชาการกองทัพอากาศ")</f>
        <v>กองบัญชาการกองทัพอากาศ</v>
      </c>
      <c r="J263" s="12">
        <f>IFERROR(__xludf.DUMMYFUNCTION("""COMPUTED_VALUE"""),45833.0)</f>
        <v>45833</v>
      </c>
      <c r="K263" s="3" t="str">
        <f>IFERROR(__xludf.DUMMYFUNCTION("""COMPUTED_VALUE"""),"0800-1600")</f>
        <v>0800-1600</v>
      </c>
      <c r="L263" s="3">
        <f>IFERROR(__xludf.DUMMYFUNCTION("""COMPUTED_VALUE"""),8.0)</f>
        <v>8</v>
      </c>
      <c r="M263" s="3" t="str">
        <f>IFERROR(__xludf.DUMMYFUNCTION("""COMPUTED_VALUE"""),"ร.อ.อนุชิต ทำจะดี")</f>
        <v>ร.อ.อนุชิต ทำจะดี</v>
      </c>
      <c r="N263" s="14" t="str">
        <f>IFERROR(__xludf.DUMMYFUNCTION("""COMPUTED_VALUE"""),"https://lh5.googleusercontent.com/d/10pQQq8gahEcs5xNfCt6P80cBsSSzdC31")</f>
        <v>https://lh5.googleusercontent.com/d/10pQQq8gahEcs5xNfCt6P80cBsSSzdC31</v>
      </c>
      <c r="O263" s="14" t="str">
        <f>IFERROR(__xludf.DUMMYFUNCTION("""COMPUTED_VALUE"""),"https://drive.google.com/file/d/1OMg7NPN9nQbxgwMoRjJQ0i8081SyrWJ2/view?usp=drivesdk")</f>
        <v>https://drive.google.com/file/d/1OMg7NPN9nQbxgwMoRjJQ0i8081SyrWJ2/view?usp=drivesdk</v>
      </c>
    </row>
    <row r="264">
      <c r="A264" s="3">
        <f>IFERROR(__xludf.DUMMYFUNCTION("""COMPUTED_VALUE"""),984.0)</f>
        <v>984</v>
      </c>
      <c r="B264" s="11">
        <f>IFERROR(__xludf.DUMMYFUNCTION("""COMPUTED_VALUE"""),45992.093136990734)</f>
        <v>45992.09314</v>
      </c>
      <c r="C264" s="3" t="str">
        <f>IFERROR(__xludf.DUMMYFUNCTION("""COMPUTED_VALUE"""),"ชั้นปีที่ 3")</f>
        <v>ชั้นปีที่ 3</v>
      </c>
      <c r="D264" s="3" t="str">
        <f>IFERROR(__xludf.DUMMYFUNCTION("""COMPUTED_VALUE"""),"6603786")</f>
        <v>6603786</v>
      </c>
      <c r="E264" s="3" t="str">
        <f>IFERROR(__xludf.DUMMYFUNCTION("""COMPUTED_VALUE"""),"32")</f>
        <v>32</v>
      </c>
      <c r="F264" s="3" t="str">
        <f>IFERROR(__xludf.DUMMYFUNCTION("""COMPUTED_VALUE"""),"ประภัสสร คีตวัฒนานนท์")</f>
        <v>ประภัสสร คีตวัฒนานนท์</v>
      </c>
      <c r="G26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4" s="3" t="str">
        <f>IFERROR(__xludf.DUMMYFUNCTION("""COMPUTED_VALUE""")," ซ้อมร้องประสานเสียงงานคอนเสิร์ตทัพฟ้า ")</f>
        <v> ซ้อมร้องประสานเสียงงานคอนเสิร์ตทัพฟ้า </v>
      </c>
      <c r="I26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4" s="12">
        <f>IFERROR(__xludf.DUMMYFUNCTION("""COMPUTED_VALUE"""),45838.0)</f>
        <v>45838</v>
      </c>
      <c r="K264" s="3" t="str">
        <f>IFERROR(__xludf.DUMMYFUNCTION("""COMPUTED_VALUE"""),"1400-2200")</f>
        <v>1400-2200</v>
      </c>
      <c r="L264" s="3">
        <f>IFERROR(__xludf.DUMMYFUNCTION("""COMPUTED_VALUE"""),8.0)</f>
        <v>8</v>
      </c>
      <c r="M264" s="3" t="str">
        <f>IFERROR(__xludf.DUMMYFUNCTION("""COMPUTED_VALUE"""),"ร.อ.อนุชิต ทำจะดี")</f>
        <v>ร.อ.อนุชิต ทำจะดี</v>
      </c>
      <c r="N264" s="14" t="str">
        <f>IFERROR(__xludf.DUMMYFUNCTION("""COMPUTED_VALUE"""),"https://lh5.googleusercontent.com/d/18mWG6MHTcTLoW4lGkntCKNLfYSh4lb7K")</f>
        <v>https://lh5.googleusercontent.com/d/18mWG6MHTcTLoW4lGkntCKNLfYSh4lb7K</v>
      </c>
      <c r="O264" s="14" t="str">
        <f>IFERROR(__xludf.DUMMYFUNCTION("""COMPUTED_VALUE"""),"https://drive.google.com/file/d/1wiO3bCCPjokEJGqtKYN6GWTEmAiEr9bY/view?usp=drivesdk")</f>
        <v>https://drive.google.com/file/d/1wiO3bCCPjokEJGqtKYN6GWTEmAiEr9bY/view?usp=drivesdk</v>
      </c>
    </row>
    <row r="265">
      <c r="A265" s="3">
        <f>IFERROR(__xludf.DUMMYFUNCTION("""COMPUTED_VALUE"""),985.0)</f>
        <v>985</v>
      </c>
      <c r="B265" s="11">
        <f>IFERROR(__xludf.DUMMYFUNCTION("""COMPUTED_VALUE"""),45992.09731297454)</f>
        <v>45992.09731</v>
      </c>
      <c r="C265" s="3" t="str">
        <f>IFERROR(__xludf.DUMMYFUNCTION("""COMPUTED_VALUE"""),"ชั้นปีที่ 3")</f>
        <v>ชั้นปีที่ 3</v>
      </c>
      <c r="D265" s="3" t="str">
        <f>IFERROR(__xludf.DUMMYFUNCTION("""COMPUTED_VALUE"""),"6603786")</f>
        <v>6603786</v>
      </c>
      <c r="E265" s="3" t="str">
        <f>IFERROR(__xludf.DUMMYFUNCTION("""COMPUTED_VALUE"""),"32")</f>
        <v>32</v>
      </c>
      <c r="F265" s="3" t="str">
        <f>IFERROR(__xludf.DUMMYFUNCTION("""COMPUTED_VALUE"""),"ประภัสสร คีตวัฒนานนท์")</f>
        <v>ประภัสสร คีตวัฒนานนท์</v>
      </c>
      <c r="G2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5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6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5" s="12">
        <f>IFERROR(__xludf.DUMMYFUNCTION("""COMPUTED_VALUE"""),45839.0)</f>
        <v>45839</v>
      </c>
      <c r="K265" s="3" t="str">
        <f>IFERROR(__xludf.DUMMYFUNCTION("""COMPUTED_VALUE"""),"1400-2000")</f>
        <v>1400-2000</v>
      </c>
      <c r="L265" s="3">
        <f>IFERROR(__xludf.DUMMYFUNCTION("""COMPUTED_VALUE"""),8.0)</f>
        <v>8</v>
      </c>
      <c r="M265" s="3" t="str">
        <f>IFERROR(__xludf.DUMMYFUNCTION("""COMPUTED_VALUE"""),"ร.อ.อนุชิต ทำจะดี")</f>
        <v>ร.อ.อนุชิต ทำจะดี</v>
      </c>
      <c r="N265" s="14" t="str">
        <f>IFERROR(__xludf.DUMMYFUNCTION("""COMPUTED_VALUE"""),"https://lh5.googleusercontent.com/d/182_Hhm9HUYgXHRHsBQiYwxw2XXZhhQeD")</f>
        <v>https://lh5.googleusercontent.com/d/182_Hhm9HUYgXHRHsBQiYwxw2XXZhhQeD</v>
      </c>
      <c r="O265" s="14" t="str">
        <f>IFERROR(__xludf.DUMMYFUNCTION("""COMPUTED_VALUE"""),"https://drive.google.com/file/d/1z6B-uJW3waXqGFRuefcktrGPZf-69kze/view?usp=drivesdk")</f>
        <v>https://drive.google.com/file/d/1z6B-uJW3waXqGFRuefcktrGPZf-69kze/view?usp=drivesdk</v>
      </c>
    </row>
    <row r="266">
      <c r="A266" s="3">
        <f>IFERROR(__xludf.DUMMYFUNCTION("""COMPUTED_VALUE"""),986.0)</f>
        <v>986</v>
      </c>
      <c r="B266" s="11">
        <f>IFERROR(__xludf.DUMMYFUNCTION("""COMPUTED_VALUE"""),45992.099959513886)</f>
        <v>45992.09996</v>
      </c>
      <c r="C266" s="3" t="str">
        <f>IFERROR(__xludf.DUMMYFUNCTION("""COMPUTED_VALUE"""),"ชั้นปีที่ 3")</f>
        <v>ชั้นปีที่ 3</v>
      </c>
      <c r="D266" s="3" t="str">
        <f>IFERROR(__xludf.DUMMYFUNCTION("""COMPUTED_VALUE"""),"6603786")</f>
        <v>6603786</v>
      </c>
      <c r="E266" s="3" t="str">
        <f>IFERROR(__xludf.DUMMYFUNCTION("""COMPUTED_VALUE"""),"32")</f>
        <v>32</v>
      </c>
      <c r="F266" s="3" t="str">
        <f>IFERROR(__xludf.DUMMYFUNCTION("""COMPUTED_VALUE"""),"ประภัสสร คีตวัฒนานนท์")</f>
        <v>ประภัสสร คีตวัฒนานนท์</v>
      </c>
      <c r="G2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6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6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6" s="12">
        <f>IFERROR(__xludf.DUMMYFUNCTION("""COMPUTED_VALUE"""),45840.0)</f>
        <v>45840</v>
      </c>
      <c r="K266" s="3" t="str">
        <f>IFERROR(__xludf.DUMMYFUNCTION("""COMPUTED_VALUE"""),"1400-2200")</f>
        <v>1400-2200</v>
      </c>
      <c r="L266" s="3">
        <f>IFERROR(__xludf.DUMMYFUNCTION("""COMPUTED_VALUE"""),8.0)</f>
        <v>8</v>
      </c>
      <c r="M266" s="3" t="str">
        <f>IFERROR(__xludf.DUMMYFUNCTION("""COMPUTED_VALUE"""),"ร.อ.อนุชิต ทำจะดี ")</f>
        <v>ร.อ.อนุชิต ทำจะดี </v>
      </c>
      <c r="N266" s="14" t="str">
        <f>IFERROR(__xludf.DUMMYFUNCTION("""COMPUTED_VALUE"""),"https://lh5.googleusercontent.com/d/1JgwBgsYSkyMjDurzl4V79z5w3SIZHenx")</f>
        <v>https://lh5.googleusercontent.com/d/1JgwBgsYSkyMjDurzl4V79z5w3SIZHenx</v>
      </c>
      <c r="O266" s="14" t="str">
        <f>IFERROR(__xludf.DUMMYFUNCTION("""COMPUTED_VALUE"""),"https://drive.google.com/file/d/1D9fGNYQfFD2xfg7yipGgTPtg9TW272Dq/view?usp=drivesdk")</f>
        <v>https://drive.google.com/file/d/1D9fGNYQfFD2xfg7yipGgTPtg9TW272Dq/view?usp=drivesdk</v>
      </c>
    </row>
    <row r="267">
      <c r="A267" s="3">
        <f>IFERROR(__xludf.DUMMYFUNCTION("""COMPUTED_VALUE"""),987.0)</f>
        <v>987</v>
      </c>
      <c r="B267" s="11">
        <f>IFERROR(__xludf.DUMMYFUNCTION("""COMPUTED_VALUE"""),45992.10536534722)</f>
        <v>45992.10537</v>
      </c>
      <c r="C267" s="3" t="str">
        <f>IFERROR(__xludf.DUMMYFUNCTION("""COMPUTED_VALUE"""),"ชั้นปีที่ 3")</f>
        <v>ชั้นปีที่ 3</v>
      </c>
      <c r="D267" s="3" t="str">
        <f>IFERROR(__xludf.DUMMYFUNCTION("""COMPUTED_VALUE"""),"6603786")</f>
        <v>6603786</v>
      </c>
      <c r="E267" s="3" t="str">
        <f>IFERROR(__xludf.DUMMYFUNCTION("""COMPUTED_VALUE"""),"32")</f>
        <v>32</v>
      </c>
      <c r="F267" s="3" t="str">
        <f>IFERROR(__xludf.DUMMYFUNCTION("""COMPUTED_VALUE"""),"ประภัสสร คีตวัฒนานนท์")</f>
        <v>ประภัสสร คีตวัฒนานนท์</v>
      </c>
      <c r="G26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7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67" s="3" t="str">
        <f>IFERROR(__xludf.DUMMYFUNCTION("""COMPUTED_VALUE"""),"ชุมชนวัดเกาะ")</f>
        <v>ชุมชนวัดเกาะ</v>
      </c>
      <c r="J267" s="12">
        <f>IFERROR(__xludf.DUMMYFUNCTION("""COMPUTED_VALUE"""),45823.0)</f>
        <v>45823</v>
      </c>
      <c r="K267" s="3" t="str">
        <f>IFERROR(__xludf.DUMMYFUNCTION("""COMPUTED_VALUE"""),"0800-1200")</f>
        <v>0800-1200</v>
      </c>
      <c r="L267" s="3">
        <f>IFERROR(__xludf.DUMMYFUNCTION("""COMPUTED_VALUE"""),4.0)</f>
        <v>4</v>
      </c>
      <c r="M267" s="3" t="str">
        <f>IFERROR(__xludf.DUMMYFUNCTION("""COMPUTED_VALUE""")," น.ต.ตวงทิพย์ ลดาวัลย์")</f>
        <v> น.ต.ตวงทิพย์ ลดาวัลย์</v>
      </c>
      <c r="N267" s="14" t="str">
        <f>IFERROR(__xludf.DUMMYFUNCTION("""COMPUTED_VALUE"""),"https://lh5.googleusercontent.com/d/1Pg7w-PaHWHMq21Jy7seY-qfb2j0QLNNn")</f>
        <v>https://lh5.googleusercontent.com/d/1Pg7w-PaHWHMq21Jy7seY-qfb2j0QLNNn</v>
      </c>
      <c r="O267" s="14" t="str">
        <f>IFERROR(__xludf.DUMMYFUNCTION("""COMPUTED_VALUE"""),"https://drive.google.com/file/d/1e6CsglbzN0iXdrugYKXZyGnIFbenveSP/view?usp=drivesdk")</f>
        <v>https://drive.google.com/file/d/1e6CsglbzN0iXdrugYKXZyGnIFbenveSP/view?usp=drivesdk</v>
      </c>
    </row>
    <row r="268">
      <c r="A268" s="3">
        <f>IFERROR(__xludf.DUMMYFUNCTION("""COMPUTED_VALUE"""),988.0)</f>
        <v>988</v>
      </c>
      <c r="B268" s="11">
        <f>IFERROR(__xludf.DUMMYFUNCTION("""COMPUTED_VALUE"""),45992.1103597338)</f>
        <v>45992.11036</v>
      </c>
      <c r="C268" s="3" t="str">
        <f>IFERROR(__xludf.DUMMYFUNCTION("""COMPUTED_VALUE"""),"ชั้นปีที่ 3")</f>
        <v>ชั้นปีที่ 3</v>
      </c>
      <c r="D268" s="3" t="str">
        <f>IFERROR(__xludf.DUMMYFUNCTION("""COMPUTED_VALUE"""),"6603786")</f>
        <v>6603786</v>
      </c>
      <c r="E268" s="3" t="str">
        <f>IFERROR(__xludf.DUMMYFUNCTION("""COMPUTED_VALUE"""),"32")</f>
        <v>32</v>
      </c>
      <c r="F268" s="3" t="str">
        <f>IFERROR(__xludf.DUMMYFUNCTION("""COMPUTED_VALUE"""),"ประภัสสร คีตวัฒนานนท์")</f>
        <v>ประภัสสร คีตวัฒนานนท์</v>
      </c>
      <c r="G268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68" s="3" t="str">
        <f>IFERROR(__xludf.DUMMYFUNCTION("""COMPUTED_VALUE"""),"ลงนามถวายพระพร")</f>
        <v>ลงนามถวายพระพร</v>
      </c>
      <c r="I268" s="3" t="str">
        <f>IFERROR(__xludf.DUMMYFUNCTION("""COMPUTED_VALUE"""),"ออนไลน์")</f>
        <v>ออนไลน์</v>
      </c>
      <c r="J268" s="12">
        <f>IFERROR(__xludf.DUMMYFUNCTION("""COMPUTED_VALUE"""),45861.0)</f>
        <v>45861</v>
      </c>
      <c r="K268" s="3" t="str">
        <f>IFERROR(__xludf.DUMMYFUNCTION("""COMPUTED_VALUE"""),"1000")</f>
        <v>1000</v>
      </c>
      <c r="L268" s="3">
        <f>IFERROR(__xludf.DUMMYFUNCTION("""COMPUTED_VALUE"""),1.0)</f>
        <v>1</v>
      </c>
      <c r="M268" s="3" t="str">
        <f>IFERROR(__xludf.DUMMYFUNCTION("""COMPUTED_VALUE"""),"กระทรวงมหาดไทย")</f>
        <v>กระทรวงมหาดไทย</v>
      </c>
      <c r="N268" s="14" t="str">
        <f>IFERROR(__xludf.DUMMYFUNCTION("""COMPUTED_VALUE"""),"https://lh5.googleusercontent.com/d/1k2JmnGW2Ptw55wFBVfkb_nXNohNQGWzb")</f>
        <v>https://lh5.googleusercontent.com/d/1k2JmnGW2Ptw55wFBVfkb_nXNohNQGWzb</v>
      </c>
      <c r="O268" s="14" t="str">
        <f>IFERROR(__xludf.DUMMYFUNCTION("""COMPUTED_VALUE"""),"https://drive.google.com/file/d/1q09-5We3sEvna4GEQAPj8UMCXQ486dhk/view?usp=drivesdk")</f>
        <v>https://drive.google.com/file/d/1q09-5We3sEvna4GEQAPj8UMCXQ486dhk/view?usp=drivesdk</v>
      </c>
    </row>
    <row r="269">
      <c r="A269" s="3">
        <f>IFERROR(__xludf.DUMMYFUNCTION("""COMPUTED_VALUE"""),990.0)</f>
        <v>990</v>
      </c>
      <c r="B269" s="11">
        <f>IFERROR(__xludf.DUMMYFUNCTION("""COMPUTED_VALUE"""),45992.25440600694)</f>
        <v>45992.25441</v>
      </c>
      <c r="C269" s="3" t="str">
        <f>IFERROR(__xludf.DUMMYFUNCTION("""COMPUTED_VALUE"""),"ชั้นปีที่ 3")</f>
        <v>ชั้นปีที่ 3</v>
      </c>
      <c r="D269" s="3" t="str">
        <f>IFERROR(__xludf.DUMMYFUNCTION("""COMPUTED_VALUE"""),"6603809")</f>
        <v>6603809</v>
      </c>
      <c r="E269" s="3" t="str">
        <f>IFERROR(__xludf.DUMMYFUNCTION("""COMPUTED_VALUE"""),"55")</f>
        <v>55</v>
      </c>
      <c r="F269" s="3" t="str">
        <f>IFERROR(__xludf.DUMMYFUNCTION("""COMPUTED_VALUE"""),"นพอ.สุณัญญา แก้วเจริญ")</f>
        <v>นพอ.สุณัญญา แก้วเจริญ</v>
      </c>
      <c r="G269" s="3" t="str">
        <f>IFERROR(__xludf.DUMMYFUNCTION("""COMPUTED_VALUE"""),"ช่วยเหลืองานภายใน วพอ.")</f>
        <v>ช่วยเหลืองานภายใน วพอ.</v>
      </c>
      <c r="H269" s="3" t="str">
        <f>IFERROR(__xludf.DUMMYFUNCTION("""COMPUTED_VALUE"""),"ทกท.")</f>
        <v>ทกท.</v>
      </c>
      <c r="I269" s="3" t="str">
        <f>IFERROR(__xludf.DUMMYFUNCTION("""COMPUTED_VALUE"""),"วพอ.")</f>
        <v>วพอ.</v>
      </c>
      <c r="J269" s="12">
        <f>IFERROR(__xludf.DUMMYFUNCTION("""COMPUTED_VALUE"""),45965.0)</f>
        <v>45965</v>
      </c>
      <c r="K269" s="3" t="str">
        <f>IFERROR(__xludf.DUMMYFUNCTION("""COMPUTED_VALUE"""),"0700-1500")</f>
        <v>0700-1500</v>
      </c>
      <c r="L269" s="3">
        <f>IFERROR(__xludf.DUMMYFUNCTION("""COMPUTED_VALUE"""),8.0)</f>
        <v>8</v>
      </c>
      <c r="M269" s="3" t="str">
        <f>IFERROR(__xludf.DUMMYFUNCTION("""COMPUTED_VALUE"""),"ร.อ.อนุชิต ทำจะดี")</f>
        <v>ร.อ.อนุชิต ทำจะดี</v>
      </c>
      <c r="N269" s="14" t="str">
        <f>IFERROR(__xludf.DUMMYFUNCTION("""COMPUTED_VALUE"""),"https://lh5.googleusercontent.com/d/1srhDpr7h3s5q-nGW1V1C0Qk5d77IU-So")</f>
        <v>https://lh5.googleusercontent.com/d/1srhDpr7h3s5q-nGW1V1C0Qk5d77IU-So</v>
      </c>
      <c r="O269" s="14" t="str">
        <f>IFERROR(__xludf.DUMMYFUNCTION("""COMPUTED_VALUE"""),"https://drive.google.com/file/d/1BXBvXh3ecPJ-5dDJr2FH2I7g3mJoIhFW/view?usp=drivesdk")</f>
        <v>https://drive.google.com/file/d/1BXBvXh3ecPJ-5dDJr2FH2I7g3mJoIhFW/view?usp=drivesdk</v>
      </c>
    </row>
    <row r="270">
      <c r="A270" s="3">
        <f>IFERROR(__xludf.DUMMYFUNCTION("""COMPUTED_VALUE"""),994.0)</f>
        <v>994</v>
      </c>
      <c r="B270" s="11">
        <f>IFERROR(__xludf.DUMMYFUNCTION("""COMPUTED_VALUE"""),45992.4086788426)</f>
        <v>45992.40868</v>
      </c>
      <c r="C270" s="3" t="str">
        <f>IFERROR(__xludf.DUMMYFUNCTION("""COMPUTED_VALUE"""),"ชั้นปีที่ 3")</f>
        <v>ชั้นปีที่ 3</v>
      </c>
      <c r="D270" s="3" t="str">
        <f>IFERROR(__xludf.DUMMYFUNCTION("""COMPUTED_VALUE"""),"6603763")</f>
        <v>6603763</v>
      </c>
      <c r="E270" s="3" t="str">
        <f>IFERROR(__xludf.DUMMYFUNCTION("""COMPUTED_VALUE"""),"10")</f>
        <v>10</v>
      </c>
      <c r="F270" s="3" t="str">
        <f>IFERROR(__xludf.DUMMYFUNCTION("""COMPUTED_VALUE"""),"นพอ.ชนาภา บุญแสน")</f>
        <v>นพอ.ชนาภา บุญแสน</v>
      </c>
      <c r="G2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0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7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0" s="12">
        <f>IFERROR(__xludf.DUMMYFUNCTION("""COMPUTED_VALUE"""),45838.0)</f>
        <v>45838</v>
      </c>
      <c r="K270" s="3" t="str">
        <f>IFERROR(__xludf.DUMMYFUNCTION("""COMPUTED_VALUE"""),"1400-2200")</f>
        <v>1400-2200</v>
      </c>
      <c r="L270" s="3">
        <f>IFERROR(__xludf.DUMMYFUNCTION("""COMPUTED_VALUE"""),8.0)</f>
        <v>8</v>
      </c>
      <c r="M270" s="3" t="str">
        <f>IFERROR(__xludf.DUMMYFUNCTION("""COMPUTED_VALUE"""),"ร.อ.อนุชิต ทำจะดี")</f>
        <v>ร.อ.อนุชิต ทำจะดี</v>
      </c>
      <c r="N270" s="14" t="str">
        <f>IFERROR(__xludf.DUMMYFUNCTION("""COMPUTED_VALUE"""),"https://lh5.googleusercontent.com/d/1NWFl7nr8hPekDp7RQF95g811L5OEzoRO")</f>
        <v>https://lh5.googleusercontent.com/d/1NWFl7nr8hPekDp7RQF95g811L5OEzoRO</v>
      </c>
      <c r="O270" s="14" t="str">
        <f>IFERROR(__xludf.DUMMYFUNCTION("""COMPUTED_VALUE"""),"https://drive.google.com/file/d/1lAc4os7HAsq7JE9TM6Aj4MEk4AdrmkfA/view?usp=drivesdk")</f>
        <v>https://drive.google.com/file/d/1lAc4os7HAsq7JE9TM6Aj4MEk4AdrmkfA/view?usp=drivesdk</v>
      </c>
    </row>
    <row r="271">
      <c r="A271" s="3">
        <f>IFERROR(__xludf.DUMMYFUNCTION("""COMPUTED_VALUE"""),995.0)</f>
        <v>995</v>
      </c>
      <c r="B271" s="11">
        <f>IFERROR(__xludf.DUMMYFUNCTION("""COMPUTED_VALUE"""),45992.41719140047)</f>
        <v>45992.41719</v>
      </c>
      <c r="C271" s="3" t="str">
        <f>IFERROR(__xludf.DUMMYFUNCTION("""COMPUTED_VALUE"""),"ชั้นปีที่ 3")</f>
        <v>ชั้นปีที่ 3</v>
      </c>
      <c r="D271" s="3" t="str">
        <f>IFERROR(__xludf.DUMMYFUNCTION("""COMPUTED_VALUE"""),"6603762")</f>
        <v>6603762</v>
      </c>
      <c r="E271" s="3" t="str">
        <f>IFERROR(__xludf.DUMMYFUNCTION("""COMPUTED_VALUE"""),"9")</f>
        <v>9</v>
      </c>
      <c r="F271" s="3" t="str">
        <f>IFERROR(__xludf.DUMMYFUNCTION("""COMPUTED_VALUE"""),"นพอ.ชฎาภา บุตรวงษ์")</f>
        <v>นพอ.ชฎาภา บุตรวงษ์</v>
      </c>
      <c r="G271" s="3" t="str">
        <f>IFERROR(__xludf.DUMMYFUNCTION("""COMPUTED_VALUE"""),"ช่วยเหลืองานภายใน วพอ.")</f>
        <v>ช่วยเหลืองานภายใน วพอ.</v>
      </c>
      <c r="H271" s="3" t="str">
        <f>IFERROR(__xludf.DUMMYFUNCTION("""COMPUTED_VALUE"""),"รับน้องรพอ.รุ่นที่ 68")</f>
        <v>รับน้องรพอ.รุ่นที่ 68</v>
      </c>
      <c r="I271" s="3" t="str">
        <f>IFERROR(__xludf.DUMMYFUNCTION("""COMPUTED_VALUE"""),"วพอ.พอ.")</f>
        <v>วพอ.พอ.</v>
      </c>
      <c r="J271" s="12">
        <f>IFERROR(__xludf.DUMMYFUNCTION("""COMPUTED_VALUE"""),45858.0)</f>
        <v>45858</v>
      </c>
      <c r="K271" s="3" t="str">
        <f>IFERROR(__xludf.DUMMYFUNCTION("""COMPUTED_VALUE"""),"1500-1700")</f>
        <v>1500-1700</v>
      </c>
      <c r="L271" s="3">
        <f>IFERROR(__xludf.DUMMYFUNCTION("""COMPUTED_VALUE"""),2.0)</f>
        <v>2</v>
      </c>
      <c r="M271" s="3" t="str">
        <f>IFERROR(__xludf.DUMMYFUNCTION("""COMPUTED_VALUE"""),"น.ต.หญิง ขวัญชนก  พ่วงนาคพันธุ์")</f>
        <v>น.ต.หญิง ขวัญชนก  พ่วงนาคพันธุ์</v>
      </c>
      <c r="N271" s="14" t="str">
        <f>IFERROR(__xludf.DUMMYFUNCTION("""COMPUTED_VALUE"""),"https://lh5.googleusercontent.com/d/14Lzb9ngwEfDCxwXssSWi_AU6pNng3kbs")</f>
        <v>https://lh5.googleusercontent.com/d/14Lzb9ngwEfDCxwXssSWi_AU6pNng3kbs</v>
      </c>
      <c r="O271" s="14" t="str">
        <f>IFERROR(__xludf.DUMMYFUNCTION("""COMPUTED_VALUE"""),"https://drive.google.com/file/d/1-U7rOBwWMsGT5LXSyLjERnWSgO5yIlBl/view?usp=drivesdk")</f>
        <v>https://drive.google.com/file/d/1-U7rOBwWMsGT5LXSyLjERnWSgO5yIlBl/view?usp=drivesdk</v>
      </c>
    </row>
    <row r="272">
      <c r="A272" s="3">
        <f>IFERROR(__xludf.DUMMYFUNCTION("""COMPUTED_VALUE"""),996.0)</f>
        <v>996</v>
      </c>
      <c r="B272" s="11">
        <f>IFERROR(__xludf.DUMMYFUNCTION("""COMPUTED_VALUE"""),45992.417263263895)</f>
        <v>45992.41726</v>
      </c>
      <c r="C272" s="3" t="str">
        <f>IFERROR(__xludf.DUMMYFUNCTION("""COMPUTED_VALUE"""),"ชั้นปีที่ 3")</f>
        <v>ชั้นปีที่ 3</v>
      </c>
      <c r="D272" s="3" t="str">
        <f>IFERROR(__xludf.DUMMYFUNCTION("""COMPUTED_VALUE"""),"6603754")</f>
        <v>6603754</v>
      </c>
      <c r="E272" s="3" t="str">
        <f>IFERROR(__xludf.DUMMYFUNCTION("""COMPUTED_VALUE"""),"1")</f>
        <v>1</v>
      </c>
      <c r="F272" s="3" t="str">
        <f>IFERROR(__xludf.DUMMYFUNCTION("""COMPUTED_VALUE"""),"นพอ.กรกนก วิไลลักษณ์")</f>
        <v>นพอ.กรกนก วิไลลักษณ์</v>
      </c>
      <c r="G272" s="3" t="str">
        <f>IFERROR(__xludf.DUMMYFUNCTION("""COMPUTED_VALUE"""),"ช่วยเหลืองานภายใน วพอ.")</f>
        <v>ช่วยเหลืองานภายใน วพอ.</v>
      </c>
      <c r="H272" s="3" t="str">
        <f>IFERROR(__xludf.DUMMYFUNCTION("""COMPUTED_VALUE"""),"รับน้องสวีแด68")</f>
        <v>รับน้องสวีแด68</v>
      </c>
      <c r="I272" s="3" t="str">
        <f>IFERROR(__xludf.DUMMYFUNCTION("""COMPUTED_VALUE"""),"วพอ.พอ")</f>
        <v>วพอ.พอ</v>
      </c>
      <c r="J272" s="12">
        <f>IFERROR(__xludf.DUMMYFUNCTION("""COMPUTED_VALUE"""),45858.0)</f>
        <v>45858</v>
      </c>
      <c r="K272" s="3" t="str">
        <f>IFERROR(__xludf.DUMMYFUNCTION("""COMPUTED_VALUE"""),"1400-1600")</f>
        <v>1400-1600</v>
      </c>
      <c r="L272" s="3">
        <f>IFERROR(__xludf.DUMMYFUNCTION("""COMPUTED_VALUE"""),2.0)</f>
        <v>2</v>
      </c>
      <c r="M27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72" s="14" t="str">
        <f>IFERROR(__xludf.DUMMYFUNCTION("""COMPUTED_VALUE"""),"https://lh5.googleusercontent.com/d/1S3iBdEl7nm0CsqkswgijRdl_SOyWFkQ-")</f>
        <v>https://lh5.googleusercontent.com/d/1S3iBdEl7nm0CsqkswgijRdl_SOyWFkQ-</v>
      </c>
      <c r="O272" s="14" t="str">
        <f>IFERROR(__xludf.DUMMYFUNCTION("""COMPUTED_VALUE"""),"https://drive.google.com/file/d/1Fst8iGaRrNtIHYoltc_EMYK9J-PRXq6w/view?usp=drivesdk")</f>
        <v>https://drive.google.com/file/d/1Fst8iGaRrNtIHYoltc_EMYK9J-PRXq6w/view?usp=drivesdk</v>
      </c>
    </row>
    <row r="273">
      <c r="A273" s="3">
        <f>IFERROR(__xludf.DUMMYFUNCTION("""COMPUTED_VALUE"""),997.0)</f>
        <v>997</v>
      </c>
      <c r="B273" s="11">
        <f>IFERROR(__xludf.DUMMYFUNCTION("""COMPUTED_VALUE"""),45992.42056168981)</f>
        <v>45992.42056</v>
      </c>
      <c r="C273" s="3" t="str">
        <f>IFERROR(__xludf.DUMMYFUNCTION("""COMPUTED_VALUE"""),"ชั้นปีที่ 3")</f>
        <v>ชั้นปีที่ 3</v>
      </c>
      <c r="D273" s="3" t="str">
        <f>IFERROR(__xludf.DUMMYFUNCTION("""COMPUTED_VALUE"""),"6603754")</f>
        <v>6603754</v>
      </c>
      <c r="E273" s="3" t="str">
        <f>IFERROR(__xludf.DUMMYFUNCTION("""COMPUTED_VALUE"""),"1")</f>
        <v>1</v>
      </c>
      <c r="F273" s="3" t="str">
        <f>IFERROR(__xludf.DUMMYFUNCTION("""COMPUTED_VALUE"""),"นพอ.กรกนก วิไลลักษณ์")</f>
        <v>นพอ.กรกนก วิไลลักษณ์</v>
      </c>
      <c r="G273" s="3" t="str">
        <f>IFERROR(__xludf.DUMMYFUNCTION("""COMPUTED_VALUE"""),"ช่วยเหลืองานภายใน วพอ.")</f>
        <v>ช่วยเหลืองานภายใน วพอ.</v>
      </c>
      <c r="H273" s="3" t="str">
        <f>IFERROR(__xludf.DUMMYFUNCTION("""COMPUTED_VALUE"""),"รับน้องสวีแด68 เข้าหอ")</f>
        <v>รับน้องสวีแด68 เข้าหอ</v>
      </c>
      <c r="I273" s="3" t="str">
        <f>IFERROR(__xludf.DUMMYFUNCTION("""COMPUTED_VALUE"""),"วพอ.พอ")</f>
        <v>วพอ.พอ</v>
      </c>
      <c r="J273" s="12">
        <f>IFERROR(__xludf.DUMMYFUNCTION("""COMPUTED_VALUE"""),45859.0)</f>
        <v>45859</v>
      </c>
      <c r="K273" s="3" t="str">
        <f>IFERROR(__xludf.DUMMYFUNCTION("""COMPUTED_VALUE"""),"0800-1600")</f>
        <v>0800-1600</v>
      </c>
      <c r="L273" s="3">
        <f>IFERROR(__xludf.DUMMYFUNCTION("""COMPUTED_VALUE"""),8.0)</f>
        <v>8</v>
      </c>
      <c r="M27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73" s="14" t="str">
        <f>IFERROR(__xludf.DUMMYFUNCTION("""COMPUTED_VALUE"""),"https://lh5.googleusercontent.com/d/1Q__2KaQZoZxypQ-ecmc5n2FG_kD9Tn8J")</f>
        <v>https://lh5.googleusercontent.com/d/1Q__2KaQZoZxypQ-ecmc5n2FG_kD9Tn8J</v>
      </c>
      <c r="O273" s="14" t="str">
        <f>IFERROR(__xludf.DUMMYFUNCTION("""COMPUTED_VALUE"""),"https://drive.google.com/file/d/1ybcBDJnInnwpck-A9lXT0Rx5WzCFUJmI/view?usp=drivesdk")</f>
        <v>https://drive.google.com/file/d/1ybcBDJnInnwpck-A9lXT0Rx5WzCFUJmI/view?usp=drivesdk</v>
      </c>
    </row>
    <row r="274">
      <c r="A274" s="3">
        <f>IFERROR(__xludf.DUMMYFUNCTION("""COMPUTED_VALUE"""),998.0)</f>
        <v>998</v>
      </c>
      <c r="B274" s="11">
        <f>IFERROR(__xludf.DUMMYFUNCTION("""COMPUTED_VALUE"""),45992.42429023148)</f>
        <v>45992.42429</v>
      </c>
      <c r="C274" s="3" t="str">
        <f>IFERROR(__xludf.DUMMYFUNCTION("""COMPUTED_VALUE"""),"ชั้นปีที่ 3")</f>
        <v>ชั้นปีที่ 3</v>
      </c>
      <c r="D274" s="3" t="str">
        <f>IFERROR(__xludf.DUMMYFUNCTION("""COMPUTED_VALUE"""),"6603757")</f>
        <v>6603757</v>
      </c>
      <c r="E274" s="3" t="str">
        <f>IFERROR(__xludf.DUMMYFUNCTION("""COMPUTED_VALUE"""),"4")</f>
        <v>4</v>
      </c>
      <c r="F274" s="3" t="str">
        <f>IFERROR(__xludf.DUMMYFUNCTION("""COMPUTED_VALUE"""),"นพอ.กัลยาณี นารีพล")</f>
        <v>นพอ.กัลยาณี นารีพล</v>
      </c>
      <c r="G274" s="3" t="str">
        <f>IFERROR(__xludf.DUMMYFUNCTION("""COMPUTED_VALUE"""),"ช่วยเหลืองานภายใน วพอ.")</f>
        <v>ช่วยเหลืองานภายใน วพอ.</v>
      </c>
      <c r="H274" s="3" t="str">
        <f>IFERROR(__xludf.DUMMYFUNCTION("""COMPUTED_VALUE"""),"รับน้องสวีแด68เข้าหอ")</f>
        <v>รับน้องสวีแด68เข้าหอ</v>
      </c>
      <c r="I274" s="3" t="str">
        <f>IFERROR(__xludf.DUMMYFUNCTION("""COMPUTED_VALUE"""),"วพอ.พอ.")</f>
        <v>วพอ.พอ.</v>
      </c>
      <c r="J274" s="12">
        <f>IFERROR(__xludf.DUMMYFUNCTION("""COMPUTED_VALUE"""),45858.0)</f>
        <v>45858</v>
      </c>
      <c r="K274" s="3" t="str">
        <f>IFERROR(__xludf.DUMMYFUNCTION("""COMPUTED_VALUE"""),"1600-1800")</f>
        <v>1600-1800</v>
      </c>
      <c r="L274" s="3">
        <f>IFERROR(__xludf.DUMMYFUNCTION("""COMPUTED_VALUE"""),2.0)</f>
        <v>2</v>
      </c>
      <c r="M27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74" s="14" t="str">
        <f>IFERROR(__xludf.DUMMYFUNCTION("""COMPUTED_VALUE"""),"https://lh5.googleusercontent.com/d/1T9pL40ijgNyLXz6pSlKZNCUOsWgfBNNF")</f>
        <v>https://lh5.googleusercontent.com/d/1T9pL40ijgNyLXz6pSlKZNCUOsWgfBNNF</v>
      </c>
      <c r="O274" s="14" t="str">
        <f>IFERROR(__xludf.DUMMYFUNCTION("""COMPUTED_VALUE"""),"https://drive.google.com/file/d/1QmJ00MMptwz0Bh3YGgIcIWD26IkWSqUt/view?usp=drivesdk")</f>
        <v>https://drive.google.com/file/d/1QmJ00MMptwz0Bh3YGgIcIWD26IkWSqUt/view?usp=drivesdk</v>
      </c>
    </row>
    <row r="275">
      <c r="A275" s="3">
        <f>IFERROR(__xludf.DUMMYFUNCTION("""COMPUTED_VALUE"""),999.0)</f>
        <v>999</v>
      </c>
      <c r="B275" s="11">
        <f>IFERROR(__xludf.DUMMYFUNCTION("""COMPUTED_VALUE"""),45992.42527233796)</f>
        <v>45992.42527</v>
      </c>
      <c r="C275" s="3" t="str">
        <f>IFERROR(__xludf.DUMMYFUNCTION("""COMPUTED_VALUE"""),"ชั้นปีที่ 3")</f>
        <v>ชั้นปีที่ 3</v>
      </c>
      <c r="D275" s="3" t="str">
        <f>IFERROR(__xludf.DUMMYFUNCTION("""COMPUTED_VALUE"""),"6603757")</f>
        <v>6603757</v>
      </c>
      <c r="E275" s="3" t="str">
        <f>IFERROR(__xludf.DUMMYFUNCTION("""COMPUTED_VALUE"""),"4")</f>
        <v>4</v>
      </c>
      <c r="F275" s="3" t="str">
        <f>IFERROR(__xludf.DUMMYFUNCTION("""COMPUTED_VALUE"""),"นพอ.กัลยาณี นารีพล")</f>
        <v>นพอ.กัลยาณี นารีพล</v>
      </c>
      <c r="G275" s="3" t="str">
        <f>IFERROR(__xludf.DUMMYFUNCTION("""COMPUTED_VALUE"""),"ช่วยเหลืองานภายใน วพอ.")</f>
        <v>ช่วยเหลืองานภายใน วพอ.</v>
      </c>
      <c r="H275" s="3" t="str">
        <f>IFERROR(__xludf.DUMMYFUNCTION("""COMPUTED_VALUE"""),"รับน้องสวีแด68 เข้าหอ")</f>
        <v>รับน้องสวีแด68 เข้าหอ</v>
      </c>
      <c r="I275" s="3" t="str">
        <f>IFERROR(__xludf.DUMMYFUNCTION("""COMPUTED_VALUE"""),"วพอ.พอ.")</f>
        <v>วพอ.พอ.</v>
      </c>
      <c r="J275" s="12">
        <f>IFERROR(__xludf.DUMMYFUNCTION("""COMPUTED_VALUE"""),45859.0)</f>
        <v>45859</v>
      </c>
      <c r="K275" s="3" t="str">
        <f>IFERROR(__xludf.DUMMYFUNCTION("""COMPUTED_VALUE"""),"0800-1600")</f>
        <v>0800-1600</v>
      </c>
      <c r="L275" s="3">
        <f>IFERROR(__xludf.DUMMYFUNCTION("""COMPUTED_VALUE"""),8.0)</f>
        <v>8</v>
      </c>
      <c r="M27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75" s="14" t="str">
        <f>IFERROR(__xludf.DUMMYFUNCTION("""COMPUTED_VALUE"""),"https://lh5.googleusercontent.com/d/1_gmBtSik7_iN9jkcRztI6hA_EGMW3Mkc")</f>
        <v>https://lh5.googleusercontent.com/d/1_gmBtSik7_iN9jkcRztI6hA_EGMW3Mkc</v>
      </c>
      <c r="O275" s="14" t="str">
        <f>IFERROR(__xludf.DUMMYFUNCTION("""COMPUTED_VALUE"""),"https://drive.google.com/file/d/1h6nvNpWnzVOm9vBytBM_gds7VVAslUMD/view?usp=drivesdk")</f>
        <v>https://drive.google.com/file/d/1h6nvNpWnzVOm9vBytBM_gds7VVAslUMD/view?usp=drivesdk</v>
      </c>
    </row>
    <row r="276">
      <c r="A276" s="3">
        <f>IFERROR(__xludf.DUMMYFUNCTION("""COMPUTED_VALUE"""),1003.0)</f>
        <v>1003</v>
      </c>
      <c r="B276" s="11">
        <f>IFERROR(__xludf.DUMMYFUNCTION("""COMPUTED_VALUE"""),45992.46771203704)</f>
        <v>45992.46771</v>
      </c>
      <c r="C276" s="3" t="str">
        <f>IFERROR(__xludf.DUMMYFUNCTION("""COMPUTED_VALUE"""),"ชั้นปีที่ 3")</f>
        <v>ชั้นปีที่ 3</v>
      </c>
      <c r="D276" s="3" t="str">
        <f>IFERROR(__xludf.DUMMYFUNCTION("""COMPUTED_VALUE"""),"6603766")</f>
        <v>6603766</v>
      </c>
      <c r="E276" s="3" t="str">
        <f>IFERROR(__xludf.DUMMYFUNCTION("""COMPUTED_VALUE"""),"13")</f>
        <v>13</v>
      </c>
      <c r="F276" s="3" t="str">
        <f>IFERROR(__xludf.DUMMYFUNCTION("""COMPUTED_VALUE"""),"นพอ.ชุติกาญจน์ ชูตินันท์")</f>
        <v>นพอ.ชุติกาญจน์ ชูตินันท์</v>
      </c>
      <c r="G27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6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76" s="3" t="str">
        <f>IFERROR(__xludf.DUMMYFUNCTION("""COMPUTED_VALUE"""),"ดุริยางค์ทหารอากาศ")</f>
        <v>ดุริยางค์ทหารอากาศ</v>
      </c>
      <c r="J276" s="12">
        <f>IFERROR(__xludf.DUMMYFUNCTION("""COMPUTED_VALUE"""),45825.0)</f>
        <v>45825</v>
      </c>
      <c r="K276" s="3" t="str">
        <f>IFERROR(__xludf.DUMMYFUNCTION("""COMPUTED_VALUE"""),"0800-1600")</f>
        <v>0800-1600</v>
      </c>
      <c r="L276" s="3">
        <f>IFERROR(__xludf.DUMMYFUNCTION("""COMPUTED_VALUE"""),8.0)</f>
        <v>8</v>
      </c>
      <c r="M276" s="3" t="str">
        <f>IFERROR(__xludf.DUMMYFUNCTION("""COMPUTED_VALUE"""),"ร.อ.อนุชิต ทำจะดี")</f>
        <v>ร.อ.อนุชิต ทำจะดี</v>
      </c>
      <c r="N276" s="14" t="str">
        <f>IFERROR(__xludf.DUMMYFUNCTION("""COMPUTED_VALUE"""),"https://lh5.googleusercontent.com/d/1jRcgB7X1sb6aCvpfmiGbYGPsh22SUKGf")</f>
        <v>https://lh5.googleusercontent.com/d/1jRcgB7X1sb6aCvpfmiGbYGPsh22SUKGf</v>
      </c>
      <c r="O276" s="14" t="str">
        <f>IFERROR(__xludf.DUMMYFUNCTION("""COMPUTED_VALUE"""),"https://drive.google.com/file/d/14BAGdO6XeZIi4kfKKk5agof1Fh9wHVKk/view?usp=drivesdk")</f>
        <v>https://drive.google.com/file/d/14BAGdO6XeZIi4kfKKk5agof1Fh9wHVKk/view?usp=drivesdk</v>
      </c>
    </row>
    <row r="277">
      <c r="A277" s="3">
        <f>IFERROR(__xludf.DUMMYFUNCTION("""COMPUTED_VALUE"""),1006.0)</f>
        <v>1006</v>
      </c>
      <c r="B277" s="11">
        <f>IFERROR(__xludf.DUMMYFUNCTION("""COMPUTED_VALUE"""),45992.471959814815)</f>
        <v>45992.47196</v>
      </c>
      <c r="C277" s="3" t="str">
        <f>IFERROR(__xludf.DUMMYFUNCTION("""COMPUTED_VALUE"""),"ชั้นปีที่ 3")</f>
        <v>ชั้นปีที่ 3</v>
      </c>
      <c r="D277" s="3" t="str">
        <f>IFERROR(__xludf.DUMMYFUNCTION("""COMPUTED_VALUE"""),"6603766")</f>
        <v>6603766</v>
      </c>
      <c r="E277" s="3" t="str">
        <f>IFERROR(__xludf.DUMMYFUNCTION("""COMPUTED_VALUE"""),"13")</f>
        <v>13</v>
      </c>
      <c r="F277" s="3" t="str">
        <f>IFERROR(__xludf.DUMMYFUNCTION("""COMPUTED_VALUE"""),"นพอ.ชุติกาญจน์ ชูตินันท์")</f>
        <v>นพอ.ชุติกาญจน์ ชูตินันท์</v>
      </c>
      <c r="G2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7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77" s="3" t="str">
        <f>IFERROR(__xludf.DUMMYFUNCTION("""COMPUTED_VALUE"""),"กองบัญชาการกองทัพอากาศ")</f>
        <v>กองบัญชาการกองทัพอากาศ</v>
      </c>
      <c r="J277" s="12">
        <f>IFERROR(__xludf.DUMMYFUNCTION("""COMPUTED_VALUE"""),45833.0)</f>
        <v>45833</v>
      </c>
      <c r="K277" s="3" t="str">
        <f>IFERROR(__xludf.DUMMYFUNCTION("""COMPUTED_VALUE"""),"0800-1600")</f>
        <v>0800-1600</v>
      </c>
      <c r="L277" s="3">
        <f>IFERROR(__xludf.DUMMYFUNCTION("""COMPUTED_VALUE"""),8.0)</f>
        <v>8</v>
      </c>
      <c r="M277" s="3" t="str">
        <f>IFERROR(__xludf.DUMMYFUNCTION("""COMPUTED_VALUE"""),"ร.อ.อนุชิต ทำจะดี")</f>
        <v>ร.อ.อนุชิต ทำจะดี</v>
      </c>
      <c r="N277" s="14" t="str">
        <f>IFERROR(__xludf.DUMMYFUNCTION("""COMPUTED_VALUE"""),"https://lh5.googleusercontent.com/d/1AvWohzKTQjnuEdC6yp4DajSSgqTMz5IR")</f>
        <v>https://lh5.googleusercontent.com/d/1AvWohzKTQjnuEdC6yp4DajSSgqTMz5IR</v>
      </c>
      <c r="O277" s="14" t="str">
        <f>IFERROR(__xludf.DUMMYFUNCTION("""COMPUTED_VALUE"""),"https://drive.google.com/file/d/1Guowe3CdpFrwrNRH49yD54t5Mq3COuh3/view?usp=drivesdk")</f>
        <v>https://drive.google.com/file/d/1Guowe3CdpFrwrNRH49yD54t5Mq3COuh3/view?usp=drivesdk</v>
      </c>
    </row>
    <row r="278">
      <c r="A278" s="3">
        <f>IFERROR(__xludf.DUMMYFUNCTION("""COMPUTED_VALUE"""),1010.0)</f>
        <v>1010</v>
      </c>
      <c r="B278" s="11">
        <f>IFERROR(__xludf.DUMMYFUNCTION("""COMPUTED_VALUE"""),45992.4758297338)</f>
        <v>45992.47583</v>
      </c>
      <c r="C278" s="3" t="str">
        <f>IFERROR(__xludf.DUMMYFUNCTION("""COMPUTED_VALUE"""),"ชั้นปีที่ 3")</f>
        <v>ชั้นปีที่ 3</v>
      </c>
      <c r="D278" s="3" t="str">
        <f>IFERROR(__xludf.DUMMYFUNCTION("""COMPUTED_VALUE"""),"6603766")</f>
        <v>6603766</v>
      </c>
      <c r="E278" s="3" t="str">
        <f>IFERROR(__xludf.DUMMYFUNCTION("""COMPUTED_VALUE"""),"13")</f>
        <v>13</v>
      </c>
      <c r="F278" s="3" t="str">
        <f>IFERROR(__xludf.DUMMYFUNCTION("""COMPUTED_VALUE"""),"นพอ.ชุติกาญจน์ ชูตินันท์")</f>
        <v>นพอ.ชุติกาญจน์ ชูตินันท์</v>
      </c>
      <c r="G27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8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7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8" s="12">
        <f>IFERROR(__xludf.DUMMYFUNCTION("""COMPUTED_VALUE"""),45838.0)</f>
        <v>45838</v>
      </c>
      <c r="K278" s="3" t="str">
        <f>IFERROR(__xludf.DUMMYFUNCTION("""COMPUTED_VALUE"""),"1400-2200")</f>
        <v>1400-2200</v>
      </c>
      <c r="L278" s="3">
        <f>IFERROR(__xludf.DUMMYFUNCTION("""COMPUTED_VALUE"""),8.0)</f>
        <v>8</v>
      </c>
      <c r="M278" s="3" t="str">
        <f>IFERROR(__xludf.DUMMYFUNCTION("""COMPUTED_VALUE"""),"ร.อ.อนุชิต ทำจะดี")</f>
        <v>ร.อ.อนุชิต ทำจะดี</v>
      </c>
      <c r="N278" s="14" t="str">
        <f>IFERROR(__xludf.DUMMYFUNCTION("""COMPUTED_VALUE"""),"https://lh5.googleusercontent.com/d/1tCPDaA-C6KnmdYv70KtOuM-FDSodth2Y")</f>
        <v>https://lh5.googleusercontent.com/d/1tCPDaA-C6KnmdYv70KtOuM-FDSodth2Y</v>
      </c>
      <c r="O278" s="14" t="str">
        <f>IFERROR(__xludf.DUMMYFUNCTION("""COMPUTED_VALUE"""),"https://drive.google.com/file/d/13gUkxJfdd0NaOq1OhoKaTOjcqoK8eZ-3/view?usp=drivesdk")</f>
        <v>https://drive.google.com/file/d/13gUkxJfdd0NaOq1OhoKaTOjcqoK8eZ-3/view?usp=drivesdk</v>
      </c>
    </row>
    <row r="279">
      <c r="A279" s="3">
        <f>IFERROR(__xludf.DUMMYFUNCTION("""COMPUTED_VALUE"""),1011.0)</f>
        <v>1011</v>
      </c>
      <c r="B279" s="11">
        <f>IFERROR(__xludf.DUMMYFUNCTION("""COMPUTED_VALUE"""),45992.48003835648)</f>
        <v>45992.48004</v>
      </c>
      <c r="C279" s="3" t="str">
        <f>IFERROR(__xludf.DUMMYFUNCTION("""COMPUTED_VALUE"""),"ชั้นปีที่ 3")</f>
        <v>ชั้นปีที่ 3</v>
      </c>
      <c r="D279" s="3" t="str">
        <f>IFERROR(__xludf.DUMMYFUNCTION("""COMPUTED_VALUE"""),"6603766")</f>
        <v>6603766</v>
      </c>
      <c r="E279" s="3" t="str">
        <f>IFERROR(__xludf.DUMMYFUNCTION("""COMPUTED_VALUE"""),"13")</f>
        <v>13</v>
      </c>
      <c r="F279" s="3" t="str">
        <f>IFERROR(__xludf.DUMMYFUNCTION("""COMPUTED_VALUE"""),"นพอ.ชุติกาญจน์ ชูตินันท์")</f>
        <v>นพอ.ชุติกาญจน์ ชูตินันท์</v>
      </c>
      <c r="G2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9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7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9" s="12">
        <f>IFERROR(__xludf.DUMMYFUNCTION("""COMPUTED_VALUE"""),45839.0)</f>
        <v>45839</v>
      </c>
      <c r="K279" s="3" t="str">
        <f>IFERROR(__xludf.DUMMYFUNCTION("""COMPUTED_VALUE"""),"1400-2200")</f>
        <v>1400-2200</v>
      </c>
      <c r="L279" s="3">
        <f>IFERROR(__xludf.DUMMYFUNCTION("""COMPUTED_VALUE"""),8.0)</f>
        <v>8</v>
      </c>
      <c r="M279" s="3" t="str">
        <f>IFERROR(__xludf.DUMMYFUNCTION("""COMPUTED_VALUE"""),"ร.อ.อนุชิต ทำจะดี")</f>
        <v>ร.อ.อนุชิต ทำจะดี</v>
      </c>
      <c r="N279" s="14" t="str">
        <f>IFERROR(__xludf.DUMMYFUNCTION("""COMPUTED_VALUE"""),"https://lh5.googleusercontent.com/d/1X_zvSn84Me4lPZwMxLsh-8bGY502LyAU")</f>
        <v>https://lh5.googleusercontent.com/d/1X_zvSn84Me4lPZwMxLsh-8bGY502LyAU</v>
      </c>
      <c r="O279" s="14" t="str">
        <f>IFERROR(__xludf.DUMMYFUNCTION("""COMPUTED_VALUE"""),"https://drive.google.com/file/d/15rgvY36f87No6sk8bk0uv8Jw8fhFEjst/view?usp=drivesdk")</f>
        <v>https://drive.google.com/file/d/15rgvY36f87No6sk8bk0uv8Jw8fhFEjst/view?usp=drivesdk</v>
      </c>
    </row>
    <row r="280">
      <c r="A280" s="3">
        <f>IFERROR(__xludf.DUMMYFUNCTION("""COMPUTED_VALUE"""),1013.0)</f>
        <v>1013</v>
      </c>
      <c r="B280" s="11">
        <f>IFERROR(__xludf.DUMMYFUNCTION("""COMPUTED_VALUE"""),45992.48300886575)</f>
        <v>45992.48301</v>
      </c>
      <c r="C280" s="3" t="str">
        <f>IFERROR(__xludf.DUMMYFUNCTION("""COMPUTED_VALUE"""),"ชั้นปีที่ 3")</f>
        <v>ชั้นปีที่ 3</v>
      </c>
      <c r="D280" s="3" t="str">
        <f>IFERROR(__xludf.DUMMYFUNCTION("""COMPUTED_VALUE"""),"6603766")</f>
        <v>6603766</v>
      </c>
      <c r="E280" s="3" t="str">
        <f>IFERROR(__xludf.DUMMYFUNCTION("""COMPUTED_VALUE"""),"13")</f>
        <v>13</v>
      </c>
      <c r="F280" s="3" t="str">
        <f>IFERROR(__xludf.DUMMYFUNCTION("""COMPUTED_VALUE"""),"นพอ.ชุติกาญจน์ ชูตินันท์")</f>
        <v>นพอ.ชุติกาญจน์ ชูตินันท์</v>
      </c>
      <c r="G2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0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8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0" s="12">
        <f>IFERROR(__xludf.DUMMYFUNCTION("""COMPUTED_VALUE"""),45840.0)</f>
        <v>45840</v>
      </c>
      <c r="K280" s="3" t="str">
        <f>IFERROR(__xludf.DUMMYFUNCTION("""COMPUTED_VALUE"""),"1400-2200")</f>
        <v>1400-2200</v>
      </c>
      <c r="L280" s="3">
        <f>IFERROR(__xludf.DUMMYFUNCTION("""COMPUTED_VALUE"""),8.0)</f>
        <v>8</v>
      </c>
      <c r="M280" s="3" t="str">
        <f>IFERROR(__xludf.DUMMYFUNCTION("""COMPUTED_VALUE"""),"ร.อ.อนุชิต ทำจะดี")</f>
        <v>ร.อ.อนุชิต ทำจะดี</v>
      </c>
      <c r="N280" s="14" t="str">
        <f>IFERROR(__xludf.DUMMYFUNCTION("""COMPUTED_VALUE"""),"https://lh5.googleusercontent.com/d/1bMPUpIZQ07DFmph7dtzY7KNKpctsn0uz")</f>
        <v>https://lh5.googleusercontent.com/d/1bMPUpIZQ07DFmph7dtzY7KNKpctsn0uz</v>
      </c>
      <c r="O280" s="14" t="str">
        <f>IFERROR(__xludf.DUMMYFUNCTION("""COMPUTED_VALUE"""),"https://drive.google.com/file/d/1cwpRUHUfxrUN5YuMPSeJ23sPs1IfaPY9/view?usp=drivesdk")</f>
        <v>https://drive.google.com/file/d/1cwpRUHUfxrUN5YuMPSeJ23sPs1IfaPY9/view?usp=drivesdk</v>
      </c>
    </row>
    <row r="281">
      <c r="A281" s="3">
        <f>IFERROR(__xludf.DUMMYFUNCTION("""COMPUTED_VALUE"""),1014.0)</f>
        <v>1014</v>
      </c>
      <c r="B281" s="11">
        <f>IFERROR(__xludf.DUMMYFUNCTION("""COMPUTED_VALUE"""),45992.48766667824)</f>
        <v>45992.48767</v>
      </c>
      <c r="C281" s="3" t="str">
        <f>IFERROR(__xludf.DUMMYFUNCTION("""COMPUTED_VALUE"""),"ชั้นปีที่ 3")</f>
        <v>ชั้นปีที่ 3</v>
      </c>
      <c r="D281" s="3" t="str">
        <f>IFERROR(__xludf.DUMMYFUNCTION("""COMPUTED_VALUE"""),"6603766")</f>
        <v>6603766</v>
      </c>
      <c r="E281" s="3" t="str">
        <f>IFERROR(__xludf.DUMMYFUNCTION("""COMPUTED_VALUE"""),"13")</f>
        <v>13</v>
      </c>
      <c r="F281" s="3" t="str">
        <f>IFERROR(__xludf.DUMMYFUNCTION("""COMPUTED_VALUE"""),"นพอ.ชุติกาญจน์ ชูตินันท์")</f>
        <v>นพอ.ชุติกาญจน์ ชูตินันท์</v>
      </c>
      <c r="G2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1" s="3" t="str">
        <f>IFERROR(__xludf.DUMMYFUNCTION("""COMPUTED_VALUE"""),"วัดเกาะร่วมใจ ใส่ใจสุขภาพ")</f>
        <v>วัดเกาะร่วมใจ ใส่ใจสุขภาพ</v>
      </c>
      <c r="I281" s="3" t="str">
        <f>IFERROR(__xludf.DUMMYFUNCTION("""COMPUTED_VALUE"""),"ชุมชนวัดเกาะ เขตสายไหม")</f>
        <v>ชุมชนวัดเกาะ เขตสายไหม</v>
      </c>
      <c r="J281" s="12">
        <f>IFERROR(__xludf.DUMMYFUNCTION("""COMPUTED_VALUE"""),45823.0)</f>
        <v>45823</v>
      </c>
      <c r="K281" s="3" t="str">
        <f>IFERROR(__xludf.DUMMYFUNCTION("""COMPUTED_VALUE"""),"0800-1200")</f>
        <v>0800-1200</v>
      </c>
      <c r="L281" s="3">
        <f>IFERROR(__xludf.DUMMYFUNCTION("""COMPUTED_VALUE"""),4.0)</f>
        <v>4</v>
      </c>
      <c r="M281" s="3" t="str">
        <f>IFERROR(__xludf.DUMMYFUNCTION("""COMPUTED_VALUE"""),"น.ต.หญิง ตวงทิพย์ ลดาวัลย์")</f>
        <v>น.ต.หญิง ตวงทิพย์ ลดาวัลย์</v>
      </c>
      <c r="N281" s="14" t="str">
        <f>IFERROR(__xludf.DUMMYFUNCTION("""COMPUTED_VALUE"""),"https://lh5.googleusercontent.com/d/1W_r_wwH6MNZHDeIwgr0X8UnzWLyh2lFm")</f>
        <v>https://lh5.googleusercontent.com/d/1W_r_wwH6MNZHDeIwgr0X8UnzWLyh2lFm</v>
      </c>
      <c r="O281" s="14" t="str">
        <f>IFERROR(__xludf.DUMMYFUNCTION("""COMPUTED_VALUE"""),"https://drive.google.com/file/d/1FE6VLR4kAsrf2ta2Z0jKevTWQ1Uwnc3z/view?usp=drivesdk")</f>
        <v>https://drive.google.com/file/d/1FE6VLR4kAsrf2ta2Z0jKevTWQ1Uwnc3z/view?usp=drivesdk</v>
      </c>
    </row>
    <row r="282">
      <c r="A282" s="3">
        <f>IFERROR(__xludf.DUMMYFUNCTION("""COMPUTED_VALUE"""),1016.0)</f>
        <v>1016</v>
      </c>
      <c r="B282" s="11">
        <f>IFERROR(__xludf.DUMMYFUNCTION("""COMPUTED_VALUE"""),45992.519372615745)</f>
        <v>45992.51937</v>
      </c>
      <c r="C282" s="3" t="str">
        <f>IFERROR(__xludf.DUMMYFUNCTION("""COMPUTED_VALUE"""),"ชั้นปีที่ 3")</f>
        <v>ชั้นปีที่ 3</v>
      </c>
      <c r="D282" s="3" t="str">
        <f>IFERROR(__xludf.DUMMYFUNCTION("""COMPUTED_VALUE"""),"6603814")</f>
        <v>6603814</v>
      </c>
      <c r="E282" s="3" t="str">
        <f>IFERROR(__xludf.DUMMYFUNCTION("""COMPUTED_VALUE"""),"60")</f>
        <v>60</v>
      </c>
      <c r="F282" s="3" t="str">
        <f>IFERROR(__xludf.DUMMYFUNCTION("""COMPUTED_VALUE"""),"นพอ.อนัญญา สิงทิศ")</f>
        <v>นพอ.อนัญญา สิงทิศ</v>
      </c>
      <c r="G28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2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28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2" s="12">
        <f>IFERROR(__xludf.DUMMYFUNCTION("""COMPUTED_VALUE"""),45840.0)</f>
        <v>45840</v>
      </c>
      <c r="K282" s="3" t="str">
        <f>IFERROR(__xludf.DUMMYFUNCTION("""COMPUTED_VALUE"""),"1400-2200")</f>
        <v>1400-2200</v>
      </c>
      <c r="L282" s="3">
        <f>IFERROR(__xludf.DUMMYFUNCTION("""COMPUTED_VALUE"""),8.0)</f>
        <v>8</v>
      </c>
      <c r="M282" s="3" t="str">
        <f>IFERROR(__xludf.DUMMYFUNCTION("""COMPUTED_VALUE"""),"ร.อ.อนุชิต ทำจะดี")</f>
        <v>ร.อ.อนุชิต ทำจะดี</v>
      </c>
      <c r="N282" s="14" t="str">
        <f>IFERROR(__xludf.DUMMYFUNCTION("""COMPUTED_VALUE"""),"https://lh5.googleusercontent.com/d/1Wnlbtb3scVv4HFDXnun35wbWw00a9XQt")</f>
        <v>https://lh5.googleusercontent.com/d/1Wnlbtb3scVv4HFDXnun35wbWw00a9XQt</v>
      </c>
      <c r="O282" s="14" t="str">
        <f>IFERROR(__xludf.DUMMYFUNCTION("""COMPUTED_VALUE"""),"https://drive.google.com/file/d/14stS3XzqPlhWaUKIOCc3f_NuA_QDuBLV/view?usp=drivesdk")</f>
        <v>https://drive.google.com/file/d/14stS3XzqPlhWaUKIOCc3f_NuA_QDuBLV/view?usp=drivesdk</v>
      </c>
    </row>
    <row r="283">
      <c r="A283" s="3">
        <f>IFERROR(__xludf.DUMMYFUNCTION("""COMPUTED_VALUE"""),1017.0)</f>
        <v>1017</v>
      </c>
      <c r="B283" s="11">
        <f>IFERROR(__xludf.DUMMYFUNCTION("""COMPUTED_VALUE"""),45992.53006965278)</f>
        <v>45992.53007</v>
      </c>
      <c r="C283" s="3" t="str">
        <f>IFERROR(__xludf.DUMMYFUNCTION("""COMPUTED_VALUE"""),"ชั้นปีที่ 3")</f>
        <v>ชั้นปีที่ 3</v>
      </c>
      <c r="D283" s="3" t="str">
        <f>IFERROR(__xludf.DUMMYFUNCTION("""COMPUTED_VALUE"""),"6603814")</f>
        <v>6603814</v>
      </c>
      <c r="E283" s="3" t="str">
        <f>IFERROR(__xludf.DUMMYFUNCTION("""COMPUTED_VALUE"""),"60")</f>
        <v>60</v>
      </c>
      <c r="F283" s="3" t="str">
        <f>IFERROR(__xludf.DUMMYFUNCTION("""COMPUTED_VALUE"""),"นพอ.อนัญญา สิงทิศ")</f>
        <v>นพอ.อนัญญา สิงทิศ</v>
      </c>
      <c r="G28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3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83" s="3" t="str">
        <f>IFERROR(__xludf.DUMMYFUNCTION("""COMPUTED_VALUE"""),"ชุมชนวัดเกาะ")</f>
        <v>ชุมชนวัดเกาะ</v>
      </c>
      <c r="J283" s="12">
        <f>IFERROR(__xludf.DUMMYFUNCTION("""COMPUTED_VALUE"""),45823.0)</f>
        <v>45823</v>
      </c>
      <c r="K283" s="3" t="str">
        <f>IFERROR(__xludf.DUMMYFUNCTION("""COMPUTED_VALUE"""),"0800-1200")</f>
        <v>0800-1200</v>
      </c>
      <c r="L283" s="3">
        <f>IFERROR(__xludf.DUMMYFUNCTION("""COMPUTED_VALUE"""),4.0)</f>
        <v>4</v>
      </c>
      <c r="M283" s="3" t="str">
        <f>IFERROR(__xludf.DUMMYFUNCTION("""COMPUTED_VALUE"""),"น.ต.หญิง ตวงทิพย์ ลดาวัลย์")</f>
        <v>น.ต.หญิง ตวงทิพย์ ลดาวัลย์</v>
      </c>
      <c r="N283" s="14" t="str">
        <f>IFERROR(__xludf.DUMMYFUNCTION("""COMPUTED_VALUE"""),"https://lh5.googleusercontent.com/d/1SoefMKR_qTrTJ-H01fINxxzyJ-tQ6SKU")</f>
        <v>https://lh5.googleusercontent.com/d/1SoefMKR_qTrTJ-H01fINxxzyJ-tQ6SKU</v>
      </c>
      <c r="O283" s="14" t="str">
        <f>IFERROR(__xludf.DUMMYFUNCTION("""COMPUTED_VALUE"""),"https://drive.google.com/file/d/1hJqnP1EKhLe6K5dBsOEiqtZCHCFl8wF-/view?usp=drivesdk")</f>
        <v>https://drive.google.com/file/d/1hJqnP1EKhLe6K5dBsOEiqtZCHCFl8wF-/view?usp=drivesdk</v>
      </c>
    </row>
    <row r="284">
      <c r="A284" s="3">
        <f>IFERROR(__xludf.DUMMYFUNCTION("""COMPUTED_VALUE"""),1019.0)</f>
        <v>1019</v>
      </c>
      <c r="B284" s="11">
        <f>IFERROR(__xludf.DUMMYFUNCTION("""COMPUTED_VALUE"""),45992.53731659722)</f>
        <v>45992.53732</v>
      </c>
      <c r="C284" s="3" t="str">
        <f>IFERROR(__xludf.DUMMYFUNCTION("""COMPUTED_VALUE"""),"ชั้นปีที่ 3")</f>
        <v>ชั้นปีที่ 3</v>
      </c>
      <c r="D284" s="3" t="str">
        <f>IFERROR(__xludf.DUMMYFUNCTION("""COMPUTED_VALUE"""),"6603779")</f>
        <v>6603779</v>
      </c>
      <c r="E284" s="3" t="str">
        <f>IFERROR(__xludf.DUMMYFUNCTION("""COMPUTED_VALUE"""),"25")</f>
        <v>25</v>
      </c>
      <c r="F284" s="3" t="str">
        <f>IFERROR(__xludf.DUMMYFUNCTION("""COMPUTED_VALUE"""),"นพอ.นันทิยา  แก้วก่อง")</f>
        <v>นพอ.นันทิยา  แก้วก่อง</v>
      </c>
      <c r="G28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4" s="3" t="str">
        <f>IFERROR(__xludf.DUMMYFUNCTION("""COMPUTED_VALUE"""),"พิธีรับเสด็จรับปริญญา ม.มหิดล นพอ.รุ่น64")</f>
        <v>พิธีรับเสด็จรับปริญญา ม.มหิดล นพอ.รุ่น64</v>
      </c>
      <c r="I284" s="3" t="str">
        <f>IFERROR(__xludf.DUMMYFUNCTION("""COMPUTED_VALUE"""),"มหาวิทยาลัยมหิดล")</f>
        <v>มหาวิทยาลัยมหิดล</v>
      </c>
      <c r="J284" s="12">
        <f>IFERROR(__xludf.DUMMYFUNCTION("""COMPUTED_VALUE"""),45940.0)</f>
        <v>45940</v>
      </c>
      <c r="K284" s="3" t="str">
        <f>IFERROR(__xludf.DUMMYFUNCTION("""COMPUTED_VALUE"""),"0800-1200")</f>
        <v>0800-1200</v>
      </c>
      <c r="L284" s="3">
        <f>IFERROR(__xludf.DUMMYFUNCTION("""COMPUTED_VALUE"""),4.0)</f>
        <v>4</v>
      </c>
      <c r="M284" s="3" t="str">
        <f>IFERROR(__xludf.DUMMYFUNCTION("""COMPUTED_VALUE"""),"น.ท.หญิง สุพัตรา ปิ่นแก้ว")</f>
        <v>น.ท.หญิง สุพัตรา ปิ่นแก้ว</v>
      </c>
      <c r="N284" s="14" t="str">
        <f>IFERROR(__xludf.DUMMYFUNCTION("""COMPUTED_VALUE"""),"https://lh5.googleusercontent.com/d/1R9BvvHncnTwSMBF9zlgh0Skl-oqoflff")</f>
        <v>https://lh5.googleusercontent.com/d/1R9BvvHncnTwSMBF9zlgh0Skl-oqoflff</v>
      </c>
      <c r="O284" s="14" t="str">
        <f>IFERROR(__xludf.DUMMYFUNCTION("""COMPUTED_VALUE"""),"https://drive.google.com/file/d/1a1HTyul1mdLm2h2_Kxxw30Fv8ItxTci_/view?usp=drivesdk")</f>
        <v>https://drive.google.com/file/d/1a1HTyul1mdLm2h2_Kxxw30Fv8ItxTci_/view?usp=drivesdk</v>
      </c>
    </row>
    <row r="285">
      <c r="A285" s="3">
        <f>IFERROR(__xludf.DUMMYFUNCTION("""COMPUTED_VALUE"""),1024.0)</f>
        <v>1024</v>
      </c>
      <c r="B285" s="11">
        <f>IFERROR(__xludf.DUMMYFUNCTION("""COMPUTED_VALUE"""),45992.55241741898)</f>
        <v>45992.55242</v>
      </c>
      <c r="C285" s="3" t="str">
        <f>IFERROR(__xludf.DUMMYFUNCTION("""COMPUTED_VALUE"""),"ชั้นปีที่ 3")</f>
        <v>ชั้นปีที่ 3</v>
      </c>
      <c r="D285" s="3" t="str">
        <f>IFERROR(__xludf.DUMMYFUNCTION("""COMPUTED_VALUE"""),"6603779")</f>
        <v>6603779</v>
      </c>
      <c r="E285" s="3" t="str">
        <f>IFERROR(__xludf.DUMMYFUNCTION("""COMPUTED_VALUE"""),"25")</f>
        <v>25</v>
      </c>
      <c r="F285" s="3" t="str">
        <f>IFERROR(__xludf.DUMMYFUNCTION("""COMPUTED_VALUE"""),"นพอ.นันทิยา  แก้วก่อง")</f>
        <v>นพอ.นันทิยา  แก้วก่อง</v>
      </c>
      <c r="G2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5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28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5" s="12">
        <f>IFERROR(__xludf.DUMMYFUNCTION("""COMPUTED_VALUE"""),45840.0)</f>
        <v>45840</v>
      </c>
      <c r="K285" s="3" t="str">
        <f>IFERROR(__xludf.DUMMYFUNCTION("""COMPUTED_VALUE"""),"1400-2200")</f>
        <v>1400-2200</v>
      </c>
      <c r="L285" s="3">
        <f>IFERROR(__xludf.DUMMYFUNCTION("""COMPUTED_VALUE"""),8.0)</f>
        <v>8</v>
      </c>
      <c r="M285" s="3" t="str">
        <f>IFERROR(__xludf.DUMMYFUNCTION("""COMPUTED_VALUE"""),"ร.อ.อนุชิต ทำจะดี")</f>
        <v>ร.อ.อนุชิต ทำจะดี</v>
      </c>
      <c r="N285" s="14" t="str">
        <f>IFERROR(__xludf.DUMMYFUNCTION("""COMPUTED_VALUE"""),"https://lh5.googleusercontent.com/d/1e7OCM0lYYdG_L-93El9tUmG8Tyt92Wv6")</f>
        <v>https://lh5.googleusercontent.com/d/1e7OCM0lYYdG_L-93El9tUmG8Tyt92Wv6</v>
      </c>
      <c r="O285" s="14" t="str">
        <f>IFERROR(__xludf.DUMMYFUNCTION("""COMPUTED_VALUE"""),"https://drive.google.com/file/d/1vYpToyuG7VibTdfZAVX-4r0ZqCFIwrCW/view?usp=drivesdk")</f>
        <v>https://drive.google.com/file/d/1vYpToyuG7VibTdfZAVX-4r0ZqCFIwrCW/view?usp=drivesdk</v>
      </c>
    </row>
    <row r="286">
      <c r="A286" s="3">
        <f>IFERROR(__xludf.DUMMYFUNCTION("""COMPUTED_VALUE"""),1025.0)</f>
        <v>1025</v>
      </c>
      <c r="B286" s="11">
        <f>IFERROR(__xludf.DUMMYFUNCTION("""COMPUTED_VALUE"""),45992.55444060185)</f>
        <v>45992.55444</v>
      </c>
      <c r="C286" s="3" t="str">
        <f>IFERROR(__xludf.DUMMYFUNCTION("""COMPUTED_VALUE"""),"ชั้นปีที่ 3")</f>
        <v>ชั้นปีที่ 3</v>
      </c>
      <c r="D286" s="3" t="str">
        <f>IFERROR(__xludf.DUMMYFUNCTION("""COMPUTED_VALUE"""),"6603766")</f>
        <v>6603766</v>
      </c>
      <c r="E286" s="3" t="str">
        <f>IFERROR(__xludf.DUMMYFUNCTION("""COMPUTED_VALUE"""),"13")</f>
        <v>13</v>
      </c>
      <c r="F286" s="3" t="str">
        <f>IFERROR(__xludf.DUMMYFUNCTION("""COMPUTED_VALUE"""),"นพอ.ชุติกาญจน์ ชูตินันท์")</f>
        <v>นพอ.ชุติกาญจน์ ชูตินันท์</v>
      </c>
      <c r="G286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86" s="3" t="str">
        <f>IFERROR(__xludf.DUMMYFUNCTION("""COMPUTED_VALUE"""),"ลงนามถวายพระพรวันเฉลิมพระชนมพรรษา ร.10")</f>
        <v>ลงนามถวายพระพรวันเฉลิมพระชนมพรรษา ร.10</v>
      </c>
      <c r="I286" s="3" t="str">
        <f>IFERROR(__xludf.DUMMYFUNCTION("""COMPUTED_VALUE"""),"กระทรวงมหาดไทย ออนไลน์")</f>
        <v>กระทรวงมหาดไทย ออนไลน์</v>
      </c>
      <c r="J286" s="12">
        <f>IFERROR(__xludf.DUMMYFUNCTION("""COMPUTED_VALUE"""),45866.0)</f>
        <v>45866</v>
      </c>
      <c r="K286" s="3" t="str">
        <f>IFERROR(__xludf.DUMMYFUNCTION("""COMPUTED_VALUE"""),"0800-0900")</f>
        <v>0800-0900</v>
      </c>
      <c r="L286" s="3">
        <f>IFERROR(__xludf.DUMMYFUNCTION("""COMPUTED_VALUE"""),1.0)</f>
        <v>1</v>
      </c>
      <c r="M286" s="3" t="str">
        <f>IFERROR(__xludf.DUMMYFUNCTION("""COMPUTED_VALUE"""),"กระทรวงมหาดไทย")</f>
        <v>กระทรวงมหาดไทย</v>
      </c>
      <c r="N286" s="14" t="str">
        <f>IFERROR(__xludf.DUMMYFUNCTION("""COMPUTED_VALUE"""),"https://lh5.googleusercontent.com/d/1G_oAKs75J-goqaPKhcRBHUYBs7Mi0tBK")</f>
        <v>https://lh5.googleusercontent.com/d/1G_oAKs75J-goqaPKhcRBHUYBs7Mi0tBK</v>
      </c>
      <c r="O286" s="14" t="str">
        <f>IFERROR(__xludf.DUMMYFUNCTION("""COMPUTED_VALUE"""),"https://drive.google.com/file/d/11PELhsKb4yklCWFyJ8uw2YmuIwslaCPt/view?usp=drivesdk")</f>
        <v>https://drive.google.com/file/d/11PELhsKb4yklCWFyJ8uw2YmuIwslaCPt/view?usp=drivesdk</v>
      </c>
    </row>
    <row r="287">
      <c r="A287" s="3">
        <f>IFERROR(__xludf.DUMMYFUNCTION("""COMPUTED_VALUE"""),1026.0)</f>
        <v>1026</v>
      </c>
      <c r="B287" s="11">
        <f>IFERROR(__xludf.DUMMYFUNCTION("""COMPUTED_VALUE"""),45992.55784836806)</f>
        <v>45992.55785</v>
      </c>
      <c r="C287" s="3" t="str">
        <f>IFERROR(__xludf.DUMMYFUNCTION("""COMPUTED_VALUE"""),"ชั้นปีที่ 3")</f>
        <v>ชั้นปีที่ 3</v>
      </c>
      <c r="D287" s="3" t="str">
        <f>IFERROR(__xludf.DUMMYFUNCTION("""COMPUTED_VALUE"""),"6603766")</f>
        <v>6603766</v>
      </c>
      <c r="E287" s="3" t="str">
        <f>IFERROR(__xludf.DUMMYFUNCTION("""COMPUTED_VALUE"""),"13")</f>
        <v>13</v>
      </c>
      <c r="F287" s="3" t="str">
        <f>IFERROR(__xludf.DUMMYFUNCTION("""COMPUTED_VALUE"""),"นพอ.ชุติกาญจน์ ชูตินันท์")</f>
        <v>นพอ.ชุติกาญจน์ ชูตินันท์</v>
      </c>
      <c r="G287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87" s="3" t="str">
        <f>IFERROR(__xludf.DUMMYFUNCTION("""COMPUTED_VALUE"""),"วันเฉลิมพระชนมพรรษา พระบรมราชชนนีพันปีหลวง")</f>
        <v>วันเฉลิมพระชนมพรรษา พระบรมราชชนนีพันปีหลวง</v>
      </c>
      <c r="I287" s="3" t="str">
        <f>IFERROR(__xludf.DUMMYFUNCTION("""COMPUTED_VALUE"""),"วพอ.พอ.")</f>
        <v>วพอ.พอ.</v>
      </c>
      <c r="J287" s="12">
        <f>IFERROR(__xludf.DUMMYFUNCTION("""COMPUTED_VALUE"""),45881.0)</f>
        <v>45881</v>
      </c>
      <c r="K287" s="3" t="str">
        <f>IFERROR(__xludf.DUMMYFUNCTION("""COMPUTED_VALUE"""),"0800-0900")</f>
        <v>0800-0900</v>
      </c>
      <c r="L287" s="3">
        <f>IFERROR(__xludf.DUMMYFUNCTION("""COMPUTED_VALUE"""),1.0)</f>
        <v>1</v>
      </c>
      <c r="M287" s="3" t="str">
        <f>IFERROR(__xludf.DUMMYFUNCTION("""COMPUTED_VALUE"""),"วิทยาลัยพยาบาลทหารอากาศ")</f>
        <v>วิทยาลัยพยาบาลทหารอากาศ</v>
      </c>
      <c r="N287" s="14" t="str">
        <f>IFERROR(__xludf.DUMMYFUNCTION("""COMPUTED_VALUE"""),"https://lh5.googleusercontent.com/d/1lHcF53oQEkD0YkONb7FdrxsBuk4aH8AL")</f>
        <v>https://lh5.googleusercontent.com/d/1lHcF53oQEkD0YkONb7FdrxsBuk4aH8AL</v>
      </c>
      <c r="O287" s="14" t="str">
        <f>IFERROR(__xludf.DUMMYFUNCTION("""COMPUTED_VALUE"""),"https://drive.google.com/file/d/17dEoak-0IvfUWXsRUlwzwrXxkY5Nxw67/view?usp=drivesdk")</f>
        <v>https://drive.google.com/file/d/17dEoak-0IvfUWXsRUlwzwrXxkY5Nxw67/view?usp=drivesdk</v>
      </c>
    </row>
    <row r="288">
      <c r="A288" s="3">
        <f>IFERROR(__xludf.DUMMYFUNCTION("""COMPUTED_VALUE"""),1028.0)</f>
        <v>1028</v>
      </c>
      <c r="B288" s="11">
        <f>IFERROR(__xludf.DUMMYFUNCTION("""COMPUTED_VALUE"""),45992.56208078704)</f>
        <v>45992.56208</v>
      </c>
      <c r="C288" s="3" t="str">
        <f>IFERROR(__xludf.DUMMYFUNCTION("""COMPUTED_VALUE"""),"ชั้นปีที่ 3")</f>
        <v>ชั้นปีที่ 3</v>
      </c>
      <c r="D288" s="3" t="str">
        <f>IFERROR(__xludf.DUMMYFUNCTION("""COMPUTED_VALUE"""),"6603779")</f>
        <v>6603779</v>
      </c>
      <c r="E288" s="3" t="str">
        <f>IFERROR(__xludf.DUMMYFUNCTION("""COMPUTED_VALUE"""),"25")</f>
        <v>25</v>
      </c>
      <c r="F288" s="3" t="str">
        <f>IFERROR(__xludf.DUMMYFUNCTION("""COMPUTED_VALUE"""),"นพอ.นันทิยา แก้วก่อง")</f>
        <v>นพอ.นันทิยา แก้วก่อง</v>
      </c>
      <c r="G28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8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28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8" s="12">
        <f>IFERROR(__xludf.DUMMYFUNCTION("""COMPUTED_VALUE"""),45839.0)</f>
        <v>45839</v>
      </c>
      <c r="K288" s="3" t="str">
        <f>IFERROR(__xludf.DUMMYFUNCTION("""COMPUTED_VALUE"""),"1400-2200")</f>
        <v>1400-2200</v>
      </c>
      <c r="L288" s="3">
        <f>IFERROR(__xludf.DUMMYFUNCTION("""COMPUTED_VALUE"""),8.0)</f>
        <v>8</v>
      </c>
      <c r="M288" s="3" t="str">
        <f>IFERROR(__xludf.DUMMYFUNCTION("""COMPUTED_VALUE"""),"ร.อ.อนุชิต ทำจะดี")</f>
        <v>ร.อ.อนุชิต ทำจะดี</v>
      </c>
      <c r="N288" s="14" t="str">
        <f>IFERROR(__xludf.DUMMYFUNCTION("""COMPUTED_VALUE"""),"https://lh5.googleusercontent.com/d/1U_0b5OrtfqneSYgr7W6vXz23vBmmBZwI")</f>
        <v>https://lh5.googleusercontent.com/d/1U_0b5OrtfqneSYgr7W6vXz23vBmmBZwI</v>
      </c>
      <c r="O288" s="14" t="str">
        <f>IFERROR(__xludf.DUMMYFUNCTION("""COMPUTED_VALUE"""),"https://drive.google.com/file/d/1q4m9NgY9IZsD7yZNgMne01xvAhVxFIyY/view?usp=drivesdk")</f>
        <v>https://drive.google.com/file/d/1q4m9NgY9IZsD7yZNgMne01xvAhVxFIyY/view?usp=drivesdk</v>
      </c>
    </row>
    <row r="289">
      <c r="A289" s="3">
        <f>IFERROR(__xludf.DUMMYFUNCTION("""COMPUTED_VALUE"""),1029.0)</f>
        <v>1029</v>
      </c>
      <c r="B289" s="11">
        <f>IFERROR(__xludf.DUMMYFUNCTION("""COMPUTED_VALUE"""),45992.57483200231)</f>
        <v>45992.57483</v>
      </c>
      <c r="C289" s="3" t="str">
        <f>IFERROR(__xludf.DUMMYFUNCTION("""COMPUTED_VALUE"""),"ชั้นปีที่ 3")</f>
        <v>ชั้นปีที่ 3</v>
      </c>
      <c r="D289" s="3" t="str">
        <f>IFERROR(__xludf.DUMMYFUNCTION("""COMPUTED_VALUE"""),"6603779")</f>
        <v>6603779</v>
      </c>
      <c r="E289" s="3" t="str">
        <f>IFERROR(__xludf.DUMMYFUNCTION("""COMPUTED_VALUE"""),"25")</f>
        <v>25</v>
      </c>
      <c r="F289" s="3" t="str">
        <f>IFERROR(__xludf.DUMMYFUNCTION("""COMPUTED_VALUE"""),"นพอ.นันทิยา แก้วก่อง")</f>
        <v>นพอ.นันทิยา แก้วก่อง</v>
      </c>
      <c r="G28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89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89" s="3" t="str">
        <f>IFERROR(__xludf.DUMMYFUNCTION("""COMPUTED_VALUE"""),"ชุมชนวัดเกาะ")</f>
        <v>ชุมชนวัดเกาะ</v>
      </c>
      <c r="J289" s="12">
        <f>IFERROR(__xludf.DUMMYFUNCTION("""COMPUTED_VALUE"""),45823.0)</f>
        <v>45823</v>
      </c>
      <c r="K289" s="3" t="str">
        <f>IFERROR(__xludf.DUMMYFUNCTION("""COMPUTED_VALUE"""),"0800-1200")</f>
        <v>0800-1200</v>
      </c>
      <c r="L289" s="3">
        <f>IFERROR(__xludf.DUMMYFUNCTION("""COMPUTED_VALUE"""),4.0)</f>
        <v>4</v>
      </c>
      <c r="M289" s="3" t="str">
        <f>IFERROR(__xludf.DUMMYFUNCTION("""COMPUTED_VALUE"""),"น.ต.หญิง ตวงทิพย์  ลดาวัลย์")</f>
        <v>น.ต.หญิง ตวงทิพย์  ลดาวัลย์</v>
      </c>
      <c r="N289" s="14" t="str">
        <f>IFERROR(__xludf.DUMMYFUNCTION("""COMPUTED_VALUE"""),"https://lh5.googleusercontent.com/d/1kn1ss5X6oeXOkzpOUUOsFaKw8L7fv0z7")</f>
        <v>https://lh5.googleusercontent.com/d/1kn1ss5X6oeXOkzpOUUOsFaKw8L7fv0z7</v>
      </c>
      <c r="O289" s="14" t="str">
        <f>IFERROR(__xludf.DUMMYFUNCTION("""COMPUTED_VALUE"""),"https://drive.google.com/file/d/11MY-Yg6Gi6fb1A112via5hwdyhbDfFdh/view?usp=drivesdk")</f>
        <v>https://drive.google.com/file/d/11MY-Yg6Gi6fb1A112via5hwdyhbDfFdh/view?usp=drivesdk</v>
      </c>
    </row>
    <row r="290">
      <c r="A290" s="3">
        <f>IFERROR(__xludf.DUMMYFUNCTION("""COMPUTED_VALUE"""),1030.0)</f>
        <v>1030</v>
      </c>
      <c r="B290" s="11">
        <f>IFERROR(__xludf.DUMMYFUNCTION("""COMPUTED_VALUE"""),45992.580691469906)</f>
        <v>45992.58069</v>
      </c>
      <c r="C290" s="3" t="str">
        <f>IFERROR(__xludf.DUMMYFUNCTION("""COMPUTED_VALUE"""),"ชั้นปีที่ 3")</f>
        <v>ชั้นปีที่ 3</v>
      </c>
      <c r="D290" s="3" t="str">
        <f>IFERROR(__xludf.DUMMYFUNCTION("""COMPUTED_VALUE"""),"6603810")</f>
        <v>6603810</v>
      </c>
      <c r="E290" s="3" t="str">
        <f>IFERROR(__xludf.DUMMYFUNCTION("""COMPUTED_VALUE"""),"56")</f>
        <v>56</v>
      </c>
      <c r="F290" s="3" t="str">
        <f>IFERROR(__xludf.DUMMYFUNCTION("""COMPUTED_VALUE"""),"นพอ.สุพิชชา โคตวงค์")</f>
        <v>นพอ.สุพิชชา โคตวงค์</v>
      </c>
      <c r="G290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90" s="3" t="str">
        <f>IFERROR(__xludf.DUMMYFUNCTION("""COMPUTED_VALUE"""),"ลงนามถวายพระพร")</f>
        <v>ลงนามถวายพระพร</v>
      </c>
      <c r="I290" s="3" t="str">
        <f>IFERROR(__xludf.DUMMYFUNCTION("""COMPUTED_VALUE"""),"ตลาดยิ่งเจริญ")</f>
        <v>ตลาดยิ่งเจริญ</v>
      </c>
      <c r="J290" s="12">
        <f>IFERROR(__xludf.DUMMYFUNCTION("""COMPUTED_VALUE"""),45975.0)</f>
        <v>45975</v>
      </c>
      <c r="K290" s="3" t="str">
        <f>IFERROR(__xludf.DUMMYFUNCTION("""COMPUTED_VALUE"""),"1700-1800")</f>
        <v>1700-1800</v>
      </c>
      <c r="L290" s="3">
        <f>IFERROR(__xludf.DUMMYFUNCTION("""COMPUTED_VALUE"""),1.0)</f>
        <v>1</v>
      </c>
      <c r="M290" s="3" t="str">
        <f>IFERROR(__xludf.DUMMYFUNCTION("""COMPUTED_VALUE"""),"นพอ.สุพิชชา โคตวงค์")</f>
        <v>นพอ.สุพิชชา โคตวงค์</v>
      </c>
      <c r="N290" s="14" t="str">
        <f>IFERROR(__xludf.DUMMYFUNCTION("""COMPUTED_VALUE"""),"https://lh5.googleusercontent.com/d/1IPu-b_F2npyg25oML1_GKpobKPWOvEIk")</f>
        <v>https://lh5.googleusercontent.com/d/1IPu-b_F2npyg25oML1_GKpobKPWOvEIk</v>
      </c>
      <c r="O290" s="14" t="str">
        <f>IFERROR(__xludf.DUMMYFUNCTION("""COMPUTED_VALUE"""),"https://drive.google.com/file/d/1fH0cknGfsVWcsvEEa4j_OTXHMIu6LtDK/view?usp=drivesdk")</f>
        <v>https://drive.google.com/file/d/1fH0cknGfsVWcsvEEa4j_OTXHMIu6LtDK/view?usp=drivesdk</v>
      </c>
    </row>
    <row r="291">
      <c r="A291" s="3">
        <f>IFERROR(__xludf.DUMMYFUNCTION("""COMPUTED_VALUE"""),1033.0)</f>
        <v>1033</v>
      </c>
      <c r="B291" s="11">
        <f>IFERROR(__xludf.DUMMYFUNCTION("""COMPUTED_VALUE"""),45992.59517331018)</f>
        <v>45992.59517</v>
      </c>
      <c r="C291" s="3" t="str">
        <f>IFERROR(__xludf.DUMMYFUNCTION("""COMPUTED_VALUE"""),"ชั้นปีที่ 3")</f>
        <v>ชั้นปีที่ 3</v>
      </c>
      <c r="D291" s="3" t="str">
        <f>IFERROR(__xludf.DUMMYFUNCTION("""COMPUTED_VALUE"""),"6603810")</f>
        <v>6603810</v>
      </c>
      <c r="E291" s="3" t="str">
        <f>IFERROR(__xludf.DUMMYFUNCTION("""COMPUTED_VALUE"""),"56")</f>
        <v>56</v>
      </c>
      <c r="F291" s="3" t="str">
        <f>IFERROR(__xludf.DUMMYFUNCTION("""COMPUTED_VALUE"""),"นพอ.สุพิชชา โคตวงค์")</f>
        <v>นพอ.สุพิชชา โคตวงค์</v>
      </c>
      <c r="G29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1" s="3" t="str">
        <f>IFERROR(__xludf.DUMMYFUNCTION("""COMPUTED_VALUE"""),"กิจกรรมรับเสด็จ")</f>
        <v>กิจกรรมรับเสด็จ</v>
      </c>
      <c r="I291" s="3" t="str">
        <f>IFERROR(__xludf.DUMMYFUNCTION("""COMPUTED_VALUE"""),"มหาวิทยาลัยมหิดล")</f>
        <v>มหาวิทยาลัยมหิดล</v>
      </c>
      <c r="J291" s="12">
        <f>IFERROR(__xludf.DUMMYFUNCTION("""COMPUTED_VALUE"""),45940.0)</f>
        <v>45940</v>
      </c>
      <c r="K291" s="3" t="str">
        <f>IFERROR(__xludf.DUMMYFUNCTION("""COMPUTED_VALUE"""),"0800-1200")</f>
        <v>0800-1200</v>
      </c>
      <c r="L291" s="3">
        <f>IFERROR(__xludf.DUMMYFUNCTION("""COMPUTED_VALUE"""),4.0)</f>
        <v>4</v>
      </c>
      <c r="M291" s="3" t="str">
        <f>IFERROR(__xludf.DUMMYFUNCTION("""COMPUTED_VALUE"""),"น.ท.หญิง สุพัตรา ปิ่นแก้ว")</f>
        <v>น.ท.หญิง สุพัตรา ปิ่นแก้ว</v>
      </c>
      <c r="N291" s="14" t="str">
        <f>IFERROR(__xludf.DUMMYFUNCTION("""COMPUTED_VALUE"""),"https://lh5.googleusercontent.com/d/1kyQjFZ0lhEPdLSA5CBfQDXXPLPwlOdKy")</f>
        <v>https://lh5.googleusercontent.com/d/1kyQjFZ0lhEPdLSA5CBfQDXXPLPwlOdKy</v>
      </c>
      <c r="O291" s="14" t="str">
        <f>IFERROR(__xludf.DUMMYFUNCTION("""COMPUTED_VALUE"""),"https://drive.google.com/file/d/15fSBG-1IRJUin3MU18-LI4tDh0GzWakJ/view?usp=drivesdk")</f>
        <v>https://drive.google.com/file/d/15fSBG-1IRJUin3MU18-LI4tDh0GzWakJ/view?usp=drivesdk</v>
      </c>
    </row>
    <row r="292">
      <c r="A292" s="3">
        <f>IFERROR(__xludf.DUMMYFUNCTION("""COMPUTED_VALUE"""),1034.0)</f>
        <v>1034</v>
      </c>
      <c r="B292" s="11">
        <f>IFERROR(__xludf.DUMMYFUNCTION("""COMPUTED_VALUE"""),45992.59809339121)</f>
        <v>45992.59809</v>
      </c>
      <c r="C292" s="3" t="str">
        <f>IFERROR(__xludf.DUMMYFUNCTION("""COMPUTED_VALUE"""),"ชั้นปีที่ 3")</f>
        <v>ชั้นปีที่ 3</v>
      </c>
      <c r="D292" s="3" t="str">
        <f>IFERROR(__xludf.DUMMYFUNCTION("""COMPUTED_VALUE"""),"6603810")</f>
        <v>6603810</v>
      </c>
      <c r="E292" s="3" t="str">
        <f>IFERROR(__xludf.DUMMYFUNCTION("""COMPUTED_VALUE"""),"56")</f>
        <v>56</v>
      </c>
      <c r="F292" s="3" t="str">
        <f>IFERROR(__xludf.DUMMYFUNCTION("""COMPUTED_VALUE"""),"นพอ.สุพิชชา โคตวงค์")</f>
        <v>นพอ.สุพิชชา โคตวงค์</v>
      </c>
      <c r="G29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2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292" s="3" t="str">
        <f>IFERROR(__xludf.DUMMYFUNCTION("""COMPUTED_VALUE"""),"ชุมชนวัดเกาะ")</f>
        <v>ชุมชนวัดเกาะ</v>
      </c>
      <c r="J292" s="12">
        <f>IFERROR(__xludf.DUMMYFUNCTION("""COMPUTED_VALUE"""),45823.0)</f>
        <v>45823</v>
      </c>
      <c r="K292" s="3" t="str">
        <f>IFERROR(__xludf.DUMMYFUNCTION("""COMPUTED_VALUE"""),"0800-1200")</f>
        <v>0800-1200</v>
      </c>
      <c r="L292" s="3">
        <f>IFERROR(__xludf.DUMMYFUNCTION("""COMPUTED_VALUE"""),4.0)</f>
        <v>4</v>
      </c>
      <c r="M292" s="3" t="str">
        <f>IFERROR(__xludf.DUMMYFUNCTION("""COMPUTED_VALUE"""),"น.ต.หญิง ตวงทิพย์ ลดาวัลย์")</f>
        <v>น.ต.หญิง ตวงทิพย์ ลดาวัลย์</v>
      </c>
      <c r="N292" s="14" t="str">
        <f>IFERROR(__xludf.DUMMYFUNCTION("""COMPUTED_VALUE"""),"https://lh5.googleusercontent.com/d/148kaRhdjGB650AfQcuCLaflXGGmUALYo")</f>
        <v>https://lh5.googleusercontent.com/d/148kaRhdjGB650AfQcuCLaflXGGmUALYo</v>
      </c>
      <c r="O292" s="14" t="str">
        <f>IFERROR(__xludf.DUMMYFUNCTION("""COMPUTED_VALUE"""),"https://drive.google.com/file/d/1WitDx5pJr4qXUbdlVuClnKOtkavRtf9r/view?usp=drivesdk")</f>
        <v>https://drive.google.com/file/d/1WitDx5pJr4qXUbdlVuClnKOtkavRtf9r/view?usp=drivesdk</v>
      </c>
    </row>
    <row r="293">
      <c r="A293" s="3">
        <f>IFERROR(__xludf.DUMMYFUNCTION("""COMPUTED_VALUE"""),1035.0)</f>
        <v>1035</v>
      </c>
      <c r="B293" s="11">
        <f>IFERROR(__xludf.DUMMYFUNCTION("""COMPUTED_VALUE"""),45992.600123159726)</f>
        <v>45992.60012</v>
      </c>
      <c r="C293" s="3" t="str">
        <f>IFERROR(__xludf.DUMMYFUNCTION("""COMPUTED_VALUE"""),"ชั้นปีที่ 3")</f>
        <v>ชั้นปีที่ 3</v>
      </c>
      <c r="D293" s="3" t="str">
        <f>IFERROR(__xludf.DUMMYFUNCTION("""COMPUTED_VALUE"""),"6603810")</f>
        <v>6603810</v>
      </c>
      <c r="E293" s="3" t="str">
        <f>IFERROR(__xludf.DUMMYFUNCTION("""COMPUTED_VALUE"""),"56")</f>
        <v>56</v>
      </c>
      <c r="F293" s="3" t="str">
        <f>IFERROR(__xludf.DUMMYFUNCTION("""COMPUTED_VALUE"""),"นพอ.สุพิชชา โคตวงค์")</f>
        <v>นพอ.สุพิชชา โคตวงค์</v>
      </c>
      <c r="G293" s="3" t="str">
        <f>IFERROR(__xludf.DUMMYFUNCTION("""COMPUTED_VALUE"""),"ช่วยเหลืองานภายใน วพอ.")</f>
        <v>ช่วยเหลืองานภายใน วพอ.</v>
      </c>
      <c r="H293" s="3" t="str">
        <f>IFERROR(__xludf.DUMMYFUNCTION("""COMPUTED_VALUE"""),"รับน้องนพอ.รุ่นที่ 68")</f>
        <v>รับน้องนพอ.รุ่นที่ 68</v>
      </c>
      <c r="I293" s="3" t="str">
        <f>IFERROR(__xludf.DUMMYFUNCTION("""COMPUTED_VALUE"""),"วพอ.พอ.")</f>
        <v>วพอ.พอ.</v>
      </c>
      <c r="J293" s="12">
        <f>IFERROR(__xludf.DUMMYFUNCTION("""COMPUTED_VALUE"""),45858.0)</f>
        <v>45858</v>
      </c>
      <c r="K293" s="3" t="str">
        <f>IFERROR(__xludf.DUMMYFUNCTION("""COMPUTED_VALUE"""),"0800-1200")</f>
        <v>0800-1200</v>
      </c>
      <c r="L293" s="3">
        <f>IFERROR(__xludf.DUMMYFUNCTION("""COMPUTED_VALUE"""),4.0)</f>
        <v>4</v>
      </c>
      <c r="M29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93" s="14" t="str">
        <f>IFERROR(__xludf.DUMMYFUNCTION("""COMPUTED_VALUE"""),"https://lh5.googleusercontent.com/d/1lH4mm4FnXLtpdHomjf4o3M676xPVt8lx")</f>
        <v>https://lh5.googleusercontent.com/d/1lH4mm4FnXLtpdHomjf4o3M676xPVt8lx</v>
      </c>
      <c r="O293" s="14" t="str">
        <f>IFERROR(__xludf.DUMMYFUNCTION("""COMPUTED_VALUE"""),"https://drive.google.com/file/d/1-9XoIVdJOn25-WPf7xbju8Cw9uREbwf1/view?usp=drivesdk")</f>
        <v>https://drive.google.com/file/d/1-9XoIVdJOn25-WPf7xbju8Cw9uREbwf1/view?usp=drivesdk</v>
      </c>
    </row>
    <row r="294">
      <c r="A294" s="3">
        <f>IFERROR(__xludf.DUMMYFUNCTION("""COMPUTED_VALUE"""),1036.0)</f>
        <v>1036</v>
      </c>
      <c r="B294" s="11">
        <f>IFERROR(__xludf.DUMMYFUNCTION("""COMPUTED_VALUE"""),45992.605494131945)</f>
        <v>45992.60549</v>
      </c>
      <c r="C294" s="3" t="str">
        <f>IFERROR(__xludf.DUMMYFUNCTION("""COMPUTED_VALUE"""),"ชั้นปีที่ 3")</f>
        <v>ชั้นปีที่ 3</v>
      </c>
      <c r="D294" s="3" t="str">
        <f>IFERROR(__xludf.DUMMYFUNCTION("""COMPUTED_VALUE"""),"6603810")</f>
        <v>6603810</v>
      </c>
      <c r="E294" s="3" t="str">
        <f>IFERROR(__xludf.DUMMYFUNCTION("""COMPUTED_VALUE"""),"56")</f>
        <v>56</v>
      </c>
      <c r="F294" s="3" t="str">
        <f>IFERROR(__xludf.DUMMYFUNCTION("""COMPUTED_VALUE"""),"นพอ.สุพิชชา โคตวงค์")</f>
        <v>นพอ.สุพิชชา โคตวงค์</v>
      </c>
      <c r="G29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94" s="3" t="str">
        <f>IFERROR(__xludf.DUMMYFUNCTION("""COMPUTED_VALUE"""),"บริจาคโลหิต")</f>
        <v>บริจาคโลหิต</v>
      </c>
      <c r="I294" s="3" t="str">
        <f>IFERROR(__xludf.DUMMYFUNCTION("""COMPUTED_VALUE"""),"โรงพยาบาลภูมิพล")</f>
        <v>โรงพยาบาลภูมิพล</v>
      </c>
      <c r="J294" s="12">
        <f>IFERROR(__xludf.DUMMYFUNCTION("""COMPUTED_VALUE"""),45954.0)</f>
        <v>45954</v>
      </c>
      <c r="K294" s="3" t="str">
        <f>IFERROR(__xludf.DUMMYFUNCTION("""COMPUTED_VALUE"""),"1300-1400")</f>
        <v>1300-1400</v>
      </c>
      <c r="L294" s="3">
        <f>IFERROR(__xludf.DUMMYFUNCTION("""COMPUTED_VALUE"""),8.0)</f>
        <v>8</v>
      </c>
      <c r="M29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94" s="14" t="str">
        <f>IFERROR(__xludf.DUMMYFUNCTION("""COMPUTED_VALUE"""),"https://lh5.googleusercontent.com/d/1jLDVPS6PMJ1O9nE6bek3cEPHefq9NGU0")</f>
        <v>https://lh5.googleusercontent.com/d/1jLDVPS6PMJ1O9nE6bek3cEPHefq9NGU0</v>
      </c>
      <c r="O294" s="14" t="str">
        <f>IFERROR(__xludf.DUMMYFUNCTION("""COMPUTED_VALUE"""),"https://drive.google.com/file/d/1Deif5dpeaIT5EQ5lz80OZ5cxvZmr9qw9/view?usp=drivesdk")</f>
        <v>https://drive.google.com/file/d/1Deif5dpeaIT5EQ5lz80OZ5cxvZmr9qw9/view?usp=drivesdk</v>
      </c>
    </row>
    <row r="295">
      <c r="A295" s="3">
        <f>IFERROR(__xludf.DUMMYFUNCTION("""COMPUTED_VALUE"""),1066.0)</f>
        <v>1066</v>
      </c>
      <c r="B295" s="11">
        <f>IFERROR(__xludf.DUMMYFUNCTION("""COMPUTED_VALUE"""),45992.81794221065)</f>
        <v>45992.81794</v>
      </c>
      <c r="C295" s="3" t="str">
        <f>IFERROR(__xludf.DUMMYFUNCTION("""COMPUTED_VALUE"""),"ชั้นปีที่ 3")</f>
        <v>ชั้นปีที่ 3</v>
      </c>
      <c r="D295" s="3" t="str">
        <f>IFERROR(__xludf.DUMMYFUNCTION("""COMPUTED_VALUE"""),"6603782")</f>
        <v>6603782</v>
      </c>
      <c r="E295" s="3" t="str">
        <f>IFERROR(__xludf.DUMMYFUNCTION("""COMPUTED_VALUE"""),"28")</f>
        <v>28</v>
      </c>
      <c r="F295" s="3" t="str">
        <f>IFERROR(__xludf.DUMMYFUNCTION("""COMPUTED_VALUE"""),"นพอ.เนตรชนก ชูหนู")</f>
        <v>นพอ.เนตรชนก ชูหนู</v>
      </c>
      <c r="G2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5" s="3" t="str">
        <f>IFERROR(__xludf.DUMMYFUNCTION("""COMPUTED_VALUE"""),"รับเสด็จงานรับปริญญา")</f>
        <v>รับเสด็จงานรับปริญญา</v>
      </c>
      <c r="I295" s="3" t="str">
        <f>IFERROR(__xludf.DUMMYFUNCTION("""COMPUTED_VALUE"""),"มหาวิทยาลัยมหิดล")</f>
        <v>มหาวิทยาลัยมหิดล</v>
      </c>
      <c r="J295" s="12">
        <f>IFERROR(__xludf.DUMMYFUNCTION("""COMPUTED_VALUE"""),45940.0)</f>
        <v>45940</v>
      </c>
      <c r="K295" s="3" t="str">
        <f>IFERROR(__xludf.DUMMYFUNCTION("""COMPUTED_VALUE"""),"0800-1200")</f>
        <v>0800-1200</v>
      </c>
      <c r="L295" s="3">
        <f>IFERROR(__xludf.DUMMYFUNCTION("""COMPUTED_VALUE"""),4.0)</f>
        <v>4</v>
      </c>
      <c r="M295" s="3" t="str">
        <f>IFERROR(__xludf.DUMMYFUNCTION("""COMPUTED_VALUE"""),"น.ท.หญิง สุพัตรา ปิ่นแก้ว")</f>
        <v>น.ท.หญิง สุพัตรา ปิ่นแก้ว</v>
      </c>
      <c r="N295" s="14" t="str">
        <f>IFERROR(__xludf.DUMMYFUNCTION("""COMPUTED_VALUE"""),"https://lh5.googleusercontent.com/d/12gg_LAhL2y_uoCv6XUw2R9eNUubsRHKf")</f>
        <v>https://lh5.googleusercontent.com/d/12gg_LAhL2y_uoCv6XUw2R9eNUubsRHKf</v>
      </c>
      <c r="O295" s="14" t="str">
        <f>IFERROR(__xludf.DUMMYFUNCTION("""COMPUTED_VALUE"""),"https://drive.google.com/file/d/1pgaqtoD2J-XtDlpebF3JbRe3aFi7Q_nS/view?usp=drivesdk")</f>
        <v>https://drive.google.com/file/d/1pgaqtoD2J-XtDlpebF3JbRe3aFi7Q_nS/view?usp=drivesdk</v>
      </c>
    </row>
    <row r="296">
      <c r="A296" s="3">
        <f>IFERROR(__xludf.DUMMYFUNCTION("""COMPUTED_VALUE"""),1104.0)</f>
        <v>1104</v>
      </c>
      <c r="B296" s="11">
        <f>IFERROR(__xludf.DUMMYFUNCTION("""COMPUTED_VALUE"""),45993.56983641204)</f>
        <v>45993.56984</v>
      </c>
      <c r="C296" s="3" t="str">
        <f>IFERROR(__xludf.DUMMYFUNCTION("""COMPUTED_VALUE"""),"ชั้นปีที่ 3")</f>
        <v>ชั้นปีที่ 3</v>
      </c>
      <c r="D296" s="3" t="str">
        <f>IFERROR(__xludf.DUMMYFUNCTION("""COMPUTED_VALUE"""),"6603762")</f>
        <v>6603762</v>
      </c>
      <c r="E296" s="3" t="str">
        <f>IFERROR(__xludf.DUMMYFUNCTION("""COMPUTED_VALUE"""),"9")</f>
        <v>9</v>
      </c>
      <c r="F296" s="3" t="str">
        <f>IFERROR(__xludf.DUMMYFUNCTION("""COMPUTED_VALUE"""),"นพอ.ชฎาภา บุตรวงษ์")</f>
        <v>นพอ.ชฎาภา บุตรวงษ์</v>
      </c>
      <c r="G29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96" s="3" t="str">
        <f>IFERROR(__xludf.DUMMYFUNCTION("""COMPUTED_VALUE"""),"บริจาคเลือด")</f>
        <v>บริจาคเลือด</v>
      </c>
      <c r="I296" s="3" t="str">
        <f>IFERROR(__xludf.DUMMYFUNCTION("""COMPUTED_VALUE"""),"รพ.ภูมิพล")</f>
        <v>รพ.ภูมิพล</v>
      </c>
      <c r="J296" s="12">
        <f>IFERROR(__xludf.DUMMYFUNCTION("""COMPUTED_VALUE"""),45981.0)</f>
        <v>45981</v>
      </c>
      <c r="K296" s="3" t="str">
        <f>IFERROR(__xludf.DUMMYFUNCTION("""COMPUTED_VALUE"""),"1200")</f>
        <v>1200</v>
      </c>
      <c r="L296" s="3">
        <f>IFERROR(__xludf.DUMMYFUNCTION("""COMPUTED_VALUE"""),8.0)</f>
        <v>8</v>
      </c>
      <c r="M296" s="3" t="str">
        <f>IFERROR(__xludf.DUMMYFUNCTION("""COMPUTED_VALUE"""),"น.ท.หญิง ดวงพร ชาศรี")</f>
        <v>น.ท.หญิง ดวงพร ชาศรี</v>
      </c>
      <c r="N296" s="14" t="str">
        <f>IFERROR(__xludf.DUMMYFUNCTION("""COMPUTED_VALUE"""),"https://lh5.googleusercontent.com/d/1NEYmg9UEUsyDlWU39yYbuoVZarmkZ0Vh")</f>
        <v>https://lh5.googleusercontent.com/d/1NEYmg9UEUsyDlWU39yYbuoVZarmkZ0Vh</v>
      </c>
      <c r="O296" s="14" t="str">
        <f>IFERROR(__xludf.DUMMYFUNCTION("""COMPUTED_VALUE"""),"https://drive.google.com/file/d/1OiIaxjekkQHARQoxXzH8BFCf_a8WrkB3/view?usp=drivesdk")</f>
        <v>https://drive.google.com/file/d/1OiIaxjekkQHARQoxXzH8BFCf_a8WrkB3/view?usp=drivesdk</v>
      </c>
    </row>
    <row r="297">
      <c r="A297" s="3">
        <f>IFERROR(__xludf.DUMMYFUNCTION("""COMPUTED_VALUE"""),1105.0)</f>
        <v>1105</v>
      </c>
      <c r="B297" s="11">
        <f>IFERROR(__xludf.DUMMYFUNCTION("""COMPUTED_VALUE"""),45993.57645564815)</f>
        <v>45993.57646</v>
      </c>
      <c r="C297" s="3" t="str">
        <f>IFERROR(__xludf.DUMMYFUNCTION("""COMPUTED_VALUE"""),"ชั้นปีที่ 3")</f>
        <v>ชั้นปีที่ 3</v>
      </c>
      <c r="D297" s="3" t="str">
        <f>IFERROR(__xludf.DUMMYFUNCTION("""COMPUTED_VALUE"""),"6603762")</f>
        <v>6603762</v>
      </c>
      <c r="E297" s="3" t="str">
        <f>IFERROR(__xludf.DUMMYFUNCTION("""COMPUTED_VALUE"""),"9")</f>
        <v>9</v>
      </c>
      <c r="F297" s="3" t="str">
        <f>IFERROR(__xludf.DUMMYFUNCTION("""COMPUTED_VALUE"""),"นพอ.ชฎาภา บุตรวงษ์")</f>
        <v>นพอ.ชฎาภา บุตรวงษ์</v>
      </c>
      <c r="G29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7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9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97" s="12">
        <f>IFERROR(__xludf.DUMMYFUNCTION("""COMPUTED_VALUE"""),45839.0)</f>
        <v>45839</v>
      </c>
      <c r="K297" s="3" t="str">
        <f>IFERROR(__xludf.DUMMYFUNCTION("""COMPUTED_VALUE"""),"1400-2200")</f>
        <v>1400-2200</v>
      </c>
      <c r="L297" s="3">
        <f>IFERROR(__xludf.DUMMYFUNCTION("""COMPUTED_VALUE"""),8.0)</f>
        <v>8</v>
      </c>
      <c r="M297" s="3" t="str">
        <f>IFERROR(__xludf.DUMMYFUNCTION("""COMPUTED_VALUE"""),"ร.อ.อนุชิต ทำจะดี")</f>
        <v>ร.อ.อนุชิต ทำจะดี</v>
      </c>
      <c r="N297" s="14" t="str">
        <f>IFERROR(__xludf.DUMMYFUNCTION("""COMPUTED_VALUE"""),"https://lh5.googleusercontent.com/d/15Wu-8UlOPdOjK5rTdadUpg6k3VXcLxXM")</f>
        <v>https://lh5.googleusercontent.com/d/15Wu-8UlOPdOjK5rTdadUpg6k3VXcLxXM</v>
      </c>
      <c r="O297" s="14" t="str">
        <f>IFERROR(__xludf.DUMMYFUNCTION("""COMPUTED_VALUE"""),"https://drive.google.com/file/d/1wa98BO2BUehuWs0iQWN9L8jIDl3373Pw/view?usp=drivesdk")</f>
        <v>https://drive.google.com/file/d/1wa98BO2BUehuWs0iQWN9L8jIDl3373Pw/view?usp=drivesdk</v>
      </c>
    </row>
    <row r="298">
      <c r="A298" s="3">
        <f>IFERROR(__xludf.DUMMYFUNCTION("""COMPUTED_VALUE"""),1106.0)</f>
        <v>1106</v>
      </c>
      <c r="B298" s="11">
        <f>IFERROR(__xludf.DUMMYFUNCTION("""COMPUTED_VALUE"""),45993.578411435185)</f>
        <v>45993.57841</v>
      </c>
      <c r="C298" s="3" t="str">
        <f>IFERROR(__xludf.DUMMYFUNCTION("""COMPUTED_VALUE"""),"ชั้นปีที่ 3")</f>
        <v>ชั้นปีที่ 3</v>
      </c>
      <c r="D298" s="3" t="str">
        <f>IFERROR(__xludf.DUMMYFUNCTION("""COMPUTED_VALUE"""),"6603812")</f>
        <v>6603812</v>
      </c>
      <c r="E298" s="3" t="str">
        <f>IFERROR(__xludf.DUMMYFUNCTION("""COMPUTED_VALUE"""),"58")</f>
        <v>58</v>
      </c>
      <c r="F298" s="3" t="str">
        <f>IFERROR(__xludf.DUMMYFUNCTION("""COMPUTED_VALUE"""),"หัสฐากร หงษ์สุวรรณ")</f>
        <v>หัสฐากร หงษ์สุวรรณ</v>
      </c>
      <c r="G298" s="3" t="str">
        <f>IFERROR(__xludf.DUMMYFUNCTION("""COMPUTED_VALUE"""),"ช่วยเหลืองานภายใน วพอ.")</f>
        <v>ช่วยเหลืองานภายใน วพอ.</v>
      </c>
      <c r="H298" s="3" t="str">
        <f>IFERROR(__xludf.DUMMYFUNCTION("""COMPUTED_VALUE"""),"ทัพฟ้า")</f>
        <v>ทัพฟ้า</v>
      </c>
      <c r="I298" s="3" t="str">
        <f>IFERROR(__xludf.DUMMYFUNCTION("""COMPUTED_VALUE"""),"ศูนย์วัฒนธรรม")</f>
        <v>ศูนย์วัฒนธรรม</v>
      </c>
      <c r="J298" s="12">
        <f>IFERROR(__xludf.DUMMYFUNCTION("""COMPUTED_VALUE"""),45838.0)</f>
        <v>45838</v>
      </c>
      <c r="K298" s="3" t="str">
        <f>IFERROR(__xludf.DUMMYFUNCTION("""COMPUTED_VALUE"""),"0800-2200")</f>
        <v>0800-2200</v>
      </c>
      <c r="L298" s="3">
        <f>IFERROR(__xludf.DUMMYFUNCTION("""COMPUTED_VALUE"""),8.0)</f>
        <v>8</v>
      </c>
      <c r="M298" s="3" t="str">
        <f>IFERROR(__xludf.DUMMYFUNCTION("""COMPUTED_VALUE"""),"ร.อ.อนุชิต ทำจะดี")</f>
        <v>ร.อ.อนุชิต ทำจะดี</v>
      </c>
      <c r="N298" s="14" t="str">
        <f>IFERROR(__xludf.DUMMYFUNCTION("""COMPUTED_VALUE"""),"https://lh5.googleusercontent.com/d/1MDsWq-_QNME0f6hVfyz26ghTPJLuWgs5")</f>
        <v>https://lh5.googleusercontent.com/d/1MDsWq-_QNME0f6hVfyz26ghTPJLuWgs5</v>
      </c>
      <c r="O298" s="14" t="str">
        <f>IFERROR(__xludf.DUMMYFUNCTION("""COMPUTED_VALUE"""),"https://drive.google.com/file/d/1QJWjHyDVdgAHLoN0tovGBY47waVQmX3p/view?usp=drivesdk")</f>
        <v>https://drive.google.com/file/d/1QJWjHyDVdgAHLoN0tovGBY47waVQmX3p/view?usp=drivesdk</v>
      </c>
    </row>
    <row r="299">
      <c r="A299" s="3">
        <f>IFERROR(__xludf.DUMMYFUNCTION("""COMPUTED_VALUE"""),1107.0)</f>
        <v>1107</v>
      </c>
      <c r="B299" s="11">
        <f>IFERROR(__xludf.DUMMYFUNCTION("""COMPUTED_VALUE"""),45993.58018990741)</f>
        <v>45993.58019</v>
      </c>
      <c r="C299" s="3" t="str">
        <f>IFERROR(__xludf.DUMMYFUNCTION("""COMPUTED_VALUE"""),"ชั้นปีที่ 3")</f>
        <v>ชั้นปีที่ 3</v>
      </c>
      <c r="D299" s="3" t="str">
        <f>IFERROR(__xludf.DUMMYFUNCTION("""COMPUTED_VALUE"""),"6603813")</f>
        <v>6603813</v>
      </c>
      <c r="E299" s="3" t="str">
        <f>IFERROR(__xludf.DUMMYFUNCTION("""COMPUTED_VALUE"""),"58")</f>
        <v>58</v>
      </c>
      <c r="F299" s="3" t="str">
        <f>IFERROR(__xludf.DUMMYFUNCTION("""COMPUTED_VALUE"""),"หัสฐากร หงษ์สุวรรณ")</f>
        <v>หัสฐากร หงษ์สุวรรณ</v>
      </c>
      <c r="G299" s="3" t="str">
        <f>IFERROR(__xludf.DUMMYFUNCTION("""COMPUTED_VALUE"""),"ช่วยเหลืองานภายใน วพอ.")</f>
        <v>ช่วยเหลืองานภายใน วพอ.</v>
      </c>
      <c r="H299" s="3" t="str">
        <f>IFERROR(__xludf.DUMMYFUNCTION("""COMPUTED_VALUE"""),"ทัพฟ้า")</f>
        <v>ทัพฟ้า</v>
      </c>
      <c r="I299" s="3" t="str">
        <f>IFERROR(__xludf.DUMMYFUNCTION("""COMPUTED_VALUE"""),"ศูนย์วัฒนธรรม")</f>
        <v>ศูนย์วัฒนธรรม</v>
      </c>
      <c r="J299" s="12">
        <f>IFERROR(__xludf.DUMMYFUNCTION("""COMPUTED_VALUE"""),45839.0)</f>
        <v>45839</v>
      </c>
      <c r="K299" s="3" t="str">
        <f>IFERROR(__xludf.DUMMYFUNCTION("""COMPUTED_VALUE"""),"0800-2200")</f>
        <v>0800-2200</v>
      </c>
      <c r="L299" s="3">
        <f>IFERROR(__xludf.DUMMYFUNCTION("""COMPUTED_VALUE"""),8.0)</f>
        <v>8</v>
      </c>
      <c r="M299" s="3" t="str">
        <f>IFERROR(__xludf.DUMMYFUNCTION("""COMPUTED_VALUE"""),"ร.อ.อนุชิต ทำจะดี")</f>
        <v>ร.อ.อนุชิต ทำจะดี</v>
      </c>
      <c r="N299" s="14" t="str">
        <f>IFERROR(__xludf.DUMMYFUNCTION("""COMPUTED_VALUE"""),"https://lh5.googleusercontent.com/d/1Dx7TVZUzKVFoZBpD0KH-cdlVn1Qi8bMV")</f>
        <v>https://lh5.googleusercontent.com/d/1Dx7TVZUzKVFoZBpD0KH-cdlVn1Qi8bMV</v>
      </c>
      <c r="O299" s="3"/>
    </row>
    <row r="300">
      <c r="A300" s="3">
        <f>IFERROR(__xludf.DUMMYFUNCTION("""COMPUTED_VALUE"""),1108.0)</f>
        <v>1108</v>
      </c>
      <c r="B300" s="11">
        <f>IFERROR(__xludf.DUMMYFUNCTION("""COMPUTED_VALUE"""),45993.58022041667)</f>
        <v>45993.58022</v>
      </c>
      <c r="C300" s="3" t="str">
        <f>IFERROR(__xludf.DUMMYFUNCTION("""COMPUTED_VALUE"""),"ชั้นปีที่ 3")</f>
        <v>ชั้นปีที่ 3</v>
      </c>
      <c r="D300" s="3" t="str">
        <f>IFERROR(__xludf.DUMMYFUNCTION("""COMPUTED_VALUE"""),"6603813")</f>
        <v>6603813</v>
      </c>
      <c r="E300" s="3" t="str">
        <f>IFERROR(__xludf.DUMMYFUNCTION("""COMPUTED_VALUE"""),"58")</f>
        <v>58</v>
      </c>
      <c r="F300" s="3" t="str">
        <f>IFERROR(__xludf.DUMMYFUNCTION("""COMPUTED_VALUE"""),"หัสฐากร หงษ์สุวรรณ")</f>
        <v>หัสฐากร หงษ์สุวรรณ</v>
      </c>
      <c r="G300" s="3" t="str">
        <f>IFERROR(__xludf.DUMMYFUNCTION("""COMPUTED_VALUE"""),"ช่วยเหลืองานภายใน วพอ.")</f>
        <v>ช่วยเหลืองานภายใน วพอ.</v>
      </c>
      <c r="H300" s="3" t="str">
        <f>IFERROR(__xludf.DUMMYFUNCTION("""COMPUTED_VALUE"""),"ทัพฟ้า")</f>
        <v>ทัพฟ้า</v>
      </c>
      <c r="I300" s="3" t="str">
        <f>IFERROR(__xludf.DUMMYFUNCTION("""COMPUTED_VALUE"""),"ศูนย์วัฒนธรรม")</f>
        <v>ศูนย์วัฒนธรรม</v>
      </c>
      <c r="J300" s="12">
        <f>IFERROR(__xludf.DUMMYFUNCTION("""COMPUTED_VALUE"""),45839.0)</f>
        <v>45839</v>
      </c>
      <c r="K300" s="3" t="str">
        <f>IFERROR(__xludf.DUMMYFUNCTION("""COMPUTED_VALUE"""),"0800-2200")</f>
        <v>0800-2200</v>
      </c>
      <c r="L300" s="3">
        <f>IFERROR(__xludf.DUMMYFUNCTION("""COMPUTED_VALUE"""),8.0)</f>
        <v>8</v>
      </c>
      <c r="M300" s="3" t="str">
        <f>IFERROR(__xludf.DUMMYFUNCTION("""COMPUTED_VALUE"""),"ร.อ.อนุชิต ทำจะดี")</f>
        <v>ร.อ.อนุชิต ทำจะดี</v>
      </c>
      <c r="N300" s="14" t="str">
        <f>IFERROR(__xludf.DUMMYFUNCTION("""COMPUTED_VALUE"""),"https://lh5.googleusercontent.com/d/1N7zEHogITp1hBnR6MI-uQA5tSSAeOeOq")</f>
        <v>https://lh5.googleusercontent.com/d/1N7zEHogITp1hBnR6MI-uQA5tSSAeOeOq</v>
      </c>
      <c r="O300" s="14" t="str">
        <f>IFERROR(__xludf.DUMMYFUNCTION("""COMPUTED_VALUE"""),"https://drive.google.com/file/d/1ZKSTa1v7PUlzKP1JNTS9UpqQ5Qk9bTl2/view?usp=drivesdk")</f>
        <v>https://drive.google.com/file/d/1ZKSTa1v7PUlzKP1JNTS9UpqQ5Qk9bTl2/view?usp=drivesdk</v>
      </c>
    </row>
    <row r="301">
      <c r="A301" s="3">
        <f>IFERROR(__xludf.DUMMYFUNCTION("""COMPUTED_VALUE"""),1109.0)</f>
        <v>1109</v>
      </c>
      <c r="B301" s="11">
        <f>IFERROR(__xludf.DUMMYFUNCTION("""COMPUTED_VALUE"""),45993.581279618054)</f>
        <v>45993.58128</v>
      </c>
      <c r="C301" s="3" t="str">
        <f>IFERROR(__xludf.DUMMYFUNCTION("""COMPUTED_VALUE"""),"ชั้นปีที่ 3")</f>
        <v>ชั้นปีที่ 3</v>
      </c>
      <c r="D301" s="3" t="str">
        <f>IFERROR(__xludf.DUMMYFUNCTION("""COMPUTED_VALUE"""),"6603762")</f>
        <v>6603762</v>
      </c>
      <c r="E301" s="3" t="str">
        <f>IFERROR(__xludf.DUMMYFUNCTION("""COMPUTED_VALUE"""),"9")</f>
        <v>9</v>
      </c>
      <c r="F301" s="3" t="str">
        <f>IFERROR(__xludf.DUMMYFUNCTION("""COMPUTED_VALUE"""),"นพอ.ชฎาภา บุตรวงษ์")</f>
        <v>นพอ.ชฎาภา บุตรวงษ์</v>
      </c>
      <c r="G30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1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0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1" s="12">
        <f>IFERROR(__xludf.DUMMYFUNCTION("""COMPUTED_VALUE"""),45840.0)</f>
        <v>45840</v>
      </c>
      <c r="K301" s="3" t="str">
        <f>IFERROR(__xludf.DUMMYFUNCTION("""COMPUTED_VALUE"""),"1400-2200")</f>
        <v>1400-2200</v>
      </c>
      <c r="L301" s="3">
        <f>IFERROR(__xludf.DUMMYFUNCTION("""COMPUTED_VALUE"""),8.0)</f>
        <v>8</v>
      </c>
      <c r="M301" s="3" t="str">
        <f>IFERROR(__xludf.DUMMYFUNCTION("""COMPUTED_VALUE"""),"ร.อ.อนุชิต ทำจะดี")</f>
        <v>ร.อ.อนุชิต ทำจะดี</v>
      </c>
      <c r="N301" s="14" t="str">
        <f>IFERROR(__xludf.DUMMYFUNCTION("""COMPUTED_VALUE"""),"https://lh5.googleusercontent.com/d/1OUzmuXxU2G2bkx9ItItXtRINzzlLbMhX")</f>
        <v>https://lh5.googleusercontent.com/d/1OUzmuXxU2G2bkx9ItItXtRINzzlLbMhX</v>
      </c>
      <c r="O301" s="14" t="str">
        <f>IFERROR(__xludf.DUMMYFUNCTION("""COMPUTED_VALUE"""),"https://drive.google.com/file/d/1BseONDlyE3hRCYWG5dlt5Fa7DlqnY04X/view?usp=drivesdk")</f>
        <v>https://drive.google.com/file/d/1BseONDlyE3hRCYWG5dlt5Fa7DlqnY04X/view?usp=drivesdk</v>
      </c>
    </row>
    <row r="302">
      <c r="A302" s="3">
        <f>IFERROR(__xludf.DUMMYFUNCTION("""COMPUTED_VALUE"""),1160.0)</f>
        <v>1160</v>
      </c>
      <c r="B302" s="11">
        <f>IFERROR(__xludf.DUMMYFUNCTION("""COMPUTED_VALUE"""),45994.86219465277)</f>
        <v>45994.86219</v>
      </c>
      <c r="C302" s="3" t="str">
        <f>IFERROR(__xludf.DUMMYFUNCTION("""COMPUTED_VALUE"""),"ชั้นปีที่ 3")</f>
        <v>ชั้นปีที่ 3</v>
      </c>
      <c r="D302" s="3" t="str">
        <f>IFERROR(__xludf.DUMMYFUNCTION("""COMPUTED_VALUE"""),"6603771")</f>
        <v>6603771</v>
      </c>
      <c r="E302" s="3" t="str">
        <f>IFERROR(__xludf.DUMMYFUNCTION("""COMPUTED_VALUE"""),"18")</f>
        <v>18</v>
      </c>
      <c r="F302" s="3" t="str">
        <f>IFERROR(__xludf.DUMMYFUNCTION("""COMPUTED_VALUE"""),"นพอ.ทวิกา สอิ้งแก้ว")</f>
        <v>นพอ.ทวิกา สอิ้งแก้ว</v>
      </c>
      <c r="G30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2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0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2" s="12">
        <f>IFERROR(__xludf.DUMMYFUNCTION("""COMPUTED_VALUE"""),45838.0)</f>
        <v>45838</v>
      </c>
      <c r="K302" s="3" t="str">
        <f>IFERROR(__xludf.DUMMYFUNCTION("""COMPUTED_VALUE"""),"1400-2200")</f>
        <v>1400-2200</v>
      </c>
      <c r="L302" s="3">
        <f>IFERROR(__xludf.DUMMYFUNCTION("""COMPUTED_VALUE"""),8.0)</f>
        <v>8</v>
      </c>
      <c r="M302" s="3" t="str">
        <f>IFERROR(__xludf.DUMMYFUNCTION("""COMPUTED_VALUE"""),"ร.อ.อนุชิต ทำจะดี")</f>
        <v>ร.อ.อนุชิต ทำจะดี</v>
      </c>
      <c r="N302" s="14" t="str">
        <f>IFERROR(__xludf.DUMMYFUNCTION("""COMPUTED_VALUE"""),"https://lh5.googleusercontent.com/d/1eAKLiJW0-U68kmVTY76sA043p5qbTdZg")</f>
        <v>https://lh5.googleusercontent.com/d/1eAKLiJW0-U68kmVTY76sA043p5qbTdZg</v>
      </c>
      <c r="O302" s="14" t="str">
        <f>IFERROR(__xludf.DUMMYFUNCTION("""COMPUTED_VALUE"""),"https://drive.google.com/file/d/1DnWFkVsj9pliuMRXFE1uLiLB671kVfVQ/view?usp=drivesdk")</f>
        <v>https://drive.google.com/file/d/1DnWFkVsj9pliuMRXFE1uLiLB671kVfVQ/view?usp=drivesdk</v>
      </c>
    </row>
    <row r="303">
      <c r="A303" s="3">
        <f>IFERROR(__xludf.DUMMYFUNCTION("""COMPUTED_VALUE"""),1161.0)</f>
        <v>1161</v>
      </c>
      <c r="B303" s="11">
        <f>IFERROR(__xludf.DUMMYFUNCTION("""COMPUTED_VALUE"""),45994.867511412034)</f>
        <v>45994.86751</v>
      </c>
      <c r="C303" s="3" t="str">
        <f>IFERROR(__xludf.DUMMYFUNCTION("""COMPUTED_VALUE"""),"ชั้นปีที่ 3")</f>
        <v>ชั้นปีที่ 3</v>
      </c>
      <c r="D303" s="3" t="str">
        <f>IFERROR(__xludf.DUMMYFUNCTION("""COMPUTED_VALUE"""),"6603771")</f>
        <v>6603771</v>
      </c>
      <c r="E303" s="3" t="str">
        <f>IFERROR(__xludf.DUMMYFUNCTION("""COMPUTED_VALUE"""),"18")</f>
        <v>18</v>
      </c>
      <c r="F303" s="3" t="str">
        <f>IFERROR(__xludf.DUMMYFUNCTION("""COMPUTED_VALUE"""),"นพอ.ทวิกา สอิ้งแก้ว")</f>
        <v>นพอ.ทวิกา สอิ้งแก้ว</v>
      </c>
      <c r="G30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3" s="3" t="str">
        <f>IFERROR(__xludf.DUMMYFUNCTION("""COMPUTED_VALUE"""),"คอนเสิร์ตทัพฟ้าคู่ไทยเพื่อ “ชัยพัฒนา”ครั้งที่ 16")</f>
        <v>คอนเสิร์ตทัพฟ้าคู่ไทยเพื่อ “ชัยพัฒนา”ครั้งที่ 16</v>
      </c>
      <c r="I30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3" s="12">
        <f>IFERROR(__xludf.DUMMYFUNCTION("""COMPUTED_VALUE"""),45839.0)</f>
        <v>45839</v>
      </c>
      <c r="K303" s="3" t="str">
        <f>IFERROR(__xludf.DUMMYFUNCTION("""COMPUTED_VALUE"""),"1400-2200")</f>
        <v>1400-2200</v>
      </c>
      <c r="L303" s="3">
        <f>IFERROR(__xludf.DUMMYFUNCTION("""COMPUTED_VALUE"""),8.0)</f>
        <v>8</v>
      </c>
      <c r="M303" s="3" t="str">
        <f>IFERROR(__xludf.DUMMYFUNCTION("""COMPUTED_VALUE"""),"ร.อ.อนุชิต ทำจะดี")</f>
        <v>ร.อ.อนุชิต ทำจะดี</v>
      </c>
      <c r="N303" s="14" t="str">
        <f>IFERROR(__xludf.DUMMYFUNCTION("""COMPUTED_VALUE"""),"https://lh5.googleusercontent.com/d/1YXZQg4WV7-dlOkeUky6FwKk01ouVekQq")</f>
        <v>https://lh5.googleusercontent.com/d/1YXZQg4WV7-dlOkeUky6FwKk01ouVekQq</v>
      </c>
      <c r="O303" s="14" t="str">
        <f>IFERROR(__xludf.DUMMYFUNCTION("""COMPUTED_VALUE"""),"https://drive.google.com/file/d/1t2fwb1tLWC7ONs4jRaiM4Bo_rR3RKfih/view?usp=drivesdk")</f>
        <v>https://drive.google.com/file/d/1t2fwb1tLWC7ONs4jRaiM4Bo_rR3RKfih/view?usp=drivesdk</v>
      </c>
    </row>
    <row r="304">
      <c r="A304" s="3">
        <f>IFERROR(__xludf.DUMMYFUNCTION("""COMPUTED_VALUE"""),1162.0)</f>
        <v>1162</v>
      </c>
      <c r="B304" s="11">
        <f>IFERROR(__xludf.DUMMYFUNCTION("""COMPUTED_VALUE"""),45994.87404304398)</f>
        <v>45994.87404</v>
      </c>
      <c r="C304" s="3" t="str">
        <f>IFERROR(__xludf.DUMMYFUNCTION("""COMPUTED_VALUE"""),"ชั้นปีที่ 3")</f>
        <v>ชั้นปีที่ 3</v>
      </c>
      <c r="D304" s="3" t="str">
        <f>IFERROR(__xludf.DUMMYFUNCTION("""COMPUTED_VALUE"""),"6603771")</f>
        <v>6603771</v>
      </c>
      <c r="E304" s="3" t="str">
        <f>IFERROR(__xludf.DUMMYFUNCTION("""COMPUTED_VALUE"""),"18")</f>
        <v>18</v>
      </c>
      <c r="F304" s="3" t="str">
        <f>IFERROR(__xludf.DUMMYFUNCTION("""COMPUTED_VALUE"""),"นพอ.ทวิกา สอิ้งแก้ว")</f>
        <v>นพอ.ทวิกา สอิ้งแก้ว</v>
      </c>
      <c r="G30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4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0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4" s="12">
        <f>IFERROR(__xludf.DUMMYFUNCTION("""COMPUTED_VALUE"""),45840.0)</f>
        <v>45840</v>
      </c>
      <c r="K304" s="3" t="str">
        <f>IFERROR(__xludf.DUMMYFUNCTION("""COMPUTED_VALUE"""),"1400-2200")</f>
        <v>1400-2200</v>
      </c>
      <c r="L304" s="3">
        <f>IFERROR(__xludf.DUMMYFUNCTION("""COMPUTED_VALUE"""),8.0)</f>
        <v>8</v>
      </c>
      <c r="M304" s="3" t="str">
        <f>IFERROR(__xludf.DUMMYFUNCTION("""COMPUTED_VALUE"""),"ร.อ.อนุชิต ทำจะดี")</f>
        <v>ร.อ.อนุชิต ทำจะดี</v>
      </c>
      <c r="N304" s="14" t="str">
        <f>IFERROR(__xludf.DUMMYFUNCTION("""COMPUTED_VALUE"""),"https://lh5.googleusercontent.com/d/1kDM1yRU6nwwwEre1N3MKvcs_1WKLu5Sj")</f>
        <v>https://lh5.googleusercontent.com/d/1kDM1yRU6nwwwEre1N3MKvcs_1WKLu5Sj</v>
      </c>
      <c r="O304" s="14" t="str">
        <f>IFERROR(__xludf.DUMMYFUNCTION("""COMPUTED_VALUE"""),"https://drive.google.com/file/d/1YoRLrrpYyWetopheQ1mhV5tsgDxS_1vh/view?usp=drivesdk")</f>
        <v>https://drive.google.com/file/d/1YoRLrrpYyWetopheQ1mhV5tsgDxS_1vh/view?usp=drivesdk</v>
      </c>
    </row>
    <row r="305">
      <c r="A305" s="3">
        <f>IFERROR(__xludf.DUMMYFUNCTION("""COMPUTED_VALUE"""),1163.0)</f>
        <v>1163</v>
      </c>
      <c r="B305" s="11">
        <f>IFERROR(__xludf.DUMMYFUNCTION("""COMPUTED_VALUE"""),45994.90385043982)</f>
        <v>45994.90385</v>
      </c>
      <c r="C305" s="3" t="str">
        <f>IFERROR(__xludf.DUMMYFUNCTION("""COMPUTED_VALUE"""),"ชั้นปีที่ 3")</f>
        <v>ชั้นปีที่ 3</v>
      </c>
      <c r="D305" s="3" t="str">
        <f>IFERROR(__xludf.DUMMYFUNCTION("""COMPUTED_VALUE"""),"6603771")</f>
        <v>6603771</v>
      </c>
      <c r="E305" s="3" t="str">
        <f>IFERROR(__xludf.DUMMYFUNCTION("""COMPUTED_VALUE"""),"18")</f>
        <v>18</v>
      </c>
      <c r="F305" s="3" t="str">
        <f>IFERROR(__xludf.DUMMYFUNCTION("""COMPUTED_VALUE"""),"นพอ.ทวิกา สอิ้งแก้ว")</f>
        <v>นพอ.ทวิกา สอิ้งแก้ว</v>
      </c>
      <c r="G30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5" s="3" t="str">
        <f>IFERROR(__xludf.DUMMYFUNCTION("""COMPUTED_VALUE"""),"สัมมนาการเรียนรู้นายกสโมสรโรทาแรคท์รับเลือก ภาค 3350 โรตารีสากล ปี 2568-69")</f>
        <v>สัมมนาการเรียนรู้นายกสโมสรโรทาแรคท์รับเลือก ภาค 3350 โรตารีสากล ปี 2568-69</v>
      </c>
      <c r="I305" s="3" t="str">
        <f>IFERROR(__xludf.DUMMYFUNCTION("""COMPUTED_VALUE"""),"ณ โรงแรมภูเขางามรีสอร์ท จังหวัดนครนายก")</f>
        <v>ณ โรงแรมภูเขางามรีสอร์ท จังหวัดนครนายก</v>
      </c>
      <c r="J305" s="12">
        <f>IFERROR(__xludf.DUMMYFUNCTION("""COMPUTED_VALUE"""),45829.0)</f>
        <v>45829</v>
      </c>
      <c r="K305" s="3" t="str">
        <f>IFERROR(__xludf.DUMMYFUNCTION("""COMPUTED_VALUE"""),"0800-1200")</f>
        <v>0800-1200</v>
      </c>
      <c r="L305" s="3">
        <f>IFERROR(__xludf.DUMMYFUNCTION("""COMPUTED_VALUE"""),4.0)</f>
        <v>4</v>
      </c>
      <c r="M305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5" s="14" t="str">
        <f>IFERROR(__xludf.DUMMYFUNCTION("""COMPUTED_VALUE"""),"https://lh5.googleusercontent.com/d/1KrapvcgmThCp8UEbD00uKXcOUVtLevUl")</f>
        <v>https://lh5.googleusercontent.com/d/1KrapvcgmThCp8UEbD00uKXcOUVtLevUl</v>
      </c>
      <c r="O305" s="14" t="str">
        <f>IFERROR(__xludf.DUMMYFUNCTION("""COMPUTED_VALUE"""),"https://drive.google.com/file/d/1FEUXp_pr9idWXRNCw3NoLZE8rThfsGZk/view?usp=drivesdk")</f>
        <v>https://drive.google.com/file/d/1FEUXp_pr9idWXRNCw3NoLZE8rThfsGZk/view?usp=drivesdk</v>
      </c>
    </row>
    <row r="306">
      <c r="A306" s="3">
        <f>IFERROR(__xludf.DUMMYFUNCTION("""COMPUTED_VALUE"""),1164.0)</f>
        <v>1164</v>
      </c>
      <c r="B306" s="11">
        <f>IFERROR(__xludf.DUMMYFUNCTION("""COMPUTED_VALUE"""),45994.90926849537)</f>
        <v>45994.90927</v>
      </c>
      <c r="C306" s="3" t="str">
        <f>IFERROR(__xludf.DUMMYFUNCTION("""COMPUTED_VALUE"""),"ชั้นปีที่ 3")</f>
        <v>ชั้นปีที่ 3</v>
      </c>
      <c r="D306" s="3" t="str">
        <f>IFERROR(__xludf.DUMMYFUNCTION("""COMPUTED_VALUE"""),"6603771")</f>
        <v>6603771</v>
      </c>
      <c r="E306" s="3" t="str">
        <f>IFERROR(__xludf.DUMMYFUNCTION("""COMPUTED_VALUE"""),"18")</f>
        <v>18</v>
      </c>
      <c r="F306" s="3" t="str">
        <f>IFERROR(__xludf.DUMMYFUNCTION("""COMPUTED_VALUE"""),"นพอ.ทวิกา สอิ้งแก้ว")</f>
        <v>นพอ.ทวิกา สอิ้งแก้ว</v>
      </c>
      <c r="G30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6" s="3" t="str">
        <f>IFERROR(__xludf.DUMMYFUNCTION("""COMPUTED_VALUE"""),"สัมมนาการเรียนรู้นายกสโมสรโรทาแรคท์รับเลือก ภาค 3350 โรตารีสากล ปี 2568-69")</f>
        <v>สัมมนาการเรียนรู้นายกสโมสรโรทาแรคท์รับเลือก ภาค 3350 โรตารีสากล ปี 2568-69</v>
      </c>
      <c r="I306" s="3" t="str">
        <f>IFERROR(__xludf.DUMMYFUNCTION("""COMPUTED_VALUE"""),"โรงแรมภูเขางามรีสอร์ท จังหวัดนครนายก")</f>
        <v>โรงแรมภูเขางามรีสอร์ท จังหวัดนครนายก</v>
      </c>
      <c r="J306" s="12">
        <f>IFERROR(__xludf.DUMMYFUNCTION("""COMPUTED_VALUE"""),45830.0)</f>
        <v>45830</v>
      </c>
      <c r="K306" s="3" t="str">
        <f>IFERROR(__xludf.DUMMYFUNCTION("""COMPUTED_VALUE"""),"1200-1600")</f>
        <v>1200-1600</v>
      </c>
      <c r="L306" s="3">
        <f>IFERROR(__xludf.DUMMYFUNCTION("""COMPUTED_VALUE"""),4.0)</f>
        <v>4</v>
      </c>
      <c r="M306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6" s="14" t="str">
        <f>IFERROR(__xludf.DUMMYFUNCTION("""COMPUTED_VALUE"""),"https://lh5.googleusercontent.com/d/1IYkAqyOwER98xK5xOhQi7EK6Hqg3XBTC")</f>
        <v>https://lh5.googleusercontent.com/d/1IYkAqyOwER98xK5xOhQi7EK6Hqg3XBTC</v>
      </c>
      <c r="O306" s="14" t="str">
        <f>IFERROR(__xludf.DUMMYFUNCTION("""COMPUTED_VALUE"""),"https://drive.google.com/file/d/133HRvDNcDcTAljb-yQfgZjR__yn2028l/view?usp=drivesdk")</f>
        <v>https://drive.google.com/file/d/133HRvDNcDcTAljb-yQfgZjR__yn2028l/view?usp=drivesdk</v>
      </c>
    </row>
    <row r="307">
      <c r="A307" s="3">
        <f>IFERROR(__xludf.DUMMYFUNCTION("""COMPUTED_VALUE"""),1165.0)</f>
        <v>1165</v>
      </c>
      <c r="B307" s="11">
        <f>IFERROR(__xludf.DUMMYFUNCTION("""COMPUTED_VALUE"""),45994.91340391203)</f>
        <v>45994.9134</v>
      </c>
      <c r="C307" s="3" t="str">
        <f>IFERROR(__xludf.DUMMYFUNCTION("""COMPUTED_VALUE"""),"ชั้นปีที่ 3")</f>
        <v>ชั้นปีที่ 3</v>
      </c>
      <c r="D307" s="3" t="str">
        <f>IFERROR(__xludf.DUMMYFUNCTION("""COMPUTED_VALUE"""),"6603771")</f>
        <v>6603771</v>
      </c>
      <c r="E307" s="3" t="str">
        <f>IFERROR(__xludf.DUMMYFUNCTION("""COMPUTED_VALUE"""),"18")</f>
        <v>18</v>
      </c>
      <c r="F307" s="3" t="str">
        <f>IFERROR(__xludf.DUMMYFUNCTION("""COMPUTED_VALUE"""),"นพอ.ทวิกา สอิ้งแก้ว")</f>
        <v>นพอ.ทวิกา สอิ้งแก้ว</v>
      </c>
      <c r="G3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7" s="3" t="str">
        <f>IFERROR(__xludf.DUMMYFUNCTION("""COMPUTED_VALUE"""),"ค่ายเยาวชนพัฒนา")</f>
        <v>ค่ายเยาวชนพัฒนา</v>
      </c>
      <c r="I307" s="3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307" s="12">
        <f>IFERROR(__xludf.DUMMYFUNCTION("""COMPUTED_VALUE"""),45884.0)</f>
        <v>45884</v>
      </c>
      <c r="K307" s="3" t="str">
        <f>IFERROR(__xludf.DUMMYFUNCTION("""COMPUTED_VALUE"""),"1700-2100")</f>
        <v>1700-2100</v>
      </c>
      <c r="L307" s="3">
        <f>IFERROR(__xludf.DUMMYFUNCTION("""COMPUTED_VALUE"""),4.0)</f>
        <v>4</v>
      </c>
      <c r="M307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7" s="14" t="str">
        <f>IFERROR(__xludf.DUMMYFUNCTION("""COMPUTED_VALUE"""),"https://lh5.googleusercontent.com/d/13wbWam-tPOVUF7zxmoI1oIa6HVeMSWrg")</f>
        <v>https://lh5.googleusercontent.com/d/13wbWam-tPOVUF7zxmoI1oIa6HVeMSWrg</v>
      </c>
      <c r="O307" s="14" t="str">
        <f>IFERROR(__xludf.DUMMYFUNCTION("""COMPUTED_VALUE"""),"https://drive.google.com/file/d/15xq45KTDoIeGkN-VGWIdhMcqntPld9-w/view?usp=drivesdk")</f>
        <v>https://drive.google.com/file/d/15xq45KTDoIeGkN-VGWIdhMcqntPld9-w/view?usp=drivesdk</v>
      </c>
    </row>
    <row r="308">
      <c r="A308" s="3">
        <f>IFERROR(__xludf.DUMMYFUNCTION("""COMPUTED_VALUE"""),1166.0)</f>
        <v>1166</v>
      </c>
      <c r="B308" s="11">
        <f>IFERROR(__xludf.DUMMYFUNCTION("""COMPUTED_VALUE"""),45994.91639759259)</f>
        <v>45994.9164</v>
      </c>
      <c r="C308" s="3" t="str">
        <f>IFERROR(__xludf.DUMMYFUNCTION("""COMPUTED_VALUE"""),"ชั้นปีที่ 3")</f>
        <v>ชั้นปีที่ 3</v>
      </c>
      <c r="D308" s="3" t="str">
        <f>IFERROR(__xludf.DUMMYFUNCTION("""COMPUTED_VALUE"""),"6603771")</f>
        <v>6603771</v>
      </c>
      <c r="E308" s="3" t="str">
        <f>IFERROR(__xludf.DUMMYFUNCTION("""COMPUTED_VALUE"""),"18")</f>
        <v>18</v>
      </c>
      <c r="F308" s="3" t="str">
        <f>IFERROR(__xludf.DUMMYFUNCTION("""COMPUTED_VALUE"""),"นพอ.ทวิกา สอิ้งแก้ว")</f>
        <v>นพอ.ทวิกา สอิ้งแก้ว</v>
      </c>
      <c r="G30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8" s="3" t="str">
        <f>IFERROR(__xludf.DUMMYFUNCTION("""COMPUTED_VALUE"""),"ค่ายเยาวชนพัฒนา")</f>
        <v>ค่ายเยาวชนพัฒนา</v>
      </c>
      <c r="I308" s="3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308" s="12">
        <f>IFERROR(__xludf.DUMMYFUNCTION("""COMPUTED_VALUE"""),45884.0)</f>
        <v>45884</v>
      </c>
      <c r="K308" s="3" t="str">
        <f>IFERROR(__xludf.DUMMYFUNCTION("""COMPUTED_VALUE"""),"0800-1600")</f>
        <v>0800-1600</v>
      </c>
      <c r="L308" s="3">
        <f>IFERROR(__xludf.DUMMYFUNCTION("""COMPUTED_VALUE"""),8.0)</f>
        <v>8</v>
      </c>
      <c r="M308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8" s="14" t="str">
        <f>IFERROR(__xludf.DUMMYFUNCTION("""COMPUTED_VALUE"""),"https://lh5.googleusercontent.com/d/105fxaWzjSA8lnIuwBZhvDpVFMY9aBmFs")</f>
        <v>https://lh5.googleusercontent.com/d/105fxaWzjSA8lnIuwBZhvDpVFMY9aBmFs</v>
      </c>
      <c r="O308" s="14" t="str">
        <f>IFERROR(__xludf.DUMMYFUNCTION("""COMPUTED_VALUE"""),"https://drive.google.com/file/d/1F4JFqXJOxuR5juwCGGEQuiBcYbg9W97d/view?usp=drivesdk")</f>
        <v>https://drive.google.com/file/d/1F4JFqXJOxuR5juwCGGEQuiBcYbg9W97d/view?usp=drivesdk</v>
      </c>
    </row>
    <row r="309">
      <c r="A309" s="3">
        <f>IFERROR(__xludf.DUMMYFUNCTION("""COMPUTED_VALUE"""),1167.0)</f>
        <v>1167</v>
      </c>
      <c r="B309" s="11">
        <f>IFERROR(__xludf.DUMMYFUNCTION("""COMPUTED_VALUE"""),45994.92057896991)</f>
        <v>45994.92058</v>
      </c>
      <c r="C309" s="3" t="str">
        <f>IFERROR(__xludf.DUMMYFUNCTION("""COMPUTED_VALUE"""),"ชั้นปีที่ 3")</f>
        <v>ชั้นปีที่ 3</v>
      </c>
      <c r="D309" s="3" t="str">
        <f>IFERROR(__xludf.DUMMYFUNCTION("""COMPUTED_VALUE"""),"6603771")</f>
        <v>6603771</v>
      </c>
      <c r="E309" s="3" t="str">
        <f>IFERROR(__xludf.DUMMYFUNCTION("""COMPUTED_VALUE"""),"18")</f>
        <v>18</v>
      </c>
      <c r="F309" s="3" t="str">
        <f>IFERROR(__xludf.DUMMYFUNCTION("""COMPUTED_VALUE"""),"นพอ.ทวิกา สอิ้งแก้ว")</f>
        <v>นพอ.ทวิกา สอิ้งแก้ว</v>
      </c>
      <c r="G30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9" s="3" t="str">
        <f>IFERROR(__xludf.DUMMYFUNCTION("""COMPUTED_VALUE"""),"ค่ายเยาวชนพัฒนา")</f>
        <v>ค่ายเยาวชนพัฒนา</v>
      </c>
      <c r="I309" s="3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309" s="12">
        <f>IFERROR(__xludf.DUMMYFUNCTION("""COMPUTED_VALUE"""),45886.0)</f>
        <v>45886</v>
      </c>
      <c r="K309" s="3" t="str">
        <f>IFERROR(__xludf.DUMMYFUNCTION("""COMPUTED_VALUE"""),"0800-1600")</f>
        <v>0800-1600</v>
      </c>
      <c r="L309" s="3">
        <f>IFERROR(__xludf.DUMMYFUNCTION("""COMPUTED_VALUE"""),8.0)</f>
        <v>8</v>
      </c>
      <c r="M309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9" s="14" t="str">
        <f>IFERROR(__xludf.DUMMYFUNCTION("""COMPUTED_VALUE"""),"https://lh5.googleusercontent.com/d/1G30J6n0PYfdUk3lLxyzIRfiiUPUkSaQx")</f>
        <v>https://lh5.googleusercontent.com/d/1G30J6n0PYfdUk3lLxyzIRfiiUPUkSaQx</v>
      </c>
      <c r="O309" s="14" t="str">
        <f>IFERROR(__xludf.DUMMYFUNCTION("""COMPUTED_VALUE"""),"https://drive.google.com/file/d/1nKm-reiVL-5P-PhGBXPCTgaCrbgYxFZs/view?usp=drivesdk")</f>
        <v>https://drive.google.com/file/d/1nKm-reiVL-5P-PhGBXPCTgaCrbgYxFZs/view?usp=drivesdk</v>
      </c>
    </row>
    <row r="310">
      <c r="A310" s="3">
        <f>IFERROR(__xludf.DUMMYFUNCTION("""COMPUTED_VALUE"""),1168.0)</f>
        <v>1168</v>
      </c>
      <c r="B310" s="11">
        <f>IFERROR(__xludf.DUMMYFUNCTION("""COMPUTED_VALUE"""),45994.92558070602)</f>
        <v>45994.92558</v>
      </c>
      <c r="C310" s="3" t="str">
        <f>IFERROR(__xludf.DUMMYFUNCTION("""COMPUTED_VALUE"""),"ชั้นปีที่ 3")</f>
        <v>ชั้นปีที่ 3</v>
      </c>
      <c r="D310" s="3" t="str">
        <f>IFERROR(__xludf.DUMMYFUNCTION("""COMPUTED_VALUE"""),"6603771")</f>
        <v>6603771</v>
      </c>
      <c r="E310" s="3" t="str">
        <f>IFERROR(__xludf.DUMMYFUNCTION("""COMPUTED_VALUE"""),"18")</f>
        <v>18</v>
      </c>
      <c r="F310" s="3" t="str">
        <f>IFERROR(__xludf.DUMMYFUNCTION("""COMPUTED_VALUE"""),"นพอ.ทวิกา สอิ้งแก้ว")</f>
        <v>นพอ.ทวิกา สอิ้งแก้ว</v>
      </c>
      <c r="G31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0" s="3" t="str">
        <f>IFERROR(__xludf.DUMMYFUNCTION("""COMPUTED_VALUE"""),"ค่ายรัฐบุรุษ")</f>
        <v>ค่ายรัฐบุรุษ</v>
      </c>
      <c r="I310" s="3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310" s="12">
        <f>IFERROR(__xludf.DUMMYFUNCTION("""COMPUTED_VALUE"""),46254.0)</f>
        <v>46254</v>
      </c>
      <c r="K310" s="3" t="str">
        <f>IFERROR(__xludf.DUMMYFUNCTION("""COMPUTED_VALUE"""),"1700-2100")</f>
        <v>1700-2100</v>
      </c>
      <c r="L310" s="3">
        <f>IFERROR(__xludf.DUMMYFUNCTION("""COMPUTED_VALUE"""),4.0)</f>
        <v>4</v>
      </c>
      <c r="M310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10" s="14" t="str">
        <f>IFERROR(__xludf.DUMMYFUNCTION("""COMPUTED_VALUE"""),"https://lh5.googleusercontent.com/d/1z6nmxlxKiUWoChJ3MILt1cCkpftpgncR")</f>
        <v>https://lh5.googleusercontent.com/d/1z6nmxlxKiUWoChJ3MILt1cCkpftpgncR</v>
      </c>
      <c r="O310" s="14" t="str">
        <f>IFERROR(__xludf.DUMMYFUNCTION("""COMPUTED_VALUE"""),"https://drive.google.com/file/d/1t0lSWd0VfNfM_q0MKL1dDnerAmvI2LxP/view?usp=drivesdk")</f>
        <v>https://drive.google.com/file/d/1t0lSWd0VfNfM_q0MKL1dDnerAmvI2LxP/view?usp=drivesdk</v>
      </c>
    </row>
    <row r="311">
      <c r="A311" s="3">
        <f>IFERROR(__xludf.DUMMYFUNCTION("""COMPUTED_VALUE"""),1169.0)</f>
        <v>1169</v>
      </c>
      <c r="B311" s="11">
        <f>IFERROR(__xludf.DUMMYFUNCTION("""COMPUTED_VALUE"""),45994.9275528588)</f>
        <v>45994.92755</v>
      </c>
      <c r="C311" s="3" t="str">
        <f>IFERROR(__xludf.DUMMYFUNCTION("""COMPUTED_VALUE"""),"ชั้นปีที่ 3")</f>
        <v>ชั้นปีที่ 3</v>
      </c>
      <c r="D311" s="3" t="str">
        <f>IFERROR(__xludf.DUMMYFUNCTION("""COMPUTED_VALUE"""),"6603771")</f>
        <v>6603771</v>
      </c>
      <c r="E311" s="3" t="str">
        <f>IFERROR(__xludf.DUMMYFUNCTION("""COMPUTED_VALUE"""),"18")</f>
        <v>18</v>
      </c>
      <c r="F311" s="3" t="str">
        <f>IFERROR(__xludf.DUMMYFUNCTION("""COMPUTED_VALUE"""),"นพอ.ทวิกา สอิ้งแก้ว")</f>
        <v>นพอ.ทวิกา สอิ้งแก้ว</v>
      </c>
      <c r="G3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1" s="3" t="str">
        <f>IFERROR(__xludf.DUMMYFUNCTION("""COMPUTED_VALUE"""),"ค่ายรัฐบุรุษ")</f>
        <v>ค่ายรัฐบุรุษ</v>
      </c>
      <c r="I311" s="3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311" s="12">
        <f>IFERROR(__xludf.DUMMYFUNCTION("""COMPUTED_VALUE"""),45892.0)</f>
        <v>45892</v>
      </c>
      <c r="K311" s="3" t="str">
        <f>IFERROR(__xludf.DUMMYFUNCTION("""COMPUTED_VALUE"""),"0800-1700")</f>
        <v>0800-1700</v>
      </c>
      <c r="L311" s="3">
        <f>IFERROR(__xludf.DUMMYFUNCTION("""COMPUTED_VALUE"""),8.0)</f>
        <v>8</v>
      </c>
      <c r="M311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11" s="14" t="str">
        <f>IFERROR(__xludf.DUMMYFUNCTION("""COMPUTED_VALUE"""),"https://lh5.googleusercontent.com/d/1B_c41Zf_idGzbZ6yY1-gzkH4jhsTCLRy")</f>
        <v>https://lh5.googleusercontent.com/d/1B_c41Zf_idGzbZ6yY1-gzkH4jhsTCLRy</v>
      </c>
      <c r="O311" s="14" t="str">
        <f>IFERROR(__xludf.DUMMYFUNCTION("""COMPUTED_VALUE"""),"https://drive.google.com/file/d/1jOTucBIQs6775MWv2n2Qn_I2Bdx9rV95/view?usp=drivesdk")</f>
        <v>https://drive.google.com/file/d/1jOTucBIQs6775MWv2n2Qn_I2Bdx9rV95/view?usp=drivesdk</v>
      </c>
    </row>
    <row r="312">
      <c r="A312" s="3">
        <f>IFERROR(__xludf.DUMMYFUNCTION("""COMPUTED_VALUE"""),1170.0)</f>
        <v>1170</v>
      </c>
      <c r="B312" s="11">
        <f>IFERROR(__xludf.DUMMYFUNCTION("""COMPUTED_VALUE"""),45994.92946605325)</f>
        <v>45994.92947</v>
      </c>
      <c r="C312" s="3" t="str">
        <f>IFERROR(__xludf.DUMMYFUNCTION("""COMPUTED_VALUE"""),"ชั้นปีที่ 3")</f>
        <v>ชั้นปีที่ 3</v>
      </c>
      <c r="D312" s="3" t="str">
        <f>IFERROR(__xludf.DUMMYFUNCTION("""COMPUTED_VALUE"""),"6603771")</f>
        <v>6603771</v>
      </c>
      <c r="E312" s="3" t="str">
        <f>IFERROR(__xludf.DUMMYFUNCTION("""COMPUTED_VALUE"""),"18")</f>
        <v>18</v>
      </c>
      <c r="F312" s="3" t="str">
        <f>IFERROR(__xludf.DUMMYFUNCTION("""COMPUTED_VALUE"""),"นพอ.ทวิกา สอิ้งแก้ว")</f>
        <v>นพอ.ทวิกา สอิ้งแก้ว</v>
      </c>
      <c r="G3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2" s="3" t="str">
        <f>IFERROR(__xludf.DUMMYFUNCTION("""COMPUTED_VALUE"""),"ค่ายรัฐบุรุษ")</f>
        <v>ค่ายรัฐบุรุษ</v>
      </c>
      <c r="I312" s="3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312" s="12">
        <f>IFERROR(__xludf.DUMMYFUNCTION("""COMPUTED_VALUE"""),45893.0)</f>
        <v>45893</v>
      </c>
      <c r="K312" s="3" t="str">
        <f>IFERROR(__xludf.DUMMYFUNCTION("""COMPUTED_VALUE"""),"0800-1700")</f>
        <v>0800-1700</v>
      </c>
      <c r="L312" s="3">
        <f>IFERROR(__xludf.DUMMYFUNCTION("""COMPUTED_VALUE"""),8.0)</f>
        <v>8</v>
      </c>
      <c r="M312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12" s="14" t="str">
        <f>IFERROR(__xludf.DUMMYFUNCTION("""COMPUTED_VALUE"""),"https://lh5.googleusercontent.com/d/13cwDmpJG7tyrHUevlBW-G5osT-cObTpV")</f>
        <v>https://lh5.googleusercontent.com/d/13cwDmpJG7tyrHUevlBW-G5osT-cObTpV</v>
      </c>
      <c r="O312" s="14" t="str">
        <f>IFERROR(__xludf.DUMMYFUNCTION("""COMPUTED_VALUE"""),"https://drive.google.com/file/d/1js7R-q4GEdyYa9b-h8UU0jydR2cDJb8x/view?usp=drivesdk")</f>
        <v>https://drive.google.com/file/d/1js7R-q4GEdyYa9b-h8UU0jydR2cDJb8x/view?usp=drivesdk</v>
      </c>
    </row>
    <row r="313">
      <c r="A313" s="3">
        <f>IFERROR(__xludf.DUMMYFUNCTION("""COMPUTED_VALUE"""),1268.0)</f>
        <v>1268</v>
      </c>
      <c r="B313" s="11">
        <f>IFERROR(__xludf.DUMMYFUNCTION("""COMPUTED_VALUE"""),45998.68020429398)</f>
        <v>45998.6802</v>
      </c>
      <c r="C313" s="3" t="str">
        <f>IFERROR(__xludf.DUMMYFUNCTION("""COMPUTED_VALUE"""),"ชั้นปีที่ 3")</f>
        <v>ชั้นปีที่ 3</v>
      </c>
      <c r="D313" s="3" t="str">
        <f>IFERROR(__xludf.DUMMYFUNCTION("""COMPUTED_VALUE"""),"6603759")</f>
        <v>6603759</v>
      </c>
      <c r="E313" s="3" t="str">
        <f>IFERROR(__xludf.DUMMYFUNCTION("""COMPUTED_VALUE"""),"6")</f>
        <v>6</v>
      </c>
      <c r="F313" s="3" t="str">
        <f>IFERROR(__xludf.DUMMYFUNCTION("""COMPUTED_VALUE"""),"นพอ.เกรียงเดช รักถิ่นเดิม")</f>
        <v>นพอ.เกรียงเดช รักถิ่นเดิม</v>
      </c>
      <c r="G313" s="3" t="str">
        <f>IFERROR(__xludf.DUMMYFUNCTION("""COMPUTED_VALUE"""),"ช่วยเหลืองานภายใน วพอ.")</f>
        <v>ช่วยเหลืองานภายใน วพอ.</v>
      </c>
      <c r="H313" s="3" t="str">
        <f>IFERROR(__xludf.DUMMYFUNCTION("""COMPUTED_VALUE"""),"ทกท.หมู่ 1 มว.2")</f>
        <v>ทกท.หมู่ 1 มว.2</v>
      </c>
      <c r="I313" s="3" t="str">
        <f>IFERROR(__xludf.DUMMYFUNCTION("""COMPUTED_VALUE"""),"วพอ.พอ.")</f>
        <v>วพอ.พอ.</v>
      </c>
      <c r="J313" s="12">
        <f>IFERROR(__xludf.DUMMYFUNCTION("""COMPUTED_VALUE"""),45971.0)</f>
        <v>45971</v>
      </c>
      <c r="K313" s="3" t="str">
        <f>IFERROR(__xludf.DUMMYFUNCTION("""COMPUTED_VALUE"""),"0800-1200")</f>
        <v>0800-1200</v>
      </c>
      <c r="L313" s="3">
        <f>IFERROR(__xludf.DUMMYFUNCTION("""COMPUTED_VALUE"""),4.0)</f>
        <v>4</v>
      </c>
      <c r="M313" s="3" t="str">
        <f>IFERROR(__xludf.DUMMYFUNCTION("""COMPUTED_VALUE"""),"ร.อ.อนุชิต ทำจะดี")</f>
        <v>ร.อ.อนุชิต ทำจะดี</v>
      </c>
      <c r="N313" s="14" t="str">
        <f>IFERROR(__xludf.DUMMYFUNCTION("""COMPUTED_VALUE"""),"https://lh5.googleusercontent.com/d/1BQzznD_v8NEGGeCovSgm3G-1KLLOgW79")</f>
        <v>https://lh5.googleusercontent.com/d/1BQzznD_v8NEGGeCovSgm3G-1KLLOgW79</v>
      </c>
      <c r="O313" s="14" t="str">
        <f>IFERROR(__xludf.DUMMYFUNCTION("""COMPUTED_VALUE"""),"https://drive.google.com/file/d/1_jNFhkomYcX9Uxm_fxnSsFlxkPvHDLyQ/view?usp=drivesdk")</f>
        <v>https://drive.google.com/file/d/1_jNFhkomYcX9Uxm_fxnSsFlxkPvHDLyQ/view?usp=drivesdk</v>
      </c>
    </row>
    <row r="314">
      <c r="A314" s="3">
        <f>IFERROR(__xludf.DUMMYFUNCTION("""COMPUTED_VALUE"""),1269.0)</f>
        <v>1269</v>
      </c>
      <c r="B314" s="11">
        <f>IFERROR(__xludf.DUMMYFUNCTION("""COMPUTED_VALUE"""),45998.68151041666)</f>
        <v>45998.68151</v>
      </c>
      <c r="C314" s="3" t="str">
        <f>IFERROR(__xludf.DUMMYFUNCTION("""COMPUTED_VALUE"""),"ชั้นปีที่ 3")</f>
        <v>ชั้นปีที่ 3</v>
      </c>
      <c r="D314" s="3" t="str">
        <f>IFERROR(__xludf.DUMMYFUNCTION("""COMPUTED_VALUE"""),"6603808")</f>
        <v>6603808</v>
      </c>
      <c r="E314" s="3" t="str">
        <f>IFERROR(__xludf.DUMMYFUNCTION("""COMPUTED_VALUE"""),"54")</f>
        <v>54</v>
      </c>
      <c r="F314" s="3" t="str">
        <f>IFERROR(__xludf.DUMMYFUNCTION("""COMPUTED_VALUE"""),"นพอ.สุชานันท์ ดิสระมุณี")</f>
        <v>นพอ.สุชานันท์ ดิสระมุณี</v>
      </c>
      <c r="G314" s="3" t="str">
        <f>IFERROR(__xludf.DUMMYFUNCTION("""COMPUTED_VALUE"""),"ช่วยเหลืองานภายใน วพอ.")</f>
        <v>ช่วยเหลืองานภายใน วพอ.</v>
      </c>
      <c r="H314" s="3" t="str">
        <f>IFERROR(__xludf.DUMMYFUNCTION("""COMPUTED_VALUE"""),"ทำการแทน นปค.")</f>
        <v>ทำการแทน นปค.</v>
      </c>
      <c r="I314" s="3" t="str">
        <f>IFERROR(__xludf.DUMMYFUNCTION("""COMPUTED_VALUE"""),"วิทยาลัยพยาบาลทหารอากาศ")</f>
        <v>วิทยาลัยพยาบาลทหารอากาศ</v>
      </c>
      <c r="J314" s="12">
        <f>IFERROR(__xludf.DUMMYFUNCTION("""COMPUTED_VALUE"""),45936.0)</f>
        <v>45936</v>
      </c>
      <c r="K314" s="3" t="str">
        <f>IFERROR(__xludf.DUMMYFUNCTION("""COMPUTED_VALUE"""),"0800-1600")</f>
        <v>0800-1600</v>
      </c>
      <c r="L314" s="3">
        <f>IFERROR(__xludf.DUMMYFUNCTION("""COMPUTED_VALUE"""),8.0)</f>
        <v>8</v>
      </c>
      <c r="M314" s="3" t="str">
        <f>IFERROR(__xludf.DUMMYFUNCTION("""COMPUTED_VALUE"""),"ร.อ.อนุชิต ทำจะดี")</f>
        <v>ร.อ.อนุชิต ทำจะดี</v>
      </c>
      <c r="N314" s="14" t="str">
        <f>IFERROR(__xludf.DUMMYFUNCTION("""COMPUTED_VALUE"""),"https://lh5.googleusercontent.com/d/1JlT4SEXcKT1m8vNDtGNw-peVlBrCIdi8")</f>
        <v>https://lh5.googleusercontent.com/d/1JlT4SEXcKT1m8vNDtGNw-peVlBrCIdi8</v>
      </c>
      <c r="O314" s="14" t="str">
        <f>IFERROR(__xludf.DUMMYFUNCTION("""COMPUTED_VALUE"""),"https://drive.google.com/file/d/1lTbQomm9RfEWA-Dh45RDtf-QpNh982Z9/view?usp=drivesdk")</f>
        <v>https://drive.google.com/file/d/1lTbQomm9RfEWA-Dh45RDtf-QpNh982Z9/view?usp=drivesdk</v>
      </c>
    </row>
    <row r="315">
      <c r="A315" s="3">
        <f>IFERROR(__xludf.DUMMYFUNCTION("""COMPUTED_VALUE"""),1270.0)</f>
        <v>1270</v>
      </c>
      <c r="B315" s="11">
        <f>IFERROR(__xludf.DUMMYFUNCTION("""COMPUTED_VALUE"""),45998.68176827546)</f>
        <v>45998.68177</v>
      </c>
      <c r="C315" s="3" t="str">
        <f>IFERROR(__xludf.DUMMYFUNCTION("""COMPUTED_VALUE"""),"ชั้นปีที่ 3")</f>
        <v>ชั้นปีที่ 3</v>
      </c>
      <c r="D315" s="3" t="str">
        <f>IFERROR(__xludf.DUMMYFUNCTION("""COMPUTED_VALUE"""),"6603778")</f>
        <v>6603778</v>
      </c>
      <c r="E315" s="3" t="str">
        <f>IFERROR(__xludf.DUMMYFUNCTION("""COMPUTED_VALUE"""),"24")</f>
        <v>24</v>
      </c>
      <c r="F315" s="3" t="str">
        <f>IFERROR(__xludf.DUMMYFUNCTION("""COMPUTED_VALUE"""),"นพอ.นันท์นภัส เคนสุวรรณ")</f>
        <v>นพอ.นันท์นภัส เคนสุวรรณ</v>
      </c>
      <c r="G3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5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1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5" s="12">
        <f>IFERROR(__xludf.DUMMYFUNCTION("""COMPUTED_VALUE"""),45838.0)</f>
        <v>45838</v>
      </c>
      <c r="K315" s="3" t="str">
        <f>IFERROR(__xludf.DUMMYFUNCTION("""COMPUTED_VALUE"""),"1400-2200")</f>
        <v>1400-2200</v>
      </c>
      <c r="L315" s="3">
        <f>IFERROR(__xludf.DUMMYFUNCTION("""COMPUTED_VALUE"""),8.0)</f>
        <v>8</v>
      </c>
      <c r="M315" s="3" t="str">
        <f>IFERROR(__xludf.DUMMYFUNCTION("""COMPUTED_VALUE"""),"ร.อ.อนุชิต ทำจะดี")</f>
        <v>ร.อ.อนุชิต ทำจะดี</v>
      </c>
      <c r="N315" s="14" t="str">
        <f>IFERROR(__xludf.DUMMYFUNCTION("""COMPUTED_VALUE"""),"https://lh5.googleusercontent.com/d/1M7rFszqHoPl4YjUWQFe9X5WcL6x_PM85")</f>
        <v>https://lh5.googleusercontent.com/d/1M7rFszqHoPl4YjUWQFe9X5WcL6x_PM85</v>
      </c>
      <c r="O315" s="14" t="str">
        <f>IFERROR(__xludf.DUMMYFUNCTION("""COMPUTED_VALUE"""),"https://drive.google.com/file/d/1aYQLlzP4LtTWt1HkteiqbJbNfmTqIpAO/view?usp=drivesdk")</f>
        <v>https://drive.google.com/file/d/1aYQLlzP4LtTWt1HkteiqbJbNfmTqIpAO/view?usp=drivesdk</v>
      </c>
    </row>
    <row r="316">
      <c r="A316" s="3">
        <f>IFERROR(__xludf.DUMMYFUNCTION("""COMPUTED_VALUE"""),1271.0)</f>
        <v>1271</v>
      </c>
      <c r="B316" s="11">
        <f>IFERROR(__xludf.DUMMYFUNCTION("""COMPUTED_VALUE"""),45998.682885775466)</f>
        <v>45998.68289</v>
      </c>
      <c r="C316" s="3" t="str">
        <f>IFERROR(__xludf.DUMMYFUNCTION("""COMPUTED_VALUE"""),"ชั้นปีที่ 3")</f>
        <v>ชั้นปีที่ 3</v>
      </c>
      <c r="D316" s="3" t="str">
        <f>IFERROR(__xludf.DUMMYFUNCTION("""COMPUTED_VALUE"""),"6603759")</f>
        <v>6603759</v>
      </c>
      <c r="E316" s="3" t="str">
        <f>IFERROR(__xludf.DUMMYFUNCTION("""COMPUTED_VALUE"""),"6")</f>
        <v>6</v>
      </c>
      <c r="F316" s="3" t="str">
        <f>IFERROR(__xludf.DUMMYFUNCTION("""COMPUTED_VALUE"""),"นพอ.เกรียงเดช รักถิ่นเดิม")</f>
        <v>นพอ.เกรียงเดช รักถิ่นเดิม</v>
      </c>
      <c r="G316" s="3" t="str">
        <f>IFERROR(__xludf.DUMMYFUNCTION("""COMPUTED_VALUE"""),"ช่วยเหลืองานภายใน วพอ.")</f>
        <v>ช่วยเหลืองานภายใน วพอ.</v>
      </c>
      <c r="H316" s="3" t="str">
        <f>IFERROR(__xludf.DUMMYFUNCTION("""COMPUTED_VALUE"""),"ทกท. หมู่ 1 มว.2")</f>
        <v>ทกท. หมู่ 1 มว.2</v>
      </c>
      <c r="I316" s="3" t="str">
        <f>IFERROR(__xludf.DUMMYFUNCTION("""COMPUTED_VALUE"""),"วพอ.พอ.")</f>
        <v>วพอ.พอ.</v>
      </c>
      <c r="J316" s="12">
        <f>IFERROR(__xludf.DUMMYFUNCTION("""COMPUTED_VALUE"""),45972.0)</f>
        <v>45972</v>
      </c>
      <c r="K316" s="3" t="str">
        <f>IFERROR(__xludf.DUMMYFUNCTION("""COMPUTED_VALUE"""),"0800-1200")</f>
        <v>0800-1200</v>
      </c>
      <c r="L316" s="3">
        <f>IFERROR(__xludf.DUMMYFUNCTION("""COMPUTED_VALUE"""),4.0)</f>
        <v>4</v>
      </c>
      <c r="M316" s="3" t="str">
        <f>IFERROR(__xludf.DUMMYFUNCTION("""COMPUTED_VALUE"""),"ร.อ.อนุชิต ทำจะดี")</f>
        <v>ร.อ.อนุชิต ทำจะดี</v>
      </c>
      <c r="N316" s="14" t="str">
        <f>IFERROR(__xludf.DUMMYFUNCTION("""COMPUTED_VALUE"""),"https://lh5.googleusercontent.com/d/1lXxquYT0ePEykgZbaUFf7E5X0OZWYOWj")</f>
        <v>https://lh5.googleusercontent.com/d/1lXxquYT0ePEykgZbaUFf7E5X0OZWYOWj</v>
      </c>
      <c r="O316" s="14" t="str">
        <f>IFERROR(__xludf.DUMMYFUNCTION("""COMPUTED_VALUE"""),"https://drive.google.com/file/d/1rsJNz92734-Bevl_dbb3q0OjFSJduYwB/view?usp=drivesdk")</f>
        <v>https://drive.google.com/file/d/1rsJNz92734-Bevl_dbb3q0OjFSJduYwB/view?usp=drivesdk</v>
      </c>
    </row>
    <row r="317">
      <c r="A317" s="3">
        <f>IFERROR(__xludf.DUMMYFUNCTION("""COMPUTED_VALUE"""),1272.0)</f>
        <v>1272</v>
      </c>
      <c r="B317" s="11">
        <f>IFERROR(__xludf.DUMMYFUNCTION("""COMPUTED_VALUE"""),45998.68297751157)</f>
        <v>45998.68298</v>
      </c>
      <c r="C317" s="3" t="str">
        <f>IFERROR(__xludf.DUMMYFUNCTION("""COMPUTED_VALUE"""),"ชั้นปีที่ 3")</f>
        <v>ชั้นปีที่ 3</v>
      </c>
      <c r="D317" s="3" t="str">
        <f>IFERROR(__xludf.DUMMYFUNCTION("""COMPUTED_VALUE"""),"6603808")</f>
        <v>6603808</v>
      </c>
      <c r="E317" s="3" t="str">
        <f>IFERROR(__xludf.DUMMYFUNCTION("""COMPUTED_VALUE"""),"54")</f>
        <v>54</v>
      </c>
      <c r="F317" s="3" t="str">
        <f>IFERROR(__xludf.DUMMYFUNCTION("""COMPUTED_VALUE"""),"นพอ.สุชานันท์ ดิสระมุณี")</f>
        <v>นพอ.สุชานันท์ ดิสระมุณี</v>
      </c>
      <c r="G317" s="3" t="str">
        <f>IFERROR(__xludf.DUMMYFUNCTION("""COMPUTED_VALUE"""),"ช่วยเหลืองานภายใน วพอ.")</f>
        <v>ช่วยเหลืองานภายใน วพอ.</v>
      </c>
      <c r="H317" s="3" t="str">
        <f>IFERROR(__xludf.DUMMYFUNCTION("""COMPUTED_VALUE"""),"ทำการแทน นปค.")</f>
        <v>ทำการแทน นปค.</v>
      </c>
      <c r="I317" s="3" t="str">
        <f>IFERROR(__xludf.DUMMYFUNCTION("""COMPUTED_VALUE"""),"54")</f>
        <v>54</v>
      </c>
      <c r="J317" s="12">
        <f>IFERROR(__xludf.DUMMYFUNCTION("""COMPUTED_VALUE"""),45937.0)</f>
        <v>45937</v>
      </c>
      <c r="K317" s="3" t="str">
        <f>IFERROR(__xludf.DUMMYFUNCTION("""COMPUTED_VALUE"""),"0800-1600")</f>
        <v>0800-1600</v>
      </c>
      <c r="L317" s="3">
        <f>IFERROR(__xludf.DUMMYFUNCTION("""COMPUTED_VALUE"""),8.0)</f>
        <v>8</v>
      </c>
      <c r="M317" s="3" t="str">
        <f>IFERROR(__xludf.DUMMYFUNCTION("""COMPUTED_VALUE"""),"ร.อ.อนุชิต ทำจะ")</f>
        <v>ร.อ.อนุชิต ทำจะ</v>
      </c>
      <c r="N317" s="14" t="str">
        <f>IFERROR(__xludf.DUMMYFUNCTION("""COMPUTED_VALUE"""),"https://lh5.googleusercontent.com/d/1BuLrNxg7KnhuBKWRVafGgNSuGsoMmyfH")</f>
        <v>https://lh5.googleusercontent.com/d/1BuLrNxg7KnhuBKWRVafGgNSuGsoMmyfH</v>
      </c>
      <c r="O317" s="14" t="str">
        <f>IFERROR(__xludf.DUMMYFUNCTION("""COMPUTED_VALUE"""),"https://drive.google.com/file/d/1Hy9CsnjiJrUbQktX63BEZHSwqUHSDF88/view?usp=drivesdk")</f>
        <v>https://drive.google.com/file/d/1Hy9CsnjiJrUbQktX63BEZHSwqUHSDF88/view?usp=drivesdk</v>
      </c>
    </row>
    <row r="318">
      <c r="A318" s="3">
        <f>IFERROR(__xludf.DUMMYFUNCTION("""COMPUTED_VALUE"""),1273.0)</f>
        <v>1273</v>
      </c>
      <c r="B318" s="11">
        <f>IFERROR(__xludf.DUMMYFUNCTION("""COMPUTED_VALUE"""),45998.68326886574)</f>
        <v>45998.68327</v>
      </c>
      <c r="C318" s="3" t="str">
        <f>IFERROR(__xludf.DUMMYFUNCTION("""COMPUTED_VALUE"""),"ชั้นปีที่ 3")</f>
        <v>ชั้นปีที่ 3</v>
      </c>
      <c r="D318" s="3" t="str">
        <f>IFERROR(__xludf.DUMMYFUNCTION("""COMPUTED_VALUE"""),"6603778")</f>
        <v>6603778</v>
      </c>
      <c r="E318" s="3" t="str">
        <f>IFERROR(__xludf.DUMMYFUNCTION("""COMPUTED_VALUE"""),"24")</f>
        <v>24</v>
      </c>
      <c r="F318" s="3" t="str">
        <f>IFERROR(__xludf.DUMMYFUNCTION("""COMPUTED_VALUE"""),"นพอ.นันท์นภัส เคนสุวรรณ")</f>
        <v>นพอ.นันท์นภัส เคนสุวรรณ</v>
      </c>
      <c r="G3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8" s="3" t="str">
        <f>IFERROR(__xludf.DUMMYFUNCTION("""COMPUTED_VALUE"""),"คอนเสิร์ตทัพฟ้าคู่ไทยเพื่อ ชัยพัฒนา ครั้งที่ 16")</f>
        <v>คอนเสิร์ตทัพฟ้าคู่ไทยเพื่อ ชัยพัฒนา ครั้งที่ 16</v>
      </c>
      <c r="I31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8" s="12">
        <f>IFERROR(__xludf.DUMMYFUNCTION("""COMPUTED_VALUE"""),45839.0)</f>
        <v>45839</v>
      </c>
      <c r="K318" s="3" t="str">
        <f>IFERROR(__xludf.DUMMYFUNCTION("""COMPUTED_VALUE"""),"1400-2200")</f>
        <v>1400-2200</v>
      </c>
      <c r="L318" s="3">
        <f>IFERROR(__xludf.DUMMYFUNCTION("""COMPUTED_VALUE"""),8.0)</f>
        <v>8</v>
      </c>
      <c r="M318" s="3" t="str">
        <f>IFERROR(__xludf.DUMMYFUNCTION("""COMPUTED_VALUE"""),"ร.อ.อนุชิต ทำจะดี")</f>
        <v>ร.อ.อนุชิต ทำจะดี</v>
      </c>
      <c r="N318" s="14" t="str">
        <f>IFERROR(__xludf.DUMMYFUNCTION("""COMPUTED_VALUE"""),"https://lh5.googleusercontent.com/d/1O700DKnRynn771ok6ngdWiBSMcNmvuaY")</f>
        <v>https://lh5.googleusercontent.com/d/1O700DKnRynn771ok6ngdWiBSMcNmvuaY</v>
      </c>
      <c r="O318" s="14" t="str">
        <f>IFERROR(__xludf.DUMMYFUNCTION("""COMPUTED_VALUE"""),"https://drive.google.com/file/d/1sKQllCXhgj8USV_EbJx1hxHnThJmm9sy/view?usp=drivesdk")</f>
        <v>https://drive.google.com/file/d/1sKQllCXhgj8USV_EbJx1hxHnThJmm9sy/view?usp=drivesdk</v>
      </c>
    </row>
    <row r="319">
      <c r="A319" s="3">
        <f>IFERROR(__xludf.DUMMYFUNCTION("""COMPUTED_VALUE"""),1274.0)</f>
        <v>1274</v>
      </c>
      <c r="B319" s="11">
        <f>IFERROR(__xludf.DUMMYFUNCTION("""COMPUTED_VALUE"""),45998.684244675926)</f>
        <v>45998.68424</v>
      </c>
      <c r="C319" s="3" t="str">
        <f>IFERROR(__xludf.DUMMYFUNCTION("""COMPUTED_VALUE"""),"ชั้นปีที่ 3")</f>
        <v>ชั้นปีที่ 3</v>
      </c>
      <c r="D319" s="3" t="str">
        <f>IFERROR(__xludf.DUMMYFUNCTION("""COMPUTED_VALUE"""),"6603778")</f>
        <v>6603778</v>
      </c>
      <c r="E319" s="3" t="str">
        <f>IFERROR(__xludf.DUMMYFUNCTION("""COMPUTED_VALUE"""),"24")</f>
        <v>24</v>
      </c>
      <c r="F319" s="3" t="str">
        <f>IFERROR(__xludf.DUMMYFUNCTION("""COMPUTED_VALUE"""),"นพอ.นันท์นภัส เคนสุวรรณ")</f>
        <v>นพอ.นันท์นภัส เคนสุวรรณ</v>
      </c>
      <c r="G3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9" s="3" t="str">
        <f>IFERROR(__xludf.DUMMYFUNCTION("""COMPUTED_VALUE"""),"คอนเสิร์ตทัพฟ้าคู่ไทยเพื่อ ชัยพัฒนา ครั้งที่ 16")</f>
        <v>คอนเสิร์ตทัพฟ้าคู่ไทยเพื่อ ชัยพัฒนา ครั้งที่ 16</v>
      </c>
      <c r="I31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9" s="12">
        <f>IFERROR(__xludf.DUMMYFUNCTION("""COMPUTED_VALUE"""),45840.0)</f>
        <v>45840</v>
      </c>
      <c r="K319" s="3" t="str">
        <f>IFERROR(__xludf.DUMMYFUNCTION("""COMPUTED_VALUE"""),"1400-2200")</f>
        <v>1400-2200</v>
      </c>
      <c r="L319" s="3">
        <f>IFERROR(__xludf.DUMMYFUNCTION("""COMPUTED_VALUE"""),8.0)</f>
        <v>8</v>
      </c>
      <c r="M319" s="3" t="str">
        <f>IFERROR(__xludf.DUMMYFUNCTION("""COMPUTED_VALUE"""),"ร.อ.อนุชิต ทำจะดี")</f>
        <v>ร.อ.อนุชิต ทำจะดี</v>
      </c>
      <c r="N319" s="14" t="str">
        <f>IFERROR(__xludf.DUMMYFUNCTION("""COMPUTED_VALUE"""),"https://lh5.googleusercontent.com/d/154jIshrPqLJwmxqMdDYUJSazKrWa38Eq")</f>
        <v>https://lh5.googleusercontent.com/d/154jIshrPqLJwmxqMdDYUJSazKrWa38Eq</v>
      </c>
      <c r="O319" s="14" t="str">
        <f>IFERROR(__xludf.DUMMYFUNCTION("""COMPUTED_VALUE"""),"https://drive.google.com/file/d/1rVfUWgJA1UT-d5nPkR3nEPVRkD2kMWvA/view?usp=drivesdk")</f>
        <v>https://drive.google.com/file/d/1rVfUWgJA1UT-d5nPkR3nEPVRkD2kMWvA/view?usp=drivesdk</v>
      </c>
    </row>
    <row r="320">
      <c r="A320" s="3">
        <f>IFERROR(__xludf.DUMMYFUNCTION("""COMPUTED_VALUE"""),1275.0)</f>
        <v>1275</v>
      </c>
      <c r="B320" s="11">
        <f>IFERROR(__xludf.DUMMYFUNCTION("""COMPUTED_VALUE"""),45998.68459980324)</f>
        <v>45998.6846</v>
      </c>
      <c r="C320" s="3" t="str">
        <f>IFERROR(__xludf.DUMMYFUNCTION("""COMPUTED_VALUE"""),"ชั้นปีที่ 3")</f>
        <v>ชั้นปีที่ 3</v>
      </c>
      <c r="D320" s="3" t="str">
        <f>IFERROR(__xludf.DUMMYFUNCTION("""COMPUTED_VALUE"""),"6603808")</f>
        <v>6603808</v>
      </c>
      <c r="E320" s="3" t="str">
        <f>IFERROR(__xludf.DUMMYFUNCTION("""COMPUTED_VALUE"""),"54")</f>
        <v>54</v>
      </c>
      <c r="F320" s="3" t="str">
        <f>IFERROR(__xludf.DUMMYFUNCTION("""COMPUTED_VALUE"""),"นพอ.สุชานันท์ ดิสระมุณี")</f>
        <v>นพอ.สุชานันท์ ดิสระมุณี</v>
      </c>
      <c r="G320" s="3" t="str">
        <f>IFERROR(__xludf.DUMMYFUNCTION("""COMPUTED_VALUE"""),"ช่วยเหลืองานภายใน วพอ.")</f>
        <v>ช่วยเหลืองานภายใน วพอ.</v>
      </c>
      <c r="H320" s="3" t="str">
        <f>IFERROR(__xludf.DUMMYFUNCTION("""COMPUTED_VALUE"""),"ทำการแทน นปค.")</f>
        <v>ทำการแทน นปค.</v>
      </c>
      <c r="I320" s="3" t="str">
        <f>IFERROR(__xludf.DUMMYFUNCTION("""COMPUTED_VALUE"""),"วิทยาลัยพยาบาลทหารอากาศ")</f>
        <v>วิทยาลัยพยาบาลทหารอากาศ</v>
      </c>
      <c r="J320" s="12">
        <f>IFERROR(__xludf.DUMMYFUNCTION("""COMPUTED_VALUE"""),45975.0)</f>
        <v>45975</v>
      </c>
      <c r="K320" s="3" t="str">
        <f>IFERROR(__xludf.DUMMYFUNCTION("""COMPUTED_VALUE"""),"0800-1200")</f>
        <v>0800-1200</v>
      </c>
      <c r="L320" s="3">
        <f>IFERROR(__xludf.DUMMYFUNCTION("""COMPUTED_VALUE"""),4.0)</f>
        <v>4</v>
      </c>
      <c r="M320" s="3" t="str">
        <f>IFERROR(__xludf.DUMMYFUNCTION("""COMPUTED_VALUE"""),"ร.อ.อนุชิต ทำจะดี")</f>
        <v>ร.อ.อนุชิต ทำจะดี</v>
      </c>
      <c r="N320" s="14" t="str">
        <f>IFERROR(__xludf.DUMMYFUNCTION("""COMPUTED_VALUE"""),"https://lh5.googleusercontent.com/d/1L_Ru1YKUV9rFEbwRDi4gL7hdiwDiCpFZ")</f>
        <v>https://lh5.googleusercontent.com/d/1L_Ru1YKUV9rFEbwRDi4gL7hdiwDiCpFZ</v>
      </c>
      <c r="O320" s="14" t="str">
        <f>IFERROR(__xludf.DUMMYFUNCTION("""COMPUTED_VALUE"""),"https://drive.google.com/file/d/1RCNSgETFDuXtRv1R8w_Dm2TXGtFxkoSC/view?usp=drivesdk")</f>
        <v>https://drive.google.com/file/d/1RCNSgETFDuXtRv1R8w_Dm2TXGtFxkoSC/view?usp=drivesdk</v>
      </c>
    </row>
    <row r="321">
      <c r="A321" s="3">
        <f>IFERROR(__xludf.DUMMYFUNCTION("""COMPUTED_VALUE"""),1276.0)</f>
        <v>1276</v>
      </c>
      <c r="B321" s="11">
        <f>IFERROR(__xludf.DUMMYFUNCTION("""COMPUTED_VALUE"""),45998.68506842593)</f>
        <v>45998.68507</v>
      </c>
      <c r="C321" s="3" t="str">
        <f>IFERROR(__xludf.DUMMYFUNCTION("""COMPUTED_VALUE"""),"ชั้นปีที่ 3")</f>
        <v>ชั้นปีที่ 3</v>
      </c>
      <c r="D321" s="3" t="str">
        <f>IFERROR(__xludf.DUMMYFUNCTION("""COMPUTED_VALUE"""),"6603759")</f>
        <v>6603759</v>
      </c>
      <c r="E321" s="3" t="str">
        <f>IFERROR(__xludf.DUMMYFUNCTION("""COMPUTED_VALUE"""),"6")</f>
        <v>6</v>
      </c>
      <c r="F321" s="3" t="str">
        <f>IFERROR(__xludf.DUMMYFUNCTION("""COMPUTED_VALUE"""),"นพอ.เกรียงเดช รักถิ่นเดิม")</f>
        <v>นพอ.เกรียงเดช รักถิ่นเดิม</v>
      </c>
      <c r="G321" s="3" t="str">
        <f>IFERROR(__xludf.DUMMYFUNCTION("""COMPUTED_VALUE"""),"ช่วยเหลืองานภายใน วพอ.")</f>
        <v>ช่วยเหลืองานภายใน วพอ.</v>
      </c>
      <c r="H321" s="3" t="str">
        <f>IFERROR(__xludf.DUMMYFUNCTION("""COMPUTED_VALUE"""),"ทกท. หมู่ 1 มว.2")</f>
        <v>ทกท. หมู่ 1 มว.2</v>
      </c>
      <c r="I321" s="3" t="str">
        <f>IFERROR(__xludf.DUMMYFUNCTION("""COMPUTED_VALUE"""),"วพอ.พอ.")</f>
        <v>วพอ.พอ.</v>
      </c>
      <c r="J321" s="12">
        <f>IFERROR(__xludf.DUMMYFUNCTION("""COMPUTED_VALUE"""),45971.0)</f>
        <v>45971</v>
      </c>
      <c r="K321" s="3" t="str">
        <f>IFERROR(__xludf.DUMMYFUNCTION("""COMPUTED_VALUE"""),"1900-2100")</f>
        <v>1900-2100</v>
      </c>
      <c r="L321" s="3">
        <f>IFERROR(__xludf.DUMMYFUNCTION("""COMPUTED_VALUE"""),2.0)</f>
        <v>2</v>
      </c>
      <c r="M321" s="3" t="str">
        <f>IFERROR(__xludf.DUMMYFUNCTION("""COMPUTED_VALUE"""),"ร.อ.อนุชิต ทำจะดี")</f>
        <v>ร.อ.อนุชิต ทำจะดี</v>
      </c>
      <c r="N321" s="14" t="str">
        <f>IFERROR(__xludf.DUMMYFUNCTION("""COMPUTED_VALUE"""),"https://lh5.googleusercontent.com/d/1RGIuSWJ-UyyFZDLdPIPmowJMhrg9cF42")</f>
        <v>https://lh5.googleusercontent.com/d/1RGIuSWJ-UyyFZDLdPIPmowJMhrg9cF42</v>
      </c>
      <c r="O321" s="14" t="str">
        <f>IFERROR(__xludf.DUMMYFUNCTION("""COMPUTED_VALUE"""),"https://drive.google.com/file/d/1Ysrvt1OXv9i9g5Ta9R2Mzy7GmiGJbivx/view?usp=drivesdk")</f>
        <v>https://drive.google.com/file/d/1Ysrvt1OXv9i9g5Ta9R2Mzy7GmiGJbivx/view?usp=drivesdk</v>
      </c>
    </row>
    <row r="322">
      <c r="A322" s="3">
        <f>IFERROR(__xludf.DUMMYFUNCTION("""COMPUTED_VALUE"""),1277.0)</f>
        <v>1277</v>
      </c>
      <c r="B322" s="11">
        <f>IFERROR(__xludf.DUMMYFUNCTION("""COMPUTED_VALUE"""),45998.69603782408)</f>
        <v>45998.69604</v>
      </c>
      <c r="C322" s="3" t="str">
        <f>IFERROR(__xludf.DUMMYFUNCTION("""COMPUTED_VALUE"""),"ชั้นปีที่ 3")</f>
        <v>ชั้นปีที่ 3</v>
      </c>
      <c r="D322" s="3" t="str">
        <f>IFERROR(__xludf.DUMMYFUNCTION("""COMPUTED_VALUE"""),"6603793")</f>
        <v>6603793</v>
      </c>
      <c r="E322" s="3" t="str">
        <f>IFERROR(__xludf.DUMMYFUNCTION("""COMPUTED_VALUE"""),"39")</f>
        <v>39</v>
      </c>
      <c r="F322" s="3" t="str">
        <f>IFERROR(__xludf.DUMMYFUNCTION("""COMPUTED_VALUE"""),"นพอ.พิชญาภัค สุวรรณสาม")</f>
        <v>นพอ.พิชญาภัค สุวรรณสาม</v>
      </c>
      <c r="G322" s="3" t="str">
        <f>IFERROR(__xludf.DUMMYFUNCTION("""COMPUTED_VALUE"""),"ช่วยเหลืองานภายใน วพอ.")</f>
        <v>ช่วยเหลืองานภายใน วพอ.</v>
      </c>
      <c r="H322" s="3" t="str">
        <f>IFERROR(__xludf.DUMMYFUNCTION("""COMPUTED_VALUE"""),"รับน้อง 68")</f>
        <v>รับน้อง 68</v>
      </c>
      <c r="I322" s="3" t="str">
        <f>IFERROR(__xludf.DUMMYFUNCTION("""COMPUTED_VALUE"""),"วพอ.พอ.")</f>
        <v>วพอ.พอ.</v>
      </c>
      <c r="J322" s="12">
        <f>IFERROR(__xludf.DUMMYFUNCTION("""COMPUTED_VALUE"""),45859.0)</f>
        <v>45859</v>
      </c>
      <c r="K322" s="3" t="str">
        <f>IFERROR(__xludf.DUMMYFUNCTION("""COMPUTED_VALUE"""),"1100-1600")</f>
        <v>1100-1600</v>
      </c>
      <c r="L322" s="3">
        <f>IFERROR(__xludf.DUMMYFUNCTION("""COMPUTED_VALUE"""),5.0)</f>
        <v>5</v>
      </c>
      <c r="M32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22" s="14" t="str">
        <f>IFERROR(__xludf.DUMMYFUNCTION("""COMPUTED_VALUE"""),"https://lh5.googleusercontent.com/d/1-plDusthcljjYK3kNCpx4UBOQ52ePQ_D")</f>
        <v>https://lh5.googleusercontent.com/d/1-plDusthcljjYK3kNCpx4UBOQ52ePQ_D</v>
      </c>
      <c r="O322" s="14" t="str">
        <f>IFERROR(__xludf.DUMMYFUNCTION("""COMPUTED_VALUE"""),"https://drive.google.com/file/d/1t9Y6g2GXsGdyeoSqcJwTKadsWJ1jO6A7/view?usp=drivesdk")</f>
        <v>https://drive.google.com/file/d/1t9Y6g2GXsGdyeoSqcJwTKadsWJ1jO6A7/view?usp=drivesdk</v>
      </c>
    </row>
    <row r="323">
      <c r="A323" s="3">
        <f>IFERROR(__xludf.DUMMYFUNCTION("""COMPUTED_VALUE"""),1278.0)</f>
        <v>1278</v>
      </c>
      <c r="B323" s="11">
        <f>IFERROR(__xludf.DUMMYFUNCTION("""COMPUTED_VALUE"""),45998.698927997684)</f>
        <v>45998.69893</v>
      </c>
      <c r="C323" s="3" t="str">
        <f>IFERROR(__xludf.DUMMYFUNCTION("""COMPUTED_VALUE"""),"ชั้นปีที่ 3")</f>
        <v>ชั้นปีที่ 3</v>
      </c>
      <c r="D323" s="3" t="str">
        <f>IFERROR(__xludf.DUMMYFUNCTION("""COMPUTED_VALUE"""),"6603793")</f>
        <v>6603793</v>
      </c>
      <c r="E323" s="3" t="str">
        <f>IFERROR(__xludf.DUMMYFUNCTION("""COMPUTED_VALUE"""),"39")</f>
        <v>39</v>
      </c>
      <c r="F323" s="3" t="str">
        <f>IFERROR(__xludf.DUMMYFUNCTION("""COMPUTED_VALUE"""),"นพอ.พิชญาภัค สุวรรณสาม")</f>
        <v>นพอ.พิชญาภัค สุวรรณสาม</v>
      </c>
      <c r="G323" s="3" t="str">
        <f>IFERROR(__xludf.DUMMYFUNCTION("""COMPUTED_VALUE"""),"ช่วยเหลืองานภายใน วพอ.")</f>
        <v>ช่วยเหลืองานภายใน วพอ.</v>
      </c>
      <c r="H323" s="3" t="str">
        <f>IFERROR(__xludf.DUMMYFUNCTION("""COMPUTED_VALUE"""),"รับน้อง 68")</f>
        <v>รับน้อง 68</v>
      </c>
      <c r="I323" s="3" t="str">
        <f>IFERROR(__xludf.DUMMYFUNCTION("""COMPUTED_VALUE"""),"วพอ.พอ.")</f>
        <v>วพอ.พอ.</v>
      </c>
      <c r="J323" s="12">
        <f>IFERROR(__xludf.DUMMYFUNCTION("""COMPUTED_VALUE"""),45859.0)</f>
        <v>45859</v>
      </c>
      <c r="K323" s="3" t="str">
        <f>IFERROR(__xludf.DUMMYFUNCTION("""COMPUTED_VALUE"""),"0600-1100")</f>
        <v>0600-1100</v>
      </c>
      <c r="L323" s="3">
        <f>IFERROR(__xludf.DUMMYFUNCTION("""COMPUTED_VALUE"""),5.0)</f>
        <v>5</v>
      </c>
      <c r="M32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23" s="14" t="str">
        <f>IFERROR(__xludf.DUMMYFUNCTION("""COMPUTED_VALUE"""),"https://lh5.googleusercontent.com/d/1n2xc3vDf-BArtpH5W8oX6RDS_ebqRtbT")</f>
        <v>https://lh5.googleusercontent.com/d/1n2xc3vDf-BArtpH5W8oX6RDS_ebqRtbT</v>
      </c>
      <c r="O323" s="14" t="str">
        <f>IFERROR(__xludf.DUMMYFUNCTION("""COMPUTED_VALUE"""),"https://drive.google.com/file/d/1tjCLsWSw57JK53ukUlx0zjHZQe3Ta4NN/view?usp=drivesdk")</f>
        <v>https://drive.google.com/file/d/1tjCLsWSw57JK53ukUlx0zjHZQe3Ta4NN/view?usp=drivesdk</v>
      </c>
    </row>
    <row r="324">
      <c r="A324" s="3">
        <f>IFERROR(__xludf.DUMMYFUNCTION("""COMPUTED_VALUE"""),1279.0)</f>
        <v>1279</v>
      </c>
      <c r="B324" s="11">
        <f>IFERROR(__xludf.DUMMYFUNCTION("""COMPUTED_VALUE"""),45998.70142107639)</f>
        <v>45998.70142</v>
      </c>
      <c r="C324" s="3" t="str">
        <f>IFERROR(__xludf.DUMMYFUNCTION("""COMPUTED_VALUE"""),"ชั้นปีที่ 3")</f>
        <v>ชั้นปีที่ 3</v>
      </c>
      <c r="D324" s="3" t="str">
        <f>IFERROR(__xludf.DUMMYFUNCTION("""COMPUTED_VALUE"""),"6603793")</f>
        <v>6603793</v>
      </c>
      <c r="E324" s="3" t="str">
        <f>IFERROR(__xludf.DUMMYFUNCTION("""COMPUTED_VALUE"""),"39")</f>
        <v>39</v>
      </c>
      <c r="F324" s="3" t="str">
        <f>IFERROR(__xludf.DUMMYFUNCTION("""COMPUTED_VALUE"""),"นพอ.พิชญาภัค สุวรรณสาม")</f>
        <v>นพอ.พิชญาภัค สุวรรณสาม</v>
      </c>
      <c r="G324" s="3" t="str">
        <f>IFERROR(__xludf.DUMMYFUNCTION("""COMPUTED_VALUE"""),"ช่วยเหลืองานภายใน วพอ.")</f>
        <v>ช่วยเหลืองานภายใน วพอ.</v>
      </c>
      <c r="H324" s="3" t="str">
        <f>IFERROR(__xludf.DUMMYFUNCTION("""COMPUTED_VALUE"""),"ทำการแทนนักเรียนปกครอง")</f>
        <v>ทำการแทนนักเรียนปกครอง</v>
      </c>
      <c r="I324" s="3" t="str">
        <f>IFERROR(__xludf.DUMMYFUNCTION("""COMPUTED_VALUE"""),"วพอ.พอ.")</f>
        <v>วพอ.พอ.</v>
      </c>
      <c r="J324" s="12">
        <f>IFERROR(__xludf.DUMMYFUNCTION("""COMPUTED_VALUE"""),45938.0)</f>
        <v>45938</v>
      </c>
      <c r="K324" s="3" t="str">
        <f>IFERROR(__xludf.DUMMYFUNCTION("""COMPUTED_VALUE"""),"0800-1600")</f>
        <v>0800-1600</v>
      </c>
      <c r="L324" s="3">
        <f>IFERROR(__xludf.DUMMYFUNCTION("""COMPUTED_VALUE"""),8.0)</f>
        <v>8</v>
      </c>
      <c r="M324" s="3" t="str">
        <f>IFERROR(__xludf.DUMMYFUNCTION("""COMPUTED_VALUE"""),"ร.อ.อนุชิต ทำจะดี")</f>
        <v>ร.อ.อนุชิต ทำจะดี</v>
      </c>
      <c r="N324" s="14" t="str">
        <f>IFERROR(__xludf.DUMMYFUNCTION("""COMPUTED_VALUE"""),"https://lh5.googleusercontent.com/d/17qXDR4JTd72mKP93PgK-c1eSMmnNRU9d")</f>
        <v>https://lh5.googleusercontent.com/d/17qXDR4JTd72mKP93PgK-c1eSMmnNRU9d</v>
      </c>
      <c r="O324" s="14" t="str">
        <f>IFERROR(__xludf.DUMMYFUNCTION("""COMPUTED_VALUE"""),"https://drive.google.com/file/d/1tF27o8HXvXxTkpqf3JdT5a_hfkBu6QTC/view?usp=drivesdk")</f>
        <v>https://drive.google.com/file/d/1tF27o8HXvXxTkpqf3JdT5a_hfkBu6QTC/view?usp=drivesdk</v>
      </c>
    </row>
    <row r="325">
      <c r="A325" s="3">
        <f>IFERROR(__xludf.DUMMYFUNCTION("""COMPUTED_VALUE"""),1280.0)</f>
        <v>1280</v>
      </c>
      <c r="B325" s="11">
        <f>IFERROR(__xludf.DUMMYFUNCTION("""COMPUTED_VALUE"""),45998.7026740625)</f>
        <v>45998.70267</v>
      </c>
      <c r="C325" s="3" t="str">
        <f>IFERROR(__xludf.DUMMYFUNCTION("""COMPUTED_VALUE"""),"ชั้นปีที่ 3")</f>
        <v>ชั้นปีที่ 3</v>
      </c>
      <c r="D325" s="3" t="str">
        <f>IFERROR(__xludf.DUMMYFUNCTION("""COMPUTED_VALUE"""),"6603793")</f>
        <v>6603793</v>
      </c>
      <c r="E325" s="3" t="str">
        <f>IFERROR(__xludf.DUMMYFUNCTION("""COMPUTED_VALUE"""),"39")</f>
        <v>39</v>
      </c>
      <c r="F325" s="3" t="str">
        <f>IFERROR(__xludf.DUMMYFUNCTION("""COMPUTED_VALUE"""),"นพอ.พิชญาภัค สุวรรณสาม")</f>
        <v>นพอ.พิชญาภัค สุวรรณสาม</v>
      </c>
      <c r="G325" s="3" t="str">
        <f>IFERROR(__xludf.DUMMYFUNCTION("""COMPUTED_VALUE"""),"ช่วยเหลืองานภายใน วพอ.")</f>
        <v>ช่วยเหลืองานภายใน วพอ.</v>
      </c>
      <c r="H325" s="3" t="str">
        <f>IFERROR(__xludf.DUMMYFUNCTION("""COMPUTED_VALUE"""),"ทำการแทนนักเรียนปกครอง")</f>
        <v>ทำการแทนนักเรียนปกครอง</v>
      </c>
      <c r="I325" s="3" t="str">
        <f>IFERROR(__xludf.DUMMYFUNCTION("""COMPUTED_VALUE"""),"วพอ.พอ.")</f>
        <v>วพอ.พอ.</v>
      </c>
      <c r="J325" s="12">
        <f>IFERROR(__xludf.DUMMYFUNCTION("""COMPUTED_VALUE"""),45939.0)</f>
        <v>45939</v>
      </c>
      <c r="K325" s="3" t="str">
        <f>IFERROR(__xludf.DUMMYFUNCTION("""COMPUTED_VALUE"""),"0800-1600")</f>
        <v>0800-1600</v>
      </c>
      <c r="L325" s="3">
        <f>IFERROR(__xludf.DUMMYFUNCTION("""COMPUTED_VALUE"""),8.0)</f>
        <v>8</v>
      </c>
      <c r="M325" s="3" t="str">
        <f>IFERROR(__xludf.DUMMYFUNCTION("""COMPUTED_VALUE"""),"ร.อ.อนุชิต ทำจะดี")</f>
        <v>ร.อ.อนุชิต ทำจะดี</v>
      </c>
      <c r="N325" s="14" t="str">
        <f>IFERROR(__xludf.DUMMYFUNCTION("""COMPUTED_VALUE"""),"https://lh5.googleusercontent.com/d/1lVxEnId39eSymjpLQ89S-EjGsXOZy6uh")</f>
        <v>https://lh5.googleusercontent.com/d/1lVxEnId39eSymjpLQ89S-EjGsXOZy6uh</v>
      </c>
      <c r="O325" s="14" t="str">
        <f>IFERROR(__xludf.DUMMYFUNCTION("""COMPUTED_VALUE"""),"https://drive.google.com/file/d/1WBK4eSksBQ_gGRyTjhzEi10rNLBc_PvA/view?usp=drivesdk")</f>
        <v>https://drive.google.com/file/d/1WBK4eSksBQ_gGRyTjhzEi10rNLBc_PvA/view?usp=drivesdk</v>
      </c>
    </row>
    <row r="326">
      <c r="A326" s="3">
        <f>IFERROR(__xludf.DUMMYFUNCTION("""COMPUTED_VALUE"""),1281.0)</f>
        <v>1281</v>
      </c>
      <c r="B326" s="11">
        <f>IFERROR(__xludf.DUMMYFUNCTION("""COMPUTED_VALUE"""),45998.705140138896)</f>
        <v>45998.70514</v>
      </c>
      <c r="C326" s="3" t="str">
        <f>IFERROR(__xludf.DUMMYFUNCTION("""COMPUTED_VALUE"""),"ชั้นปีที่ 3")</f>
        <v>ชั้นปีที่ 3</v>
      </c>
      <c r="D326" s="3" t="str">
        <f>IFERROR(__xludf.DUMMYFUNCTION("""COMPUTED_VALUE"""),"6603793")</f>
        <v>6603793</v>
      </c>
      <c r="E326" s="3" t="str">
        <f>IFERROR(__xludf.DUMMYFUNCTION("""COMPUTED_VALUE"""),"39")</f>
        <v>39</v>
      </c>
      <c r="F326" s="3" t="str">
        <f>IFERROR(__xludf.DUMMYFUNCTION("""COMPUTED_VALUE"""),"นพอ.พิชญาภัค สุวรรณสาม")</f>
        <v>นพอ.พิชญาภัค สุวรรณสาม</v>
      </c>
      <c r="G326" s="3" t="str">
        <f>IFERROR(__xludf.DUMMYFUNCTION("""COMPUTED_VALUE"""),"ช่วยเหลืองานภายใน วพอ.")</f>
        <v>ช่วยเหลืองานภายใน วพอ.</v>
      </c>
      <c r="H326" s="3" t="str">
        <f>IFERROR(__xludf.DUMMYFUNCTION("""COMPUTED_VALUE"""),"ทำการแทนนักเรียนปกครอง")</f>
        <v>ทำการแทนนักเรียนปกครอง</v>
      </c>
      <c r="I326" s="3" t="str">
        <f>IFERROR(__xludf.DUMMYFUNCTION("""COMPUTED_VALUE"""),"วพอ.พอ.")</f>
        <v>วพอ.พอ.</v>
      </c>
      <c r="J326" s="12">
        <f>IFERROR(__xludf.DUMMYFUNCTION("""COMPUTED_VALUE"""),45940.0)</f>
        <v>45940</v>
      </c>
      <c r="K326" s="3" t="str">
        <f>IFERROR(__xludf.DUMMYFUNCTION("""COMPUTED_VALUE"""),"0800-1200")</f>
        <v>0800-1200</v>
      </c>
      <c r="L326" s="3">
        <f>IFERROR(__xludf.DUMMYFUNCTION("""COMPUTED_VALUE"""),4.0)</f>
        <v>4</v>
      </c>
      <c r="M326" s="3" t="str">
        <f>IFERROR(__xludf.DUMMYFUNCTION("""COMPUTED_VALUE"""),"ร.อ.อนุชิต ทำจะดี")</f>
        <v>ร.อ.อนุชิต ทำจะดี</v>
      </c>
      <c r="N326" s="14" t="str">
        <f>IFERROR(__xludf.DUMMYFUNCTION("""COMPUTED_VALUE"""),"https://lh5.googleusercontent.com/d/1DTYB6RHYnliNaNcTdGMI7IMf6vsD-1s5")</f>
        <v>https://lh5.googleusercontent.com/d/1DTYB6RHYnliNaNcTdGMI7IMf6vsD-1s5</v>
      </c>
      <c r="O326" s="14" t="str">
        <f>IFERROR(__xludf.DUMMYFUNCTION("""COMPUTED_VALUE"""),"https://drive.google.com/file/d/1pkgp2tyjHTtgZZtrlKnLAF71AU_3Ciq_/view?usp=drivesdk")</f>
        <v>https://drive.google.com/file/d/1pkgp2tyjHTtgZZtrlKnLAF71AU_3Ciq_/view?usp=drivesdk</v>
      </c>
    </row>
    <row r="327">
      <c r="A327" s="3">
        <f>IFERROR(__xludf.DUMMYFUNCTION("""COMPUTED_VALUE"""),1283.0)</f>
        <v>1283</v>
      </c>
      <c r="B327" s="11">
        <f>IFERROR(__xludf.DUMMYFUNCTION("""COMPUTED_VALUE"""),45998.71095586805)</f>
        <v>45998.71096</v>
      </c>
      <c r="C327" s="3" t="str">
        <f>IFERROR(__xludf.DUMMYFUNCTION("""COMPUTED_VALUE"""),"ชั้นปีที่ 3")</f>
        <v>ชั้นปีที่ 3</v>
      </c>
      <c r="D327" s="3" t="str">
        <f>IFERROR(__xludf.DUMMYFUNCTION("""COMPUTED_VALUE"""),"6603793")</f>
        <v>6603793</v>
      </c>
      <c r="E327" s="3" t="str">
        <f>IFERROR(__xludf.DUMMYFUNCTION("""COMPUTED_VALUE"""),"39")</f>
        <v>39</v>
      </c>
      <c r="F327" s="3" t="str">
        <f>IFERROR(__xludf.DUMMYFUNCTION("""COMPUTED_VALUE"""),"นพอ.พิชญาภัค สุวรรณสาม")</f>
        <v>นพอ.พิชญาภัค สุวรรณสาม</v>
      </c>
      <c r="G327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27" s="3" t="str">
        <f>IFERROR(__xludf.DUMMYFUNCTION("""COMPUTED_VALUE"""),"รับเสด็จ")</f>
        <v>รับเสด็จ</v>
      </c>
      <c r="I327" s="3" t="str">
        <f>IFERROR(__xludf.DUMMYFUNCTION("""COMPUTED_VALUE"""),"มหาวิทยาลัยมหิดล")</f>
        <v>มหาวิทยาลัยมหิดล</v>
      </c>
      <c r="J327" s="12">
        <f>IFERROR(__xludf.DUMMYFUNCTION("""COMPUTED_VALUE"""),45940.0)</f>
        <v>45940</v>
      </c>
      <c r="K327" s="3" t="str">
        <f>IFERROR(__xludf.DUMMYFUNCTION("""COMPUTED_VALUE"""),"0600-1000")</f>
        <v>0600-1000</v>
      </c>
      <c r="L327" s="3">
        <f>IFERROR(__xludf.DUMMYFUNCTION("""COMPUTED_VALUE"""),4.0)</f>
        <v>4</v>
      </c>
      <c r="M327" s="3" t="str">
        <f>IFERROR(__xludf.DUMMYFUNCTION("""COMPUTED_VALUE"""),"น.ท.หญิง สุพัตรา ปิ่นแก้ว")</f>
        <v>น.ท.หญิง สุพัตรา ปิ่นแก้ว</v>
      </c>
      <c r="N327" s="14" t="str">
        <f>IFERROR(__xludf.DUMMYFUNCTION("""COMPUTED_VALUE"""),"https://lh5.googleusercontent.com/d/1sW32eyTQjvyoQY_oN5D_PABkwFJ6lgmJ")</f>
        <v>https://lh5.googleusercontent.com/d/1sW32eyTQjvyoQY_oN5D_PABkwFJ6lgmJ</v>
      </c>
      <c r="O327" s="14" t="str">
        <f>IFERROR(__xludf.DUMMYFUNCTION("""COMPUTED_VALUE"""),"https://drive.google.com/file/d/1PjKU3UQ7ilm4EOrxAYwJ6LDRfd-0-dSO/view?usp=drivesdk")</f>
        <v>https://drive.google.com/file/d/1PjKU3UQ7ilm4EOrxAYwJ6LDRfd-0-dSO/view?usp=drivesdk</v>
      </c>
    </row>
    <row r="328">
      <c r="A328" s="3">
        <f>IFERROR(__xludf.DUMMYFUNCTION("""COMPUTED_VALUE"""),1284.0)</f>
        <v>1284</v>
      </c>
      <c r="B328" s="11">
        <f>IFERROR(__xludf.DUMMYFUNCTION("""COMPUTED_VALUE"""),45998.77182351852)</f>
        <v>45998.77182</v>
      </c>
      <c r="C328" s="3" t="str">
        <f>IFERROR(__xludf.DUMMYFUNCTION("""COMPUTED_VALUE"""),"ชั้นปีที่ 3")</f>
        <v>ชั้นปีที่ 3</v>
      </c>
      <c r="D328" s="3" t="str">
        <f>IFERROR(__xludf.DUMMYFUNCTION("""COMPUTED_VALUE"""),"6603804")</f>
        <v>6603804</v>
      </c>
      <c r="E328" s="3" t="str">
        <f>IFERROR(__xludf.DUMMYFUNCTION("""COMPUTED_VALUE"""),"50")</f>
        <v>50</v>
      </c>
      <c r="F328" s="3" t="str">
        <f>IFERROR(__xludf.DUMMYFUNCTION("""COMPUTED_VALUE"""),"นพอ.ศิริวรรณ บริบูรณ์")</f>
        <v>นพอ.ศิริวรรณ บริบูรณ์</v>
      </c>
      <c r="G32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28" s="3" t="str">
        <f>IFERROR(__xludf.DUMMYFUNCTION("""COMPUTED_VALUE"""),"บริจาคเลือด")</f>
        <v>บริจาคเลือด</v>
      </c>
      <c r="I328" s="3" t="str">
        <f>IFERROR(__xludf.DUMMYFUNCTION("""COMPUTED_VALUE"""),"รพ.ภูมิพลฯ")</f>
        <v>รพ.ภูมิพลฯ</v>
      </c>
      <c r="J328" s="12">
        <f>IFERROR(__xludf.DUMMYFUNCTION("""COMPUTED_VALUE"""),45874.0)</f>
        <v>45874</v>
      </c>
      <c r="K328" s="3" t="str">
        <f>IFERROR(__xludf.DUMMYFUNCTION("""COMPUTED_VALUE"""),"1200-1300")</f>
        <v>1200-1300</v>
      </c>
      <c r="L328" s="3">
        <f>IFERROR(__xludf.DUMMYFUNCTION("""COMPUTED_VALUE"""),8.0)</f>
        <v>8</v>
      </c>
      <c r="M328" s="3" t="str">
        <f>IFERROR(__xludf.DUMMYFUNCTION("""COMPUTED_VALUE"""),"ร.ท.เรวัต วัชรสิทธิ์")</f>
        <v>ร.ท.เรวัต วัชรสิทธิ์</v>
      </c>
      <c r="N328" s="14" t="str">
        <f>IFERROR(__xludf.DUMMYFUNCTION("""COMPUTED_VALUE"""),"https://lh5.googleusercontent.com/d/11OprIm5Eh-oalT44QtwZMO4tgxjJS0Ic")</f>
        <v>https://lh5.googleusercontent.com/d/11OprIm5Eh-oalT44QtwZMO4tgxjJS0Ic</v>
      </c>
      <c r="O328" s="14" t="str">
        <f>IFERROR(__xludf.DUMMYFUNCTION("""COMPUTED_VALUE"""),"https://drive.google.com/file/d/1mMxnLxMDMCE9qeOJhM-6tw1ZPNZlMuP6/view?usp=drivesdk")</f>
        <v>https://drive.google.com/file/d/1mMxnLxMDMCE9qeOJhM-6tw1ZPNZlMuP6/view?usp=drivesdk</v>
      </c>
    </row>
    <row r="329">
      <c r="A329" s="3">
        <f>IFERROR(__xludf.DUMMYFUNCTION("""COMPUTED_VALUE"""),1306.0)</f>
        <v>1306</v>
      </c>
      <c r="B329" s="11">
        <f>IFERROR(__xludf.DUMMYFUNCTION("""COMPUTED_VALUE"""),45998.85202409722)</f>
        <v>45998.85202</v>
      </c>
      <c r="C329" s="3" t="str">
        <f>IFERROR(__xludf.DUMMYFUNCTION("""COMPUTED_VALUE"""),"ชั้นปีที่ 3")</f>
        <v>ชั้นปีที่ 3</v>
      </c>
      <c r="D329" s="3" t="str">
        <f>IFERROR(__xludf.DUMMYFUNCTION("""COMPUTED_VALUE"""),"6603776")</f>
        <v>6603776</v>
      </c>
      <c r="E329" s="3" t="str">
        <f>IFERROR(__xludf.DUMMYFUNCTION("""COMPUTED_VALUE"""),"22")</f>
        <v>22</v>
      </c>
      <c r="F329" s="3" t="str">
        <f>IFERROR(__xludf.DUMMYFUNCTION("""COMPUTED_VALUE"""),"นพอ.นภชนก อัครวุฒิญาณ")</f>
        <v>นพอ.นภชนก อัครวุฒิญาณ</v>
      </c>
      <c r="G32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9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29" s="3" t="str">
        <f>IFERROR(__xludf.DUMMYFUNCTION("""COMPUTED_VALUE"""),"ชุมชนวัดเกาะ")</f>
        <v>ชุมชนวัดเกาะ</v>
      </c>
      <c r="J329" s="12">
        <f>IFERROR(__xludf.DUMMYFUNCTION("""COMPUTED_VALUE"""),45823.0)</f>
        <v>45823</v>
      </c>
      <c r="K329" s="3" t="str">
        <f>IFERROR(__xludf.DUMMYFUNCTION("""COMPUTED_VALUE"""),"0800-1200")</f>
        <v>0800-1200</v>
      </c>
      <c r="L329" s="3">
        <f>IFERROR(__xludf.DUMMYFUNCTION("""COMPUTED_VALUE"""),4.0)</f>
        <v>4</v>
      </c>
      <c r="M329" s="3" t="str">
        <f>IFERROR(__xludf.DUMMYFUNCTION("""COMPUTED_VALUE"""),"น.ต.หญิง ตวงทิพย์ ลดาวัลย์")</f>
        <v>น.ต.หญิง ตวงทิพย์ ลดาวัลย์</v>
      </c>
      <c r="N329" s="14" t="str">
        <f>IFERROR(__xludf.DUMMYFUNCTION("""COMPUTED_VALUE"""),"https://lh5.googleusercontent.com/d/1DrnTyJrKJeCL2igd5gcbp09vgzwE-qVh")</f>
        <v>https://lh5.googleusercontent.com/d/1DrnTyJrKJeCL2igd5gcbp09vgzwE-qVh</v>
      </c>
      <c r="O329" s="14" t="str">
        <f>IFERROR(__xludf.DUMMYFUNCTION("""COMPUTED_VALUE"""),"https://drive.google.com/file/d/1oxHWDlJdf1hyYoMN-lQePrjV3sbY5kya/view?usp=drivesdk")</f>
        <v>https://drive.google.com/file/d/1oxHWDlJdf1hyYoMN-lQePrjV3sbY5kya/view?usp=drivesdk</v>
      </c>
    </row>
    <row r="330">
      <c r="A330" s="3">
        <f>IFERROR(__xludf.DUMMYFUNCTION("""COMPUTED_VALUE"""),1307.0)</f>
        <v>1307</v>
      </c>
      <c r="B330" s="11">
        <f>IFERROR(__xludf.DUMMYFUNCTION("""COMPUTED_VALUE"""),45998.853609618054)</f>
        <v>45998.85361</v>
      </c>
      <c r="C330" s="3" t="str">
        <f>IFERROR(__xludf.DUMMYFUNCTION("""COMPUTED_VALUE"""),"ชั้นปีที่ 3")</f>
        <v>ชั้นปีที่ 3</v>
      </c>
      <c r="D330" s="3" t="str">
        <f>IFERROR(__xludf.DUMMYFUNCTION("""COMPUTED_VALUE"""),"6603808")</f>
        <v>6603808</v>
      </c>
      <c r="E330" s="3" t="str">
        <f>IFERROR(__xludf.DUMMYFUNCTION("""COMPUTED_VALUE"""),"54")</f>
        <v>54</v>
      </c>
      <c r="F330" s="3" t="str">
        <f>IFERROR(__xludf.DUMMYFUNCTION("""COMPUTED_VALUE"""),"นพอ.สุชานันท์ ดิสระมุณี")</f>
        <v>นพอ.สุชานันท์ ดิสระมุณี</v>
      </c>
      <c r="G330" s="3" t="str">
        <f>IFERROR(__xludf.DUMMYFUNCTION("""COMPUTED_VALUE"""),"ช่วยเหลืองานภายใน วพอ.")</f>
        <v>ช่วยเหลืองานภายใน วพอ.</v>
      </c>
      <c r="H330" s="3" t="str">
        <f>IFERROR(__xludf.DUMMYFUNCTION("""COMPUTED_VALUE"""),"Buddy Korea")</f>
        <v>Buddy Korea</v>
      </c>
      <c r="I330" s="3" t="str">
        <f>IFERROR(__xludf.DUMMYFUNCTION("""COMPUTED_VALUE"""),"วิทยาลัยพยาบาลทหารอากาศ")</f>
        <v>วิทยาลัยพยาบาลทหารอากาศ</v>
      </c>
      <c r="J330" s="12">
        <f>IFERROR(__xludf.DUMMYFUNCTION("""COMPUTED_VALUE"""),45949.0)</f>
        <v>45949</v>
      </c>
      <c r="K330" s="3" t="str">
        <f>IFERROR(__xludf.DUMMYFUNCTION("""COMPUTED_VALUE"""),"2000-2400")</f>
        <v>2000-2400</v>
      </c>
      <c r="L330" s="3">
        <f>IFERROR(__xludf.DUMMYFUNCTION("""COMPUTED_VALUE"""),4.0)</f>
        <v>4</v>
      </c>
      <c r="M330" s="3" t="str">
        <f>IFERROR(__xludf.DUMMYFUNCTION("""COMPUTED_VALUE"""),"น.ต.หญิง ประไพศรี ศุภางค์ภร")</f>
        <v>น.ต.หญิง ประไพศรี ศุภางค์ภร</v>
      </c>
      <c r="N330" s="14" t="str">
        <f>IFERROR(__xludf.DUMMYFUNCTION("""COMPUTED_VALUE"""),"https://lh5.googleusercontent.com/d/1uvyIH39gSRJ4hXhgI9B1Z9WQD_VJEAmi")</f>
        <v>https://lh5.googleusercontent.com/d/1uvyIH39gSRJ4hXhgI9B1Z9WQD_VJEAmi</v>
      </c>
      <c r="O330" s="14" t="str">
        <f>IFERROR(__xludf.DUMMYFUNCTION("""COMPUTED_VALUE"""),"https://drive.google.com/file/d/1L7IAuYuySHVH0ZcrK1CBBbnUfmT3M9Q0/view?usp=drivesdk")</f>
        <v>https://drive.google.com/file/d/1L7IAuYuySHVH0ZcrK1CBBbnUfmT3M9Q0/view?usp=drivesdk</v>
      </c>
    </row>
    <row r="331">
      <c r="A331" s="3">
        <f>IFERROR(__xludf.DUMMYFUNCTION("""COMPUTED_VALUE"""),1308.0)</f>
        <v>1308</v>
      </c>
      <c r="B331" s="11">
        <f>IFERROR(__xludf.DUMMYFUNCTION("""COMPUTED_VALUE"""),45998.85445079861)</f>
        <v>45998.85445</v>
      </c>
      <c r="C331" s="3" t="str">
        <f>IFERROR(__xludf.DUMMYFUNCTION("""COMPUTED_VALUE"""),"ชั้นปีที่ 3")</f>
        <v>ชั้นปีที่ 3</v>
      </c>
      <c r="D331" s="3" t="str">
        <f>IFERROR(__xludf.DUMMYFUNCTION("""COMPUTED_VALUE"""),"6603778")</f>
        <v>6603778</v>
      </c>
      <c r="E331" s="3" t="str">
        <f>IFERROR(__xludf.DUMMYFUNCTION("""COMPUTED_VALUE"""),"24")</f>
        <v>24</v>
      </c>
      <c r="F331" s="3" t="str">
        <f>IFERROR(__xludf.DUMMYFUNCTION("""COMPUTED_VALUE"""),"นพอ.นันท์นภัส เคนสุวรรณ")</f>
        <v>นพอ.นันท์นภัส เคนสุวรรณ</v>
      </c>
      <c r="G3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1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31" s="3" t="str">
        <f>IFERROR(__xludf.DUMMYFUNCTION("""COMPUTED_VALUE"""),"ชุมชนวัดเกาะ")</f>
        <v>ชุมชนวัดเกาะ</v>
      </c>
      <c r="J331" s="12">
        <f>IFERROR(__xludf.DUMMYFUNCTION("""COMPUTED_VALUE"""),45823.0)</f>
        <v>45823</v>
      </c>
      <c r="K331" s="3" t="str">
        <f>IFERROR(__xludf.DUMMYFUNCTION("""COMPUTED_VALUE"""),"0800-1200")</f>
        <v>0800-1200</v>
      </c>
      <c r="L331" s="3">
        <f>IFERROR(__xludf.DUMMYFUNCTION("""COMPUTED_VALUE"""),4.0)</f>
        <v>4</v>
      </c>
      <c r="M331" s="3" t="str">
        <f>IFERROR(__xludf.DUMMYFUNCTION("""COMPUTED_VALUE"""),"น.ต.หญิง ตวงทิพย์ ลัดดาวัลย์")</f>
        <v>น.ต.หญิง ตวงทิพย์ ลัดดาวัลย์</v>
      </c>
      <c r="N331" s="14" t="str">
        <f>IFERROR(__xludf.DUMMYFUNCTION("""COMPUTED_VALUE"""),"https://lh5.googleusercontent.com/d/1G6-xT7u1bVJ53WnT1czcMrU8tN2dnejK")</f>
        <v>https://lh5.googleusercontent.com/d/1G6-xT7u1bVJ53WnT1czcMrU8tN2dnejK</v>
      </c>
      <c r="O331" s="14" t="str">
        <f>IFERROR(__xludf.DUMMYFUNCTION("""COMPUTED_VALUE"""),"https://drive.google.com/file/d/1V_xvMTwC7vVYTCkh2zoMh5MZu2Gcya5U/view?usp=drivesdk")</f>
        <v>https://drive.google.com/file/d/1V_xvMTwC7vVYTCkh2zoMh5MZu2Gcya5U/view?usp=drivesdk</v>
      </c>
    </row>
    <row r="332">
      <c r="A332" s="3">
        <f>IFERROR(__xludf.DUMMYFUNCTION("""COMPUTED_VALUE"""),1310.0)</f>
        <v>1310</v>
      </c>
      <c r="B332" s="11">
        <f>IFERROR(__xludf.DUMMYFUNCTION("""COMPUTED_VALUE"""),45998.85533399305)</f>
        <v>45998.85533</v>
      </c>
      <c r="C332" s="3" t="str">
        <f>IFERROR(__xludf.DUMMYFUNCTION("""COMPUTED_VALUE"""),"ชั้นปีที่ 3")</f>
        <v>ชั้นปีที่ 3</v>
      </c>
      <c r="D332" s="3" t="str">
        <f>IFERROR(__xludf.DUMMYFUNCTION("""COMPUTED_VALUE"""),"6603776")</f>
        <v>6603776</v>
      </c>
      <c r="E332" s="3" t="str">
        <f>IFERROR(__xludf.DUMMYFUNCTION("""COMPUTED_VALUE"""),"22")</f>
        <v>22</v>
      </c>
      <c r="F332" s="3" t="str">
        <f>IFERROR(__xludf.DUMMYFUNCTION("""COMPUTED_VALUE"""),"นพอ.นภชนก อัครวุฒิญาณ")</f>
        <v>นพอ.นภชนก อัครวุฒิญาณ</v>
      </c>
      <c r="G3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2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3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32" s="12">
        <f>IFERROR(__xludf.DUMMYFUNCTION("""COMPUTED_VALUE"""),45839.0)</f>
        <v>45839</v>
      </c>
      <c r="K332" s="3" t="str">
        <f>IFERROR(__xludf.DUMMYFUNCTION("""COMPUTED_VALUE"""),"1400-2200")</f>
        <v>1400-2200</v>
      </c>
      <c r="L332" s="3">
        <f>IFERROR(__xludf.DUMMYFUNCTION("""COMPUTED_VALUE"""),8.0)</f>
        <v>8</v>
      </c>
      <c r="M332" s="3" t="str">
        <f>IFERROR(__xludf.DUMMYFUNCTION("""COMPUTED_VALUE"""),"ร.อ.อนุชิต ทำจะดี")</f>
        <v>ร.อ.อนุชิต ทำจะดี</v>
      </c>
      <c r="N332" s="14" t="str">
        <f>IFERROR(__xludf.DUMMYFUNCTION("""COMPUTED_VALUE"""),"https://lh5.googleusercontent.com/d/1yuxCGJIWwTnkgMRooHMAfSHj2FN4rino")</f>
        <v>https://lh5.googleusercontent.com/d/1yuxCGJIWwTnkgMRooHMAfSHj2FN4rino</v>
      </c>
      <c r="O332" s="14" t="str">
        <f>IFERROR(__xludf.DUMMYFUNCTION("""COMPUTED_VALUE"""),"https://drive.google.com/file/d/1Y6_GmnW7dNgSH5zEnvJSYt3SYCrHMleN/view?usp=drivesdk")</f>
        <v>https://drive.google.com/file/d/1Y6_GmnW7dNgSH5zEnvJSYt3SYCrHMleN/view?usp=drivesdk</v>
      </c>
    </row>
    <row r="333">
      <c r="A333" s="3">
        <f>IFERROR(__xludf.DUMMYFUNCTION("""COMPUTED_VALUE"""),1311.0)</f>
        <v>1311</v>
      </c>
      <c r="B333" s="11">
        <f>IFERROR(__xludf.DUMMYFUNCTION("""COMPUTED_VALUE"""),45998.855597974536)</f>
        <v>45998.8556</v>
      </c>
      <c r="C333" s="3" t="str">
        <f>IFERROR(__xludf.DUMMYFUNCTION("""COMPUTED_VALUE"""),"ชั้นปีที่ 3")</f>
        <v>ชั้นปีที่ 3</v>
      </c>
      <c r="D333" s="3" t="str">
        <f>IFERROR(__xludf.DUMMYFUNCTION("""COMPUTED_VALUE"""),"6603808")</f>
        <v>6603808</v>
      </c>
      <c r="E333" s="3" t="str">
        <f>IFERROR(__xludf.DUMMYFUNCTION("""COMPUTED_VALUE"""),"54")</f>
        <v>54</v>
      </c>
      <c r="F333" s="3" t="str">
        <f>IFERROR(__xludf.DUMMYFUNCTION("""COMPUTED_VALUE"""),"นพอ.สุชานันท์ ดิสระมุณี")</f>
        <v>นพอ.สุชานันท์ ดิสระมุณี</v>
      </c>
      <c r="G333" s="3" t="str">
        <f>IFERROR(__xludf.DUMMYFUNCTION("""COMPUTED_VALUE"""),"ช่วยเหลืองานภายใน วพอ.")</f>
        <v>ช่วยเหลืองานภายใน วพอ.</v>
      </c>
      <c r="H333" s="3" t="str">
        <f>IFERROR(__xludf.DUMMYFUNCTION("""COMPUTED_VALUE"""),"Buddy Korea")</f>
        <v>Buddy Korea</v>
      </c>
      <c r="I333" s="3" t="str">
        <f>IFERROR(__xludf.DUMMYFUNCTION("""COMPUTED_VALUE"""),"วิทยาลัยพยาบาลทหารอากาศ")</f>
        <v>วิทยาลัยพยาบาลทหารอากาศ</v>
      </c>
      <c r="J333" s="12">
        <f>IFERROR(__xludf.DUMMYFUNCTION("""COMPUTED_VALUE"""),45950.0)</f>
        <v>45950</v>
      </c>
      <c r="K333" s="3" t="str">
        <f>IFERROR(__xludf.DUMMYFUNCTION("""COMPUTED_VALUE"""),"1800-2200")</f>
        <v>1800-2200</v>
      </c>
      <c r="L333" s="3">
        <f>IFERROR(__xludf.DUMMYFUNCTION("""COMPUTED_VALUE"""),4.0)</f>
        <v>4</v>
      </c>
      <c r="M333" s="3" t="str">
        <f>IFERROR(__xludf.DUMMYFUNCTION("""COMPUTED_VALUE"""),"น.ต.หญิง ประไพศรี ศุภางค์ภร")</f>
        <v>น.ต.หญิง ประไพศรี ศุภางค์ภร</v>
      </c>
      <c r="N333" s="14" t="str">
        <f>IFERROR(__xludf.DUMMYFUNCTION("""COMPUTED_VALUE"""),"https://lh5.googleusercontent.com/d/1V3HmkyniVNjlhOjVin4dG5vnxcsjif_w")</f>
        <v>https://lh5.googleusercontent.com/d/1V3HmkyniVNjlhOjVin4dG5vnxcsjif_w</v>
      </c>
      <c r="O333" s="14" t="str">
        <f>IFERROR(__xludf.DUMMYFUNCTION("""COMPUTED_VALUE"""),"https://drive.google.com/file/d/1W6AB7zXpF4gcxKl0c2YUeapgqt5LMevs/view?usp=drivesdk")</f>
        <v>https://drive.google.com/file/d/1W6AB7zXpF4gcxKl0c2YUeapgqt5LMevs/view?usp=drivesdk</v>
      </c>
    </row>
    <row r="334">
      <c r="A334" s="3">
        <f>IFERROR(__xludf.DUMMYFUNCTION("""COMPUTED_VALUE"""),1312.0)</f>
        <v>1312</v>
      </c>
      <c r="B334" s="11">
        <f>IFERROR(__xludf.DUMMYFUNCTION("""COMPUTED_VALUE"""),45998.85643209491)</f>
        <v>45998.85643</v>
      </c>
      <c r="C334" s="3" t="str">
        <f>IFERROR(__xludf.DUMMYFUNCTION("""COMPUTED_VALUE"""),"ชั้นปีที่ 3")</f>
        <v>ชั้นปีที่ 3</v>
      </c>
      <c r="D334" s="3" t="str">
        <f>IFERROR(__xludf.DUMMYFUNCTION("""COMPUTED_VALUE"""),"6603776")</f>
        <v>6603776</v>
      </c>
      <c r="E334" s="3" t="str">
        <f>IFERROR(__xludf.DUMMYFUNCTION("""COMPUTED_VALUE"""),"22")</f>
        <v>22</v>
      </c>
      <c r="F334" s="3" t="str">
        <f>IFERROR(__xludf.DUMMYFUNCTION("""COMPUTED_VALUE"""),"นพอ.นภชนก อัครวุฒิญาณ")</f>
        <v>นพอ.นภชนก อัครวุฒิญาณ</v>
      </c>
      <c r="G3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4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3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34" s="12">
        <f>IFERROR(__xludf.DUMMYFUNCTION("""COMPUTED_VALUE"""),45998.0)</f>
        <v>45998</v>
      </c>
      <c r="K334" s="3" t="str">
        <f>IFERROR(__xludf.DUMMYFUNCTION("""COMPUTED_VALUE"""),"1400-2200")</f>
        <v>1400-2200</v>
      </c>
      <c r="L334" s="3">
        <f>IFERROR(__xludf.DUMMYFUNCTION("""COMPUTED_VALUE"""),8.0)</f>
        <v>8</v>
      </c>
      <c r="M334" s="3" t="str">
        <f>IFERROR(__xludf.DUMMYFUNCTION("""COMPUTED_VALUE"""),"ร.อ.อนุชิต ทำจะดี")</f>
        <v>ร.อ.อนุชิต ทำจะดี</v>
      </c>
      <c r="N334" s="14" t="str">
        <f>IFERROR(__xludf.DUMMYFUNCTION("""COMPUTED_VALUE"""),"https://lh5.googleusercontent.com/d/1nuemi20ys9Nw0NWy7wK6iji3cV9Wrog6")</f>
        <v>https://lh5.googleusercontent.com/d/1nuemi20ys9Nw0NWy7wK6iji3cV9Wrog6</v>
      </c>
      <c r="O334" s="14" t="str">
        <f>IFERROR(__xludf.DUMMYFUNCTION("""COMPUTED_VALUE"""),"https://drive.google.com/file/d/17aA-_6j8OzdOZbV1eHUL_g9IjIm_tdQO/view?usp=drivesdk")</f>
        <v>https://drive.google.com/file/d/17aA-_6j8OzdOZbV1eHUL_g9IjIm_tdQO/view?usp=drivesdk</v>
      </c>
    </row>
    <row r="335">
      <c r="A335" s="3">
        <f>IFERROR(__xludf.DUMMYFUNCTION("""COMPUTED_VALUE"""),1314.0)</f>
        <v>1314</v>
      </c>
      <c r="B335" s="11">
        <f>IFERROR(__xludf.DUMMYFUNCTION("""COMPUTED_VALUE"""),45998.856745578705)</f>
        <v>45998.85675</v>
      </c>
      <c r="C335" s="3" t="str">
        <f>IFERROR(__xludf.DUMMYFUNCTION("""COMPUTED_VALUE"""),"ชั้นปีที่ 3")</f>
        <v>ชั้นปีที่ 3</v>
      </c>
      <c r="D335" s="3" t="str">
        <f>IFERROR(__xludf.DUMMYFUNCTION("""COMPUTED_VALUE"""),"6603778")</f>
        <v>6603778</v>
      </c>
      <c r="E335" s="3" t="str">
        <f>IFERROR(__xludf.DUMMYFUNCTION("""COMPUTED_VALUE"""),"24")</f>
        <v>24</v>
      </c>
      <c r="F335" s="3" t="str">
        <f>IFERROR(__xludf.DUMMYFUNCTION("""COMPUTED_VALUE"""),"นพอ.นันท์นภัส เคนสุวรรณ")</f>
        <v>นพอ.นันท์นภัส เคนสุวรรณ</v>
      </c>
      <c r="G3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5" s="3" t="str">
        <f>IFERROR(__xludf.DUMMYFUNCTION("""COMPUTED_VALUE"""),"รับเสด็จงานรับปริญญา")</f>
        <v>รับเสด็จงานรับปริญญา</v>
      </c>
      <c r="I335" s="3" t="str">
        <f>IFERROR(__xludf.DUMMYFUNCTION("""COMPUTED_VALUE"""),"มหาวิทยาลัยมหิดล")</f>
        <v>มหาวิทยาลัยมหิดล</v>
      </c>
      <c r="J335" s="12">
        <f>IFERROR(__xludf.DUMMYFUNCTION("""COMPUTED_VALUE"""),45940.0)</f>
        <v>45940</v>
      </c>
      <c r="K335" s="3" t="str">
        <f>IFERROR(__xludf.DUMMYFUNCTION("""COMPUTED_VALUE"""),"0800-1200")</f>
        <v>0800-1200</v>
      </c>
      <c r="L335" s="3">
        <f>IFERROR(__xludf.DUMMYFUNCTION("""COMPUTED_VALUE"""),4.0)</f>
        <v>4</v>
      </c>
      <c r="M335" s="3" t="str">
        <f>IFERROR(__xludf.DUMMYFUNCTION("""COMPUTED_VALUE"""),"น.ท.หญิง สุพัตรา ปิ่นแก้ว")</f>
        <v>น.ท.หญิง สุพัตรา ปิ่นแก้ว</v>
      </c>
      <c r="N335" s="14" t="str">
        <f>IFERROR(__xludf.DUMMYFUNCTION("""COMPUTED_VALUE"""),"https://lh5.googleusercontent.com/d/1owC_WNn2tTxrHa2otz4Y0xsZb7jpbG9d")</f>
        <v>https://lh5.googleusercontent.com/d/1owC_WNn2tTxrHa2otz4Y0xsZb7jpbG9d</v>
      </c>
      <c r="O335" s="14" t="str">
        <f>IFERROR(__xludf.DUMMYFUNCTION("""COMPUTED_VALUE"""),"https://drive.google.com/file/d/1S7U0N2XQWuhiX9YkpiIgDc5W1IKGSNfh/view?usp=drivesdk")</f>
        <v>https://drive.google.com/file/d/1S7U0N2XQWuhiX9YkpiIgDc5W1IKGSNfh/view?usp=drivesdk</v>
      </c>
    </row>
    <row r="336">
      <c r="A336" s="3">
        <f>IFERROR(__xludf.DUMMYFUNCTION("""COMPUTED_VALUE"""),1315.0)</f>
        <v>1315</v>
      </c>
      <c r="B336" s="11">
        <f>IFERROR(__xludf.DUMMYFUNCTION("""COMPUTED_VALUE"""),45998.85802509259)</f>
        <v>45998.85803</v>
      </c>
      <c r="C336" s="3" t="str">
        <f>IFERROR(__xludf.DUMMYFUNCTION("""COMPUTED_VALUE"""),"ชั้นปีที่ 3")</f>
        <v>ชั้นปีที่ 3</v>
      </c>
      <c r="D336" s="3" t="str">
        <f>IFERROR(__xludf.DUMMYFUNCTION("""COMPUTED_VALUE"""),"6603808")</f>
        <v>6603808</v>
      </c>
      <c r="E336" s="3" t="str">
        <f>IFERROR(__xludf.DUMMYFUNCTION("""COMPUTED_VALUE"""),"54")</f>
        <v>54</v>
      </c>
      <c r="F336" s="3" t="str">
        <f>IFERROR(__xludf.DUMMYFUNCTION("""COMPUTED_VALUE"""),"นพอ.สุชานันท์ ดิสระมุณี")</f>
        <v>นพอ.สุชานันท์ ดิสระมุณี</v>
      </c>
      <c r="G336" s="3" t="str">
        <f>IFERROR(__xludf.DUMMYFUNCTION("""COMPUTED_VALUE"""),"ช่วยเหลืองานภายใน วพอ.")</f>
        <v>ช่วยเหลืองานภายใน วพอ.</v>
      </c>
      <c r="H336" s="3" t="str">
        <f>IFERROR(__xludf.DUMMYFUNCTION("""COMPUTED_VALUE"""),"Buddy Korea")</f>
        <v>Buddy Korea</v>
      </c>
      <c r="I336" s="3" t="str">
        <f>IFERROR(__xludf.DUMMYFUNCTION("""COMPUTED_VALUE"""),"วิทยาลัยพยาบาลทหารอากาศ")</f>
        <v>วิทยาลัยพยาบาลทหารอากาศ</v>
      </c>
      <c r="J336" s="12">
        <f>IFERROR(__xludf.DUMMYFUNCTION("""COMPUTED_VALUE"""),45951.0)</f>
        <v>45951</v>
      </c>
      <c r="K336" s="3" t="str">
        <f>IFERROR(__xludf.DUMMYFUNCTION("""COMPUTED_VALUE"""),"1800-2200")</f>
        <v>1800-2200</v>
      </c>
      <c r="L336" s="3">
        <f>IFERROR(__xludf.DUMMYFUNCTION("""COMPUTED_VALUE"""),4.0)</f>
        <v>4</v>
      </c>
      <c r="M336" s="3" t="str">
        <f>IFERROR(__xludf.DUMMYFUNCTION("""COMPUTED_VALUE"""),"น.ต.หญิง ประไพศรี ศุภางค์ภร")</f>
        <v>น.ต.หญิง ประไพศรี ศุภางค์ภร</v>
      </c>
      <c r="N336" s="14" t="str">
        <f>IFERROR(__xludf.DUMMYFUNCTION("""COMPUTED_VALUE"""),"https://lh5.googleusercontent.com/d/13EvnGY4oZ46aYhThSZPTNpFVwJq7Qp7M")</f>
        <v>https://lh5.googleusercontent.com/d/13EvnGY4oZ46aYhThSZPTNpFVwJq7Qp7M</v>
      </c>
      <c r="O336" s="14" t="str">
        <f>IFERROR(__xludf.DUMMYFUNCTION("""COMPUTED_VALUE"""),"https://drive.google.com/file/d/1eHl535q7TQXb9vewxYlZocNXgGqrfC7h/view?usp=drivesdk")</f>
        <v>https://drive.google.com/file/d/1eHl535q7TQXb9vewxYlZocNXgGqrfC7h/view?usp=drivesdk</v>
      </c>
    </row>
    <row r="337">
      <c r="A337" s="3">
        <f>IFERROR(__xludf.DUMMYFUNCTION("""COMPUTED_VALUE"""),1316.0)</f>
        <v>1316</v>
      </c>
      <c r="B337" s="11">
        <f>IFERROR(__xludf.DUMMYFUNCTION("""COMPUTED_VALUE"""),45998.85856420139)</f>
        <v>45998.85856</v>
      </c>
      <c r="C337" s="3" t="str">
        <f>IFERROR(__xludf.DUMMYFUNCTION("""COMPUTED_VALUE"""),"ชั้นปีที่ 3")</f>
        <v>ชั้นปีที่ 3</v>
      </c>
      <c r="D337" s="3" t="str">
        <f>IFERROR(__xludf.DUMMYFUNCTION("""COMPUTED_VALUE"""),"6603776")</f>
        <v>6603776</v>
      </c>
      <c r="E337" s="3" t="str">
        <f>IFERROR(__xludf.DUMMYFUNCTION("""COMPUTED_VALUE"""),"22")</f>
        <v>22</v>
      </c>
      <c r="F337" s="3" t="str">
        <f>IFERROR(__xludf.DUMMYFUNCTION("""COMPUTED_VALUE"""),"นพอ.นภชนก อัครวุฒิญาณ")</f>
        <v>นพอ.นภชนก อัครวุฒิญาณ</v>
      </c>
      <c r="G33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37" s="3" t="str">
        <f>IFERROR(__xludf.DUMMYFUNCTION("""COMPUTED_VALUE"""),"บริจาคโลหิต")</f>
        <v>บริจาคโลหิต</v>
      </c>
      <c r="I337" s="3" t="str">
        <f>IFERROR(__xludf.DUMMYFUNCTION("""COMPUTED_VALUE"""),"ศูนย์บริจาคโลหิตสภากาชาดไทย")</f>
        <v>ศูนย์บริจาคโลหิตสภากาชาดไทย</v>
      </c>
      <c r="J337" s="12">
        <f>IFERROR(__xludf.DUMMYFUNCTION("""COMPUTED_VALUE"""),45843.0)</f>
        <v>45843</v>
      </c>
      <c r="K337" s="3" t="str">
        <f>IFERROR(__xludf.DUMMYFUNCTION("""COMPUTED_VALUE"""),"1030")</f>
        <v>1030</v>
      </c>
      <c r="L337" s="3">
        <f>IFERROR(__xludf.DUMMYFUNCTION("""COMPUTED_VALUE"""),8.0)</f>
        <v>8</v>
      </c>
      <c r="M337" s="3" t="str">
        <f>IFERROR(__xludf.DUMMYFUNCTION("""COMPUTED_VALUE"""),"พยาบาลศูนย์บริจาคโลหิตสภากาชาดไทย")</f>
        <v>พยาบาลศูนย์บริจาคโลหิตสภากาชาดไทย</v>
      </c>
      <c r="N337" s="14" t="str">
        <f>IFERROR(__xludf.DUMMYFUNCTION("""COMPUTED_VALUE"""),"https://lh5.googleusercontent.com/d/17NNCMTDB798vaP0_zSpxyh1RGz0QEvz_")</f>
        <v>https://lh5.googleusercontent.com/d/17NNCMTDB798vaP0_zSpxyh1RGz0QEvz_</v>
      </c>
      <c r="O337" s="14" t="str">
        <f>IFERROR(__xludf.DUMMYFUNCTION("""COMPUTED_VALUE"""),"https://drive.google.com/file/d/1msUb9BeOq5XXlrWA0gkC60Di1CE8T2Lh/view?usp=drivesdk")</f>
        <v>https://drive.google.com/file/d/1msUb9BeOq5XXlrWA0gkC60Di1CE8T2Lh/view?usp=drivesdk</v>
      </c>
    </row>
    <row r="338">
      <c r="A338" s="3">
        <f>IFERROR(__xludf.DUMMYFUNCTION("""COMPUTED_VALUE"""),1317.0)</f>
        <v>1317</v>
      </c>
      <c r="B338" s="11">
        <f>IFERROR(__xludf.DUMMYFUNCTION("""COMPUTED_VALUE"""),45998.85925120371)</f>
        <v>45998.85925</v>
      </c>
      <c r="C338" s="3" t="str">
        <f>IFERROR(__xludf.DUMMYFUNCTION("""COMPUTED_VALUE"""),"ชั้นปีที่ 3")</f>
        <v>ชั้นปีที่ 3</v>
      </c>
      <c r="D338" s="3" t="str">
        <f>IFERROR(__xludf.DUMMYFUNCTION("""COMPUTED_VALUE"""),"6603808")</f>
        <v>6603808</v>
      </c>
      <c r="E338" s="3" t="str">
        <f>IFERROR(__xludf.DUMMYFUNCTION("""COMPUTED_VALUE"""),"54")</f>
        <v>54</v>
      </c>
      <c r="F338" s="3" t="str">
        <f>IFERROR(__xludf.DUMMYFUNCTION("""COMPUTED_VALUE"""),"นพอ.สุชานันท์ ดิสระมุณี")</f>
        <v>นพอ.สุชานันท์ ดิสระมุณี</v>
      </c>
      <c r="G338" s="3" t="str">
        <f>IFERROR(__xludf.DUMMYFUNCTION("""COMPUTED_VALUE"""),"ช่วยเหลืองานภายใน วพอ.")</f>
        <v>ช่วยเหลืองานภายใน วพอ.</v>
      </c>
      <c r="H338" s="3" t="str">
        <f>IFERROR(__xludf.DUMMYFUNCTION("""COMPUTED_VALUE"""),"Buddy Korea")</f>
        <v>Buddy Korea</v>
      </c>
      <c r="I338" s="3" t="str">
        <f>IFERROR(__xludf.DUMMYFUNCTION("""COMPUTED_VALUE"""),"วิทยาลัยพยาบาลทหาร")</f>
        <v>วิทยาลัยพยาบาลทหาร</v>
      </c>
      <c r="J338" s="12">
        <f>IFERROR(__xludf.DUMMYFUNCTION("""COMPUTED_VALUE"""),45952.0)</f>
        <v>45952</v>
      </c>
      <c r="K338" s="3" t="str">
        <f>IFERROR(__xludf.DUMMYFUNCTION("""COMPUTED_VALUE"""),"1800-2200")</f>
        <v>1800-2200</v>
      </c>
      <c r="L338" s="3">
        <f>IFERROR(__xludf.DUMMYFUNCTION("""COMPUTED_VALUE"""),4.0)</f>
        <v>4</v>
      </c>
      <c r="M338" s="3" t="str">
        <f>IFERROR(__xludf.DUMMYFUNCTION("""COMPUTED_VALUE"""),"น.ต.หญิง ประไพศรี ศุภางค์ภร")</f>
        <v>น.ต.หญิง ประไพศรี ศุภางค์ภร</v>
      </c>
      <c r="N338" s="14" t="str">
        <f>IFERROR(__xludf.DUMMYFUNCTION("""COMPUTED_VALUE"""),"https://lh5.googleusercontent.com/d/1zqBg31l5ECIKi1Uikos2CE39Dkg-CCEA")</f>
        <v>https://lh5.googleusercontent.com/d/1zqBg31l5ECIKi1Uikos2CE39Dkg-CCEA</v>
      </c>
      <c r="O338" s="14" t="str">
        <f>IFERROR(__xludf.DUMMYFUNCTION("""COMPUTED_VALUE"""),"https://drive.google.com/file/d/1wuSZ-VKr5kVhLyAIpxFO3Cx-p61pDboG/view?usp=drivesdk")</f>
        <v>https://drive.google.com/file/d/1wuSZ-VKr5kVhLyAIpxFO3Cx-p61pDboG/view?usp=drivesdk</v>
      </c>
    </row>
    <row r="339">
      <c r="A339" s="3">
        <f>IFERROR(__xludf.DUMMYFUNCTION("""COMPUTED_VALUE"""),1318.0)</f>
        <v>1318</v>
      </c>
      <c r="B339" s="11">
        <f>IFERROR(__xludf.DUMMYFUNCTION("""COMPUTED_VALUE"""),45998.86170053241)</f>
        <v>45998.8617</v>
      </c>
      <c r="C339" s="3" t="str">
        <f>IFERROR(__xludf.DUMMYFUNCTION("""COMPUTED_VALUE"""),"ชั้นปีที่ 3")</f>
        <v>ชั้นปีที่ 3</v>
      </c>
      <c r="D339" s="3" t="str">
        <f>IFERROR(__xludf.DUMMYFUNCTION("""COMPUTED_VALUE"""),"6603770")</f>
        <v>6603770</v>
      </c>
      <c r="E339" s="3" t="str">
        <f>IFERROR(__xludf.DUMMYFUNCTION("""COMPUTED_VALUE"""),"17")</f>
        <v>17</v>
      </c>
      <c r="F339" s="3" t="str">
        <f>IFERROR(__xludf.DUMMYFUNCTION("""COMPUTED_VALUE"""),"นพอ.ตรีสุคนธ์ ยศแก้ว")</f>
        <v>นพอ.ตรีสุคนธ์ ยศแก้ว</v>
      </c>
      <c r="G3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9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3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39" s="12">
        <f>IFERROR(__xludf.DUMMYFUNCTION("""COMPUTED_VALUE"""),45839.0)</f>
        <v>45839</v>
      </c>
      <c r="K339" s="3" t="str">
        <f>IFERROR(__xludf.DUMMYFUNCTION("""COMPUTED_VALUE"""),"1400-2200")</f>
        <v>1400-2200</v>
      </c>
      <c r="L339" s="3">
        <f>IFERROR(__xludf.DUMMYFUNCTION("""COMPUTED_VALUE"""),8.0)</f>
        <v>8</v>
      </c>
      <c r="M339" s="3" t="str">
        <f>IFERROR(__xludf.DUMMYFUNCTION("""COMPUTED_VALUE"""),"ร.อ.อนุชิต ทำจะดี")</f>
        <v>ร.อ.อนุชิต ทำจะดี</v>
      </c>
      <c r="N339" s="14" t="str">
        <f>IFERROR(__xludf.DUMMYFUNCTION("""COMPUTED_VALUE"""),"https://lh5.googleusercontent.com/d/1h-Yr-CZLfol-porKfXS26RY8-3x7ARDd")</f>
        <v>https://lh5.googleusercontent.com/d/1h-Yr-CZLfol-porKfXS26RY8-3x7ARDd</v>
      </c>
      <c r="O339" s="14" t="str">
        <f>IFERROR(__xludf.DUMMYFUNCTION("""COMPUTED_VALUE"""),"https://drive.google.com/file/d/1Vkz2dKazDHWaIwn3Q7Ayz2VoqK9WIzTm/view?usp=drivesdk")</f>
        <v>https://drive.google.com/file/d/1Vkz2dKazDHWaIwn3Q7Ayz2VoqK9WIzTm/view?usp=drivesdk</v>
      </c>
    </row>
    <row r="340">
      <c r="A340" s="3">
        <f>IFERROR(__xludf.DUMMYFUNCTION("""COMPUTED_VALUE"""),1319.0)</f>
        <v>1319</v>
      </c>
      <c r="B340" s="11">
        <f>IFERROR(__xludf.DUMMYFUNCTION("""COMPUTED_VALUE"""),45998.865030787034)</f>
        <v>45998.86503</v>
      </c>
      <c r="C340" s="3" t="str">
        <f>IFERROR(__xludf.DUMMYFUNCTION("""COMPUTED_VALUE"""),"ชั้นปีที่ 3")</f>
        <v>ชั้นปีที่ 3</v>
      </c>
      <c r="D340" s="3" t="str">
        <f>IFERROR(__xludf.DUMMYFUNCTION("""COMPUTED_VALUE"""),"6603770")</f>
        <v>6603770</v>
      </c>
      <c r="E340" s="3" t="str">
        <f>IFERROR(__xludf.DUMMYFUNCTION("""COMPUTED_VALUE"""),"17")</f>
        <v>17</v>
      </c>
      <c r="F340" s="3" t="str">
        <f>IFERROR(__xludf.DUMMYFUNCTION("""COMPUTED_VALUE"""),"นพอ.ตรีสุคนธ์ ยศแก้ว")</f>
        <v>นพอ.ตรีสุคนธ์ ยศแก้ว</v>
      </c>
      <c r="G34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0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4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0" s="12">
        <f>IFERROR(__xludf.DUMMYFUNCTION("""COMPUTED_VALUE"""),45840.0)</f>
        <v>45840</v>
      </c>
      <c r="K340" s="3" t="str">
        <f>IFERROR(__xludf.DUMMYFUNCTION("""COMPUTED_VALUE"""),"1400-2200")</f>
        <v>1400-2200</v>
      </c>
      <c r="L340" s="3">
        <f>IFERROR(__xludf.DUMMYFUNCTION("""COMPUTED_VALUE"""),8.0)</f>
        <v>8</v>
      </c>
      <c r="M340" s="3" t="str">
        <f>IFERROR(__xludf.DUMMYFUNCTION("""COMPUTED_VALUE"""),"ร.อ.อนุชิต ทำจะดี")</f>
        <v>ร.อ.อนุชิต ทำจะดี</v>
      </c>
      <c r="N340" s="14" t="str">
        <f>IFERROR(__xludf.DUMMYFUNCTION("""COMPUTED_VALUE"""),"https://lh5.googleusercontent.com/d/1qjRnOm729hIC5CadvlhfMs9JAQhxPmj6")</f>
        <v>https://lh5.googleusercontent.com/d/1qjRnOm729hIC5CadvlhfMs9JAQhxPmj6</v>
      </c>
      <c r="O340" s="14" t="str">
        <f>IFERROR(__xludf.DUMMYFUNCTION("""COMPUTED_VALUE"""),"https://drive.google.com/file/d/1LxKBoPdTI3zDIlabszl8t_PvSgD3EgAm/view?usp=drivesdk")</f>
        <v>https://drive.google.com/file/d/1LxKBoPdTI3zDIlabszl8t_PvSgD3EgAm/view?usp=drivesdk</v>
      </c>
    </row>
    <row r="341">
      <c r="A341" s="3">
        <f>IFERROR(__xludf.DUMMYFUNCTION("""COMPUTED_VALUE"""),1321.0)</f>
        <v>1321</v>
      </c>
      <c r="B341" s="11">
        <f>IFERROR(__xludf.DUMMYFUNCTION("""COMPUTED_VALUE"""),45998.86749078704)</f>
        <v>45998.86749</v>
      </c>
      <c r="C341" s="3" t="str">
        <f>IFERROR(__xludf.DUMMYFUNCTION("""COMPUTED_VALUE"""),"ชั้นปีที่ 3")</f>
        <v>ชั้นปีที่ 3</v>
      </c>
      <c r="D341" s="3" t="str">
        <f>IFERROR(__xludf.DUMMYFUNCTION("""COMPUTED_VALUE"""),"6603770")</f>
        <v>6603770</v>
      </c>
      <c r="E341" s="3" t="str">
        <f>IFERROR(__xludf.DUMMYFUNCTION("""COMPUTED_VALUE"""),"17")</f>
        <v>17</v>
      </c>
      <c r="F341" s="3" t="str">
        <f>IFERROR(__xludf.DUMMYFUNCTION("""COMPUTED_VALUE"""),"นพอ.ตรีสุคนธ์ ยศแก้ว")</f>
        <v>นพอ.ตรีสุคนธ์ ยศแก้ว</v>
      </c>
      <c r="G34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41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41" s="3" t="str">
        <f>IFERROR(__xludf.DUMMYFUNCTION("""COMPUTED_VALUE"""),"ชุมชนวัดเกาะ")</f>
        <v>ชุมชนวัดเกาะ</v>
      </c>
      <c r="J341" s="12">
        <f>IFERROR(__xludf.DUMMYFUNCTION("""COMPUTED_VALUE"""),45823.0)</f>
        <v>45823</v>
      </c>
      <c r="K341" s="3" t="str">
        <f>IFERROR(__xludf.DUMMYFUNCTION("""COMPUTED_VALUE"""),"0800-1200")</f>
        <v>0800-1200</v>
      </c>
      <c r="L341" s="3">
        <f>IFERROR(__xludf.DUMMYFUNCTION("""COMPUTED_VALUE"""),4.0)</f>
        <v>4</v>
      </c>
      <c r="M341" s="3" t="str">
        <f>IFERROR(__xludf.DUMMYFUNCTION("""COMPUTED_VALUE"""),"น.ต.หญิง ตวงทิพย์ ลดาวัลย์")</f>
        <v>น.ต.หญิง ตวงทิพย์ ลดาวัลย์</v>
      </c>
      <c r="N341" s="14" t="str">
        <f>IFERROR(__xludf.DUMMYFUNCTION("""COMPUTED_VALUE"""),"https://lh5.googleusercontent.com/d/1xOd8bik_YACQYJcy55CGKmS1seKGfQqR")</f>
        <v>https://lh5.googleusercontent.com/d/1xOd8bik_YACQYJcy55CGKmS1seKGfQqR</v>
      </c>
      <c r="O341" s="14" t="str">
        <f>IFERROR(__xludf.DUMMYFUNCTION("""COMPUTED_VALUE"""),"https://drive.google.com/file/d/1fHT1r8gQWCfBDmyZTNLOh5oxRlIX5IbF/view?usp=drivesdk")</f>
        <v>https://drive.google.com/file/d/1fHT1r8gQWCfBDmyZTNLOh5oxRlIX5IbF/view?usp=drivesdk</v>
      </c>
    </row>
    <row r="342">
      <c r="A342" s="3">
        <f>IFERROR(__xludf.DUMMYFUNCTION("""COMPUTED_VALUE"""),1322.0)</f>
        <v>1322</v>
      </c>
      <c r="B342" s="11">
        <f>IFERROR(__xludf.DUMMYFUNCTION("""COMPUTED_VALUE"""),45998.86881515046)</f>
        <v>45998.86882</v>
      </c>
      <c r="C342" s="3" t="str">
        <f>IFERROR(__xludf.DUMMYFUNCTION("""COMPUTED_VALUE"""),"ชั้นปีที่ 3")</f>
        <v>ชั้นปีที่ 3</v>
      </c>
      <c r="D342" s="3" t="str">
        <f>IFERROR(__xludf.DUMMYFUNCTION("""COMPUTED_VALUE"""),"6603800")</f>
        <v>6603800</v>
      </c>
      <c r="E342" s="3" t="str">
        <f>IFERROR(__xludf.DUMMYFUNCTION("""COMPUTED_VALUE"""),"46")</f>
        <v>46</v>
      </c>
      <c r="F342" s="3" t="str">
        <f>IFERROR(__xludf.DUMMYFUNCTION("""COMPUTED_VALUE"""),"นพอ.วารีริน ปิมปา")</f>
        <v>นพอ.วารีริน ปิมปา</v>
      </c>
      <c r="G3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2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42" s="3" t="str">
        <f>IFERROR(__xludf.DUMMYFUNCTION("""COMPUTED_VALUE"""),"ชุมชนวัดเกาะ")</f>
        <v>ชุมชนวัดเกาะ</v>
      </c>
      <c r="J342" s="12">
        <f>IFERROR(__xludf.DUMMYFUNCTION("""COMPUTED_VALUE"""),45823.0)</f>
        <v>45823</v>
      </c>
      <c r="K342" s="3" t="str">
        <f>IFERROR(__xludf.DUMMYFUNCTION("""COMPUTED_VALUE"""),"0800-1200")</f>
        <v>0800-1200</v>
      </c>
      <c r="L342" s="3">
        <f>IFERROR(__xludf.DUMMYFUNCTION("""COMPUTED_VALUE"""),4.0)</f>
        <v>4</v>
      </c>
      <c r="M342" s="3" t="str">
        <f>IFERROR(__xludf.DUMMYFUNCTION("""COMPUTED_VALUE"""),"น.ต.หญิง ตวงทิพย์ ลดาวัลย์")</f>
        <v>น.ต.หญิง ตวงทิพย์ ลดาวัลย์</v>
      </c>
      <c r="N342" s="14" t="str">
        <f>IFERROR(__xludf.DUMMYFUNCTION("""COMPUTED_VALUE"""),"https://lh5.googleusercontent.com/d/16hSqlrti2Qad5QN8xgPvBwvstLXOTK8E")</f>
        <v>https://lh5.googleusercontent.com/d/16hSqlrti2Qad5QN8xgPvBwvstLXOTK8E</v>
      </c>
      <c r="O342" s="14" t="str">
        <f>IFERROR(__xludf.DUMMYFUNCTION("""COMPUTED_VALUE"""),"https://drive.google.com/file/d/1gG1bVOnJ8wklb3n3DEWWasvoWyZJue_O/view?usp=drivesdk")</f>
        <v>https://drive.google.com/file/d/1gG1bVOnJ8wklb3n3DEWWasvoWyZJue_O/view?usp=drivesdk</v>
      </c>
    </row>
    <row r="343">
      <c r="A343" s="3">
        <f>IFERROR(__xludf.DUMMYFUNCTION("""COMPUTED_VALUE"""),1323.0)</f>
        <v>1323</v>
      </c>
      <c r="B343" s="11">
        <f>IFERROR(__xludf.DUMMYFUNCTION("""COMPUTED_VALUE"""),45998.8702627662)</f>
        <v>45998.87026</v>
      </c>
      <c r="C343" s="3" t="str">
        <f>IFERROR(__xludf.DUMMYFUNCTION("""COMPUTED_VALUE"""),"ชั้นปีที่ 3")</f>
        <v>ชั้นปีที่ 3</v>
      </c>
      <c r="D343" s="3" t="str">
        <f>IFERROR(__xludf.DUMMYFUNCTION("""COMPUTED_VALUE"""),"6603765")</f>
        <v>6603765</v>
      </c>
      <c r="E343" s="3" t="str">
        <f>IFERROR(__xludf.DUMMYFUNCTION("""COMPUTED_VALUE"""),"12")</f>
        <v>12</v>
      </c>
      <c r="F343" s="3" t="str">
        <f>IFERROR(__xludf.DUMMYFUNCTION("""COMPUTED_VALUE"""),"นพอ.ชายชาญ ไทยรินทร์")</f>
        <v>นพอ.ชายชาญ ไทยรินทร์</v>
      </c>
      <c r="G343" s="3" t="str">
        <f>IFERROR(__xludf.DUMMYFUNCTION("""COMPUTED_VALUE"""),"ช่วยเหลืองานภายใน วพอ.")</f>
        <v>ช่วยเหลืองานภายใน วพอ.</v>
      </c>
      <c r="H343" s="3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343" s="3" t="str">
        <f>IFERROR(__xludf.DUMMYFUNCTION("""COMPUTED_VALUE"""),"วพอ.พอ.")</f>
        <v>วพอ.พอ.</v>
      </c>
      <c r="J343" s="12">
        <f>IFERROR(__xludf.DUMMYFUNCTION("""COMPUTED_VALUE"""),45939.0)</f>
        <v>45939</v>
      </c>
      <c r="K343" s="3" t="str">
        <f>IFERROR(__xludf.DUMMYFUNCTION("""COMPUTED_VALUE"""),"9 ต.ค. - 14 พ.ย.")</f>
        <v>9 ต.ค. - 14 พ.ย.</v>
      </c>
      <c r="L343" s="3">
        <f>IFERROR(__xludf.DUMMYFUNCTION("""COMPUTED_VALUE"""),8.0)</f>
        <v>8</v>
      </c>
      <c r="M343" s="3" t="str">
        <f>IFERROR(__xludf.DUMMYFUNCTION("""COMPUTED_VALUE"""),"ร.อ.อนุชิต ทำจะดี")</f>
        <v>ร.อ.อนุชิต ทำจะดี</v>
      </c>
      <c r="N343" s="14" t="str">
        <f>IFERROR(__xludf.DUMMYFUNCTION("""COMPUTED_VALUE"""),"https://lh5.googleusercontent.com/d/1QlytoyxIcvSrZtDVXfpPwz5Phl5W5HDT")</f>
        <v>https://lh5.googleusercontent.com/d/1QlytoyxIcvSrZtDVXfpPwz5Phl5W5HDT</v>
      </c>
      <c r="O343" s="14" t="str">
        <f>IFERROR(__xludf.DUMMYFUNCTION("""COMPUTED_VALUE"""),"https://drive.google.com/file/d/17Q-HhlhvR3Yw16PIFHyRlgdTmoj7uT7b/view?usp=drivesdk")</f>
        <v>https://drive.google.com/file/d/17Q-HhlhvR3Yw16PIFHyRlgdTmoj7uT7b/view?usp=drivesdk</v>
      </c>
    </row>
    <row r="344">
      <c r="A344" s="3">
        <f>IFERROR(__xludf.DUMMYFUNCTION("""COMPUTED_VALUE"""),1324.0)</f>
        <v>1324</v>
      </c>
      <c r="B344" s="11">
        <f>IFERROR(__xludf.DUMMYFUNCTION("""COMPUTED_VALUE"""),45998.87129309028)</f>
        <v>45998.87129</v>
      </c>
      <c r="C344" s="3" t="str">
        <f>IFERROR(__xludf.DUMMYFUNCTION("""COMPUTED_VALUE"""),"ชั้นปีที่ 3")</f>
        <v>ชั้นปีที่ 3</v>
      </c>
      <c r="D344" s="3" t="str">
        <f>IFERROR(__xludf.DUMMYFUNCTION("""COMPUTED_VALUE"""),"6603765")</f>
        <v>6603765</v>
      </c>
      <c r="E344" s="3" t="str">
        <f>IFERROR(__xludf.DUMMYFUNCTION("""COMPUTED_VALUE"""),"12")</f>
        <v>12</v>
      </c>
      <c r="F344" s="3" t="str">
        <f>IFERROR(__xludf.DUMMYFUNCTION("""COMPUTED_VALUE"""),"นพอ.ชายชาญ ไทยรินทร์")</f>
        <v>นพอ.ชายชาญ ไทยรินทร์</v>
      </c>
      <c r="G344" s="3" t="str">
        <f>IFERROR(__xludf.DUMMYFUNCTION("""COMPUTED_VALUE"""),"ช่วยเหลืองานภายใน วพอ.")</f>
        <v>ช่วยเหลืองานภายใน วพอ.</v>
      </c>
      <c r="H344" s="3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344" s="3" t="str">
        <f>IFERROR(__xludf.DUMMYFUNCTION("""COMPUTED_VALUE"""),"วพอ.พอ.")</f>
        <v>วพอ.พอ.</v>
      </c>
      <c r="J344" s="12">
        <f>IFERROR(__xludf.DUMMYFUNCTION("""COMPUTED_VALUE"""),45939.0)</f>
        <v>45939</v>
      </c>
      <c r="K344" s="3" t="str">
        <f>IFERROR(__xludf.DUMMYFUNCTION("""COMPUTED_VALUE"""),"9 ต.ค. - 14 พ.ย.")</f>
        <v>9 ต.ค. - 14 พ.ย.</v>
      </c>
      <c r="L344" s="3">
        <f>IFERROR(__xludf.DUMMYFUNCTION("""COMPUTED_VALUE"""),8.0)</f>
        <v>8</v>
      </c>
      <c r="M344" s="3" t="str">
        <f>IFERROR(__xludf.DUMMYFUNCTION("""COMPUTED_VALUE"""),"ร.อ.อนุชิต ทำจะดี")</f>
        <v>ร.อ.อนุชิต ทำจะดี</v>
      </c>
      <c r="N344" s="14" t="str">
        <f>IFERROR(__xludf.DUMMYFUNCTION("""COMPUTED_VALUE"""),"https://lh5.googleusercontent.com/d/1tnqPQ2CZLBmlr6sogRhTEkesYftj1eKK")</f>
        <v>https://lh5.googleusercontent.com/d/1tnqPQ2CZLBmlr6sogRhTEkesYftj1eKK</v>
      </c>
      <c r="O344" s="14" t="str">
        <f>IFERROR(__xludf.DUMMYFUNCTION("""COMPUTED_VALUE"""),"https://drive.google.com/file/d/16J3jQ2Kj-Ti81MsKazbvG5zJn48piL0E/view?usp=drivesdk")</f>
        <v>https://drive.google.com/file/d/16J3jQ2Kj-Ti81MsKazbvG5zJn48piL0E/view?usp=drivesdk</v>
      </c>
    </row>
    <row r="345">
      <c r="A345" s="3">
        <f>IFERROR(__xludf.DUMMYFUNCTION("""COMPUTED_VALUE"""),1325.0)</f>
        <v>1325</v>
      </c>
      <c r="B345" s="11">
        <f>IFERROR(__xludf.DUMMYFUNCTION("""COMPUTED_VALUE"""),45998.87211851852)</f>
        <v>45998.87212</v>
      </c>
      <c r="C345" s="3" t="str">
        <f>IFERROR(__xludf.DUMMYFUNCTION("""COMPUTED_VALUE"""),"ชั้นปีที่ 3")</f>
        <v>ชั้นปีที่ 3</v>
      </c>
      <c r="D345" s="3" t="str">
        <f>IFERROR(__xludf.DUMMYFUNCTION("""COMPUTED_VALUE"""),"6603765")</f>
        <v>6603765</v>
      </c>
      <c r="E345" s="3" t="str">
        <f>IFERROR(__xludf.DUMMYFUNCTION("""COMPUTED_VALUE"""),"12")</f>
        <v>12</v>
      </c>
      <c r="F345" s="3" t="str">
        <f>IFERROR(__xludf.DUMMYFUNCTION("""COMPUTED_VALUE"""),"นพอ.ชายชาญ ไทยรินทร์")</f>
        <v>นพอ.ชายชาญ ไทยรินทร์</v>
      </c>
      <c r="G345" s="3" t="str">
        <f>IFERROR(__xludf.DUMMYFUNCTION("""COMPUTED_VALUE"""),"ช่วยเหลืองานภายใน วพอ.")</f>
        <v>ช่วยเหลืองานภายใน วพอ.</v>
      </c>
      <c r="H345" s="3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345" s="3" t="str">
        <f>IFERROR(__xludf.DUMMYFUNCTION("""COMPUTED_VALUE"""),"วพอ.พอ.")</f>
        <v>วพอ.พอ.</v>
      </c>
      <c r="J345" s="12">
        <f>IFERROR(__xludf.DUMMYFUNCTION("""COMPUTED_VALUE"""),45939.0)</f>
        <v>45939</v>
      </c>
      <c r="K345" s="3" t="str">
        <f>IFERROR(__xludf.DUMMYFUNCTION("""COMPUTED_VALUE"""),"9 ต.ค. - 14 พ.ย.")</f>
        <v>9 ต.ค. - 14 พ.ย.</v>
      </c>
      <c r="L345" s="3">
        <f>IFERROR(__xludf.DUMMYFUNCTION("""COMPUTED_VALUE"""),4.0)</f>
        <v>4</v>
      </c>
      <c r="M345" s="3" t="str">
        <f>IFERROR(__xludf.DUMMYFUNCTION("""COMPUTED_VALUE"""),"ร.อ.อนุชิต ทำจะดี")</f>
        <v>ร.อ.อนุชิต ทำจะดี</v>
      </c>
      <c r="N345" s="14" t="str">
        <f>IFERROR(__xludf.DUMMYFUNCTION("""COMPUTED_VALUE"""),"https://lh5.googleusercontent.com/d/1_SH2YUt47qDckatFMJaSEgQmBUPmWdVO")</f>
        <v>https://lh5.googleusercontent.com/d/1_SH2YUt47qDckatFMJaSEgQmBUPmWdVO</v>
      </c>
      <c r="O345" s="14" t="str">
        <f>IFERROR(__xludf.DUMMYFUNCTION("""COMPUTED_VALUE"""),"https://drive.google.com/file/d/14qJC4UcVlGZIB1I6KbmqJB031W2aMJUM/view?usp=drivesdk")</f>
        <v>https://drive.google.com/file/d/14qJC4UcVlGZIB1I6KbmqJB031W2aMJUM/view?usp=drivesdk</v>
      </c>
    </row>
    <row r="346">
      <c r="A346" s="3">
        <f>IFERROR(__xludf.DUMMYFUNCTION("""COMPUTED_VALUE"""),1327.0)</f>
        <v>1327</v>
      </c>
      <c r="B346" s="11">
        <f>IFERROR(__xludf.DUMMYFUNCTION("""COMPUTED_VALUE"""),45998.87627628472)</f>
        <v>45998.87628</v>
      </c>
      <c r="C346" s="3" t="str">
        <f>IFERROR(__xludf.DUMMYFUNCTION("""COMPUTED_VALUE"""),"ชั้นปีที่ 3")</f>
        <v>ชั้นปีที่ 3</v>
      </c>
      <c r="D346" s="3" t="str">
        <f>IFERROR(__xludf.DUMMYFUNCTION("""COMPUTED_VALUE"""),"6603800")</f>
        <v>6603800</v>
      </c>
      <c r="E346" s="3" t="str">
        <f>IFERROR(__xludf.DUMMYFUNCTION("""COMPUTED_VALUE"""),"46")</f>
        <v>46</v>
      </c>
      <c r="F346" s="3" t="str">
        <f>IFERROR(__xludf.DUMMYFUNCTION("""COMPUTED_VALUE"""),"นพอ.วารีริน ปิมปา")</f>
        <v>นพอ.วารีริน ปิมปา</v>
      </c>
      <c r="G3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6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34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6" s="12">
        <f>IFERROR(__xludf.DUMMYFUNCTION("""COMPUTED_VALUE"""),45839.0)</f>
        <v>45839</v>
      </c>
      <c r="K346" s="3" t="str">
        <f>IFERROR(__xludf.DUMMYFUNCTION("""COMPUTED_VALUE"""),"1400-2200")</f>
        <v>1400-2200</v>
      </c>
      <c r="L346" s="3">
        <f>IFERROR(__xludf.DUMMYFUNCTION("""COMPUTED_VALUE"""),8.0)</f>
        <v>8</v>
      </c>
      <c r="M346" s="3" t="str">
        <f>IFERROR(__xludf.DUMMYFUNCTION("""COMPUTED_VALUE"""),"ร.อ.อนุชิต ทำจะดี")</f>
        <v>ร.อ.อนุชิต ทำจะดี</v>
      </c>
      <c r="N346" s="14" t="str">
        <f>IFERROR(__xludf.DUMMYFUNCTION("""COMPUTED_VALUE"""),"https://lh5.googleusercontent.com/d/1nP5lQHXW9gNCOJGCjrb8YnGzD-ff3mtD")</f>
        <v>https://lh5.googleusercontent.com/d/1nP5lQHXW9gNCOJGCjrb8YnGzD-ff3mtD</v>
      </c>
      <c r="O346" s="14" t="str">
        <f>IFERROR(__xludf.DUMMYFUNCTION("""COMPUTED_VALUE"""),"https://drive.google.com/file/d/1442HJ2m-csqfHgqmGkFz0CZr1SgJayRo/view?usp=drivesdk")</f>
        <v>https://drive.google.com/file/d/1442HJ2m-csqfHgqmGkFz0CZr1SgJayRo/view?usp=drivesdk</v>
      </c>
    </row>
    <row r="347">
      <c r="A347" s="3">
        <f>IFERROR(__xludf.DUMMYFUNCTION("""COMPUTED_VALUE"""),1374.0)</f>
        <v>1374</v>
      </c>
      <c r="B347" s="11">
        <f>IFERROR(__xludf.DUMMYFUNCTION("""COMPUTED_VALUE"""),45998.89838070602)</f>
        <v>45998.89838</v>
      </c>
      <c r="C347" s="3" t="str">
        <f>IFERROR(__xludf.DUMMYFUNCTION("""COMPUTED_VALUE"""),"ชั้นปีที่ 3")</f>
        <v>ชั้นปีที่ 3</v>
      </c>
      <c r="D347" s="3" t="str">
        <f>IFERROR(__xludf.DUMMYFUNCTION("""COMPUTED_VALUE"""),"6603783")</f>
        <v>6603783</v>
      </c>
      <c r="E347" s="3" t="str">
        <f>IFERROR(__xludf.DUMMYFUNCTION("""COMPUTED_VALUE"""),"29")</f>
        <v>29</v>
      </c>
      <c r="F347" s="3" t="str">
        <f>IFERROR(__xludf.DUMMYFUNCTION("""COMPUTED_VALUE"""),"นพอ.บูรพา สิริอุดมสิน")</f>
        <v>นพอ.บูรพา สิริอุดมสิน</v>
      </c>
      <c r="G3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7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47" s="3" t="str">
        <f>IFERROR(__xludf.DUMMYFUNCTION("""COMPUTED_VALUE"""),"ชุมชนวัดเกาะ")</f>
        <v>ชุมชนวัดเกาะ</v>
      </c>
      <c r="J347" s="12">
        <f>IFERROR(__xludf.DUMMYFUNCTION("""COMPUTED_VALUE"""),45823.0)</f>
        <v>45823</v>
      </c>
      <c r="K347" s="3" t="str">
        <f>IFERROR(__xludf.DUMMYFUNCTION("""COMPUTED_VALUE"""),"0800-1200")</f>
        <v>0800-1200</v>
      </c>
      <c r="L347" s="3">
        <f>IFERROR(__xludf.DUMMYFUNCTION("""COMPUTED_VALUE"""),4.0)</f>
        <v>4</v>
      </c>
      <c r="M347" s="3" t="str">
        <f>IFERROR(__xludf.DUMMYFUNCTION("""COMPUTED_VALUE"""),"น.ต.หญิง ตวงทิพย์ ลดาวัลย์")</f>
        <v>น.ต.หญิง ตวงทิพย์ ลดาวัลย์</v>
      </c>
      <c r="N347" s="14" t="str">
        <f>IFERROR(__xludf.DUMMYFUNCTION("""COMPUTED_VALUE"""),"https://lh5.googleusercontent.com/d/1KFxN-w6CkJ0shJ5C7CKj_oegxMSUmsob")</f>
        <v>https://lh5.googleusercontent.com/d/1KFxN-w6CkJ0shJ5C7CKj_oegxMSUmsob</v>
      </c>
      <c r="O347" s="14" t="str">
        <f>IFERROR(__xludf.DUMMYFUNCTION("""COMPUTED_VALUE"""),"https://drive.google.com/file/d/1luJ8pU4mwVrXCwMj-Q3IwWVKkf7pAXGx/view?usp=drivesdk")</f>
        <v>https://drive.google.com/file/d/1luJ8pU4mwVrXCwMj-Q3IwWVKkf7pAXGx/view?usp=drivesdk</v>
      </c>
    </row>
    <row r="348">
      <c r="A348" s="3">
        <f>IFERROR(__xludf.DUMMYFUNCTION("""COMPUTED_VALUE"""),1382.0)</f>
        <v>1382</v>
      </c>
      <c r="B348" s="11">
        <f>IFERROR(__xludf.DUMMYFUNCTION("""COMPUTED_VALUE"""),45998.9021674074)</f>
        <v>45998.90217</v>
      </c>
      <c r="C348" s="3" t="str">
        <f>IFERROR(__xludf.DUMMYFUNCTION("""COMPUTED_VALUE"""),"ชั้นปีที่ 3")</f>
        <v>ชั้นปีที่ 3</v>
      </c>
      <c r="D348" s="3" t="str">
        <f>IFERROR(__xludf.DUMMYFUNCTION("""COMPUTED_VALUE"""),"6603783")</f>
        <v>6603783</v>
      </c>
      <c r="E348" s="3" t="str">
        <f>IFERROR(__xludf.DUMMYFUNCTION("""COMPUTED_VALUE"""),"29")</f>
        <v>29</v>
      </c>
      <c r="F348" s="3" t="str">
        <f>IFERROR(__xludf.DUMMYFUNCTION("""COMPUTED_VALUE"""),"นพอ.บูรพา สิริอุดมสิน")</f>
        <v>นพอ.บูรพา สิริอุดมสิน</v>
      </c>
      <c r="G348" s="3" t="str">
        <f>IFERROR(__xludf.DUMMYFUNCTION("""COMPUTED_VALUE"""),"ช่วยเหลืองานภายใน วพอ.")</f>
        <v>ช่วยเหลืองานภายใน วพอ.</v>
      </c>
      <c r="H348" s="3" t="str">
        <f>IFERROR(__xludf.DUMMYFUNCTION("""COMPUTED_VALUE"""),"แยกขยะในวพอ.")</f>
        <v>แยกขยะในวพอ.</v>
      </c>
      <c r="I348" s="3" t="str">
        <f>IFERROR(__xludf.DUMMYFUNCTION("""COMPUTED_VALUE"""),"วพอ.พอ.")</f>
        <v>วพอ.พอ.</v>
      </c>
      <c r="J348" s="12">
        <f>IFERROR(__xludf.DUMMYFUNCTION("""COMPUTED_VALUE"""),45922.0)</f>
        <v>45922</v>
      </c>
      <c r="K348" s="3" t="str">
        <f>IFERROR(__xludf.DUMMYFUNCTION("""COMPUTED_VALUE"""),"1600-1700")</f>
        <v>1600-1700</v>
      </c>
      <c r="L348" s="3">
        <f>IFERROR(__xludf.DUMMYFUNCTION("""COMPUTED_VALUE"""),1.0)</f>
        <v>1</v>
      </c>
      <c r="M348" s="3" t="str">
        <f>IFERROR(__xludf.DUMMYFUNCTION("""COMPUTED_VALUE"""),"ร.ท.เรวัต วัชรสิทธิ์")</f>
        <v>ร.ท.เรวัต วัชรสิทธิ์</v>
      </c>
      <c r="N348" s="14" t="str">
        <f>IFERROR(__xludf.DUMMYFUNCTION("""COMPUTED_VALUE"""),"https://lh5.googleusercontent.com/d/1twL9zUrxzW5a3OkTHdcubnI9LVL6zb1_")</f>
        <v>https://lh5.googleusercontent.com/d/1twL9zUrxzW5a3OkTHdcubnI9LVL6zb1_</v>
      </c>
      <c r="O348" s="14" t="str">
        <f>IFERROR(__xludf.DUMMYFUNCTION("""COMPUTED_VALUE"""),"https://drive.google.com/file/d/11KZLu2lMm_g4-Rs2suSjL5UjRl-HyHSi/view?usp=drivesdk")</f>
        <v>https://drive.google.com/file/d/11KZLu2lMm_g4-Rs2suSjL5UjRl-HyHSi/view?usp=drivesdk</v>
      </c>
    </row>
    <row r="349">
      <c r="A349" s="3">
        <f>IFERROR(__xludf.DUMMYFUNCTION("""COMPUTED_VALUE"""),1421.0)</f>
        <v>1421</v>
      </c>
      <c r="B349" s="11">
        <f>IFERROR(__xludf.DUMMYFUNCTION("""COMPUTED_VALUE"""),45998.91700677084)</f>
        <v>45998.91701</v>
      </c>
      <c r="C349" s="3" t="str">
        <f>IFERROR(__xludf.DUMMYFUNCTION("""COMPUTED_VALUE"""),"ชั้นปีที่ 3")</f>
        <v>ชั้นปีที่ 3</v>
      </c>
      <c r="D349" s="3" t="str">
        <f>IFERROR(__xludf.DUMMYFUNCTION("""COMPUTED_VALUE"""),"6603800")</f>
        <v>6603800</v>
      </c>
      <c r="E349" s="3" t="str">
        <f>IFERROR(__xludf.DUMMYFUNCTION("""COMPUTED_VALUE"""),"46")</f>
        <v>46</v>
      </c>
      <c r="F349" s="3" t="str">
        <f>IFERROR(__xludf.DUMMYFUNCTION("""COMPUTED_VALUE"""),"นพอ.วารีริน ปิมปา")</f>
        <v>นพอ.วารีริน ปิมปา</v>
      </c>
      <c r="G3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9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34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9" s="12">
        <f>IFERROR(__xludf.DUMMYFUNCTION("""COMPUTED_VALUE"""),45840.0)</f>
        <v>45840</v>
      </c>
      <c r="K349" s="3" t="str">
        <f>IFERROR(__xludf.DUMMYFUNCTION("""COMPUTED_VALUE"""),"1400-2200")</f>
        <v>1400-2200</v>
      </c>
      <c r="L349" s="3">
        <f>IFERROR(__xludf.DUMMYFUNCTION("""COMPUTED_VALUE"""),8.0)</f>
        <v>8</v>
      </c>
      <c r="M349" s="3" t="str">
        <f>IFERROR(__xludf.DUMMYFUNCTION("""COMPUTED_VALUE"""),"ร.อ.อนุชิต ทำจะดี")</f>
        <v>ร.อ.อนุชิต ทำจะดี</v>
      </c>
      <c r="N349" s="14" t="str">
        <f>IFERROR(__xludf.DUMMYFUNCTION("""COMPUTED_VALUE"""),"https://lh5.googleusercontent.com/d/1OMmNxqGVocCP3j8N_rWfgYSK5XW2qZ7p")</f>
        <v>https://lh5.googleusercontent.com/d/1OMmNxqGVocCP3j8N_rWfgYSK5XW2qZ7p</v>
      </c>
      <c r="O349" s="14" t="str">
        <f>IFERROR(__xludf.DUMMYFUNCTION("""COMPUTED_VALUE"""),"https://drive.google.com/file/d/1Nx1IDFvC7e1MtbL85AvjGT-3fyuU9Ls8/view?usp=drivesdk")</f>
        <v>https://drive.google.com/file/d/1Nx1IDFvC7e1MtbL85AvjGT-3fyuU9Ls8/view?usp=drivesdk</v>
      </c>
    </row>
    <row r="350">
      <c r="A350" s="3">
        <f>IFERROR(__xludf.DUMMYFUNCTION("""COMPUTED_VALUE"""),1431.0)</f>
        <v>1431</v>
      </c>
      <c r="B350" s="11">
        <f>IFERROR(__xludf.DUMMYFUNCTION("""COMPUTED_VALUE"""),45998.92301865741)</f>
        <v>45998.92302</v>
      </c>
      <c r="C350" s="3" t="str">
        <f>IFERROR(__xludf.DUMMYFUNCTION("""COMPUTED_VALUE"""),"ชั้นปีที่ 3")</f>
        <v>ชั้นปีที่ 3</v>
      </c>
      <c r="D350" s="3" t="str">
        <f>IFERROR(__xludf.DUMMYFUNCTION("""COMPUTED_VALUE"""),"6603800")</f>
        <v>6603800</v>
      </c>
      <c r="E350" s="3" t="str">
        <f>IFERROR(__xludf.DUMMYFUNCTION("""COMPUTED_VALUE"""),"46")</f>
        <v>46</v>
      </c>
      <c r="F350" s="3" t="str">
        <f>IFERROR(__xludf.DUMMYFUNCTION("""COMPUTED_VALUE"""),"นพอ.วารีริน ปิมปา")</f>
        <v>นพอ.วารีริน ปิมปา</v>
      </c>
      <c r="G35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50" s="3" t="str">
        <f>IFERROR(__xludf.DUMMYFUNCTION("""COMPUTED_VALUE"""),"บริจาคโลหิต")</f>
        <v>บริจาคโลหิต</v>
      </c>
      <c r="I350" s="3" t="str">
        <f>IFERROR(__xludf.DUMMYFUNCTION("""COMPUTED_VALUE"""),"เดอะพรอมานาด")</f>
        <v>เดอะพรอมานาด</v>
      </c>
      <c r="J350" s="12">
        <f>IFERROR(__xludf.DUMMYFUNCTION("""COMPUTED_VALUE"""),45990.0)</f>
        <v>45990</v>
      </c>
      <c r="K350" s="3" t="str">
        <f>IFERROR(__xludf.DUMMYFUNCTION("""COMPUTED_VALUE"""),"1300-1400")</f>
        <v>1300-1400</v>
      </c>
      <c r="L350" s="3">
        <f>IFERROR(__xludf.DUMMYFUNCTION("""COMPUTED_VALUE"""),8.0)</f>
        <v>8</v>
      </c>
      <c r="M350" s="3" t="str">
        <f>IFERROR(__xludf.DUMMYFUNCTION("""COMPUTED_VALUE"""),"ร.อ.อนุชิต ทำจะดี")</f>
        <v>ร.อ.อนุชิต ทำจะดี</v>
      </c>
      <c r="N350" s="14" t="str">
        <f>IFERROR(__xludf.DUMMYFUNCTION("""COMPUTED_VALUE"""),"https://lh5.googleusercontent.com/d/1fJktdXdjqJWIN1Itmf-bG_6DAndPMcbO")</f>
        <v>https://lh5.googleusercontent.com/d/1fJktdXdjqJWIN1Itmf-bG_6DAndPMcbO</v>
      </c>
      <c r="O350" s="14" t="str">
        <f>IFERROR(__xludf.DUMMYFUNCTION("""COMPUTED_VALUE"""),"https://drive.google.com/file/d/1LjxkDlEbdKYqs40gLd_ENZJiy22n1Ol1/view?usp=drivesdk")</f>
        <v>https://drive.google.com/file/d/1LjxkDlEbdKYqs40gLd_ENZJiy22n1Ol1/view?usp=drivesdk</v>
      </c>
    </row>
    <row r="351">
      <c r="A351" s="3">
        <f>IFERROR(__xludf.DUMMYFUNCTION("""COMPUTED_VALUE"""),1436.0)</f>
        <v>1436</v>
      </c>
      <c r="B351" s="11">
        <f>IFERROR(__xludf.DUMMYFUNCTION("""COMPUTED_VALUE"""),45998.9253981713)</f>
        <v>45998.9254</v>
      </c>
      <c r="C351" s="3" t="str">
        <f>IFERROR(__xludf.DUMMYFUNCTION("""COMPUTED_VALUE"""),"ชั้นปีที่ 3")</f>
        <v>ชั้นปีที่ 3</v>
      </c>
      <c r="D351" s="3" t="str">
        <f>IFERROR(__xludf.DUMMYFUNCTION("""COMPUTED_VALUE"""),"6603816")</f>
        <v>6603816</v>
      </c>
      <c r="E351" s="3" t="str">
        <f>IFERROR(__xludf.DUMMYFUNCTION("""COMPUTED_VALUE"""),"62")</f>
        <v>62</v>
      </c>
      <c r="F351" s="3" t="str">
        <f>IFERROR(__xludf.DUMMYFUNCTION("""COMPUTED_VALUE"""),"นพอ.อมฤทธิ์ สุทธิวิลัย")</f>
        <v>นพอ.อมฤทธิ์ สุทธิวิลัย</v>
      </c>
      <c r="G3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1" s="3" t="str">
        <f>IFERROR(__xludf.DUMMYFUNCTION("""COMPUTED_VALUE"""),"คอนเสิร์ตทัพฟ้า คู่ไทยเพื่อ ชัยพัฒนา")</f>
        <v>คอนเสิร์ตทัพฟ้า คู่ไทยเพื่อ ชัยพัฒนา</v>
      </c>
      <c r="I35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1" s="12">
        <f>IFERROR(__xludf.DUMMYFUNCTION("""COMPUTED_VALUE"""),45839.0)</f>
        <v>45839</v>
      </c>
      <c r="K351" s="3" t="str">
        <f>IFERROR(__xludf.DUMMYFUNCTION("""COMPUTED_VALUE"""),"1400-2200")</f>
        <v>1400-2200</v>
      </c>
      <c r="L351" s="3">
        <f>IFERROR(__xludf.DUMMYFUNCTION("""COMPUTED_VALUE"""),8.0)</f>
        <v>8</v>
      </c>
      <c r="M351" s="3" t="str">
        <f>IFERROR(__xludf.DUMMYFUNCTION("""COMPUTED_VALUE"""),"ร.อ.อนุชิต ทำจะดี")</f>
        <v>ร.อ.อนุชิต ทำจะดี</v>
      </c>
      <c r="N351" s="14" t="str">
        <f>IFERROR(__xludf.DUMMYFUNCTION("""COMPUTED_VALUE"""),"https://lh5.googleusercontent.com/d/1cr4QYR9lfNF2-tRdEyoMaH0TgBoSDKiI")</f>
        <v>https://lh5.googleusercontent.com/d/1cr4QYR9lfNF2-tRdEyoMaH0TgBoSDKiI</v>
      </c>
      <c r="O351" s="3"/>
    </row>
    <row r="352">
      <c r="A352" s="3">
        <f>IFERROR(__xludf.DUMMYFUNCTION("""COMPUTED_VALUE"""),1439.0)</f>
        <v>1439</v>
      </c>
      <c r="B352" s="11">
        <f>IFERROR(__xludf.DUMMYFUNCTION("""COMPUTED_VALUE"""),45998.928997337964)</f>
        <v>45998.929</v>
      </c>
      <c r="C352" s="3" t="str">
        <f>IFERROR(__xludf.DUMMYFUNCTION("""COMPUTED_VALUE"""),"ชั้นปีที่ 3")</f>
        <v>ชั้นปีที่ 3</v>
      </c>
      <c r="D352" s="3" t="str">
        <f>IFERROR(__xludf.DUMMYFUNCTION("""COMPUTED_VALUE"""),"6603816")</f>
        <v>6603816</v>
      </c>
      <c r="E352" s="3" t="str">
        <f>IFERROR(__xludf.DUMMYFUNCTION("""COMPUTED_VALUE"""),"62")</f>
        <v>62</v>
      </c>
      <c r="F352" s="3" t="str">
        <f>IFERROR(__xludf.DUMMYFUNCTION("""COMPUTED_VALUE"""),"นพอ.อมฤทธิ์ สุทธิวิลัย")</f>
        <v>นพอ.อมฤทธิ์ สุทธิวิลัย</v>
      </c>
      <c r="G3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2" s="3" t="str">
        <f>IFERROR(__xludf.DUMMYFUNCTION("""COMPUTED_VALUE"""),"คอนเสิร์ตทัพฟ้า คู่ไทยเพื่อชัยพัฒนา")</f>
        <v>คอนเสิร์ตทัพฟ้า คู่ไทยเพื่อชัยพัฒนา</v>
      </c>
      <c r="I35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2" s="12">
        <f>IFERROR(__xludf.DUMMYFUNCTION("""COMPUTED_VALUE"""),45840.0)</f>
        <v>45840</v>
      </c>
      <c r="K352" s="3" t="str">
        <f>IFERROR(__xludf.DUMMYFUNCTION("""COMPUTED_VALUE"""),"1400-2200")</f>
        <v>1400-2200</v>
      </c>
      <c r="L352" s="3">
        <f>IFERROR(__xludf.DUMMYFUNCTION("""COMPUTED_VALUE"""),8.0)</f>
        <v>8</v>
      </c>
      <c r="M352" s="3" t="str">
        <f>IFERROR(__xludf.DUMMYFUNCTION("""COMPUTED_VALUE"""),"ร.อ.อนุชิต ทำจะดี")</f>
        <v>ร.อ.อนุชิต ทำจะดี</v>
      </c>
      <c r="N352" s="14" t="str">
        <f>IFERROR(__xludf.DUMMYFUNCTION("""COMPUTED_VALUE"""),"https://lh5.googleusercontent.com/d/1a6gd_Gm_Od08HmRurDZEUpzPZ-w2a5rH")</f>
        <v>https://lh5.googleusercontent.com/d/1a6gd_Gm_Od08HmRurDZEUpzPZ-w2a5rH</v>
      </c>
      <c r="O352" s="14" t="str">
        <f>IFERROR(__xludf.DUMMYFUNCTION("""COMPUTED_VALUE"""),"https://drive.google.com/file/d/1C5M7zIDBGFS3e374eKJW_HAabhVPdr1H/view?usp=drivesdk")</f>
        <v>https://drive.google.com/file/d/1C5M7zIDBGFS3e374eKJW_HAabhVPdr1H/view?usp=drivesdk</v>
      </c>
    </row>
    <row r="353">
      <c r="A353" s="3">
        <f>IFERROR(__xludf.DUMMYFUNCTION("""COMPUTED_VALUE"""),1446.0)</f>
        <v>1446</v>
      </c>
      <c r="B353" s="11">
        <f>IFERROR(__xludf.DUMMYFUNCTION("""COMPUTED_VALUE"""),45998.93152265046)</f>
        <v>45998.93152</v>
      </c>
      <c r="C353" s="3" t="str">
        <f>IFERROR(__xludf.DUMMYFUNCTION("""COMPUTED_VALUE"""),"ชั้นปีที่ 3")</f>
        <v>ชั้นปีที่ 3</v>
      </c>
      <c r="D353" s="3" t="str">
        <f>IFERROR(__xludf.DUMMYFUNCTION("""COMPUTED_VALUE"""),"6603816")</f>
        <v>6603816</v>
      </c>
      <c r="E353" s="3" t="str">
        <f>IFERROR(__xludf.DUMMYFUNCTION("""COMPUTED_VALUE"""),"62")</f>
        <v>62</v>
      </c>
      <c r="F353" s="3" t="str">
        <f>IFERROR(__xludf.DUMMYFUNCTION("""COMPUTED_VALUE"""),"นพอ.อมฤทธิ์ สุทธิวิลัย")</f>
        <v>นพอ.อมฤทธิ์ สุทธิวิลัย</v>
      </c>
      <c r="G3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3" s="3" t="str">
        <f>IFERROR(__xludf.DUMMYFUNCTION("""COMPUTED_VALUE"""),"คอนเสิร์ตทัฟฟ้า คู่ไทยเพื่อชัยพัฒนา")</f>
        <v>คอนเสิร์ตทัฟฟ้า คู่ไทยเพื่อชัยพัฒนา</v>
      </c>
      <c r="I35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3" s="12">
        <f>IFERROR(__xludf.DUMMYFUNCTION("""COMPUTED_VALUE"""),45839.0)</f>
        <v>45839</v>
      </c>
      <c r="K353" s="3" t="str">
        <f>IFERROR(__xludf.DUMMYFUNCTION("""COMPUTED_VALUE"""),"1400-2200")</f>
        <v>1400-2200</v>
      </c>
      <c r="L353" s="3">
        <f>IFERROR(__xludf.DUMMYFUNCTION("""COMPUTED_VALUE"""),8.0)</f>
        <v>8</v>
      </c>
      <c r="M353" s="3" t="str">
        <f>IFERROR(__xludf.DUMMYFUNCTION("""COMPUTED_VALUE"""),"ร.อ.อนุชิต ทำจะดี")</f>
        <v>ร.อ.อนุชิต ทำจะดี</v>
      </c>
      <c r="N353" s="14" t="str">
        <f>IFERROR(__xludf.DUMMYFUNCTION("""COMPUTED_VALUE"""),"https://lh5.googleusercontent.com/d/1hZ2QWcVS6AsPXqx5K0ni0iddl-nHapw5")</f>
        <v>https://lh5.googleusercontent.com/d/1hZ2QWcVS6AsPXqx5K0ni0iddl-nHapw5</v>
      </c>
      <c r="O353" s="14" t="str">
        <f>IFERROR(__xludf.DUMMYFUNCTION("""COMPUTED_VALUE"""),"https://drive.google.com/file/d/13HSzxwuRHAJOJVYbgWE230pr2NIKKHYG/view?usp=drivesdk")</f>
        <v>https://drive.google.com/file/d/13HSzxwuRHAJOJVYbgWE230pr2NIKKHYG/view?usp=drivesdk</v>
      </c>
    </row>
    <row r="354">
      <c r="A354" s="3">
        <f>IFERROR(__xludf.DUMMYFUNCTION("""COMPUTED_VALUE"""),1452.0)</f>
        <v>1452</v>
      </c>
      <c r="B354" s="11">
        <f>IFERROR(__xludf.DUMMYFUNCTION("""COMPUTED_VALUE"""),45998.935280289355)</f>
        <v>45998.93528</v>
      </c>
      <c r="C354" s="3" t="str">
        <f>IFERROR(__xludf.DUMMYFUNCTION("""COMPUTED_VALUE"""),"ชั้นปีที่ 3")</f>
        <v>ชั้นปีที่ 3</v>
      </c>
      <c r="D354" s="3" t="str">
        <f>IFERROR(__xludf.DUMMYFUNCTION("""COMPUTED_VALUE"""),"6603816")</f>
        <v>6603816</v>
      </c>
      <c r="E354" s="3" t="str">
        <f>IFERROR(__xludf.DUMMYFUNCTION("""COMPUTED_VALUE"""),"62")</f>
        <v>62</v>
      </c>
      <c r="F354" s="3" t="str">
        <f>IFERROR(__xludf.DUMMYFUNCTION("""COMPUTED_VALUE"""),"นพอ.อมฤทธิ์ สุทธิวิลัย")</f>
        <v>นพอ.อมฤทธิ์ สุทธิวิลัย</v>
      </c>
      <c r="G3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4" s="3" t="str">
        <f>IFERROR(__xludf.DUMMYFUNCTION("""COMPUTED_VALUE"""),"สื่อสร้างสรรค์เสริมพลังการสื่อสาร พัฒนาสังคมไทย")</f>
        <v>สื่อสร้างสรรค์เสริมพลังการสื่อสาร พัฒนาสังคมไทย</v>
      </c>
      <c r="I354" s="3" t="str">
        <f>IFERROR(__xludf.DUMMYFUNCTION("""COMPUTED_VALUE"""),"สำนักงาน SCG")</f>
        <v>สำนักงาน SCG</v>
      </c>
      <c r="J354" s="12">
        <f>IFERROR(__xludf.DUMMYFUNCTION("""COMPUTED_VALUE"""),45955.0)</f>
        <v>45955</v>
      </c>
      <c r="K354" s="3" t="str">
        <f>IFERROR(__xludf.DUMMYFUNCTION("""COMPUTED_VALUE"""),"0700-1200")</f>
        <v>0700-1200</v>
      </c>
      <c r="L354" s="3">
        <f>IFERROR(__xludf.DUMMYFUNCTION("""COMPUTED_VALUE"""),5.0)</f>
        <v>5</v>
      </c>
      <c r="M354" s="3" t="str">
        <f>IFERROR(__xludf.DUMMYFUNCTION("""COMPUTED_VALUE"""),"น.ท.หญิงฤทัยวรรณ นวมพันธ์")</f>
        <v>น.ท.หญิงฤทัยวรรณ นวมพันธ์</v>
      </c>
      <c r="N354" s="14" t="str">
        <f>IFERROR(__xludf.DUMMYFUNCTION("""COMPUTED_VALUE"""),"https://lh5.googleusercontent.com/d/1FtLXNhcZx6J0mUnGUcMjk3AoSF4Z2yOp")</f>
        <v>https://lh5.googleusercontent.com/d/1FtLXNhcZx6J0mUnGUcMjk3AoSF4Z2yOp</v>
      </c>
      <c r="O354" s="14" t="str">
        <f>IFERROR(__xludf.DUMMYFUNCTION("""COMPUTED_VALUE"""),"https://drive.google.com/file/d/1UBT45eWA47Y1DbWlTEyeQ-FL8zSEDe_R/view?usp=drivesdk")</f>
        <v>https://drive.google.com/file/d/1UBT45eWA47Y1DbWlTEyeQ-FL8zSEDe_R/view?usp=drivesdk</v>
      </c>
    </row>
    <row r="355">
      <c r="A355" s="3">
        <f>IFERROR(__xludf.DUMMYFUNCTION("""COMPUTED_VALUE"""),1457.0)</f>
        <v>1457</v>
      </c>
      <c r="B355" s="11">
        <f>IFERROR(__xludf.DUMMYFUNCTION("""COMPUTED_VALUE"""),45998.94118893519)</f>
        <v>45998.94119</v>
      </c>
      <c r="C355" s="3" t="str">
        <f>IFERROR(__xludf.DUMMYFUNCTION("""COMPUTED_VALUE"""),"ชั้นปีที่ 3")</f>
        <v>ชั้นปีที่ 3</v>
      </c>
      <c r="D355" s="3" t="str">
        <f>IFERROR(__xludf.DUMMYFUNCTION("""COMPUTED_VALUE"""),"6603816")</f>
        <v>6603816</v>
      </c>
      <c r="E355" s="3" t="str">
        <f>IFERROR(__xludf.DUMMYFUNCTION("""COMPUTED_VALUE"""),"62")</f>
        <v>62</v>
      </c>
      <c r="F355" s="3" t="str">
        <f>IFERROR(__xludf.DUMMYFUNCTION("""COMPUTED_VALUE"""),"นพอ.อมฤทธิ์ สุทธิวิลัย")</f>
        <v>นพอ.อมฤทธิ์ สุทธิวิลัย</v>
      </c>
      <c r="G355" s="3" t="str">
        <f>IFERROR(__xludf.DUMMYFUNCTION("""COMPUTED_VALUE"""),"ช่วยเหลืองานภายใน วพอ.")</f>
        <v>ช่วยเหลืองานภายใน วพอ.</v>
      </c>
      <c r="H355" s="3" t="str">
        <f>IFERROR(__xludf.DUMMYFUNCTION("""COMPUTED_VALUE"""),"งานสถาปนาวิทยาลัยพยาบาลทหารอากาศ")</f>
        <v>งานสถาปนาวิทยาลัยพยาบาลทหารอากาศ</v>
      </c>
      <c r="I355" s="3" t="str">
        <f>IFERROR(__xludf.DUMMYFUNCTION("""COMPUTED_VALUE"""),"วพอ.พอ.")</f>
        <v>วพอ.พอ.</v>
      </c>
      <c r="J355" s="12">
        <f>IFERROR(__xludf.DUMMYFUNCTION("""COMPUTED_VALUE"""),45823.0)</f>
        <v>45823</v>
      </c>
      <c r="K355" s="3" t="str">
        <f>IFERROR(__xludf.DUMMYFUNCTION("""COMPUTED_VALUE"""),"1000-1200")</f>
        <v>1000-1200</v>
      </c>
      <c r="L355" s="3">
        <f>IFERROR(__xludf.DUMMYFUNCTION("""COMPUTED_VALUE"""),2.0)</f>
        <v>2</v>
      </c>
      <c r="M355" s="3" t="str">
        <f>IFERROR(__xludf.DUMMYFUNCTION("""COMPUTED_VALUE"""),"ร.อ.อนุชิต ทำจะดี")</f>
        <v>ร.อ.อนุชิต ทำจะดี</v>
      </c>
      <c r="N355" s="14" t="str">
        <f>IFERROR(__xludf.DUMMYFUNCTION("""COMPUTED_VALUE"""),"https://lh5.googleusercontent.com/d/1M-U_h399N7IJ7GFH11eashTjCU-KldLG")</f>
        <v>https://lh5.googleusercontent.com/d/1M-U_h399N7IJ7GFH11eashTjCU-KldLG</v>
      </c>
      <c r="O355" s="14" t="str">
        <f>IFERROR(__xludf.DUMMYFUNCTION("""COMPUTED_VALUE"""),"https://drive.google.com/file/d/1xcEFVnsD1D1c0UmG-VCdyHB1qFDQwvmj/view?usp=drivesdk")</f>
        <v>https://drive.google.com/file/d/1xcEFVnsD1D1c0UmG-VCdyHB1qFDQwvmj/view?usp=drivesdk</v>
      </c>
    </row>
    <row r="356">
      <c r="A356" s="3">
        <f>IFERROR(__xludf.DUMMYFUNCTION("""COMPUTED_VALUE"""),1465.0)</f>
        <v>1465</v>
      </c>
      <c r="B356" s="11">
        <f>IFERROR(__xludf.DUMMYFUNCTION("""COMPUTED_VALUE"""),45998.94844049769)</f>
        <v>45998.94844</v>
      </c>
      <c r="C356" s="3" t="str">
        <f>IFERROR(__xludf.DUMMYFUNCTION("""COMPUTED_VALUE"""),"ชั้นปีที่ 3")</f>
        <v>ชั้นปีที่ 3</v>
      </c>
      <c r="D356" s="3" t="str">
        <f>IFERROR(__xludf.DUMMYFUNCTION("""COMPUTED_VALUE"""),"6603816")</f>
        <v>6603816</v>
      </c>
      <c r="E356" s="3" t="str">
        <f>IFERROR(__xludf.DUMMYFUNCTION("""COMPUTED_VALUE"""),"62")</f>
        <v>62</v>
      </c>
      <c r="F356" s="3" t="str">
        <f>IFERROR(__xludf.DUMMYFUNCTION("""COMPUTED_VALUE"""),"นพอ.อมฤทธิ์ สุทธิวิลัย")</f>
        <v>นพอ.อมฤทธิ์ สุทธิวิลัย</v>
      </c>
      <c r="G356" s="3" t="str">
        <f>IFERROR(__xludf.DUMMYFUNCTION("""COMPUTED_VALUE"""),"ช่วยเหลืองานภายใน วพอ.")</f>
        <v>ช่วยเหลืองานภายใน วพอ.</v>
      </c>
      <c r="H356" s="3" t="str">
        <f>IFERROR(__xludf.DUMMYFUNCTION("""COMPUTED_VALUE"""),"Big cleaning")</f>
        <v>Big cleaning</v>
      </c>
      <c r="I356" s="3" t="str">
        <f>IFERROR(__xludf.DUMMYFUNCTION("""COMPUTED_VALUE"""),"วพอ.พอ.")</f>
        <v>วพอ.พอ.</v>
      </c>
      <c r="J356" s="12">
        <f>IFERROR(__xludf.DUMMYFUNCTION("""COMPUTED_VALUE"""),45992.0)</f>
        <v>45992</v>
      </c>
      <c r="K356" s="3" t="str">
        <f>IFERROR(__xludf.DUMMYFUNCTION("""COMPUTED_VALUE"""),"0800-1200")</f>
        <v>0800-1200</v>
      </c>
      <c r="L356" s="3">
        <f>IFERROR(__xludf.DUMMYFUNCTION("""COMPUTED_VALUE"""),5.0)</f>
        <v>5</v>
      </c>
      <c r="M356" s="3" t="str">
        <f>IFERROR(__xludf.DUMMYFUNCTION("""COMPUTED_VALUE"""),"น.ท.หญิงสุพัตรา ปิ่นแก้ว")</f>
        <v>น.ท.หญิงสุพัตรา ปิ่นแก้ว</v>
      </c>
      <c r="N356" s="14" t="str">
        <f>IFERROR(__xludf.DUMMYFUNCTION("""COMPUTED_VALUE"""),"https://lh5.googleusercontent.com/d/1nlbe9JkWwW8IB7LltMkE4jaEsqwFcQzP")</f>
        <v>https://lh5.googleusercontent.com/d/1nlbe9JkWwW8IB7LltMkE4jaEsqwFcQzP</v>
      </c>
      <c r="O356" s="14" t="str">
        <f>IFERROR(__xludf.DUMMYFUNCTION("""COMPUTED_VALUE"""),"https://drive.google.com/file/d/1Xt88P5pOeuqtFITXa7H7lQND1tyEStCp/view?usp=drivesdk")</f>
        <v>https://drive.google.com/file/d/1Xt88P5pOeuqtFITXa7H7lQND1tyEStCp/view?usp=drivesdk</v>
      </c>
    </row>
    <row r="357">
      <c r="A357" s="3">
        <f>IFERROR(__xludf.DUMMYFUNCTION("""COMPUTED_VALUE"""),1494.0)</f>
        <v>1494</v>
      </c>
      <c r="B357" s="11">
        <f>IFERROR(__xludf.DUMMYFUNCTION("""COMPUTED_VALUE"""),45999.010443726846)</f>
        <v>45999.01044</v>
      </c>
      <c r="C357" s="3" t="str">
        <f>IFERROR(__xludf.DUMMYFUNCTION("""COMPUTED_VALUE"""),"ชั้นปีที่ 3")</f>
        <v>ชั้นปีที่ 3</v>
      </c>
      <c r="D357" s="3" t="str">
        <f>IFERROR(__xludf.DUMMYFUNCTION("""COMPUTED_VALUE"""),"6603763")</f>
        <v>6603763</v>
      </c>
      <c r="E357" s="3" t="str">
        <f>IFERROR(__xludf.DUMMYFUNCTION("""COMPUTED_VALUE"""),"10")</f>
        <v>10</v>
      </c>
      <c r="F357" s="3" t="str">
        <f>IFERROR(__xludf.DUMMYFUNCTION("""COMPUTED_VALUE"""),"นพอ.ชนาภา บุญแสน")</f>
        <v>นพอ.ชนาภา บุญแสน</v>
      </c>
      <c r="G3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7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5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7" s="12">
        <f>IFERROR(__xludf.DUMMYFUNCTION("""COMPUTED_VALUE"""),45839.0)</f>
        <v>45839</v>
      </c>
      <c r="K357" s="3" t="str">
        <f>IFERROR(__xludf.DUMMYFUNCTION("""COMPUTED_VALUE"""),"14.00-22.00")</f>
        <v>14.00-22.00</v>
      </c>
      <c r="L357" s="3">
        <f>IFERROR(__xludf.DUMMYFUNCTION("""COMPUTED_VALUE"""),8.0)</f>
        <v>8</v>
      </c>
      <c r="M357" s="3" t="str">
        <f>IFERROR(__xludf.DUMMYFUNCTION("""COMPUTED_VALUE"""),"ร.อ.อนุชิต ทำจะดี")</f>
        <v>ร.อ.อนุชิต ทำจะดี</v>
      </c>
      <c r="N357" s="14" t="str">
        <f>IFERROR(__xludf.DUMMYFUNCTION("""COMPUTED_VALUE"""),"https://lh5.googleusercontent.com/d/14Lc5huX-ltbMxqnzEgRuqvsUcAf8JbP2")</f>
        <v>https://lh5.googleusercontent.com/d/14Lc5huX-ltbMxqnzEgRuqvsUcAf8JbP2</v>
      </c>
      <c r="O357" s="14" t="str">
        <f>IFERROR(__xludf.DUMMYFUNCTION("""COMPUTED_VALUE"""),"https://drive.google.com/file/d/1fj38zQ4JFiFmCk3jens_nxCW_ozyaZhC/view?usp=drivesdk")</f>
        <v>https://drive.google.com/file/d/1fj38zQ4JFiFmCk3jens_nxCW_ozyaZhC/view?usp=drivesdk</v>
      </c>
    </row>
    <row r="358">
      <c r="A358" s="3">
        <f>IFERROR(__xludf.DUMMYFUNCTION("""COMPUTED_VALUE"""),1495.0)</f>
        <v>1495</v>
      </c>
      <c r="B358" s="11">
        <f>IFERROR(__xludf.DUMMYFUNCTION("""COMPUTED_VALUE"""),45999.012103402776)</f>
        <v>45999.0121</v>
      </c>
      <c r="C358" s="3" t="str">
        <f>IFERROR(__xludf.DUMMYFUNCTION("""COMPUTED_VALUE"""),"ชั้นปีที่ 3")</f>
        <v>ชั้นปีที่ 3</v>
      </c>
      <c r="D358" s="3" t="str">
        <f>IFERROR(__xludf.DUMMYFUNCTION("""COMPUTED_VALUE"""),"6603763")</f>
        <v>6603763</v>
      </c>
      <c r="E358" s="3" t="str">
        <f>IFERROR(__xludf.DUMMYFUNCTION("""COMPUTED_VALUE"""),"10")</f>
        <v>10</v>
      </c>
      <c r="F358" s="3" t="str">
        <f>IFERROR(__xludf.DUMMYFUNCTION("""COMPUTED_VALUE"""),"นพอ.ชนาภา บุญแสน")</f>
        <v>นพอ.ชนาภา บุญแสน</v>
      </c>
      <c r="G3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8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5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8" s="12">
        <f>IFERROR(__xludf.DUMMYFUNCTION("""COMPUTED_VALUE"""),45840.0)</f>
        <v>45840</v>
      </c>
      <c r="K358" s="3" t="str">
        <f>IFERROR(__xludf.DUMMYFUNCTION("""COMPUTED_VALUE"""),"14.00-22.00")</f>
        <v>14.00-22.00</v>
      </c>
      <c r="L358" s="3">
        <f>IFERROR(__xludf.DUMMYFUNCTION("""COMPUTED_VALUE"""),8.0)</f>
        <v>8</v>
      </c>
      <c r="M358" s="3" t="str">
        <f>IFERROR(__xludf.DUMMYFUNCTION("""COMPUTED_VALUE"""),"ร.อ.อนุชิต ทำจะดี")</f>
        <v>ร.อ.อนุชิต ทำจะดี</v>
      </c>
      <c r="N358" s="14" t="str">
        <f>IFERROR(__xludf.DUMMYFUNCTION("""COMPUTED_VALUE"""),"https://lh5.googleusercontent.com/d/1Ys39rQH_sal5HG-qLBFyHupaS_xDyegz")</f>
        <v>https://lh5.googleusercontent.com/d/1Ys39rQH_sal5HG-qLBFyHupaS_xDyegz</v>
      </c>
      <c r="O358" s="14" t="str">
        <f>IFERROR(__xludf.DUMMYFUNCTION("""COMPUTED_VALUE"""),"https://drive.google.com/file/d/18gqpd2KlAw7P-BWwtn_opS3NYn4ZRnBy/view?usp=drivesdk")</f>
        <v>https://drive.google.com/file/d/18gqpd2KlAw7P-BWwtn_opS3NYn4ZRnBy/view?usp=drivesdk</v>
      </c>
    </row>
    <row r="359">
      <c r="A359" s="3">
        <f>IFERROR(__xludf.DUMMYFUNCTION("""COMPUTED_VALUE"""),1496.0)</f>
        <v>1496</v>
      </c>
      <c r="B359" s="11">
        <f>IFERROR(__xludf.DUMMYFUNCTION("""COMPUTED_VALUE"""),45999.02538203704)</f>
        <v>45999.02538</v>
      </c>
      <c r="C359" s="3" t="str">
        <f>IFERROR(__xludf.DUMMYFUNCTION("""COMPUTED_VALUE"""),"ชั้นปีที่ 3")</f>
        <v>ชั้นปีที่ 3</v>
      </c>
      <c r="D359" s="3" t="str">
        <f>IFERROR(__xludf.DUMMYFUNCTION("""COMPUTED_VALUE"""),"6603783")</f>
        <v>6603783</v>
      </c>
      <c r="E359" s="3" t="str">
        <f>IFERROR(__xludf.DUMMYFUNCTION("""COMPUTED_VALUE"""),"29")</f>
        <v>29</v>
      </c>
      <c r="F359" s="3" t="str">
        <f>IFERROR(__xludf.DUMMYFUNCTION("""COMPUTED_VALUE"""),"นพอ.บูรพา สิริอุดมสิน")</f>
        <v>นพอ.บูรพา สิริอุดมสิน</v>
      </c>
      <c r="G3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9" s="3" t="str">
        <f>IFERROR(__xludf.DUMMYFUNCTION("""COMPUTED_VALUE"""),"ประชุมวิชาการวันพยาบาลแห่งชาติ")</f>
        <v>ประชุมวิชาการวันพยาบาลแห่งชาติ</v>
      </c>
      <c r="I359" s="3" t="str">
        <f>IFERROR(__xludf.DUMMYFUNCTION("""COMPUTED_VALUE"""),"สภาการพยาบาล")</f>
        <v>สภาการพยาบาล</v>
      </c>
      <c r="J359" s="12">
        <f>IFERROR(__xludf.DUMMYFUNCTION("""COMPUTED_VALUE"""),45954.0)</f>
        <v>45954</v>
      </c>
      <c r="K359" s="3" t="str">
        <f>IFERROR(__xludf.DUMMYFUNCTION("""COMPUTED_VALUE"""),"0800-1600")</f>
        <v>0800-1600</v>
      </c>
      <c r="L359" s="3">
        <f>IFERROR(__xludf.DUMMYFUNCTION("""COMPUTED_VALUE"""),8.0)</f>
        <v>8</v>
      </c>
      <c r="M359" s="3" t="str">
        <f>IFERROR(__xludf.DUMMYFUNCTION("""COMPUTED_VALUE"""),"น.ต.หญิง สมพงษ์ แก้วพรรณา")</f>
        <v>น.ต.หญิง สมพงษ์ แก้วพรรณา</v>
      </c>
      <c r="N359" s="14" t="str">
        <f>IFERROR(__xludf.DUMMYFUNCTION("""COMPUTED_VALUE"""),"https://lh5.googleusercontent.com/d/1T01N-kr3CUG4G8442iE3PEMRyl6oVKXH")</f>
        <v>https://lh5.googleusercontent.com/d/1T01N-kr3CUG4G8442iE3PEMRyl6oVKXH</v>
      </c>
      <c r="O359" s="14" t="str">
        <f>IFERROR(__xludf.DUMMYFUNCTION("""COMPUTED_VALUE"""),"https://drive.google.com/file/d/1EgxyS0P6YZRQIvOwEwVNvzUlBkwkpdnm/view?usp=drivesdk")</f>
        <v>https://drive.google.com/file/d/1EgxyS0P6YZRQIvOwEwVNvzUlBkwkpdnm/view?usp=drivesdk</v>
      </c>
    </row>
    <row r="360">
      <c r="A360" s="3">
        <f>IFERROR(__xludf.DUMMYFUNCTION("""COMPUTED_VALUE"""),1504.0)</f>
        <v>1504</v>
      </c>
      <c r="B360" s="11">
        <f>IFERROR(__xludf.DUMMYFUNCTION("""COMPUTED_VALUE"""),45999.388806180556)</f>
        <v>45999.38881</v>
      </c>
      <c r="C360" s="3" t="str">
        <f>IFERROR(__xludf.DUMMYFUNCTION("""COMPUTED_VALUE"""),"ชั้นปีที่ 3")</f>
        <v>ชั้นปีที่ 3</v>
      </c>
      <c r="D360" s="3" t="str">
        <f>IFERROR(__xludf.DUMMYFUNCTION("""COMPUTED_VALUE"""),"6603763")</f>
        <v>6603763</v>
      </c>
      <c r="E360" s="3" t="str">
        <f>IFERROR(__xludf.DUMMYFUNCTION("""COMPUTED_VALUE"""),"10")</f>
        <v>10</v>
      </c>
      <c r="F360" s="3" t="str">
        <f>IFERROR(__xludf.DUMMYFUNCTION("""COMPUTED_VALUE"""),"นพอ.ชนาภา บุญแสน")</f>
        <v>นพอ.ชนาภา บุญแสน</v>
      </c>
      <c r="G360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60" s="3" t="str">
        <f>IFERROR(__xludf.DUMMYFUNCTION("""COMPUTED_VALUE"""),"ลงนามถวายความอาลัย")</f>
        <v>ลงนามถวายความอาลัย</v>
      </c>
      <c r="I360" s="3" t="str">
        <f>IFERROR(__xludf.DUMMYFUNCTION("""COMPUTED_VALUE"""),"โรงพยาบาลภูมิพลฯ")</f>
        <v>โรงพยาบาลภูมิพลฯ</v>
      </c>
      <c r="J360" s="12">
        <f>IFERROR(__xludf.DUMMYFUNCTION("""COMPUTED_VALUE"""),45995.0)</f>
        <v>45995</v>
      </c>
      <c r="K360" s="3" t="str">
        <f>IFERROR(__xludf.DUMMYFUNCTION("""COMPUTED_VALUE"""),"0900-1000")</f>
        <v>0900-1000</v>
      </c>
      <c r="L360" s="3">
        <f>IFERROR(__xludf.DUMMYFUNCTION("""COMPUTED_VALUE"""),1.0)</f>
        <v>1</v>
      </c>
      <c r="M360" s="3" t="str">
        <f>IFERROR(__xludf.DUMMYFUNCTION("""COMPUTED_VALUE"""),"น.ท.หญิง ละอองดาว วรรณฤทธิ์")</f>
        <v>น.ท.หญิง ละอองดาว วรรณฤทธิ์</v>
      </c>
      <c r="N360" s="14" t="str">
        <f>IFERROR(__xludf.DUMMYFUNCTION("""COMPUTED_VALUE"""),"https://lh5.googleusercontent.com/d/17t2c38KULfy5VAsRd9zFUfr4ujRtstDa")</f>
        <v>https://lh5.googleusercontent.com/d/17t2c38KULfy5VAsRd9zFUfr4ujRtstDa</v>
      </c>
      <c r="O360" s="14" t="str">
        <f>IFERROR(__xludf.DUMMYFUNCTION("""COMPUTED_VALUE"""),"https://drive.google.com/file/d/1lYD5ShlTm1AY3rdOv3zBsCDI_fGc_bic/view?usp=drivesdk")</f>
        <v>https://drive.google.com/file/d/1lYD5ShlTm1AY3rdOv3zBsCDI_fGc_bic/view?usp=drivesdk</v>
      </c>
    </row>
    <row r="361">
      <c r="A361" s="3">
        <f>IFERROR(__xludf.DUMMYFUNCTION("""COMPUTED_VALUE"""),1507.0)</f>
        <v>1507</v>
      </c>
      <c r="B361" s="11">
        <f>IFERROR(__xludf.DUMMYFUNCTION("""COMPUTED_VALUE"""),45999.59326873843)</f>
        <v>45999.59327</v>
      </c>
      <c r="C361" s="3" t="str">
        <f>IFERROR(__xludf.DUMMYFUNCTION("""COMPUTED_VALUE"""),"ชั้นปีที่ 3")</f>
        <v>ชั้นปีที่ 3</v>
      </c>
      <c r="D361" s="3" t="str">
        <f>IFERROR(__xludf.DUMMYFUNCTION("""COMPUTED_VALUE"""),"6603791")</f>
        <v>6603791</v>
      </c>
      <c r="E361" s="3" t="str">
        <f>IFERROR(__xludf.DUMMYFUNCTION("""COMPUTED_VALUE"""),"37")</f>
        <v>37</v>
      </c>
      <c r="F361" s="3" t="str">
        <f>IFERROR(__xludf.DUMMYFUNCTION("""COMPUTED_VALUE"""),"นพอ.พรทิพย์ หงษ์มณี")</f>
        <v>นพอ.พรทิพย์ หงษ์มณี</v>
      </c>
      <c r="G3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1" s="3" t="str">
        <f>IFERROR(__xludf.DUMMYFUNCTION("""COMPUTED_VALUE"""),"คอนเสิร์ตทัพฟ้าคู่ไทย ครั้งที่16")</f>
        <v>คอนเสิร์ตทัพฟ้าคู่ไทย ครั้งที่16</v>
      </c>
      <c r="I36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61" s="12">
        <f>IFERROR(__xludf.DUMMYFUNCTION("""COMPUTED_VALUE"""),45839.0)</f>
        <v>45839</v>
      </c>
      <c r="K361" s="3" t="str">
        <f>IFERROR(__xludf.DUMMYFUNCTION("""COMPUTED_VALUE"""),"1600-2300")</f>
        <v>1600-2300</v>
      </c>
      <c r="L361" s="3">
        <f>IFERROR(__xludf.DUMMYFUNCTION("""COMPUTED_VALUE"""),8.0)</f>
        <v>8</v>
      </c>
      <c r="M361" s="3" t="str">
        <f>IFERROR(__xludf.DUMMYFUNCTION("""COMPUTED_VALUE"""),"ร.อ. อนุชิต ทำจะดี")</f>
        <v>ร.อ. อนุชิต ทำจะดี</v>
      </c>
      <c r="N361" s="14" t="str">
        <f>IFERROR(__xludf.DUMMYFUNCTION("""COMPUTED_VALUE"""),"https://lh5.googleusercontent.com/d/1KQbOaQtklkZ_CAn6L4HSTC19MdGvul4D")</f>
        <v>https://lh5.googleusercontent.com/d/1KQbOaQtklkZ_CAn6L4HSTC19MdGvul4D</v>
      </c>
      <c r="O361" s="14" t="str">
        <f>IFERROR(__xludf.DUMMYFUNCTION("""COMPUTED_VALUE"""),"https://drive.google.com/file/d/1KjtzkvPUDifSCB2cxMQBZFKzJxin_isV/view?usp=drivesdk")</f>
        <v>https://drive.google.com/file/d/1KjtzkvPUDifSCB2cxMQBZFKzJxin_isV/view?usp=drivesdk</v>
      </c>
    </row>
    <row r="362">
      <c r="A362" s="3">
        <f>IFERROR(__xludf.DUMMYFUNCTION("""COMPUTED_VALUE"""),1508.0)</f>
        <v>1508</v>
      </c>
      <c r="B362" s="11">
        <f>IFERROR(__xludf.DUMMYFUNCTION("""COMPUTED_VALUE"""),45999.59536018519)</f>
        <v>45999.59536</v>
      </c>
      <c r="C362" s="3" t="str">
        <f>IFERROR(__xludf.DUMMYFUNCTION("""COMPUTED_VALUE"""),"ชั้นปีที่ 3")</f>
        <v>ชั้นปีที่ 3</v>
      </c>
      <c r="D362" s="3" t="str">
        <f>IFERROR(__xludf.DUMMYFUNCTION("""COMPUTED_VALUE"""),"6603779")</f>
        <v>6603779</v>
      </c>
      <c r="E362" s="3" t="str">
        <f>IFERROR(__xludf.DUMMYFUNCTION("""COMPUTED_VALUE"""),"25")</f>
        <v>25</v>
      </c>
      <c r="F362" s="3" t="str">
        <f>IFERROR(__xludf.DUMMYFUNCTION("""COMPUTED_VALUE"""),"นพอ.นันทิยา  แก้วก่อง")</f>
        <v>นพอ.นันทิยา  แก้วก่อง</v>
      </c>
      <c r="G362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62" s="3" t="str">
        <f>IFERROR(__xludf.DUMMYFUNCTION("""COMPUTED_VALUE"""),"ลงนามถวายพระพร")</f>
        <v>ลงนามถวายพระพร</v>
      </c>
      <c r="I362" s="3" t="str">
        <f>IFERROR(__xludf.DUMMYFUNCTION("""COMPUTED_VALUE"""),"รพ.ภูมิพลอดุลยเดช")</f>
        <v>รพ.ภูมิพลอดุลยเดช</v>
      </c>
      <c r="J362" s="12">
        <f>IFERROR(__xludf.DUMMYFUNCTION("""COMPUTED_VALUE"""),45989.0)</f>
        <v>45989</v>
      </c>
      <c r="K362" s="3" t="str">
        <f>IFERROR(__xludf.DUMMYFUNCTION("""COMPUTED_VALUE"""),"1200-1300")</f>
        <v>1200-1300</v>
      </c>
      <c r="L362" s="3">
        <f>IFERROR(__xludf.DUMMYFUNCTION("""COMPUTED_VALUE"""),1.0)</f>
        <v>1</v>
      </c>
      <c r="M362" s="3" t="str">
        <f>IFERROR(__xludf.DUMMYFUNCTION("""COMPUTED_VALUE"""),"ร.ต.หญิง สุริยกาล  มงคลมะไฟ")</f>
        <v>ร.ต.หญิง สุริยกาล  มงคลมะไฟ</v>
      </c>
      <c r="N362" s="14" t="str">
        <f>IFERROR(__xludf.DUMMYFUNCTION("""COMPUTED_VALUE"""),"https://lh5.googleusercontent.com/d/1ynNFJXG1umWj_U_IkCxsroNv7uz9XRhd")</f>
        <v>https://lh5.googleusercontent.com/d/1ynNFJXG1umWj_U_IkCxsroNv7uz9XRhd</v>
      </c>
      <c r="O362" s="14" t="str">
        <f>IFERROR(__xludf.DUMMYFUNCTION("""COMPUTED_VALUE"""),"https://drive.google.com/file/d/1auskKs8Ljb1mZJkvGv7KXgnV-HZYjNFi/view?usp=drivesdk")</f>
        <v>https://drive.google.com/file/d/1auskKs8Ljb1mZJkvGv7KXgnV-HZYjNFi/view?usp=drivesdk</v>
      </c>
    </row>
    <row r="363">
      <c r="A363" s="3">
        <f>IFERROR(__xludf.DUMMYFUNCTION("""COMPUTED_VALUE"""),1509.0)</f>
        <v>1509</v>
      </c>
      <c r="B363" s="11">
        <f>IFERROR(__xludf.DUMMYFUNCTION("""COMPUTED_VALUE"""),45999.59560747685)</f>
        <v>45999.59561</v>
      </c>
      <c r="C363" s="3" t="str">
        <f>IFERROR(__xludf.DUMMYFUNCTION("""COMPUTED_VALUE"""),"ชั้นปีที่ 3")</f>
        <v>ชั้นปีที่ 3</v>
      </c>
      <c r="D363" s="3" t="str">
        <f>IFERROR(__xludf.DUMMYFUNCTION("""COMPUTED_VALUE"""),"6603791")</f>
        <v>6603791</v>
      </c>
      <c r="E363" s="3" t="str">
        <f>IFERROR(__xludf.DUMMYFUNCTION("""COMPUTED_VALUE"""),"37")</f>
        <v>37</v>
      </c>
      <c r="F363" s="3" t="str">
        <f>IFERROR(__xludf.DUMMYFUNCTION("""COMPUTED_VALUE"""),"นพอ.พรทิพย์ หงษ์มณี")</f>
        <v>นพอ.พรทิพย์ หงษ์มณี</v>
      </c>
      <c r="G3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3" s="3" t="str">
        <f>IFERROR(__xludf.DUMMYFUNCTION("""COMPUTED_VALUE"""),"คอนเสิร์ตทัพฟ้าคู่ไทย ครั้งที่ 16 ")</f>
        <v>คอนเสิร์ตทัพฟ้าคู่ไทย ครั้งที่ 16 </v>
      </c>
      <c r="I36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63" s="12">
        <f>IFERROR(__xludf.DUMMYFUNCTION("""COMPUTED_VALUE"""),45840.0)</f>
        <v>45840</v>
      </c>
      <c r="K363" s="3" t="str">
        <f>IFERROR(__xludf.DUMMYFUNCTION("""COMPUTED_VALUE"""),"1500-2200")</f>
        <v>1500-2200</v>
      </c>
      <c r="L363" s="3">
        <f>IFERROR(__xludf.DUMMYFUNCTION("""COMPUTED_VALUE"""),8.0)</f>
        <v>8</v>
      </c>
      <c r="M363" s="3" t="str">
        <f>IFERROR(__xludf.DUMMYFUNCTION("""COMPUTED_VALUE"""),"ร.อ.อนุชิต ทำจะดี")</f>
        <v>ร.อ.อนุชิต ทำจะดี</v>
      </c>
      <c r="N363" s="14" t="str">
        <f>IFERROR(__xludf.DUMMYFUNCTION("""COMPUTED_VALUE"""),"https://lh5.googleusercontent.com/d/1xzLmr0i4iLDazPFoAulyepGDq2CyHQ5e")</f>
        <v>https://lh5.googleusercontent.com/d/1xzLmr0i4iLDazPFoAulyepGDq2CyHQ5e</v>
      </c>
      <c r="O363" s="14" t="str">
        <f>IFERROR(__xludf.DUMMYFUNCTION("""COMPUTED_VALUE"""),"https://drive.google.com/file/d/1zJD5gReJ2WxKfZlkQt08vRNbTUejHZ68/view?usp=drivesdk")</f>
        <v>https://drive.google.com/file/d/1zJD5gReJ2WxKfZlkQt08vRNbTUejHZ68/view?usp=drivesdk</v>
      </c>
    </row>
    <row r="364">
      <c r="A364" s="3">
        <f>IFERROR(__xludf.DUMMYFUNCTION("""COMPUTED_VALUE"""),1510.0)</f>
        <v>1510</v>
      </c>
      <c r="B364" s="11">
        <f>IFERROR(__xludf.DUMMYFUNCTION("""COMPUTED_VALUE"""),45999.596005810185)</f>
        <v>45999.59601</v>
      </c>
      <c r="C364" s="3" t="str">
        <f>IFERROR(__xludf.DUMMYFUNCTION("""COMPUTED_VALUE"""),"ชั้นปีที่ 3")</f>
        <v>ชั้นปีที่ 3</v>
      </c>
      <c r="D364" s="3" t="str">
        <f>IFERROR(__xludf.DUMMYFUNCTION("""COMPUTED_VALUE"""),"6603755")</f>
        <v>6603755</v>
      </c>
      <c r="E364" s="3" t="str">
        <f>IFERROR(__xludf.DUMMYFUNCTION("""COMPUTED_VALUE"""),"2")</f>
        <v>2</v>
      </c>
      <c r="F364" s="3" t="str">
        <f>IFERROR(__xludf.DUMMYFUNCTION("""COMPUTED_VALUE"""),"นพอ.กฤตินันท์ ฉิมพาลี")</f>
        <v>นพอ.กฤตินันท์ ฉิมพาลี</v>
      </c>
      <c r="G36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4" s="3" t="str">
        <f>IFERROR(__xludf.DUMMYFUNCTION("""COMPUTED_VALUE""")," ซ้อมร้องประสานเสียงงานคอนเสิร์ตทัพฟ้า")</f>
        <v> ซ้อมร้องประสานเสียงงานคอนเสิร์ตทัพฟ้า</v>
      </c>
      <c r="I364" s="3" t="str">
        <f>IFERROR(__xludf.DUMMYFUNCTION("""COMPUTED_VALUE"""),"ดุริยางค์ทหารอากาศ")</f>
        <v>ดุริยางค์ทหารอากาศ</v>
      </c>
      <c r="J364" s="12">
        <f>IFERROR(__xludf.DUMMYFUNCTION("""COMPUTED_VALUE"""),45825.0)</f>
        <v>45825</v>
      </c>
      <c r="K364" s="3" t="str">
        <f>IFERROR(__xludf.DUMMYFUNCTION("""COMPUTED_VALUE"""),"0800-1600")</f>
        <v>0800-1600</v>
      </c>
      <c r="L364" s="3">
        <f>IFERROR(__xludf.DUMMYFUNCTION("""COMPUTED_VALUE"""),8.0)</f>
        <v>8</v>
      </c>
      <c r="M364" s="3" t="str">
        <f>IFERROR(__xludf.DUMMYFUNCTION("""COMPUTED_VALUE"""),"ร.อ.อนุชิต ทำจะดี ")</f>
        <v>ร.อ.อนุชิต ทำจะดี </v>
      </c>
      <c r="N364" s="14" t="str">
        <f>IFERROR(__xludf.DUMMYFUNCTION("""COMPUTED_VALUE"""),"https://lh5.googleusercontent.com/d/1yDOXJTG04_CBk56sqDBi-T4fwdVokie2")</f>
        <v>https://lh5.googleusercontent.com/d/1yDOXJTG04_CBk56sqDBi-T4fwdVokie2</v>
      </c>
      <c r="O364" s="14" t="str">
        <f>IFERROR(__xludf.DUMMYFUNCTION("""COMPUTED_VALUE"""),"https://drive.google.com/file/d/16ktnIIeeydvCbChw2Xmtib9tyFLl1ja4/view?usp=drivesdk")</f>
        <v>https://drive.google.com/file/d/16ktnIIeeydvCbChw2Xmtib9tyFLl1ja4/view?usp=drivesdk</v>
      </c>
    </row>
    <row r="365">
      <c r="A365" s="3">
        <f>IFERROR(__xludf.DUMMYFUNCTION("""COMPUTED_VALUE"""),1511.0)</f>
        <v>1511</v>
      </c>
      <c r="B365" s="11">
        <f>IFERROR(__xludf.DUMMYFUNCTION("""COMPUTED_VALUE"""),45999.59890513889)</f>
        <v>45999.59891</v>
      </c>
      <c r="C365" s="3" t="str">
        <f>IFERROR(__xludf.DUMMYFUNCTION("""COMPUTED_VALUE"""),"ชั้นปีที่ 3")</f>
        <v>ชั้นปีที่ 3</v>
      </c>
      <c r="D365" s="3" t="str">
        <f>IFERROR(__xludf.DUMMYFUNCTION("""COMPUTED_VALUE"""),"6603791")</f>
        <v>6603791</v>
      </c>
      <c r="E365" s="3" t="str">
        <f>IFERROR(__xludf.DUMMYFUNCTION("""COMPUTED_VALUE"""),"37")</f>
        <v>37</v>
      </c>
      <c r="F365" s="3" t="str">
        <f>IFERROR(__xludf.DUMMYFUNCTION("""COMPUTED_VALUE"""),"นพอ.พรทิพย์  หงษ์มณี")</f>
        <v>นพอ.พรทิพย์  หงษ์มณี</v>
      </c>
      <c r="G365" s="3" t="str">
        <f>IFERROR(__xludf.DUMMYFUNCTION("""COMPUTED_VALUE"""),"ช่วยเหลืองานภายใน วพอ.")</f>
        <v>ช่วยเหลืองานภายใน วพอ.</v>
      </c>
      <c r="H365" s="3" t="str">
        <f>IFERROR(__xludf.DUMMYFUNCTION("""COMPUTED_VALUE"""),"รับเสด็จงานปริญญา")</f>
        <v>รับเสด็จงานปริญญา</v>
      </c>
      <c r="I365" s="3" t="str">
        <f>IFERROR(__xludf.DUMMYFUNCTION("""COMPUTED_VALUE"""),"มหาวิทยาลัยมหิดล")</f>
        <v>มหาวิทยาลัยมหิดล</v>
      </c>
      <c r="J365" s="12">
        <f>IFERROR(__xludf.DUMMYFUNCTION("""COMPUTED_VALUE"""),45940.0)</f>
        <v>45940</v>
      </c>
      <c r="K365" s="3" t="str">
        <f>IFERROR(__xludf.DUMMYFUNCTION("""COMPUTED_VALUE"""),"0800-1200")</f>
        <v>0800-1200</v>
      </c>
      <c r="L365" s="3">
        <f>IFERROR(__xludf.DUMMYFUNCTION("""COMPUTED_VALUE"""),4.0)</f>
        <v>4</v>
      </c>
      <c r="M365" s="3" t="str">
        <f>IFERROR(__xludf.DUMMYFUNCTION("""COMPUTED_VALUE"""),"น.ท.หญิง สุพัตรา ปิ่นแก้ว")</f>
        <v>น.ท.หญิง สุพัตรา ปิ่นแก้ว</v>
      </c>
      <c r="N365" s="14" t="str">
        <f>IFERROR(__xludf.DUMMYFUNCTION("""COMPUTED_VALUE"""),"https://lh5.googleusercontent.com/d/18eRZHnDcFPbfcpglFmdjFc0dfsXyPMva")</f>
        <v>https://lh5.googleusercontent.com/d/18eRZHnDcFPbfcpglFmdjFc0dfsXyPMva</v>
      </c>
      <c r="O365" s="14" t="str">
        <f>IFERROR(__xludf.DUMMYFUNCTION("""COMPUTED_VALUE"""),"https://drive.google.com/file/d/16Y90WUnAoNM-yYL_ZS0mR8KOi0cHLtuh/view?usp=drivesdk")</f>
        <v>https://drive.google.com/file/d/16Y90WUnAoNM-yYL_ZS0mR8KOi0cHLtuh/view?usp=drivesdk</v>
      </c>
    </row>
    <row r="366">
      <c r="A366" s="3">
        <f>IFERROR(__xludf.DUMMYFUNCTION("""COMPUTED_VALUE"""),1512.0)</f>
        <v>1512</v>
      </c>
      <c r="B366" s="11">
        <f>IFERROR(__xludf.DUMMYFUNCTION("""COMPUTED_VALUE"""),45999.59911795139)</f>
        <v>45999.59912</v>
      </c>
      <c r="C366" s="3" t="str">
        <f>IFERROR(__xludf.DUMMYFUNCTION("""COMPUTED_VALUE"""),"ชั้นปีที่ 3")</f>
        <v>ชั้นปีที่ 3</v>
      </c>
      <c r="D366" s="3" t="str">
        <f>IFERROR(__xludf.DUMMYFUNCTION("""COMPUTED_VALUE"""),"6603755")</f>
        <v>6603755</v>
      </c>
      <c r="E366" s="3" t="str">
        <f>IFERROR(__xludf.DUMMYFUNCTION("""COMPUTED_VALUE"""),"2")</f>
        <v>2</v>
      </c>
      <c r="F366" s="3" t="str">
        <f>IFERROR(__xludf.DUMMYFUNCTION("""COMPUTED_VALUE"""),"นพอ.กฤตินันท์ ฉิมพาลี ")</f>
        <v>นพอ.กฤตินันท์ ฉิมพาลี </v>
      </c>
      <c r="G3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6" s="3" t="str">
        <f>IFERROR(__xludf.DUMMYFUNCTION("""COMPUTED_VALUE""")," ซ้อมร้องประสานเสียงงานคอนเสิร์ตทัพฟ้า")</f>
        <v> ซ้อมร้องประสานเสียงงานคอนเสิร์ตทัพฟ้า</v>
      </c>
      <c r="I366" s="3" t="str">
        <f>IFERROR(__xludf.DUMMYFUNCTION("""COMPUTED_VALUE"""),"กองบัญชาการทหารอากาศ")</f>
        <v>กองบัญชาการทหารอากาศ</v>
      </c>
      <c r="J366" s="12">
        <f>IFERROR(__xludf.DUMMYFUNCTION("""COMPUTED_VALUE"""),45833.0)</f>
        <v>45833</v>
      </c>
      <c r="K366" s="3" t="str">
        <f>IFERROR(__xludf.DUMMYFUNCTION("""COMPUTED_VALUE"""),"0800-1600")</f>
        <v>0800-1600</v>
      </c>
      <c r="L366" s="3">
        <f>IFERROR(__xludf.DUMMYFUNCTION("""COMPUTED_VALUE"""),8.0)</f>
        <v>8</v>
      </c>
      <c r="M366" s="3" t="str">
        <f>IFERROR(__xludf.DUMMYFUNCTION("""COMPUTED_VALUE"""),"ร.อ.อนุชิต ทำจะดี")</f>
        <v>ร.อ.อนุชิต ทำจะดี</v>
      </c>
      <c r="N366" s="14" t="str">
        <f>IFERROR(__xludf.DUMMYFUNCTION("""COMPUTED_VALUE"""),"https://lh5.googleusercontent.com/d/1gZNjpY9oy905s2Ggz0yMK1-U3exVfbU1")</f>
        <v>https://lh5.googleusercontent.com/d/1gZNjpY9oy905s2Ggz0yMK1-U3exVfbU1</v>
      </c>
      <c r="O366" s="14" t="str">
        <f>IFERROR(__xludf.DUMMYFUNCTION("""COMPUTED_VALUE"""),"https://drive.google.com/file/d/1mZr3xlq35_s9qgWJW-Ge0FhT6eCC3zsj/view?usp=drivesdk")</f>
        <v>https://drive.google.com/file/d/1mZr3xlq35_s9qgWJW-Ge0FhT6eCC3zsj/view?usp=drivesdk</v>
      </c>
    </row>
    <row r="367">
      <c r="A367" s="3">
        <f>IFERROR(__xludf.DUMMYFUNCTION("""COMPUTED_VALUE"""),1513.0)</f>
        <v>1513</v>
      </c>
      <c r="B367" s="11">
        <f>IFERROR(__xludf.DUMMYFUNCTION("""COMPUTED_VALUE"""),45999.60018354166)</f>
        <v>45999.60018</v>
      </c>
      <c r="C367" s="3" t="str">
        <f>IFERROR(__xludf.DUMMYFUNCTION("""COMPUTED_VALUE"""),"ชั้นปีที่ 3")</f>
        <v>ชั้นปีที่ 3</v>
      </c>
      <c r="D367" s="3" t="str">
        <f>IFERROR(__xludf.DUMMYFUNCTION("""COMPUTED_VALUE"""),"6603790")</f>
        <v>6603790</v>
      </c>
      <c r="E367" s="3" t="str">
        <f>IFERROR(__xludf.DUMMYFUNCTION("""COMPUTED_VALUE"""),"36")</f>
        <v>36</v>
      </c>
      <c r="F367" s="3" t="str">
        <f>IFERROR(__xludf.DUMMYFUNCTION("""COMPUTED_VALUE"""),"นพอ.ปิยะนันท์ ตุนก")</f>
        <v>นพอ.ปิยะนันท์ ตุนก</v>
      </c>
      <c r="G36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7" s="3" t="str">
        <f>IFERROR(__xludf.DUMMYFUNCTION("""COMPUTED_VALUE"""),"รับเสด็จ วันรับปริญญา มหิดล")</f>
        <v>รับเสด็จ วันรับปริญญา มหิดล</v>
      </c>
      <c r="I367" s="3" t="str">
        <f>IFERROR(__xludf.DUMMYFUNCTION("""COMPUTED_VALUE"""),"มหาวิทยาลัยมหิดล")</f>
        <v>มหาวิทยาลัยมหิดล</v>
      </c>
      <c r="J367" s="12">
        <f>IFERROR(__xludf.DUMMYFUNCTION("""COMPUTED_VALUE"""),45940.0)</f>
        <v>45940</v>
      </c>
      <c r="K367" s="3" t="str">
        <f>IFERROR(__xludf.DUMMYFUNCTION("""COMPUTED_VALUE"""),"0800-1200")</f>
        <v>0800-1200</v>
      </c>
      <c r="L367" s="3">
        <f>IFERROR(__xludf.DUMMYFUNCTION("""COMPUTED_VALUE"""),4.0)</f>
        <v>4</v>
      </c>
      <c r="M367" s="3" t="str">
        <f>IFERROR(__xludf.DUMMYFUNCTION("""COMPUTED_VALUE"""),"น.ท.หญิง สุพัตรา ปิ่นแก้ว")</f>
        <v>น.ท.หญิง สุพัตรา ปิ่นแก้ว</v>
      </c>
      <c r="N367" s="14" t="str">
        <f>IFERROR(__xludf.DUMMYFUNCTION("""COMPUTED_VALUE"""),"https://lh5.googleusercontent.com/d/14Nz4kfPk4mTElLIVNCeYKgdymHO_mLje")</f>
        <v>https://lh5.googleusercontent.com/d/14Nz4kfPk4mTElLIVNCeYKgdymHO_mLje</v>
      </c>
      <c r="O367" s="14" t="str">
        <f>IFERROR(__xludf.DUMMYFUNCTION("""COMPUTED_VALUE"""),"https://drive.google.com/file/d/1Lpl7BlwadlOrAg2w4rqN3zwGenLsnnnq/view?usp=drivesdk")</f>
        <v>https://drive.google.com/file/d/1Lpl7BlwadlOrAg2w4rqN3zwGenLsnnnq/view?usp=drivesdk</v>
      </c>
    </row>
    <row r="368">
      <c r="A368" s="3">
        <f>IFERROR(__xludf.DUMMYFUNCTION("""COMPUTED_VALUE"""),1514.0)</f>
        <v>1514</v>
      </c>
      <c r="B368" s="11">
        <f>IFERROR(__xludf.DUMMYFUNCTION("""COMPUTED_VALUE"""),45999.60097254629)</f>
        <v>45999.60097</v>
      </c>
      <c r="C368" s="3" t="str">
        <f>IFERROR(__xludf.DUMMYFUNCTION("""COMPUTED_VALUE"""),"ชั้นปีที่ 3")</f>
        <v>ชั้นปีที่ 3</v>
      </c>
      <c r="D368" s="3" t="str">
        <f>IFERROR(__xludf.DUMMYFUNCTION("""COMPUTED_VALUE"""),"6603791")</f>
        <v>6603791</v>
      </c>
      <c r="E368" s="3" t="str">
        <f>IFERROR(__xludf.DUMMYFUNCTION("""COMPUTED_VALUE"""),"37")</f>
        <v>37</v>
      </c>
      <c r="F368" s="3" t="str">
        <f>IFERROR(__xludf.DUMMYFUNCTION("""COMPUTED_VALUE"""),"นพอ.พรทิพย์  หงษ์มณี")</f>
        <v>นพอ.พรทิพย์  หงษ์มณี</v>
      </c>
      <c r="G36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8" s="3" t="str">
        <f>IFERROR(__xludf.DUMMYFUNCTION("""COMPUTED_VALUE"""),"บริการวิชาการ")</f>
        <v>บริการวิชาการ</v>
      </c>
      <c r="I368" s="3" t="str">
        <f>IFERROR(__xludf.DUMMYFUNCTION("""COMPUTED_VALUE"""),"ชุมชนวัดเกาะ")</f>
        <v>ชุมชนวัดเกาะ</v>
      </c>
      <c r="J368" s="12">
        <f>IFERROR(__xludf.DUMMYFUNCTION("""COMPUTED_VALUE"""),45823.0)</f>
        <v>45823</v>
      </c>
      <c r="K368" s="3" t="str">
        <f>IFERROR(__xludf.DUMMYFUNCTION("""COMPUTED_VALUE"""),"0800-1200")</f>
        <v>0800-1200</v>
      </c>
      <c r="L368" s="3">
        <f>IFERROR(__xludf.DUMMYFUNCTION("""COMPUTED_VALUE"""),4.0)</f>
        <v>4</v>
      </c>
      <c r="M368" s="3" t="str">
        <f>IFERROR(__xludf.DUMMYFUNCTION("""COMPUTED_VALUE"""),"น.ต.หญิง ตวงทิพย์  ลดาวัลย์")</f>
        <v>น.ต.หญิง ตวงทิพย์  ลดาวัลย์</v>
      </c>
      <c r="N368" s="14" t="str">
        <f>IFERROR(__xludf.DUMMYFUNCTION("""COMPUTED_VALUE"""),"https://lh5.googleusercontent.com/d/1unuqbBwXC19f4pErgVUOpoxF2ETRljDm")</f>
        <v>https://lh5.googleusercontent.com/d/1unuqbBwXC19f4pErgVUOpoxF2ETRljDm</v>
      </c>
      <c r="O368" s="14" t="str">
        <f>IFERROR(__xludf.DUMMYFUNCTION("""COMPUTED_VALUE"""),"https://drive.google.com/file/d/1CSQQ-Ah9zHQDhsauByADjuhPE8JRYJff/view?usp=drivesdk")</f>
        <v>https://drive.google.com/file/d/1CSQQ-Ah9zHQDhsauByADjuhPE8JRYJff/view?usp=drivesdk</v>
      </c>
    </row>
    <row r="369">
      <c r="A369" s="3">
        <f>IFERROR(__xludf.DUMMYFUNCTION("""COMPUTED_VALUE"""),1515.0)</f>
        <v>1515</v>
      </c>
      <c r="B369" s="11">
        <f>IFERROR(__xludf.DUMMYFUNCTION("""COMPUTED_VALUE"""),45999.60270225695)</f>
        <v>45999.6027</v>
      </c>
      <c r="C369" s="3" t="str">
        <f>IFERROR(__xludf.DUMMYFUNCTION("""COMPUTED_VALUE"""),"ชั้นปีที่ 3")</f>
        <v>ชั้นปีที่ 3</v>
      </c>
      <c r="D369" s="3" t="str">
        <f>IFERROR(__xludf.DUMMYFUNCTION("""COMPUTED_VALUE"""),"6603755")</f>
        <v>6603755</v>
      </c>
      <c r="E369" s="3" t="str">
        <f>IFERROR(__xludf.DUMMYFUNCTION("""COMPUTED_VALUE"""),"2")</f>
        <v>2</v>
      </c>
      <c r="F369" s="3" t="str">
        <f>IFERROR(__xludf.DUMMYFUNCTION("""COMPUTED_VALUE"""),"นพอ.กฤตินันท์ ฉิมพาลี ")</f>
        <v>นพอ.กฤตินันท์ ฉิมพาลี </v>
      </c>
      <c r="G36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9" s="3" t="str">
        <f>IFERROR(__xludf.DUMMYFUNCTION("""COMPUTED_VALUE""")," ซ้อมร้องประสานเสียงงานคอนเสิร์ตทัพฟ้า")</f>
        <v> ซ้อมร้องประสานเสียงงานคอนเสิร์ตทัพฟ้า</v>
      </c>
      <c r="I369" s="3" t="str">
        <f>IFERROR(__xludf.DUMMYFUNCTION("""COMPUTED_VALUE"""),"ศูนย์วัฒนธรรมประเทศไทย")</f>
        <v>ศูนย์วัฒนธรรมประเทศไทย</v>
      </c>
      <c r="J369" s="12">
        <f>IFERROR(__xludf.DUMMYFUNCTION("""COMPUTED_VALUE"""),45839.0)</f>
        <v>45839</v>
      </c>
      <c r="K369" s="3" t="str">
        <f>IFERROR(__xludf.DUMMYFUNCTION("""COMPUTED_VALUE"""),"1400-2200")</f>
        <v>1400-2200</v>
      </c>
      <c r="L369" s="3">
        <f>IFERROR(__xludf.DUMMYFUNCTION("""COMPUTED_VALUE"""),8.0)</f>
        <v>8</v>
      </c>
      <c r="M369" s="3" t="str">
        <f>IFERROR(__xludf.DUMMYFUNCTION("""COMPUTED_VALUE"""),"ร.อ.อนุชิต ทำจะดี ")</f>
        <v>ร.อ.อนุชิต ทำจะดี </v>
      </c>
      <c r="N369" s="14" t="str">
        <f>IFERROR(__xludf.DUMMYFUNCTION("""COMPUTED_VALUE"""),"https://lh5.googleusercontent.com/d/1XAf_5lKXg7mCs4ebXgnIUpYMXDbrTsq2")</f>
        <v>https://lh5.googleusercontent.com/d/1XAf_5lKXg7mCs4ebXgnIUpYMXDbrTsq2</v>
      </c>
      <c r="O369" s="14" t="str">
        <f>IFERROR(__xludf.DUMMYFUNCTION("""COMPUTED_VALUE"""),"https://drive.google.com/file/d/1f9o1AV32KgnojGvVFAAe6Fx4h9F1v4Y_/view?usp=drivesdk")</f>
        <v>https://drive.google.com/file/d/1f9o1AV32KgnojGvVFAAe6Fx4h9F1v4Y_/view?usp=drivesdk</v>
      </c>
    </row>
    <row r="370">
      <c r="A370" s="3">
        <f>IFERROR(__xludf.DUMMYFUNCTION("""COMPUTED_VALUE"""),1516.0)</f>
        <v>1516</v>
      </c>
      <c r="B370" s="11">
        <f>IFERROR(__xludf.DUMMYFUNCTION("""COMPUTED_VALUE"""),45999.60370046297)</f>
        <v>45999.6037</v>
      </c>
      <c r="C370" s="3" t="str">
        <f>IFERROR(__xludf.DUMMYFUNCTION("""COMPUTED_VALUE"""),"ชั้นปีที่ 3")</f>
        <v>ชั้นปีที่ 3</v>
      </c>
      <c r="D370" s="3" t="str">
        <f>IFERROR(__xludf.DUMMYFUNCTION("""COMPUTED_VALUE"""),"6603791")</f>
        <v>6603791</v>
      </c>
      <c r="E370" s="3" t="str">
        <f>IFERROR(__xludf.DUMMYFUNCTION("""COMPUTED_VALUE"""),"37")</f>
        <v>37</v>
      </c>
      <c r="F370" s="3" t="str">
        <f>IFERROR(__xludf.DUMMYFUNCTION("""COMPUTED_VALUE"""),"นพอ.พรทิพย์  หงษ์มณี")</f>
        <v>นพอ.พรทิพย์  หงษ์มณี</v>
      </c>
      <c r="G3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0" s="3" t="str">
        <f>IFERROR(__xludf.DUMMYFUNCTION("""COMPUTED_VALUE"""),"ประชุมวิชาการพยาบาลยุคใหม่")</f>
        <v>ประชุมวิชาการพยาบาลยุคใหม่</v>
      </c>
      <c r="I370" s="3" t="str">
        <f>IFERROR(__xludf.DUMMYFUNCTION("""COMPUTED_VALUE"""),"ห้องประชุมธูปเตย์มี")</f>
        <v>ห้องประชุมธูปเตย์มี</v>
      </c>
      <c r="J370" s="12">
        <f>IFERROR(__xludf.DUMMYFUNCTION("""COMPUTED_VALUE"""),45825.0)</f>
        <v>45825</v>
      </c>
      <c r="K370" s="3" t="str">
        <f>IFERROR(__xludf.DUMMYFUNCTION("""COMPUTED_VALUE"""),"0800-1200")</f>
        <v>0800-1200</v>
      </c>
      <c r="L370" s="3">
        <f>IFERROR(__xludf.DUMMYFUNCTION("""COMPUTED_VALUE"""),4.0)</f>
        <v>4</v>
      </c>
      <c r="M370" s="3" t="str">
        <f>IFERROR(__xludf.DUMMYFUNCTION("""COMPUTED_VALUE"""),"น.ท.หญิง สุพัตรา ปิ่นแก้ว")</f>
        <v>น.ท.หญิง สุพัตรา ปิ่นแก้ว</v>
      </c>
      <c r="N370" s="14" t="str">
        <f>IFERROR(__xludf.DUMMYFUNCTION("""COMPUTED_VALUE"""),"https://lh5.googleusercontent.com/d/1zl59eaAKw3YlDduYhwWVnDQc7GMRDsUW")</f>
        <v>https://lh5.googleusercontent.com/d/1zl59eaAKw3YlDduYhwWVnDQc7GMRDsUW</v>
      </c>
      <c r="O370" s="14" t="str">
        <f>IFERROR(__xludf.DUMMYFUNCTION("""COMPUTED_VALUE"""),"https://drive.google.com/file/d/1BY_5Z64W285SZ6CWmj5rUY_qXpIVofRb/view?usp=drivesdk")</f>
        <v>https://drive.google.com/file/d/1BY_5Z64W285SZ6CWmj5rUY_qXpIVofRb/view?usp=drivesdk</v>
      </c>
    </row>
    <row r="371">
      <c r="A371" s="3">
        <f>IFERROR(__xludf.DUMMYFUNCTION("""COMPUTED_VALUE"""),1517.0)</f>
        <v>1517</v>
      </c>
      <c r="B371" s="11">
        <f>IFERROR(__xludf.DUMMYFUNCTION("""COMPUTED_VALUE"""),45999.60791846065)</f>
        <v>45999.60792</v>
      </c>
      <c r="C371" s="3" t="str">
        <f>IFERROR(__xludf.DUMMYFUNCTION("""COMPUTED_VALUE"""),"ชั้นปีที่ 3")</f>
        <v>ชั้นปีที่ 3</v>
      </c>
      <c r="D371" s="3" t="str">
        <f>IFERROR(__xludf.DUMMYFUNCTION("""COMPUTED_VALUE"""),"6603755")</f>
        <v>6603755</v>
      </c>
      <c r="E371" s="3" t="str">
        <f>IFERROR(__xludf.DUMMYFUNCTION("""COMPUTED_VALUE"""),"2")</f>
        <v>2</v>
      </c>
      <c r="F371" s="3" t="str">
        <f>IFERROR(__xludf.DUMMYFUNCTION("""COMPUTED_VALUE"""),"นพอ.กฤตินันท์ ฉิมพาลี")</f>
        <v>นพอ.กฤตินันท์ ฉิมพาลี</v>
      </c>
      <c r="G37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1" s="3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371" s="3" t="str">
        <f>IFERROR(__xludf.DUMMYFUNCTION("""COMPUTED_VALUE"""),"ศูนย์วัฒนธรรมประเทศไทย")</f>
        <v>ศูนย์วัฒนธรรมประเทศไทย</v>
      </c>
      <c r="J371" s="12">
        <f>IFERROR(__xludf.DUMMYFUNCTION("""COMPUTED_VALUE"""),45839.0)</f>
        <v>45839</v>
      </c>
      <c r="K371" s="3" t="str">
        <f>IFERROR(__xludf.DUMMYFUNCTION("""COMPUTED_VALUE"""),"1400-2200")</f>
        <v>1400-2200</v>
      </c>
      <c r="L371" s="3">
        <f>IFERROR(__xludf.DUMMYFUNCTION("""COMPUTED_VALUE"""),8.0)</f>
        <v>8</v>
      </c>
      <c r="M371" s="3" t="str">
        <f>IFERROR(__xludf.DUMMYFUNCTION("""COMPUTED_VALUE"""),"ร.อ.อนุชิต ทำจะดี")</f>
        <v>ร.อ.อนุชิต ทำจะดี</v>
      </c>
      <c r="N371" s="14" t="str">
        <f>IFERROR(__xludf.DUMMYFUNCTION("""COMPUTED_VALUE"""),"https://lh5.googleusercontent.com/d/1zRlypSOK-mIZekahNo_OSkS7QGe1hiex")</f>
        <v>https://lh5.googleusercontent.com/d/1zRlypSOK-mIZekahNo_OSkS7QGe1hiex</v>
      </c>
      <c r="O371" s="14" t="str">
        <f>IFERROR(__xludf.DUMMYFUNCTION("""COMPUTED_VALUE"""),"https://drive.google.com/file/d/1ugCaYHS6Z2jrkd7pTlFgz-RFuIKkBbvv/view?usp=drivesdk")</f>
        <v>https://drive.google.com/file/d/1ugCaYHS6Z2jrkd7pTlFgz-RFuIKkBbvv/view?usp=drivesdk</v>
      </c>
    </row>
    <row r="372">
      <c r="A372" s="3">
        <f>IFERROR(__xludf.DUMMYFUNCTION("""COMPUTED_VALUE"""),1518.0)</f>
        <v>1518</v>
      </c>
      <c r="B372" s="11">
        <f>IFERROR(__xludf.DUMMYFUNCTION("""COMPUTED_VALUE"""),45999.61073627315)</f>
        <v>45999.61074</v>
      </c>
      <c r="C372" s="3" t="str">
        <f>IFERROR(__xludf.DUMMYFUNCTION("""COMPUTED_VALUE"""),"ชั้นปีที่ 3")</f>
        <v>ชั้นปีที่ 3</v>
      </c>
      <c r="D372" s="3" t="str">
        <f>IFERROR(__xludf.DUMMYFUNCTION("""COMPUTED_VALUE"""),"6603755")</f>
        <v>6603755</v>
      </c>
      <c r="E372" s="3" t="str">
        <f>IFERROR(__xludf.DUMMYFUNCTION("""COMPUTED_VALUE"""),"2")</f>
        <v>2</v>
      </c>
      <c r="F372" s="3" t="str">
        <f>IFERROR(__xludf.DUMMYFUNCTION("""COMPUTED_VALUE"""),"นพอ.กฤตินันท์ ฉิมพาลี")</f>
        <v>นพอ.กฤตินันท์ ฉิมพาลี</v>
      </c>
      <c r="G3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2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72" s="3" t="str">
        <f>IFERROR(__xludf.DUMMYFUNCTION("""COMPUTED_VALUE"""),"ศูนย์วัฒนธรรมประเทศไทย")</f>
        <v>ศูนย์วัฒนธรรมประเทศไทย</v>
      </c>
      <c r="J372" s="12">
        <f>IFERROR(__xludf.DUMMYFUNCTION("""COMPUTED_VALUE"""),45840.0)</f>
        <v>45840</v>
      </c>
      <c r="K372" s="3" t="str">
        <f>IFERROR(__xludf.DUMMYFUNCTION("""COMPUTED_VALUE"""),"1400-2200")</f>
        <v>1400-2200</v>
      </c>
      <c r="L372" s="3">
        <f>IFERROR(__xludf.DUMMYFUNCTION("""COMPUTED_VALUE"""),8.0)</f>
        <v>8</v>
      </c>
      <c r="M372" s="3" t="str">
        <f>IFERROR(__xludf.DUMMYFUNCTION("""COMPUTED_VALUE"""),"ร.อ.อนุชิต ทำจะดี")</f>
        <v>ร.อ.อนุชิต ทำจะดี</v>
      </c>
      <c r="N372" s="14" t="str">
        <f>IFERROR(__xludf.DUMMYFUNCTION("""COMPUTED_VALUE"""),"https://lh5.googleusercontent.com/d/1UROj0wAcCquf6t2HDvWroNyw7GJ0T5kq")</f>
        <v>https://lh5.googleusercontent.com/d/1UROj0wAcCquf6t2HDvWroNyw7GJ0T5kq</v>
      </c>
      <c r="O372" s="14" t="str">
        <f>IFERROR(__xludf.DUMMYFUNCTION("""COMPUTED_VALUE"""),"https://drive.google.com/file/d/1ZvgTJ9b_yfNW-cJEBJOT_D2ox6f1mKeC/view?usp=drivesdk")</f>
        <v>https://drive.google.com/file/d/1ZvgTJ9b_yfNW-cJEBJOT_D2ox6f1mKeC/view?usp=drivesdk</v>
      </c>
    </row>
    <row r="373">
      <c r="A373" s="3">
        <f>IFERROR(__xludf.DUMMYFUNCTION("""COMPUTED_VALUE"""),1519.0)</f>
        <v>1519</v>
      </c>
      <c r="B373" s="11">
        <f>IFERROR(__xludf.DUMMYFUNCTION("""COMPUTED_VALUE"""),45999.613907997686)</f>
        <v>45999.61391</v>
      </c>
      <c r="C373" s="3" t="str">
        <f>IFERROR(__xludf.DUMMYFUNCTION("""COMPUTED_VALUE"""),"ชั้นปีที่ 3")</f>
        <v>ชั้นปีที่ 3</v>
      </c>
      <c r="D373" s="3" t="str">
        <f>IFERROR(__xludf.DUMMYFUNCTION("""COMPUTED_VALUE"""),"6603755")</f>
        <v>6603755</v>
      </c>
      <c r="E373" s="3" t="str">
        <f>IFERROR(__xludf.DUMMYFUNCTION("""COMPUTED_VALUE"""),"2")</f>
        <v>2</v>
      </c>
      <c r="F373" s="3" t="str">
        <f>IFERROR(__xludf.DUMMYFUNCTION("""COMPUTED_VALUE"""),"นพอ.กฤตินันท์ ฉิมพาลี")</f>
        <v>นพอ.กฤตินันท์ ฉิมพาลี</v>
      </c>
      <c r="G373" s="3" t="str">
        <f>IFERROR(__xludf.DUMMYFUNCTION("""COMPUTED_VALUE"""),"ช่วยเหลืองานภายใน วพอ.")</f>
        <v>ช่วยเหลืองานภายใน วพอ.</v>
      </c>
      <c r="H373" s="3" t="str">
        <f>IFERROR(__xludf.DUMMYFUNCTION("""COMPUTED_VALUE"""),"กิจกรรมรับน้องนพอ.รุ่นที่ 68")</f>
        <v>กิจกรรมรับน้องนพอ.รุ่นที่ 68</v>
      </c>
      <c r="I373" s="3" t="str">
        <f>IFERROR(__xludf.DUMMYFUNCTION("""COMPUTED_VALUE"""),"วพอ.พอ.")</f>
        <v>วพอ.พอ.</v>
      </c>
      <c r="J373" s="12">
        <f>IFERROR(__xludf.DUMMYFUNCTION("""COMPUTED_VALUE"""),45858.0)</f>
        <v>45858</v>
      </c>
      <c r="K373" s="3" t="str">
        <f>IFERROR(__xludf.DUMMYFUNCTION("""COMPUTED_VALUE"""),"1500-1700")</f>
        <v>1500-1700</v>
      </c>
      <c r="L373" s="3">
        <f>IFERROR(__xludf.DUMMYFUNCTION("""COMPUTED_VALUE"""),8.0)</f>
        <v>8</v>
      </c>
      <c r="M37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3" s="14" t="str">
        <f>IFERROR(__xludf.DUMMYFUNCTION("""COMPUTED_VALUE"""),"https://lh5.googleusercontent.com/d/1jT04_LxCyEd-D8gG8hwTgPMdSnroxlVj")</f>
        <v>https://lh5.googleusercontent.com/d/1jT04_LxCyEd-D8gG8hwTgPMdSnroxlVj</v>
      </c>
      <c r="O373" s="14" t="str">
        <f>IFERROR(__xludf.DUMMYFUNCTION("""COMPUTED_VALUE"""),"https://drive.google.com/file/d/1l8G_uOIbizDKjvVxZdWFLi8fblAvYw6a/view?usp=drivesdk")</f>
        <v>https://drive.google.com/file/d/1l8G_uOIbizDKjvVxZdWFLi8fblAvYw6a/view?usp=drivesdk</v>
      </c>
    </row>
    <row r="374">
      <c r="A374" s="3">
        <f>IFERROR(__xludf.DUMMYFUNCTION("""COMPUTED_VALUE"""),1520.0)</f>
        <v>1520</v>
      </c>
      <c r="B374" s="11">
        <f>IFERROR(__xludf.DUMMYFUNCTION("""COMPUTED_VALUE"""),45999.61602530092)</f>
        <v>45999.61603</v>
      </c>
      <c r="C374" s="3" t="str">
        <f>IFERROR(__xludf.DUMMYFUNCTION("""COMPUTED_VALUE"""),"ชั้นปีที่ 3")</f>
        <v>ชั้นปีที่ 3</v>
      </c>
      <c r="D374" s="3" t="str">
        <f>IFERROR(__xludf.DUMMYFUNCTION("""COMPUTED_VALUE"""),"6603755")</f>
        <v>6603755</v>
      </c>
      <c r="E374" s="3" t="str">
        <f>IFERROR(__xludf.DUMMYFUNCTION("""COMPUTED_VALUE"""),"2")</f>
        <v>2</v>
      </c>
      <c r="F374" s="3" t="str">
        <f>IFERROR(__xludf.DUMMYFUNCTION("""COMPUTED_VALUE"""),"นพอ.กฤตินันท์ ฉิมพาลี")</f>
        <v>นพอ.กฤตินันท์ ฉิมพาลี</v>
      </c>
      <c r="G374" s="3" t="str">
        <f>IFERROR(__xludf.DUMMYFUNCTION("""COMPUTED_VALUE"""),"ช่วยเหลืองานภายใน วพอ.")</f>
        <v>ช่วยเหลืองานภายใน วพอ.</v>
      </c>
      <c r="H374" s="3" t="str">
        <f>IFERROR(__xludf.DUMMYFUNCTION("""COMPUTED_VALUE"""),"รับน้องนพอ.รุ่นที่ 68 ")</f>
        <v>รับน้องนพอ.รุ่นที่ 68 </v>
      </c>
      <c r="I374" s="3" t="str">
        <f>IFERROR(__xludf.DUMMYFUNCTION("""COMPUTED_VALUE"""),"วพอ.พอ.")</f>
        <v>วพอ.พอ.</v>
      </c>
      <c r="J374" s="12">
        <f>IFERROR(__xludf.DUMMYFUNCTION("""COMPUTED_VALUE"""),45859.0)</f>
        <v>45859</v>
      </c>
      <c r="K374" s="3" t="str">
        <f>IFERROR(__xludf.DUMMYFUNCTION("""COMPUTED_VALUE"""),"1500-1700")</f>
        <v>1500-1700</v>
      </c>
      <c r="L374" s="3">
        <f>IFERROR(__xludf.DUMMYFUNCTION("""COMPUTED_VALUE"""),2.0)</f>
        <v>2</v>
      </c>
      <c r="M37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4" s="14" t="str">
        <f>IFERROR(__xludf.DUMMYFUNCTION("""COMPUTED_VALUE"""),"https://lh5.googleusercontent.com/d/1BWcGHppYhTJ-lS6y1hYjOnASc_6_VVyh")</f>
        <v>https://lh5.googleusercontent.com/d/1BWcGHppYhTJ-lS6y1hYjOnASc_6_VVyh</v>
      </c>
      <c r="O374" s="14" t="str">
        <f>IFERROR(__xludf.DUMMYFUNCTION("""COMPUTED_VALUE"""),"https://drive.google.com/file/d/1GcyHEzhCQc-VinIKD3zHnjr2DyS7xe70/view?usp=drivesdk")</f>
        <v>https://drive.google.com/file/d/1GcyHEzhCQc-VinIKD3zHnjr2DyS7xe70/view?usp=drivesdk</v>
      </c>
    </row>
    <row r="375">
      <c r="A375" s="3">
        <f>IFERROR(__xludf.DUMMYFUNCTION("""COMPUTED_VALUE"""),1522.0)</f>
        <v>1522</v>
      </c>
      <c r="B375" s="11">
        <f>IFERROR(__xludf.DUMMYFUNCTION("""COMPUTED_VALUE"""),45999.62077494213)</f>
        <v>45999.62077</v>
      </c>
      <c r="C375" s="3" t="str">
        <f>IFERROR(__xludf.DUMMYFUNCTION("""COMPUTED_VALUE"""),"ชั้นปีที่ 3")</f>
        <v>ชั้นปีที่ 3</v>
      </c>
      <c r="D375" s="3" t="str">
        <f>IFERROR(__xludf.DUMMYFUNCTION("""COMPUTED_VALUE"""),"6603755")</f>
        <v>6603755</v>
      </c>
      <c r="E375" s="3" t="str">
        <f>IFERROR(__xludf.DUMMYFUNCTION("""COMPUTED_VALUE"""),"2")</f>
        <v>2</v>
      </c>
      <c r="F375" s="3" t="str">
        <f>IFERROR(__xludf.DUMMYFUNCTION("""COMPUTED_VALUE"""),"นพอ.กฤตินันท์ ฉิมพาลี")</f>
        <v>นพอ.กฤตินันท์ ฉิมพาลี</v>
      </c>
      <c r="G375" s="3" t="str">
        <f>IFERROR(__xludf.DUMMYFUNCTION("""COMPUTED_VALUE"""),"ช่วยเหลืองานภายใน วพอ.")</f>
        <v>ช่วยเหลืองานภายใน วพอ.</v>
      </c>
      <c r="H375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75" s="3" t="str">
        <f>IFERROR(__xludf.DUMMYFUNCTION("""COMPUTED_VALUE"""),"ชุมชนวัดเกาะ")</f>
        <v>ชุมชนวัดเกาะ</v>
      </c>
      <c r="J375" s="12">
        <f>IFERROR(__xludf.DUMMYFUNCTION("""COMPUTED_VALUE"""),45823.0)</f>
        <v>45823</v>
      </c>
      <c r="K375" s="3" t="str">
        <f>IFERROR(__xludf.DUMMYFUNCTION("""COMPUTED_VALUE"""),"0800-1200")</f>
        <v>0800-1200</v>
      </c>
      <c r="L375" s="3">
        <f>IFERROR(__xludf.DUMMYFUNCTION("""COMPUTED_VALUE"""),4.0)</f>
        <v>4</v>
      </c>
      <c r="M375" s="3" t="str">
        <f>IFERROR(__xludf.DUMMYFUNCTION("""COMPUTED_VALUE"""),"น.ต.หญิง ตวงทิพย์ ลดาวัลย์")</f>
        <v>น.ต.หญิง ตวงทิพย์ ลดาวัลย์</v>
      </c>
      <c r="N375" s="14" t="str">
        <f>IFERROR(__xludf.DUMMYFUNCTION("""COMPUTED_VALUE"""),"https://lh5.googleusercontent.com/d/1ugHbb2R_DDyiAb4xTV-3gWQmIPXh_tFt")</f>
        <v>https://lh5.googleusercontent.com/d/1ugHbb2R_DDyiAb4xTV-3gWQmIPXh_tFt</v>
      </c>
      <c r="O375" s="14" t="str">
        <f>IFERROR(__xludf.DUMMYFUNCTION("""COMPUTED_VALUE"""),"https://drive.google.com/file/d/1hmEPyRNyaur5ariTLszQJdL7Ychiovhu/view?usp=drivesdk")</f>
        <v>https://drive.google.com/file/d/1hmEPyRNyaur5ariTLszQJdL7Ychiovhu/view?usp=drivesdk</v>
      </c>
    </row>
    <row r="376">
      <c r="A376" s="3">
        <f>IFERROR(__xludf.DUMMYFUNCTION("""COMPUTED_VALUE"""),1600.0)</f>
        <v>1600</v>
      </c>
      <c r="B376" s="11">
        <f>IFERROR(__xludf.DUMMYFUNCTION("""COMPUTED_VALUE"""),45999.701853715276)</f>
        <v>45999.70185</v>
      </c>
      <c r="C376" s="3" t="str">
        <f>IFERROR(__xludf.DUMMYFUNCTION("""COMPUTED_VALUE"""),"ชั้นปีที่ 3")</f>
        <v>ชั้นปีที่ 3</v>
      </c>
      <c r="D376" s="3" t="str">
        <f>IFERROR(__xludf.DUMMYFUNCTION("""COMPUTED_VALUE"""),"6603815")</f>
        <v>6603815</v>
      </c>
      <c r="E376" s="3" t="str">
        <f>IFERROR(__xludf.DUMMYFUNCTION("""COMPUTED_VALUE"""),"61")</f>
        <v>61</v>
      </c>
      <c r="F376" s="3" t="str">
        <f>IFERROR(__xludf.DUMMYFUNCTION("""COMPUTED_VALUE"""),"นพอ.อภิรชา คำเจริญ")</f>
        <v>นพอ.อภิรชา คำเจริญ</v>
      </c>
      <c r="G37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6" s="3" t="str">
        <f>IFERROR(__xludf.DUMMYFUNCTION("""COMPUTED_VALUE"""),"ส่งคณะศึกษาดูงานรร.พยาบาลกห.กล.ต.(สาธารณรัฐเกาหลี)")</f>
        <v>ส่งคณะศึกษาดูงานรร.พยาบาลกห.กล.ต.(สาธารณรัฐเกาหลี)</v>
      </c>
      <c r="I376" s="3" t="str">
        <f>IFERROR(__xludf.DUMMYFUNCTION("""COMPUTED_VALUE"""),"สนามบินสุวรรณภูมิ จว.สมุทรปราการ")</f>
        <v>สนามบินสุวรรณภูมิ จว.สมุทรปราการ</v>
      </c>
      <c r="J376" s="12">
        <f>IFERROR(__xludf.DUMMYFUNCTION("""COMPUTED_VALUE"""),45954.0)</f>
        <v>45954</v>
      </c>
      <c r="K376" s="3" t="str">
        <f>IFERROR(__xludf.DUMMYFUNCTION("""COMPUTED_VALUE"""),"1300-1700")</f>
        <v>1300-1700</v>
      </c>
      <c r="L376" s="3">
        <f>IFERROR(__xludf.DUMMYFUNCTION("""COMPUTED_VALUE"""),4.0)</f>
        <v>4</v>
      </c>
      <c r="M376" s="3" t="str">
        <f>IFERROR(__xludf.DUMMYFUNCTION("""COMPUTED_VALUE"""),"น.ต.หญิง ประไพศรี ศุภางค์กร")</f>
        <v>น.ต.หญิง ประไพศรี ศุภางค์กร</v>
      </c>
      <c r="N376" s="14" t="str">
        <f>IFERROR(__xludf.DUMMYFUNCTION("""COMPUTED_VALUE"""),"https://lh5.googleusercontent.com/d/1QmZUlWS6ixX6abzkV8QZeFKu7HqmzOkc")</f>
        <v>https://lh5.googleusercontent.com/d/1QmZUlWS6ixX6abzkV8QZeFKu7HqmzOkc</v>
      </c>
      <c r="O376" s="14" t="str">
        <f>IFERROR(__xludf.DUMMYFUNCTION("""COMPUTED_VALUE"""),"https://drive.google.com/file/d/1a_yjnChzfsuViLPgRpL6VMM1MeexiRVG/view?usp=drivesdk")</f>
        <v>https://drive.google.com/file/d/1a_yjnChzfsuViLPgRpL6VMM1MeexiRVG/view?usp=drivesdk</v>
      </c>
    </row>
    <row r="377">
      <c r="A377" s="3">
        <f>IFERROR(__xludf.DUMMYFUNCTION("""COMPUTED_VALUE"""),1610.0)</f>
        <v>1610</v>
      </c>
      <c r="B377" s="11">
        <f>IFERROR(__xludf.DUMMYFUNCTION("""COMPUTED_VALUE"""),45999.73391128472)</f>
        <v>45999.73391</v>
      </c>
      <c r="C377" s="3" t="str">
        <f>IFERROR(__xludf.DUMMYFUNCTION("""COMPUTED_VALUE"""),"ชั้นปีที่ 3")</f>
        <v>ชั้นปีที่ 3</v>
      </c>
      <c r="D377" s="3" t="str">
        <f>IFERROR(__xludf.DUMMYFUNCTION("""COMPUTED_VALUE"""),"6603785")</f>
        <v>6603785</v>
      </c>
      <c r="E377" s="3" t="str">
        <f>IFERROR(__xludf.DUMMYFUNCTION("""COMPUTED_VALUE"""),"31")</f>
        <v>31</v>
      </c>
      <c r="F377" s="3" t="str">
        <f>IFERROR(__xludf.DUMMYFUNCTION("""COMPUTED_VALUE"""),"นพอ.ประชาธิปไตย ปู่คาน")</f>
        <v>นพอ.ประชาธิปไตย ปู่คาน</v>
      </c>
      <c r="G3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7" s="3" t="str">
        <f>IFERROR(__xludf.DUMMYFUNCTION("""COMPUTED_VALUE"""),"ซ้อมร้องประสานเสียงงานคอนเสิร์ตทัพฟ้า (ดุริยางค์ทหารอากาศ)")</f>
        <v>ซ้อมร้องประสานเสียงงานคอนเสิร์ตทัพฟ้า (ดุริยางค์ทหารอากาศ)</v>
      </c>
      <c r="I377" s="3" t="str">
        <f>IFERROR(__xludf.DUMMYFUNCTION("""COMPUTED_VALUE"""),"ดุริยางค์ทหารอากาศ")</f>
        <v>ดุริยางค์ทหารอากาศ</v>
      </c>
      <c r="J377" s="12">
        <f>IFERROR(__xludf.DUMMYFUNCTION("""COMPUTED_VALUE"""),45825.0)</f>
        <v>45825</v>
      </c>
      <c r="K377" s="3" t="str">
        <f>IFERROR(__xludf.DUMMYFUNCTION("""COMPUTED_VALUE"""),"0800-1600")</f>
        <v>0800-1600</v>
      </c>
      <c r="L377" s="3">
        <f>IFERROR(__xludf.DUMMYFUNCTION("""COMPUTED_VALUE"""),8.0)</f>
        <v>8</v>
      </c>
      <c r="M377" s="3" t="str">
        <f>IFERROR(__xludf.DUMMYFUNCTION("""COMPUTED_VALUE"""),"ร.อ.อนุชิต ทำจะดี")</f>
        <v>ร.อ.อนุชิต ทำจะดี</v>
      </c>
      <c r="N377" s="14" t="str">
        <f>IFERROR(__xludf.DUMMYFUNCTION("""COMPUTED_VALUE"""),"https://lh5.googleusercontent.com/d/1MEU_KrXgqIeByGVwKcrkidJkCOStsy0E")</f>
        <v>https://lh5.googleusercontent.com/d/1MEU_KrXgqIeByGVwKcrkidJkCOStsy0E</v>
      </c>
      <c r="O377" s="14" t="str">
        <f>IFERROR(__xludf.DUMMYFUNCTION("""COMPUTED_VALUE"""),"https://drive.google.com/file/d/1BzKEbt6bNYXy6sUfR9xTZK7htZVTAvEc/view?usp=drivesdk")</f>
        <v>https://drive.google.com/file/d/1BzKEbt6bNYXy6sUfR9xTZK7htZVTAvEc/view?usp=drivesdk</v>
      </c>
    </row>
    <row r="378">
      <c r="A378" s="3">
        <f>IFERROR(__xludf.DUMMYFUNCTION("""COMPUTED_VALUE"""),1611.0)</f>
        <v>1611</v>
      </c>
      <c r="B378" s="11">
        <f>IFERROR(__xludf.DUMMYFUNCTION("""COMPUTED_VALUE"""),45999.735448252315)</f>
        <v>45999.73545</v>
      </c>
      <c r="C378" s="3" t="str">
        <f>IFERROR(__xludf.DUMMYFUNCTION("""COMPUTED_VALUE"""),"ชั้นปีที่ 3")</f>
        <v>ชั้นปีที่ 3</v>
      </c>
      <c r="D378" s="3" t="str">
        <f>IFERROR(__xludf.DUMMYFUNCTION("""COMPUTED_VALUE"""),"6603785")</f>
        <v>6603785</v>
      </c>
      <c r="E378" s="3" t="str">
        <f>IFERROR(__xludf.DUMMYFUNCTION("""COMPUTED_VALUE"""),"31")</f>
        <v>31</v>
      </c>
      <c r="F378" s="3" t="str">
        <f>IFERROR(__xludf.DUMMYFUNCTION("""COMPUTED_VALUE"""),"นพอ.ประชาธิปไตย ปู่คาน")</f>
        <v>นพอ.ประชาธิปไตย ปู่คาน</v>
      </c>
      <c r="G37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8" s="3" t="str">
        <f>IFERROR(__xludf.DUMMYFUNCTION("""COMPUTED_VALUE"""),"ซ้อมร้องประสานเสียงงานคอนเสิร์ตทัพฟ้า (กองบัญชาการกองทัพอากาศ)")</f>
        <v>ซ้อมร้องประสานเสียงงานคอนเสิร์ตทัพฟ้า (กองบัญชาการกองทัพอากาศ)</v>
      </c>
      <c r="I378" s="3" t="str">
        <f>IFERROR(__xludf.DUMMYFUNCTION("""COMPUTED_VALUE"""),"กองบัญชาการกองทัพอากาศ")</f>
        <v>กองบัญชาการกองทัพอากาศ</v>
      </c>
      <c r="J378" s="12">
        <f>IFERROR(__xludf.DUMMYFUNCTION("""COMPUTED_VALUE"""),45833.0)</f>
        <v>45833</v>
      </c>
      <c r="K378" s="3" t="str">
        <f>IFERROR(__xludf.DUMMYFUNCTION("""COMPUTED_VALUE"""),"0800-1600")</f>
        <v>0800-1600</v>
      </c>
      <c r="L378" s="3">
        <f>IFERROR(__xludf.DUMMYFUNCTION("""COMPUTED_VALUE"""),8.0)</f>
        <v>8</v>
      </c>
      <c r="M378" s="3" t="str">
        <f>IFERROR(__xludf.DUMMYFUNCTION("""COMPUTED_VALUE"""),"ร.อ.อนุชิต ทำจะดี")</f>
        <v>ร.อ.อนุชิต ทำจะดี</v>
      </c>
      <c r="N378" s="14" t="str">
        <f>IFERROR(__xludf.DUMMYFUNCTION("""COMPUTED_VALUE"""),"https://lh5.googleusercontent.com/d/1hM-o0T6TaO-YLuOIbvqS8M0M0noZ-SgU")</f>
        <v>https://lh5.googleusercontent.com/d/1hM-o0T6TaO-YLuOIbvqS8M0M0noZ-SgU</v>
      </c>
      <c r="O378" s="14" t="str">
        <f>IFERROR(__xludf.DUMMYFUNCTION("""COMPUTED_VALUE"""),"https://drive.google.com/file/d/1jsrLuZgWxjXDC3TeUasLWyo9N-ri4VTn/view?usp=drivesdk")</f>
        <v>https://drive.google.com/file/d/1jsrLuZgWxjXDC3TeUasLWyo9N-ri4VTn/view?usp=drivesdk</v>
      </c>
    </row>
    <row r="379">
      <c r="A379" s="3">
        <f>IFERROR(__xludf.DUMMYFUNCTION("""COMPUTED_VALUE"""),1612.0)</f>
        <v>1612</v>
      </c>
      <c r="B379" s="11">
        <f>IFERROR(__xludf.DUMMYFUNCTION("""COMPUTED_VALUE"""),45999.737503819444)</f>
        <v>45999.7375</v>
      </c>
      <c r="C379" s="3" t="str">
        <f>IFERROR(__xludf.DUMMYFUNCTION("""COMPUTED_VALUE"""),"ชั้นปีที่ 3")</f>
        <v>ชั้นปีที่ 3</v>
      </c>
      <c r="D379" s="3" t="str">
        <f>IFERROR(__xludf.DUMMYFUNCTION("""COMPUTED_VALUE"""),"6603785")</f>
        <v>6603785</v>
      </c>
      <c r="E379" s="3" t="str">
        <f>IFERROR(__xludf.DUMMYFUNCTION("""COMPUTED_VALUE"""),"31")</f>
        <v>31</v>
      </c>
      <c r="F379" s="3" t="str">
        <f>IFERROR(__xludf.DUMMYFUNCTION("""COMPUTED_VALUE"""),"นพอ.ประชาธิปไตย ปู่คาน")</f>
        <v>นพอ.ประชาธิปไตย ปู่คาน</v>
      </c>
      <c r="G3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9" s="3" t="str">
        <f>IFERROR(__xludf.DUMMYFUNCTION("""COMPUTED_VALUE"""),"ซ้อมร้องประสานเสียงงานคอนเสิร์ตทัพฟ้า (ศูนย์วัฒนธรรมแห่งประเทศไทย) ")</f>
        <v>ซ้อมร้องประสานเสียงงานคอนเสิร์ตทัพฟ้า (ศูนย์วัฒนธรรมแห่งประเทศไทย) </v>
      </c>
      <c r="I37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9" s="12">
        <f>IFERROR(__xludf.DUMMYFUNCTION("""COMPUTED_VALUE"""),45838.0)</f>
        <v>45838</v>
      </c>
      <c r="K379" s="3" t="str">
        <f>IFERROR(__xludf.DUMMYFUNCTION("""COMPUTED_VALUE"""),"1400-2200")</f>
        <v>1400-2200</v>
      </c>
      <c r="L379" s="3">
        <f>IFERROR(__xludf.DUMMYFUNCTION("""COMPUTED_VALUE"""),8.0)</f>
        <v>8</v>
      </c>
      <c r="M379" s="3" t="str">
        <f>IFERROR(__xludf.DUMMYFUNCTION("""COMPUTED_VALUE"""),"ร.อ.อนุชิต ทำจะดี")</f>
        <v>ร.อ.อนุชิต ทำจะดี</v>
      </c>
      <c r="N379" s="14" t="str">
        <f>IFERROR(__xludf.DUMMYFUNCTION("""COMPUTED_VALUE"""),"https://lh5.googleusercontent.com/d/1FQDIZisbo8V7k2-Y4TJLwiGcG-XgeZ4h")</f>
        <v>https://lh5.googleusercontent.com/d/1FQDIZisbo8V7k2-Y4TJLwiGcG-XgeZ4h</v>
      </c>
      <c r="O379" s="14" t="str">
        <f>IFERROR(__xludf.DUMMYFUNCTION("""COMPUTED_VALUE"""),"https://drive.google.com/file/d/1T1NFuojwvjmpm20YL-jAIUiWgII56vy1/view?usp=drivesdk")</f>
        <v>https://drive.google.com/file/d/1T1NFuojwvjmpm20YL-jAIUiWgII56vy1/view?usp=drivesdk</v>
      </c>
    </row>
    <row r="380">
      <c r="A380" s="3">
        <f>IFERROR(__xludf.DUMMYFUNCTION("""COMPUTED_VALUE"""),1613.0)</f>
        <v>1613</v>
      </c>
      <c r="B380" s="11">
        <f>IFERROR(__xludf.DUMMYFUNCTION("""COMPUTED_VALUE"""),45999.739074108795)</f>
        <v>45999.73907</v>
      </c>
      <c r="C380" s="3" t="str">
        <f>IFERROR(__xludf.DUMMYFUNCTION("""COMPUTED_VALUE"""),"ชั้นปีที่ 3")</f>
        <v>ชั้นปีที่ 3</v>
      </c>
      <c r="D380" s="3" t="str">
        <f>IFERROR(__xludf.DUMMYFUNCTION("""COMPUTED_VALUE"""),"6603785")</f>
        <v>6603785</v>
      </c>
      <c r="E380" s="3" t="str">
        <f>IFERROR(__xludf.DUMMYFUNCTION("""COMPUTED_VALUE"""),"31")</f>
        <v>31</v>
      </c>
      <c r="F380" s="3" t="str">
        <f>IFERROR(__xludf.DUMMYFUNCTION("""COMPUTED_VALUE"""),"นพอ.ประชาธิปไตย ปู่คาน")</f>
        <v>นพอ.ประชาธิปไตย ปู่คาน</v>
      </c>
      <c r="G3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0" s="3" t="str">
        <f>IFERROR(__xludf.DUMMYFUNCTION("""COMPUTED_VALUE"""),"คอนเสิร์ตทัพฟ้าคู่ไทยเพื่อ ""ชัยพัฒนา"" ครั้งที่ 16 (ศูนย์วัฒนธรรมแห่งประเทศไทย) ")</f>
        <v>คอนเสิร์ตทัพฟ้าคู่ไทยเพื่อ "ชัยพัฒนา" ครั้งที่ 16 (ศูนย์วัฒนธรรมแห่งประเทศไทย) </v>
      </c>
      <c r="I38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0" s="12">
        <f>IFERROR(__xludf.DUMMYFUNCTION("""COMPUTED_VALUE"""),45839.0)</f>
        <v>45839</v>
      </c>
      <c r="K380" s="3" t="str">
        <f>IFERROR(__xludf.DUMMYFUNCTION("""COMPUTED_VALUE"""),"1400-2200")</f>
        <v>1400-2200</v>
      </c>
      <c r="L380" s="3">
        <f>IFERROR(__xludf.DUMMYFUNCTION("""COMPUTED_VALUE"""),8.0)</f>
        <v>8</v>
      </c>
      <c r="M380" s="3" t="str">
        <f>IFERROR(__xludf.DUMMYFUNCTION("""COMPUTED_VALUE"""),"ร.อ.อนุชิต ทำจะดี")</f>
        <v>ร.อ.อนุชิต ทำจะดี</v>
      </c>
      <c r="N380" s="14" t="str">
        <f>IFERROR(__xludf.DUMMYFUNCTION("""COMPUTED_VALUE"""),"https://lh5.googleusercontent.com/d/196-jYLhAY3wNWv_Mt3Jt4TNRUTTZ8w3x")</f>
        <v>https://lh5.googleusercontent.com/d/196-jYLhAY3wNWv_Mt3Jt4TNRUTTZ8w3x</v>
      </c>
      <c r="O380" s="14" t="str">
        <f>IFERROR(__xludf.DUMMYFUNCTION("""COMPUTED_VALUE"""),"https://drive.google.com/file/d/1oD9CYzrLDWzLt3Et57FXRaQigpWSRnap/view?usp=drivesdk")</f>
        <v>https://drive.google.com/file/d/1oD9CYzrLDWzLt3Et57FXRaQigpWSRnap/view?usp=drivesdk</v>
      </c>
    </row>
    <row r="381">
      <c r="A381" s="3">
        <f>IFERROR(__xludf.DUMMYFUNCTION("""COMPUTED_VALUE"""),1614.0)</f>
        <v>1614</v>
      </c>
      <c r="B381" s="11">
        <f>IFERROR(__xludf.DUMMYFUNCTION("""COMPUTED_VALUE"""),45999.74048782408)</f>
        <v>45999.74049</v>
      </c>
      <c r="C381" s="3" t="str">
        <f>IFERROR(__xludf.DUMMYFUNCTION("""COMPUTED_VALUE"""),"ชั้นปีที่ 3")</f>
        <v>ชั้นปีที่ 3</v>
      </c>
      <c r="D381" s="3" t="str">
        <f>IFERROR(__xludf.DUMMYFUNCTION("""COMPUTED_VALUE"""),"6603813")</f>
        <v>6603813</v>
      </c>
      <c r="E381" s="3" t="str">
        <f>IFERROR(__xludf.DUMMYFUNCTION("""COMPUTED_VALUE"""),"59")</f>
        <v>59</v>
      </c>
      <c r="F381" s="3" t="str">
        <f>IFERROR(__xludf.DUMMYFUNCTION("""COMPUTED_VALUE"""),"นพอ.อโณชา จันทรา")</f>
        <v>นพอ.อโณชา จันทรา</v>
      </c>
      <c r="G381" s="3" t="str">
        <f>IFERROR(__xludf.DUMMYFUNCTION("""COMPUTED_VALUE"""),"ทำนุบำรุงศาสนสถาน")</f>
        <v>ทำนุบำรุงศาสนสถาน</v>
      </c>
      <c r="H381" s="3" t="str">
        <f>IFERROR(__xludf.DUMMYFUNCTION("""COMPUTED_VALUE"""),"กวาดลานวัด")</f>
        <v>กวาดลานวัด</v>
      </c>
      <c r="I381" s="3" t="str">
        <f>IFERROR(__xludf.DUMMYFUNCTION("""COMPUTED_VALUE"""),"วัดเนรัญชราราม")</f>
        <v>วัดเนรัญชราราม</v>
      </c>
      <c r="J381" s="12">
        <f>IFERROR(__xludf.DUMMYFUNCTION("""COMPUTED_VALUE"""),45834.0)</f>
        <v>45834</v>
      </c>
      <c r="K381" s="3" t="str">
        <f>IFERROR(__xludf.DUMMYFUNCTION("""COMPUTED_VALUE"""),"1500-1700")</f>
        <v>1500-1700</v>
      </c>
      <c r="L381" s="3">
        <f>IFERROR(__xludf.DUMMYFUNCTION("""COMPUTED_VALUE"""),2.0)</f>
        <v>2</v>
      </c>
      <c r="M381" s="3" t="str">
        <f>IFERROR(__xludf.DUMMYFUNCTION("""COMPUTED_VALUE"""),"พระสมบัติ โชติโก")</f>
        <v>พระสมบัติ โชติโก</v>
      </c>
      <c r="N381" s="14" t="str">
        <f>IFERROR(__xludf.DUMMYFUNCTION("""COMPUTED_VALUE"""),"https://lh5.googleusercontent.com/d/10WAW_5urqk8s9Bn8EpUgw3dzfQqvVif5")</f>
        <v>https://lh5.googleusercontent.com/d/10WAW_5urqk8s9Bn8EpUgw3dzfQqvVif5</v>
      </c>
      <c r="O381" s="14" t="str">
        <f>IFERROR(__xludf.DUMMYFUNCTION("""COMPUTED_VALUE"""),"https://drive.google.com/file/d/1eujj9WyG8Hudmai9_3NB_u4D9vGlhV04/view?usp=drivesdk")</f>
        <v>https://drive.google.com/file/d/1eujj9WyG8Hudmai9_3NB_u4D9vGlhV04/view?usp=drivesdk</v>
      </c>
    </row>
    <row r="382">
      <c r="A382" s="3">
        <f>IFERROR(__xludf.DUMMYFUNCTION("""COMPUTED_VALUE"""),1616.0)</f>
        <v>1616</v>
      </c>
      <c r="B382" s="11">
        <f>IFERROR(__xludf.DUMMYFUNCTION("""COMPUTED_VALUE"""),45999.743148483794)</f>
        <v>45999.74315</v>
      </c>
      <c r="C382" s="3" t="str">
        <f>IFERROR(__xludf.DUMMYFUNCTION("""COMPUTED_VALUE"""),"ชั้นปีที่ 3")</f>
        <v>ชั้นปีที่ 3</v>
      </c>
      <c r="D382" s="3" t="str">
        <f>IFERROR(__xludf.DUMMYFUNCTION("""COMPUTED_VALUE"""),"6603785")</f>
        <v>6603785</v>
      </c>
      <c r="E382" s="3" t="str">
        <f>IFERROR(__xludf.DUMMYFUNCTION("""COMPUTED_VALUE"""),"31")</f>
        <v>31</v>
      </c>
      <c r="F382" s="3" t="str">
        <f>IFERROR(__xludf.DUMMYFUNCTION("""COMPUTED_VALUE"""),"นพอ.ประชาธิปไตย ปู่คาน")</f>
        <v>นพอ.ประชาธิปไตย ปู่คาน</v>
      </c>
      <c r="G38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2" s="3" t="str">
        <f>IFERROR(__xludf.DUMMYFUNCTION("""COMPUTED_VALUE"""),"คอนเสิร์ตทัพฟ้าคู่ไทยเพื่อ ""ชัยพัฒนา"" ครั้งที่ 16 (ศูนย์วัฒนธรรมแห่งประเทศไทย) ")</f>
        <v>คอนเสิร์ตทัพฟ้าคู่ไทยเพื่อ "ชัยพัฒนา" ครั้งที่ 16 (ศูนย์วัฒนธรรมแห่งประเทศไทย) </v>
      </c>
      <c r="I38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2" s="12">
        <f>IFERROR(__xludf.DUMMYFUNCTION("""COMPUTED_VALUE"""),45840.0)</f>
        <v>45840</v>
      </c>
      <c r="K382" s="3" t="str">
        <f>IFERROR(__xludf.DUMMYFUNCTION("""COMPUTED_VALUE"""),"1400-2200")</f>
        <v>1400-2200</v>
      </c>
      <c r="L382" s="3">
        <f>IFERROR(__xludf.DUMMYFUNCTION("""COMPUTED_VALUE"""),8.0)</f>
        <v>8</v>
      </c>
      <c r="M382" s="3" t="str">
        <f>IFERROR(__xludf.DUMMYFUNCTION("""COMPUTED_VALUE"""),"ร.อ.อนุชิต ทำจะดี")</f>
        <v>ร.อ.อนุชิต ทำจะดี</v>
      </c>
      <c r="N382" s="14" t="str">
        <f>IFERROR(__xludf.DUMMYFUNCTION("""COMPUTED_VALUE"""),"https://lh5.googleusercontent.com/d/1LmHTujFYz794NIBzkEt0_W5AtUuGARd9")</f>
        <v>https://lh5.googleusercontent.com/d/1LmHTujFYz794NIBzkEt0_W5AtUuGARd9</v>
      </c>
      <c r="O382" s="14" t="str">
        <f>IFERROR(__xludf.DUMMYFUNCTION("""COMPUTED_VALUE"""),"https://drive.google.com/file/d/1zgrH05B4OrsrcV3X_CTS8WWp0yy-svS_/view?usp=drivesdk")</f>
        <v>https://drive.google.com/file/d/1zgrH05B4OrsrcV3X_CTS8WWp0yy-svS_/view?usp=drivesdk</v>
      </c>
    </row>
    <row r="383">
      <c r="A383" s="3">
        <f>IFERROR(__xludf.DUMMYFUNCTION("""COMPUTED_VALUE"""),1629.0)</f>
        <v>1629</v>
      </c>
      <c r="B383" s="11">
        <f>IFERROR(__xludf.DUMMYFUNCTION("""COMPUTED_VALUE"""),45999.787011354165)</f>
        <v>45999.78701</v>
      </c>
      <c r="C383" s="3" t="str">
        <f>IFERROR(__xludf.DUMMYFUNCTION("""COMPUTED_VALUE"""),"ชั้นปีที่ 3")</f>
        <v>ชั้นปีที่ 3</v>
      </c>
      <c r="D383" s="3" t="str">
        <f>IFERROR(__xludf.DUMMYFUNCTION("""COMPUTED_VALUE"""),"6603814")</f>
        <v>6603814</v>
      </c>
      <c r="E383" s="3" t="str">
        <f>IFERROR(__xludf.DUMMYFUNCTION("""COMPUTED_VALUE"""),"60")</f>
        <v>60</v>
      </c>
      <c r="F383" s="3" t="str">
        <f>IFERROR(__xludf.DUMMYFUNCTION("""COMPUTED_VALUE"""),"นพอ.อนัญญา สิงทิศ")</f>
        <v>นพอ.อนัญญา สิงทิศ</v>
      </c>
      <c r="G38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3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8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3" s="12">
        <f>IFERROR(__xludf.DUMMYFUNCTION("""COMPUTED_VALUE"""),45838.0)</f>
        <v>45838</v>
      </c>
      <c r="K383" s="3" t="str">
        <f>IFERROR(__xludf.DUMMYFUNCTION("""COMPUTED_VALUE"""),"1400-2200")</f>
        <v>1400-2200</v>
      </c>
      <c r="L383" s="3">
        <f>IFERROR(__xludf.DUMMYFUNCTION("""COMPUTED_VALUE"""),8.0)</f>
        <v>8</v>
      </c>
      <c r="M383" s="3" t="str">
        <f>IFERROR(__xludf.DUMMYFUNCTION("""COMPUTED_VALUE"""),"ร.อ.อนุชิต ทำจะดี")</f>
        <v>ร.อ.อนุชิต ทำจะดี</v>
      </c>
      <c r="N383" s="14" t="str">
        <f>IFERROR(__xludf.DUMMYFUNCTION("""COMPUTED_VALUE"""),"https://lh5.googleusercontent.com/d/10nUCTFqTCfO94PCZjjlbwNsbxjWVzwTH")</f>
        <v>https://lh5.googleusercontent.com/d/10nUCTFqTCfO94PCZjjlbwNsbxjWVzwTH</v>
      </c>
      <c r="O383" s="14" t="str">
        <f>IFERROR(__xludf.DUMMYFUNCTION("""COMPUTED_VALUE"""),"https://drive.google.com/file/d/1eMs2Fb1PLNNJ0RkCDTXzPyJreuO7fM9N/view?usp=drivesdk")</f>
        <v>https://drive.google.com/file/d/1eMs2Fb1PLNNJ0RkCDTXzPyJreuO7fM9N/view?usp=drivesdk</v>
      </c>
    </row>
    <row r="384">
      <c r="A384" s="3">
        <f>IFERROR(__xludf.DUMMYFUNCTION("""COMPUTED_VALUE"""),1631.0)</f>
        <v>1631</v>
      </c>
      <c r="B384" s="11">
        <f>IFERROR(__xludf.DUMMYFUNCTION("""COMPUTED_VALUE"""),45999.79502831019)</f>
        <v>45999.79503</v>
      </c>
      <c r="C384" s="3" t="str">
        <f>IFERROR(__xludf.DUMMYFUNCTION("""COMPUTED_VALUE"""),"ชั้นปีที่ 3")</f>
        <v>ชั้นปีที่ 3</v>
      </c>
      <c r="D384" s="3" t="str">
        <f>IFERROR(__xludf.DUMMYFUNCTION("""COMPUTED_VALUE"""),"6603808")</f>
        <v>6603808</v>
      </c>
      <c r="E384" s="3" t="str">
        <f>IFERROR(__xludf.DUMMYFUNCTION("""COMPUTED_VALUE"""),"54")</f>
        <v>54</v>
      </c>
      <c r="F384" s="3" t="str">
        <f>IFERROR(__xludf.DUMMYFUNCTION("""COMPUTED_VALUE"""),"นพอ.สุชานันท์ ดิสระมุณี")</f>
        <v>นพอ.สุชานันท์ ดิสระมุณี</v>
      </c>
      <c r="G38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4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38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4" s="12">
        <f>IFERROR(__xludf.DUMMYFUNCTION("""COMPUTED_VALUE"""),45839.0)</f>
        <v>45839</v>
      </c>
      <c r="K384" s="3" t="str">
        <f>IFERROR(__xludf.DUMMYFUNCTION("""COMPUTED_VALUE"""),"1400-2200")</f>
        <v>1400-2200</v>
      </c>
      <c r="L384" s="3">
        <f>IFERROR(__xludf.DUMMYFUNCTION("""COMPUTED_VALUE"""),8.0)</f>
        <v>8</v>
      </c>
      <c r="M384" s="3" t="str">
        <f>IFERROR(__xludf.DUMMYFUNCTION("""COMPUTED_VALUE"""),"ร.อ.อนุชิต ทำจะดี")</f>
        <v>ร.อ.อนุชิต ทำจะดี</v>
      </c>
      <c r="N384" s="14" t="str">
        <f>IFERROR(__xludf.DUMMYFUNCTION("""COMPUTED_VALUE"""),"https://lh5.googleusercontent.com/d/19h45UV6cAejvlJvoCX7AJALMRlOI32Ec")</f>
        <v>https://lh5.googleusercontent.com/d/19h45UV6cAejvlJvoCX7AJALMRlOI32Ec</v>
      </c>
      <c r="O384" s="14" t="str">
        <f>IFERROR(__xludf.DUMMYFUNCTION("""COMPUTED_VALUE"""),"https://drive.google.com/file/d/1GJnsvJZe6_wVzwQYa_H0bjqwwOAwche7/view?usp=drivesdk")</f>
        <v>https://drive.google.com/file/d/1GJnsvJZe6_wVzwQYa_H0bjqwwOAwche7/view?usp=drivesdk</v>
      </c>
    </row>
    <row r="385">
      <c r="A385" s="3">
        <f>IFERROR(__xludf.DUMMYFUNCTION("""COMPUTED_VALUE"""),1632.0)</f>
        <v>1632</v>
      </c>
      <c r="B385" s="11">
        <f>IFERROR(__xludf.DUMMYFUNCTION("""COMPUTED_VALUE"""),45999.79641236111)</f>
        <v>45999.79641</v>
      </c>
      <c r="C385" s="3" t="str">
        <f>IFERROR(__xludf.DUMMYFUNCTION("""COMPUTED_VALUE"""),"ชั้นปีที่ 3")</f>
        <v>ชั้นปีที่ 3</v>
      </c>
      <c r="D385" s="3" t="str">
        <f>IFERROR(__xludf.DUMMYFUNCTION("""COMPUTED_VALUE"""),"6603808")</f>
        <v>6603808</v>
      </c>
      <c r="E385" s="3" t="str">
        <f>IFERROR(__xludf.DUMMYFUNCTION("""COMPUTED_VALUE"""),"54")</f>
        <v>54</v>
      </c>
      <c r="F385" s="3" t="str">
        <f>IFERROR(__xludf.DUMMYFUNCTION("""COMPUTED_VALUE"""),"นพอ.สุชานันท์ ดิสระมุณี")</f>
        <v>นพอ.สุชานันท์ ดิสระมุณี</v>
      </c>
      <c r="G3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5" s="3" t="str">
        <f>IFERROR(__xludf.DUMMYFUNCTION("""COMPUTED_VALUE"""),"คอนเสิร์ตทัพฟ้าคู่ไทยเพื่อชัยพัฒนาครั้งที่ 16")</f>
        <v>คอนเสิร์ตทัพฟ้าคู่ไทยเพื่อชัยพัฒนาครั้งที่ 16</v>
      </c>
      <c r="I38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5" s="12">
        <f>IFERROR(__xludf.DUMMYFUNCTION("""COMPUTED_VALUE"""),45840.0)</f>
        <v>45840</v>
      </c>
      <c r="K385" s="3" t="str">
        <f>IFERROR(__xludf.DUMMYFUNCTION("""COMPUTED_VALUE"""),"1400-2200")</f>
        <v>1400-2200</v>
      </c>
      <c r="L385" s="3">
        <f>IFERROR(__xludf.DUMMYFUNCTION("""COMPUTED_VALUE"""),8.0)</f>
        <v>8</v>
      </c>
      <c r="M385" s="3" t="str">
        <f>IFERROR(__xludf.DUMMYFUNCTION("""COMPUTED_VALUE"""),"ร.อ.อนุชิต ทำจะดี")</f>
        <v>ร.อ.อนุชิต ทำจะดี</v>
      </c>
      <c r="N385" s="14" t="str">
        <f>IFERROR(__xludf.DUMMYFUNCTION("""COMPUTED_VALUE"""),"https://lh5.googleusercontent.com/d/15PB4o5r04w7zPF5ofyu1QdObkt4VwtNK")</f>
        <v>https://lh5.googleusercontent.com/d/15PB4o5r04w7zPF5ofyu1QdObkt4VwtNK</v>
      </c>
      <c r="O385" s="3"/>
    </row>
    <row r="386">
      <c r="A386" s="3">
        <f>IFERROR(__xludf.DUMMYFUNCTION("""COMPUTED_VALUE"""),1633.0)</f>
        <v>1633</v>
      </c>
      <c r="B386" s="11">
        <f>IFERROR(__xludf.DUMMYFUNCTION("""COMPUTED_VALUE"""),45999.79643127315)</f>
        <v>45999.79643</v>
      </c>
      <c r="C386" s="3" t="str">
        <f>IFERROR(__xludf.DUMMYFUNCTION("""COMPUTED_VALUE"""),"ชั้นปีที่ 3")</f>
        <v>ชั้นปีที่ 3</v>
      </c>
      <c r="D386" s="3" t="str">
        <f>IFERROR(__xludf.DUMMYFUNCTION("""COMPUTED_VALUE"""),"6603760")</f>
        <v>6603760</v>
      </c>
      <c r="E386" s="3" t="str">
        <f>IFERROR(__xludf.DUMMYFUNCTION("""COMPUTED_VALUE"""),"7")</f>
        <v>7</v>
      </c>
      <c r="F386" s="3" t="str">
        <f>IFERROR(__xludf.DUMMYFUNCTION("""COMPUTED_VALUE"""),"นพอ.ฉัตรชนก กันสาตร")</f>
        <v>นพอ.ฉัตรชนก กันสาตร</v>
      </c>
      <c r="G386" s="3" t="str">
        <f>IFERROR(__xludf.DUMMYFUNCTION("""COMPUTED_VALUE"""),"ช่วยเหลืองานภายใน วพอ.")</f>
        <v>ช่วยเหลืองานภายใน วพอ.</v>
      </c>
      <c r="H386" s="3" t="str">
        <f>IFERROR(__xludf.DUMMYFUNCTION("""COMPUTED_VALUE"""),"รับน้อง")</f>
        <v>รับน้อง</v>
      </c>
      <c r="I386" s="3" t="str">
        <f>IFERROR(__xludf.DUMMYFUNCTION("""COMPUTED_VALUE"""),"วพอ.พอ.")</f>
        <v>วพอ.พอ.</v>
      </c>
      <c r="J386" s="12">
        <f>IFERROR(__xludf.DUMMYFUNCTION("""COMPUTED_VALUE"""),45859.0)</f>
        <v>45859</v>
      </c>
      <c r="K386" s="3" t="str">
        <f>IFERROR(__xludf.DUMMYFUNCTION("""COMPUTED_VALUE"""),"0600-1600")</f>
        <v>0600-1600</v>
      </c>
      <c r="L386" s="3">
        <f>IFERROR(__xludf.DUMMYFUNCTION("""COMPUTED_VALUE"""),8.0)</f>
        <v>8</v>
      </c>
      <c r="M386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86" s="14" t="str">
        <f>IFERROR(__xludf.DUMMYFUNCTION("""COMPUTED_VALUE"""),"https://lh5.googleusercontent.com/d/1oEWJk8PzXHunRmhBR1mc8v1fD4vvvxJa")</f>
        <v>https://lh5.googleusercontent.com/d/1oEWJk8PzXHunRmhBR1mc8v1fD4vvvxJa</v>
      </c>
      <c r="O386" s="3"/>
    </row>
    <row r="387">
      <c r="A387" s="3">
        <f>IFERROR(__xludf.DUMMYFUNCTION("""COMPUTED_VALUE"""),1636.0)</f>
        <v>1636</v>
      </c>
      <c r="B387" s="11">
        <f>IFERROR(__xludf.DUMMYFUNCTION("""COMPUTED_VALUE"""),45999.797402951386)</f>
        <v>45999.7974</v>
      </c>
      <c r="C387" s="3" t="str">
        <f>IFERROR(__xludf.DUMMYFUNCTION("""COMPUTED_VALUE"""),"ชั้นปีที่ 3")</f>
        <v>ชั้นปีที่ 3</v>
      </c>
      <c r="D387" s="3" t="str">
        <f>IFERROR(__xludf.DUMMYFUNCTION("""COMPUTED_VALUE"""),"6603760")</f>
        <v>6603760</v>
      </c>
      <c r="E387" s="3" t="str">
        <f>IFERROR(__xludf.DUMMYFUNCTION("""COMPUTED_VALUE"""),"7")</f>
        <v>7</v>
      </c>
      <c r="F387" s="3" t="str">
        <f>IFERROR(__xludf.DUMMYFUNCTION("""COMPUTED_VALUE"""),"นพอ.ฉัตรชนก กันสาตร")</f>
        <v>นพอ.ฉัตรชนก กันสาตร</v>
      </c>
      <c r="G387" s="3" t="str">
        <f>IFERROR(__xludf.DUMMYFUNCTION("""COMPUTED_VALUE"""),"ช่วยเหลืองานภายใน วพอ.")</f>
        <v>ช่วยเหลืองานภายใน วพอ.</v>
      </c>
      <c r="H387" s="3" t="str">
        <f>IFERROR(__xludf.DUMMYFUNCTION("""COMPUTED_VALUE"""),"รับน้อง")</f>
        <v>รับน้อง</v>
      </c>
      <c r="I387" s="3" t="str">
        <f>IFERROR(__xludf.DUMMYFUNCTION("""COMPUTED_VALUE"""),"วพอ.พอ.")</f>
        <v>วพอ.พอ.</v>
      </c>
      <c r="J387" s="12">
        <f>IFERROR(__xludf.DUMMYFUNCTION("""COMPUTED_VALUE"""),45859.0)</f>
        <v>45859</v>
      </c>
      <c r="K387" s="3" t="str">
        <f>IFERROR(__xludf.DUMMYFUNCTION("""COMPUTED_VALUE"""),"1600-1800")</f>
        <v>1600-1800</v>
      </c>
      <c r="L387" s="3">
        <f>IFERROR(__xludf.DUMMYFUNCTION("""COMPUTED_VALUE"""),2.0)</f>
        <v>2</v>
      </c>
      <c r="M387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87" s="14" t="str">
        <f>IFERROR(__xludf.DUMMYFUNCTION("""COMPUTED_VALUE"""),"https://lh5.googleusercontent.com/d/1qDhjesEaygFp5NiaLk5DXqw2SE1RtV9C")</f>
        <v>https://lh5.googleusercontent.com/d/1qDhjesEaygFp5NiaLk5DXqw2SE1RtV9C</v>
      </c>
      <c r="O387" s="14" t="str">
        <f>IFERROR(__xludf.DUMMYFUNCTION("""COMPUTED_VALUE"""),"https://drive.google.com/file/d/1v-d3_2YrV_gc759UL-odr3vywj1Cl0C2/view?usp=drivesdk")</f>
        <v>https://drive.google.com/file/d/1v-d3_2YrV_gc759UL-odr3vywj1Cl0C2/view?usp=drivesdk</v>
      </c>
    </row>
    <row r="388">
      <c r="A388" s="3">
        <f>IFERROR(__xludf.DUMMYFUNCTION("""COMPUTED_VALUE"""),1638.0)</f>
        <v>1638</v>
      </c>
      <c r="B388" s="11">
        <f>IFERROR(__xludf.DUMMYFUNCTION("""COMPUTED_VALUE"""),45999.798342905095)</f>
        <v>45999.79834</v>
      </c>
      <c r="C388" s="3" t="str">
        <f>IFERROR(__xludf.DUMMYFUNCTION("""COMPUTED_VALUE"""),"ชั้นปีที่ 3")</f>
        <v>ชั้นปีที่ 3</v>
      </c>
      <c r="D388" s="3" t="str">
        <f>IFERROR(__xludf.DUMMYFUNCTION("""COMPUTED_VALUE"""),"6603805")</f>
        <v>6603805</v>
      </c>
      <c r="E388" s="3" t="str">
        <f>IFERROR(__xludf.DUMMYFUNCTION("""COMPUTED_VALUE"""),"51")</f>
        <v>51</v>
      </c>
      <c r="F388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8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8" s="3" t="str">
        <f>IFERROR(__xludf.DUMMYFUNCTION("""COMPUTED_VALUE"""),"ซ้อมพิธีไหว้ครูดนตรีไทย 10 สถาบัน")</f>
        <v>ซ้อมพิธีไหว้ครูดนตรีไทย 10 สถาบัน</v>
      </c>
      <c r="I388" s="3" t="str">
        <f>IFERROR(__xludf.DUMMYFUNCTION("""COMPUTED_VALUE"""),"รร.นรต.")</f>
        <v>รร.นรต.</v>
      </c>
      <c r="J388" s="12">
        <f>IFERROR(__xludf.DUMMYFUNCTION("""COMPUTED_VALUE"""),45843.0)</f>
        <v>45843</v>
      </c>
      <c r="K388" s="3" t="str">
        <f>IFERROR(__xludf.DUMMYFUNCTION("""COMPUTED_VALUE"""),"0800-1600")</f>
        <v>0800-1600</v>
      </c>
      <c r="L388" s="3">
        <f>IFERROR(__xludf.DUMMYFUNCTION("""COMPUTED_VALUE"""),8.0)</f>
        <v>8</v>
      </c>
      <c r="M388" s="3" t="str">
        <f>IFERROR(__xludf.DUMMYFUNCTION("""COMPUTED_VALUE"""),"น.ต.หญิง อนุกูล บำรุงวงค์")</f>
        <v>น.ต.หญิง อนุกูล บำรุงวงค์</v>
      </c>
      <c r="N388" s="14" t="str">
        <f>IFERROR(__xludf.DUMMYFUNCTION("""COMPUTED_VALUE"""),"https://lh5.googleusercontent.com/d/1Sni214xF92rQxmyQxw3BbXEBsFxlGPhJ")</f>
        <v>https://lh5.googleusercontent.com/d/1Sni214xF92rQxmyQxw3BbXEBsFxlGPhJ</v>
      </c>
      <c r="O388" s="14" t="str">
        <f>IFERROR(__xludf.DUMMYFUNCTION("""COMPUTED_VALUE"""),"https://drive.google.com/file/d/1ihOx-CztViN1PKHGFVpUMDzKatsgViG8/view?usp=drivesdk")</f>
        <v>https://drive.google.com/file/d/1ihOx-CztViN1PKHGFVpUMDzKatsgViG8/view?usp=drivesdk</v>
      </c>
    </row>
    <row r="389">
      <c r="A389" s="3">
        <f>IFERROR(__xludf.DUMMYFUNCTION("""COMPUTED_VALUE"""),1642.0)</f>
        <v>1642</v>
      </c>
      <c r="B389" s="11">
        <f>IFERROR(__xludf.DUMMYFUNCTION("""COMPUTED_VALUE"""),45999.801380624995)</f>
        <v>45999.80138</v>
      </c>
      <c r="C389" s="3" t="str">
        <f>IFERROR(__xludf.DUMMYFUNCTION("""COMPUTED_VALUE"""),"ชั้นปีที่ 3")</f>
        <v>ชั้นปีที่ 3</v>
      </c>
      <c r="D389" s="3" t="str">
        <f>IFERROR(__xludf.DUMMYFUNCTION("""COMPUTED_VALUE"""),"6603805")</f>
        <v>6603805</v>
      </c>
      <c r="E389" s="3" t="str">
        <f>IFERROR(__xludf.DUMMYFUNCTION("""COMPUTED_VALUE"""),"51")</f>
        <v>51</v>
      </c>
      <c r="F389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8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9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389" s="3" t="str">
        <f>IFERROR(__xludf.DUMMYFUNCTION("""COMPUTED_VALUE"""),"ชุมชนวัดเกาะ")</f>
        <v>ชุมชนวัดเกาะ</v>
      </c>
      <c r="J389" s="12">
        <f>IFERROR(__xludf.DUMMYFUNCTION("""COMPUTED_VALUE"""),45823.0)</f>
        <v>45823</v>
      </c>
      <c r="K389" s="3" t="str">
        <f>IFERROR(__xludf.DUMMYFUNCTION("""COMPUTED_VALUE"""),"0800-1200")</f>
        <v>0800-1200</v>
      </c>
      <c r="L389" s="3">
        <f>IFERROR(__xludf.DUMMYFUNCTION("""COMPUTED_VALUE"""),4.0)</f>
        <v>4</v>
      </c>
      <c r="M389" s="3" t="str">
        <f>IFERROR(__xludf.DUMMYFUNCTION("""COMPUTED_VALUE"""),"น.ต.หญิง ตวงทิพย์ ลดาวัลย์")</f>
        <v>น.ต.หญิง ตวงทิพย์ ลดาวัลย์</v>
      </c>
      <c r="N389" s="14" t="str">
        <f>IFERROR(__xludf.DUMMYFUNCTION("""COMPUTED_VALUE"""),"https://lh5.googleusercontent.com/d/1Uch4sW_KVA4efcwausSpCO7uo0OGgRB_")</f>
        <v>https://lh5.googleusercontent.com/d/1Uch4sW_KVA4efcwausSpCO7uo0OGgRB_</v>
      </c>
      <c r="O389" s="14" t="str">
        <f>IFERROR(__xludf.DUMMYFUNCTION("""COMPUTED_VALUE"""),"https://drive.google.com/file/d/1kDihp6HlKZhe3f_LoOtRnCbwRAfYlvyU/view?usp=drivesdk")</f>
        <v>https://drive.google.com/file/d/1kDihp6HlKZhe3f_LoOtRnCbwRAfYlvyU/view?usp=drivesdk</v>
      </c>
    </row>
    <row r="390">
      <c r="A390" s="3">
        <f>IFERROR(__xludf.DUMMYFUNCTION("""COMPUTED_VALUE"""),1646.0)</f>
        <v>1646</v>
      </c>
      <c r="B390" s="11">
        <f>IFERROR(__xludf.DUMMYFUNCTION("""COMPUTED_VALUE"""),45999.80477378472)</f>
        <v>45999.80477</v>
      </c>
      <c r="C390" s="3" t="str">
        <f>IFERROR(__xludf.DUMMYFUNCTION("""COMPUTED_VALUE"""),"ชั้นปีที่ 3")</f>
        <v>ชั้นปีที่ 3</v>
      </c>
      <c r="D390" s="3" t="str">
        <f>IFERROR(__xludf.DUMMYFUNCTION("""COMPUTED_VALUE"""),"6603805")</f>
        <v>6603805</v>
      </c>
      <c r="E390" s="3" t="str">
        <f>IFERROR(__xludf.DUMMYFUNCTION("""COMPUTED_VALUE"""),"51")</f>
        <v>51</v>
      </c>
      <c r="F390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9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0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9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0" s="12">
        <f>IFERROR(__xludf.DUMMYFUNCTION("""COMPUTED_VALUE"""),45838.0)</f>
        <v>45838</v>
      </c>
      <c r="K390" s="3" t="str">
        <f>IFERROR(__xludf.DUMMYFUNCTION("""COMPUTED_VALUE"""),"1400-2000")</f>
        <v>1400-2000</v>
      </c>
      <c r="L390" s="3">
        <f>IFERROR(__xludf.DUMMYFUNCTION("""COMPUTED_VALUE"""),8.0)</f>
        <v>8</v>
      </c>
      <c r="M390" s="3" t="str">
        <f>IFERROR(__xludf.DUMMYFUNCTION("""COMPUTED_VALUE"""),"ร.อ. อนุชิต ทำจะดี")</f>
        <v>ร.อ. อนุชิต ทำจะดี</v>
      </c>
      <c r="N390" s="14" t="str">
        <f>IFERROR(__xludf.DUMMYFUNCTION("""COMPUTED_VALUE"""),"https://lh5.googleusercontent.com/d/1keB2Fn_pqUYObLutA8XJ1hywCzuzXRrT")</f>
        <v>https://lh5.googleusercontent.com/d/1keB2Fn_pqUYObLutA8XJ1hywCzuzXRrT</v>
      </c>
      <c r="O390" s="14" t="str">
        <f>IFERROR(__xludf.DUMMYFUNCTION("""COMPUTED_VALUE"""),"https://drive.google.com/file/d/1WOPmpvGioijxzzusR8HUqld3-w5qSsR_/view?usp=drivesdk")</f>
        <v>https://drive.google.com/file/d/1WOPmpvGioijxzzusR8HUqld3-w5qSsR_/view?usp=drivesdk</v>
      </c>
    </row>
    <row r="391">
      <c r="A391" s="3">
        <f>IFERROR(__xludf.DUMMYFUNCTION("""COMPUTED_VALUE"""),1647.0)</f>
        <v>1647</v>
      </c>
      <c r="B391" s="11">
        <f>IFERROR(__xludf.DUMMYFUNCTION("""COMPUTED_VALUE"""),45999.8069555787)</f>
        <v>45999.80696</v>
      </c>
      <c r="C391" s="3" t="str">
        <f>IFERROR(__xludf.DUMMYFUNCTION("""COMPUTED_VALUE"""),"ชั้นปีที่ 3")</f>
        <v>ชั้นปีที่ 3</v>
      </c>
      <c r="D391" s="3" t="str">
        <f>IFERROR(__xludf.DUMMYFUNCTION("""COMPUTED_VALUE"""),"6603805")</f>
        <v>6603805</v>
      </c>
      <c r="E391" s="3" t="str">
        <f>IFERROR(__xludf.DUMMYFUNCTION("""COMPUTED_VALUE"""),"51")</f>
        <v>51</v>
      </c>
      <c r="F391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9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1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9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1" s="12">
        <f>IFERROR(__xludf.DUMMYFUNCTION("""COMPUTED_VALUE"""),45839.0)</f>
        <v>45839</v>
      </c>
      <c r="K391" s="3" t="str">
        <f>IFERROR(__xludf.DUMMYFUNCTION("""COMPUTED_VALUE"""),"1400-2200")</f>
        <v>1400-2200</v>
      </c>
      <c r="L391" s="3">
        <f>IFERROR(__xludf.DUMMYFUNCTION("""COMPUTED_VALUE"""),8.0)</f>
        <v>8</v>
      </c>
      <c r="M391" s="3" t="str">
        <f>IFERROR(__xludf.DUMMYFUNCTION("""COMPUTED_VALUE"""),"ร.อ.อนุชิต ทำจะดี")</f>
        <v>ร.อ.อนุชิต ทำจะดี</v>
      </c>
      <c r="N391" s="14" t="str">
        <f>IFERROR(__xludf.DUMMYFUNCTION("""COMPUTED_VALUE"""),"https://lh5.googleusercontent.com/d/1mR2-nm6pIYKhc28j26aHWQ1PH8Borf24")</f>
        <v>https://lh5.googleusercontent.com/d/1mR2-nm6pIYKhc28j26aHWQ1PH8Borf24</v>
      </c>
      <c r="O391" s="14" t="str">
        <f>IFERROR(__xludf.DUMMYFUNCTION("""COMPUTED_VALUE"""),"https://drive.google.com/file/d/1OhgJQiNS1vIXwycx2KiAS94PDRoSF6zJ/view?usp=drivesdk")</f>
        <v>https://drive.google.com/file/d/1OhgJQiNS1vIXwycx2KiAS94PDRoSF6zJ/view?usp=drivesdk</v>
      </c>
    </row>
    <row r="392">
      <c r="A392" s="3">
        <f>IFERROR(__xludf.DUMMYFUNCTION("""COMPUTED_VALUE"""),1649.0)</f>
        <v>1649</v>
      </c>
      <c r="B392" s="11">
        <f>IFERROR(__xludf.DUMMYFUNCTION("""COMPUTED_VALUE"""),45999.809581724534)</f>
        <v>45999.80958</v>
      </c>
      <c r="C392" s="3" t="str">
        <f>IFERROR(__xludf.DUMMYFUNCTION("""COMPUTED_VALUE"""),"ชั้นปีที่ 3")</f>
        <v>ชั้นปีที่ 3</v>
      </c>
      <c r="D392" s="3" t="str">
        <f>IFERROR(__xludf.DUMMYFUNCTION("""COMPUTED_VALUE"""),"6603805")</f>
        <v>6603805</v>
      </c>
      <c r="E392" s="3" t="str">
        <f>IFERROR(__xludf.DUMMYFUNCTION("""COMPUTED_VALUE"""),"51")</f>
        <v>51</v>
      </c>
      <c r="F392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9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2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9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2" s="12">
        <f>IFERROR(__xludf.DUMMYFUNCTION("""COMPUTED_VALUE"""),45840.0)</f>
        <v>45840</v>
      </c>
      <c r="K392" s="3" t="str">
        <f>IFERROR(__xludf.DUMMYFUNCTION("""COMPUTED_VALUE"""),"1400-2200")</f>
        <v>1400-2200</v>
      </c>
      <c r="L392" s="3">
        <f>IFERROR(__xludf.DUMMYFUNCTION("""COMPUTED_VALUE"""),8.0)</f>
        <v>8</v>
      </c>
      <c r="M392" s="3" t="str">
        <f>IFERROR(__xludf.DUMMYFUNCTION("""COMPUTED_VALUE"""),"ร.อ.อนุชิต ทำจะดี")</f>
        <v>ร.อ.อนุชิต ทำจะดี</v>
      </c>
      <c r="N392" s="14" t="str">
        <f>IFERROR(__xludf.DUMMYFUNCTION("""COMPUTED_VALUE"""),"https://lh5.googleusercontent.com/d/1l_isRSZ0tSKXpOy8pLAXSKrpA6xjRobE")</f>
        <v>https://lh5.googleusercontent.com/d/1l_isRSZ0tSKXpOy8pLAXSKrpA6xjRobE</v>
      </c>
      <c r="O392" s="14" t="str">
        <f>IFERROR(__xludf.DUMMYFUNCTION("""COMPUTED_VALUE"""),"https://drive.google.com/file/d/1oMhujXtqc39huJyOK8U4Hyla2qir_hlG/view?usp=drivesdk")</f>
        <v>https://drive.google.com/file/d/1oMhujXtqc39huJyOK8U4Hyla2qir_hlG/view?usp=drivesdk</v>
      </c>
    </row>
    <row r="393">
      <c r="A393" s="3">
        <f>IFERROR(__xludf.DUMMYFUNCTION("""COMPUTED_VALUE"""),1655.0)</f>
        <v>1655</v>
      </c>
      <c r="B393" s="11">
        <f>IFERROR(__xludf.DUMMYFUNCTION("""COMPUTED_VALUE"""),45999.814999282404)</f>
        <v>45999.815</v>
      </c>
      <c r="C393" s="3" t="str">
        <f>IFERROR(__xludf.DUMMYFUNCTION("""COMPUTED_VALUE"""),"ชั้นปีที่ 3")</f>
        <v>ชั้นปีที่ 3</v>
      </c>
      <c r="D393" s="3" t="str">
        <f>IFERROR(__xludf.DUMMYFUNCTION("""COMPUTED_VALUE"""),"6603805")</f>
        <v>6603805</v>
      </c>
      <c r="E393" s="3" t="str">
        <f>IFERROR(__xludf.DUMMYFUNCTION("""COMPUTED_VALUE"""),"51")</f>
        <v>51</v>
      </c>
      <c r="F393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39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3" s="3" t="str">
        <f>IFERROR(__xludf.DUMMYFUNCTION("""COMPUTED_VALUE"""),"รับเสด็จงานรับปริญญา")</f>
        <v>รับเสด็จงานรับปริญญา</v>
      </c>
      <c r="I393" s="3" t="str">
        <f>IFERROR(__xludf.DUMMYFUNCTION("""COMPUTED_VALUE"""),"มหาวิทยาลัยมหิดล")</f>
        <v>มหาวิทยาลัยมหิดล</v>
      </c>
      <c r="J393" s="12">
        <f>IFERROR(__xludf.DUMMYFUNCTION("""COMPUTED_VALUE"""),45940.0)</f>
        <v>45940</v>
      </c>
      <c r="K393" s="3" t="str">
        <f>IFERROR(__xludf.DUMMYFUNCTION("""COMPUTED_VALUE"""),"0800-1200")</f>
        <v>0800-1200</v>
      </c>
      <c r="L393" s="3">
        <f>IFERROR(__xludf.DUMMYFUNCTION("""COMPUTED_VALUE"""),4.0)</f>
        <v>4</v>
      </c>
      <c r="M393" s="3" t="str">
        <f>IFERROR(__xludf.DUMMYFUNCTION("""COMPUTED_VALUE"""),"น.ท.หญิง สุพัตรา ปิ่นแก้ว")</f>
        <v>น.ท.หญิง สุพัตรา ปิ่นแก้ว</v>
      </c>
      <c r="N393" s="14" t="str">
        <f>IFERROR(__xludf.DUMMYFUNCTION("""COMPUTED_VALUE"""),"https://lh5.googleusercontent.com/d/1YvDENU2VDvrx6ATZuMPjhugElrggxw4S")</f>
        <v>https://lh5.googleusercontent.com/d/1YvDENU2VDvrx6ATZuMPjhugElrggxw4S</v>
      </c>
      <c r="O393" s="14" t="str">
        <f>IFERROR(__xludf.DUMMYFUNCTION("""COMPUTED_VALUE"""),"https://drive.google.com/file/d/1ciOBI549WIVVVl4Rz3WLvup8Kd-tJBJ6/view?usp=drivesdk")</f>
        <v>https://drive.google.com/file/d/1ciOBI549WIVVVl4Rz3WLvup8Kd-tJBJ6/view?usp=drivesdk</v>
      </c>
    </row>
    <row r="394">
      <c r="A394" s="3">
        <f>IFERROR(__xludf.DUMMYFUNCTION("""COMPUTED_VALUE"""),1686.0)</f>
        <v>1686</v>
      </c>
      <c r="B394" s="11">
        <f>IFERROR(__xludf.DUMMYFUNCTION("""COMPUTED_VALUE"""),45999.83130702546)</f>
        <v>45999.83131</v>
      </c>
      <c r="C394" s="3" t="str">
        <f>IFERROR(__xludf.DUMMYFUNCTION("""COMPUTED_VALUE"""),"ชั้นปีที่ 3")</f>
        <v>ชั้นปีที่ 3</v>
      </c>
      <c r="D394" s="3" t="str">
        <f>IFERROR(__xludf.DUMMYFUNCTION("""COMPUTED_VALUE"""),"6603781")</f>
        <v>6603781</v>
      </c>
      <c r="E394" s="3" t="str">
        <f>IFERROR(__xludf.DUMMYFUNCTION("""COMPUTED_VALUE"""),"27")</f>
        <v>27</v>
      </c>
      <c r="F394" s="3" t="str">
        <f>IFERROR(__xludf.DUMMYFUNCTION("""COMPUTED_VALUE"""),"นพอ.เนตรชนก จงไกรจักร")</f>
        <v>นพอ.เนตรชนก จงไกรจักร</v>
      </c>
      <c r="G3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4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94" s="3" t="str">
        <f>IFERROR(__xludf.DUMMYFUNCTION("""COMPUTED_VALUE"""),"ดุริยางค์ทหารอากาศ")</f>
        <v>ดุริยางค์ทหารอากาศ</v>
      </c>
      <c r="J394" s="12">
        <f>IFERROR(__xludf.DUMMYFUNCTION("""COMPUTED_VALUE"""),45825.0)</f>
        <v>45825</v>
      </c>
      <c r="K394" s="3" t="str">
        <f>IFERROR(__xludf.DUMMYFUNCTION("""COMPUTED_VALUE"""),"0800-1600")</f>
        <v>0800-1600</v>
      </c>
      <c r="L394" s="3">
        <f>IFERROR(__xludf.DUMMYFUNCTION("""COMPUTED_VALUE"""),8.0)</f>
        <v>8</v>
      </c>
      <c r="M394" s="3" t="str">
        <f>IFERROR(__xludf.DUMMYFUNCTION("""COMPUTED_VALUE"""),"ร.อ.อนุชิต ทำจะดี")</f>
        <v>ร.อ.อนุชิต ทำจะดี</v>
      </c>
      <c r="N394" s="14" t="str">
        <f>IFERROR(__xludf.DUMMYFUNCTION("""COMPUTED_VALUE"""),"https://lh5.googleusercontent.com/d/1lyDl1sp-NrKXLx017LejgF9QduJLCFkz")</f>
        <v>https://lh5.googleusercontent.com/d/1lyDl1sp-NrKXLx017LejgF9QduJLCFkz</v>
      </c>
      <c r="O394" s="14" t="str">
        <f>IFERROR(__xludf.DUMMYFUNCTION("""COMPUTED_VALUE"""),"https://drive.google.com/file/d/1f1ovuNlDvjuJGJdpmymovw8kIx83qNhL/view?usp=drivesdk")</f>
        <v>https://drive.google.com/file/d/1f1ovuNlDvjuJGJdpmymovw8kIx83qNhL/view?usp=drivesdk</v>
      </c>
    </row>
    <row r="395">
      <c r="A395" s="3">
        <f>IFERROR(__xludf.DUMMYFUNCTION("""COMPUTED_VALUE"""),1688.0)</f>
        <v>1688</v>
      </c>
      <c r="B395" s="11">
        <f>IFERROR(__xludf.DUMMYFUNCTION("""COMPUTED_VALUE"""),45999.83379309028)</f>
        <v>45999.83379</v>
      </c>
      <c r="C395" s="3" t="str">
        <f>IFERROR(__xludf.DUMMYFUNCTION("""COMPUTED_VALUE"""),"ชั้นปีที่ 3")</f>
        <v>ชั้นปีที่ 3</v>
      </c>
      <c r="D395" s="3" t="str">
        <f>IFERROR(__xludf.DUMMYFUNCTION("""COMPUTED_VALUE"""),"6603781")</f>
        <v>6603781</v>
      </c>
      <c r="E395" s="3" t="str">
        <f>IFERROR(__xludf.DUMMYFUNCTION("""COMPUTED_VALUE"""),"27")</f>
        <v>27</v>
      </c>
      <c r="F395" s="3" t="str">
        <f>IFERROR(__xludf.DUMMYFUNCTION("""COMPUTED_VALUE"""),"นพอ.เนตรชนก จงไกรจักร")</f>
        <v>นพอ.เนตรชนก จงไกรจักร</v>
      </c>
      <c r="G3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5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9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5" s="12">
        <f>IFERROR(__xludf.DUMMYFUNCTION("""COMPUTED_VALUE"""),45838.0)</f>
        <v>45838</v>
      </c>
      <c r="K395" s="3" t="str">
        <f>IFERROR(__xludf.DUMMYFUNCTION("""COMPUTED_VALUE"""),"1400-2200")</f>
        <v>1400-2200</v>
      </c>
      <c r="L395" s="3">
        <f>IFERROR(__xludf.DUMMYFUNCTION("""COMPUTED_VALUE"""),8.0)</f>
        <v>8</v>
      </c>
      <c r="M395" s="3" t="str">
        <f>IFERROR(__xludf.DUMMYFUNCTION("""COMPUTED_VALUE"""),"ร.อ.อนุชิต ทำจะดี")</f>
        <v>ร.อ.อนุชิต ทำจะดี</v>
      </c>
      <c r="N395" s="14" t="str">
        <f>IFERROR(__xludf.DUMMYFUNCTION("""COMPUTED_VALUE"""),"https://lh5.googleusercontent.com/d/1gDFMiVdyY8Wa3S8lxm9wMzpebvp5aOFf")</f>
        <v>https://lh5.googleusercontent.com/d/1gDFMiVdyY8Wa3S8lxm9wMzpebvp5aOFf</v>
      </c>
      <c r="O395" s="14" t="str">
        <f>IFERROR(__xludf.DUMMYFUNCTION("""COMPUTED_VALUE"""),"https://drive.google.com/file/d/1CWfjs9N0NF3DVhz06db3LKtxfRynP4R3/view?usp=drivesdk")</f>
        <v>https://drive.google.com/file/d/1CWfjs9N0NF3DVhz06db3LKtxfRynP4R3/view?usp=drivesdk</v>
      </c>
    </row>
    <row r="396">
      <c r="A396" s="3">
        <f>IFERROR(__xludf.DUMMYFUNCTION("""COMPUTED_VALUE"""),1690.0)</f>
        <v>1690</v>
      </c>
      <c r="B396" s="11">
        <f>IFERROR(__xludf.DUMMYFUNCTION("""COMPUTED_VALUE"""),45999.83581657407)</f>
        <v>45999.83582</v>
      </c>
      <c r="C396" s="3" t="str">
        <f>IFERROR(__xludf.DUMMYFUNCTION("""COMPUTED_VALUE"""),"ชั้นปีที่ 3")</f>
        <v>ชั้นปีที่ 3</v>
      </c>
      <c r="D396" s="3" t="str">
        <f>IFERROR(__xludf.DUMMYFUNCTION("""COMPUTED_VALUE"""),"6603781")</f>
        <v>6603781</v>
      </c>
      <c r="E396" s="3" t="str">
        <f>IFERROR(__xludf.DUMMYFUNCTION("""COMPUTED_VALUE"""),"27")</f>
        <v>27</v>
      </c>
      <c r="F396" s="3" t="str">
        <f>IFERROR(__xludf.DUMMYFUNCTION("""COMPUTED_VALUE"""),"นพอ.เนตรชนก จงไกรจักร")</f>
        <v>นพอ.เนตรชนก จงไกรจักร</v>
      </c>
      <c r="G39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6" s="3" t="str">
        <f>IFERROR(__xludf.DUMMYFUNCTION("""COMPUTED_VALUE"""),"คอนเสิร์ตทัพฟ้าคู่ไทยเพื่อ “ชัยพัฒนา” ครั้งที่16")</f>
        <v>คอนเสิร์ตทัพฟ้าคู่ไทยเพื่อ “ชัยพัฒนา” ครั้งที่16</v>
      </c>
      <c r="I39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6" s="12">
        <f>IFERROR(__xludf.DUMMYFUNCTION("""COMPUTED_VALUE"""),45839.0)</f>
        <v>45839</v>
      </c>
      <c r="K396" s="3" t="str">
        <f>IFERROR(__xludf.DUMMYFUNCTION("""COMPUTED_VALUE"""),"1400-2200")</f>
        <v>1400-2200</v>
      </c>
      <c r="L396" s="3">
        <f>IFERROR(__xludf.DUMMYFUNCTION("""COMPUTED_VALUE"""),8.0)</f>
        <v>8</v>
      </c>
      <c r="M396" s="3" t="str">
        <f>IFERROR(__xludf.DUMMYFUNCTION("""COMPUTED_VALUE"""),"ร.อ.อนุชิต ทำจะดี")</f>
        <v>ร.อ.อนุชิต ทำจะดี</v>
      </c>
      <c r="N396" s="14" t="str">
        <f>IFERROR(__xludf.DUMMYFUNCTION("""COMPUTED_VALUE"""),"https://lh5.googleusercontent.com/d/1WGbIQwbP2JQ7QXN_fkkFC_9lEZALqgUU")</f>
        <v>https://lh5.googleusercontent.com/d/1WGbIQwbP2JQ7QXN_fkkFC_9lEZALqgUU</v>
      </c>
      <c r="O396" s="14" t="str">
        <f>IFERROR(__xludf.DUMMYFUNCTION("""COMPUTED_VALUE"""),"https://drive.google.com/file/d/1vrDM4OBtiRJW8fl-uZ2mFe2Mkczr2R3d/view?usp=drivesdk")</f>
        <v>https://drive.google.com/file/d/1vrDM4OBtiRJW8fl-uZ2mFe2Mkczr2R3d/view?usp=drivesdk</v>
      </c>
    </row>
    <row r="397">
      <c r="A397" s="3">
        <f>IFERROR(__xludf.DUMMYFUNCTION("""COMPUTED_VALUE"""),1693.0)</f>
        <v>1693</v>
      </c>
      <c r="B397" s="11">
        <f>IFERROR(__xludf.DUMMYFUNCTION("""COMPUTED_VALUE"""),45999.837171712956)</f>
        <v>45999.83717</v>
      </c>
      <c r="C397" s="3" t="str">
        <f>IFERROR(__xludf.DUMMYFUNCTION("""COMPUTED_VALUE"""),"ชั้นปีที่ 3")</f>
        <v>ชั้นปีที่ 3</v>
      </c>
      <c r="D397" s="3" t="str">
        <f>IFERROR(__xludf.DUMMYFUNCTION("""COMPUTED_VALUE"""),"6603781")</f>
        <v>6603781</v>
      </c>
      <c r="E397" s="3" t="str">
        <f>IFERROR(__xludf.DUMMYFUNCTION("""COMPUTED_VALUE"""),"27")</f>
        <v>27</v>
      </c>
      <c r="F397" s="3" t="str">
        <f>IFERROR(__xludf.DUMMYFUNCTION("""COMPUTED_VALUE"""),"นพอ.เนตรชนก จงไกรจักร")</f>
        <v>นพอ.เนตรชนก จงไกรจักร</v>
      </c>
      <c r="G39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7" s="3" t="str">
        <f>IFERROR(__xludf.DUMMYFUNCTION("""COMPUTED_VALUE"""),"คอนเสิร์ตทัพฟ้าคู่ไทยเพื่อ “ชัยพัฒนา” ครั้งที่16")</f>
        <v>คอนเสิร์ตทัพฟ้าคู่ไทยเพื่อ “ชัยพัฒนา” ครั้งที่16</v>
      </c>
      <c r="I39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7" s="12">
        <f>IFERROR(__xludf.DUMMYFUNCTION("""COMPUTED_VALUE"""),45840.0)</f>
        <v>45840</v>
      </c>
      <c r="K397" s="3" t="str">
        <f>IFERROR(__xludf.DUMMYFUNCTION("""COMPUTED_VALUE"""),"1400-2200")</f>
        <v>1400-2200</v>
      </c>
      <c r="L397" s="3">
        <f>IFERROR(__xludf.DUMMYFUNCTION("""COMPUTED_VALUE"""),8.0)</f>
        <v>8</v>
      </c>
      <c r="M397" s="3" t="str">
        <f>IFERROR(__xludf.DUMMYFUNCTION("""COMPUTED_VALUE"""),"ร.อ.อนุชิต ทำจะดี")</f>
        <v>ร.อ.อนุชิต ทำจะดี</v>
      </c>
      <c r="N397" s="14" t="str">
        <f>IFERROR(__xludf.DUMMYFUNCTION("""COMPUTED_VALUE"""),"https://lh5.googleusercontent.com/d/1scDs49Cq6-ZGn2w3M3ZsfOOs8-prFzIb")</f>
        <v>https://lh5.googleusercontent.com/d/1scDs49Cq6-ZGn2w3M3ZsfOOs8-prFzIb</v>
      </c>
      <c r="O397" s="14" t="str">
        <f>IFERROR(__xludf.DUMMYFUNCTION("""COMPUTED_VALUE"""),"https://drive.google.com/file/d/1gPmNy_nSPim-ZZQs3SgCeh6PmH_LOJHH/view?usp=drivesdk")</f>
        <v>https://drive.google.com/file/d/1gPmNy_nSPim-ZZQs3SgCeh6PmH_LOJHH/view?usp=drivesdk</v>
      </c>
    </row>
    <row r="398">
      <c r="A398" s="3">
        <f>IFERROR(__xludf.DUMMYFUNCTION("""COMPUTED_VALUE"""),1819.0)</f>
        <v>1819</v>
      </c>
      <c r="B398" s="11">
        <f>IFERROR(__xludf.DUMMYFUNCTION("""COMPUTED_VALUE"""),45999.94707569445)</f>
        <v>45999.94708</v>
      </c>
      <c r="C398" s="3" t="str">
        <f>IFERROR(__xludf.DUMMYFUNCTION("""COMPUTED_VALUE"""),"ชั้นปีที่ 3")</f>
        <v>ชั้นปีที่ 3</v>
      </c>
      <c r="D398" s="3" t="str">
        <f>IFERROR(__xludf.DUMMYFUNCTION("""COMPUTED_VALUE"""),"6603788")</f>
        <v>6603788</v>
      </c>
      <c r="E398" s="3" t="str">
        <f>IFERROR(__xludf.DUMMYFUNCTION("""COMPUTED_VALUE"""),"34")</f>
        <v>34</v>
      </c>
      <c r="F398" s="3" t="str">
        <f>IFERROR(__xludf.DUMMYFUNCTION("""COMPUTED_VALUE"""),"นพอ.ปาจีรนันท์ ปิงขุนทด")</f>
        <v>นพอ.ปาจีรนันท์ ปิงขุนทด</v>
      </c>
      <c r="G398" s="3" t="str">
        <f>IFERROR(__xludf.DUMMYFUNCTION("""COMPUTED_VALUE"""),"ช่วยเหลืองานภายใน วพอ.")</f>
        <v>ช่วยเหลืองานภายใน วพอ.</v>
      </c>
      <c r="H398" s="3" t="str">
        <f>IFERROR(__xludf.DUMMYFUNCTION("""COMPUTED_VALUE"""),"ทกท.")</f>
        <v>ทกท.</v>
      </c>
      <c r="I398" s="3" t="str">
        <f>IFERROR(__xludf.DUMMYFUNCTION("""COMPUTED_VALUE"""),"วพอ.พอ.")</f>
        <v>วพอ.พอ.</v>
      </c>
      <c r="J398" s="12">
        <f>IFERROR(__xludf.DUMMYFUNCTION("""COMPUTED_VALUE"""),45937.0)</f>
        <v>45937</v>
      </c>
      <c r="K398" s="3" t="str">
        <f>IFERROR(__xludf.DUMMYFUNCTION("""COMPUTED_VALUE"""),"0800-1700")</f>
        <v>0800-1700</v>
      </c>
      <c r="L398" s="3">
        <f>IFERROR(__xludf.DUMMYFUNCTION("""COMPUTED_VALUE"""),8.0)</f>
        <v>8</v>
      </c>
      <c r="M398" s="3" t="str">
        <f>IFERROR(__xludf.DUMMYFUNCTION("""COMPUTED_VALUE"""),"ร.อ.อนุชิต ทำจะดี")</f>
        <v>ร.อ.อนุชิต ทำจะดี</v>
      </c>
      <c r="N398" s="14" t="str">
        <f>IFERROR(__xludf.DUMMYFUNCTION("""COMPUTED_VALUE"""),"https://lh5.googleusercontent.com/d/14FNZpmPDUTTzjXGD0bmzmtB1r1471MAx")</f>
        <v>https://lh5.googleusercontent.com/d/14FNZpmPDUTTzjXGD0bmzmtB1r1471MAx</v>
      </c>
      <c r="O398" s="14" t="str">
        <f>IFERROR(__xludf.DUMMYFUNCTION("""COMPUTED_VALUE"""),"https://drive.google.com/file/d/1RIhGDC22ozXhWOLBa3zQfMwS2uoAUyD3/view?usp=drivesdk")</f>
        <v>https://drive.google.com/file/d/1RIhGDC22ozXhWOLBa3zQfMwS2uoAUyD3/view?usp=drivesdk</v>
      </c>
    </row>
    <row r="399">
      <c r="A399" s="3">
        <f>IFERROR(__xludf.DUMMYFUNCTION("""COMPUTED_VALUE"""),1823.0)</f>
        <v>1823</v>
      </c>
      <c r="B399" s="11">
        <f>IFERROR(__xludf.DUMMYFUNCTION("""COMPUTED_VALUE"""),45999.94960537037)</f>
        <v>45999.94961</v>
      </c>
      <c r="C399" s="3" t="str">
        <f>IFERROR(__xludf.DUMMYFUNCTION("""COMPUTED_VALUE"""),"ชั้นปีที่ 3")</f>
        <v>ชั้นปีที่ 3</v>
      </c>
      <c r="D399" s="3" t="str">
        <f>IFERROR(__xludf.DUMMYFUNCTION("""COMPUTED_VALUE"""),"6603788")</f>
        <v>6603788</v>
      </c>
      <c r="E399" s="3" t="str">
        <f>IFERROR(__xludf.DUMMYFUNCTION("""COMPUTED_VALUE"""),"34")</f>
        <v>34</v>
      </c>
      <c r="F399" s="3" t="str">
        <f>IFERROR(__xludf.DUMMYFUNCTION("""COMPUTED_VALUE"""),"นพอ.ปาจีรนันท์ ปิงขุนทด")</f>
        <v>นพอ.ปาจีรนันท์ ปิงขุนทด</v>
      </c>
      <c r="G399" s="3" t="str">
        <f>IFERROR(__xludf.DUMMYFUNCTION("""COMPUTED_VALUE"""),"ช่วยเหลืองานภายใน วพอ.")</f>
        <v>ช่วยเหลืองานภายใน วพอ.</v>
      </c>
      <c r="H399" s="3" t="str">
        <f>IFERROR(__xludf.DUMMYFUNCTION("""COMPUTED_VALUE"""),"ทกท.")</f>
        <v>ทกท.</v>
      </c>
      <c r="I399" s="3" t="str">
        <f>IFERROR(__xludf.DUMMYFUNCTION("""COMPUTED_VALUE"""),"วพอ.พอ.")</f>
        <v>วพอ.พอ.</v>
      </c>
      <c r="J399" s="12">
        <f>IFERROR(__xludf.DUMMYFUNCTION("""COMPUTED_VALUE"""),45938.0)</f>
        <v>45938</v>
      </c>
      <c r="K399" s="3" t="str">
        <f>IFERROR(__xludf.DUMMYFUNCTION("""COMPUTED_VALUE"""),"0800-1700")</f>
        <v>0800-1700</v>
      </c>
      <c r="L399" s="3">
        <f>IFERROR(__xludf.DUMMYFUNCTION("""COMPUTED_VALUE"""),8.0)</f>
        <v>8</v>
      </c>
      <c r="M399" s="3" t="str">
        <f>IFERROR(__xludf.DUMMYFUNCTION("""COMPUTED_VALUE"""),"ร.อ.อนุชิต ทำจะดี")</f>
        <v>ร.อ.อนุชิต ทำจะดี</v>
      </c>
      <c r="N399" s="14" t="str">
        <f>IFERROR(__xludf.DUMMYFUNCTION("""COMPUTED_VALUE"""),"https://lh5.googleusercontent.com/d/17qdLo7LB_37WyxPyzOjhtnP1gNMqlMAu")</f>
        <v>https://lh5.googleusercontent.com/d/17qdLo7LB_37WyxPyzOjhtnP1gNMqlMAu</v>
      </c>
      <c r="O399" s="14" t="str">
        <f>IFERROR(__xludf.DUMMYFUNCTION("""COMPUTED_VALUE"""),"https://drive.google.com/file/d/1hEJJde8ioXYuyRVYBt32MI97siKEfhK6/view?usp=drivesdk")</f>
        <v>https://drive.google.com/file/d/1hEJJde8ioXYuyRVYBt32MI97siKEfhK6/view?usp=drivesdk</v>
      </c>
    </row>
    <row r="400">
      <c r="A400" s="3">
        <f>IFERROR(__xludf.DUMMYFUNCTION("""COMPUTED_VALUE"""),1825.0)</f>
        <v>1825</v>
      </c>
      <c r="B400" s="11">
        <f>IFERROR(__xludf.DUMMYFUNCTION("""COMPUTED_VALUE"""),45999.95249599538)</f>
        <v>45999.9525</v>
      </c>
      <c r="C400" s="3" t="str">
        <f>IFERROR(__xludf.DUMMYFUNCTION("""COMPUTED_VALUE"""),"ชั้นปีที่ 3")</f>
        <v>ชั้นปีที่ 3</v>
      </c>
      <c r="D400" s="3" t="str">
        <f>IFERROR(__xludf.DUMMYFUNCTION("""COMPUTED_VALUE"""),"6603790")</f>
        <v>6603790</v>
      </c>
      <c r="E400" s="3" t="str">
        <f>IFERROR(__xludf.DUMMYFUNCTION("""COMPUTED_VALUE"""),"36")</f>
        <v>36</v>
      </c>
      <c r="F400" s="3" t="str">
        <f>IFERROR(__xludf.DUMMYFUNCTION("""COMPUTED_VALUE"""),"นพอ.ปิยะนันท์ ตุนก")</f>
        <v>นพอ.ปิยะนันท์ ตุนก</v>
      </c>
      <c r="G400" s="3" t="str">
        <f>IFERROR(__xludf.DUMMYFUNCTION("""COMPUTED_VALUE"""),"ช่วยเหลืองานภายใน วพอ.")</f>
        <v>ช่วยเหลืองานภายใน วพอ.</v>
      </c>
      <c r="H400" s="3" t="str">
        <f>IFERROR(__xludf.DUMMYFUNCTION("""COMPUTED_VALUE"""),"รับน้อง SWD68")</f>
        <v>รับน้อง SWD68</v>
      </c>
      <c r="I400" s="3" t="str">
        <f>IFERROR(__xludf.DUMMYFUNCTION("""COMPUTED_VALUE"""),"วพอ.พอ.")</f>
        <v>วพอ.พอ.</v>
      </c>
      <c r="J400" s="12">
        <f>IFERROR(__xludf.DUMMYFUNCTION("""COMPUTED_VALUE"""),45859.0)</f>
        <v>45859</v>
      </c>
      <c r="K400" s="3" t="str">
        <f>IFERROR(__xludf.DUMMYFUNCTION("""COMPUTED_VALUE"""),"0800-1300")</f>
        <v>0800-1300</v>
      </c>
      <c r="L400" s="3">
        <f>IFERROR(__xludf.DUMMYFUNCTION("""COMPUTED_VALUE"""),5.0)</f>
        <v>5</v>
      </c>
      <c r="M40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0" s="14" t="str">
        <f>IFERROR(__xludf.DUMMYFUNCTION("""COMPUTED_VALUE"""),"https://lh5.googleusercontent.com/d/1ZSRvtHun45269Jz6Te9I2ObCO0Ny47ah")</f>
        <v>https://lh5.googleusercontent.com/d/1ZSRvtHun45269Jz6Te9I2ObCO0Ny47ah</v>
      </c>
      <c r="O400" s="14" t="str">
        <f>IFERROR(__xludf.DUMMYFUNCTION("""COMPUTED_VALUE"""),"https://drive.google.com/file/d/1UwlosFdzm9sWjAIOt0GVOPBCtXKUgYxQ/view?usp=drivesdk")</f>
        <v>https://drive.google.com/file/d/1UwlosFdzm9sWjAIOt0GVOPBCtXKUgYxQ/view?usp=drivesdk</v>
      </c>
    </row>
    <row r="401">
      <c r="A401" s="3">
        <f>IFERROR(__xludf.DUMMYFUNCTION("""COMPUTED_VALUE"""),1827.0)</f>
        <v>1827</v>
      </c>
      <c r="B401" s="11">
        <f>IFERROR(__xludf.DUMMYFUNCTION("""COMPUTED_VALUE"""),45999.9543334838)</f>
        <v>45999.95433</v>
      </c>
      <c r="C401" s="3" t="str">
        <f>IFERROR(__xludf.DUMMYFUNCTION("""COMPUTED_VALUE"""),"ชั้นปีที่ 3")</f>
        <v>ชั้นปีที่ 3</v>
      </c>
      <c r="D401" s="3" t="str">
        <f>IFERROR(__xludf.DUMMYFUNCTION("""COMPUTED_VALUE"""),"6603788")</f>
        <v>6603788</v>
      </c>
      <c r="E401" s="3" t="str">
        <f>IFERROR(__xludf.DUMMYFUNCTION("""COMPUTED_VALUE"""),"34")</f>
        <v>34</v>
      </c>
      <c r="F401" s="3" t="str">
        <f>IFERROR(__xludf.DUMMYFUNCTION("""COMPUTED_VALUE"""),"นพอ.ปาจีรนันท์ ปิงขุนทด")</f>
        <v>นพอ.ปาจีรนันท์ ปิงขุนทด</v>
      </c>
      <c r="G401" s="3" t="str">
        <f>IFERROR(__xludf.DUMMYFUNCTION("""COMPUTED_VALUE"""),"ช่วยเหลืองานภายใน วพอ.")</f>
        <v>ช่วยเหลืองานภายใน วพอ.</v>
      </c>
      <c r="H401" s="3" t="str">
        <f>IFERROR(__xludf.DUMMYFUNCTION("""COMPUTED_VALUE"""),"ทกท.")</f>
        <v>ทกท.</v>
      </c>
      <c r="I401" s="3" t="str">
        <f>IFERROR(__xludf.DUMMYFUNCTION("""COMPUTED_VALUE"""),"วพอ.พอ.")</f>
        <v>วพอ.พอ.</v>
      </c>
      <c r="J401" s="12">
        <f>IFERROR(__xludf.DUMMYFUNCTION("""COMPUTED_VALUE"""),45939.0)</f>
        <v>45939</v>
      </c>
      <c r="K401" s="3" t="str">
        <f>IFERROR(__xludf.DUMMYFUNCTION("""COMPUTED_VALUE"""),"0800-1200")</f>
        <v>0800-1200</v>
      </c>
      <c r="L401" s="3">
        <f>IFERROR(__xludf.DUMMYFUNCTION("""COMPUTED_VALUE"""),4.0)</f>
        <v>4</v>
      </c>
      <c r="M401" s="3" t="str">
        <f>IFERROR(__xludf.DUMMYFUNCTION("""COMPUTED_VALUE"""),"ร.อ.อนุชิต ทำจะดี")</f>
        <v>ร.อ.อนุชิต ทำจะดี</v>
      </c>
      <c r="N401" s="14" t="str">
        <f>IFERROR(__xludf.DUMMYFUNCTION("""COMPUTED_VALUE"""),"https://lh5.googleusercontent.com/d/1pj0JXXX4Jwmu_RZolymMx6egwE5-_41Q")</f>
        <v>https://lh5.googleusercontent.com/d/1pj0JXXX4Jwmu_RZolymMx6egwE5-_41Q</v>
      </c>
      <c r="O401" s="14" t="str">
        <f>IFERROR(__xludf.DUMMYFUNCTION("""COMPUTED_VALUE"""),"https://drive.google.com/file/d/1eVMiOJmqgvbBsY142qiX5CdUkv0pBJGA/view?usp=drivesdk")</f>
        <v>https://drive.google.com/file/d/1eVMiOJmqgvbBsY142qiX5CdUkv0pBJGA/view?usp=drivesdk</v>
      </c>
    </row>
    <row r="402">
      <c r="A402" s="3">
        <f>IFERROR(__xludf.DUMMYFUNCTION("""COMPUTED_VALUE"""),1828.0)</f>
        <v>1828</v>
      </c>
      <c r="B402" s="11">
        <f>IFERROR(__xludf.DUMMYFUNCTION("""COMPUTED_VALUE"""),45999.95443923611)</f>
        <v>45999.95444</v>
      </c>
      <c r="C402" s="3" t="str">
        <f>IFERROR(__xludf.DUMMYFUNCTION("""COMPUTED_VALUE"""),"ชั้นปีที่ 3")</f>
        <v>ชั้นปีที่ 3</v>
      </c>
      <c r="D402" s="3" t="str">
        <f>IFERROR(__xludf.DUMMYFUNCTION("""COMPUTED_VALUE"""),"6603790")</f>
        <v>6603790</v>
      </c>
      <c r="E402" s="3" t="str">
        <f>IFERROR(__xludf.DUMMYFUNCTION("""COMPUTED_VALUE"""),"36")</f>
        <v>36</v>
      </c>
      <c r="F402" s="3" t="str">
        <f>IFERROR(__xludf.DUMMYFUNCTION("""COMPUTED_VALUE"""),"นพอ.ปิยะนันท์ ตุนก")</f>
        <v>นพอ.ปิยะนันท์ ตุนก</v>
      </c>
      <c r="G402" s="3" t="str">
        <f>IFERROR(__xludf.DUMMYFUNCTION("""COMPUTED_VALUE"""),"ช่วยเหลืองานภายใน วพอ.")</f>
        <v>ช่วยเหลืองานภายใน วพอ.</v>
      </c>
      <c r="H402" s="3" t="str">
        <f>IFERROR(__xludf.DUMMYFUNCTION("""COMPUTED_VALUE"""),"รับน้อง SWD 68")</f>
        <v>รับน้อง SWD 68</v>
      </c>
      <c r="I402" s="3" t="str">
        <f>IFERROR(__xludf.DUMMYFUNCTION("""COMPUTED_VALUE"""),"วพอ.พอ.")</f>
        <v>วพอ.พอ.</v>
      </c>
      <c r="J402" s="12">
        <f>IFERROR(__xludf.DUMMYFUNCTION("""COMPUTED_VALUE"""),45859.0)</f>
        <v>45859</v>
      </c>
      <c r="K402" s="3" t="str">
        <f>IFERROR(__xludf.DUMMYFUNCTION("""COMPUTED_VALUE"""),"1300-1800")</f>
        <v>1300-1800</v>
      </c>
      <c r="L402" s="3">
        <f>IFERROR(__xludf.DUMMYFUNCTION("""COMPUTED_VALUE"""),5.0)</f>
        <v>5</v>
      </c>
      <c r="M40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2" s="14" t="str">
        <f>IFERROR(__xludf.DUMMYFUNCTION("""COMPUTED_VALUE"""),"https://lh5.googleusercontent.com/d/1xTxuuQ5N4hI5QQ77Ya5IKPjkfHbGdmPQ")</f>
        <v>https://lh5.googleusercontent.com/d/1xTxuuQ5N4hI5QQ77Ya5IKPjkfHbGdmPQ</v>
      </c>
      <c r="O402" s="14" t="str">
        <f>IFERROR(__xludf.DUMMYFUNCTION("""COMPUTED_VALUE"""),"https://drive.google.com/file/d/1DpxYe6NuzJU6Ei6hrI7n8RVeYkZ2NKpv/view?usp=drivesdk")</f>
        <v>https://drive.google.com/file/d/1DpxYe6NuzJU6Ei6hrI7n8RVeYkZ2NKpv/view?usp=drivesdk</v>
      </c>
    </row>
    <row r="403">
      <c r="A403" s="3">
        <f>IFERROR(__xludf.DUMMYFUNCTION("""COMPUTED_VALUE"""),1831.0)</f>
        <v>1831</v>
      </c>
      <c r="B403" s="11">
        <f>IFERROR(__xludf.DUMMYFUNCTION("""COMPUTED_VALUE"""),45999.961783101855)</f>
        <v>45999.96178</v>
      </c>
      <c r="C403" s="3" t="str">
        <f>IFERROR(__xludf.DUMMYFUNCTION("""COMPUTED_VALUE"""),"ชั้นปีที่ 3")</f>
        <v>ชั้นปีที่ 3</v>
      </c>
      <c r="D403" s="3" t="str">
        <f>IFERROR(__xludf.DUMMYFUNCTION("""COMPUTED_VALUE"""),"6603792")</f>
        <v>6603792</v>
      </c>
      <c r="E403" s="3" t="str">
        <f>IFERROR(__xludf.DUMMYFUNCTION("""COMPUTED_VALUE"""),"38")</f>
        <v>38</v>
      </c>
      <c r="F403" s="3" t="str">
        <f>IFERROR(__xludf.DUMMYFUNCTION("""COMPUTED_VALUE"""),"นพอ.พลอยไพลิน สุทธหลวง")</f>
        <v>นพอ.พลอยไพลิน สุทธหลวง</v>
      </c>
      <c r="G40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03" s="3" t="str">
        <f>IFERROR(__xludf.DUMMYFUNCTION("""COMPUTED_VALUE"""),"ช่วยเหลือผู้บาดเจ็บ")</f>
        <v>ช่วยเหลือผู้บาดเจ็บ</v>
      </c>
      <c r="I403" s="3" t="str">
        <f>IFERROR(__xludf.DUMMYFUNCTION("""COMPUTED_VALUE"""),"ตลาดยิ่งเจริญ")</f>
        <v>ตลาดยิ่งเจริญ</v>
      </c>
      <c r="J403" s="12">
        <f>IFERROR(__xludf.DUMMYFUNCTION("""COMPUTED_VALUE"""),45963.0)</f>
        <v>45963</v>
      </c>
      <c r="K403" s="3" t="str">
        <f>IFERROR(__xludf.DUMMYFUNCTION("""COMPUTED_VALUE"""),"1500-1700")</f>
        <v>1500-1700</v>
      </c>
      <c r="L403" s="3">
        <f>IFERROR(__xludf.DUMMYFUNCTION("""COMPUTED_VALUE"""),2.0)</f>
        <v>2</v>
      </c>
      <c r="M40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3" s="14" t="str">
        <f>IFERROR(__xludf.DUMMYFUNCTION("""COMPUTED_VALUE"""),"https://lh5.googleusercontent.com/d/1GuHrpFxg5WvxswJ6W6NyvSoermOgMdDm")</f>
        <v>https://lh5.googleusercontent.com/d/1GuHrpFxg5WvxswJ6W6NyvSoermOgMdDm</v>
      </c>
      <c r="O403" s="14" t="str">
        <f>IFERROR(__xludf.DUMMYFUNCTION("""COMPUTED_VALUE"""),"https://drive.google.com/file/d/1iwNXbnZ6a94CCUmRan5YIyQwTVVktf5_/view?usp=drivesdk")</f>
        <v>https://drive.google.com/file/d/1iwNXbnZ6a94CCUmRan5YIyQwTVVktf5_/view?usp=drivesdk</v>
      </c>
    </row>
    <row r="404">
      <c r="A404" s="3">
        <f>IFERROR(__xludf.DUMMYFUNCTION("""COMPUTED_VALUE"""),1832.0)</f>
        <v>1832</v>
      </c>
      <c r="B404" s="11">
        <f>IFERROR(__xludf.DUMMYFUNCTION("""COMPUTED_VALUE"""),45999.96282574074)</f>
        <v>45999.96283</v>
      </c>
      <c r="C404" s="3" t="str">
        <f>IFERROR(__xludf.DUMMYFUNCTION("""COMPUTED_VALUE"""),"ชั้นปีที่ 3")</f>
        <v>ชั้นปีที่ 3</v>
      </c>
      <c r="D404" s="3" t="str">
        <f>IFERROR(__xludf.DUMMYFUNCTION("""COMPUTED_VALUE"""),"6603792")</f>
        <v>6603792</v>
      </c>
      <c r="E404" s="3" t="str">
        <f>IFERROR(__xludf.DUMMYFUNCTION("""COMPUTED_VALUE"""),"38")</f>
        <v>38</v>
      </c>
      <c r="F404" s="3" t="str">
        <f>IFERROR(__xludf.DUMMYFUNCTION("""COMPUTED_VALUE"""),"นพอ.พลอยไพลิน สุทธหลวง")</f>
        <v>นพอ.พลอยไพลิน สุทธหลวง</v>
      </c>
      <c r="G40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04" s="3" t="str">
        <f>IFERROR(__xludf.DUMMYFUNCTION("""COMPUTED_VALUE"""),"บริจาคโลหิต")</f>
        <v>บริจาคโลหิต</v>
      </c>
      <c r="I404" s="3" t="str">
        <f>IFERROR(__xludf.DUMMYFUNCTION("""COMPUTED_VALUE"""),"โรงพยาบาลอุตรดิตถ์")</f>
        <v>โรงพยาบาลอุตรดิตถ์</v>
      </c>
      <c r="J404" s="12">
        <f>IFERROR(__xludf.DUMMYFUNCTION("""COMPUTED_VALUE"""),45955.0)</f>
        <v>45955</v>
      </c>
      <c r="K404" s="3" t="str">
        <f>IFERROR(__xludf.DUMMYFUNCTION("""COMPUTED_VALUE"""),"1300-1400")</f>
        <v>1300-1400</v>
      </c>
      <c r="L404" s="3">
        <f>IFERROR(__xludf.DUMMYFUNCTION("""COMPUTED_VALUE"""),8.0)</f>
        <v>8</v>
      </c>
      <c r="M40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4" s="14" t="str">
        <f>IFERROR(__xludf.DUMMYFUNCTION("""COMPUTED_VALUE"""),"https://lh5.googleusercontent.com/d/1W2CD6RGSoouqfobz2yKrSH1BopgH27F8")</f>
        <v>https://lh5.googleusercontent.com/d/1W2CD6RGSoouqfobz2yKrSH1BopgH27F8</v>
      </c>
      <c r="O404" s="3"/>
    </row>
    <row r="405">
      <c r="A405" s="3">
        <f>IFERROR(__xludf.DUMMYFUNCTION("""COMPUTED_VALUE"""),1834.0)</f>
        <v>1834</v>
      </c>
      <c r="B405" s="11">
        <f>IFERROR(__xludf.DUMMYFUNCTION("""COMPUTED_VALUE"""),45999.96389454861)</f>
        <v>45999.96389</v>
      </c>
      <c r="C405" s="3" t="str">
        <f>IFERROR(__xludf.DUMMYFUNCTION("""COMPUTED_VALUE"""),"ชั้นปีที่ 3")</f>
        <v>ชั้นปีที่ 3</v>
      </c>
      <c r="D405" s="3" t="str">
        <f>IFERROR(__xludf.DUMMYFUNCTION("""COMPUTED_VALUE"""),"6603792")</f>
        <v>6603792</v>
      </c>
      <c r="E405" s="3" t="str">
        <f>IFERROR(__xludf.DUMMYFUNCTION("""COMPUTED_VALUE"""),"38")</f>
        <v>38</v>
      </c>
      <c r="F405" s="3" t="str">
        <f>IFERROR(__xludf.DUMMYFUNCTION("""COMPUTED_VALUE"""),"นพอ.พลอยไพลิน สุทธหลวง")</f>
        <v>นพอ.พลอยไพลิน สุทธหลวง</v>
      </c>
      <c r="G40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05" s="3" t="str">
        <f>IFERROR(__xludf.DUMMYFUNCTION("""COMPUTED_VALUE"""),"แนะแนวศึกษาต่อในระดับชั้นปริญญาตรี")</f>
        <v>แนะแนวศึกษาต่อในระดับชั้นปริญญาตรี</v>
      </c>
      <c r="I405" s="3" t="str">
        <f>IFERROR(__xludf.DUMMYFUNCTION("""COMPUTED_VALUE"""),"โรงเรียนอุตรดิตถ์ดรุณี")</f>
        <v>โรงเรียนอุตรดิตถ์ดรุณี</v>
      </c>
      <c r="J405" s="12">
        <f>IFERROR(__xludf.DUMMYFUNCTION("""COMPUTED_VALUE"""),45852.0)</f>
        <v>45852</v>
      </c>
      <c r="K405" s="3" t="str">
        <f>IFERROR(__xludf.DUMMYFUNCTION("""COMPUTED_VALUE"""),"1400-1600")</f>
        <v>1400-1600</v>
      </c>
      <c r="L405" s="3">
        <f>IFERROR(__xludf.DUMMYFUNCTION("""COMPUTED_VALUE"""),2.0)</f>
        <v>2</v>
      </c>
      <c r="M40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5" s="14" t="str">
        <f>IFERROR(__xludf.DUMMYFUNCTION("""COMPUTED_VALUE"""),"https://lh5.googleusercontent.com/d/1VdXXyuclGistUXn6aAjDdazO40Gp-v8C")</f>
        <v>https://lh5.googleusercontent.com/d/1VdXXyuclGistUXn6aAjDdazO40Gp-v8C</v>
      </c>
      <c r="O405" s="14" t="str">
        <f>IFERROR(__xludf.DUMMYFUNCTION("""COMPUTED_VALUE"""),"https://drive.google.com/file/d/1-VijzVzp_kqdfOsVT1c4qSX53m0FmG5u/view?usp=drivesdk")</f>
        <v>https://drive.google.com/file/d/1-VijzVzp_kqdfOsVT1c4qSX53m0FmG5u/view?usp=drivesdk</v>
      </c>
    </row>
    <row r="406">
      <c r="A406" s="3">
        <f>IFERROR(__xludf.DUMMYFUNCTION("""COMPUTED_VALUE"""),1836.0)</f>
        <v>1836</v>
      </c>
      <c r="B406" s="11">
        <f>IFERROR(__xludf.DUMMYFUNCTION("""COMPUTED_VALUE"""),45999.96566012732)</f>
        <v>45999.96566</v>
      </c>
      <c r="C406" s="3" t="str">
        <f>IFERROR(__xludf.DUMMYFUNCTION("""COMPUTED_VALUE"""),"ชั้นปีที่ 3")</f>
        <v>ชั้นปีที่ 3</v>
      </c>
      <c r="D406" s="3" t="str">
        <f>IFERROR(__xludf.DUMMYFUNCTION("""COMPUTED_VALUE"""),"6603792")</f>
        <v>6603792</v>
      </c>
      <c r="E406" s="3" t="str">
        <f>IFERROR(__xludf.DUMMYFUNCTION("""COMPUTED_VALUE"""),"38")</f>
        <v>38</v>
      </c>
      <c r="F406" s="3" t="str">
        <f>IFERROR(__xludf.DUMMYFUNCTION("""COMPUTED_VALUE"""),"นพอ.พลอยไพลิน สุทธหลวง")</f>
        <v>นพอ.พลอยไพลิน สุทธหลวง</v>
      </c>
      <c r="G40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6" s="3" t="str">
        <f>IFERROR(__xludf.DUMMYFUNCTION("""COMPUTED_VALUE"""),"รับเสด็จ สมเด็จพระกนิษฐาธิราชเจ้า กรมสมเด็จพระเทพรัตนราชสุดาฯ สยามบรมราชกุมารี")</f>
        <v>รับเสด็จ สมเด็จพระกนิษฐาธิราชเจ้า กรมสมเด็จพระเทพรัตนราชสุดาฯ สยามบรมราชกุมารี</v>
      </c>
      <c r="I406" s="3" t="str">
        <f>IFERROR(__xludf.DUMMYFUNCTION("""COMPUTED_VALUE"""),"มหาวิทยาลัยมหิดล")</f>
        <v>มหาวิทยาลัยมหิดล</v>
      </c>
      <c r="J406" s="12">
        <f>IFERROR(__xludf.DUMMYFUNCTION("""COMPUTED_VALUE"""),45940.0)</f>
        <v>45940</v>
      </c>
      <c r="K406" s="3" t="str">
        <f>IFERROR(__xludf.DUMMYFUNCTION("""COMPUTED_VALUE"""),"0800-1200")</f>
        <v>0800-1200</v>
      </c>
      <c r="L406" s="3">
        <f>IFERROR(__xludf.DUMMYFUNCTION("""COMPUTED_VALUE"""),4.0)</f>
        <v>4</v>
      </c>
      <c r="M406" s="3" t="str">
        <f>IFERROR(__xludf.DUMMYFUNCTION("""COMPUTED_VALUE"""),"น.ท.หญิง สุพัตรา ปิ่นแก้ว")</f>
        <v>น.ท.หญิง สุพัตรา ปิ่นแก้ว</v>
      </c>
      <c r="N406" s="14" t="str">
        <f>IFERROR(__xludf.DUMMYFUNCTION("""COMPUTED_VALUE"""),"https://lh5.googleusercontent.com/d/128HJQpmp7lMSE1iw-osw9Dk76uZlXY2K")</f>
        <v>https://lh5.googleusercontent.com/d/128HJQpmp7lMSE1iw-osw9Dk76uZlXY2K</v>
      </c>
      <c r="O406" s="14" t="str">
        <f>IFERROR(__xludf.DUMMYFUNCTION("""COMPUTED_VALUE"""),"https://drive.google.com/file/d/1Z5_0B2i-7xwz7U2o-ry8DVQ3wMfSeLRl/view?usp=drivesdk")</f>
        <v>https://drive.google.com/file/d/1Z5_0B2i-7xwz7U2o-ry8DVQ3wMfSeLRl/view?usp=drivesdk</v>
      </c>
    </row>
    <row r="407">
      <c r="A407" s="3">
        <f>IFERROR(__xludf.DUMMYFUNCTION("""COMPUTED_VALUE"""),1838.0)</f>
        <v>1838</v>
      </c>
      <c r="B407" s="11">
        <f>IFERROR(__xludf.DUMMYFUNCTION("""COMPUTED_VALUE"""),45999.96709225695)</f>
        <v>45999.96709</v>
      </c>
      <c r="C407" s="3" t="str">
        <f>IFERROR(__xludf.DUMMYFUNCTION("""COMPUTED_VALUE"""),"ชั้นปีที่ 3")</f>
        <v>ชั้นปีที่ 3</v>
      </c>
      <c r="D407" s="3" t="str">
        <f>IFERROR(__xludf.DUMMYFUNCTION("""COMPUTED_VALUE"""),"6603792")</f>
        <v>6603792</v>
      </c>
      <c r="E407" s="3" t="str">
        <f>IFERROR(__xludf.DUMMYFUNCTION("""COMPUTED_VALUE"""),"38")</f>
        <v>38</v>
      </c>
      <c r="F407" s="3" t="str">
        <f>IFERROR(__xludf.DUMMYFUNCTION("""COMPUTED_VALUE"""),"นพอ.พลอยไพลิน สุทธหลวง")</f>
        <v>นพอ.พลอยไพลิน สุทธหลวง</v>
      </c>
      <c r="G4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7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407" s="3" t="str">
        <f>IFERROR(__xludf.DUMMYFUNCTION("""COMPUTED_VALUE"""),"ชุมชนวัดเกาะ")</f>
        <v>ชุมชนวัดเกาะ</v>
      </c>
      <c r="J407" s="12">
        <f>IFERROR(__xludf.DUMMYFUNCTION("""COMPUTED_VALUE"""),45823.0)</f>
        <v>45823</v>
      </c>
      <c r="K407" s="3" t="str">
        <f>IFERROR(__xludf.DUMMYFUNCTION("""COMPUTED_VALUE"""),"0800-1200")</f>
        <v>0800-1200</v>
      </c>
      <c r="L407" s="3">
        <f>IFERROR(__xludf.DUMMYFUNCTION("""COMPUTED_VALUE"""),4.0)</f>
        <v>4</v>
      </c>
      <c r="M407" s="3" t="str">
        <f>IFERROR(__xludf.DUMMYFUNCTION("""COMPUTED_VALUE"""),"น.ต.หญิง ตวงทิพย์ ลดาวัลย์")</f>
        <v>น.ต.หญิง ตวงทิพย์ ลดาวัลย์</v>
      </c>
      <c r="N407" s="14" t="str">
        <f>IFERROR(__xludf.DUMMYFUNCTION("""COMPUTED_VALUE"""),"https://lh5.googleusercontent.com/d/1CPT3cbROLy4nYp5nWDfRgnP3JY5gL-F0")</f>
        <v>https://lh5.googleusercontent.com/d/1CPT3cbROLy4nYp5nWDfRgnP3JY5gL-F0</v>
      </c>
      <c r="O407" s="3"/>
    </row>
    <row r="408">
      <c r="A408" s="3">
        <f>IFERROR(__xludf.DUMMYFUNCTION("""COMPUTED_VALUE"""),1839.0)</f>
        <v>1839</v>
      </c>
      <c r="B408" s="11">
        <f>IFERROR(__xludf.DUMMYFUNCTION("""COMPUTED_VALUE"""),45999.968861307876)</f>
        <v>45999.96886</v>
      </c>
      <c r="C408" s="3" t="str">
        <f>IFERROR(__xludf.DUMMYFUNCTION("""COMPUTED_VALUE"""),"ชั้นปีที่ 3")</f>
        <v>ชั้นปีที่ 3</v>
      </c>
      <c r="D408" s="3" t="str">
        <f>IFERROR(__xludf.DUMMYFUNCTION("""COMPUTED_VALUE"""),"6603792")</f>
        <v>6603792</v>
      </c>
      <c r="E408" s="3" t="str">
        <f>IFERROR(__xludf.DUMMYFUNCTION("""COMPUTED_VALUE"""),"38")</f>
        <v>38</v>
      </c>
      <c r="F408" s="3" t="str">
        <f>IFERROR(__xludf.DUMMYFUNCTION("""COMPUTED_VALUE"""),"นพอ.พลอยไพลิน สุทธหลวง")</f>
        <v>นพอ.พลอยไพลิน สุทธหลวง</v>
      </c>
      <c r="G40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8" s="3" t="str">
        <f>IFERROR(__xludf.DUMMYFUNCTION("""COMPUTED_VALUE"""),"ประชุมวิชาการเทิดพระเกียรติสมเด็จพระศรีนครินทราบรมราชชนี")</f>
        <v>ประชุมวิชาการเทิดพระเกียรติสมเด็จพระศรีนครินทราบรมราชชนี</v>
      </c>
      <c r="I408" s="3" t="str">
        <f>IFERROR(__xludf.DUMMYFUNCTION("""COMPUTED_VALUE"""),"สภาการพยาบาล")</f>
        <v>สภาการพยาบาล</v>
      </c>
      <c r="J408" s="12">
        <f>IFERROR(__xludf.DUMMYFUNCTION("""COMPUTED_VALUE"""),45954.0)</f>
        <v>45954</v>
      </c>
      <c r="K408" s="3" t="str">
        <f>IFERROR(__xludf.DUMMYFUNCTION("""COMPUTED_VALUE"""),"0800-1600")</f>
        <v>0800-1600</v>
      </c>
      <c r="L408" s="3">
        <f>IFERROR(__xludf.DUMMYFUNCTION("""COMPUTED_VALUE"""),8.0)</f>
        <v>8</v>
      </c>
      <c r="M408" s="3" t="str">
        <f>IFERROR(__xludf.DUMMYFUNCTION("""COMPUTED_VALUE"""),"น.ต.หญิง สมพงษ์ แก้วพรรณา")</f>
        <v>น.ต.หญิง สมพงษ์ แก้วพรรณา</v>
      </c>
      <c r="N408" s="14" t="str">
        <f>IFERROR(__xludf.DUMMYFUNCTION("""COMPUTED_VALUE"""),"https://lh5.googleusercontent.com/d/1SFDjFBlcdM30RmHRvzaMCb8PY5i0oMFW")</f>
        <v>https://lh5.googleusercontent.com/d/1SFDjFBlcdM30RmHRvzaMCb8PY5i0oMFW</v>
      </c>
      <c r="O408" s="14" t="str">
        <f>IFERROR(__xludf.DUMMYFUNCTION("""COMPUTED_VALUE"""),"https://drive.google.com/file/d/1ZBzWVGNFZfyAEWxjEi-vvDOO_xuJSVNU/view?usp=drivesdk")</f>
        <v>https://drive.google.com/file/d/1ZBzWVGNFZfyAEWxjEi-vvDOO_xuJSVNU/view?usp=drivesdk</v>
      </c>
    </row>
    <row r="409">
      <c r="A409" s="3">
        <f>IFERROR(__xludf.DUMMYFUNCTION("""COMPUTED_VALUE"""),1840.0)</f>
        <v>1840</v>
      </c>
      <c r="B409" s="11">
        <f>IFERROR(__xludf.DUMMYFUNCTION("""COMPUTED_VALUE"""),45999.96976350694)</f>
        <v>45999.96976</v>
      </c>
      <c r="C409" s="3" t="str">
        <f>IFERROR(__xludf.DUMMYFUNCTION("""COMPUTED_VALUE"""),"ชั้นปีที่ 3")</f>
        <v>ชั้นปีที่ 3</v>
      </c>
      <c r="D409" s="3" t="str">
        <f>IFERROR(__xludf.DUMMYFUNCTION("""COMPUTED_VALUE"""),"6603810")</f>
        <v>6603810</v>
      </c>
      <c r="E409" s="3" t="str">
        <f>IFERROR(__xludf.DUMMYFUNCTION("""COMPUTED_VALUE"""),"56")</f>
        <v>56</v>
      </c>
      <c r="F409" s="3" t="str">
        <f>IFERROR(__xludf.DUMMYFUNCTION("""COMPUTED_VALUE"""),"นพอ.สุพิชชา โคตวงค์")</f>
        <v>นพอ.สุพิชชา โคตวงค์</v>
      </c>
      <c r="G40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9" s="3" t="str">
        <f>IFERROR(__xludf.DUMMYFUNCTION("""COMPUTED_VALUE"""),"ซ้อมพิธีไหว้ครูดนตรีไทย 10 สถาบัน")</f>
        <v>ซ้อมพิธีไหว้ครูดนตรีไทย 10 สถาบัน</v>
      </c>
      <c r="I409" s="3" t="str">
        <f>IFERROR(__xludf.DUMMYFUNCTION("""COMPUTED_VALUE"""),"รร.นรต.")</f>
        <v>รร.นรต.</v>
      </c>
      <c r="J409" s="12">
        <f>IFERROR(__xludf.DUMMYFUNCTION("""COMPUTED_VALUE"""),45843.0)</f>
        <v>45843</v>
      </c>
      <c r="K409" s="3" t="str">
        <f>IFERROR(__xludf.DUMMYFUNCTION("""COMPUTED_VALUE"""),"0800-1700")</f>
        <v>0800-1700</v>
      </c>
      <c r="L409" s="3">
        <f>IFERROR(__xludf.DUMMYFUNCTION("""COMPUTED_VALUE"""),8.0)</f>
        <v>8</v>
      </c>
      <c r="M409" s="3" t="str">
        <f>IFERROR(__xludf.DUMMYFUNCTION("""COMPUTED_VALUE"""),"น.ท.หญิง อนุกูล บำรุงวงค์")</f>
        <v>น.ท.หญิง อนุกูล บำรุงวงค์</v>
      </c>
      <c r="N409" s="14" t="str">
        <f>IFERROR(__xludf.DUMMYFUNCTION("""COMPUTED_VALUE"""),"https://lh5.googleusercontent.com/d/1W-zZcHIdZ4VAZhMKKyjTuBMiP7_LsnD0")</f>
        <v>https://lh5.googleusercontent.com/d/1W-zZcHIdZ4VAZhMKKyjTuBMiP7_LsnD0</v>
      </c>
      <c r="O409" s="14" t="str">
        <f>IFERROR(__xludf.DUMMYFUNCTION("""COMPUTED_VALUE"""),"https://drive.google.com/file/d/1jsHUeyGBDcmVnSHMAAFmlmO79o_43VpV/view?usp=drivesdk")</f>
        <v>https://drive.google.com/file/d/1jsHUeyGBDcmVnSHMAAFmlmO79o_43VpV/view?usp=drivesdk</v>
      </c>
    </row>
    <row r="410">
      <c r="A410" s="3">
        <f>IFERROR(__xludf.DUMMYFUNCTION("""COMPUTED_VALUE"""),1848.0)</f>
        <v>1848</v>
      </c>
      <c r="B410" s="11">
        <f>IFERROR(__xludf.DUMMYFUNCTION("""COMPUTED_VALUE"""),45999.98624168981)</f>
        <v>45999.98624</v>
      </c>
      <c r="C410" s="3" t="str">
        <f>IFERROR(__xludf.DUMMYFUNCTION("""COMPUTED_VALUE"""),"ชั้นปีที่ 3")</f>
        <v>ชั้นปีที่ 3</v>
      </c>
      <c r="D410" s="3" t="str">
        <f>IFERROR(__xludf.DUMMYFUNCTION("""COMPUTED_VALUE"""),"6603772")</f>
        <v>6603772</v>
      </c>
      <c r="E410" s="3" t="str">
        <f>IFERROR(__xludf.DUMMYFUNCTION("""COMPUTED_VALUE"""),"19")</f>
        <v>19</v>
      </c>
      <c r="F410" s="3" t="str">
        <f>IFERROR(__xludf.DUMMYFUNCTION("""COMPUTED_VALUE"""),"นพอ.ทักษพร สอนดี")</f>
        <v>นพอ.ทักษพร สอนดี</v>
      </c>
      <c r="G41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0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410" s="3" t="str">
        <f>IFERROR(__xludf.DUMMYFUNCTION("""COMPUTED_VALUE"""),"ชุมชนวัดเกาะ")</f>
        <v>ชุมชนวัดเกาะ</v>
      </c>
      <c r="J410" s="12">
        <f>IFERROR(__xludf.DUMMYFUNCTION("""COMPUTED_VALUE"""),45823.0)</f>
        <v>45823</v>
      </c>
      <c r="K410" s="3" t="str">
        <f>IFERROR(__xludf.DUMMYFUNCTION("""COMPUTED_VALUE"""),"0700-1200")</f>
        <v>0700-1200</v>
      </c>
      <c r="L410" s="3">
        <f>IFERROR(__xludf.DUMMYFUNCTION("""COMPUTED_VALUE"""),4.0)</f>
        <v>4</v>
      </c>
      <c r="M410" s="3" t="str">
        <f>IFERROR(__xludf.DUMMYFUNCTION("""COMPUTED_VALUE"""),"น.ต.หญิงตวงทิพย์ ลดาวัลย์")</f>
        <v>น.ต.หญิงตวงทิพย์ ลดาวัลย์</v>
      </c>
      <c r="N410" s="14" t="str">
        <f>IFERROR(__xludf.DUMMYFUNCTION("""COMPUTED_VALUE"""),"https://lh5.googleusercontent.com/d/1j7xDymleUeqLfoR5nWLSHCopkI9X7aKl")</f>
        <v>https://lh5.googleusercontent.com/d/1j7xDymleUeqLfoR5nWLSHCopkI9X7aKl</v>
      </c>
      <c r="O410" s="14" t="str">
        <f>IFERROR(__xludf.DUMMYFUNCTION("""COMPUTED_VALUE"""),"https://drive.google.com/file/d/1JPSR-yICLoN8GZaPwv-GHXVlqDia_mgb/view?usp=drivesdk")</f>
        <v>https://drive.google.com/file/d/1JPSR-yICLoN8GZaPwv-GHXVlqDia_mgb/view?usp=drivesdk</v>
      </c>
    </row>
    <row r="411">
      <c r="A411" s="3">
        <f>IFERROR(__xludf.DUMMYFUNCTION("""COMPUTED_VALUE"""),1852.0)</f>
        <v>1852</v>
      </c>
      <c r="B411" s="11">
        <f>IFERROR(__xludf.DUMMYFUNCTION("""COMPUTED_VALUE"""),45999.99677983796)</f>
        <v>45999.99678</v>
      </c>
      <c r="C411" s="3" t="str">
        <f>IFERROR(__xludf.DUMMYFUNCTION("""COMPUTED_VALUE"""),"ชั้นปีที่ 3")</f>
        <v>ชั้นปีที่ 3</v>
      </c>
      <c r="D411" s="3" t="str">
        <f>IFERROR(__xludf.DUMMYFUNCTION("""COMPUTED_VALUE"""),"6603772")</f>
        <v>6603772</v>
      </c>
      <c r="E411" s="3" t="str">
        <f>IFERROR(__xludf.DUMMYFUNCTION("""COMPUTED_VALUE"""),"19")</f>
        <v>19</v>
      </c>
      <c r="F411" s="3" t="str">
        <f>IFERROR(__xludf.DUMMYFUNCTION("""COMPUTED_VALUE"""),"นพอ.ทักษพร สอนดี")</f>
        <v>นพอ.ทักษพร สอนดี</v>
      </c>
      <c r="G4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1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41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411" s="12">
        <f>IFERROR(__xludf.DUMMYFUNCTION("""COMPUTED_VALUE"""),45839.0)</f>
        <v>45839</v>
      </c>
      <c r="K411" s="3" t="str">
        <f>IFERROR(__xludf.DUMMYFUNCTION("""COMPUTED_VALUE"""),"0800-1800")</f>
        <v>0800-1800</v>
      </c>
      <c r="L411" s="3">
        <f>IFERROR(__xludf.DUMMYFUNCTION("""COMPUTED_VALUE"""),8.0)</f>
        <v>8</v>
      </c>
      <c r="M411" s="3" t="str">
        <f>IFERROR(__xludf.DUMMYFUNCTION("""COMPUTED_VALUE"""),"ร.อ.อนุชิต ทำจะดี")</f>
        <v>ร.อ.อนุชิต ทำจะดี</v>
      </c>
      <c r="N411" s="14" t="str">
        <f>IFERROR(__xludf.DUMMYFUNCTION("""COMPUTED_VALUE"""),"https://lh5.googleusercontent.com/d/16_s9p_zJZAHnZgQNzkB8M4oKY-tu-_oO")</f>
        <v>https://lh5.googleusercontent.com/d/16_s9p_zJZAHnZgQNzkB8M4oKY-tu-_oO</v>
      </c>
      <c r="O411" s="14" t="str">
        <f>IFERROR(__xludf.DUMMYFUNCTION("""COMPUTED_VALUE"""),"https://drive.google.com/file/d/1q6M2GUrC0xoo04w7EQOcfba5sXNOlkxM/view?usp=drivesdk")</f>
        <v>https://drive.google.com/file/d/1q6M2GUrC0xoo04w7EQOcfba5sXNOlkxM/view?usp=drivesdk</v>
      </c>
    </row>
    <row r="412">
      <c r="A412" s="3">
        <f>IFERROR(__xludf.DUMMYFUNCTION("""COMPUTED_VALUE"""),1853.0)</f>
        <v>1853</v>
      </c>
      <c r="B412" s="11">
        <f>IFERROR(__xludf.DUMMYFUNCTION("""COMPUTED_VALUE"""),45999.99955395834)</f>
        <v>45999.99955</v>
      </c>
      <c r="C412" s="3" t="str">
        <f>IFERROR(__xludf.DUMMYFUNCTION("""COMPUTED_VALUE"""),"ชั้นปีที่ 3")</f>
        <v>ชั้นปีที่ 3</v>
      </c>
      <c r="D412" s="3" t="str">
        <f>IFERROR(__xludf.DUMMYFUNCTION("""COMPUTED_VALUE"""),"6603772")</f>
        <v>6603772</v>
      </c>
      <c r="E412" s="3" t="str">
        <f>IFERROR(__xludf.DUMMYFUNCTION("""COMPUTED_VALUE"""),"19")</f>
        <v>19</v>
      </c>
      <c r="F412" s="3" t="str">
        <f>IFERROR(__xludf.DUMMYFUNCTION("""COMPUTED_VALUE"""),"นพอ.ทักษพร สอนดี")</f>
        <v>นพอ.ทักษพร สอนดี</v>
      </c>
      <c r="G4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2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41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412" s="12">
        <f>IFERROR(__xludf.DUMMYFUNCTION("""COMPUTED_VALUE"""),45840.0)</f>
        <v>45840</v>
      </c>
      <c r="K412" s="3" t="str">
        <f>IFERROR(__xludf.DUMMYFUNCTION("""COMPUTED_VALUE"""),"0800-1800")</f>
        <v>0800-1800</v>
      </c>
      <c r="L412" s="3">
        <f>IFERROR(__xludf.DUMMYFUNCTION("""COMPUTED_VALUE"""),8.0)</f>
        <v>8</v>
      </c>
      <c r="M412" s="3" t="str">
        <f>IFERROR(__xludf.DUMMYFUNCTION("""COMPUTED_VALUE"""),"ร.อ.อนุชิต ทำจะดี")</f>
        <v>ร.อ.อนุชิต ทำจะดี</v>
      </c>
      <c r="N412" s="14" t="str">
        <f>IFERROR(__xludf.DUMMYFUNCTION("""COMPUTED_VALUE"""),"https://lh5.googleusercontent.com/d/1BVpyxa6T7y1mjyRlUOFCQSGO6FO1MuNs")</f>
        <v>https://lh5.googleusercontent.com/d/1BVpyxa6T7y1mjyRlUOFCQSGO6FO1MuNs</v>
      </c>
      <c r="O412" s="14" t="str">
        <f>IFERROR(__xludf.DUMMYFUNCTION("""COMPUTED_VALUE"""),"https://drive.google.com/file/d/1ypxRQgRwwjZLOM3JMiEQntXucKDGb04e/view?usp=drivesdk")</f>
        <v>https://drive.google.com/file/d/1ypxRQgRwwjZLOM3JMiEQntXucKDGb04e/view?usp=drivesdk</v>
      </c>
    </row>
    <row r="413">
      <c r="A413" s="3">
        <f>IFERROR(__xludf.DUMMYFUNCTION("""COMPUTED_VALUE"""),1854.0)</f>
        <v>1854</v>
      </c>
      <c r="B413" s="11">
        <f>IFERROR(__xludf.DUMMYFUNCTION("""COMPUTED_VALUE"""),46000.00278549769)</f>
        <v>46000.00279</v>
      </c>
      <c r="C413" s="3" t="str">
        <f>IFERROR(__xludf.DUMMYFUNCTION("""COMPUTED_VALUE"""),"ชั้นปีที่ 3")</f>
        <v>ชั้นปีที่ 3</v>
      </c>
      <c r="D413" s="3" t="str">
        <f>IFERROR(__xludf.DUMMYFUNCTION("""COMPUTED_VALUE"""),"นพอ.ทักษพร สอนดี")</f>
        <v>นพอ.ทักษพร สอนดี</v>
      </c>
      <c r="E413" s="3" t="str">
        <f>IFERROR(__xludf.DUMMYFUNCTION("""COMPUTED_VALUE"""),"19")</f>
        <v>19</v>
      </c>
      <c r="F413" s="3" t="str">
        <f>IFERROR(__xludf.DUMMYFUNCTION("""COMPUTED_VALUE"""),"นพอ.ทักษพร สอนดี")</f>
        <v>นพอ.ทักษพร สอนดี</v>
      </c>
      <c r="G41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3" s="3" t="str">
        <f>IFERROR(__xludf.DUMMYFUNCTION("""COMPUTED_VALUE"""),"ค่ายเยาวชนพัฒนา")</f>
        <v>ค่ายเยาวชนพัฒนา</v>
      </c>
      <c r="I413" s="3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413" s="12">
        <f>IFERROR(__xludf.DUMMYFUNCTION("""COMPUTED_VALUE"""),45884.0)</f>
        <v>45884</v>
      </c>
      <c r="K413" s="3" t="str">
        <f>IFERROR(__xludf.DUMMYFUNCTION("""COMPUTED_VALUE"""),"1400-1800")</f>
        <v>1400-1800</v>
      </c>
      <c r="L413" s="3">
        <f>IFERROR(__xludf.DUMMYFUNCTION("""COMPUTED_VALUE"""),4.0)</f>
        <v>4</v>
      </c>
      <c r="M413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13" s="14" t="str">
        <f>IFERROR(__xludf.DUMMYFUNCTION("""COMPUTED_VALUE"""),"https://lh5.googleusercontent.com/d/1ygMDWsnUxcPtRQZLUXyVkdNMAJfCCR9I")</f>
        <v>https://lh5.googleusercontent.com/d/1ygMDWsnUxcPtRQZLUXyVkdNMAJfCCR9I</v>
      </c>
      <c r="O413" s="14" t="str">
        <f>IFERROR(__xludf.DUMMYFUNCTION("""COMPUTED_VALUE"""),"https://drive.google.com/file/d/1TCxsvXYtRLxLjNNsaEX84Cs3JMbc5ZTE/view?usp=drivesdk")</f>
        <v>https://drive.google.com/file/d/1TCxsvXYtRLxLjNNsaEX84Cs3JMbc5ZTE/view?usp=drivesdk</v>
      </c>
    </row>
    <row r="414">
      <c r="A414" s="3">
        <f>IFERROR(__xludf.DUMMYFUNCTION("""COMPUTED_VALUE"""),1855.0)</f>
        <v>1855</v>
      </c>
      <c r="B414" s="11">
        <f>IFERROR(__xludf.DUMMYFUNCTION("""COMPUTED_VALUE"""),46000.00508550926)</f>
        <v>46000.00509</v>
      </c>
      <c r="C414" s="3" t="str">
        <f>IFERROR(__xludf.DUMMYFUNCTION("""COMPUTED_VALUE"""),"ชั้นปีที่ 3")</f>
        <v>ชั้นปีที่ 3</v>
      </c>
      <c r="D414" s="3" t="str">
        <f>IFERROR(__xludf.DUMMYFUNCTION("""COMPUTED_VALUE"""),"6603772")</f>
        <v>6603772</v>
      </c>
      <c r="E414" s="3" t="str">
        <f>IFERROR(__xludf.DUMMYFUNCTION("""COMPUTED_VALUE"""),"19")</f>
        <v>19</v>
      </c>
      <c r="F414" s="3" t="str">
        <f>IFERROR(__xludf.DUMMYFUNCTION("""COMPUTED_VALUE"""),"นพอ.ทักษพร สอนดี")</f>
        <v>นพอ.ทักษพร สอนดี</v>
      </c>
      <c r="G41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4" s="3" t="str">
        <f>IFERROR(__xludf.DUMMYFUNCTION("""COMPUTED_VALUE"""),"ค่ายเยาวชนพัฒนา")</f>
        <v>ค่ายเยาวชนพัฒนา</v>
      </c>
      <c r="I414" s="3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414" s="12">
        <f>IFERROR(__xludf.DUMMYFUNCTION("""COMPUTED_VALUE"""),45884.0)</f>
        <v>45884</v>
      </c>
      <c r="K414" s="3" t="str">
        <f>IFERROR(__xludf.DUMMYFUNCTION("""COMPUTED_VALUE"""),"1400-1800")</f>
        <v>1400-1800</v>
      </c>
      <c r="L414" s="3">
        <f>IFERROR(__xludf.DUMMYFUNCTION("""COMPUTED_VALUE"""),4.0)</f>
        <v>4</v>
      </c>
      <c r="M414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14" s="14" t="str">
        <f>IFERROR(__xludf.DUMMYFUNCTION("""COMPUTED_VALUE"""),"https://lh5.googleusercontent.com/d/1DhscnPte0z_LFiqgtpvezdhZGkVnF3vU")</f>
        <v>https://lh5.googleusercontent.com/d/1DhscnPte0z_LFiqgtpvezdhZGkVnF3vU</v>
      </c>
      <c r="O414" s="14" t="str">
        <f>IFERROR(__xludf.DUMMYFUNCTION("""COMPUTED_VALUE"""),"https://drive.google.com/file/d/1HAlS8CLjN-Em7_lZjFK6KnwHW2Hf4Yky/view?usp=drivesdk")</f>
        <v>https://drive.google.com/file/d/1HAlS8CLjN-Em7_lZjFK6KnwHW2Hf4Yky/view?usp=drivesdk</v>
      </c>
    </row>
    <row r="415">
      <c r="A415" s="3">
        <f>IFERROR(__xludf.DUMMYFUNCTION("""COMPUTED_VALUE"""),1856.0)</f>
        <v>1856</v>
      </c>
      <c r="B415" s="11">
        <f>IFERROR(__xludf.DUMMYFUNCTION("""COMPUTED_VALUE"""),46000.00830997685)</f>
        <v>46000.00831</v>
      </c>
      <c r="C415" s="3" t="str">
        <f>IFERROR(__xludf.DUMMYFUNCTION("""COMPUTED_VALUE"""),"ชั้นปีที่ 3")</f>
        <v>ชั้นปีที่ 3</v>
      </c>
      <c r="D415" s="3" t="str">
        <f>IFERROR(__xludf.DUMMYFUNCTION("""COMPUTED_VALUE"""),"6603772")</f>
        <v>6603772</v>
      </c>
      <c r="E415" s="3" t="str">
        <f>IFERROR(__xludf.DUMMYFUNCTION("""COMPUTED_VALUE"""),"19")</f>
        <v>19</v>
      </c>
      <c r="F415" s="3" t="str">
        <f>IFERROR(__xludf.DUMMYFUNCTION("""COMPUTED_VALUE"""),"นพอ.ทักษพร สอนดี")</f>
        <v>นพอ.ทักษพร สอนดี</v>
      </c>
      <c r="G4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5" s="3" t="str">
        <f>IFERROR(__xludf.DUMMYFUNCTION("""COMPUTED_VALUE"""),"ค่ายเยาวชนพัฒนา")</f>
        <v>ค่ายเยาวชนพัฒนา</v>
      </c>
      <c r="I415" s="3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415" s="12">
        <f>IFERROR(__xludf.DUMMYFUNCTION("""COMPUTED_VALUE"""),45884.0)</f>
        <v>45884</v>
      </c>
      <c r="K415" s="3" t="str">
        <f>IFERROR(__xludf.DUMMYFUNCTION("""COMPUTED_VALUE"""),"0800-1800")</f>
        <v>0800-1800</v>
      </c>
      <c r="L415" s="3">
        <f>IFERROR(__xludf.DUMMYFUNCTION("""COMPUTED_VALUE"""),8.0)</f>
        <v>8</v>
      </c>
      <c r="M415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15" s="14" t="str">
        <f>IFERROR(__xludf.DUMMYFUNCTION("""COMPUTED_VALUE"""),"https://lh5.googleusercontent.com/d/1ppmKmqzuRas5916LavsbsKMokDJ0-EKG")</f>
        <v>https://lh5.googleusercontent.com/d/1ppmKmqzuRas5916LavsbsKMokDJ0-EKG</v>
      </c>
      <c r="O415" s="14" t="str">
        <f>IFERROR(__xludf.DUMMYFUNCTION("""COMPUTED_VALUE"""),"https://drive.google.com/file/d/1TDy5rPoMLzXZCdyjTNNdGMyFeKWaLT60/view?usp=drivesdk")</f>
        <v>https://drive.google.com/file/d/1TDy5rPoMLzXZCdyjTNNdGMyFeKWaLT60/view?usp=drivesdk</v>
      </c>
    </row>
    <row r="416">
      <c r="A416" s="3">
        <f>IFERROR(__xludf.DUMMYFUNCTION("""COMPUTED_VALUE"""),1857.0)</f>
        <v>1857</v>
      </c>
      <c r="B416" s="11">
        <f>IFERROR(__xludf.DUMMYFUNCTION("""COMPUTED_VALUE"""),46000.01242555556)</f>
        <v>46000.01243</v>
      </c>
      <c r="C416" s="3" t="str">
        <f>IFERROR(__xludf.DUMMYFUNCTION("""COMPUTED_VALUE"""),"ชั้นปีที่ 3")</f>
        <v>ชั้นปีที่ 3</v>
      </c>
      <c r="D416" s="3" t="str">
        <f>IFERROR(__xludf.DUMMYFUNCTION("""COMPUTED_VALUE"""),"6603772")</f>
        <v>6603772</v>
      </c>
      <c r="E416" s="3" t="str">
        <f>IFERROR(__xludf.DUMMYFUNCTION("""COMPUTED_VALUE"""),"19")</f>
        <v>19</v>
      </c>
      <c r="F416" s="3" t="str">
        <f>IFERROR(__xludf.DUMMYFUNCTION("""COMPUTED_VALUE"""),"นพอ.ทักษพร สอนดี")</f>
        <v>นพอ.ทักษพร สอนดี</v>
      </c>
      <c r="G4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6" s="3" t="str">
        <f>IFERROR(__xludf.DUMMYFUNCTION("""COMPUTED_VALUE"""),"ค่ายเยาวชนพัฒนา")</f>
        <v>ค่ายเยาวชนพัฒนา</v>
      </c>
      <c r="I416" s="3" t="str">
        <f>IFERROR(__xludf.DUMMYFUNCTION("""COMPUTED_VALUE"""),"โรงเรียนเทศบาล 1 (สถาวร) จ.ชลบุรี")</f>
        <v>โรงเรียนเทศบาล 1 (สถาวร) จ.ชลบุรี</v>
      </c>
      <c r="J416" s="12">
        <f>IFERROR(__xludf.DUMMYFUNCTION("""COMPUTED_VALUE"""),45884.0)</f>
        <v>45884</v>
      </c>
      <c r="K416" s="3" t="str">
        <f>IFERROR(__xludf.DUMMYFUNCTION("""COMPUTED_VALUE"""),"0800-1800")</f>
        <v>0800-1800</v>
      </c>
      <c r="L416" s="3">
        <f>IFERROR(__xludf.DUMMYFUNCTION("""COMPUTED_VALUE"""),8.0)</f>
        <v>8</v>
      </c>
      <c r="M416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16" s="14" t="str">
        <f>IFERROR(__xludf.DUMMYFUNCTION("""COMPUTED_VALUE"""),"https://lh5.googleusercontent.com/d/1s6b64kQXQk18bJH0zCdVU857MSdIU2nM")</f>
        <v>https://lh5.googleusercontent.com/d/1s6b64kQXQk18bJH0zCdVU857MSdIU2nM</v>
      </c>
      <c r="O416" s="14" t="str">
        <f>IFERROR(__xludf.DUMMYFUNCTION("""COMPUTED_VALUE"""),"https://drive.google.com/file/d/1rEsAzAu8E-nUu1tyW6wOoVg2rylUrRGP/view?usp=drivesdk")</f>
        <v>https://drive.google.com/file/d/1rEsAzAu8E-nUu1tyW6wOoVg2rylUrRGP/view?usp=drivesdk</v>
      </c>
    </row>
    <row r="417">
      <c r="A417" s="3">
        <f>IFERROR(__xludf.DUMMYFUNCTION("""COMPUTED_VALUE"""),1858.0)</f>
        <v>1858</v>
      </c>
      <c r="B417" s="11">
        <f>IFERROR(__xludf.DUMMYFUNCTION("""COMPUTED_VALUE"""),46000.01656753472)</f>
        <v>46000.01657</v>
      </c>
      <c r="C417" s="3" t="str">
        <f>IFERROR(__xludf.DUMMYFUNCTION("""COMPUTED_VALUE"""),"ชั้นปีที่ 3")</f>
        <v>ชั้นปีที่ 3</v>
      </c>
      <c r="D417" s="3" t="str">
        <f>IFERROR(__xludf.DUMMYFUNCTION("""COMPUTED_VALUE"""),"6603772")</f>
        <v>6603772</v>
      </c>
      <c r="E417" s="3" t="str">
        <f>IFERROR(__xludf.DUMMYFUNCTION("""COMPUTED_VALUE"""),"19")</f>
        <v>19</v>
      </c>
      <c r="F417" s="3" t="str">
        <f>IFERROR(__xludf.DUMMYFUNCTION("""COMPUTED_VALUE"""),"นพอ.ทักษพร สอนดี")</f>
        <v>นพอ.ทักษพร สอนดี</v>
      </c>
      <c r="G4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7" s="3" t="str">
        <f>IFERROR(__xludf.DUMMYFUNCTION("""COMPUTED_VALUE"""),"รับเสร็จ")</f>
        <v>รับเสร็จ</v>
      </c>
      <c r="I417" s="3" t="str">
        <f>IFERROR(__xludf.DUMMYFUNCTION("""COMPUTED_VALUE"""),"มหาวิทลัยมหิดลศาลายา")</f>
        <v>มหาวิทลัยมหิดลศาลายา</v>
      </c>
      <c r="J417" s="12">
        <f>IFERROR(__xludf.DUMMYFUNCTION("""COMPUTED_VALUE"""),45940.0)</f>
        <v>45940</v>
      </c>
      <c r="K417" s="3" t="str">
        <f>IFERROR(__xludf.DUMMYFUNCTION("""COMPUTED_VALUE"""),"0700-1200")</f>
        <v>0700-1200</v>
      </c>
      <c r="L417" s="3">
        <f>IFERROR(__xludf.DUMMYFUNCTION("""COMPUTED_VALUE"""),4.0)</f>
        <v>4</v>
      </c>
      <c r="M417" s="3" t="str">
        <f>IFERROR(__xludf.DUMMYFUNCTION("""COMPUTED_VALUE"""),"น.ท.หญิงสุพัตรา ปิ่นแก้ว")</f>
        <v>น.ท.หญิงสุพัตรา ปิ่นแก้ว</v>
      </c>
      <c r="N417" s="14" t="str">
        <f>IFERROR(__xludf.DUMMYFUNCTION("""COMPUTED_VALUE"""),"https://lh5.googleusercontent.com/d/1klo6btKImPZqUj_vnkTUIR00-MBBZnHX")</f>
        <v>https://lh5.googleusercontent.com/d/1klo6btKImPZqUj_vnkTUIR00-MBBZnHX</v>
      </c>
      <c r="O417" s="14" t="str">
        <f>IFERROR(__xludf.DUMMYFUNCTION("""COMPUTED_VALUE"""),"https://drive.google.com/file/d/18DD24L60qRxtBOb2NN-Ut7KXqs_Z3kDh/view?usp=drivesdk")</f>
        <v>https://drive.google.com/file/d/18DD24L60qRxtBOb2NN-Ut7KXqs_Z3kDh/view?usp=drivesdk</v>
      </c>
    </row>
    <row r="418">
      <c r="A418" s="3">
        <f>IFERROR(__xludf.DUMMYFUNCTION("""COMPUTED_VALUE"""),1859.0)</f>
        <v>1859</v>
      </c>
      <c r="B418" s="11">
        <f>IFERROR(__xludf.DUMMYFUNCTION("""COMPUTED_VALUE"""),46000.02154346065)</f>
        <v>46000.02154</v>
      </c>
      <c r="C418" s="3" t="str">
        <f>IFERROR(__xludf.DUMMYFUNCTION("""COMPUTED_VALUE"""),"ชั้นปีที่ 3")</f>
        <v>ชั้นปีที่ 3</v>
      </c>
      <c r="D418" s="3" t="str">
        <f>IFERROR(__xludf.DUMMYFUNCTION("""COMPUTED_VALUE"""),"6603772")</f>
        <v>6603772</v>
      </c>
      <c r="E418" s="3" t="str">
        <f>IFERROR(__xludf.DUMMYFUNCTION("""COMPUTED_VALUE"""),"19")</f>
        <v>19</v>
      </c>
      <c r="F418" s="3" t="str">
        <f>IFERROR(__xludf.DUMMYFUNCTION("""COMPUTED_VALUE"""),"นพอ.ทักษพร สอนดี")</f>
        <v>นพอ.ทักษพร สอนดี</v>
      </c>
      <c r="G418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18" s="3" t="str">
        <f>IFERROR(__xludf.DUMMYFUNCTION("""COMPUTED_VALUE"""),"ลงนามถวายพระพรวันเฉลิมพระชนมพรรษา ร.10")</f>
        <v>ลงนามถวายพระพรวันเฉลิมพระชนมพรรษา ร.10</v>
      </c>
      <c r="I418" s="3" t="str">
        <f>IFERROR(__xludf.DUMMYFUNCTION("""COMPUTED_VALUE"""),"กระทรวงมหาดไทย ออนไลน์")</f>
        <v>กระทรวงมหาดไทย ออนไลน์</v>
      </c>
      <c r="J418" s="12">
        <f>IFERROR(__xludf.DUMMYFUNCTION("""COMPUTED_VALUE"""),45866.0)</f>
        <v>45866</v>
      </c>
      <c r="K418" s="3" t="str">
        <f>IFERROR(__xludf.DUMMYFUNCTION("""COMPUTED_VALUE"""),"1500-1600")</f>
        <v>1500-1600</v>
      </c>
      <c r="L418" s="3">
        <f>IFERROR(__xludf.DUMMYFUNCTION("""COMPUTED_VALUE"""),1.0)</f>
        <v>1</v>
      </c>
      <c r="M418" s="3" t="str">
        <f>IFERROR(__xludf.DUMMYFUNCTION("""COMPUTED_VALUE"""),"กระทรวงมหาดไทย")</f>
        <v>กระทรวงมหาดไทย</v>
      </c>
      <c r="N418" s="14" t="str">
        <f>IFERROR(__xludf.DUMMYFUNCTION("""COMPUTED_VALUE"""),"https://lh5.googleusercontent.com/d/16A5jvBTS157yqIPglBZMNDl9Z9__eS11")</f>
        <v>https://lh5.googleusercontent.com/d/16A5jvBTS157yqIPglBZMNDl9Z9__eS11</v>
      </c>
      <c r="O418" s="14" t="str">
        <f>IFERROR(__xludf.DUMMYFUNCTION("""COMPUTED_VALUE"""),"https://drive.google.com/file/d/1yyPeIYzSbmokpVZgEA5pNNZIzJ977d6y/view?usp=drivesdk")</f>
        <v>https://drive.google.com/file/d/1yyPeIYzSbmokpVZgEA5pNNZIzJ977d6y/view?usp=drivesdk</v>
      </c>
    </row>
    <row r="419">
      <c r="A419" s="3">
        <f>IFERROR(__xludf.DUMMYFUNCTION("""COMPUTED_VALUE"""),1860.0)</f>
        <v>1860</v>
      </c>
      <c r="B419" s="11">
        <f>IFERROR(__xludf.DUMMYFUNCTION("""COMPUTED_VALUE"""),46000.02433015046)</f>
        <v>46000.02433</v>
      </c>
      <c r="C419" s="3" t="str">
        <f>IFERROR(__xludf.DUMMYFUNCTION("""COMPUTED_VALUE"""),"ชั้นปีที่ 3")</f>
        <v>ชั้นปีที่ 3</v>
      </c>
      <c r="D419" s="3" t="str">
        <f>IFERROR(__xludf.DUMMYFUNCTION("""COMPUTED_VALUE"""),"6603772")</f>
        <v>6603772</v>
      </c>
      <c r="E419" s="3" t="str">
        <f>IFERROR(__xludf.DUMMYFUNCTION("""COMPUTED_VALUE"""),"19")</f>
        <v>19</v>
      </c>
      <c r="F419" s="3" t="str">
        <f>IFERROR(__xludf.DUMMYFUNCTION("""COMPUTED_VALUE"""),"นพอ.ทักษพร สอนดี")</f>
        <v>นพอ.ทักษพร สอนดี</v>
      </c>
      <c r="G419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19" s="3" t="str">
        <f>IFERROR(__xludf.DUMMYFUNCTION("""COMPUTED_VALUE"""),"วันเฉลิมพระชนมพรรษา พระบรมราชนนีพันปีหลวง")</f>
        <v>วันเฉลิมพระชนมพรรษา พระบรมราชนนีพันปีหลวง</v>
      </c>
      <c r="I419" s="3" t="str">
        <f>IFERROR(__xludf.DUMMYFUNCTION("""COMPUTED_VALUE"""),"วพอ.พอ")</f>
        <v>วพอ.พอ</v>
      </c>
      <c r="J419" s="12">
        <f>IFERROR(__xludf.DUMMYFUNCTION("""COMPUTED_VALUE"""),45881.0)</f>
        <v>45881</v>
      </c>
      <c r="K419" s="3" t="str">
        <f>IFERROR(__xludf.DUMMYFUNCTION("""COMPUTED_VALUE"""),"1400-1500")</f>
        <v>1400-1500</v>
      </c>
      <c r="L419" s="3">
        <f>IFERROR(__xludf.DUMMYFUNCTION("""COMPUTED_VALUE"""),1.0)</f>
        <v>1</v>
      </c>
      <c r="M419" s="3" t="str">
        <f>IFERROR(__xludf.DUMMYFUNCTION("""COMPUTED_VALUE"""),"วิทยาลัยพยาบาลทหารอากาศ")</f>
        <v>วิทยาลัยพยาบาลทหารอากาศ</v>
      </c>
      <c r="N419" s="14" t="str">
        <f>IFERROR(__xludf.DUMMYFUNCTION("""COMPUTED_VALUE"""),"https://lh5.googleusercontent.com/d/1o8AUImExe_zAqHsP-vnaG6WsIMB694X8")</f>
        <v>https://lh5.googleusercontent.com/d/1o8AUImExe_zAqHsP-vnaG6WsIMB694X8</v>
      </c>
      <c r="O419" s="14" t="str">
        <f>IFERROR(__xludf.DUMMYFUNCTION("""COMPUTED_VALUE"""),"https://drive.google.com/file/d/1A05zLdtoROi1PpNz6fWWs9I28ygkYywN/view?usp=drivesdk")</f>
        <v>https://drive.google.com/file/d/1A05zLdtoROi1PpNz6fWWs9I28ygkYywN/view?usp=drivesdk</v>
      </c>
    </row>
    <row r="420">
      <c r="A420" s="3">
        <f>IFERROR(__xludf.DUMMYFUNCTION("""COMPUTED_VALUE"""),1863.0)</f>
        <v>1863</v>
      </c>
      <c r="B420" s="11">
        <f>IFERROR(__xludf.DUMMYFUNCTION("""COMPUTED_VALUE"""),46000.23718740741)</f>
        <v>46000.23719</v>
      </c>
      <c r="C420" s="3" t="str">
        <f>IFERROR(__xludf.DUMMYFUNCTION("""COMPUTED_VALUE"""),"ชั้นปีที่ 3")</f>
        <v>ชั้นปีที่ 3</v>
      </c>
      <c r="D420" s="3" t="str">
        <f>IFERROR(__xludf.DUMMYFUNCTION("""COMPUTED_VALUE"""),"6603759")</f>
        <v>6603759</v>
      </c>
      <c r="E420" s="3" t="str">
        <f>IFERROR(__xludf.DUMMYFUNCTION("""COMPUTED_VALUE"""),"6")</f>
        <v>6</v>
      </c>
      <c r="F420" s="3" t="str">
        <f>IFERROR(__xludf.DUMMYFUNCTION("""COMPUTED_VALUE"""),"นพอ.เกรียงเดช รักถิ่นเดิม")</f>
        <v>นพอ.เกรียงเดช รักถิ่นเดิม</v>
      </c>
      <c r="G420" s="3" t="str">
        <f>IFERROR(__xludf.DUMMYFUNCTION("""COMPUTED_VALUE"""),"ช่วยเหลืองานภายใน วพอ.")</f>
        <v>ช่วยเหลืองานภายใน วพอ.</v>
      </c>
      <c r="H420" s="3" t="str">
        <f>IFERROR(__xludf.DUMMYFUNCTION("""COMPUTED_VALUE"""),"ทกท.หมู่ 1 มว.2")</f>
        <v>ทกท.หมู่ 1 มว.2</v>
      </c>
      <c r="I420" s="3" t="str">
        <f>IFERROR(__xludf.DUMMYFUNCTION("""COMPUTED_VALUE"""),"วพอ.พอ.")</f>
        <v>วพอ.พอ.</v>
      </c>
      <c r="J420" s="12">
        <f>IFERROR(__xludf.DUMMYFUNCTION("""COMPUTED_VALUE"""),45968.0)</f>
        <v>45968</v>
      </c>
      <c r="K420" s="3" t="str">
        <f>IFERROR(__xludf.DUMMYFUNCTION("""COMPUTED_VALUE"""),"0800-1600")</f>
        <v>0800-1600</v>
      </c>
      <c r="L420" s="3">
        <f>IFERROR(__xludf.DUMMYFUNCTION("""COMPUTED_VALUE"""),8.0)</f>
        <v>8</v>
      </c>
      <c r="M420" s="3" t="str">
        <f>IFERROR(__xludf.DUMMYFUNCTION("""COMPUTED_VALUE"""),"ร.อ.อนุชิต ทำจะดี")</f>
        <v>ร.อ.อนุชิต ทำจะดี</v>
      </c>
      <c r="N420" s="14" t="str">
        <f>IFERROR(__xludf.DUMMYFUNCTION("""COMPUTED_VALUE"""),"https://lh5.googleusercontent.com/d/1Yit5_F2voODjTurAH7EmHrqHl2rgFsCE")</f>
        <v>https://lh5.googleusercontent.com/d/1Yit5_F2voODjTurAH7EmHrqHl2rgFsCE</v>
      </c>
      <c r="O420" s="14" t="str">
        <f>IFERROR(__xludf.DUMMYFUNCTION("""COMPUTED_VALUE"""),"https://drive.google.com/file/d/1RvyDngcJlfGSpa_kXLBIGEP-drc4zRC8/view?usp=drivesdk")</f>
        <v>https://drive.google.com/file/d/1RvyDngcJlfGSpa_kXLBIGEP-drc4zRC8/view?usp=drivesdk</v>
      </c>
    </row>
    <row r="421">
      <c r="A421" s="3">
        <f>IFERROR(__xludf.DUMMYFUNCTION("""COMPUTED_VALUE"""),1864.0)</f>
        <v>1864</v>
      </c>
      <c r="B421" s="11">
        <f>IFERROR(__xludf.DUMMYFUNCTION("""COMPUTED_VALUE"""),46000.239139942125)</f>
        <v>46000.23914</v>
      </c>
      <c r="C421" s="3" t="str">
        <f>IFERROR(__xludf.DUMMYFUNCTION("""COMPUTED_VALUE"""),"ชั้นปีที่ 3")</f>
        <v>ชั้นปีที่ 3</v>
      </c>
      <c r="D421" s="3" t="str">
        <f>IFERROR(__xludf.DUMMYFUNCTION("""COMPUTED_VALUE"""),"6603759")</f>
        <v>6603759</v>
      </c>
      <c r="E421" s="3" t="str">
        <f>IFERROR(__xludf.DUMMYFUNCTION("""COMPUTED_VALUE"""),"6")</f>
        <v>6</v>
      </c>
      <c r="F421" s="3" t="str">
        <f>IFERROR(__xludf.DUMMYFUNCTION("""COMPUTED_VALUE"""),"นพอ.เกรียงเดช รักถิ่นเดิม")</f>
        <v>นพอ.เกรียงเดช รักถิ่นเดิม</v>
      </c>
      <c r="G421" s="3" t="str">
        <f>IFERROR(__xludf.DUMMYFUNCTION("""COMPUTED_VALUE"""),"ช่วยเหลืองานภายใน วพอ.")</f>
        <v>ช่วยเหลืองานภายใน วพอ.</v>
      </c>
      <c r="H421" s="3" t="str">
        <f>IFERROR(__xludf.DUMMYFUNCTION("""COMPUTED_VALUE"""),"ทกท.หมู่1 มว.2")</f>
        <v>ทกท.หมู่1 มว.2</v>
      </c>
      <c r="I421" s="3" t="str">
        <f>IFERROR(__xludf.DUMMYFUNCTION("""COMPUTED_VALUE"""),"วพอ.พอ.")</f>
        <v>วพอ.พอ.</v>
      </c>
      <c r="J421" s="12">
        <f>IFERROR(__xludf.DUMMYFUNCTION("""COMPUTED_VALUE"""),45973.0)</f>
        <v>45973</v>
      </c>
      <c r="K421" s="3" t="str">
        <f>IFERROR(__xludf.DUMMYFUNCTION("""COMPUTED_VALUE"""),"1700-1900")</f>
        <v>1700-1900</v>
      </c>
      <c r="L421" s="3">
        <f>IFERROR(__xludf.DUMMYFUNCTION("""COMPUTED_VALUE"""),2.0)</f>
        <v>2</v>
      </c>
      <c r="M421" s="3" t="str">
        <f>IFERROR(__xludf.DUMMYFUNCTION("""COMPUTED_VALUE"""),"ร.อ.อนุชิต ทำจะดี")</f>
        <v>ร.อ.อนุชิต ทำจะดี</v>
      </c>
      <c r="N421" s="14" t="str">
        <f>IFERROR(__xludf.DUMMYFUNCTION("""COMPUTED_VALUE"""),"https://lh5.googleusercontent.com/d/1mdrLz0LysCmtH7JP3-7gOtEkkMc8MPky")</f>
        <v>https://lh5.googleusercontent.com/d/1mdrLz0LysCmtH7JP3-7gOtEkkMc8MPky</v>
      </c>
      <c r="O421" s="14" t="str">
        <f>IFERROR(__xludf.DUMMYFUNCTION("""COMPUTED_VALUE"""),"https://drive.google.com/file/d/165vPT5R70LAeVJGjtz78d25WPjuBnIek/view?usp=drivesdk")</f>
        <v>https://drive.google.com/file/d/165vPT5R70LAeVJGjtz78d25WPjuBnIek/view?usp=drivesdk</v>
      </c>
    </row>
    <row r="422">
      <c r="A422" s="3">
        <f>IFERROR(__xludf.DUMMYFUNCTION("""COMPUTED_VALUE"""),1865.0)</f>
        <v>1865</v>
      </c>
      <c r="B422" s="11">
        <f>IFERROR(__xludf.DUMMYFUNCTION("""COMPUTED_VALUE"""),46000.26714923611)</f>
        <v>46000.26715</v>
      </c>
      <c r="C422" s="3" t="str">
        <f>IFERROR(__xludf.DUMMYFUNCTION("""COMPUTED_VALUE"""),"ชั้นปีที่ 3")</f>
        <v>ชั้นปีที่ 3</v>
      </c>
      <c r="D422" s="3" t="str">
        <f>IFERROR(__xludf.DUMMYFUNCTION("""COMPUTED_VALUE"""),"6603807")</f>
        <v>6603807</v>
      </c>
      <c r="E422" s="3" t="str">
        <f>IFERROR(__xludf.DUMMYFUNCTION("""COMPUTED_VALUE"""),"53")</f>
        <v>53</v>
      </c>
      <c r="F422" s="3" t="str">
        <f>IFERROR(__xludf.DUMMYFUNCTION("""COMPUTED_VALUE"""),"นพอ.สถิตย์ภรณ์ นวลขวัญ")</f>
        <v>นพอ.สถิตย์ภรณ์ นวลขวัญ</v>
      </c>
      <c r="G42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2" s="3" t="str">
        <f>IFERROR(__xludf.DUMMYFUNCTION("""COMPUTED_VALUE"""),"รับเสด็จ")</f>
        <v>รับเสด็จ</v>
      </c>
      <c r="I422" s="3" t="str">
        <f>IFERROR(__xludf.DUMMYFUNCTION("""COMPUTED_VALUE"""),"มหาวิทยาลัยมหิดล")</f>
        <v>มหาวิทยาลัยมหิดล</v>
      </c>
      <c r="J422" s="12">
        <f>IFERROR(__xludf.DUMMYFUNCTION("""COMPUTED_VALUE"""),45940.0)</f>
        <v>45940</v>
      </c>
      <c r="K422" s="3" t="str">
        <f>IFERROR(__xludf.DUMMYFUNCTION("""COMPUTED_VALUE"""),"0600-1000")</f>
        <v>0600-1000</v>
      </c>
      <c r="L422" s="3">
        <f>IFERROR(__xludf.DUMMYFUNCTION("""COMPUTED_VALUE"""),4.0)</f>
        <v>4</v>
      </c>
      <c r="M422" s="3" t="str">
        <f>IFERROR(__xludf.DUMMYFUNCTION("""COMPUTED_VALUE"""),"น.ท.หญิง สุพัตรา ปิ่นแก้ว")</f>
        <v>น.ท.หญิง สุพัตรา ปิ่นแก้ว</v>
      </c>
      <c r="N422" s="14" t="str">
        <f>IFERROR(__xludf.DUMMYFUNCTION("""COMPUTED_VALUE"""),"https://lh5.googleusercontent.com/d/15e5564DD-rU4aNB_lkFjZfwP9opFJBXE")</f>
        <v>https://lh5.googleusercontent.com/d/15e5564DD-rU4aNB_lkFjZfwP9opFJBXE</v>
      </c>
      <c r="O422" s="14" t="str">
        <f>IFERROR(__xludf.DUMMYFUNCTION("""COMPUTED_VALUE"""),"https://drive.google.com/file/d/1KscPxItsNnVkuABCEVCBgzDzSh3l66Gl/view?usp=drivesdk")</f>
        <v>https://drive.google.com/file/d/1KscPxItsNnVkuABCEVCBgzDzSh3l66Gl/view?usp=drivesdk</v>
      </c>
    </row>
    <row r="423">
      <c r="A423" s="3">
        <f>IFERROR(__xludf.DUMMYFUNCTION("""COMPUTED_VALUE"""),1867.0)</f>
        <v>1867</v>
      </c>
      <c r="B423" s="11">
        <f>IFERROR(__xludf.DUMMYFUNCTION("""COMPUTED_VALUE"""),46000.28378421297)</f>
        <v>46000.28378</v>
      </c>
      <c r="C423" s="3" t="str">
        <f>IFERROR(__xludf.DUMMYFUNCTION("""COMPUTED_VALUE"""),"ชั้นปีที่ 3")</f>
        <v>ชั้นปีที่ 3</v>
      </c>
      <c r="D423" s="3" t="str">
        <f>IFERROR(__xludf.DUMMYFUNCTION("""COMPUTED_VALUE"""),"6603807")</f>
        <v>6603807</v>
      </c>
      <c r="E423" s="3" t="str">
        <f>IFERROR(__xludf.DUMMYFUNCTION("""COMPUTED_VALUE"""),"53")</f>
        <v>53</v>
      </c>
      <c r="F423" s="3" t="str">
        <f>IFERROR(__xludf.DUMMYFUNCTION("""COMPUTED_VALUE"""),"นพอ.สถิตย์ภรณ์ นวลขวัญ")</f>
        <v>นพอ.สถิตย์ภรณ์ นวลขวัญ</v>
      </c>
      <c r="G4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3" s="3" t="str">
        <f>IFERROR(__xludf.DUMMYFUNCTION("""COMPUTED_VALUE"""),"โครงการบริการวิชาการแก่สังคม")</f>
        <v>โครงการบริการวิชาการแก่สังคม</v>
      </c>
      <c r="I423" s="3" t="str">
        <f>IFERROR(__xludf.DUMMYFUNCTION("""COMPUTED_VALUE"""),"ชุมชนวัดเกาะ")</f>
        <v>ชุมชนวัดเกาะ</v>
      </c>
      <c r="J423" s="12">
        <f>IFERROR(__xludf.DUMMYFUNCTION("""COMPUTED_VALUE"""),45823.0)</f>
        <v>45823</v>
      </c>
      <c r="K423" s="3" t="str">
        <f>IFERROR(__xludf.DUMMYFUNCTION("""COMPUTED_VALUE"""),"0700-1100")</f>
        <v>0700-1100</v>
      </c>
      <c r="L423" s="3">
        <f>IFERROR(__xludf.DUMMYFUNCTION("""COMPUTED_VALUE"""),4.0)</f>
        <v>4</v>
      </c>
      <c r="M423" s="3" t="str">
        <f>IFERROR(__xludf.DUMMYFUNCTION("""COMPUTED_VALUE"""),"น.ต.หญิง ตวงทิพย์ ลดาวัลย์")</f>
        <v>น.ต.หญิง ตวงทิพย์ ลดาวัลย์</v>
      </c>
      <c r="N423" s="14" t="str">
        <f>IFERROR(__xludf.DUMMYFUNCTION("""COMPUTED_VALUE"""),"https://lh5.googleusercontent.com/d/1GYaLMojEt6yenmghgyXkliQPjmk0Ps7c")</f>
        <v>https://lh5.googleusercontent.com/d/1GYaLMojEt6yenmghgyXkliQPjmk0Ps7c</v>
      </c>
      <c r="O423" s="14" t="str">
        <f>IFERROR(__xludf.DUMMYFUNCTION("""COMPUTED_VALUE"""),"https://drive.google.com/file/d/1v0Uu0F9mrJwI6AKQQ_EPOrbbV1CDv2iC/view?usp=drivesdk")</f>
        <v>https://drive.google.com/file/d/1v0Uu0F9mrJwI6AKQQ_EPOrbbV1CDv2iC/view?usp=drivesdk</v>
      </c>
    </row>
    <row r="424">
      <c r="A424" s="3">
        <f>IFERROR(__xludf.DUMMYFUNCTION("""COMPUTED_VALUE"""),1868.0)</f>
        <v>1868</v>
      </c>
      <c r="B424" s="11">
        <f>IFERROR(__xludf.DUMMYFUNCTION("""COMPUTED_VALUE"""),46000.30927850694)</f>
        <v>46000.30928</v>
      </c>
      <c r="C424" s="3" t="str">
        <f>IFERROR(__xludf.DUMMYFUNCTION("""COMPUTED_VALUE"""),"ชั้นปีที่ 3")</f>
        <v>ชั้นปีที่ 3</v>
      </c>
      <c r="D424" s="3" t="str">
        <f>IFERROR(__xludf.DUMMYFUNCTION("""COMPUTED_VALUE"""),"6603806")</f>
        <v>6603806</v>
      </c>
      <c r="E424" s="3" t="str">
        <f>IFERROR(__xludf.DUMMYFUNCTION("""COMPUTED_VALUE"""),"52")</f>
        <v>52</v>
      </c>
      <c r="F424" s="3" t="str">
        <f>IFERROR(__xludf.DUMMYFUNCTION("""COMPUTED_VALUE"""),"นพอ.ศุภิสรา หอมหวล")</f>
        <v>นพอ.ศุภิสรา หอมหวล</v>
      </c>
      <c r="G424" s="3" t="str">
        <f>IFERROR(__xludf.DUMMYFUNCTION("""COMPUTED_VALUE"""),"ช่วยเหลืองานภายใน วพอ.")</f>
        <v>ช่วยเหลืองานภายใน วพอ.</v>
      </c>
      <c r="H424" s="3" t="str">
        <f>IFERROR(__xludf.DUMMYFUNCTION("""COMPUTED_VALUE"""),"Buddy Korea")</f>
        <v>Buddy Korea</v>
      </c>
      <c r="I424" s="3" t="str">
        <f>IFERROR(__xludf.DUMMYFUNCTION("""COMPUTED_VALUE"""),"วพอ.พอ.")</f>
        <v>วพอ.พอ.</v>
      </c>
      <c r="J424" s="12">
        <f>IFERROR(__xludf.DUMMYFUNCTION("""COMPUTED_VALUE"""),45953.0)</f>
        <v>45953</v>
      </c>
      <c r="K424" s="3" t="str">
        <f>IFERROR(__xludf.DUMMYFUNCTION("""COMPUTED_VALUE"""),"0800-1200")</f>
        <v>0800-1200</v>
      </c>
      <c r="L424" s="3">
        <f>IFERROR(__xludf.DUMMYFUNCTION("""COMPUTED_VALUE"""),4.0)</f>
        <v>4</v>
      </c>
      <c r="M424" s="3" t="str">
        <f>IFERROR(__xludf.DUMMYFUNCTION("""COMPUTED_VALUE"""),"น.ต.หญิง ประไพศรี ศุภางค์ภร")</f>
        <v>น.ต.หญิง ประไพศรี ศุภางค์ภร</v>
      </c>
      <c r="N424" s="14" t="str">
        <f>IFERROR(__xludf.DUMMYFUNCTION("""COMPUTED_VALUE"""),"https://lh5.googleusercontent.com/d/1EaXV38ERgdHUA5zq2ogNuJmBZOI9gw0X")</f>
        <v>https://lh5.googleusercontent.com/d/1EaXV38ERgdHUA5zq2ogNuJmBZOI9gw0X</v>
      </c>
      <c r="O424" s="14" t="str">
        <f>IFERROR(__xludf.DUMMYFUNCTION("""COMPUTED_VALUE"""),"https://drive.google.com/file/d/1n0sUT8Sra2BXpLhQBGMxSS3ihjeiMbDj/view?usp=drivesdk")</f>
        <v>https://drive.google.com/file/d/1n0sUT8Sra2BXpLhQBGMxSS3ihjeiMbDj/view?usp=drivesdk</v>
      </c>
    </row>
    <row r="425">
      <c r="A425" s="3">
        <f>IFERROR(__xludf.DUMMYFUNCTION("""COMPUTED_VALUE"""),1869.0)</f>
        <v>1869</v>
      </c>
      <c r="B425" s="11">
        <f>IFERROR(__xludf.DUMMYFUNCTION("""COMPUTED_VALUE"""),46000.310844155094)</f>
        <v>46000.31084</v>
      </c>
      <c r="C425" s="3" t="str">
        <f>IFERROR(__xludf.DUMMYFUNCTION("""COMPUTED_VALUE"""),"ชั้นปีที่ 3")</f>
        <v>ชั้นปีที่ 3</v>
      </c>
      <c r="D425" s="3" t="str">
        <f>IFERROR(__xludf.DUMMYFUNCTION("""COMPUTED_VALUE"""),"6603806")</f>
        <v>6603806</v>
      </c>
      <c r="E425" s="3" t="str">
        <f>IFERROR(__xludf.DUMMYFUNCTION("""COMPUTED_VALUE"""),"52")</f>
        <v>52</v>
      </c>
      <c r="F425" s="3" t="str">
        <f>IFERROR(__xludf.DUMMYFUNCTION("""COMPUTED_VALUE"""),"นพอ.ศุภิสรา หอมหวล")</f>
        <v>นพอ.ศุภิสรา หอมหวล</v>
      </c>
      <c r="G425" s="3" t="str">
        <f>IFERROR(__xludf.DUMMYFUNCTION("""COMPUTED_VALUE"""),"ช่วยเหลืองานภายใน วพอ.")</f>
        <v>ช่วยเหลืองานภายใน วพอ.</v>
      </c>
      <c r="H425" s="3" t="str">
        <f>IFERROR(__xludf.DUMMYFUNCTION("""COMPUTED_VALUE"""),"Buddy Korea")</f>
        <v>Buddy Korea</v>
      </c>
      <c r="I425" s="3" t="str">
        <f>IFERROR(__xludf.DUMMYFUNCTION("""COMPUTED_VALUE"""),"วพอ.พอ.")</f>
        <v>วพอ.พอ.</v>
      </c>
      <c r="J425" s="12">
        <f>IFERROR(__xludf.DUMMYFUNCTION("""COMPUTED_VALUE"""),45952.0)</f>
        <v>45952</v>
      </c>
      <c r="K425" s="3" t="str">
        <f>IFERROR(__xludf.DUMMYFUNCTION("""COMPUTED_VALUE"""),"0800-1200")</f>
        <v>0800-1200</v>
      </c>
      <c r="L425" s="3">
        <f>IFERROR(__xludf.DUMMYFUNCTION("""COMPUTED_VALUE"""),4.0)</f>
        <v>4</v>
      </c>
      <c r="M425" s="3" t="str">
        <f>IFERROR(__xludf.DUMMYFUNCTION("""COMPUTED_VALUE"""),"น.ต.หญิง ประไพศรี ศุภางค์ภร")</f>
        <v>น.ต.หญิง ประไพศรี ศุภางค์ภร</v>
      </c>
      <c r="N425" s="14" t="str">
        <f>IFERROR(__xludf.DUMMYFUNCTION("""COMPUTED_VALUE"""),"https://lh5.googleusercontent.com/d/1GEDQrJdwHDGR8bQligZzjljmqg19kgG2")</f>
        <v>https://lh5.googleusercontent.com/d/1GEDQrJdwHDGR8bQligZzjljmqg19kgG2</v>
      </c>
      <c r="O425" s="14" t="str">
        <f>IFERROR(__xludf.DUMMYFUNCTION("""COMPUTED_VALUE"""),"https://drive.google.com/file/d/1LX3BdDpTqms5iJ5CNLFGBvxYzBXKoi6G/view?usp=drivesdk")</f>
        <v>https://drive.google.com/file/d/1LX3BdDpTqms5iJ5CNLFGBvxYzBXKoi6G/view?usp=drivesdk</v>
      </c>
    </row>
    <row r="426">
      <c r="A426" s="3">
        <f>IFERROR(__xludf.DUMMYFUNCTION("""COMPUTED_VALUE"""),1870.0)</f>
        <v>1870</v>
      </c>
      <c r="B426" s="11">
        <f>IFERROR(__xludf.DUMMYFUNCTION("""COMPUTED_VALUE"""),46000.31189409722)</f>
        <v>46000.31189</v>
      </c>
      <c r="C426" s="3" t="str">
        <f>IFERROR(__xludf.DUMMYFUNCTION("""COMPUTED_VALUE"""),"ชั้นปีที่ 3")</f>
        <v>ชั้นปีที่ 3</v>
      </c>
      <c r="D426" s="3" t="str">
        <f>IFERROR(__xludf.DUMMYFUNCTION("""COMPUTED_VALUE"""),"6603806")</f>
        <v>6603806</v>
      </c>
      <c r="E426" s="3" t="str">
        <f>IFERROR(__xludf.DUMMYFUNCTION("""COMPUTED_VALUE"""),"52")</f>
        <v>52</v>
      </c>
      <c r="F426" s="3" t="str">
        <f>IFERROR(__xludf.DUMMYFUNCTION("""COMPUTED_VALUE"""),"นพอ.ศุภิสรา หอมหวล")</f>
        <v>นพอ.ศุภิสรา หอมหวล</v>
      </c>
      <c r="G426" s="3" t="str">
        <f>IFERROR(__xludf.DUMMYFUNCTION("""COMPUTED_VALUE"""),"ช่วยเหลืองานภายใน วพอ.")</f>
        <v>ช่วยเหลืองานภายใน วพอ.</v>
      </c>
      <c r="H426" s="3" t="str">
        <f>IFERROR(__xludf.DUMMYFUNCTION("""COMPUTED_VALUE"""),"Buddy Korea")</f>
        <v>Buddy Korea</v>
      </c>
      <c r="I426" s="3" t="str">
        <f>IFERROR(__xludf.DUMMYFUNCTION("""COMPUTED_VALUE"""),"วพอ.พอ.")</f>
        <v>วพอ.พอ.</v>
      </c>
      <c r="J426" s="12">
        <f>IFERROR(__xludf.DUMMYFUNCTION("""COMPUTED_VALUE"""),45951.0)</f>
        <v>45951</v>
      </c>
      <c r="K426" s="3" t="str">
        <f>IFERROR(__xludf.DUMMYFUNCTION("""COMPUTED_VALUE"""),"1600-2000")</f>
        <v>1600-2000</v>
      </c>
      <c r="L426" s="3">
        <f>IFERROR(__xludf.DUMMYFUNCTION("""COMPUTED_VALUE"""),4.0)</f>
        <v>4</v>
      </c>
      <c r="M426" s="3" t="str">
        <f>IFERROR(__xludf.DUMMYFUNCTION("""COMPUTED_VALUE"""),"น.ต.หญิง ประไพศรี ศุภางค์ภร")</f>
        <v>น.ต.หญิง ประไพศรี ศุภางค์ภร</v>
      </c>
      <c r="N426" s="14" t="str">
        <f>IFERROR(__xludf.DUMMYFUNCTION("""COMPUTED_VALUE"""),"https://lh5.googleusercontent.com/d/1uDl_4xBlbw5eT2rGoQWnhKu7zzPSfyIE")</f>
        <v>https://lh5.googleusercontent.com/d/1uDl_4xBlbw5eT2rGoQWnhKu7zzPSfyIE</v>
      </c>
      <c r="O426" s="14" t="str">
        <f>IFERROR(__xludf.DUMMYFUNCTION("""COMPUTED_VALUE"""),"https://drive.google.com/file/d/1JygJbShDdm4cEjvHzzWhpvOaOr__8FBs/view?usp=drivesdk")</f>
        <v>https://drive.google.com/file/d/1JygJbShDdm4cEjvHzzWhpvOaOr__8FBs/view?usp=drivesdk</v>
      </c>
    </row>
    <row r="427">
      <c r="A427" s="3">
        <f>IFERROR(__xludf.DUMMYFUNCTION("""COMPUTED_VALUE"""),1871.0)</f>
        <v>1871</v>
      </c>
      <c r="B427" s="11">
        <f>IFERROR(__xludf.DUMMYFUNCTION("""COMPUTED_VALUE"""),46000.313900127316)</f>
        <v>46000.3139</v>
      </c>
      <c r="C427" s="3" t="str">
        <f>IFERROR(__xludf.DUMMYFUNCTION("""COMPUTED_VALUE"""),"ชั้นปีที่ 3")</f>
        <v>ชั้นปีที่ 3</v>
      </c>
      <c r="D427" s="3" t="str">
        <f>IFERROR(__xludf.DUMMYFUNCTION("""COMPUTED_VALUE"""),"6603806")</f>
        <v>6603806</v>
      </c>
      <c r="E427" s="3" t="str">
        <f>IFERROR(__xludf.DUMMYFUNCTION("""COMPUTED_VALUE"""),"52")</f>
        <v>52</v>
      </c>
      <c r="F427" s="3" t="str">
        <f>IFERROR(__xludf.DUMMYFUNCTION("""COMPUTED_VALUE"""),"นพอ.ศุภิสรา หอมหวล")</f>
        <v>นพอ.ศุภิสรา หอมหวล</v>
      </c>
      <c r="G427" s="3" t="str">
        <f>IFERROR(__xludf.DUMMYFUNCTION("""COMPUTED_VALUE"""),"ช่วยเหลืองานภายใน วพอ.")</f>
        <v>ช่วยเหลืองานภายใน วพอ.</v>
      </c>
      <c r="H427" s="3" t="str">
        <f>IFERROR(__xludf.DUMMYFUNCTION("""COMPUTED_VALUE"""),"Buddy Korea")</f>
        <v>Buddy Korea</v>
      </c>
      <c r="I427" s="3" t="str">
        <f>IFERROR(__xludf.DUMMYFUNCTION("""COMPUTED_VALUE"""),"วพอ.พอ.")</f>
        <v>วพอ.พอ.</v>
      </c>
      <c r="J427" s="12">
        <f>IFERROR(__xludf.DUMMYFUNCTION("""COMPUTED_VALUE"""),45949.0)</f>
        <v>45949</v>
      </c>
      <c r="K427" s="3" t="str">
        <f>IFERROR(__xludf.DUMMYFUNCTION("""COMPUTED_VALUE"""),"1600-2000")</f>
        <v>1600-2000</v>
      </c>
      <c r="L427" s="3">
        <f>IFERROR(__xludf.DUMMYFUNCTION("""COMPUTED_VALUE"""),4.0)</f>
        <v>4</v>
      </c>
      <c r="M427" s="3" t="str">
        <f>IFERROR(__xludf.DUMMYFUNCTION("""COMPUTED_VALUE"""),"น.ต.หญิง ประไพศรี ศุภางค์ภร")</f>
        <v>น.ต.หญิง ประไพศรี ศุภางค์ภร</v>
      </c>
      <c r="N427" s="14" t="str">
        <f>IFERROR(__xludf.DUMMYFUNCTION("""COMPUTED_VALUE"""),"https://lh5.googleusercontent.com/d/1t_ZljHDwIpGfhTsJnDtXmXd4-jiKatV7")</f>
        <v>https://lh5.googleusercontent.com/d/1t_ZljHDwIpGfhTsJnDtXmXd4-jiKatV7</v>
      </c>
      <c r="O427" s="14" t="str">
        <f>IFERROR(__xludf.DUMMYFUNCTION("""COMPUTED_VALUE"""),"https://drive.google.com/file/d/1j9FR5to3ZN0p7uHKKE5QhcrHUrGSHErC/view?usp=drivesdk")</f>
        <v>https://drive.google.com/file/d/1j9FR5to3ZN0p7uHKKE5QhcrHUrGSHErC/view?usp=drivesdk</v>
      </c>
    </row>
    <row r="428">
      <c r="A428" s="3">
        <f>IFERROR(__xludf.DUMMYFUNCTION("""COMPUTED_VALUE"""),1875.0)</f>
        <v>1875</v>
      </c>
      <c r="B428" s="11">
        <f>IFERROR(__xludf.DUMMYFUNCTION("""COMPUTED_VALUE"""),46000.32027049769)</f>
        <v>46000.32027</v>
      </c>
      <c r="C428" s="3" t="str">
        <f>IFERROR(__xludf.DUMMYFUNCTION("""COMPUTED_VALUE"""),"ชั้นปีที่ 3")</f>
        <v>ชั้นปีที่ 3</v>
      </c>
      <c r="D428" s="3" t="str">
        <f>IFERROR(__xludf.DUMMYFUNCTION("""COMPUTED_VALUE"""),"6603806")</f>
        <v>6603806</v>
      </c>
      <c r="E428" s="3" t="str">
        <f>IFERROR(__xludf.DUMMYFUNCTION("""COMPUTED_VALUE"""),"52")</f>
        <v>52</v>
      </c>
      <c r="F428" s="3" t="str">
        <f>IFERROR(__xludf.DUMMYFUNCTION("""COMPUTED_VALUE"""),"นพอ.ศุภิสรา หอมหวล")</f>
        <v>นพอ.ศุภิสรา หอมหวล</v>
      </c>
      <c r="G4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8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428" s="3" t="str">
        <f>IFERROR(__xludf.DUMMYFUNCTION("""COMPUTED_VALUE"""),"หอประชุมใหญ่ ศูนย์วัฒนธรรมแห่งประเทศไทย")</f>
        <v>หอประชุมใหญ่ ศูนย์วัฒนธรรมแห่งประเทศไทย</v>
      </c>
      <c r="J428" s="12">
        <f>IFERROR(__xludf.DUMMYFUNCTION("""COMPUTED_VALUE"""),45839.0)</f>
        <v>45839</v>
      </c>
      <c r="K428" s="3" t="str">
        <f>IFERROR(__xludf.DUMMYFUNCTION("""COMPUTED_VALUE"""),"1400-2200")</f>
        <v>1400-2200</v>
      </c>
      <c r="L428" s="3">
        <f>IFERROR(__xludf.DUMMYFUNCTION("""COMPUTED_VALUE"""),8.0)</f>
        <v>8</v>
      </c>
      <c r="M428" s="3" t="str">
        <f>IFERROR(__xludf.DUMMYFUNCTION("""COMPUTED_VALUE"""),"ร.อ.อนุชิต ทำจะดี")</f>
        <v>ร.อ.อนุชิต ทำจะดี</v>
      </c>
      <c r="N428" s="14" t="str">
        <f>IFERROR(__xludf.DUMMYFUNCTION("""COMPUTED_VALUE"""),"https://lh5.googleusercontent.com/d/1jXNs2gLT_CTwnRHVtmsHaZry7pf-OW3T")</f>
        <v>https://lh5.googleusercontent.com/d/1jXNs2gLT_CTwnRHVtmsHaZry7pf-OW3T</v>
      </c>
      <c r="O428" s="14" t="str">
        <f>IFERROR(__xludf.DUMMYFUNCTION("""COMPUTED_VALUE"""),"https://drive.google.com/file/d/1MVVU5Z4f-3QmmCE_rncmDRA8P037KfH2/view?usp=drivesdk")</f>
        <v>https://drive.google.com/file/d/1MVVU5Z4f-3QmmCE_rncmDRA8P037KfH2/view?usp=drivesdk</v>
      </c>
    </row>
    <row r="429">
      <c r="A429" s="3">
        <f>IFERROR(__xludf.DUMMYFUNCTION("""COMPUTED_VALUE"""),1880.0)</f>
        <v>1880</v>
      </c>
      <c r="B429" s="11">
        <f>IFERROR(__xludf.DUMMYFUNCTION("""COMPUTED_VALUE"""),46000.41032534722)</f>
        <v>46000.41033</v>
      </c>
      <c r="C429" s="3" t="str">
        <f>IFERROR(__xludf.DUMMYFUNCTION("""COMPUTED_VALUE"""),"ชั้นปีที่ 3")</f>
        <v>ชั้นปีที่ 3</v>
      </c>
      <c r="D429" s="3" t="str">
        <f>IFERROR(__xludf.DUMMYFUNCTION("""COMPUTED_VALUE"""),"6603806")</f>
        <v>6603806</v>
      </c>
      <c r="E429" s="3" t="str">
        <f>IFERROR(__xludf.DUMMYFUNCTION("""COMPUTED_VALUE"""),"52")</f>
        <v>52</v>
      </c>
      <c r="F429" s="3" t="str">
        <f>IFERROR(__xludf.DUMMYFUNCTION("""COMPUTED_VALUE"""),"นพอ.ศุภิสรา หอมหวล")</f>
        <v>นพอ.ศุภิสรา หอมหวล</v>
      </c>
      <c r="G42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9" s="3" t="str">
        <f>IFERROR(__xludf.DUMMYFUNCTION("""COMPUTED_VALUE"""),"ช้อมพิธีไหว้ครูดนตรีไทย 10 สถาบัน")</f>
        <v>ช้อมพิธีไหว้ครูดนตรีไทย 10 สถาบัน</v>
      </c>
      <c r="I429" s="3" t="str">
        <f>IFERROR(__xludf.DUMMYFUNCTION("""COMPUTED_VALUE"""),"รร.นรต.")</f>
        <v>รร.นรต.</v>
      </c>
      <c r="J429" s="12">
        <f>IFERROR(__xludf.DUMMYFUNCTION("""COMPUTED_VALUE"""),45843.0)</f>
        <v>45843</v>
      </c>
      <c r="K429" s="3" t="str">
        <f>IFERROR(__xludf.DUMMYFUNCTION("""COMPUTED_VALUE"""),"0800-1600")</f>
        <v>0800-1600</v>
      </c>
      <c r="L429" s="3">
        <f>IFERROR(__xludf.DUMMYFUNCTION("""COMPUTED_VALUE"""),8.0)</f>
        <v>8</v>
      </c>
      <c r="M429" s="3" t="str">
        <f>IFERROR(__xludf.DUMMYFUNCTION("""COMPUTED_VALUE"""),"น.ต.หญิง อนุกูล บำรุงวงค์")</f>
        <v>น.ต.หญิง อนุกูล บำรุงวงค์</v>
      </c>
      <c r="N429" s="14" t="str">
        <f>IFERROR(__xludf.DUMMYFUNCTION("""COMPUTED_VALUE"""),"https://lh5.googleusercontent.com/d/1TJQOw7c4aeTEj3vaeE_AnZZjl3RyWxY9")</f>
        <v>https://lh5.googleusercontent.com/d/1TJQOw7c4aeTEj3vaeE_AnZZjl3RyWxY9</v>
      </c>
      <c r="O429" s="14" t="str">
        <f>IFERROR(__xludf.DUMMYFUNCTION("""COMPUTED_VALUE"""),"https://drive.google.com/file/d/1bL2cztyHDTkd1rzzNO8xyBMp-MSqQwT5/view?usp=drivesdk")</f>
        <v>https://drive.google.com/file/d/1bL2cztyHDTkd1rzzNO8xyBMp-MSqQwT5/view?usp=drivesdk</v>
      </c>
    </row>
    <row r="430">
      <c r="A430" s="3">
        <f>IFERROR(__xludf.DUMMYFUNCTION("""COMPUTED_VALUE"""),1881.0)</f>
        <v>1881</v>
      </c>
      <c r="B430" s="11">
        <f>IFERROR(__xludf.DUMMYFUNCTION("""COMPUTED_VALUE"""),46000.41189729167)</f>
        <v>46000.4119</v>
      </c>
      <c r="C430" s="3" t="str">
        <f>IFERROR(__xludf.DUMMYFUNCTION("""COMPUTED_VALUE"""),"ชั้นปีที่ 3")</f>
        <v>ชั้นปีที่ 3</v>
      </c>
      <c r="D430" s="3" t="str">
        <f>IFERROR(__xludf.DUMMYFUNCTION("""COMPUTED_VALUE"""),"6603806")</f>
        <v>6603806</v>
      </c>
      <c r="E430" s="3" t="str">
        <f>IFERROR(__xludf.DUMMYFUNCTION("""COMPUTED_VALUE"""),"52")</f>
        <v>52</v>
      </c>
      <c r="F430" s="3" t="str">
        <f>IFERROR(__xludf.DUMMYFUNCTION("""COMPUTED_VALUE"""),"นพอ.ศุภิสรา หอมหวล")</f>
        <v>นพอ.ศุภิสรา หอมหวล</v>
      </c>
      <c r="G43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0" s="3" t="str">
        <f>IFERROR(__xludf.DUMMYFUNCTION("""COMPUTED_VALUE"""),"วัดเกาะร่วมใจ ใส่ใจสุขภาพ")</f>
        <v>วัดเกาะร่วมใจ ใส่ใจสุขภาพ</v>
      </c>
      <c r="I430" s="3" t="str">
        <f>IFERROR(__xludf.DUMMYFUNCTION("""COMPUTED_VALUE"""),"ชุมชนวัดเกาะ เขตสายไหม")</f>
        <v>ชุมชนวัดเกาะ เขตสายไหม</v>
      </c>
      <c r="J430" s="12">
        <f>IFERROR(__xludf.DUMMYFUNCTION("""COMPUTED_VALUE"""),45823.0)</f>
        <v>45823</v>
      </c>
      <c r="K430" s="3" t="str">
        <f>IFERROR(__xludf.DUMMYFUNCTION("""COMPUTED_VALUE"""),"0800-1200")</f>
        <v>0800-1200</v>
      </c>
      <c r="L430" s="3">
        <f>IFERROR(__xludf.DUMMYFUNCTION("""COMPUTED_VALUE"""),4.0)</f>
        <v>4</v>
      </c>
      <c r="M430" s="3" t="str">
        <f>IFERROR(__xludf.DUMMYFUNCTION("""COMPUTED_VALUE"""),"น.ต.หญิง ตวงทิพย์ ลดาวัลย์")</f>
        <v>น.ต.หญิง ตวงทิพย์ ลดาวัลย์</v>
      </c>
      <c r="N430" s="14" t="str">
        <f>IFERROR(__xludf.DUMMYFUNCTION("""COMPUTED_VALUE"""),"https://lh5.googleusercontent.com/d/1tDb-0z4XGNDh5rgVvZJSsBwD4Mm5kOVv")</f>
        <v>https://lh5.googleusercontent.com/d/1tDb-0z4XGNDh5rgVvZJSsBwD4Mm5kOVv</v>
      </c>
      <c r="O430" s="14" t="str">
        <f>IFERROR(__xludf.DUMMYFUNCTION("""COMPUTED_VALUE"""),"https://drive.google.com/file/d/1nGh3G0a0qkPQPGbQKG-57wkG6NVlMTPb/view?usp=drivesdk")</f>
        <v>https://drive.google.com/file/d/1nGh3G0a0qkPQPGbQKG-57wkG6NVlMTPb/view?usp=drivesdk</v>
      </c>
    </row>
    <row r="431">
      <c r="A431" s="3">
        <f>IFERROR(__xludf.DUMMYFUNCTION("""COMPUTED_VALUE"""),1885.0)</f>
        <v>1885</v>
      </c>
      <c r="B431" s="11">
        <f>IFERROR(__xludf.DUMMYFUNCTION("""COMPUTED_VALUE"""),46000.42521123843)</f>
        <v>46000.42521</v>
      </c>
      <c r="C431" s="3" t="str">
        <f>IFERROR(__xludf.DUMMYFUNCTION("""COMPUTED_VALUE"""),"ชั้นปีที่ 3")</f>
        <v>ชั้นปีที่ 3</v>
      </c>
      <c r="D431" s="3" t="str">
        <f>IFERROR(__xludf.DUMMYFUNCTION("""COMPUTED_VALUE"""),"6603802")</f>
        <v>6603802</v>
      </c>
      <c r="E431" s="3" t="str">
        <f>IFERROR(__xludf.DUMMYFUNCTION("""COMPUTED_VALUE"""),"48")</f>
        <v>48</v>
      </c>
      <c r="F431" s="3" t="str">
        <f>IFERROR(__xludf.DUMMYFUNCTION("""COMPUTED_VALUE"""),"นพอ.ศตพร คงศักดิ์")</f>
        <v>นพอ.ศตพร คงศักดิ์</v>
      </c>
      <c r="G4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1" s="3" t="str">
        <f>IFERROR(__xludf.DUMMYFUNCTION("""COMPUTED_VALUE"""),"งานทัพฟ้า")</f>
        <v>งานทัพฟ้า</v>
      </c>
      <c r="I431" s="3" t="str">
        <f>IFERROR(__xludf.DUMMYFUNCTION("""COMPUTED_VALUE"""),"ศูนย์วัฒนธรรม")</f>
        <v>ศูนย์วัฒนธรรม</v>
      </c>
      <c r="J431" s="12">
        <f>IFERROR(__xludf.DUMMYFUNCTION("""COMPUTED_VALUE"""),45841.0)</f>
        <v>45841</v>
      </c>
      <c r="K431" s="3" t="str">
        <f>IFERROR(__xludf.DUMMYFUNCTION("""COMPUTED_VALUE"""),"0700-2300")</f>
        <v>0700-2300</v>
      </c>
      <c r="L431" s="3">
        <f>IFERROR(__xludf.DUMMYFUNCTION("""COMPUTED_VALUE"""),8.0)</f>
        <v>8</v>
      </c>
      <c r="M431" s="3" t="str">
        <f>IFERROR(__xludf.DUMMYFUNCTION("""COMPUTED_VALUE"""),"ร.อ.อนุชิต ทำจะดี")</f>
        <v>ร.อ.อนุชิต ทำจะดี</v>
      </c>
      <c r="N431" s="14" t="str">
        <f>IFERROR(__xludf.DUMMYFUNCTION("""COMPUTED_VALUE"""),"https://lh5.googleusercontent.com/d/1--2uV5Lap1aFuC6lC-9YGOBD9-GtmYjS")</f>
        <v>https://lh5.googleusercontent.com/d/1--2uV5Lap1aFuC6lC-9YGOBD9-GtmYjS</v>
      </c>
      <c r="O431" s="14" t="str">
        <f>IFERROR(__xludf.DUMMYFUNCTION("""COMPUTED_VALUE"""),"https://drive.google.com/file/d/1EePW7zQpYEArnfsMCixYjamvI7gU3GjD/view?usp=drivesdk")</f>
        <v>https://drive.google.com/file/d/1EePW7zQpYEArnfsMCixYjamvI7gU3GjD/view?usp=drivesdk</v>
      </c>
    </row>
    <row r="432">
      <c r="A432" s="3">
        <f>IFERROR(__xludf.DUMMYFUNCTION("""COMPUTED_VALUE"""),1910.0)</f>
        <v>1910</v>
      </c>
      <c r="B432" s="11">
        <f>IFERROR(__xludf.DUMMYFUNCTION("""COMPUTED_VALUE"""),46000.43859037037)</f>
        <v>46000.43859</v>
      </c>
      <c r="C432" s="3" t="str">
        <f>IFERROR(__xludf.DUMMYFUNCTION("""COMPUTED_VALUE"""),"ชั้นปีที่ 3")</f>
        <v>ชั้นปีที่ 3</v>
      </c>
      <c r="D432" s="3" t="str">
        <f>IFERROR(__xludf.DUMMYFUNCTION("""COMPUTED_VALUE"""),"6603802")</f>
        <v>6603802</v>
      </c>
      <c r="E432" s="3" t="str">
        <f>IFERROR(__xludf.DUMMYFUNCTION("""COMPUTED_VALUE"""),"48")</f>
        <v>48</v>
      </c>
      <c r="F432" s="3" t="str">
        <f>IFERROR(__xludf.DUMMYFUNCTION("""COMPUTED_VALUE"""),"นพอ.ศตพร คงศักดิ์")</f>
        <v>นพอ.ศตพร คงศักดิ์</v>
      </c>
      <c r="G4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2" s="3" t="str">
        <f>IFERROR(__xludf.DUMMYFUNCTION("""COMPUTED_VALUE"""),"งานทัพฟ้า")</f>
        <v>งานทัพฟ้า</v>
      </c>
      <c r="I432" s="3" t="str">
        <f>IFERROR(__xludf.DUMMYFUNCTION("""COMPUTED_VALUE"""),"ศูนย์วัฒนธรรม")</f>
        <v>ศูนย์วัฒนธรรม</v>
      </c>
      <c r="J432" s="12">
        <f>IFERROR(__xludf.DUMMYFUNCTION("""COMPUTED_VALUE"""),45841.0)</f>
        <v>45841</v>
      </c>
      <c r="K432" s="3" t="str">
        <f>IFERROR(__xludf.DUMMYFUNCTION("""COMPUTED_VALUE"""),"0700-2200")</f>
        <v>0700-2200</v>
      </c>
      <c r="L432" s="3">
        <f>IFERROR(__xludf.DUMMYFUNCTION("""COMPUTED_VALUE"""),8.0)</f>
        <v>8</v>
      </c>
      <c r="M432" s="3" t="str">
        <f>IFERROR(__xludf.DUMMYFUNCTION("""COMPUTED_VALUE"""),"ร.อ.อนุชิต ทำจะดี")</f>
        <v>ร.อ.อนุชิต ทำจะดี</v>
      </c>
      <c r="N432" s="14" t="str">
        <f>IFERROR(__xludf.DUMMYFUNCTION("""COMPUTED_VALUE"""),"https://lh5.googleusercontent.com/d/1w4vEigpsjTMYIwsrk8gLWlTacpbyf7uB")</f>
        <v>https://lh5.googleusercontent.com/d/1w4vEigpsjTMYIwsrk8gLWlTacpbyf7uB</v>
      </c>
      <c r="O432" s="14" t="str">
        <f>IFERROR(__xludf.DUMMYFUNCTION("""COMPUTED_VALUE"""),"https://drive.google.com/file/d/174P3-QSjZ_kEXbRHm_qqae6CRe51qfnV/view?usp=drivesdk")</f>
        <v>https://drive.google.com/file/d/174P3-QSjZ_kEXbRHm_qqae6CRe51qfnV/view?usp=drivesdk</v>
      </c>
    </row>
    <row r="433">
      <c r="A433" s="3">
        <f>IFERROR(__xludf.DUMMYFUNCTION("""COMPUTED_VALUE"""),1948.0)</f>
        <v>1948</v>
      </c>
      <c r="B433" s="11">
        <f>IFERROR(__xludf.DUMMYFUNCTION("""COMPUTED_VALUE"""),46069.420698553244)</f>
        <v>46069.4207</v>
      </c>
      <c r="C433" s="3" t="str">
        <f>IFERROR(__xludf.DUMMYFUNCTION("""COMPUTED_VALUE"""),"ชั้นปีที่ 3")</f>
        <v>ชั้นปีที่ 3</v>
      </c>
      <c r="D433" s="3" t="str">
        <f>IFERROR(__xludf.DUMMYFUNCTION("""COMPUTED_VALUE"""),"6603778")</f>
        <v>6603778</v>
      </c>
      <c r="E433" s="3" t="str">
        <f>IFERROR(__xludf.DUMMYFUNCTION("""COMPUTED_VALUE"""),"24")</f>
        <v>24</v>
      </c>
      <c r="F433" s="3" t="str">
        <f>IFERROR(__xludf.DUMMYFUNCTION("""COMPUTED_VALUE"""),"นพอ.นันท์นภัส เคนสุวรรณ")</f>
        <v>นพอ.นันท์นภัส เคนสุวรรณ</v>
      </c>
      <c r="G43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33" s="3" t="str">
        <f>IFERROR(__xludf.DUMMYFUNCTION("""COMPUTED_VALUE"""),"บริจาคโลหิต")</f>
        <v>บริจาคโลหิต</v>
      </c>
      <c r="I433" s="3" t="str">
        <f>IFERROR(__xludf.DUMMYFUNCTION("""COMPUTED_VALUE"""),"สภากาชาดไทย")</f>
        <v>สภากาชาดไทย</v>
      </c>
      <c r="J433" s="12">
        <f>IFERROR(__xludf.DUMMYFUNCTION("""COMPUTED_VALUE"""),46067.0)</f>
        <v>46067</v>
      </c>
      <c r="K433" s="3" t="str">
        <f>IFERROR(__xludf.DUMMYFUNCTION("""COMPUTED_VALUE"""),"1200-1500")</f>
        <v>1200-1500</v>
      </c>
      <c r="L433" s="3">
        <f>IFERROR(__xludf.DUMMYFUNCTION("""COMPUTED_VALUE"""),8.0)</f>
        <v>8</v>
      </c>
      <c r="M433" s="3" t="str">
        <f>IFERROR(__xludf.DUMMYFUNCTION("""COMPUTED_VALUE"""),"ร.อ.อนุชิต ทำจะดี")</f>
        <v>ร.อ.อนุชิต ทำจะดี</v>
      </c>
      <c r="N433" s="14" t="str">
        <f>IFERROR(__xludf.DUMMYFUNCTION("""COMPUTED_VALUE"""),"https://lh5.googleusercontent.com/d/1o34oggZDEPgbet53WFbUsKnQe069s38v")</f>
        <v>https://lh5.googleusercontent.com/d/1o34oggZDEPgbet53WFbUsKnQe069s38v</v>
      </c>
      <c r="O433" s="14" t="str">
        <f>IFERROR(__xludf.DUMMYFUNCTION("""COMPUTED_VALUE"""),"https://drive.google.com/file/d/1aNWO-oiAA6A5qBuWuTU3dlsRwPed_dev/view?usp=drivesdk")</f>
        <v>https://drive.google.com/file/d/1aNWO-oiAA6A5qBuWuTU3dlsRwPed_dev/view?usp=drivesdk</v>
      </c>
    </row>
    <row r="434">
      <c r="A434" s="3">
        <f>IFERROR(__xludf.DUMMYFUNCTION("""COMPUTED_VALUE"""),1949.0)</f>
        <v>1949</v>
      </c>
      <c r="B434" s="11">
        <f>IFERROR(__xludf.DUMMYFUNCTION("""COMPUTED_VALUE"""),46079.58747233796)</f>
        <v>46079.58747</v>
      </c>
      <c r="C434" s="3" t="str">
        <f>IFERROR(__xludf.DUMMYFUNCTION("""COMPUTED_VALUE"""),"ชั้นปีที่ 3")</f>
        <v>ชั้นปีที่ 3</v>
      </c>
      <c r="D434" s="3" t="str">
        <f>IFERROR(__xludf.DUMMYFUNCTION("""COMPUTED_VALUE"""),"6603777")</f>
        <v>6603777</v>
      </c>
      <c r="E434" s="3" t="str">
        <f>IFERROR(__xludf.DUMMYFUNCTION("""COMPUTED_VALUE"""),"23")</f>
        <v>23</v>
      </c>
      <c r="F434" s="3" t="str">
        <f>IFERROR(__xludf.DUMMYFUNCTION("""COMPUTED_VALUE"""),"นพอ.นัชธิดา ไกรทองสุข")</f>
        <v>นพอ.นัชธิดา ไกรทองสุข</v>
      </c>
      <c r="G43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34" s="3" t="str">
        <f>IFERROR(__xludf.DUMMYFUNCTION("""COMPUTED_VALUE"""),"บริจาคโลหิต")</f>
        <v>บริจาคโลหิต</v>
      </c>
      <c r="I434" s="3" t="str">
        <f>IFERROR(__xludf.DUMMYFUNCTION("""COMPUTED_VALUE"""),"ศูนย์บริการโลหิตแแห่งชาติ สภากาชาดไทย")</f>
        <v>ศูนย์บริการโลหิตแแห่งชาติ สภากาชาดไทย</v>
      </c>
      <c r="J434" s="12">
        <f>IFERROR(__xludf.DUMMYFUNCTION("""COMPUTED_VALUE"""),46067.0)</f>
        <v>46067</v>
      </c>
      <c r="K434" s="3" t="str">
        <f>IFERROR(__xludf.DUMMYFUNCTION("""COMPUTED_VALUE"""),"0800-1600")</f>
        <v>0800-1600</v>
      </c>
      <c r="L434" s="3">
        <f>IFERROR(__xludf.DUMMYFUNCTION("""COMPUTED_VALUE"""),8.0)</f>
        <v>8</v>
      </c>
      <c r="M43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4" s="14" t="str">
        <f>IFERROR(__xludf.DUMMYFUNCTION("""COMPUTED_VALUE"""),"https://lh5.googleusercontent.com/d/1K4AvPEBWahhJSdae5LhBoBPutC_QrLrG")</f>
        <v>https://lh5.googleusercontent.com/d/1K4AvPEBWahhJSdae5LhBoBPutC_QrLrG</v>
      </c>
      <c r="O434" s="14" t="str">
        <f>IFERROR(__xludf.DUMMYFUNCTION("""COMPUTED_VALUE"""),"https://drive.google.com/file/d/1ajB2HAS3Iu9Py8ZM7ljopVviPd_ZQ1ZQ/view?usp=drivesdk")</f>
        <v>https://drive.google.com/file/d/1ajB2HAS3Iu9Py8ZM7ljopVviPd_ZQ1ZQ/view?usp=drivesdk</v>
      </c>
    </row>
    <row r="435">
      <c r="A435" s="3">
        <f>IFERROR(__xludf.DUMMYFUNCTION("""COMPUTED_VALUE"""),1954.0)</f>
        <v>1954</v>
      </c>
      <c r="B435" s="11">
        <f>IFERROR(__xludf.DUMMYFUNCTION("""COMPUTED_VALUE"""),46080.51698489584)</f>
        <v>46080.51698</v>
      </c>
      <c r="C435" s="3" t="str">
        <f>IFERROR(__xludf.DUMMYFUNCTION("""COMPUTED_VALUE"""),"ชั้นปีที่ 3")</f>
        <v>ชั้นปีที่ 3</v>
      </c>
      <c r="D435" s="3" t="str">
        <f>IFERROR(__xludf.DUMMYFUNCTION("""COMPUTED_VALUE"""),"999999")</f>
        <v>999999</v>
      </c>
      <c r="E435" s="3" t="str">
        <f>IFERROR(__xludf.DUMMYFUNCTION("""COMPUTED_VALUE"""),"2")</f>
        <v>2</v>
      </c>
      <c r="F435" s="3" t="str">
        <f>IFERROR(__xludf.DUMMYFUNCTION("""COMPUTED_VALUE"""),"นพอ.พิธพิศาล ชัยสิทธิ์")</f>
        <v>นพอ.พิธพิศาล ชัยสิทธิ์</v>
      </c>
      <c r="G4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5" s="3" t="str">
        <f>IFERROR(__xludf.DUMMYFUNCTION("""COMPUTED_VALUE"""),"งานกาชาด")</f>
        <v>งานกาชาด</v>
      </c>
      <c r="I435" s="3" t="str">
        <f>IFERROR(__xludf.DUMMYFUNCTION("""COMPUTED_VALUE"""),"สวนลุมพินี")</f>
        <v>สวนลุมพินี</v>
      </c>
      <c r="J435" s="12">
        <f>IFERROR(__xludf.DUMMYFUNCTION("""COMPUTED_VALUE"""),46080.0)</f>
        <v>46080</v>
      </c>
      <c r="K435" s="3" t="str">
        <f>IFERROR(__xludf.DUMMYFUNCTION("""COMPUTED_VALUE"""),"1400-2200")</f>
        <v>1400-2200</v>
      </c>
      <c r="L435" s="3">
        <f>IFERROR(__xludf.DUMMYFUNCTION("""COMPUTED_VALUE"""),3.0)</f>
        <v>3</v>
      </c>
      <c r="M435" s="3" t="str">
        <f>IFERROR(__xludf.DUMMYFUNCTION("""COMPUTED_VALUE"""),"น.อ.หญิง ผศ. วัลลภา อันดาราgfdsgdsfgesg")</f>
        <v>น.อ.หญิง ผศ. วัลลภา อันดาราgfdsgdsfgesg</v>
      </c>
      <c r="N435" s="14" t="str">
        <f>IFERROR(__xludf.DUMMYFUNCTION("""COMPUTED_VALUE"""),"https://lh5.googleusercontent.com/d/1U5lyYX9qPZAVN2hJHIQEtHr7vsO3U3wm")</f>
        <v>https://lh5.googleusercontent.com/d/1U5lyYX9qPZAVN2hJHIQEtHr7vsO3U3wm</v>
      </c>
      <c r="O435" s="14" t="str">
        <f>IFERROR(__xludf.DUMMYFUNCTION("""COMPUTED_VALUE"""),"https://drive.google.com/file/d/1M9zpGhGb205hsNAu73A6n7EkqbTjqR1I/view?usp=drivesdk")</f>
        <v>https://drive.google.com/file/d/1M9zpGhGb205hsNAu73A6n7EkqbTjqR1I/view?usp=drivesdk</v>
      </c>
    </row>
    <row r="436">
      <c r="A436" s="3">
        <f>IFERROR(__xludf.DUMMYFUNCTION("""COMPUTED_VALUE"""),1955.0)</f>
        <v>1955</v>
      </c>
      <c r="B436" s="11">
        <f>IFERROR(__xludf.DUMMYFUNCTION("""COMPUTED_VALUE"""),46080.51942909722)</f>
        <v>46080.51943</v>
      </c>
      <c r="C436" s="3" t="str">
        <f>IFERROR(__xludf.DUMMYFUNCTION("""COMPUTED_VALUE"""),"ชั้นปีที่ 3")</f>
        <v>ชั้นปีที่ 3</v>
      </c>
      <c r="D436" s="3" t="str">
        <f>IFERROR(__xludf.DUMMYFUNCTION("""COMPUTED_VALUE"""),"999999")</f>
        <v>999999</v>
      </c>
      <c r="E436" s="3" t="str">
        <f>IFERROR(__xludf.DUMMYFUNCTION("""COMPUTED_VALUE"""),"39")</f>
        <v>39</v>
      </c>
      <c r="F436" s="3" t="str">
        <f>IFERROR(__xludf.DUMMYFUNCTION("""COMPUTED_VALUE"""),"นพอ.พิธพิศาล ชัยสิทธิ์")</f>
        <v>นพอ.พิธพิศาล ชัยสิทธิ์</v>
      </c>
      <c r="G436" s="3" t="str">
        <f>IFERROR(__xludf.DUMMYFUNCTION("""COMPUTED_VALUE"""),"ช่วยเหลืองานภายใน วพอ.")</f>
        <v>ช่วยเหลืองานภายใน วพอ.</v>
      </c>
      <c r="H436" s="3" t="str">
        <f>IFERROR(__xludf.DUMMYFUNCTION("""COMPUTED_VALUE"""),"งานกาชาด")</f>
        <v>งานกาชาด</v>
      </c>
      <c r="I436" s="3" t="str">
        <f>IFERROR(__xludf.DUMMYFUNCTION("""COMPUTED_VALUE"""),"สวนลุมพินี")</f>
        <v>สวนลุมพินี</v>
      </c>
      <c r="J436" s="12">
        <f>IFERROR(__xludf.DUMMYFUNCTION("""COMPUTED_VALUE"""),46080.0)</f>
        <v>46080</v>
      </c>
      <c r="K436" s="3" t="str">
        <f>IFERROR(__xludf.DUMMYFUNCTION("""COMPUTED_VALUE"""),"1400-2200")</f>
        <v>1400-2200</v>
      </c>
      <c r="L436" s="3">
        <f>IFERROR(__xludf.DUMMYFUNCTION("""COMPUTED_VALUE"""),8.0)</f>
        <v>8</v>
      </c>
      <c r="M436" s="3" t="str">
        <f>IFERROR(__xludf.DUMMYFUNCTION("""COMPUTED_VALUE"""),"น.อ.หญิง ผศ. วัลลภา อันดารา")</f>
        <v>น.อ.หญิง ผศ. วัลลภา อันดารา</v>
      </c>
      <c r="N436" s="14" t="str">
        <f>IFERROR(__xludf.DUMMYFUNCTION("""COMPUTED_VALUE"""),"https://lh5.googleusercontent.com/d/1aN8XJmuzcAJO-iXKVH0B0qNt_aIH3MJl")</f>
        <v>https://lh5.googleusercontent.com/d/1aN8XJmuzcAJO-iXKVH0B0qNt_aIH3MJl</v>
      </c>
      <c r="O436" s="14" t="str">
        <f>IFERROR(__xludf.DUMMYFUNCTION("""COMPUTED_VALUE"""),"https://drive.google.com/file/d/1MWsNLH3bXRhphcY3MztSdnjynAYxLMD1/view?usp=drivesdk")</f>
        <v>https://drive.google.com/file/d/1MWsNLH3bXRhphcY3MztSdnjynAYxLMD1/view?usp=drivesdk</v>
      </c>
    </row>
    <row r="437">
      <c r="A437" s="3">
        <f>IFERROR(__xludf.DUMMYFUNCTION("""COMPUTED_VALUE"""),1956.0)</f>
        <v>1956</v>
      </c>
      <c r="B437" s="11">
        <f>IFERROR(__xludf.DUMMYFUNCTION("""COMPUTED_VALUE"""),46080.52540824074)</f>
        <v>46080.52541</v>
      </c>
      <c r="C437" s="3" t="str">
        <f>IFERROR(__xludf.DUMMYFUNCTION("""COMPUTED_VALUE"""),"ชั้นปีที่ 3")</f>
        <v>ชั้นปีที่ 3</v>
      </c>
      <c r="D437" s="3" t="str">
        <f>IFERROR(__xludf.DUMMYFUNCTION("""COMPUTED_VALUE"""),"999999")</f>
        <v>999999</v>
      </c>
      <c r="E437" s="3" t="str">
        <f>IFERROR(__xludf.DUMMYFUNCTION("""COMPUTED_VALUE"""),"39")</f>
        <v>39</v>
      </c>
      <c r="F437" s="3" t="str">
        <f>IFERROR(__xludf.DUMMYFUNCTION("""COMPUTED_VALUE"""),"5345345t34t543")</f>
        <v>5345345t34t543</v>
      </c>
      <c r="G4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7" s="3" t="str">
        <f>IFERROR(__xludf.DUMMYFUNCTION("""COMPUTED_VALUE"""),"งานกาชาด")</f>
        <v>งานกาชาด</v>
      </c>
      <c r="I437" s="3" t="str">
        <f>IFERROR(__xludf.DUMMYFUNCTION("""COMPUTED_VALUE"""),"สวนลุมพินี")</f>
        <v>สวนลุมพินี</v>
      </c>
      <c r="J437" s="12">
        <f>IFERROR(__xludf.DUMMYFUNCTION("""COMPUTED_VALUE"""),46080.0)</f>
        <v>46080</v>
      </c>
      <c r="K437" s="3" t="str">
        <f>IFERROR(__xludf.DUMMYFUNCTION("""COMPUTED_VALUE"""),"1400-2200")</f>
        <v>1400-2200</v>
      </c>
      <c r="L437" s="3">
        <f>IFERROR(__xludf.DUMMYFUNCTION("""COMPUTED_VALUE"""),3.0)</f>
        <v>3</v>
      </c>
      <c r="M437" s="3" t="str">
        <f>IFERROR(__xludf.DUMMYFUNCTION("""COMPUTED_VALUE"""),"น.อ.หญิง ผศ. วัลลภา อันดารา")</f>
        <v>น.อ.หญิง ผศ. วัลลภา อันดารา</v>
      </c>
      <c r="N437" s="14" t="str">
        <f>IFERROR(__xludf.DUMMYFUNCTION("""COMPUTED_VALUE"""),"https://lh5.googleusercontent.com/d/1ASFLw1OD57DdzQK9V3e7dPaqSAlP5TFS")</f>
        <v>https://lh5.googleusercontent.com/d/1ASFLw1OD57DdzQK9V3e7dPaqSAlP5TFS</v>
      </c>
      <c r="O437" s="14" t="str">
        <f>IFERROR(__xludf.DUMMYFUNCTION("""COMPUTED_VALUE"""),"https://drive.google.com/file/d/18SWgz_1HSfWiZGboEhG5PS5wW4ITclhg/view?usp=drivesdk")</f>
        <v>https://drive.google.com/file/d/18SWgz_1HSfWiZGboEhG5PS5wW4ITclhg/view?usp=drivesdk</v>
      </c>
    </row>
    <row r="438">
      <c r="A438" s="3">
        <f>IFERROR(__xludf.DUMMYFUNCTION("""COMPUTED_VALUE"""),1957.0)</f>
        <v>1957</v>
      </c>
      <c r="B438" s="11">
        <f>IFERROR(__xludf.DUMMYFUNCTION("""COMPUTED_VALUE"""),46080.52795099537)</f>
        <v>46080.52795</v>
      </c>
      <c r="C438" s="3" t="str">
        <f>IFERROR(__xludf.DUMMYFUNCTION("""COMPUTED_VALUE"""),"ชั้นปีที่ 3")</f>
        <v>ชั้นปีที่ 3</v>
      </c>
      <c r="D438" s="3" t="str">
        <f>IFERROR(__xludf.DUMMYFUNCTION("""COMPUTED_VALUE"""),"999999")</f>
        <v>999999</v>
      </c>
      <c r="E438" s="3" t="str">
        <f>IFERROR(__xludf.DUMMYFUNCTION("""COMPUTED_VALUE"""),"2")</f>
        <v>2</v>
      </c>
      <c r="F438" s="3" t="str">
        <f>IFERROR(__xludf.DUMMYFUNCTION("""COMPUTED_VALUE"""),"5345345t34t543")</f>
        <v>5345345t34t543</v>
      </c>
      <c r="G438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438" s="3" t="str">
        <f>IFERROR(__xludf.DUMMYFUNCTION("""COMPUTED_VALUE"""),"4324")</f>
        <v>4324</v>
      </c>
      <c r="I438" s="3" t="str">
        <f>IFERROR(__xludf.DUMMYFUNCTION("""COMPUTED_VALUE"""),"สวนลุมพินี")</f>
        <v>สวนลุมพินี</v>
      </c>
      <c r="J438" s="12">
        <f>IFERROR(__xludf.DUMMYFUNCTION("""COMPUTED_VALUE"""),46080.0)</f>
        <v>46080</v>
      </c>
      <c r="K438" s="3" t="str">
        <f>IFERROR(__xludf.DUMMYFUNCTION("""COMPUTED_VALUE"""),"1400-2200")</f>
        <v>1400-2200</v>
      </c>
      <c r="L438" s="3">
        <f>IFERROR(__xludf.DUMMYFUNCTION("""COMPUTED_VALUE"""),2.0)</f>
        <v>2</v>
      </c>
      <c r="M438" s="3" t="str">
        <f>IFERROR(__xludf.DUMMYFUNCTION("""COMPUTED_VALUE"""),"น.อ.หญิง ผศ. วัลลภา อันดารา")</f>
        <v>น.อ.หญิง ผศ. วัลลภา อันดารา</v>
      </c>
      <c r="N438" s="14" t="str">
        <f>IFERROR(__xludf.DUMMYFUNCTION("""COMPUTED_VALUE"""),"https://lh5.googleusercontent.com/d/1dfGDsFt-ovkKJO0ZTW_--B8YcDpUnMWU")</f>
        <v>https://lh5.googleusercontent.com/d/1dfGDsFt-ovkKJO0ZTW_--B8YcDpUnMWU</v>
      </c>
      <c r="O438" s="14" t="str">
        <f>IFERROR(__xludf.DUMMYFUNCTION("""COMPUTED_VALUE"""),"https://drive.google.com/file/d/1NG7CtuSkutnXFr2CYyTXVxL3hR1zI4Px/view?usp=drivesdk")</f>
        <v>https://drive.google.com/file/d/1NG7CtuSkutnXFr2CYyTXVxL3hR1zI4Px/view?usp=drivesdk</v>
      </c>
    </row>
    <row r="439">
      <c r="A439" s="3">
        <f>IFERROR(__xludf.DUMMYFUNCTION("""COMPUTED_VALUE"""),1959.0)</f>
        <v>1959</v>
      </c>
      <c r="B439" s="11">
        <f>IFERROR(__xludf.DUMMYFUNCTION("""COMPUTED_VALUE"""),46128.54155421296)</f>
        <v>46128.54155</v>
      </c>
      <c r="C439" s="3" t="str">
        <f>IFERROR(__xludf.DUMMYFUNCTION("""COMPUTED_VALUE"""),"ชั้นปีที่ 3")</f>
        <v>ชั้นปีที่ 3</v>
      </c>
      <c r="D439" s="3" t="str">
        <f>IFERROR(__xludf.DUMMYFUNCTION("""COMPUTED_VALUE"""),"6603789")</f>
        <v>6603789</v>
      </c>
      <c r="E439" s="3" t="str">
        <f>IFERROR(__xludf.DUMMYFUNCTION("""COMPUTED_VALUE"""),"35")</f>
        <v>35</v>
      </c>
      <c r="F439" s="3" t="str">
        <f>IFERROR(__xludf.DUMMYFUNCTION("""COMPUTED_VALUE"""),"นพอ.ปานรัศมี ทองไทย")</f>
        <v>นพอ.ปานรัศมี ทองไทย</v>
      </c>
      <c r="G4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9" s="3" t="str">
        <f>IFERROR(__xludf.DUMMYFUNCTION("""COMPUTED_VALUE"""),"งานกาดชาด")</f>
        <v>งานกาดชาด</v>
      </c>
      <c r="I439" s="3" t="str">
        <f>IFERROR(__xludf.DUMMYFUNCTION("""COMPUTED_VALUE"""),"สวนลุมพินี")</f>
        <v>สวนลุมพินี</v>
      </c>
      <c r="J439" s="12">
        <f>IFERROR(__xludf.DUMMYFUNCTION("""COMPUTED_VALUE"""),46011.0)</f>
        <v>46011</v>
      </c>
      <c r="K439" s="3" t="str">
        <f>IFERROR(__xludf.DUMMYFUNCTION("""COMPUTED_VALUE"""),"1400-2200")</f>
        <v>1400-2200</v>
      </c>
      <c r="L439" s="3">
        <f>IFERROR(__xludf.DUMMYFUNCTION("""COMPUTED_VALUE"""),8.0)</f>
        <v>8</v>
      </c>
      <c r="M439" s="3" t="str">
        <f>IFERROR(__xludf.DUMMYFUNCTION("""COMPUTED_VALUE"""),"น.อ.หญิง ผศ.ดร. วัลลภา อันดารา")</f>
        <v>น.อ.หญิง ผศ.ดร. วัลลภา อันดารา</v>
      </c>
      <c r="N439" s="14" t="str">
        <f>IFERROR(__xludf.DUMMYFUNCTION("""COMPUTED_VALUE"""),"https://lh5.googleusercontent.com/d/1znNBH4Xu5NV1M_nXK_T63xcLBZ4e-ZpI")</f>
        <v>https://lh5.googleusercontent.com/d/1znNBH4Xu5NV1M_nXK_T63xcLBZ4e-ZpI</v>
      </c>
      <c r="O439" s="14" t="str">
        <f>IFERROR(__xludf.DUMMYFUNCTION("""COMPUTED_VALUE"""),"https://drive.google.com/file/d/1SSEnTWzp9nvX7fUCsfSP1OfGiVLpeHT_/view?usp=drivesdk")</f>
        <v>https://drive.google.com/file/d/1SSEnTWzp9nvX7fUCsfSP1OfGiVLpeHT_/view?usp=drivesdk</v>
      </c>
    </row>
    <row r="440">
      <c r="A440" s="3">
        <f>IFERROR(__xludf.DUMMYFUNCTION("""COMPUTED_VALUE"""),1960.0)</f>
        <v>1960</v>
      </c>
      <c r="B440" s="11">
        <f>IFERROR(__xludf.DUMMYFUNCTION("""COMPUTED_VALUE"""),46128.666071388885)</f>
        <v>46128.66607</v>
      </c>
      <c r="C440" s="3" t="str">
        <f>IFERROR(__xludf.DUMMYFUNCTION("""COMPUTED_VALUE"""),"ชั้นปีที่ 3")</f>
        <v>ชั้นปีที่ 3</v>
      </c>
      <c r="D440" s="3" t="str">
        <f>IFERROR(__xludf.DUMMYFUNCTION("""COMPUTED_VALUE"""),"6603777")</f>
        <v>6603777</v>
      </c>
      <c r="E440" s="3" t="str">
        <f>IFERROR(__xludf.DUMMYFUNCTION("""COMPUTED_VALUE"""),"23")</f>
        <v>23</v>
      </c>
      <c r="F440" s="3" t="str">
        <f>IFERROR(__xludf.DUMMYFUNCTION("""COMPUTED_VALUE"""),"นพอ.นัชธิดา ไกรทองสุข")</f>
        <v>นพอ.นัชธิดา ไกรทองสุข</v>
      </c>
      <c r="G44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0" s="3" t="str">
        <f>IFERROR(__xludf.DUMMYFUNCTION("""COMPUTED_VALUE"""),"งานวันเด็กแห่งชาติ 2569")</f>
        <v>งานวันเด็กแห่งชาติ 2569</v>
      </c>
      <c r="I440" s="3" t="str">
        <f>IFERROR(__xludf.DUMMYFUNCTION("""COMPUTED_VALUE"""),"กองบิน 6")</f>
        <v>กองบิน 6</v>
      </c>
      <c r="J440" s="12">
        <f>IFERROR(__xludf.DUMMYFUNCTION("""COMPUTED_VALUE"""),46032.0)</f>
        <v>46032</v>
      </c>
      <c r="K440" s="3" t="str">
        <f>IFERROR(__xludf.DUMMYFUNCTION("""COMPUTED_VALUE"""),"0600-1400")</f>
        <v>0600-1400</v>
      </c>
      <c r="L440" s="3">
        <f>IFERROR(__xludf.DUMMYFUNCTION("""COMPUTED_VALUE"""),8.0)</f>
        <v>8</v>
      </c>
      <c r="M440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440" s="14" t="str">
        <f>IFERROR(__xludf.DUMMYFUNCTION("""COMPUTED_VALUE"""),"https://lh5.googleusercontent.com/d/1L6iJomgrzndQs5oBRo2s9cU-oendoLHK")</f>
        <v>https://lh5.googleusercontent.com/d/1L6iJomgrzndQs5oBRo2s9cU-oendoLHK</v>
      </c>
      <c r="O440" s="14" t="str">
        <f>IFERROR(__xludf.DUMMYFUNCTION("""COMPUTED_VALUE"""),"https://drive.google.com/file/d/1KXhXO88ocRSGclLl6IfydLyV946HtPQV/view?usp=drivesdk")</f>
        <v>https://drive.google.com/file/d/1KXhXO88ocRSGclLl6IfydLyV946HtPQV/view?usp=drivesdk</v>
      </c>
    </row>
    <row r="441">
      <c r="A441" s="3">
        <f>IFERROR(__xludf.DUMMYFUNCTION("""COMPUTED_VALUE"""),1961.0)</f>
        <v>1961</v>
      </c>
      <c r="B441" s="11">
        <f>IFERROR(__xludf.DUMMYFUNCTION("""COMPUTED_VALUE"""),46128.683448692136)</f>
        <v>46128.68345</v>
      </c>
      <c r="C441" s="3" t="str">
        <f>IFERROR(__xludf.DUMMYFUNCTION("""COMPUTED_VALUE"""),"ชั้นปีที่ 3")</f>
        <v>ชั้นปีที่ 3</v>
      </c>
      <c r="D441" s="3" t="str">
        <f>IFERROR(__xludf.DUMMYFUNCTION("""COMPUTED_VALUE"""),"6603777")</f>
        <v>6603777</v>
      </c>
      <c r="E441" s="3" t="str">
        <f>IFERROR(__xludf.DUMMYFUNCTION("""COMPUTED_VALUE"""),"23")</f>
        <v>23</v>
      </c>
      <c r="F441" s="3" t="str">
        <f>IFERROR(__xludf.DUMMYFUNCTION("""COMPUTED_VALUE"""),"นพอ.นัชธิดา ไกรทองสุข")</f>
        <v>นพอ.นัชธิดา ไกรทองสุข</v>
      </c>
      <c r="G44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1" s="3" t="str">
        <f>IFERROR(__xludf.DUMMYFUNCTION("""COMPUTED_VALUE"""),"งานกาชาดประจำปี 2568 ")</f>
        <v>งานกาชาดประจำปี 2568 </v>
      </c>
      <c r="I441" s="3" t="str">
        <f>IFERROR(__xludf.DUMMYFUNCTION("""COMPUTED_VALUE"""),"สวนลุมพินี")</f>
        <v>สวนลุมพินี</v>
      </c>
      <c r="J441" s="12">
        <f>IFERROR(__xludf.DUMMYFUNCTION("""COMPUTED_VALUE"""),46010.0)</f>
        <v>46010</v>
      </c>
      <c r="K441" s="3" t="str">
        <f>IFERROR(__xludf.DUMMYFUNCTION("""COMPUTED_VALUE"""),"1400-2200")</f>
        <v>1400-2200</v>
      </c>
      <c r="L441" s="3">
        <f>IFERROR(__xludf.DUMMYFUNCTION("""COMPUTED_VALUE"""),8.0)</f>
        <v>8</v>
      </c>
      <c r="M441" s="3" t="str">
        <f>IFERROR(__xludf.DUMMYFUNCTION("""COMPUTED_VALUE"""),"น.ต.ศักดิ์ชัย บุญประสิทธิ์")</f>
        <v>น.ต.ศักดิ์ชัย บุญประสิทธิ์</v>
      </c>
      <c r="N441" s="14" t="str">
        <f>IFERROR(__xludf.DUMMYFUNCTION("""COMPUTED_VALUE"""),"https://lh5.googleusercontent.com/d/1Ie5cVOX98GTO1rgxv9yk9NYivVKVEDXe")</f>
        <v>https://lh5.googleusercontent.com/d/1Ie5cVOX98GTO1rgxv9yk9NYivVKVEDXe</v>
      </c>
      <c r="O441" s="14" t="str">
        <f>IFERROR(__xludf.DUMMYFUNCTION("""COMPUTED_VALUE"""),"https://drive.google.com/file/d/1qKRY5KfqJiXDZ71T9WX2NvQ-8O6A7OXR/view?usp=drivesdk")</f>
        <v>https://drive.google.com/file/d/1qKRY5KfqJiXDZ71T9WX2NvQ-8O6A7OXR/view?usp=drivesdk</v>
      </c>
    </row>
    <row r="442">
      <c r="A442" s="3">
        <f>IFERROR(__xludf.DUMMYFUNCTION("""COMPUTED_VALUE"""),1963.0)</f>
        <v>1963</v>
      </c>
      <c r="B442" s="11">
        <f>IFERROR(__xludf.DUMMYFUNCTION("""COMPUTED_VALUE"""),46128.72823922453)</f>
        <v>46128.72824</v>
      </c>
      <c r="C442" s="3" t="str">
        <f>IFERROR(__xludf.DUMMYFUNCTION("""COMPUTED_VALUE"""),"ชั้นปีที่ 3")</f>
        <v>ชั้นปีที่ 3</v>
      </c>
      <c r="D442" s="3" t="str">
        <f>IFERROR(__xludf.DUMMYFUNCTION("""COMPUTED_VALUE"""),"6603777")</f>
        <v>6603777</v>
      </c>
      <c r="E442" s="3" t="str">
        <f>IFERROR(__xludf.DUMMYFUNCTION("""COMPUTED_VALUE"""),"23")</f>
        <v>23</v>
      </c>
      <c r="F442" s="3" t="str">
        <f>IFERROR(__xludf.DUMMYFUNCTION("""COMPUTED_VALUE"""),"นพอ.นัชธิดา ไกรทองสุข")</f>
        <v>นพอ.นัชธิดา ไกรทองสุข</v>
      </c>
      <c r="G442" s="3" t="str">
        <f>IFERROR(__xludf.DUMMYFUNCTION("""COMPUTED_VALUE"""),"ช่วยเหลืองานภายใน วพอ.")</f>
        <v>ช่วยเหลืองานภายใน วพอ.</v>
      </c>
      <c r="H442" s="3" t="str">
        <f>IFERROR(__xludf.DUMMYFUNCTION("""COMPUTED_VALUE"""),"ช่วยจัดเก็บห้องปฏิบัติการมารดาทารกและการผดุงครรภ์ ")</f>
        <v>ช่วยจัดเก็บห้องปฏิบัติการมารดาทารกและการผดุงครรภ์ </v>
      </c>
      <c r="I442" s="3" t="str">
        <f>IFERROR(__xludf.DUMMYFUNCTION("""COMPUTED_VALUE"""),"ห้องปฏิบัติการมารดาทารกและการผดุงครรภ์ อาคารศูนย์การเรียนรู้")</f>
        <v>ห้องปฏิบัติการมารดาทารกและการผดุงครรภ์ อาคารศูนย์การเรียนรู้</v>
      </c>
      <c r="J442" s="12">
        <f>IFERROR(__xludf.DUMMYFUNCTION("""COMPUTED_VALUE"""),46094.0)</f>
        <v>46094</v>
      </c>
      <c r="K442" s="3" t="str">
        <f>IFERROR(__xludf.DUMMYFUNCTION("""COMPUTED_VALUE"""),"1100-1200")</f>
        <v>1100-1200</v>
      </c>
      <c r="L442" s="3">
        <f>IFERROR(__xludf.DUMMYFUNCTION("""COMPUTED_VALUE"""),1.0)</f>
        <v>1</v>
      </c>
      <c r="M442" s="3" t="str">
        <f>IFERROR(__xludf.DUMMYFUNCTION("""COMPUTED_VALUE"""),"น.ต. หญิง จิรปรียา โรจนเกียรติปรีดา")</f>
        <v>น.ต. หญิง จิรปรียา โรจนเกียรติปรีดา</v>
      </c>
      <c r="N442" s="14" t="str">
        <f>IFERROR(__xludf.DUMMYFUNCTION("""COMPUTED_VALUE"""),"https://lh5.googleusercontent.com/d/1RoLmhOrBEMDn5d2RT1mWDjysyh6DmlJh")</f>
        <v>https://lh5.googleusercontent.com/d/1RoLmhOrBEMDn5d2RT1mWDjysyh6DmlJh</v>
      </c>
      <c r="O442" s="14" t="str">
        <f>IFERROR(__xludf.DUMMYFUNCTION("""COMPUTED_VALUE"""),"https://drive.google.com/file/d/1p7Vojk9bErXzw_v6j8ArS5QEriZ71Uka/view?usp=drivesdk")</f>
        <v>https://drive.google.com/file/d/1p7Vojk9bErXzw_v6j8ArS5QEriZ71Uka/view?usp=drivesdk</v>
      </c>
    </row>
    <row r="443">
      <c r="A443" s="3">
        <f>IFERROR(__xludf.DUMMYFUNCTION("""COMPUTED_VALUE"""),1965.0)</f>
        <v>1965</v>
      </c>
      <c r="B443" s="11">
        <f>IFERROR(__xludf.DUMMYFUNCTION("""COMPUTED_VALUE"""),46129.533063020834)</f>
        <v>46129.53306</v>
      </c>
      <c r="C443" s="3" t="str">
        <f>IFERROR(__xludf.DUMMYFUNCTION("""COMPUTED_VALUE"""),"ชั้นปีที่ 3")</f>
        <v>ชั้นปีที่ 3</v>
      </c>
      <c r="D443" s="3" t="str">
        <f>IFERROR(__xludf.DUMMYFUNCTION("""COMPUTED_VALUE"""),"6603789")</f>
        <v>6603789</v>
      </c>
      <c r="E443" s="3" t="str">
        <f>IFERROR(__xludf.DUMMYFUNCTION("""COMPUTED_VALUE"""),"35")</f>
        <v>35</v>
      </c>
      <c r="F443" s="3" t="str">
        <f>IFERROR(__xludf.DUMMYFUNCTION("""COMPUTED_VALUE"""),"นพอ.ปานรัศมี ทองไทย")</f>
        <v>นพอ.ปานรัศมี ทองไทย</v>
      </c>
      <c r="G4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3" s="3" t="str">
        <f>IFERROR(__xludf.DUMMYFUNCTION("""COMPUTED_VALUE"""),"ซ้อมเต้นงานกอล์ฟ ทอ.")</f>
        <v>ซ้อมเต้นงานกอล์ฟ ทอ.</v>
      </c>
      <c r="I443" s="3" t="str">
        <f>IFERROR(__xludf.DUMMYFUNCTION("""COMPUTED_VALUE"""),"วพอ.พอ.")</f>
        <v>วพอ.พอ.</v>
      </c>
      <c r="J443" s="12">
        <f>IFERROR(__xludf.DUMMYFUNCTION("""COMPUTED_VALUE"""),46064.0)</f>
        <v>46064</v>
      </c>
      <c r="K443" s="3" t="str">
        <f>IFERROR(__xludf.DUMMYFUNCTION("""COMPUTED_VALUE"""),"1830-2030")</f>
        <v>1830-2030</v>
      </c>
      <c r="L443" s="3">
        <f>IFERROR(__xludf.DUMMYFUNCTION("""COMPUTED_VALUE"""),2.0)</f>
        <v>2</v>
      </c>
      <c r="M443" s="3" t="str">
        <f>IFERROR(__xludf.DUMMYFUNCTION("""COMPUTED_VALUE"""),"น.ท.หญิง ลักษ์ขณา พานิชสวรรค์")</f>
        <v>น.ท.หญิง ลักษ์ขณา พานิชสวรรค์</v>
      </c>
      <c r="N443" s="14" t="str">
        <f>IFERROR(__xludf.DUMMYFUNCTION("""COMPUTED_VALUE"""),"https://lh5.googleusercontent.com/d/1bO-94WBLF-mryGR6BgzdDUR1LE8WIMsS")</f>
        <v>https://lh5.googleusercontent.com/d/1bO-94WBLF-mryGR6BgzdDUR1LE8WIMsS</v>
      </c>
      <c r="O443" s="14" t="str">
        <f>IFERROR(__xludf.DUMMYFUNCTION("""COMPUTED_VALUE"""),"https://drive.google.com/file/d/15HyMkD0ESgFFHwumL681w-4nUCO6gPvo/view?usp=drivesdk")</f>
        <v>https://drive.google.com/file/d/15HyMkD0ESgFFHwumL681w-4nUCO6gPvo/view?usp=drivesdk</v>
      </c>
    </row>
    <row r="444">
      <c r="A444" s="3">
        <f>IFERROR(__xludf.DUMMYFUNCTION("""COMPUTED_VALUE"""),1966.0)</f>
        <v>1966</v>
      </c>
      <c r="B444" s="11">
        <f>IFERROR(__xludf.DUMMYFUNCTION("""COMPUTED_VALUE"""),46129.53684605325)</f>
        <v>46129.53685</v>
      </c>
      <c r="C444" s="3" t="str">
        <f>IFERROR(__xludf.DUMMYFUNCTION("""COMPUTED_VALUE"""),"ชั้นปีที่ 3")</f>
        <v>ชั้นปีที่ 3</v>
      </c>
      <c r="D444" s="3" t="str">
        <f>IFERROR(__xludf.DUMMYFUNCTION("""COMPUTED_VALUE"""),"6603789")</f>
        <v>6603789</v>
      </c>
      <c r="E444" s="3" t="str">
        <f>IFERROR(__xludf.DUMMYFUNCTION("""COMPUTED_VALUE"""),"35")</f>
        <v>35</v>
      </c>
      <c r="F444" s="3" t="str">
        <f>IFERROR(__xludf.DUMMYFUNCTION("""COMPUTED_VALUE"""),"นพอ.ปานรัศมี ทองไทย")</f>
        <v>นพอ.ปานรัศมี ทองไทย</v>
      </c>
      <c r="G4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4" s="3" t="str">
        <f>IFERROR(__xludf.DUMMYFUNCTION("""COMPUTED_VALUE"""),"ซ้อมเต้นงานกอล์ฟ ทอ.")</f>
        <v>ซ้อมเต้นงานกอล์ฟ ทอ.</v>
      </c>
      <c r="I444" s="3" t="str">
        <f>IFERROR(__xludf.DUMMYFUNCTION("""COMPUTED_VALUE"""),"วพอ.พอ.")</f>
        <v>วพอ.พอ.</v>
      </c>
      <c r="J444" s="12">
        <f>IFERROR(__xludf.DUMMYFUNCTION("""COMPUTED_VALUE"""),46065.0)</f>
        <v>46065</v>
      </c>
      <c r="K444" s="3" t="str">
        <f>IFERROR(__xludf.DUMMYFUNCTION("""COMPUTED_VALUE"""),"1830-2030")</f>
        <v>1830-2030</v>
      </c>
      <c r="L444" s="3">
        <f>IFERROR(__xludf.DUMMYFUNCTION("""COMPUTED_VALUE"""),2.0)</f>
        <v>2</v>
      </c>
      <c r="M444" s="3" t="str">
        <f>IFERROR(__xludf.DUMMYFUNCTION("""COMPUTED_VALUE"""),"น.ท.หญิง ลักษ์ขณา พานิชสวรรค์")</f>
        <v>น.ท.หญิง ลักษ์ขณา พานิชสวรรค์</v>
      </c>
      <c r="N444" s="14" t="str">
        <f>IFERROR(__xludf.DUMMYFUNCTION("""COMPUTED_VALUE"""),"https://lh5.googleusercontent.com/d/1jBAZiVP7RP8ISbwF-oZq_1h-rZt6pSbV")</f>
        <v>https://lh5.googleusercontent.com/d/1jBAZiVP7RP8ISbwF-oZq_1h-rZt6pSbV</v>
      </c>
      <c r="O444" s="14" t="str">
        <f>IFERROR(__xludf.DUMMYFUNCTION("""COMPUTED_VALUE"""),"https://drive.google.com/file/d/1nlb3ln-V7Mhgs6NqyFAcCUKF9PJ51npE/view?usp=drivesdk")</f>
        <v>https://drive.google.com/file/d/1nlb3ln-V7Mhgs6NqyFAcCUKF9PJ51npE/view?usp=drivesdk</v>
      </c>
    </row>
    <row r="445">
      <c r="A445" s="3">
        <f>IFERROR(__xludf.DUMMYFUNCTION("""COMPUTED_VALUE"""),1967.0)</f>
        <v>1967</v>
      </c>
      <c r="B445" s="11">
        <f>IFERROR(__xludf.DUMMYFUNCTION("""COMPUTED_VALUE"""),46129.54184939815)</f>
        <v>46129.54185</v>
      </c>
      <c r="C445" s="3" t="str">
        <f>IFERROR(__xludf.DUMMYFUNCTION("""COMPUTED_VALUE"""),"ชั้นปีที่ 3")</f>
        <v>ชั้นปีที่ 3</v>
      </c>
      <c r="D445" s="3" t="str">
        <f>IFERROR(__xludf.DUMMYFUNCTION("""COMPUTED_VALUE"""),"6603789")</f>
        <v>6603789</v>
      </c>
      <c r="E445" s="3" t="str">
        <f>IFERROR(__xludf.DUMMYFUNCTION("""COMPUTED_VALUE"""),"35")</f>
        <v>35</v>
      </c>
      <c r="F445" s="3" t="str">
        <f>IFERROR(__xludf.DUMMYFUNCTION("""COMPUTED_VALUE"""),"นพอ.ปานรัศมี ทองไทย")</f>
        <v>นพอ.ปานรัศมี ทองไทย</v>
      </c>
      <c r="G4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5" s="3" t="str">
        <f>IFERROR(__xludf.DUMMYFUNCTION("""COMPUTED_VALUE"""),"งานกอล์ฟทอ.")</f>
        <v>งานกอล์ฟทอ.</v>
      </c>
      <c r="I445" s="3" t="str">
        <f>IFERROR(__xludf.DUMMYFUNCTION("""COMPUTED_VALUE"""),"สนามกอล์ฟทูปะเตมีย์")</f>
        <v>สนามกอล์ฟทูปะเตมีย์</v>
      </c>
      <c r="J445" s="12">
        <f>IFERROR(__xludf.DUMMYFUNCTION("""COMPUTED_VALUE"""),46066.0)</f>
        <v>46066</v>
      </c>
      <c r="K445" s="3" t="str">
        <f>IFERROR(__xludf.DUMMYFUNCTION("""COMPUTED_VALUE"""),"1600-2000")</f>
        <v>1600-2000</v>
      </c>
      <c r="L445" s="3">
        <f>IFERROR(__xludf.DUMMYFUNCTION("""COMPUTED_VALUE"""),4.0)</f>
        <v>4</v>
      </c>
      <c r="M445" s="3" t="str">
        <f>IFERROR(__xludf.DUMMYFUNCTION("""COMPUTED_VALUE"""),"น.ท.หญิง ลักษ์ขณา พานิชสวรรค์")</f>
        <v>น.ท.หญิง ลักษ์ขณา พานิชสวรรค์</v>
      </c>
      <c r="N445" s="14" t="str">
        <f>IFERROR(__xludf.DUMMYFUNCTION("""COMPUTED_VALUE"""),"https://lh5.googleusercontent.com/d/1XHd9KHFHcxH8WF_gyeTcY-UZU-rsbKNm")</f>
        <v>https://lh5.googleusercontent.com/d/1XHd9KHFHcxH8WF_gyeTcY-UZU-rsbKNm</v>
      </c>
      <c r="O445" s="14" t="str">
        <f>IFERROR(__xludf.DUMMYFUNCTION("""COMPUTED_VALUE"""),"https://drive.google.com/file/d/1V3eO471SRLWQMhudyrrXvRBqqiLsdqQj/view?usp=drivesdk")</f>
        <v>https://drive.google.com/file/d/1V3eO471SRLWQMhudyrrXvRBqqiLsdqQj/view?usp=drivesdk</v>
      </c>
    </row>
    <row r="446">
      <c r="A446" s="3">
        <f>IFERROR(__xludf.DUMMYFUNCTION("""COMPUTED_VALUE"""),1968.0)</f>
        <v>1968</v>
      </c>
      <c r="B446" s="11">
        <f>IFERROR(__xludf.DUMMYFUNCTION("""COMPUTED_VALUE"""),46129.554719039355)</f>
        <v>46129.55472</v>
      </c>
      <c r="C446" s="3" t="str">
        <f>IFERROR(__xludf.DUMMYFUNCTION("""COMPUTED_VALUE"""),"ชั้นปีที่ 3")</f>
        <v>ชั้นปีที่ 3</v>
      </c>
      <c r="D446" s="3" t="str">
        <f>IFERROR(__xludf.DUMMYFUNCTION("""COMPUTED_VALUE"""),"6603778")</f>
        <v>6603778</v>
      </c>
      <c r="E446" s="3" t="str">
        <f>IFERROR(__xludf.DUMMYFUNCTION("""COMPUTED_VALUE"""),"24")</f>
        <v>24</v>
      </c>
      <c r="F446" s="3" t="str">
        <f>IFERROR(__xludf.DUMMYFUNCTION("""COMPUTED_VALUE"""),"นพอ.นันท์นภัส เคนสุวรรณ")</f>
        <v>นพอ.นันท์นภัส เคนสุวรรณ</v>
      </c>
      <c r="G4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6" s="3" t="str">
        <f>IFERROR(__xludf.DUMMYFUNCTION("""COMPUTED_VALUE"""),"สงกรานต์เบิกบานจิต")</f>
        <v>สงกรานต์เบิกบานจิต</v>
      </c>
      <c r="I446" s="3" t="str">
        <f>IFERROR(__xludf.DUMMYFUNCTION("""COMPUTED_VALUE"""),"โรงพยาบาลศรีธัญญา")</f>
        <v>โรงพยาบาลศรีธัญญา</v>
      </c>
      <c r="J446" s="12">
        <f>IFERROR(__xludf.DUMMYFUNCTION("""COMPUTED_VALUE"""),46121.0)</f>
        <v>46121</v>
      </c>
      <c r="K446" s="3" t="str">
        <f>IFERROR(__xludf.DUMMYFUNCTION("""COMPUTED_VALUE"""),"0800-1600")</f>
        <v>0800-1600</v>
      </c>
      <c r="L446" s="3">
        <f>IFERROR(__xludf.DUMMYFUNCTION("""COMPUTED_VALUE"""),8.0)</f>
        <v>8</v>
      </c>
      <c r="M446" s="3" t="str">
        <f>IFERROR(__xludf.DUMMYFUNCTION("""COMPUTED_VALUE"""),"น.ต.หญิง รฐานุช ถิ่นสอน")</f>
        <v>น.ต.หญิง รฐานุช ถิ่นสอน</v>
      </c>
      <c r="N446" s="14" t="str">
        <f>IFERROR(__xludf.DUMMYFUNCTION("""COMPUTED_VALUE"""),"https://lh5.googleusercontent.com/d/1kIRy3YJRUw2flJ8hq90gKaukfxsFFzl3")</f>
        <v>https://lh5.googleusercontent.com/d/1kIRy3YJRUw2flJ8hq90gKaukfxsFFzl3</v>
      </c>
      <c r="O446" s="14" t="str">
        <f>IFERROR(__xludf.DUMMYFUNCTION("""COMPUTED_VALUE"""),"https://drive.google.com/file/d/1ufa9WYZlnMRz4kb1ONzBWdHzobWOq6wu/view?usp=drivesdk")</f>
        <v>https://drive.google.com/file/d/1ufa9WYZlnMRz4kb1ONzBWdHzobWOq6wu/view?usp=drivesdk</v>
      </c>
    </row>
    <row r="447">
      <c r="A447" s="3">
        <f>IFERROR(__xludf.DUMMYFUNCTION("""COMPUTED_VALUE"""),1969.0)</f>
        <v>1969</v>
      </c>
      <c r="B447" s="11">
        <f>IFERROR(__xludf.DUMMYFUNCTION("""COMPUTED_VALUE"""),46129.55649012732)</f>
        <v>46129.55649</v>
      </c>
      <c r="C447" s="3" t="str">
        <f>IFERROR(__xludf.DUMMYFUNCTION("""COMPUTED_VALUE"""),"ชั้นปีที่ 3")</f>
        <v>ชั้นปีที่ 3</v>
      </c>
      <c r="D447" s="3" t="str">
        <f>IFERROR(__xludf.DUMMYFUNCTION("""COMPUTED_VALUE"""),"6603778")</f>
        <v>6603778</v>
      </c>
      <c r="E447" s="3" t="str">
        <f>IFERROR(__xludf.DUMMYFUNCTION("""COMPUTED_VALUE"""),"24")</f>
        <v>24</v>
      </c>
      <c r="F447" s="3" t="str">
        <f>IFERROR(__xludf.DUMMYFUNCTION("""COMPUTED_VALUE"""),"นพอ.นันท์นภัส เคนสุวรรณ")</f>
        <v>นพอ.นันท์นภัส เคนสุวรรณ</v>
      </c>
      <c r="G447" s="3" t="str">
        <f>IFERROR(__xludf.DUMMYFUNCTION("""COMPUTED_VALUE"""),"ช่วยเหลืองานภายใน วพอ.")</f>
        <v>ช่วยเหลืองานภายใน วพอ.</v>
      </c>
      <c r="H447" s="3" t="str">
        <f>IFERROR(__xludf.DUMMYFUNCTION("""COMPUTED_VALUE"""),"อนุรักษ์สิ่งแวดล้อม")</f>
        <v>อนุรักษ์สิ่งแวดล้อม</v>
      </c>
      <c r="I447" s="3" t="str">
        <f>IFERROR(__xludf.DUMMYFUNCTION("""COMPUTED_VALUE"""),"วพอ.")</f>
        <v>วพอ.</v>
      </c>
      <c r="J447" s="12">
        <f>IFERROR(__xludf.DUMMYFUNCTION("""COMPUTED_VALUE"""),46129.0)</f>
        <v>46129</v>
      </c>
      <c r="K447" s="3" t="str">
        <f>IFERROR(__xludf.DUMMYFUNCTION("""COMPUTED_VALUE"""),"0800-1200")</f>
        <v>0800-1200</v>
      </c>
      <c r="L447" s="3">
        <f>IFERROR(__xludf.DUMMYFUNCTION("""COMPUTED_VALUE"""),4.0)</f>
        <v>4</v>
      </c>
      <c r="M447" s="3" t="str">
        <f>IFERROR(__xludf.DUMMYFUNCTION("""COMPUTED_VALUE"""),"น.ท.หญิง สุพัตรา ปิ่นแก้ว")</f>
        <v>น.ท.หญิง สุพัตรา ปิ่นแก้ว</v>
      </c>
      <c r="N447" s="14" t="str">
        <f>IFERROR(__xludf.DUMMYFUNCTION("""COMPUTED_VALUE"""),"https://lh5.googleusercontent.com/d/1kLMttJo9kxXolqJtHraywFIVUoMDr5Bw")</f>
        <v>https://lh5.googleusercontent.com/d/1kLMttJo9kxXolqJtHraywFIVUoMDr5Bw</v>
      </c>
      <c r="O447" s="14" t="str">
        <f>IFERROR(__xludf.DUMMYFUNCTION("""COMPUTED_VALUE"""),"https://drive.google.com/file/d/1x1nA80rTvsb1zrS2rVwclFEAUvG5npKN/view?usp=drivesdk")</f>
        <v>https://drive.google.com/file/d/1x1nA80rTvsb1zrS2rVwclFEAUvG5npKN/view?usp=drivesdk</v>
      </c>
    </row>
    <row r="448">
      <c r="A448" s="3">
        <f>IFERROR(__xludf.DUMMYFUNCTION("""COMPUTED_VALUE"""),1971.0)</f>
        <v>1971</v>
      </c>
      <c r="B448" s="11">
        <f>IFERROR(__xludf.DUMMYFUNCTION("""COMPUTED_VALUE"""),46137.358767245365)</f>
        <v>46137.35877</v>
      </c>
      <c r="C448" s="3" t="str">
        <f>IFERROR(__xludf.DUMMYFUNCTION("""COMPUTED_VALUE"""),"ชั้นปีที่ 3")</f>
        <v>ชั้นปีที่ 3</v>
      </c>
      <c r="D448" s="3" t="str">
        <f>IFERROR(__xludf.DUMMYFUNCTION("""COMPUTED_VALUE"""),"6603776")</f>
        <v>6603776</v>
      </c>
      <c r="E448" s="3" t="str">
        <f>IFERROR(__xludf.DUMMYFUNCTION("""COMPUTED_VALUE"""),"22")</f>
        <v>22</v>
      </c>
      <c r="F448" s="3" t="str">
        <f>IFERROR(__xludf.DUMMYFUNCTION("""COMPUTED_VALUE"""),"นพอ.นภชนก อัครวุฒิญาณ")</f>
        <v>นพอ.นภชนก อัครวุฒิญาณ</v>
      </c>
      <c r="G44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48" s="3" t="str">
        <f>IFERROR(__xludf.DUMMYFUNCTION("""COMPUTED_VALUE"""),"บริจาคโลหิต")</f>
        <v>บริจาคโลหิต</v>
      </c>
      <c r="I448" s="3" t="str">
        <f>IFERROR(__xludf.DUMMYFUNCTION("""COMPUTED_VALUE"""),"ศูนย์บริการโลหิตแห่งชาติสภากาชาดไทย")</f>
        <v>ศูนย์บริการโลหิตแห่งชาติสภากาชาดไทย</v>
      </c>
      <c r="J448" s="12">
        <f>IFERROR(__xludf.DUMMYFUNCTION("""COMPUTED_VALUE"""),46124.0)</f>
        <v>46124</v>
      </c>
      <c r="K448" s="3" t="str">
        <f>IFERROR(__xludf.DUMMYFUNCTION("""COMPUTED_VALUE"""),"14.00")</f>
        <v>14.00</v>
      </c>
      <c r="L448" s="3">
        <f>IFERROR(__xludf.DUMMYFUNCTION("""COMPUTED_VALUE"""),8.0)</f>
        <v>8</v>
      </c>
      <c r="M448" s="3" t="str">
        <f>IFERROR(__xludf.DUMMYFUNCTION("""COMPUTED_VALUE"""),"พยายาบาฃสภากาชาดไทย")</f>
        <v>พยายาบาฃสภากาชาดไทย</v>
      </c>
      <c r="N448" s="14" t="str">
        <f>IFERROR(__xludf.DUMMYFUNCTION("""COMPUTED_VALUE"""),"https://lh5.googleusercontent.com/d/1z-Ll8YpfdWOtM2SaJpHK9LLUVoyY51PV")</f>
        <v>https://lh5.googleusercontent.com/d/1z-Ll8YpfdWOtM2SaJpHK9LLUVoyY51PV</v>
      </c>
      <c r="O448" s="14" t="str">
        <f>IFERROR(__xludf.DUMMYFUNCTION("""COMPUTED_VALUE"""),"https://drive.google.com/file/d/15CzCX7bYWp0nYjQGD32Q5y9Hay2Bg9rl/view?usp=drivesdk")</f>
        <v>https://drive.google.com/file/d/15CzCX7bYWp0nYjQGD32Q5y9Hay2Bg9rl/view?usp=drivesdk</v>
      </c>
    </row>
    <row r="449">
      <c r="A449" s="3">
        <f>IFERROR(__xludf.DUMMYFUNCTION("""COMPUTED_VALUE"""),1972.0)</f>
        <v>1972</v>
      </c>
      <c r="B449" s="11">
        <f>IFERROR(__xludf.DUMMYFUNCTION("""COMPUTED_VALUE"""),46139.41446769676)</f>
        <v>46139.41447</v>
      </c>
      <c r="C449" s="3" t="str">
        <f>IFERROR(__xludf.DUMMYFUNCTION("""COMPUTED_VALUE"""),"ชั้นปีที่ 3")</f>
        <v>ชั้นปีที่ 3</v>
      </c>
      <c r="D449" s="3" t="str">
        <f>IFERROR(__xludf.DUMMYFUNCTION("""COMPUTED_VALUE"""),"6603799")</f>
        <v>6603799</v>
      </c>
      <c r="E449" s="3" t="str">
        <f>IFERROR(__xludf.DUMMYFUNCTION("""COMPUTED_VALUE"""),"45")</f>
        <v>45</v>
      </c>
      <c r="F449" s="3" t="str">
        <f>IFERROR(__xludf.DUMMYFUNCTION("""COMPUTED_VALUE"""),"นพอ.วรัญญา สุวรรณ")</f>
        <v>นพอ.วรัญญา สุวรรณ</v>
      </c>
      <c r="G449" s="3" t="str">
        <f>IFERROR(__xludf.DUMMYFUNCTION("""COMPUTED_VALUE"""),"ช่วยเหลืองานภายใน วพอ.")</f>
        <v>ช่วยเหลืองานภายใน วพอ.</v>
      </c>
      <c r="H449" s="3" t="str">
        <f>IFERROR(__xludf.DUMMYFUNCTION("""COMPUTED_VALUE"""),"ต้อนรับวิทยาลัยกองทัพเรือเข้าศึกษาดูงาน")</f>
        <v>ต้อนรับวิทยาลัยกองทัพเรือเข้าศึกษาดูงาน</v>
      </c>
      <c r="I449" s="3" t="str">
        <f>IFERROR(__xludf.DUMMYFUNCTION("""COMPUTED_VALUE"""),"ห้องจิตเวชศูนย์การเรียนรู้")</f>
        <v>ห้องจิตเวชศูนย์การเรียนรู้</v>
      </c>
      <c r="J449" s="12">
        <f>IFERROR(__xludf.DUMMYFUNCTION("""COMPUTED_VALUE"""),46064.0)</f>
        <v>46064</v>
      </c>
      <c r="K449" s="3" t="str">
        <f>IFERROR(__xludf.DUMMYFUNCTION("""COMPUTED_VALUE"""),"0900-1200")</f>
        <v>0900-1200</v>
      </c>
      <c r="L449" s="3">
        <f>IFERROR(__xludf.DUMMYFUNCTION("""COMPUTED_VALUE"""),4.0)</f>
        <v>4</v>
      </c>
      <c r="M449" s="3" t="str">
        <f>IFERROR(__xludf.DUMMYFUNCTION("""COMPUTED_VALUE"""),"น.ท.หญิง ดร.ลักษ์ขณา พานิชสรรค์")</f>
        <v>น.ท.หญิง ดร.ลักษ์ขณา พานิชสรรค์</v>
      </c>
      <c r="N449" s="14" t="str">
        <f>IFERROR(__xludf.DUMMYFUNCTION("""COMPUTED_VALUE"""),"https://lh5.googleusercontent.com/d/1p3kyRoOyDSA5U_ixXP11eoNwnMSFwF2b")</f>
        <v>https://lh5.googleusercontent.com/d/1p3kyRoOyDSA5U_ixXP11eoNwnMSFwF2b</v>
      </c>
      <c r="O449" s="14" t="str">
        <f>IFERROR(__xludf.DUMMYFUNCTION("""COMPUTED_VALUE"""),"https://drive.google.com/file/d/1mYXaQKGLsE8pEifW4qzxNJrG5I_4HqYY/view?usp=drivesdk")</f>
        <v>https://drive.google.com/file/d/1mYXaQKGLsE8pEifW4qzxNJrG5I_4HqYY/view?usp=drivesdk</v>
      </c>
    </row>
    <row r="450">
      <c r="A450" s="3">
        <f>IFERROR(__xludf.DUMMYFUNCTION("""COMPUTED_VALUE"""),1973.0)</f>
        <v>1973</v>
      </c>
      <c r="B450" s="11">
        <f>IFERROR(__xludf.DUMMYFUNCTION("""COMPUTED_VALUE"""),46139.42457788194)</f>
        <v>46139.42458</v>
      </c>
      <c r="C450" s="3" t="str">
        <f>IFERROR(__xludf.DUMMYFUNCTION("""COMPUTED_VALUE"""),"ชั้นปีที่ 3")</f>
        <v>ชั้นปีที่ 3</v>
      </c>
      <c r="D450" s="3" t="str">
        <f>IFERROR(__xludf.DUMMYFUNCTION("""COMPUTED_VALUE"""),"6603787")</f>
        <v>6603787</v>
      </c>
      <c r="E450" s="3" t="str">
        <f>IFERROR(__xludf.DUMMYFUNCTION("""COMPUTED_VALUE"""),"33")</f>
        <v>33</v>
      </c>
      <c r="F450" s="3" t="str">
        <f>IFERROR(__xludf.DUMMYFUNCTION("""COMPUTED_VALUE"""),"นพอ.ปรียาภรณ์ ทองอำพันธ์")</f>
        <v>นพอ.ปรียาภรณ์ ทองอำพันธ์</v>
      </c>
      <c r="G450" s="3" t="str">
        <f>IFERROR(__xludf.DUMMYFUNCTION("""COMPUTED_VALUE"""),"ช่วยเหลืองานภายใน วพอ.")</f>
        <v>ช่วยเหลืองานภายใน วพอ.</v>
      </c>
      <c r="H450" s="3" t="str">
        <f>IFERROR(__xludf.DUMMYFUNCTION("""COMPUTED_VALUE"""),"ต้อนรับวิทยาลัยพยาบาลกองทัพเรือเข้าศึกษาดูงาน")</f>
        <v>ต้อนรับวิทยาลัยพยาบาลกองทัพเรือเข้าศึกษาดูงาน</v>
      </c>
      <c r="I450" s="3" t="str">
        <f>IFERROR(__xludf.DUMMYFUNCTION("""COMPUTED_VALUE"""),"วิทยาลัยพยาบาลทหารอากาศ")</f>
        <v>วิทยาลัยพยาบาลทหารอากาศ</v>
      </c>
      <c r="J450" s="12">
        <f>IFERROR(__xludf.DUMMYFUNCTION("""COMPUTED_VALUE"""),46066.0)</f>
        <v>46066</v>
      </c>
      <c r="K450" s="3" t="str">
        <f>IFERROR(__xludf.DUMMYFUNCTION("""COMPUTED_VALUE"""),"0800-1200")</f>
        <v>0800-1200</v>
      </c>
      <c r="L450" s="3">
        <f>IFERROR(__xludf.DUMMYFUNCTION("""COMPUTED_VALUE"""),4.0)</f>
        <v>4</v>
      </c>
      <c r="M450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450" s="14" t="str">
        <f>IFERROR(__xludf.DUMMYFUNCTION("""COMPUTED_VALUE"""),"https://lh5.googleusercontent.com/d/1zcAtBQQ_oAzOMz3Dq_QFYswtvoHm7Bzr")</f>
        <v>https://lh5.googleusercontent.com/d/1zcAtBQQ_oAzOMz3Dq_QFYswtvoHm7Bzr</v>
      </c>
      <c r="O450" s="14" t="str">
        <f>IFERROR(__xludf.DUMMYFUNCTION("""COMPUTED_VALUE"""),"https://drive.google.com/file/d/1SGzC32gEZDraKuBNb9r96ZNpxpY-jvB9/view?usp=drivesdk")</f>
        <v>https://drive.google.com/file/d/1SGzC32gEZDraKuBNb9r96ZNpxpY-jvB9/view?usp=drivesdk</v>
      </c>
    </row>
    <row r="451">
      <c r="A451" s="3">
        <f>IFERROR(__xludf.DUMMYFUNCTION("""COMPUTED_VALUE"""),1974.0)</f>
        <v>1974</v>
      </c>
      <c r="B451" s="11">
        <f>IFERROR(__xludf.DUMMYFUNCTION("""COMPUTED_VALUE"""),46139.56137002315)</f>
        <v>46139.56137</v>
      </c>
      <c r="C451" s="3" t="str">
        <f>IFERROR(__xludf.DUMMYFUNCTION("""COMPUTED_VALUE"""),"ชั้นปีที่ 3")</f>
        <v>ชั้นปีที่ 3</v>
      </c>
      <c r="D451" s="3" t="str">
        <f>IFERROR(__xludf.DUMMYFUNCTION("""COMPUTED_VALUE"""),"6603785")</f>
        <v>6603785</v>
      </c>
      <c r="E451" s="3" t="str">
        <f>IFERROR(__xludf.DUMMYFUNCTION("""COMPUTED_VALUE"""),"31")</f>
        <v>31</v>
      </c>
      <c r="F451" s="3" t="str">
        <f>IFERROR(__xludf.DUMMYFUNCTION("""COMPUTED_VALUE"""),"นพอ.ประชาธิปไตย ปู่คาน")</f>
        <v>นพอ.ประชาธิปไตย ปู่คาน</v>
      </c>
      <c r="G4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1" s="3" t="str">
        <f>IFERROR(__xludf.DUMMYFUNCTION("""COMPUTED_VALUE"""),"งานกอล์ฟการกุศลวิทยาลัยพยาบาลทหารอากาศ")</f>
        <v>งานกอล์ฟการกุศลวิทยาลัยพยาบาลทหารอากาศ</v>
      </c>
      <c r="I451" s="3" t="str">
        <f>IFERROR(__xludf.DUMMYFUNCTION("""COMPUTED_VALUE"""),"สนามกอล์ฟธูปเตมีย์")</f>
        <v>สนามกอล์ฟธูปเตมีย์</v>
      </c>
      <c r="J451" s="12">
        <f>IFERROR(__xludf.DUMMYFUNCTION("""COMPUTED_VALUE"""),46066.0)</f>
        <v>46066</v>
      </c>
      <c r="K451" s="3" t="str">
        <f>IFERROR(__xludf.DUMMYFUNCTION("""COMPUTED_VALUE"""),"0800-1200")</f>
        <v>0800-1200</v>
      </c>
      <c r="L451" s="3">
        <f>IFERROR(__xludf.DUMMYFUNCTION("""COMPUTED_VALUE"""),4.0)</f>
        <v>4</v>
      </c>
      <c r="M451" s="3" t="str">
        <f>IFERROR(__xludf.DUMMYFUNCTION("""COMPUTED_VALUE"""),"น.อ.หญิง ลักขณา พานิสสังข์")</f>
        <v>น.อ.หญิง ลักขณา พานิสสังข์</v>
      </c>
      <c r="N451" s="14" t="str">
        <f>IFERROR(__xludf.DUMMYFUNCTION("""COMPUTED_VALUE"""),"https://lh5.googleusercontent.com/d/1q91H7FI8Rbq1RS3Lm0r2-EE9uUPTeW0v")</f>
        <v>https://lh5.googleusercontent.com/d/1q91H7FI8Rbq1RS3Lm0r2-EE9uUPTeW0v</v>
      </c>
      <c r="O451" s="14" t="str">
        <f>IFERROR(__xludf.DUMMYFUNCTION("""COMPUTED_VALUE"""),"https://drive.google.com/file/d/1Ods4AUy7jHcKty-OuRLhRmm93_iXaZ-o/view?usp=drivesdk")</f>
        <v>https://drive.google.com/file/d/1Ods4AUy7jHcKty-OuRLhRmm93_iXaZ-o/view?usp=drivesdk</v>
      </c>
    </row>
    <row r="452">
      <c r="A452" s="3">
        <f>IFERROR(__xludf.DUMMYFUNCTION("""COMPUTED_VALUE"""),1978.0)</f>
        <v>1978</v>
      </c>
      <c r="B452" s="11">
        <f>IFERROR(__xludf.DUMMYFUNCTION("""COMPUTED_VALUE"""),46146.633909930555)</f>
        <v>46146.63391</v>
      </c>
      <c r="C452" s="3" t="str">
        <f>IFERROR(__xludf.DUMMYFUNCTION("""COMPUTED_VALUE"""),"ชั้นปีที่ 3")</f>
        <v>ชั้นปีที่ 3</v>
      </c>
      <c r="D452" s="3" t="str">
        <f>IFERROR(__xludf.DUMMYFUNCTION("""COMPUTED_VALUE"""),"6603773")</f>
        <v>6603773</v>
      </c>
      <c r="E452" s="3" t="str">
        <f>IFERROR(__xludf.DUMMYFUNCTION("""COMPUTED_VALUE"""),"20")</f>
        <v>20</v>
      </c>
      <c r="F452" s="3" t="str">
        <f>IFERROR(__xludf.DUMMYFUNCTION("""COMPUTED_VALUE"""),"นพอ.ธัญชนก ไชยปรุง")</f>
        <v>นพอ.ธัญชนก ไชยปรุง</v>
      </c>
      <c r="G452" s="3" t="str">
        <f>IFERROR(__xludf.DUMMYFUNCTION("""COMPUTED_VALUE"""),"ช่วยเหลืองานภายใน วพอ.")</f>
        <v>ช่วยเหลืองานภายใน วพอ.</v>
      </c>
      <c r="H452" s="3" t="str">
        <f>IFERROR(__xludf.DUMMYFUNCTION("""COMPUTED_VALUE"""),"ทกท.")</f>
        <v>ทกท.</v>
      </c>
      <c r="I452" s="3" t="str">
        <f>IFERROR(__xludf.DUMMYFUNCTION("""COMPUTED_VALUE"""),"วพอ.")</f>
        <v>วพอ.</v>
      </c>
      <c r="J452" s="12">
        <f>IFERROR(__xludf.DUMMYFUNCTION("""COMPUTED_VALUE"""),46097.0)</f>
        <v>46097</v>
      </c>
      <c r="K452" s="3" t="str">
        <f>IFERROR(__xludf.DUMMYFUNCTION("""COMPUTED_VALUE"""),"0900-1700")</f>
        <v>0900-1700</v>
      </c>
      <c r="L452" s="3">
        <f>IFERROR(__xludf.DUMMYFUNCTION("""COMPUTED_VALUE"""),8.0)</f>
        <v>8</v>
      </c>
      <c r="M452" s="3" t="str">
        <f>IFERROR(__xludf.DUMMYFUNCTION("""COMPUTED_VALUE"""),"ร.อ.อนุชิต ทำจะดี")</f>
        <v>ร.อ.อนุชิต ทำจะดี</v>
      </c>
      <c r="N452" s="14" t="str">
        <f>IFERROR(__xludf.DUMMYFUNCTION("""COMPUTED_VALUE"""),"https://lh5.googleusercontent.com/d/189BHCR6NboiPMiIrOGzMeDcV70jqUjfK")</f>
        <v>https://lh5.googleusercontent.com/d/189BHCR6NboiPMiIrOGzMeDcV70jqUjfK</v>
      </c>
      <c r="O452" s="14" t="str">
        <f>IFERROR(__xludf.DUMMYFUNCTION("""COMPUTED_VALUE"""),"https://drive.google.com/file/d/11Wvjy3bo3wTV_jg8Tv1rqNU5QN-0DABq/view?usp=drivesdk")</f>
        <v>https://drive.google.com/file/d/11Wvjy3bo3wTV_jg8Tv1rqNU5QN-0DABq/view?usp=drivesdk</v>
      </c>
    </row>
    <row r="453">
      <c r="A453" s="3">
        <f>IFERROR(__xludf.DUMMYFUNCTION("""COMPUTED_VALUE"""),1979.0)</f>
        <v>1979</v>
      </c>
      <c r="B453" s="11">
        <f>IFERROR(__xludf.DUMMYFUNCTION("""COMPUTED_VALUE"""),46146.63543327546)</f>
        <v>46146.63543</v>
      </c>
      <c r="C453" s="3" t="str">
        <f>IFERROR(__xludf.DUMMYFUNCTION("""COMPUTED_VALUE"""),"ชั้นปีที่ 3")</f>
        <v>ชั้นปีที่ 3</v>
      </c>
      <c r="D453" s="3" t="str">
        <f>IFERROR(__xludf.DUMMYFUNCTION("""COMPUTED_VALUE"""),"6603773")</f>
        <v>6603773</v>
      </c>
      <c r="E453" s="3" t="str">
        <f>IFERROR(__xludf.DUMMYFUNCTION("""COMPUTED_VALUE"""),"20")</f>
        <v>20</v>
      </c>
      <c r="F453" s="3" t="str">
        <f>IFERROR(__xludf.DUMMYFUNCTION("""COMPUTED_VALUE"""),"นพอ.ธัญชนก ไชยปรุง")</f>
        <v>นพอ.ธัญชนก ไชยปรุง</v>
      </c>
      <c r="G453" s="3" t="str">
        <f>IFERROR(__xludf.DUMMYFUNCTION("""COMPUTED_VALUE"""),"ช่วยเหลืองานภายใน วพอ.")</f>
        <v>ช่วยเหลืองานภายใน วพอ.</v>
      </c>
      <c r="H453" s="3" t="str">
        <f>IFERROR(__xludf.DUMMYFUNCTION("""COMPUTED_VALUE"""),"ทกท.")</f>
        <v>ทกท.</v>
      </c>
      <c r="I453" s="3" t="str">
        <f>IFERROR(__xludf.DUMMYFUNCTION("""COMPUTED_VALUE"""),"วพอ.")</f>
        <v>วพอ.</v>
      </c>
      <c r="J453" s="12">
        <f>IFERROR(__xludf.DUMMYFUNCTION("""COMPUTED_VALUE"""),46122.0)</f>
        <v>46122</v>
      </c>
      <c r="K453" s="3" t="str">
        <f>IFERROR(__xludf.DUMMYFUNCTION("""COMPUTED_VALUE"""),"0900-1700")</f>
        <v>0900-1700</v>
      </c>
      <c r="L453" s="3">
        <f>IFERROR(__xludf.DUMMYFUNCTION("""COMPUTED_VALUE"""),8.0)</f>
        <v>8</v>
      </c>
      <c r="M453" s="3" t="str">
        <f>IFERROR(__xludf.DUMMYFUNCTION("""COMPUTED_VALUE"""),"ร.อ.อนุชิต ทำจะดี")</f>
        <v>ร.อ.อนุชิต ทำจะดี</v>
      </c>
      <c r="N453" s="14" t="str">
        <f>IFERROR(__xludf.DUMMYFUNCTION("""COMPUTED_VALUE"""),"https://lh5.googleusercontent.com/d/1nDfYhNORPkwrHSzmR04oj2yJbMu6alQQ")</f>
        <v>https://lh5.googleusercontent.com/d/1nDfYhNORPkwrHSzmR04oj2yJbMu6alQQ</v>
      </c>
      <c r="O453" s="14" t="str">
        <f>IFERROR(__xludf.DUMMYFUNCTION("""COMPUTED_VALUE"""),"https://drive.google.com/file/d/1238Nh2kReDgiCMyypVVgUfpHkl_9u1ZD/view?usp=drivesdk")</f>
        <v>https://drive.google.com/file/d/1238Nh2kReDgiCMyypVVgUfpHkl_9u1ZD/view?usp=drivesdk</v>
      </c>
    </row>
    <row r="454">
      <c r="A454" s="3">
        <f>IFERROR(__xludf.DUMMYFUNCTION("""COMPUTED_VALUE"""),1980.0)</f>
        <v>1980</v>
      </c>
      <c r="B454" s="11">
        <f>IFERROR(__xludf.DUMMYFUNCTION("""COMPUTED_VALUE"""),46146.63810276621)</f>
        <v>46146.6381</v>
      </c>
      <c r="C454" s="3" t="str">
        <f>IFERROR(__xludf.DUMMYFUNCTION("""COMPUTED_VALUE"""),"ชั้นปีที่ 3")</f>
        <v>ชั้นปีที่ 3</v>
      </c>
      <c r="D454" s="3" t="str">
        <f>IFERROR(__xludf.DUMMYFUNCTION("""COMPUTED_VALUE"""),"6603773")</f>
        <v>6603773</v>
      </c>
      <c r="E454" s="3" t="str">
        <f>IFERROR(__xludf.DUMMYFUNCTION("""COMPUTED_VALUE"""),"20")</f>
        <v>20</v>
      </c>
      <c r="F454" s="3" t="str">
        <f>IFERROR(__xludf.DUMMYFUNCTION("""COMPUTED_VALUE"""),"นพอ.ธัญชนก ไชยปรุง")</f>
        <v>นพอ.ธัญชนก ไชยปรุง</v>
      </c>
      <c r="G454" s="3" t="str">
        <f>IFERROR(__xludf.DUMMYFUNCTION("""COMPUTED_VALUE"""),"ช่วยเหลืองานภายใน วพอ.")</f>
        <v>ช่วยเหลืองานภายใน วพอ.</v>
      </c>
      <c r="H454" s="3" t="str">
        <f>IFERROR(__xludf.DUMMYFUNCTION("""COMPUTED_VALUE"""),"ทกท.")</f>
        <v>ทกท.</v>
      </c>
      <c r="I454" s="3" t="str">
        <f>IFERROR(__xludf.DUMMYFUNCTION("""COMPUTED_VALUE"""),"วพอ.")</f>
        <v>วพอ.</v>
      </c>
      <c r="J454" s="12">
        <f>IFERROR(__xludf.DUMMYFUNCTION("""COMPUTED_VALUE"""),46133.0)</f>
        <v>46133</v>
      </c>
      <c r="K454" s="3" t="str">
        <f>IFERROR(__xludf.DUMMYFUNCTION("""COMPUTED_VALUE"""),"0900-1300")</f>
        <v>0900-1300</v>
      </c>
      <c r="L454" s="3">
        <f>IFERROR(__xludf.DUMMYFUNCTION("""COMPUTED_VALUE"""),4.0)</f>
        <v>4</v>
      </c>
      <c r="M454" s="3" t="str">
        <f>IFERROR(__xludf.DUMMYFUNCTION("""COMPUTED_VALUE"""),"ร.อ.อนุชิต ทำจะดี")</f>
        <v>ร.อ.อนุชิต ทำจะดี</v>
      </c>
      <c r="N454" s="14" t="str">
        <f>IFERROR(__xludf.DUMMYFUNCTION("""COMPUTED_VALUE"""),"https://lh5.googleusercontent.com/d/1mRfjEBPiEU5W4_ACL9Shlu5sG5MsBCXV")</f>
        <v>https://lh5.googleusercontent.com/d/1mRfjEBPiEU5W4_ACL9Shlu5sG5MsBCXV</v>
      </c>
      <c r="O454" s="14" t="str">
        <f>IFERROR(__xludf.DUMMYFUNCTION("""COMPUTED_VALUE"""),"https://drive.google.com/file/d/1RfsyyQkt17Ld38IBpjAbKsq0is5tJO7t/view?usp=drivesdk")</f>
        <v>https://drive.google.com/file/d/1RfsyyQkt17Ld38IBpjAbKsq0is5tJO7t/view?usp=drivesdk</v>
      </c>
    </row>
    <row r="455">
      <c r="A455" s="3">
        <f>IFERROR(__xludf.DUMMYFUNCTION("""COMPUTED_VALUE"""),1981.0)</f>
        <v>1981</v>
      </c>
      <c r="B455" s="11">
        <f>IFERROR(__xludf.DUMMYFUNCTION("""COMPUTED_VALUE"""),46146.641197453704)</f>
        <v>46146.6412</v>
      </c>
      <c r="C455" s="3" t="str">
        <f>IFERROR(__xludf.DUMMYFUNCTION("""COMPUTED_VALUE"""),"ชั้นปีที่ 3")</f>
        <v>ชั้นปีที่ 3</v>
      </c>
      <c r="D455" s="3" t="str">
        <f>IFERROR(__xludf.DUMMYFUNCTION("""COMPUTED_VALUE"""),"6603773")</f>
        <v>6603773</v>
      </c>
      <c r="E455" s="3" t="str">
        <f>IFERROR(__xludf.DUMMYFUNCTION("""COMPUTED_VALUE"""),"20")</f>
        <v>20</v>
      </c>
      <c r="F455" s="3" t="str">
        <f>IFERROR(__xludf.DUMMYFUNCTION("""COMPUTED_VALUE"""),"นพอ.ธัญชนก ไชยปรุง")</f>
        <v>นพอ.ธัญชนก ไชยปรุง</v>
      </c>
      <c r="G45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55" s="3" t="str">
        <f>IFERROR(__xludf.DUMMYFUNCTION("""COMPUTED_VALUE"""),"บริจาคโลหิต")</f>
        <v>บริจาคโลหิต</v>
      </c>
      <c r="I455" s="3" t="str">
        <f>IFERROR(__xludf.DUMMYFUNCTION("""COMPUTED_VALUE"""),"รพ.ภูมิพลอดุลยเดช")</f>
        <v>รพ.ภูมิพลอดุลยเดช</v>
      </c>
      <c r="J455" s="12">
        <f>IFERROR(__xludf.DUMMYFUNCTION("""COMPUTED_VALUE"""),46008.0)</f>
        <v>46008</v>
      </c>
      <c r="K455" s="3" t="str">
        <f>IFERROR(__xludf.DUMMYFUNCTION("""COMPUTED_VALUE"""),"1100-1200")</f>
        <v>1100-1200</v>
      </c>
      <c r="L455" s="3">
        <f>IFERROR(__xludf.DUMMYFUNCTION("""COMPUTED_VALUE"""),8.0)</f>
        <v>8</v>
      </c>
      <c r="M455" s="3" t="str">
        <f>IFERROR(__xludf.DUMMYFUNCTION("""COMPUTED_VALUE"""),"ร.อ.อนุชิต ทำจะดี")</f>
        <v>ร.อ.อนุชิต ทำจะดี</v>
      </c>
      <c r="N455" s="14" t="str">
        <f>IFERROR(__xludf.DUMMYFUNCTION("""COMPUTED_VALUE"""),"https://lh5.googleusercontent.com/d/19KD-s_dmbEx71XZTwH-4VodDYN5BKUv_")</f>
        <v>https://lh5.googleusercontent.com/d/19KD-s_dmbEx71XZTwH-4VodDYN5BKUv_</v>
      </c>
      <c r="O455" s="14" t="str">
        <f>IFERROR(__xludf.DUMMYFUNCTION("""COMPUTED_VALUE"""),"https://drive.google.com/file/d/1yDE-l_XXBkpjc_24oApAcYskO5Yt9SEi/view?usp=drivesdk")</f>
        <v>https://drive.google.com/file/d/1yDE-l_XXBkpjc_24oApAcYskO5Yt9SEi/view?usp=drivesdk</v>
      </c>
    </row>
    <row r="456">
      <c r="A456" s="3">
        <f>IFERROR(__xludf.DUMMYFUNCTION("""COMPUTED_VALUE"""),1982.0)</f>
        <v>1982</v>
      </c>
      <c r="B456" s="11">
        <f>IFERROR(__xludf.DUMMYFUNCTION("""COMPUTED_VALUE"""),46146.64383320602)</f>
        <v>46146.64383</v>
      </c>
      <c r="C456" s="3" t="str">
        <f>IFERROR(__xludf.DUMMYFUNCTION("""COMPUTED_VALUE"""),"ชั้นปีที่ 3")</f>
        <v>ชั้นปีที่ 3</v>
      </c>
      <c r="D456" s="3" t="str">
        <f>IFERROR(__xludf.DUMMYFUNCTION("""COMPUTED_VALUE"""),"6603773")</f>
        <v>6603773</v>
      </c>
      <c r="E456" s="3" t="str">
        <f>IFERROR(__xludf.DUMMYFUNCTION("""COMPUTED_VALUE"""),"20")</f>
        <v>20</v>
      </c>
      <c r="F456" s="3" t="str">
        <f>IFERROR(__xludf.DUMMYFUNCTION("""COMPUTED_VALUE"""),"นพอ.ธัญชนก ไชยปรุง")</f>
        <v>นพอ.ธัญชนก ไชยปรุง</v>
      </c>
      <c r="G45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56" s="3" t="str">
        <f>IFERROR(__xludf.DUMMYFUNCTION("""COMPUTED_VALUE"""),"บริจาคโลหิต")</f>
        <v>บริจาคโลหิต</v>
      </c>
      <c r="I456" s="3" t="str">
        <f>IFERROR(__xludf.DUMMYFUNCTION("""COMPUTED_VALUE"""),"รพ.ภูมิพลอดุลยเดช")</f>
        <v>รพ.ภูมิพลอดุลยเดช</v>
      </c>
      <c r="J456" s="12">
        <f>IFERROR(__xludf.DUMMYFUNCTION("""COMPUTED_VALUE"""),46094.0)</f>
        <v>46094</v>
      </c>
      <c r="K456" s="3" t="str">
        <f>IFERROR(__xludf.DUMMYFUNCTION("""COMPUTED_VALUE"""),"1100-1200")</f>
        <v>1100-1200</v>
      </c>
      <c r="L456" s="3">
        <f>IFERROR(__xludf.DUMMYFUNCTION("""COMPUTED_VALUE"""),8.0)</f>
        <v>8</v>
      </c>
      <c r="M456" s="3" t="str">
        <f>IFERROR(__xludf.DUMMYFUNCTION("""COMPUTED_VALUE"""),"ร.อ.อนุชิต ทำจะดี")</f>
        <v>ร.อ.อนุชิต ทำจะดี</v>
      </c>
      <c r="N456" s="14" t="str">
        <f>IFERROR(__xludf.DUMMYFUNCTION("""COMPUTED_VALUE"""),"https://lh5.googleusercontent.com/d/1EJzvHufRqAkZ1S2DiUbUjg59UuDaxNiA")</f>
        <v>https://lh5.googleusercontent.com/d/1EJzvHufRqAkZ1S2DiUbUjg59UuDaxNiA</v>
      </c>
      <c r="O456" s="14" t="str">
        <f>IFERROR(__xludf.DUMMYFUNCTION("""COMPUTED_VALUE"""),"https://drive.google.com/file/d/1f2fiPTPp-d2mbJxwImyLldiZOZIpeP4l/view?usp=drivesdk")</f>
        <v>https://drive.google.com/file/d/1f2fiPTPp-d2mbJxwImyLldiZOZIpeP4l/view?usp=drivesdk</v>
      </c>
    </row>
    <row r="457">
      <c r="A457" s="3">
        <f>IFERROR(__xludf.DUMMYFUNCTION("""COMPUTED_VALUE"""),1983.0)</f>
        <v>1983</v>
      </c>
      <c r="B457" s="11">
        <f>IFERROR(__xludf.DUMMYFUNCTION("""COMPUTED_VALUE"""),46146.64722679398)</f>
        <v>46146.64723</v>
      </c>
      <c r="C457" s="3" t="str">
        <f>IFERROR(__xludf.DUMMYFUNCTION("""COMPUTED_VALUE"""),"ชั้นปีที่ 3")</f>
        <v>ชั้นปีที่ 3</v>
      </c>
      <c r="D457" s="3" t="str">
        <f>IFERROR(__xludf.DUMMYFUNCTION("""COMPUTED_VALUE"""),"6603773")</f>
        <v>6603773</v>
      </c>
      <c r="E457" s="3" t="str">
        <f>IFERROR(__xludf.DUMMYFUNCTION("""COMPUTED_VALUE"""),"20")</f>
        <v>20</v>
      </c>
      <c r="F457" s="3" t="str">
        <f>IFERROR(__xludf.DUMMYFUNCTION("""COMPUTED_VALUE"""),"นพอ.ธัญชนก ไชยปรุง")</f>
        <v>นพอ.ธัญชนก ไชยปรุง</v>
      </c>
      <c r="G4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7" s="3" t="str">
        <f>IFERROR(__xludf.DUMMYFUNCTION("""COMPUTED_VALUE"""),"งานกาชาด")</f>
        <v>งานกาชาด</v>
      </c>
      <c r="I457" s="3" t="str">
        <f>IFERROR(__xludf.DUMMYFUNCTION("""COMPUTED_VALUE"""),"สวนลุมพินี")</f>
        <v>สวนลุมพินี</v>
      </c>
      <c r="J457" s="12">
        <f>IFERROR(__xludf.DUMMYFUNCTION("""COMPUTED_VALUE"""),46004.0)</f>
        <v>46004</v>
      </c>
      <c r="K457" s="3" t="str">
        <f>IFERROR(__xludf.DUMMYFUNCTION("""COMPUTED_VALUE"""),"1500-2300")</f>
        <v>1500-2300</v>
      </c>
      <c r="L457" s="3">
        <f>IFERROR(__xludf.DUMMYFUNCTION("""COMPUTED_VALUE"""),8.0)</f>
        <v>8</v>
      </c>
      <c r="M457" s="3" t="str">
        <f>IFERROR(__xludf.DUMMYFUNCTION("""COMPUTED_VALUE"""),"น.อ.หญิง ผศ.วัลลภา อันดารา")</f>
        <v>น.อ.หญิง ผศ.วัลลภา อันดารา</v>
      </c>
      <c r="N457" s="14" t="str">
        <f>IFERROR(__xludf.DUMMYFUNCTION("""COMPUTED_VALUE"""),"https://lh5.googleusercontent.com/d/1_kbihRCvVCq4u9qrpdYTV59tNVy5sFip")</f>
        <v>https://lh5.googleusercontent.com/d/1_kbihRCvVCq4u9qrpdYTV59tNVy5sFip</v>
      </c>
      <c r="O457" s="14" t="str">
        <f>IFERROR(__xludf.DUMMYFUNCTION("""COMPUTED_VALUE"""),"https://drive.google.com/file/d/1q1Y3AmdlowOB92kTxCiLInhHyFa8_ped/view?usp=drivesdk")</f>
        <v>https://drive.google.com/file/d/1q1Y3AmdlowOB92kTxCiLInhHyFa8_ped/view?usp=drivesdk</v>
      </c>
    </row>
    <row r="458">
      <c r="A458" s="3">
        <f>IFERROR(__xludf.DUMMYFUNCTION("""COMPUTED_VALUE"""),1991.0)</f>
        <v>1991</v>
      </c>
      <c r="B458" s="11">
        <f>IFERROR(__xludf.DUMMYFUNCTION("""COMPUTED_VALUE"""),46152.64599708334)</f>
        <v>46152.646</v>
      </c>
      <c r="C458" s="3" t="str">
        <f>IFERROR(__xludf.DUMMYFUNCTION("""COMPUTED_VALUE"""),"ชั้นปีที่ 3")</f>
        <v>ชั้นปีที่ 3</v>
      </c>
      <c r="D458" s="3" t="str">
        <f>IFERROR(__xludf.DUMMYFUNCTION("""COMPUTED_VALUE"""),"6603767")</f>
        <v>6603767</v>
      </c>
      <c r="E458" s="3" t="str">
        <f>IFERROR(__xludf.DUMMYFUNCTION("""COMPUTED_VALUE"""),"14")</f>
        <v>14</v>
      </c>
      <c r="F458" s="3" t="str">
        <f>IFERROR(__xludf.DUMMYFUNCTION("""COMPUTED_VALUE"""),"นพอ.ณัฐนรินทร์ เต่าไธสง")</f>
        <v>นพอ.ณัฐนรินทร์ เต่าไธสง</v>
      </c>
      <c r="G4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8" s="3" t="str">
        <f>IFERROR(__xludf.DUMMYFUNCTION("""COMPUTED_VALUE"""),"สงกรานต์เบิกบานจิต")</f>
        <v>สงกรานต์เบิกบานจิต</v>
      </c>
      <c r="I458" s="3" t="str">
        <f>IFERROR(__xludf.DUMMYFUNCTION("""COMPUTED_VALUE"""),"โรงพยาบาลศรีธัญญา")</f>
        <v>โรงพยาบาลศรีธัญญา</v>
      </c>
      <c r="J458" s="12">
        <f>IFERROR(__xludf.DUMMYFUNCTION("""COMPUTED_VALUE"""),46151.0)</f>
        <v>46151</v>
      </c>
      <c r="K458" s="3" t="str">
        <f>IFERROR(__xludf.DUMMYFUNCTION("""COMPUTED_VALUE"""),"0800-1600")</f>
        <v>0800-1600</v>
      </c>
      <c r="L458" s="3">
        <f>IFERROR(__xludf.DUMMYFUNCTION("""COMPUTED_VALUE"""),8.0)</f>
        <v>8</v>
      </c>
      <c r="M458" s="3" t="str">
        <f>IFERROR(__xludf.DUMMYFUNCTION("""COMPUTED_VALUE"""),"น.ต.หญิง รฐานุช ถิ่นสอน")</f>
        <v>น.ต.หญิง รฐานุช ถิ่นสอน</v>
      </c>
      <c r="N458" s="14" t="str">
        <f>IFERROR(__xludf.DUMMYFUNCTION("""COMPUTED_VALUE"""),"https://lh5.googleusercontent.com/d/1Xv0UC-6sqrQFjw8VZr8k5dbDQj1-FItf")</f>
        <v>https://lh5.googleusercontent.com/d/1Xv0UC-6sqrQFjw8VZr8k5dbDQj1-FItf</v>
      </c>
      <c r="O458" s="14" t="str">
        <f>IFERROR(__xludf.DUMMYFUNCTION("""COMPUTED_VALUE"""),"https://drive.google.com/file/d/1yTmJjOthdzWs0bxWgRZ0Gkzom8GmxT_x/view?usp=drivesdk")</f>
        <v>https://drive.google.com/file/d/1yTmJjOthdzWs0bxWgRZ0Gkzom8GmxT_x/view?usp=drivesdk</v>
      </c>
    </row>
    <row r="459">
      <c r="A459" s="3">
        <f>IFERROR(__xludf.DUMMYFUNCTION("""COMPUTED_VALUE"""),1992.0)</f>
        <v>1992</v>
      </c>
      <c r="B459" s="11">
        <f>IFERROR(__xludf.DUMMYFUNCTION("""COMPUTED_VALUE"""),46152.65139702546)</f>
        <v>46152.6514</v>
      </c>
      <c r="C459" s="3" t="str">
        <f>IFERROR(__xludf.DUMMYFUNCTION("""COMPUTED_VALUE"""),"ชั้นปีที่ 3")</f>
        <v>ชั้นปีที่ 3</v>
      </c>
      <c r="D459" s="3" t="str">
        <f>IFERROR(__xludf.DUMMYFUNCTION("""COMPUTED_VALUE"""),"6603767")</f>
        <v>6603767</v>
      </c>
      <c r="E459" s="3" t="str">
        <f>IFERROR(__xludf.DUMMYFUNCTION("""COMPUTED_VALUE"""),"14")</f>
        <v>14</v>
      </c>
      <c r="F459" s="3" t="str">
        <f>IFERROR(__xludf.DUMMYFUNCTION("""COMPUTED_VALUE"""),"นพอ.ณัฐนรินทร์ เต่าไธสง")</f>
        <v>นพอ.ณัฐนรินทร์ เต่าไธสง</v>
      </c>
      <c r="G459" s="3" t="str">
        <f>IFERROR(__xludf.DUMMYFUNCTION("""COMPUTED_VALUE"""),"ช่วยเหลืองานภายใน วพอ.")</f>
        <v>ช่วยเหลืองานภายใน วพอ.</v>
      </c>
      <c r="H45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59" s="3" t="str">
        <f>IFERROR(__xludf.DUMMYFUNCTION("""COMPUTED_VALUE"""),"วพอพอ")</f>
        <v>วพอพอ</v>
      </c>
      <c r="J459" s="12">
        <f>IFERROR(__xludf.DUMMYFUNCTION("""COMPUTED_VALUE"""),46138.0)</f>
        <v>46138</v>
      </c>
      <c r="K459" s="3" t="str">
        <f>IFERROR(__xludf.DUMMYFUNCTION("""COMPUTED_VALUE"""),"1500-2100")</f>
        <v>1500-2100</v>
      </c>
      <c r="L459" s="3">
        <f>IFERROR(__xludf.DUMMYFUNCTION("""COMPUTED_VALUE"""),6.0)</f>
        <v>6</v>
      </c>
      <c r="M459" s="3" t="str">
        <f>IFERROR(__xludf.DUMMYFUNCTION("""COMPUTED_VALUE"""),"ร.อ.อนุชิต ทำจะดี")</f>
        <v>ร.อ.อนุชิต ทำจะดี</v>
      </c>
      <c r="N459" s="14" t="str">
        <f>IFERROR(__xludf.DUMMYFUNCTION("""COMPUTED_VALUE"""),"https://lh5.googleusercontent.com/d/1s9AFC9v5DmrvpgVUcLIhXHXTdIDma9bx")</f>
        <v>https://lh5.googleusercontent.com/d/1s9AFC9v5DmrvpgVUcLIhXHXTdIDma9bx</v>
      </c>
      <c r="O459" s="14" t="str">
        <f>IFERROR(__xludf.DUMMYFUNCTION("""COMPUTED_VALUE"""),"https://drive.google.com/file/d/1FmSf_2UV7EKVO9KzkJveYKMjel7DqnjJ/view?usp=drivesdk")</f>
        <v>https://drive.google.com/file/d/1FmSf_2UV7EKVO9KzkJveYKMjel7DqnjJ/view?usp=drivesdk</v>
      </c>
    </row>
    <row r="460">
      <c r="A460" s="3">
        <f>IFERROR(__xludf.DUMMYFUNCTION("""COMPUTED_VALUE"""),1993.0)</f>
        <v>1993</v>
      </c>
      <c r="B460" s="11">
        <f>IFERROR(__xludf.DUMMYFUNCTION("""COMPUTED_VALUE"""),46152.6576317824)</f>
        <v>46152.65763</v>
      </c>
      <c r="C460" s="3" t="str">
        <f>IFERROR(__xludf.DUMMYFUNCTION("""COMPUTED_VALUE"""),"ชั้นปีที่ 3")</f>
        <v>ชั้นปีที่ 3</v>
      </c>
      <c r="D460" s="3" t="str">
        <f>IFERROR(__xludf.DUMMYFUNCTION("""COMPUTED_VALUE"""),"6603767")</f>
        <v>6603767</v>
      </c>
      <c r="E460" s="3" t="str">
        <f>IFERROR(__xludf.DUMMYFUNCTION("""COMPUTED_VALUE"""),"14")</f>
        <v>14</v>
      </c>
      <c r="F460" s="3" t="str">
        <f>IFERROR(__xludf.DUMMYFUNCTION("""COMPUTED_VALUE"""),"นพอ.ณัฐนรินทร์ เต่าไธสง")</f>
        <v>นพอ.ณัฐนรินทร์ เต่าไธสง</v>
      </c>
      <c r="G460" s="3" t="str">
        <f>IFERROR(__xludf.DUMMYFUNCTION("""COMPUTED_VALUE"""),"ช่วยเหลืองานภายใน วพอ.")</f>
        <v>ช่วยเหลืองานภายใน วพอ.</v>
      </c>
      <c r="H460" s="3" t="str">
        <f>IFERROR(__xludf.DUMMYFUNCTION("""COMPUTED_VALUE"""),"ซ้อมงานพิธีหมวกพยาบาลวิชาชีพ ปีการศึกษา 2568")</f>
        <v>ซ้อมงานพิธีหมวกพยาบาลวิชาชีพ ปีการศึกษา 2568</v>
      </c>
      <c r="I460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60" s="12">
        <f>IFERROR(__xludf.DUMMYFUNCTION("""COMPUTED_VALUE"""),46139.0)</f>
        <v>46139</v>
      </c>
      <c r="K460" s="3" t="str">
        <f>IFERROR(__xludf.DUMMYFUNCTION("""COMPUTED_VALUE"""),"1700-2100")</f>
        <v>1700-2100</v>
      </c>
      <c r="L460" s="3">
        <f>IFERROR(__xludf.DUMMYFUNCTION("""COMPUTED_VALUE"""),4.0)</f>
        <v>4</v>
      </c>
      <c r="M460" s="3" t="str">
        <f>IFERROR(__xludf.DUMMYFUNCTION("""COMPUTED_VALUE"""),"ร.อ.อนุชิต ทำจะดี")</f>
        <v>ร.อ.อนุชิต ทำจะดี</v>
      </c>
      <c r="N460" s="14" t="str">
        <f>IFERROR(__xludf.DUMMYFUNCTION("""COMPUTED_VALUE"""),"https://lh5.googleusercontent.com/d/1bmKx8tu34uc7RPTFkM9qC0YEM-V0bgwn")</f>
        <v>https://lh5.googleusercontent.com/d/1bmKx8tu34uc7RPTFkM9qC0YEM-V0bgwn</v>
      </c>
      <c r="O460" s="14" t="str">
        <f>IFERROR(__xludf.DUMMYFUNCTION("""COMPUTED_VALUE"""),"https://drive.google.com/file/d/1Rh-DJFJPOUevxZG8o10y1SMKDMg2wTCs/view?usp=drivesdk")</f>
        <v>https://drive.google.com/file/d/1Rh-DJFJPOUevxZG8o10y1SMKDMg2wTCs/view?usp=drivesdk</v>
      </c>
    </row>
    <row r="461">
      <c r="A461" s="3">
        <f>IFERROR(__xludf.DUMMYFUNCTION("""COMPUTED_VALUE"""),1994.0)</f>
        <v>1994</v>
      </c>
      <c r="B461" s="11">
        <f>IFERROR(__xludf.DUMMYFUNCTION("""COMPUTED_VALUE"""),46152.661802476854)</f>
        <v>46152.6618</v>
      </c>
      <c r="C461" s="3" t="str">
        <f>IFERROR(__xludf.DUMMYFUNCTION("""COMPUTED_VALUE"""),"ชั้นปีที่ 3")</f>
        <v>ชั้นปีที่ 3</v>
      </c>
      <c r="D461" s="3" t="str">
        <f>IFERROR(__xludf.DUMMYFUNCTION("""COMPUTED_VALUE"""),"6603767")</f>
        <v>6603767</v>
      </c>
      <c r="E461" s="3" t="str">
        <f>IFERROR(__xludf.DUMMYFUNCTION("""COMPUTED_VALUE"""),"14")</f>
        <v>14</v>
      </c>
      <c r="F461" s="3" t="str">
        <f>IFERROR(__xludf.DUMMYFUNCTION("""COMPUTED_VALUE"""),"นพอ.ณัฐนรินทร์ เต่าไธสง")</f>
        <v>นพอ.ณัฐนรินทร์ เต่าไธสง</v>
      </c>
      <c r="G461" s="3" t="str">
        <f>IFERROR(__xludf.DUMMYFUNCTION("""COMPUTED_VALUE"""),"ช่วยเหลืองานภายใน วพอ.")</f>
        <v>ช่วยเหลืองานภายใน วพอ.</v>
      </c>
      <c r="H461" s="3" t="str">
        <f>IFERROR(__xludf.DUMMYFUNCTION("""COMPUTED_VALUE"""),"ช่วยงานทดสอบพิเศษ นักเรียนใหม่ปี 69")</f>
        <v>ช่วยงานทดสอบพิเศษ นักเรียนใหม่ปี 69</v>
      </c>
      <c r="I461" s="3" t="str">
        <f>IFERROR(__xludf.DUMMYFUNCTION("""COMPUTED_VALUE"""),"วพอ.พอ")</f>
        <v>วพอ.พอ</v>
      </c>
      <c r="J461" s="12">
        <f>IFERROR(__xludf.DUMMYFUNCTION("""COMPUTED_VALUE"""),46147.0)</f>
        <v>46147</v>
      </c>
      <c r="K461" s="3" t="str">
        <f>IFERROR(__xludf.DUMMYFUNCTION("""COMPUTED_VALUE"""),"0800-1600")</f>
        <v>0800-1600</v>
      </c>
      <c r="L461" s="3">
        <f>IFERROR(__xludf.DUMMYFUNCTION("""COMPUTED_VALUE"""),8.0)</f>
        <v>8</v>
      </c>
      <c r="M461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461" s="14" t="str">
        <f>IFERROR(__xludf.DUMMYFUNCTION("""COMPUTED_VALUE"""),"https://lh5.googleusercontent.com/d/1PTmyEws9-miyPJy-r95vwzkey33ExM_C")</f>
        <v>https://lh5.googleusercontent.com/d/1PTmyEws9-miyPJy-r95vwzkey33ExM_C</v>
      </c>
      <c r="O461" s="14" t="str">
        <f>IFERROR(__xludf.DUMMYFUNCTION("""COMPUTED_VALUE"""),"https://drive.google.com/file/d/1VefTHUHjUW790hVSOKYxp_J8KJpQw5Mw/view?usp=drivesdk")</f>
        <v>https://drive.google.com/file/d/1VefTHUHjUW790hVSOKYxp_J8KJpQw5Mw/view?usp=drivesdk</v>
      </c>
    </row>
    <row r="462">
      <c r="A462" s="3">
        <f>IFERROR(__xludf.DUMMYFUNCTION("""COMPUTED_VALUE"""),1995.0)</f>
        <v>1995</v>
      </c>
      <c r="B462" s="11">
        <f>IFERROR(__xludf.DUMMYFUNCTION("""COMPUTED_VALUE"""),46153.34228672454)</f>
        <v>46153.34229</v>
      </c>
      <c r="C462" s="3" t="str">
        <f>IFERROR(__xludf.DUMMYFUNCTION("""COMPUTED_VALUE"""),"ชั้นปีที่ 3")</f>
        <v>ชั้นปีที่ 3</v>
      </c>
      <c r="D462" s="3" t="str">
        <f>IFERROR(__xludf.DUMMYFUNCTION("""COMPUTED_VALUE"""),"6603815")</f>
        <v>6603815</v>
      </c>
      <c r="E462" s="3" t="str">
        <f>IFERROR(__xludf.DUMMYFUNCTION("""COMPUTED_VALUE"""),"61")</f>
        <v>61</v>
      </c>
      <c r="F462" s="3" t="str">
        <f>IFERROR(__xludf.DUMMYFUNCTION("""COMPUTED_VALUE"""),"นพอ.อภิรชา คำเจริญ")</f>
        <v>นพอ.อภิรชา คำเจริญ</v>
      </c>
      <c r="G462" s="3" t="str">
        <f>IFERROR(__xludf.DUMMYFUNCTION("""COMPUTED_VALUE"""),"ช่วยเหลืองานภายใน วพอ.")</f>
        <v>ช่วยเหลืองานภายใน วพอ.</v>
      </c>
      <c r="H462" s="3" t="str">
        <f>IFERROR(__xludf.DUMMYFUNCTION("""COMPUTED_VALUE"""),"จัดโต๊ะสอบน้อง69")</f>
        <v>จัดโต๊ะสอบน้อง69</v>
      </c>
      <c r="I462" s="3" t="str">
        <f>IFERROR(__xludf.DUMMYFUNCTION("""COMPUTED_VALUE"""),"ห้องประชุมชั้น4 อาคารสำนักงาน")</f>
        <v>ห้องประชุมชั้น4 อาคารสำนักงาน</v>
      </c>
      <c r="J462" s="12">
        <f>IFERROR(__xludf.DUMMYFUNCTION("""COMPUTED_VALUE"""),46143.0)</f>
        <v>46143</v>
      </c>
      <c r="K462" s="3" t="str">
        <f>IFERROR(__xludf.DUMMYFUNCTION("""COMPUTED_VALUE"""),"0800-1200")</f>
        <v>0800-1200</v>
      </c>
      <c r="L462" s="3">
        <f>IFERROR(__xludf.DUMMYFUNCTION("""COMPUTED_VALUE"""),4.0)</f>
        <v>4</v>
      </c>
      <c r="M462" s="3" t="str">
        <f>IFERROR(__xludf.DUMMYFUNCTION("""COMPUTED_VALUE"""),"ร.อ.ศักดิ์ชัย บุญประสิทธิ์")</f>
        <v>ร.อ.ศักดิ์ชัย บุญประสิทธิ์</v>
      </c>
      <c r="N462" s="14" t="str">
        <f>IFERROR(__xludf.DUMMYFUNCTION("""COMPUTED_VALUE"""),"https://lh5.googleusercontent.com/d/13Xgxu0HU4y3P9XKCNCS9m2GmTSBVdggE")</f>
        <v>https://lh5.googleusercontent.com/d/13Xgxu0HU4y3P9XKCNCS9m2GmTSBVdggE</v>
      </c>
      <c r="O462" s="14" t="str">
        <f>IFERROR(__xludf.DUMMYFUNCTION("""COMPUTED_VALUE"""),"https://drive.google.com/file/d/1KxQai2m2JKreb4YEWWrk4AtIjIdrBBTW/view?usp=drivesdk")</f>
        <v>https://drive.google.com/file/d/1KxQai2m2JKreb4YEWWrk4AtIjIdrBBTW/view?usp=drivesdk</v>
      </c>
    </row>
    <row r="463">
      <c r="A463" s="3">
        <f>IFERROR(__xludf.DUMMYFUNCTION("""COMPUTED_VALUE"""),1996.0)</f>
        <v>1996</v>
      </c>
      <c r="B463" s="11">
        <f>IFERROR(__xludf.DUMMYFUNCTION("""COMPUTED_VALUE"""),46153.34492015047)</f>
        <v>46153.34492</v>
      </c>
      <c r="C463" s="3" t="str">
        <f>IFERROR(__xludf.DUMMYFUNCTION("""COMPUTED_VALUE"""),"ชั้นปีที่ 3")</f>
        <v>ชั้นปีที่ 3</v>
      </c>
      <c r="D463" s="3" t="str">
        <f>IFERROR(__xludf.DUMMYFUNCTION("""COMPUTED_VALUE"""),"6603815")</f>
        <v>6603815</v>
      </c>
      <c r="E463" s="3" t="str">
        <f>IFERROR(__xludf.DUMMYFUNCTION("""COMPUTED_VALUE"""),"61")</f>
        <v>61</v>
      </c>
      <c r="F463" s="3" t="str">
        <f>IFERROR(__xludf.DUMMYFUNCTION("""COMPUTED_VALUE"""),"นพอ.อภิรชา คำเจริญ")</f>
        <v>นพอ.อภิรชา คำเจริญ</v>
      </c>
      <c r="G463" s="3" t="str">
        <f>IFERROR(__xludf.DUMMYFUNCTION("""COMPUTED_VALUE"""),"ช่วยเหลืองานภายใน วพอ.")</f>
        <v>ช่วยเหลืองานภายใน วพอ.</v>
      </c>
      <c r="H46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3" s="3" t="str">
        <f>IFERROR(__xludf.DUMMYFUNCTION("""COMPUTED_VALUE"""),"วพอ.พอ.")</f>
        <v>วพอ.พอ.</v>
      </c>
      <c r="J463" s="12">
        <f>IFERROR(__xludf.DUMMYFUNCTION("""COMPUTED_VALUE"""),46133.0)</f>
        <v>46133</v>
      </c>
      <c r="K463" s="3" t="str">
        <f>IFERROR(__xludf.DUMMYFUNCTION("""COMPUTED_VALUE"""),"1700-2100")</f>
        <v>1700-2100</v>
      </c>
      <c r="L463" s="3">
        <f>IFERROR(__xludf.DUMMYFUNCTION("""COMPUTED_VALUE"""),4.0)</f>
        <v>4</v>
      </c>
      <c r="M463" s="3" t="str">
        <f>IFERROR(__xludf.DUMMYFUNCTION("""COMPUTED_VALUE"""),"ร.อ.อนุชิต ทำจะดี")</f>
        <v>ร.อ.อนุชิต ทำจะดี</v>
      </c>
      <c r="N463" s="14" t="str">
        <f>IFERROR(__xludf.DUMMYFUNCTION("""COMPUTED_VALUE"""),"https://lh5.googleusercontent.com/d/18qPTUBB71AyBhp4bVKYZ2IaQHY7mR2ny")</f>
        <v>https://lh5.googleusercontent.com/d/18qPTUBB71AyBhp4bVKYZ2IaQHY7mR2ny</v>
      </c>
      <c r="O463" s="14" t="str">
        <f>IFERROR(__xludf.DUMMYFUNCTION("""COMPUTED_VALUE"""),"https://drive.google.com/file/d/1KRYH5d7iu2a4yTg9bDKkjLTnJHorfSkL/view?usp=drivesdk")</f>
        <v>https://drive.google.com/file/d/1KRYH5d7iu2a4yTg9bDKkjLTnJHorfSkL/view?usp=drivesdk</v>
      </c>
    </row>
    <row r="464">
      <c r="A464" s="3">
        <f>IFERROR(__xludf.DUMMYFUNCTION("""COMPUTED_VALUE"""),1997.0)</f>
        <v>1997</v>
      </c>
      <c r="B464" s="11">
        <f>IFERROR(__xludf.DUMMYFUNCTION("""COMPUTED_VALUE"""),46153.345141724545)</f>
        <v>46153.34514</v>
      </c>
      <c r="C464" s="3" t="str">
        <f>IFERROR(__xludf.DUMMYFUNCTION("""COMPUTED_VALUE"""),"ชั้นปีที่ 3")</f>
        <v>ชั้นปีที่ 3</v>
      </c>
      <c r="D464" s="3" t="str">
        <f>IFERROR(__xludf.DUMMYFUNCTION("""COMPUTED_VALUE"""),"6603777")</f>
        <v>6603777</v>
      </c>
      <c r="E464" s="3" t="str">
        <f>IFERROR(__xludf.DUMMYFUNCTION("""COMPUTED_VALUE"""),"23")</f>
        <v>23</v>
      </c>
      <c r="F464" s="3" t="str">
        <f>IFERROR(__xludf.DUMMYFUNCTION("""COMPUTED_VALUE"""),"นพอ.นัชธิดา ไกรทองสุข")</f>
        <v>นพอ.นัชธิดา ไกรทองสุข</v>
      </c>
      <c r="G464" s="3" t="str">
        <f>IFERROR(__xludf.DUMMYFUNCTION("""COMPUTED_VALUE"""),"ช่วยเหลืองานภายใน วพอ.")</f>
        <v>ช่วยเหลืองานภายใน วพอ.</v>
      </c>
      <c r="H46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4" s="3" t="str">
        <f>IFERROR(__xludf.DUMMYFUNCTION("""COMPUTED_VALUE"""),"วพอ.พอ.")</f>
        <v>วพอ.พอ.</v>
      </c>
      <c r="J464" s="12">
        <f>IFERROR(__xludf.DUMMYFUNCTION("""COMPUTED_VALUE"""),46133.0)</f>
        <v>46133</v>
      </c>
      <c r="K464" s="3" t="str">
        <f>IFERROR(__xludf.DUMMYFUNCTION("""COMPUTED_VALUE"""),"1700-2100")</f>
        <v>1700-2100</v>
      </c>
      <c r="L464" s="3">
        <f>IFERROR(__xludf.DUMMYFUNCTION("""COMPUTED_VALUE"""),4.0)</f>
        <v>4</v>
      </c>
      <c r="M464" s="3" t="str">
        <f>IFERROR(__xludf.DUMMYFUNCTION("""COMPUTED_VALUE"""),"ร.อ.อนุชิต ทำจะดี")</f>
        <v>ร.อ.อนุชิต ทำจะดี</v>
      </c>
      <c r="N464" s="14" t="str">
        <f>IFERROR(__xludf.DUMMYFUNCTION("""COMPUTED_VALUE"""),"https://lh5.googleusercontent.com/d/1jjCSQ_U4xFFvU5jnUXMprXaqulzxkhBg")</f>
        <v>https://lh5.googleusercontent.com/d/1jjCSQ_U4xFFvU5jnUXMprXaqulzxkhBg</v>
      </c>
      <c r="O464" s="14" t="str">
        <f>IFERROR(__xludf.DUMMYFUNCTION("""COMPUTED_VALUE"""),"https://drive.google.com/file/d/1s1EbMk1DBWoVPDpenS2yfCpjxqurLMV1/view?usp=drivesdk")</f>
        <v>https://drive.google.com/file/d/1s1EbMk1DBWoVPDpenS2yfCpjxqurLMV1/view?usp=drivesdk</v>
      </c>
    </row>
    <row r="465">
      <c r="A465" s="3">
        <f>IFERROR(__xludf.DUMMYFUNCTION("""COMPUTED_VALUE"""),1998.0)</f>
        <v>1998</v>
      </c>
      <c r="B465" s="11">
        <f>IFERROR(__xludf.DUMMYFUNCTION("""COMPUTED_VALUE"""),46153.34574936343)</f>
        <v>46153.34575</v>
      </c>
      <c r="C465" s="3" t="str">
        <f>IFERROR(__xludf.DUMMYFUNCTION("""COMPUTED_VALUE"""),"ชั้นปีที่ 3")</f>
        <v>ชั้นปีที่ 3</v>
      </c>
      <c r="D465" s="3" t="str">
        <f>IFERROR(__xludf.DUMMYFUNCTION("""COMPUTED_VALUE"""),"6603769")</f>
        <v>6603769</v>
      </c>
      <c r="E465" s="3" t="str">
        <f>IFERROR(__xludf.DUMMYFUNCTION("""COMPUTED_VALUE"""),"16")</f>
        <v>16</v>
      </c>
      <c r="F465" s="3" t="str">
        <f>IFERROR(__xludf.DUMMYFUNCTION("""COMPUTED_VALUE"""),"นพอ.ณิชนันท์ ศิรประภารัตน์")</f>
        <v>นพอ.ณิชนันท์ ศิรประภารัตน์</v>
      </c>
      <c r="G4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5" s="3" t="str">
        <f>IFERROR(__xludf.DUMMYFUNCTION("""COMPUTED_VALUE"""),"วันเด็กแห่งชาติ")</f>
        <v>วันเด็กแห่งชาติ</v>
      </c>
      <c r="I465" s="3" t="str">
        <f>IFERROR(__xludf.DUMMYFUNCTION("""COMPUTED_VALUE"""),"กองบิน 6")</f>
        <v>กองบิน 6</v>
      </c>
      <c r="J465" s="12">
        <f>IFERROR(__xludf.DUMMYFUNCTION("""COMPUTED_VALUE"""),46032.0)</f>
        <v>46032</v>
      </c>
      <c r="K465" s="3" t="str">
        <f>IFERROR(__xludf.DUMMYFUNCTION("""COMPUTED_VALUE"""),"06.00-15.00")</f>
        <v>06.00-15.00</v>
      </c>
      <c r="L465" s="3">
        <f>IFERROR(__xludf.DUMMYFUNCTION("""COMPUTED_VALUE"""),8.0)</f>
        <v>8</v>
      </c>
      <c r="M465" s="3" t="str">
        <f>IFERROR(__xludf.DUMMYFUNCTION("""COMPUTED_VALUE"""),"น.ต.หญิง สมพงษ์ แก้วพรรณา")</f>
        <v>น.ต.หญิง สมพงษ์ แก้วพรรณา</v>
      </c>
      <c r="N465" s="14" t="str">
        <f>IFERROR(__xludf.DUMMYFUNCTION("""COMPUTED_VALUE"""),"https://lh5.googleusercontent.com/d/1JFSfSODvguwmPjG0EXea0sIauTWvQQya")</f>
        <v>https://lh5.googleusercontent.com/d/1JFSfSODvguwmPjG0EXea0sIauTWvQQya</v>
      </c>
      <c r="O465" s="14" t="str">
        <f>IFERROR(__xludf.DUMMYFUNCTION("""COMPUTED_VALUE"""),"https://drive.google.com/file/d/1eqFAObFZFvPqccmazR7Porw8lx5EufLO/view?usp=drivesdk")</f>
        <v>https://drive.google.com/file/d/1eqFAObFZFvPqccmazR7Porw8lx5EufLO/view?usp=drivesdk</v>
      </c>
    </row>
    <row r="466">
      <c r="A466" s="3">
        <f>IFERROR(__xludf.DUMMYFUNCTION("""COMPUTED_VALUE"""),1999.0)</f>
        <v>1999</v>
      </c>
      <c r="B466" s="11">
        <f>IFERROR(__xludf.DUMMYFUNCTION("""COMPUTED_VALUE"""),46153.34627248842)</f>
        <v>46153.34627</v>
      </c>
      <c r="C466" s="3" t="str">
        <f>IFERROR(__xludf.DUMMYFUNCTION("""COMPUTED_VALUE"""),"ชั้นปีที่ 3")</f>
        <v>ชั้นปีที่ 3</v>
      </c>
      <c r="D466" s="3" t="str">
        <f>IFERROR(__xludf.DUMMYFUNCTION("""COMPUTED_VALUE"""),"6603815")</f>
        <v>6603815</v>
      </c>
      <c r="E466" s="3" t="str">
        <f>IFERROR(__xludf.DUMMYFUNCTION("""COMPUTED_VALUE"""),"61")</f>
        <v>61</v>
      </c>
      <c r="F466" s="3" t="str">
        <f>IFERROR(__xludf.DUMMYFUNCTION("""COMPUTED_VALUE"""),"นพอ.อภิรชา คำเจริญ")</f>
        <v>นพอ.อภิรชา คำเจริญ</v>
      </c>
      <c r="G466" s="3" t="str">
        <f>IFERROR(__xludf.DUMMYFUNCTION("""COMPUTED_VALUE"""),"ช่วยเหลืองานภายใน วพอ.")</f>
        <v>ช่วยเหลืองานภายใน วพอ.</v>
      </c>
      <c r="H466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66" s="3" t="str">
        <f>IFERROR(__xludf.DUMMYFUNCTION("""COMPUTED_VALUE"""),"วพอ.พอ.")</f>
        <v>วพอ.พอ.</v>
      </c>
      <c r="J466" s="12">
        <f>IFERROR(__xludf.DUMMYFUNCTION("""COMPUTED_VALUE"""),46134.0)</f>
        <v>46134</v>
      </c>
      <c r="K466" s="3" t="str">
        <f>IFERROR(__xludf.DUMMYFUNCTION("""COMPUTED_VALUE"""),"1700-2100")</f>
        <v>1700-2100</v>
      </c>
      <c r="L466" s="3">
        <f>IFERROR(__xludf.DUMMYFUNCTION("""COMPUTED_VALUE"""),4.0)</f>
        <v>4</v>
      </c>
      <c r="M466" s="3" t="str">
        <f>IFERROR(__xludf.DUMMYFUNCTION("""COMPUTED_VALUE"""),"ร.อ.อนุชิต ทำจะดี")</f>
        <v>ร.อ.อนุชิต ทำจะดี</v>
      </c>
      <c r="N466" s="14" t="str">
        <f>IFERROR(__xludf.DUMMYFUNCTION("""COMPUTED_VALUE"""),"https://lh5.googleusercontent.com/d/1jNCocyoej6zczaSdLrKM5yvUnbwDuFOT")</f>
        <v>https://lh5.googleusercontent.com/d/1jNCocyoej6zczaSdLrKM5yvUnbwDuFOT</v>
      </c>
      <c r="O466" s="14" t="str">
        <f>IFERROR(__xludf.DUMMYFUNCTION("""COMPUTED_VALUE"""),"https://drive.google.com/file/d/1A0ViViavboeZIM4zwIARhUejp-PBe8g7/view?usp=drivesdk")</f>
        <v>https://drive.google.com/file/d/1A0ViViavboeZIM4zwIARhUejp-PBe8g7/view?usp=drivesdk</v>
      </c>
    </row>
    <row r="467">
      <c r="A467" s="3">
        <f>IFERROR(__xludf.DUMMYFUNCTION("""COMPUTED_VALUE"""),2000.0)</f>
        <v>2000</v>
      </c>
      <c r="B467" s="11">
        <f>IFERROR(__xludf.DUMMYFUNCTION("""COMPUTED_VALUE"""),46153.348073298606)</f>
        <v>46153.34807</v>
      </c>
      <c r="C467" s="3" t="str">
        <f>IFERROR(__xludf.DUMMYFUNCTION("""COMPUTED_VALUE"""),"ชั้นปีที่ 3")</f>
        <v>ชั้นปีที่ 3</v>
      </c>
      <c r="D467" s="3" t="str">
        <f>IFERROR(__xludf.DUMMYFUNCTION("""COMPUTED_VALUE"""),"6603815")</f>
        <v>6603815</v>
      </c>
      <c r="E467" s="3" t="str">
        <f>IFERROR(__xludf.DUMMYFUNCTION("""COMPUTED_VALUE"""),"61")</f>
        <v>61</v>
      </c>
      <c r="F467" s="3" t="str">
        <f>IFERROR(__xludf.DUMMYFUNCTION("""COMPUTED_VALUE"""),"นพอ.อภิรชา คำเจริญ")</f>
        <v>นพอ.อภิรชา คำเจริญ</v>
      </c>
      <c r="G467" s="3" t="str">
        <f>IFERROR(__xludf.DUMMYFUNCTION("""COMPUTED_VALUE"""),"ช่วยเหลืองานภายใน วพอ.")</f>
        <v>ช่วยเหลืองานภายใน วพอ.</v>
      </c>
      <c r="H467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67" s="3" t="str">
        <f>IFERROR(__xludf.DUMMYFUNCTION("""COMPUTED_VALUE"""),"วพอ.พอ.")</f>
        <v>วพอ.พอ.</v>
      </c>
      <c r="J467" s="12">
        <f>IFERROR(__xludf.DUMMYFUNCTION("""COMPUTED_VALUE"""),46135.0)</f>
        <v>46135</v>
      </c>
      <c r="K467" s="3" t="str">
        <f>IFERROR(__xludf.DUMMYFUNCTION("""COMPUTED_VALUE"""),"1700-2100")</f>
        <v>1700-2100</v>
      </c>
      <c r="L467" s="3">
        <f>IFERROR(__xludf.DUMMYFUNCTION("""COMPUTED_VALUE"""),4.0)</f>
        <v>4</v>
      </c>
      <c r="M467" s="3" t="str">
        <f>IFERROR(__xludf.DUMMYFUNCTION("""COMPUTED_VALUE"""),"ร.อ.อนุชิต ทำจะดี")</f>
        <v>ร.อ.อนุชิต ทำจะดี</v>
      </c>
      <c r="N467" s="14" t="str">
        <f>IFERROR(__xludf.DUMMYFUNCTION("""COMPUTED_VALUE"""),"https://lh5.googleusercontent.com/d/1kRtDkpaVmCeiP-uO2RfkzKvUJTlyNrMq")</f>
        <v>https://lh5.googleusercontent.com/d/1kRtDkpaVmCeiP-uO2RfkzKvUJTlyNrMq</v>
      </c>
      <c r="O467" s="14" t="str">
        <f>IFERROR(__xludf.DUMMYFUNCTION("""COMPUTED_VALUE"""),"https://drive.google.com/file/d/1nfHvBPCfdWQGIWk67P8idLGFnQu-Fw1P/view?usp=drivesdk")</f>
        <v>https://drive.google.com/file/d/1nfHvBPCfdWQGIWk67P8idLGFnQu-Fw1P/view?usp=drivesdk</v>
      </c>
    </row>
    <row r="468">
      <c r="A468" s="3">
        <f>IFERROR(__xludf.DUMMYFUNCTION("""COMPUTED_VALUE"""),2001.0)</f>
        <v>2001</v>
      </c>
      <c r="B468" s="11">
        <f>IFERROR(__xludf.DUMMYFUNCTION("""COMPUTED_VALUE"""),46153.34875467593)</f>
        <v>46153.34875</v>
      </c>
      <c r="C468" s="3" t="str">
        <f>IFERROR(__xludf.DUMMYFUNCTION("""COMPUTED_VALUE"""),"ชั้นปีที่ 3")</f>
        <v>ชั้นปีที่ 3</v>
      </c>
      <c r="D468" s="3" t="str">
        <f>IFERROR(__xludf.DUMMYFUNCTION("""COMPUTED_VALUE"""),"6603777")</f>
        <v>6603777</v>
      </c>
      <c r="E468" s="3" t="str">
        <f>IFERROR(__xludf.DUMMYFUNCTION("""COMPUTED_VALUE"""),"23")</f>
        <v>23</v>
      </c>
      <c r="F468" s="3" t="str">
        <f>IFERROR(__xludf.DUMMYFUNCTION("""COMPUTED_VALUE"""),"นพอ.นัชธิดา ไกรทองสุข")</f>
        <v>นพอ.นัชธิดา ไกรทองสุข</v>
      </c>
      <c r="G468" s="3" t="str">
        <f>IFERROR(__xludf.DUMMYFUNCTION("""COMPUTED_VALUE"""),"ช่วยเหลืองานภายใน วพอ.")</f>
        <v>ช่วยเหลืองานภายใน วพอ.</v>
      </c>
      <c r="H46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8" s="3" t="str">
        <f>IFERROR(__xludf.DUMMYFUNCTION("""COMPUTED_VALUE"""),"วพอ.พอ.")</f>
        <v>วพอ.พอ.</v>
      </c>
      <c r="J468" s="12">
        <f>IFERROR(__xludf.DUMMYFUNCTION("""COMPUTED_VALUE"""),46134.0)</f>
        <v>46134</v>
      </c>
      <c r="K468" s="3" t="str">
        <f>IFERROR(__xludf.DUMMYFUNCTION("""COMPUTED_VALUE"""),"1700-2100")</f>
        <v>1700-2100</v>
      </c>
      <c r="L468" s="3">
        <f>IFERROR(__xludf.DUMMYFUNCTION("""COMPUTED_VALUE"""),4.0)</f>
        <v>4</v>
      </c>
      <c r="M468" s="3" t="str">
        <f>IFERROR(__xludf.DUMMYFUNCTION("""COMPUTED_VALUE"""),"ร.อ.อนุชิต ทำจะดี")</f>
        <v>ร.อ.อนุชิต ทำจะดี</v>
      </c>
      <c r="N468" s="14" t="str">
        <f>IFERROR(__xludf.DUMMYFUNCTION("""COMPUTED_VALUE"""),"https://lh5.googleusercontent.com/d/1PqpvO9RzqjQpHwUxQUJtrirfpvEz36S9")</f>
        <v>https://lh5.googleusercontent.com/d/1PqpvO9RzqjQpHwUxQUJtrirfpvEz36S9</v>
      </c>
      <c r="O468" s="14" t="str">
        <f>IFERROR(__xludf.DUMMYFUNCTION("""COMPUTED_VALUE"""),"https://drive.google.com/file/d/1-hYebf0vLOnISf2mafxkCCCd2Azz5W_w/view?usp=drivesdk")</f>
        <v>https://drive.google.com/file/d/1-hYebf0vLOnISf2mafxkCCCd2Azz5W_w/view?usp=drivesdk</v>
      </c>
    </row>
    <row r="469">
      <c r="A469" s="3">
        <f>IFERROR(__xludf.DUMMYFUNCTION("""COMPUTED_VALUE"""),2002.0)</f>
        <v>2002</v>
      </c>
      <c r="B469" s="11">
        <f>IFERROR(__xludf.DUMMYFUNCTION("""COMPUTED_VALUE"""),46153.34972814815)</f>
        <v>46153.34973</v>
      </c>
      <c r="C469" s="3" t="str">
        <f>IFERROR(__xludf.DUMMYFUNCTION("""COMPUTED_VALUE"""),"ชั้นปีที่ 3")</f>
        <v>ชั้นปีที่ 3</v>
      </c>
      <c r="D469" s="3" t="str">
        <f>IFERROR(__xludf.DUMMYFUNCTION("""COMPUTED_VALUE"""),"6603815")</f>
        <v>6603815</v>
      </c>
      <c r="E469" s="3" t="str">
        <f>IFERROR(__xludf.DUMMYFUNCTION("""COMPUTED_VALUE"""),"61")</f>
        <v>61</v>
      </c>
      <c r="F469" s="3" t="str">
        <f>IFERROR(__xludf.DUMMYFUNCTION("""COMPUTED_VALUE"""),"นพอ.อภิรชา คำเจริญ")</f>
        <v>นพอ.อภิรชา คำเจริญ</v>
      </c>
      <c r="G469" s="3" t="str">
        <f>IFERROR(__xludf.DUMMYFUNCTION("""COMPUTED_VALUE"""),"ช่วยเหลืองานภายใน วพอ.")</f>
        <v>ช่วยเหลืองานภายใน วพอ.</v>
      </c>
      <c r="H469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69" s="3" t="str">
        <f>IFERROR(__xludf.DUMMYFUNCTION("""COMPUTED_VALUE"""),"วพอ.พอ.")</f>
        <v>วพอ.พอ.</v>
      </c>
      <c r="J469" s="12">
        <f>IFERROR(__xludf.DUMMYFUNCTION("""COMPUTED_VALUE"""),46138.0)</f>
        <v>46138</v>
      </c>
      <c r="K469" s="3" t="str">
        <f>IFERROR(__xludf.DUMMYFUNCTION("""COMPUTED_VALUE"""),"1500-2100")</f>
        <v>1500-2100</v>
      </c>
      <c r="L469" s="3">
        <f>IFERROR(__xludf.DUMMYFUNCTION("""COMPUTED_VALUE"""),6.0)</f>
        <v>6</v>
      </c>
      <c r="M469" s="3" t="str">
        <f>IFERROR(__xludf.DUMMYFUNCTION("""COMPUTED_VALUE"""),"ร.อ.อนุชิต ทำจะดี")</f>
        <v>ร.อ.อนุชิต ทำจะดี</v>
      </c>
      <c r="N469" s="14" t="str">
        <f>IFERROR(__xludf.DUMMYFUNCTION("""COMPUTED_VALUE"""),"https://lh5.googleusercontent.com/d/1lq2fYyeELuvuScJiuJ3I8FPn3ZqZyWjN")</f>
        <v>https://lh5.googleusercontent.com/d/1lq2fYyeELuvuScJiuJ3I8FPn3ZqZyWjN</v>
      </c>
      <c r="O469" s="14" t="str">
        <f>IFERROR(__xludf.DUMMYFUNCTION("""COMPUTED_VALUE"""),"https://drive.google.com/file/d/1M7GOOHLntrzWDgbvg1fL_s8dhnoNsUJC/view?usp=drivesdk")</f>
        <v>https://drive.google.com/file/d/1M7GOOHLntrzWDgbvg1fL_s8dhnoNsUJC/view?usp=drivesdk</v>
      </c>
    </row>
    <row r="470">
      <c r="A470" s="3">
        <f>IFERROR(__xludf.DUMMYFUNCTION("""COMPUTED_VALUE"""),2003.0)</f>
        <v>2003</v>
      </c>
      <c r="B470" s="11">
        <f>IFERROR(__xludf.DUMMYFUNCTION("""COMPUTED_VALUE"""),46153.352507731484)</f>
        <v>46153.35251</v>
      </c>
      <c r="C470" s="3" t="str">
        <f>IFERROR(__xludf.DUMMYFUNCTION("""COMPUTED_VALUE"""),"ชั้นปีที่ 3")</f>
        <v>ชั้นปีที่ 3</v>
      </c>
      <c r="D470" s="3" t="str">
        <f>IFERROR(__xludf.DUMMYFUNCTION("""COMPUTED_VALUE"""),"6603815")</f>
        <v>6603815</v>
      </c>
      <c r="E470" s="3" t="str">
        <f>IFERROR(__xludf.DUMMYFUNCTION("""COMPUTED_VALUE"""),"61")</f>
        <v>61</v>
      </c>
      <c r="F470" s="3" t="str">
        <f>IFERROR(__xludf.DUMMYFUNCTION("""COMPUTED_VALUE"""),"นพอ.อภิรชา คำเจริญ")</f>
        <v>นพอ.อภิรชา คำเจริญ</v>
      </c>
      <c r="G470" s="3" t="str">
        <f>IFERROR(__xludf.DUMMYFUNCTION("""COMPUTED_VALUE"""),"ช่วยเหลืองานภายใน วพอ.")</f>
        <v>ช่วยเหลืองานภายใน วพอ.</v>
      </c>
      <c r="H47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0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470" s="12">
        <f>IFERROR(__xludf.DUMMYFUNCTION("""COMPUTED_VALUE"""),46139.0)</f>
        <v>46139</v>
      </c>
      <c r="K470" s="3" t="str">
        <f>IFERROR(__xludf.DUMMYFUNCTION("""COMPUTED_VALUE"""),"1700-2100")</f>
        <v>1700-2100</v>
      </c>
      <c r="L470" s="3">
        <f>IFERROR(__xludf.DUMMYFUNCTION("""COMPUTED_VALUE"""),4.0)</f>
        <v>4</v>
      </c>
      <c r="M470" s="3" t="str">
        <f>IFERROR(__xludf.DUMMYFUNCTION("""COMPUTED_VALUE"""),"ร.อ.อนุชิต ทำจะดี")</f>
        <v>ร.อ.อนุชิต ทำจะดี</v>
      </c>
      <c r="N470" s="14" t="str">
        <f>IFERROR(__xludf.DUMMYFUNCTION("""COMPUTED_VALUE"""),"https://lh5.googleusercontent.com/d/1e9hkCx7DSnSVRHk2Vsa4_EOo82NbjfJb")</f>
        <v>https://lh5.googleusercontent.com/d/1e9hkCx7DSnSVRHk2Vsa4_EOo82NbjfJb</v>
      </c>
      <c r="O470" s="14" t="str">
        <f>IFERROR(__xludf.DUMMYFUNCTION("""COMPUTED_VALUE"""),"https://drive.google.com/file/d/1W_kt7EtxmH6efvhdzeKc3nA5zcbDpb0-/view?usp=drivesdk")</f>
        <v>https://drive.google.com/file/d/1W_kt7EtxmH6efvhdzeKc3nA5zcbDpb0-/view?usp=drivesdk</v>
      </c>
    </row>
    <row r="471">
      <c r="A471" s="3">
        <f>IFERROR(__xludf.DUMMYFUNCTION("""COMPUTED_VALUE"""),2004.0)</f>
        <v>2004</v>
      </c>
      <c r="B471" s="11">
        <f>IFERROR(__xludf.DUMMYFUNCTION("""COMPUTED_VALUE"""),46153.352586238434)</f>
        <v>46153.35259</v>
      </c>
      <c r="C471" s="3" t="str">
        <f>IFERROR(__xludf.DUMMYFUNCTION("""COMPUTED_VALUE"""),"ชั้นปีที่ 3")</f>
        <v>ชั้นปีที่ 3</v>
      </c>
      <c r="D471" s="3" t="str">
        <f>IFERROR(__xludf.DUMMYFUNCTION("""COMPUTED_VALUE"""),"6603769")</f>
        <v>6603769</v>
      </c>
      <c r="E471" s="3" t="str">
        <f>IFERROR(__xludf.DUMMYFUNCTION("""COMPUTED_VALUE"""),"16")</f>
        <v>16</v>
      </c>
      <c r="F471" s="3" t="str">
        <f>IFERROR(__xludf.DUMMYFUNCTION("""COMPUTED_VALUE"""),"นพอ.ณิชนันท์ ศิรประภารัตน์")</f>
        <v>นพอ.ณิชนันท์ ศิรประภารัตน์</v>
      </c>
      <c r="G47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71" s="3" t="str">
        <f>IFERROR(__xludf.DUMMYFUNCTION("""COMPUTED_VALUE"""),"บริจาคโลหิต")</f>
        <v>บริจาคโลหิต</v>
      </c>
      <c r="I471" s="3" t="str">
        <f>IFERROR(__xludf.DUMMYFUNCTION("""COMPUTED_VALUE"""),"โรงพยาบาลภูมิพล")</f>
        <v>โรงพยาบาลภูมิพล</v>
      </c>
      <c r="J471" s="12">
        <f>IFERROR(__xludf.DUMMYFUNCTION("""COMPUTED_VALUE"""),46094.0)</f>
        <v>46094</v>
      </c>
      <c r="K471" s="3" t="str">
        <f>IFERROR(__xludf.DUMMYFUNCTION("""COMPUTED_VALUE"""),"0800-1600")</f>
        <v>0800-1600</v>
      </c>
      <c r="L471" s="3">
        <f>IFERROR(__xludf.DUMMYFUNCTION("""COMPUTED_VALUE"""),8.0)</f>
        <v>8</v>
      </c>
      <c r="M47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71" s="14" t="str">
        <f>IFERROR(__xludf.DUMMYFUNCTION("""COMPUTED_VALUE"""),"https://lh5.googleusercontent.com/d/1sG1QLm93JwnEWTirLGTtBGSPF1bdLki_")</f>
        <v>https://lh5.googleusercontent.com/d/1sG1QLm93JwnEWTirLGTtBGSPF1bdLki_</v>
      </c>
      <c r="O471" s="14" t="str">
        <f>IFERROR(__xludf.DUMMYFUNCTION("""COMPUTED_VALUE"""),"https://drive.google.com/file/d/1rPDQ8zbClo03i76KtVDB8Gmq8d3fLALQ/view?usp=drivesdk")</f>
        <v>https://drive.google.com/file/d/1rPDQ8zbClo03i76KtVDB8Gmq8d3fLALQ/view?usp=drivesdk</v>
      </c>
    </row>
    <row r="472">
      <c r="A472" s="3">
        <f>IFERROR(__xludf.DUMMYFUNCTION("""COMPUTED_VALUE"""),2004.0)</f>
        <v>2004</v>
      </c>
      <c r="B472" s="11">
        <f>IFERROR(__xludf.DUMMYFUNCTION("""COMPUTED_VALUE"""),46153.352592766205)</f>
        <v>46153.35259</v>
      </c>
      <c r="C472" s="3" t="str">
        <f>IFERROR(__xludf.DUMMYFUNCTION("""COMPUTED_VALUE"""),"ชั้นปีที่ 3")</f>
        <v>ชั้นปีที่ 3</v>
      </c>
      <c r="D472" s="3" t="str">
        <f>IFERROR(__xludf.DUMMYFUNCTION("""COMPUTED_VALUE"""),"6603777")</f>
        <v>6603777</v>
      </c>
      <c r="E472" s="3" t="str">
        <f>IFERROR(__xludf.DUMMYFUNCTION("""COMPUTED_VALUE"""),"23")</f>
        <v>23</v>
      </c>
      <c r="F472" s="3" t="str">
        <f>IFERROR(__xludf.DUMMYFUNCTION("""COMPUTED_VALUE"""),"นพอ.นัชธิดา ไกรทองสุข")</f>
        <v>นพอ.นัชธิดา ไกรทองสุข</v>
      </c>
      <c r="G472" s="3" t="str">
        <f>IFERROR(__xludf.DUMMYFUNCTION("""COMPUTED_VALUE"""),"ช่วยเหลืองานภายใน วพอ.")</f>
        <v>ช่วยเหลืองานภายใน วพอ.</v>
      </c>
      <c r="H47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2" s="3" t="str">
        <f>IFERROR(__xludf.DUMMYFUNCTION("""COMPUTED_VALUE"""),"วพอ.พอ.")</f>
        <v>วพอ.พอ.</v>
      </c>
      <c r="J472" s="12">
        <f>IFERROR(__xludf.DUMMYFUNCTION("""COMPUTED_VALUE"""),46135.0)</f>
        <v>46135</v>
      </c>
      <c r="K472" s="3" t="str">
        <f>IFERROR(__xludf.DUMMYFUNCTION("""COMPUTED_VALUE"""),"1700-2100")</f>
        <v>1700-2100</v>
      </c>
      <c r="L472" s="3">
        <f>IFERROR(__xludf.DUMMYFUNCTION("""COMPUTED_VALUE"""),4.0)</f>
        <v>4</v>
      </c>
      <c r="M472" s="3" t="str">
        <f>IFERROR(__xludf.DUMMYFUNCTION("""COMPUTED_VALUE"""),"ร.อ.อนุชิต ทำจะดี")</f>
        <v>ร.อ.อนุชิต ทำจะดี</v>
      </c>
      <c r="N472" s="14" t="str">
        <f>IFERROR(__xludf.DUMMYFUNCTION("""COMPUTED_VALUE"""),"https://lh5.googleusercontent.com/d/11-7jZVv-0_kXUCKPBhe4DDikWjKUV7uZ")</f>
        <v>https://lh5.googleusercontent.com/d/11-7jZVv-0_kXUCKPBhe4DDikWjKUV7uZ</v>
      </c>
      <c r="O472" s="14" t="str">
        <f>IFERROR(__xludf.DUMMYFUNCTION("""COMPUTED_VALUE"""),"https://drive.google.com/file/d/1CpTKtLnu_qFVRPSrdXBpl5AfuH4INuxK/view?usp=drivesdk")</f>
        <v>https://drive.google.com/file/d/1CpTKtLnu_qFVRPSrdXBpl5AfuH4INuxK/view?usp=drivesdk</v>
      </c>
    </row>
    <row r="473">
      <c r="A473" s="3">
        <f>IFERROR(__xludf.DUMMYFUNCTION("""COMPUTED_VALUE"""),2005.0)</f>
        <v>2005</v>
      </c>
      <c r="B473" s="11">
        <f>IFERROR(__xludf.DUMMYFUNCTION("""COMPUTED_VALUE"""),46153.35510180556)</f>
        <v>46153.3551</v>
      </c>
      <c r="C473" s="3" t="str">
        <f>IFERROR(__xludf.DUMMYFUNCTION("""COMPUTED_VALUE"""),"ชั้นปีที่ 3")</f>
        <v>ชั้นปีที่ 3</v>
      </c>
      <c r="D473" s="3" t="str">
        <f>IFERROR(__xludf.DUMMYFUNCTION("""COMPUTED_VALUE"""),"6603777")</f>
        <v>6603777</v>
      </c>
      <c r="E473" s="3" t="str">
        <f>IFERROR(__xludf.DUMMYFUNCTION("""COMPUTED_VALUE"""),"23")</f>
        <v>23</v>
      </c>
      <c r="F473" s="3" t="str">
        <f>IFERROR(__xludf.DUMMYFUNCTION("""COMPUTED_VALUE"""),"นพอ.นัชธิดา ไกรทองสุข")</f>
        <v>นพอ.นัชธิดา ไกรทองสุข</v>
      </c>
      <c r="G473" s="3" t="str">
        <f>IFERROR(__xludf.DUMMYFUNCTION("""COMPUTED_VALUE"""),"ช่วยเหลืองานภายใน วพอ.")</f>
        <v>ช่วยเหลืองานภายใน วพอ.</v>
      </c>
      <c r="H47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3" s="3" t="str">
        <f>IFERROR(__xludf.DUMMYFUNCTION("""COMPUTED_VALUE"""),"วพอ.พอ.")</f>
        <v>วพอ.พอ.</v>
      </c>
      <c r="J473" s="12">
        <f>IFERROR(__xludf.DUMMYFUNCTION("""COMPUTED_VALUE"""),46138.0)</f>
        <v>46138</v>
      </c>
      <c r="K473" s="3" t="str">
        <f>IFERROR(__xludf.DUMMYFUNCTION("""COMPUTED_VALUE"""),"1500-2100")</f>
        <v>1500-2100</v>
      </c>
      <c r="L473" s="3">
        <f>IFERROR(__xludf.DUMMYFUNCTION("""COMPUTED_VALUE"""),6.0)</f>
        <v>6</v>
      </c>
      <c r="M473" s="3" t="str">
        <f>IFERROR(__xludf.DUMMYFUNCTION("""COMPUTED_VALUE"""),"ร.อ.อนุชิต ทำจะดี")</f>
        <v>ร.อ.อนุชิต ทำจะดี</v>
      </c>
      <c r="N473" s="14" t="str">
        <f>IFERROR(__xludf.DUMMYFUNCTION("""COMPUTED_VALUE"""),"https://lh5.googleusercontent.com/d/1HeCdehg3-w5byw21QGqXTGOT5tGAoZtN")</f>
        <v>https://lh5.googleusercontent.com/d/1HeCdehg3-w5byw21QGqXTGOT5tGAoZtN</v>
      </c>
      <c r="O473" s="14" t="str">
        <f>IFERROR(__xludf.DUMMYFUNCTION("""COMPUTED_VALUE"""),"https://drive.google.com/file/d/1jQfuQAKDRlDSOXh8QMzIr2qtM-ikXgZp/view?usp=drivesdk")</f>
        <v>https://drive.google.com/file/d/1jQfuQAKDRlDSOXh8QMzIr2qtM-ikXgZp/view?usp=drivesdk</v>
      </c>
    </row>
    <row r="474">
      <c r="A474" s="3">
        <f>IFERROR(__xludf.DUMMYFUNCTION("""COMPUTED_VALUE"""),2006.0)</f>
        <v>2006</v>
      </c>
      <c r="B474" s="11">
        <f>IFERROR(__xludf.DUMMYFUNCTION("""COMPUTED_VALUE"""),46153.35621780092)</f>
        <v>46153.35622</v>
      </c>
      <c r="C474" s="3" t="str">
        <f>IFERROR(__xludf.DUMMYFUNCTION("""COMPUTED_VALUE"""),"ชั้นปีที่ 3")</f>
        <v>ชั้นปีที่ 3</v>
      </c>
      <c r="D474" s="3" t="str">
        <f>IFERROR(__xludf.DUMMYFUNCTION("""COMPUTED_VALUE"""),"6603769")</f>
        <v>6603769</v>
      </c>
      <c r="E474" s="3" t="str">
        <f>IFERROR(__xludf.DUMMYFUNCTION("""COMPUTED_VALUE"""),"16")</f>
        <v>16</v>
      </c>
      <c r="F474" s="3" t="str">
        <f>IFERROR(__xludf.DUMMYFUNCTION("""COMPUTED_VALUE"""),"นพอ.ณิชนันท์ ศิรประภารัตน์")</f>
        <v>นพอ.ณิชนันท์ ศิรประภารัตน์</v>
      </c>
      <c r="G474" s="3" t="str">
        <f>IFERROR(__xludf.DUMMYFUNCTION("""COMPUTED_VALUE"""),"ช่วยเหลืองานภายใน วพอ.")</f>
        <v>ช่วยเหลืองานภายใน วพอ.</v>
      </c>
      <c r="H474" s="3" t="str">
        <f>IFERROR(__xludf.DUMMYFUNCTION("""COMPUTED_VALUE"""),"ทำความสะอาดห้องป.มทด")</f>
        <v>ทำความสะอาดห้องป.มทด</v>
      </c>
      <c r="I474" s="3" t="str">
        <f>IFERROR(__xludf.DUMMYFUNCTION("""COMPUTED_VALUE"""),"วิทยาลัยพยาบาลทหารอกาศ")</f>
        <v>วิทยาลัยพยาบาลทหารอกาศ</v>
      </c>
      <c r="J474" s="12">
        <f>IFERROR(__xludf.DUMMYFUNCTION("""COMPUTED_VALUE"""),46093.0)</f>
        <v>46093</v>
      </c>
      <c r="K474" s="3" t="str">
        <f>IFERROR(__xludf.DUMMYFUNCTION("""COMPUTED_VALUE"""),"0900-1000")</f>
        <v>0900-1000</v>
      </c>
      <c r="L474" s="3">
        <f>IFERROR(__xludf.DUMMYFUNCTION("""COMPUTED_VALUE"""),1.0)</f>
        <v>1</v>
      </c>
      <c r="M474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474" s="14" t="str">
        <f>IFERROR(__xludf.DUMMYFUNCTION("""COMPUTED_VALUE"""),"https://lh5.googleusercontent.com/d/1F9XminEABZMB8rj_QIdnIPLviuN3TRFJ")</f>
        <v>https://lh5.googleusercontent.com/d/1F9XminEABZMB8rj_QIdnIPLviuN3TRFJ</v>
      </c>
      <c r="O474" s="14" t="str">
        <f>IFERROR(__xludf.DUMMYFUNCTION("""COMPUTED_VALUE"""),"https://drive.google.com/file/d/1VMgk-5U5VwVfQmYRQ8-obMrTJCI9hWrB/view?usp=drivesdk")</f>
        <v>https://drive.google.com/file/d/1VMgk-5U5VwVfQmYRQ8-obMrTJCI9hWrB/view?usp=drivesdk</v>
      </c>
    </row>
    <row r="475">
      <c r="A475" s="3">
        <f>IFERROR(__xludf.DUMMYFUNCTION("""COMPUTED_VALUE"""),2007.0)</f>
        <v>2007</v>
      </c>
      <c r="B475" s="11">
        <f>IFERROR(__xludf.DUMMYFUNCTION("""COMPUTED_VALUE"""),46153.35768674768)</f>
        <v>46153.35769</v>
      </c>
      <c r="C475" s="3" t="str">
        <f>IFERROR(__xludf.DUMMYFUNCTION("""COMPUTED_VALUE"""),"ชั้นปีที่ 3")</f>
        <v>ชั้นปีที่ 3</v>
      </c>
      <c r="D475" s="3" t="str">
        <f>IFERROR(__xludf.DUMMYFUNCTION("""COMPUTED_VALUE"""),"6603777")</f>
        <v>6603777</v>
      </c>
      <c r="E475" s="3" t="str">
        <f>IFERROR(__xludf.DUMMYFUNCTION("""COMPUTED_VALUE"""),"23")</f>
        <v>23</v>
      </c>
      <c r="F475" s="3" t="str">
        <f>IFERROR(__xludf.DUMMYFUNCTION("""COMPUTED_VALUE"""),"นพอ.นัชธิดา ไกรทองสุข")</f>
        <v>นพอ.นัชธิดา ไกรทองสุข</v>
      </c>
      <c r="G475" s="3" t="str">
        <f>IFERROR(__xludf.DUMMYFUNCTION("""COMPUTED_VALUE"""),"ช่วยเหลืองานภายใน วพอ.")</f>
        <v>ช่วยเหลืองานภายใน วพอ.</v>
      </c>
      <c r="H47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5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475" s="12">
        <f>IFERROR(__xludf.DUMMYFUNCTION("""COMPUTED_VALUE"""),46139.0)</f>
        <v>46139</v>
      </c>
      <c r="K475" s="3" t="str">
        <f>IFERROR(__xludf.DUMMYFUNCTION("""COMPUTED_VALUE"""),"1700-2100")</f>
        <v>1700-2100</v>
      </c>
      <c r="L475" s="3">
        <f>IFERROR(__xludf.DUMMYFUNCTION("""COMPUTED_VALUE"""),4.0)</f>
        <v>4</v>
      </c>
      <c r="M475" s="3" t="str">
        <f>IFERROR(__xludf.DUMMYFUNCTION("""COMPUTED_VALUE"""),"ร.อ.อนุชิต ทำจะดี")</f>
        <v>ร.อ.อนุชิต ทำจะดี</v>
      </c>
      <c r="N475" s="14" t="str">
        <f>IFERROR(__xludf.DUMMYFUNCTION("""COMPUTED_VALUE"""),"https://lh5.googleusercontent.com/d/19ha4Ixbekt_UkN03BetPyuzV_IvSomku")</f>
        <v>https://lh5.googleusercontent.com/d/19ha4Ixbekt_UkN03BetPyuzV_IvSomku</v>
      </c>
      <c r="O475" s="14" t="str">
        <f>IFERROR(__xludf.DUMMYFUNCTION("""COMPUTED_VALUE"""),"https://drive.google.com/file/d/1L6Ixruf-J65Qtenwyrqnp6iuCF3T6d_o/view?usp=drivesdk")</f>
        <v>https://drive.google.com/file/d/1L6Ixruf-J65Qtenwyrqnp6iuCF3T6d_o/view?usp=drivesdk</v>
      </c>
    </row>
    <row r="476">
      <c r="A476" s="3">
        <f>IFERROR(__xludf.DUMMYFUNCTION("""COMPUTED_VALUE"""),2009.0)</f>
        <v>2009</v>
      </c>
      <c r="B476" s="11">
        <f>IFERROR(__xludf.DUMMYFUNCTION("""COMPUTED_VALUE"""),46153.36096453704)</f>
        <v>46153.36096</v>
      </c>
      <c r="C476" s="3" t="str">
        <f>IFERROR(__xludf.DUMMYFUNCTION("""COMPUTED_VALUE"""),"ชั้นปีที่ 3")</f>
        <v>ชั้นปีที่ 3</v>
      </c>
      <c r="D476" s="3" t="str">
        <f>IFERROR(__xludf.DUMMYFUNCTION("""COMPUTED_VALUE"""),"6603769")</f>
        <v>6603769</v>
      </c>
      <c r="E476" s="3" t="str">
        <f>IFERROR(__xludf.DUMMYFUNCTION("""COMPUTED_VALUE"""),"16")</f>
        <v>16</v>
      </c>
      <c r="F476" s="3" t="str">
        <f>IFERROR(__xludf.DUMMYFUNCTION("""COMPUTED_VALUE"""),"นพอ.ณิชนันท์ ศิรประภารัตน์")</f>
        <v>นพอ.ณิชนันท์ ศิรประภารัตน์</v>
      </c>
      <c r="G476" s="3" t="str">
        <f>IFERROR(__xludf.DUMMYFUNCTION("""COMPUTED_VALUE"""),"ช่วยเหลืองานภายใน วพอ.")</f>
        <v>ช่วยเหลืองานภายใน วพอ.</v>
      </c>
      <c r="H476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76" s="3" t="str">
        <f>IFERROR(__xludf.DUMMYFUNCTION("""COMPUTED_VALUE"""),"วพอ.พอ.")</f>
        <v>วพอ.พอ.</v>
      </c>
      <c r="J476" s="12">
        <f>IFERROR(__xludf.DUMMYFUNCTION("""COMPUTED_VALUE"""),46134.0)</f>
        <v>46134</v>
      </c>
      <c r="K476" s="3" t="str">
        <f>IFERROR(__xludf.DUMMYFUNCTION("""COMPUTED_VALUE"""),"1700-2100")</f>
        <v>1700-2100</v>
      </c>
      <c r="L476" s="3">
        <f>IFERROR(__xludf.DUMMYFUNCTION("""COMPUTED_VALUE"""),4.0)</f>
        <v>4</v>
      </c>
      <c r="M476" s="3" t="str">
        <f>IFERROR(__xludf.DUMMYFUNCTION("""COMPUTED_VALUE"""),"ร.อ.อนุชิต ทำจะดี")</f>
        <v>ร.อ.อนุชิต ทำจะดี</v>
      </c>
      <c r="N476" s="14" t="str">
        <f>IFERROR(__xludf.DUMMYFUNCTION("""COMPUTED_VALUE"""),"https://lh5.googleusercontent.com/d/117Vaapfojude4kV8ORq1-zIvDAGS_LwS")</f>
        <v>https://lh5.googleusercontent.com/d/117Vaapfojude4kV8ORq1-zIvDAGS_LwS</v>
      </c>
      <c r="O476" s="14" t="str">
        <f>IFERROR(__xludf.DUMMYFUNCTION("""COMPUTED_VALUE"""),"https://drive.google.com/file/d/10qI-CjTqASreHITP2lU97M-3pQ3wn5rr/view?usp=drivesdk")</f>
        <v>https://drive.google.com/file/d/10qI-CjTqASreHITP2lU97M-3pQ3wn5rr/view?usp=drivesdk</v>
      </c>
    </row>
    <row r="477">
      <c r="A477" s="3">
        <f>IFERROR(__xludf.DUMMYFUNCTION("""COMPUTED_VALUE"""),2010.0)</f>
        <v>2010</v>
      </c>
      <c r="B477" s="11">
        <f>IFERROR(__xludf.DUMMYFUNCTION("""COMPUTED_VALUE"""),46153.361998657405)</f>
        <v>46153.362</v>
      </c>
      <c r="C477" s="3" t="str">
        <f>IFERROR(__xludf.DUMMYFUNCTION("""COMPUTED_VALUE"""),"ชั้นปีที่ 3")</f>
        <v>ชั้นปีที่ 3</v>
      </c>
      <c r="D477" s="3" t="str">
        <f>IFERROR(__xludf.DUMMYFUNCTION("""COMPUTED_VALUE"""),"6603769")</f>
        <v>6603769</v>
      </c>
      <c r="E477" s="3" t="str">
        <f>IFERROR(__xludf.DUMMYFUNCTION("""COMPUTED_VALUE"""),"16")</f>
        <v>16</v>
      </c>
      <c r="F477" s="3" t="str">
        <f>IFERROR(__xludf.DUMMYFUNCTION("""COMPUTED_VALUE"""),"นพอ.ณิชนันท์ ศิรประภารัตน์")</f>
        <v>นพอ.ณิชนันท์ ศิรประภารัตน์</v>
      </c>
      <c r="G477" s="3" t="str">
        <f>IFERROR(__xludf.DUMMYFUNCTION("""COMPUTED_VALUE"""),"ช่วยเหลืองานภายใน วพอ.")</f>
        <v>ช่วยเหลืองานภายใน วพอ.</v>
      </c>
      <c r="H477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77" s="3" t="str">
        <f>IFERROR(__xludf.DUMMYFUNCTION("""COMPUTED_VALUE"""),"วพอ.พอ.")</f>
        <v>วพอ.พอ.</v>
      </c>
      <c r="J477" s="12">
        <f>IFERROR(__xludf.DUMMYFUNCTION("""COMPUTED_VALUE"""),46135.0)</f>
        <v>46135</v>
      </c>
      <c r="K477" s="3" t="str">
        <f>IFERROR(__xludf.DUMMYFUNCTION("""COMPUTED_VALUE"""),"1700-2100")</f>
        <v>1700-2100</v>
      </c>
      <c r="L477" s="3">
        <f>IFERROR(__xludf.DUMMYFUNCTION("""COMPUTED_VALUE"""),4.0)</f>
        <v>4</v>
      </c>
      <c r="M477" s="3" t="str">
        <f>IFERROR(__xludf.DUMMYFUNCTION("""COMPUTED_VALUE"""),"ร.อ.อนุชิต ทำจะดี")</f>
        <v>ร.อ.อนุชิต ทำจะดี</v>
      </c>
      <c r="N477" s="14" t="str">
        <f>IFERROR(__xludf.DUMMYFUNCTION("""COMPUTED_VALUE"""),"https://lh5.googleusercontent.com/d/1UbhzNYO7_3fDQbnDSjkloioUBYCB1DMh")</f>
        <v>https://lh5.googleusercontent.com/d/1UbhzNYO7_3fDQbnDSjkloioUBYCB1DMh</v>
      </c>
      <c r="O477" s="14" t="str">
        <f>IFERROR(__xludf.DUMMYFUNCTION("""COMPUTED_VALUE"""),"https://drive.google.com/file/d/18zPHXIWMivo7Wfqu4ZAnF4oFSJhE06gI/view?usp=drivesdk")</f>
        <v>https://drive.google.com/file/d/18zPHXIWMivo7Wfqu4ZAnF4oFSJhE06gI/view?usp=drivesdk</v>
      </c>
    </row>
    <row r="478">
      <c r="A478" s="3">
        <f>IFERROR(__xludf.DUMMYFUNCTION("""COMPUTED_VALUE"""),2011.0)</f>
        <v>2011</v>
      </c>
      <c r="B478" s="11">
        <f>IFERROR(__xludf.DUMMYFUNCTION("""COMPUTED_VALUE"""),46153.363119629634)</f>
        <v>46153.36312</v>
      </c>
      <c r="C478" s="3" t="str">
        <f>IFERROR(__xludf.DUMMYFUNCTION("""COMPUTED_VALUE"""),"ชั้นปีที่ 3")</f>
        <v>ชั้นปีที่ 3</v>
      </c>
      <c r="D478" s="3" t="str">
        <f>IFERROR(__xludf.DUMMYFUNCTION("""COMPUTED_VALUE"""),"6603769")</f>
        <v>6603769</v>
      </c>
      <c r="E478" s="3" t="str">
        <f>IFERROR(__xludf.DUMMYFUNCTION("""COMPUTED_VALUE"""),"16")</f>
        <v>16</v>
      </c>
      <c r="F478" s="3" t="str">
        <f>IFERROR(__xludf.DUMMYFUNCTION("""COMPUTED_VALUE"""),"นพอ.ณิชนันท์ ศิรประภารัตน์")</f>
        <v>นพอ.ณิชนันท์ ศิรประภารัตน์</v>
      </c>
      <c r="G478" s="3" t="str">
        <f>IFERROR(__xludf.DUMMYFUNCTION("""COMPUTED_VALUE"""),"ช่วยเหลืองานภายใน วพอ.")</f>
        <v>ช่วยเหลืองานภายใน วพอ.</v>
      </c>
      <c r="H478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78" s="3" t="str">
        <f>IFERROR(__xludf.DUMMYFUNCTION("""COMPUTED_VALUE"""),"วพอ.พอ.")</f>
        <v>วพอ.พอ.</v>
      </c>
      <c r="J478" s="12">
        <f>IFERROR(__xludf.DUMMYFUNCTION("""COMPUTED_VALUE"""),46138.0)</f>
        <v>46138</v>
      </c>
      <c r="K478" s="3" t="str">
        <f>IFERROR(__xludf.DUMMYFUNCTION("""COMPUTED_VALUE"""),"1500-2100")</f>
        <v>1500-2100</v>
      </c>
      <c r="L478" s="3">
        <f>IFERROR(__xludf.DUMMYFUNCTION("""COMPUTED_VALUE"""),6.0)</f>
        <v>6</v>
      </c>
      <c r="M478" s="3" t="str">
        <f>IFERROR(__xludf.DUMMYFUNCTION("""COMPUTED_VALUE"""),"ร.อ.อนุชิต ทำจะดี")</f>
        <v>ร.อ.อนุชิต ทำจะดี</v>
      </c>
      <c r="N478" s="14" t="str">
        <f>IFERROR(__xludf.DUMMYFUNCTION("""COMPUTED_VALUE"""),"https://lh5.googleusercontent.com/d/1lNC6Z_EAuDItqGCT7yCYNipRcNOoR0om")</f>
        <v>https://lh5.googleusercontent.com/d/1lNC6Z_EAuDItqGCT7yCYNipRcNOoR0om</v>
      </c>
      <c r="O478" s="14" t="str">
        <f>IFERROR(__xludf.DUMMYFUNCTION("""COMPUTED_VALUE"""),"https://drive.google.com/file/d/1XAZozo7nCCbeAZuqhnwzZ1sQZPOBi8lF/view?usp=drivesdk")</f>
        <v>https://drive.google.com/file/d/1XAZozo7nCCbeAZuqhnwzZ1sQZPOBi8lF/view?usp=drivesdk</v>
      </c>
    </row>
    <row r="479">
      <c r="A479" s="3">
        <f>IFERROR(__xludf.DUMMYFUNCTION("""COMPUTED_VALUE"""),2012.0)</f>
        <v>2012</v>
      </c>
      <c r="B479" s="11">
        <f>IFERROR(__xludf.DUMMYFUNCTION("""COMPUTED_VALUE"""),46153.36429550926)</f>
        <v>46153.3643</v>
      </c>
      <c r="C479" s="3" t="str">
        <f>IFERROR(__xludf.DUMMYFUNCTION("""COMPUTED_VALUE"""),"ชั้นปีที่ 3")</f>
        <v>ชั้นปีที่ 3</v>
      </c>
      <c r="D479" s="3" t="str">
        <f>IFERROR(__xludf.DUMMYFUNCTION("""COMPUTED_VALUE"""),"6603769")</f>
        <v>6603769</v>
      </c>
      <c r="E479" s="3" t="str">
        <f>IFERROR(__xludf.DUMMYFUNCTION("""COMPUTED_VALUE"""),"16")</f>
        <v>16</v>
      </c>
      <c r="F479" s="3" t="str">
        <f>IFERROR(__xludf.DUMMYFUNCTION("""COMPUTED_VALUE"""),"นพอ.ณิชนันท์ ศิรประภารัตน์")</f>
        <v>นพอ.ณิชนันท์ ศิรประภารัตน์</v>
      </c>
      <c r="G479" s="3" t="str">
        <f>IFERROR(__xludf.DUMMYFUNCTION("""COMPUTED_VALUE"""),"ช่วยเหลืองานภายใน วพอ.")</f>
        <v>ช่วยเหลืองานภายใน วพอ.</v>
      </c>
      <c r="H479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79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479" s="12">
        <f>IFERROR(__xludf.DUMMYFUNCTION("""COMPUTED_VALUE"""),46139.0)</f>
        <v>46139</v>
      </c>
      <c r="K479" s="3" t="str">
        <f>IFERROR(__xludf.DUMMYFUNCTION("""COMPUTED_VALUE"""),"1700-2100")</f>
        <v>1700-2100</v>
      </c>
      <c r="L479" s="3">
        <f>IFERROR(__xludf.DUMMYFUNCTION("""COMPUTED_VALUE"""),4.0)</f>
        <v>4</v>
      </c>
      <c r="M479" s="3" t="str">
        <f>IFERROR(__xludf.DUMMYFUNCTION("""COMPUTED_VALUE"""),"ร.อ.อนุชิต ทำจะดี")</f>
        <v>ร.อ.อนุชิต ทำจะดี</v>
      </c>
      <c r="N479" s="14" t="str">
        <f>IFERROR(__xludf.DUMMYFUNCTION("""COMPUTED_VALUE"""),"https://lh5.googleusercontent.com/d/1VVdKsl3cr2wpH9kebgVo6Ax3OHfko2g1")</f>
        <v>https://lh5.googleusercontent.com/d/1VVdKsl3cr2wpH9kebgVo6Ax3OHfko2g1</v>
      </c>
      <c r="O479" s="14" t="str">
        <f>IFERROR(__xludf.DUMMYFUNCTION("""COMPUTED_VALUE"""),"https://drive.google.com/file/d/13jSHtDybdkMKvfw14xuAQ3YvHWQT5q9n/view?usp=drivesdk")</f>
        <v>https://drive.google.com/file/d/13jSHtDybdkMKvfw14xuAQ3YvHWQT5q9n/view?usp=drivesdk</v>
      </c>
    </row>
    <row r="480">
      <c r="A480" s="3">
        <f>IFERROR(__xludf.DUMMYFUNCTION("""COMPUTED_VALUE"""),2013.0)</f>
        <v>2013</v>
      </c>
      <c r="B480" s="11">
        <f>IFERROR(__xludf.DUMMYFUNCTION("""COMPUTED_VALUE"""),46153.36497354167)</f>
        <v>46153.36497</v>
      </c>
      <c r="C480" s="3" t="str">
        <f>IFERROR(__xludf.DUMMYFUNCTION("""COMPUTED_VALUE"""),"ชั้นปีที่ 3")</f>
        <v>ชั้นปีที่ 3</v>
      </c>
      <c r="D480" s="3" t="str">
        <f>IFERROR(__xludf.DUMMYFUNCTION("""COMPUTED_VALUE"""),"6603815")</f>
        <v>6603815</v>
      </c>
      <c r="E480" s="3" t="str">
        <f>IFERROR(__xludf.DUMMYFUNCTION("""COMPUTED_VALUE"""),"61")</f>
        <v>61</v>
      </c>
      <c r="F480" s="3" t="str">
        <f>IFERROR(__xludf.DUMMYFUNCTION("""COMPUTED_VALUE"""),"นพอ.อภิรชา คำเจริญ")</f>
        <v>นพอ.อภิรชา คำเจริญ</v>
      </c>
      <c r="G4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0" s="3" t="str">
        <f>IFERROR(__xludf.DUMMYFUNCTION("""COMPUTED_VALUE"""),"งานกาชาดประจำปี2568")</f>
        <v>งานกาชาดประจำปี2568</v>
      </c>
      <c r="I480" s="3" t="str">
        <f>IFERROR(__xludf.DUMMYFUNCTION("""COMPUTED_VALUE"""),"สวนลุมพินี")</f>
        <v>สวนลุมพินี</v>
      </c>
      <c r="J480" s="12">
        <f>IFERROR(__xludf.DUMMYFUNCTION("""COMPUTED_VALUE"""),46010.0)</f>
        <v>46010</v>
      </c>
      <c r="K480" s="3" t="str">
        <f>IFERROR(__xludf.DUMMYFUNCTION("""COMPUTED_VALUE"""),"1500-2300")</f>
        <v>1500-2300</v>
      </c>
      <c r="L480" s="3">
        <f>IFERROR(__xludf.DUMMYFUNCTION("""COMPUTED_VALUE"""),8.0)</f>
        <v>8</v>
      </c>
      <c r="M480" s="3" t="str">
        <f>IFERROR(__xludf.DUMMYFUNCTION("""COMPUTED_VALUE"""),"น.ต.ศักดิ์ชัย บุญประสิทธิ์")</f>
        <v>น.ต.ศักดิ์ชัย บุญประสิทธิ์</v>
      </c>
      <c r="N480" s="14" t="str">
        <f>IFERROR(__xludf.DUMMYFUNCTION("""COMPUTED_VALUE"""),"https://lh5.googleusercontent.com/d/1pgf_LxaWoq94ADFQMhgPyeadhEMbA5dI")</f>
        <v>https://lh5.googleusercontent.com/d/1pgf_LxaWoq94ADFQMhgPyeadhEMbA5dI</v>
      </c>
      <c r="O480" s="14" t="str">
        <f>IFERROR(__xludf.DUMMYFUNCTION("""COMPUTED_VALUE"""),"https://drive.google.com/file/d/1Pj_0UFAAXe7i0bAi7q5RRK596c7VExPl/view?usp=drivesdk")</f>
        <v>https://drive.google.com/file/d/1Pj_0UFAAXe7i0bAi7q5RRK596c7VExPl/view?usp=drivesdk</v>
      </c>
    </row>
    <row r="481">
      <c r="A481" s="3">
        <f>IFERROR(__xludf.DUMMYFUNCTION("""COMPUTED_VALUE"""),2014.0)</f>
        <v>2014</v>
      </c>
      <c r="B481" s="11">
        <f>IFERROR(__xludf.DUMMYFUNCTION("""COMPUTED_VALUE"""),46153.37001733797)</f>
        <v>46153.37002</v>
      </c>
      <c r="C481" s="3" t="str">
        <f>IFERROR(__xludf.DUMMYFUNCTION("""COMPUTED_VALUE"""),"ชั้นปีที่ 3")</f>
        <v>ชั้นปีที่ 3</v>
      </c>
      <c r="D481" s="3" t="str">
        <f>IFERROR(__xludf.DUMMYFUNCTION("""COMPUTED_VALUE"""),"6603762")</f>
        <v>6603762</v>
      </c>
      <c r="E481" s="3" t="str">
        <f>IFERROR(__xludf.DUMMYFUNCTION("""COMPUTED_VALUE"""),"9")</f>
        <v>9</v>
      </c>
      <c r="F481" s="3" t="str">
        <f>IFERROR(__xludf.DUMMYFUNCTION("""COMPUTED_VALUE"""),"นพอ.ชฎาภา บุตรวงษ์")</f>
        <v>นพอ.ชฎาภา บุตรวงษ์</v>
      </c>
      <c r="G481" s="3" t="str">
        <f>IFERROR(__xludf.DUMMYFUNCTION("""COMPUTED_VALUE"""),"ช่วยเหลืองานภายใน วพอ.")</f>
        <v>ช่วยเหลืองานภายใน วพอ.</v>
      </c>
      <c r="H481" s="3" t="str">
        <f>IFERROR(__xludf.DUMMYFUNCTION("""COMPUTED_VALUE"""),"คัดเลือกนพอ. ปีการศึกษา 2569")</f>
        <v>คัดเลือกนพอ. ปีการศึกษา 2569</v>
      </c>
      <c r="I481" s="3" t="str">
        <f>IFERROR(__xludf.DUMMYFUNCTION("""COMPUTED_VALUE"""),"วพอ.พอ.")</f>
        <v>วพอ.พอ.</v>
      </c>
      <c r="J481" s="12">
        <f>IFERROR(__xludf.DUMMYFUNCTION("""COMPUTED_VALUE"""),46147.0)</f>
        <v>46147</v>
      </c>
      <c r="K481" s="3" t="str">
        <f>IFERROR(__xludf.DUMMYFUNCTION("""COMPUTED_VALUE"""),"0600-1600")</f>
        <v>0600-1600</v>
      </c>
      <c r="L481" s="3">
        <f>IFERROR(__xludf.DUMMYFUNCTION("""COMPUTED_VALUE"""),8.0)</f>
        <v>8</v>
      </c>
      <c r="M481" s="3" t="str">
        <f>IFERROR(__xludf.DUMMYFUNCTION("""COMPUTED_VALUE"""),"น.ท.หญิงลักษ์ขณา พานิชสรรค์")</f>
        <v>น.ท.หญิงลักษ์ขณา พานิชสรรค์</v>
      </c>
      <c r="N481" s="14" t="str">
        <f>IFERROR(__xludf.DUMMYFUNCTION("""COMPUTED_VALUE"""),"https://lh5.googleusercontent.com/d/18ZcX72MnnZXq0YEvCTH-yXEO-tT_99XU")</f>
        <v>https://lh5.googleusercontent.com/d/18ZcX72MnnZXq0YEvCTH-yXEO-tT_99XU</v>
      </c>
      <c r="O481" s="14" t="str">
        <f>IFERROR(__xludf.DUMMYFUNCTION("""COMPUTED_VALUE"""),"https://drive.google.com/file/d/1d1MQ1qWz5hpDyGagFf2ErheIt3YVY051/view?usp=drivesdk")</f>
        <v>https://drive.google.com/file/d/1d1MQ1qWz5hpDyGagFf2ErheIt3YVY051/view?usp=drivesdk</v>
      </c>
    </row>
    <row r="482">
      <c r="A482" s="3">
        <f>IFERROR(__xludf.DUMMYFUNCTION("""COMPUTED_VALUE"""),2015.0)</f>
        <v>2015</v>
      </c>
      <c r="B482" s="11">
        <f>IFERROR(__xludf.DUMMYFUNCTION("""COMPUTED_VALUE"""),46153.37451658565)</f>
        <v>46153.37452</v>
      </c>
      <c r="C482" s="3" t="str">
        <f>IFERROR(__xludf.DUMMYFUNCTION("""COMPUTED_VALUE"""),"ชั้นปีที่ 3")</f>
        <v>ชั้นปีที่ 3</v>
      </c>
      <c r="D482" s="3" t="str">
        <f>IFERROR(__xludf.DUMMYFUNCTION("""COMPUTED_VALUE"""),"6603762")</f>
        <v>6603762</v>
      </c>
      <c r="E482" s="3" t="str">
        <f>IFERROR(__xludf.DUMMYFUNCTION("""COMPUTED_VALUE"""),"9")</f>
        <v>9</v>
      </c>
      <c r="F482" s="3" t="str">
        <f>IFERROR(__xludf.DUMMYFUNCTION("""COMPUTED_VALUE"""),"นพอ.ชฎาภา บุตรวงษ์")</f>
        <v>นพอ.ชฎาภา บุตรวงษ์</v>
      </c>
      <c r="G482" s="3" t="str">
        <f>IFERROR(__xludf.DUMMYFUNCTION("""COMPUTED_VALUE"""),"ช่วยเหลืองานภายใน วพอ.")</f>
        <v>ช่วยเหลืองานภายใน วพอ.</v>
      </c>
      <c r="H48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2" s="3" t="str">
        <f>IFERROR(__xludf.DUMMYFUNCTION("""COMPUTED_VALUE"""),"วพอ.พอ.")</f>
        <v>วพอ.พอ.</v>
      </c>
      <c r="J482" s="12">
        <f>IFERROR(__xludf.DUMMYFUNCTION("""COMPUTED_VALUE"""),46133.0)</f>
        <v>46133</v>
      </c>
      <c r="K482" s="3" t="str">
        <f>IFERROR(__xludf.DUMMYFUNCTION("""COMPUTED_VALUE"""),"17-21")</f>
        <v>17-21</v>
      </c>
      <c r="L482" s="3">
        <f>IFERROR(__xludf.DUMMYFUNCTION("""COMPUTED_VALUE"""),4.0)</f>
        <v>4</v>
      </c>
      <c r="M482" s="3" t="str">
        <f>IFERROR(__xludf.DUMMYFUNCTION("""COMPUTED_VALUE"""),"ร.อ.อนุชิต ทำจะดี")</f>
        <v>ร.อ.อนุชิต ทำจะดี</v>
      </c>
      <c r="N482" s="14" t="str">
        <f>IFERROR(__xludf.DUMMYFUNCTION("""COMPUTED_VALUE"""),"https://lh5.googleusercontent.com/d/1OdfLMyXHcOj1npVN4Dy8mQ1GadjlMj4I")</f>
        <v>https://lh5.googleusercontent.com/d/1OdfLMyXHcOj1npVN4Dy8mQ1GadjlMj4I</v>
      </c>
      <c r="O482" s="14" t="str">
        <f>IFERROR(__xludf.DUMMYFUNCTION("""COMPUTED_VALUE"""),"https://drive.google.com/file/d/1vieY3-bODKTYyTO2Vh-L9VyqJ4XbIl4l/view?usp=drivesdk")</f>
        <v>https://drive.google.com/file/d/1vieY3-bODKTYyTO2Vh-L9VyqJ4XbIl4l/view?usp=drivesdk</v>
      </c>
    </row>
    <row r="483">
      <c r="A483" s="3">
        <f>IFERROR(__xludf.DUMMYFUNCTION("""COMPUTED_VALUE"""),2016.0)</f>
        <v>2016</v>
      </c>
      <c r="B483" s="11">
        <f>IFERROR(__xludf.DUMMYFUNCTION("""COMPUTED_VALUE"""),46153.376303680554)</f>
        <v>46153.3763</v>
      </c>
      <c r="C483" s="3" t="str">
        <f>IFERROR(__xludf.DUMMYFUNCTION("""COMPUTED_VALUE"""),"ชั้นปีที่ 3")</f>
        <v>ชั้นปีที่ 3</v>
      </c>
      <c r="D483" s="3" t="str">
        <f>IFERROR(__xludf.DUMMYFUNCTION("""COMPUTED_VALUE"""),"6603762")</f>
        <v>6603762</v>
      </c>
      <c r="E483" s="3" t="str">
        <f>IFERROR(__xludf.DUMMYFUNCTION("""COMPUTED_VALUE"""),"9")</f>
        <v>9</v>
      </c>
      <c r="F483" s="3" t="str">
        <f>IFERROR(__xludf.DUMMYFUNCTION("""COMPUTED_VALUE"""),"นพอ.ชฎาภา บุตรวงษ์")</f>
        <v>นพอ.ชฎาภา บุตรวงษ์</v>
      </c>
      <c r="G483" s="3" t="str">
        <f>IFERROR(__xludf.DUMMYFUNCTION("""COMPUTED_VALUE"""),"ช่วยเหลืองานภายใน วพอ.")</f>
        <v>ช่วยเหลืองานภายใน วพอ.</v>
      </c>
      <c r="H48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3" s="3" t="str">
        <f>IFERROR(__xludf.DUMMYFUNCTION("""COMPUTED_VALUE"""),"วพอ.พอ.")</f>
        <v>วพอ.พอ.</v>
      </c>
      <c r="J483" s="12">
        <f>IFERROR(__xludf.DUMMYFUNCTION("""COMPUTED_VALUE"""),46134.0)</f>
        <v>46134</v>
      </c>
      <c r="K483" s="3" t="str">
        <f>IFERROR(__xludf.DUMMYFUNCTION("""COMPUTED_VALUE"""),"17-21")</f>
        <v>17-21</v>
      </c>
      <c r="L483" s="3">
        <f>IFERROR(__xludf.DUMMYFUNCTION("""COMPUTED_VALUE"""),4.0)</f>
        <v>4</v>
      </c>
      <c r="M483" s="3" t="str">
        <f>IFERROR(__xludf.DUMMYFUNCTION("""COMPUTED_VALUE"""),"ร.อ.อนุชิต ทำจะดี")</f>
        <v>ร.อ.อนุชิต ทำจะดี</v>
      </c>
      <c r="N483" s="14" t="str">
        <f>IFERROR(__xludf.DUMMYFUNCTION("""COMPUTED_VALUE"""),"https://lh5.googleusercontent.com/d/1r9UEeoOE6hU2fzD8MBpbvsWA7i-AyEJy")</f>
        <v>https://lh5.googleusercontent.com/d/1r9UEeoOE6hU2fzD8MBpbvsWA7i-AyEJy</v>
      </c>
      <c r="O483" s="14" t="str">
        <f>IFERROR(__xludf.DUMMYFUNCTION("""COMPUTED_VALUE"""),"https://drive.google.com/file/d/1WMG_RiFrD38QHCeTSoAZr3Bf8ZVSvL4L/view?usp=drivesdk")</f>
        <v>https://drive.google.com/file/d/1WMG_RiFrD38QHCeTSoAZr3Bf8ZVSvL4L/view?usp=drivesdk</v>
      </c>
    </row>
    <row r="484">
      <c r="A484" s="3">
        <f>IFERROR(__xludf.DUMMYFUNCTION("""COMPUTED_VALUE"""),2018.0)</f>
        <v>2018</v>
      </c>
      <c r="B484" s="11">
        <f>IFERROR(__xludf.DUMMYFUNCTION("""COMPUTED_VALUE"""),46153.37787652778)</f>
        <v>46153.37788</v>
      </c>
      <c r="C484" s="3" t="str">
        <f>IFERROR(__xludf.DUMMYFUNCTION("""COMPUTED_VALUE"""),"ชั้นปีที่ 3")</f>
        <v>ชั้นปีที่ 3</v>
      </c>
      <c r="D484" s="3" t="str">
        <f>IFERROR(__xludf.DUMMYFUNCTION("""COMPUTED_VALUE"""),"6603778")</f>
        <v>6603778</v>
      </c>
      <c r="E484" s="3" t="str">
        <f>IFERROR(__xludf.DUMMYFUNCTION("""COMPUTED_VALUE"""),"24")</f>
        <v>24</v>
      </c>
      <c r="F484" s="3" t="str">
        <f>IFERROR(__xludf.DUMMYFUNCTION("""COMPUTED_VALUE"""),"นพอ.นันท์นภัส เคนสุวรรณ")</f>
        <v>นพอ.นันท์นภัส เคนสุวรรณ</v>
      </c>
      <c r="G484" s="3" t="str">
        <f>IFERROR(__xludf.DUMMYFUNCTION("""COMPUTED_VALUE"""),"ช่วยเหลืองานภายใน วพอ.")</f>
        <v>ช่วยเหลืองานภายใน วพอ.</v>
      </c>
      <c r="H484" s="3" t="str">
        <f>IFERROR(__xludf.DUMMYFUNCTION("""COMPUTED_VALUE"""),"การทดสอบความถนัด วิภาววิสัย และทดสอบร่างกาย")</f>
        <v>การทดสอบความถนัด วิภาววิสัย และทดสอบร่างกาย</v>
      </c>
      <c r="I484" s="3" t="str">
        <f>IFERROR(__xludf.DUMMYFUNCTION("""COMPUTED_VALUE"""),"วพอ.พอ")</f>
        <v>วพอ.พอ</v>
      </c>
      <c r="J484" s="12">
        <f>IFERROR(__xludf.DUMMYFUNCTION("""COMPUTED_VALUE"""),46147.0)</f>
        <v>46147</v>
      </c>
      <c r="K484" s="3" t="str">
        <f>IFERROR(__xludf.DUMMYFUNCTION("""COMPUTED_VALUE"""),"0800-1600")</f>
        <v>0800-1600</v>
      </c>
      <c r="L484" s="3">
        <f>IFERROR(__xludf.DUMMYFUNCTION("""COMPUTED_VALUE"""),8.0)</f>
        <v>8</v>
      </c>
      <c r="M484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484" s="14" t="str">
        <f>IFERROR(__xludf.DUMMYFUNCTION("""COMPUTED_VALUE"""),"https://lh5.googleusercontent.com/d/14Xb1SeV2qgE3z2dd3uxFG1Sm6ar2l9px")</f>
        <v>https://lh5.googleusercontent.com/d/14Xb1SeV2qgE3z2dd3uxFG1Sm6ar2l9px</v>
      </c>
      <c r="O484" s="14" t="str">
        <f>IFERROR(__xludf.DUMMYFUNCTION("""COMPUTED_VALUE"""),"https://drive.google.com/file/d/1Ir9BgN4URq8qlDg4F2ZfFdqhvBcYhfn4/view?usp=drivesdk")</f>
        <v>https://drive.google.com/file/d/1Ir9BgN4URq8qlDg4F2ZfFdqhvBcYhfn4/view?usp=drivesdk</v>
      </c>
    </row>
    <row r="485">
      <c r="A485" s="3">
        <f>IFERROR(__xludf.DUMMYFUNCTION("""COMPUTED_VALUE"""),2019.0)</f>
        <v>2019</v>
      </c>
      <c r="B485" s="11">
        <f>IFERROR(__xludf.DUMMYFUNCTION("""COMPUTED_VALUE"""),46153.37918033565)</f>
        <v>46153.37918</v>
      </c>
      <c r="C485" s="3" t="str">
        <f>IFERROR(__xludf.DUMMYFUNCTION("""COMPUTED_VALUE"""),"ชั้นปีที่ 3")</f>
        <v>ชั้นปีที่ 3</v>
      </c>
      <c r="D485" s="3" t="str">
        <f>IFERROR(__xludf.DUMMYFUNCTION("""COMPUTED_VALUE"""),"6603801")</f>
        <v>6603801</v>
      </c>
      <c r="E485" s="3" t="str">
        <f>IFERROR(__xludf.DUMMYFUNCTION("""COMPUTED_VALUE"""),"47")</f>
        <v>47</v>
      </c>
      <c r="F485" s="3" t="str">
        <f>IFERROR(__xludf.DUMMYFUNCTION("""COMPUTED_VALUE"""),"นพอ.วาสิตา ไทรทอง")</f>
        <v>นพอ.วาสิตา ไทรทอง</v>
      </c>
      <c r="G48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85" s="3" t="str">
        <f>IFERROR(__xludf.DUMMYFUNCTION("""COMPUTED_VALUE"""),"บริจาคโลหิต")</f>
        <v>บริจาคโลหิต</v>
      </c>
      <c r="I485" s="3" t="str">
        <f>IFERROR(__xludf.DUMMYFUNCTION("""COMPUTED_VALUE"""),"ภาคบริการโลหิตแห่งชาติ ราชบุรี")</f>
        <v>ภาคบริการโลหิตแห่งชาติ ราชบุรี</v>
      </c>
      <c r="J485" s="12">
        <f>IFERROR(__xludf.DUMMYFUNCTION("""COMPUTED_VALUE"""),46067.0)</f>
        <v>46067</v>
      </c>
      <c r="K485" s="3" t="str">
        <f>IFERROR(__xludf.DUMMYFUNCTION("""COMPUTED_VALUE"""),"0900-1000")</f>
        <v>0900-1000</v>
      </c>
      <c r="L485" s="3">
        <f>IFERROR(__xludf.DUMMYFUNCTION("""COMPUTED_VALUE"""),8.0)</f>
        <v>8</v>
      </c>
      <c r="M485" s="3" t="str">
        <f>IFERROR(__xludf.DUMMYFUNCTION("""COMPUTED_VALUE"""),"ร.อ.อนุชิต ทำจะดี")</f>
        <v>ร.อ.อนุชิต ทำจะดี</v>
      </c>
      <c r="N485" s="14" t="str">
        <f>IFERROR(__xludf.DUMMYFUNCTION("""COMPUTED_VALUE"""),"https://lh5.googleusercontent.com/d/1s8iKGt7bYgSX2EvEMZtuavqpc-7SahOI")</f>
        <v>https://lh5.googleusercontent.com/d/1s8iKGt7bYgSX2EvEMZtuavqpc-7SahOI</v>
      </c>
      <c r="O485" s="14" t="str">
        <f>IFERROR(__xludf.DUMMYFUNCTION("""COMPUTED_VALUE"""),"https://drive.google.com/file/d/1Svx3_xK8ixdzqMuiuOw3655osdj1-FYB/view?usp=drivesdk")</f>
        <v>https://drive.google.com/file/d/1Svx3_xK8ixdzqMuiuOw3655osdj1-FYB/view?usp=drivesdk</v>
      </c>
    </row>
    <row r="486">
      <c r="A486" s="3">
        <f>IFERROR(__xludf.DUMMYFUNCTION("""COMPUTED_VALUE"""),2020.0)</f>
        <v>2020</v>
      </c>
      <c r="B486" s="11">
        <f>IFERROR(__xludf.DUMMYFUNCTION("""COMPUTED_VALUE"""),46153.37934627315)</f>
        <v>46153.37935</v>
      </c>
      <c r="C486" s="3" t="str">
        <f>IFERROR(__xludf.DUMMYFUNCTION("""COMPUTED_VALUE"""),"ชั้นปีที่ 3")</f>
        <v>ชั้นปีที่ 3</v>
      </c>
      <c r="D486" s="3" t="str">
        <f>IFERROR(__xludf.DUMMYFUNCTION("""COMPUTED_VALUE"""),"6603762")</f>
        <v>6603762</v>
      </c>
      <c r="E486" s="3" t="str">
        <f>IFERROR(__xludf.DUMMYFUNCTION("""COMPUTED_VALUE"""),"9")</f>
        <v>9</v>
      </c>
      <c r="F486" s="3" t="str">
        <f>IFERROR(__xludf.DUMMYFUNCTION("""COMPUTED_VALUE"""),"นพอ.ชฎาภา บุตรวงษ์")</f>
        <v>นพอ.ชฎาภา บุตรวงษ์</v>
      </c>
      <c r="G486" s="3" t="str">
        <f>IFERROR(__xludf.DUMMYFUNCTION("""COMPUTED_VALUE"""),"ช่วยเหลืองานภายใน วพอ.")</f>
        <v>ช่วยเหลืองานภายใน วพอ.</v>
      </c>
      <c r="H48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6" s="3" t="str">
        <f>IFERROR(__xludf.DUMMYFUNCTION("""COMPUTED_VALUE"""),"วพอ.พอ.")</f>
        <v>วพอ.พอ.</v>
      </c>
      <c r="J486" s="12">
        <f>IFERROR(__xludf.DUMMYFUNCTION("""COMPUTED_VALUE"""),46138.0)</f>
        <v>46138</v>
      </c>
      <c r="K486" s="3" t="str">
        <f>IFERROR(__xludf.DUMMYFUNCTION("""COMPUTED_VALUE"""),"15-21")</f>
        <v>15-21</v>
      </c>
      <c r="L486" s="3">
        <f>IFERROR(__xludf.DUMMYFUNCTION("""COMPUTED_VALUE"""),6.0)</f>
        <v>6</v>
      </c>
      <c r="M486" s="3" t="str">
        <f>IFERROR(__xludf.DUMMYFUNCTION("""COMPUTED_VALUE"""),"ร.อ.อนุชิต ทำจะดี")</f>
        <v>ร.อ.อนุชิต ทำจะดี</v>
      </c>
      <c r="N486" s="14" t="str">
        <f>IFERROR(__xludf.DUMMYFUNCTION("""COMPUTED_VALUE"""),"https://lh5.googleusercontent.com/d/1xvwPAyQHXPb63L8fm4eXMEmoTrGzlS5u")</f>
        <v>https://lh5.googleusercontent.com/d/1xvwPAyQHXPb63L8fm4eXMEmoTrGzlS5u</v>
      </c>
      <c r="O486" s="14" t="str">
        <f>IFERROR(__xludf.DUMMYFUNCTION("""COMPUTED_VALUE"""),"https://drive.google.com/file/d/1C7ocF01FR9d49gy5v9a3nMZZr2v0Wnkq/view?usp=drivesdk")</f>
        <v>https://drive.google.com/file/d/1C7ocF01FR9d49gy5v9a3nMZZr2v0Wnkq/view?usp=drivesdk</v>
      </c>
    </row>
    <row r="487">
      <c r="A487" s="3">
        <f>IFERROR(__xludf.DUMMYFUNCTION("""COMPUTED_VALUE"""),2021.0)</f>
        <v>2021</v>
      </c>
      <c r="B487" s="11">
        <f>IFERROR(__xludf.DUMMYFUNCTION("""COMPUTED_VALUE"""),46153.381234479166)</f>
        <v>46153.38123</v>
      </c>
      <c r="C487" s="3" t="str">
        <f>IFERROR(__xludf.DUMMYFUNCTION("""COMPUTED_VALUE"""),"ชั้นปีที่ 3")</f>
        <v>ชั้นปีที่ 3</v>
      </c>
      <c r="D487" s="3" t="str">
        <f>IFERROR(__xludf.DUMMYFUNCTION("""COMPUTED_VALUE"""),"6603762")</f>
        <v>6603762</v>
      </c>
      <c r="E487" s="3" t="str">
        <f>IFERROR(__xludf.DUMMYFUNCTION("""COMPUTED_VALUE"""),"9")</f>
        <v>9</v>
      </c>
      <c r="F487" s="3" t="str">
        <f>IFERROR(__xludf.DUMMYFUNCTION("""COMPUTED_VALUE"""),"นพอ.ชฎาภา บุตรวงษ์")</f>
        <v>นพอ.ชฎาภา บุตรวงษ์</v>
      </c>
      <c r="G487" s="3" t="str">
        <f>IFERROR(__xludf.DUMMYFUNCTION("""COMPUTED_VALUE"""),"ช่วยเหลืองานภายใน วพอ.")</f>
        <v>ช่วยเหลืองานภายใน วพอ.</v>
      </c>
      <c r="H48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7" s="3" t="str">
        <f>IFERROR(__xludf.DUMMYFUNCTION("""COMPUTED_VALUE"""),"หอประชุมธูปะเตมีย์ รพ.ภูมิพลอดุลยเดช")</f>
        <v>หอประชุมธูปะเตมีย์ รพ.ภูมิพลอดุลยเดช</v>
      </c>
      <c r="J487" s="12">
        <f>IFERROR(__xludf.DUMMYFUNCTION("""COMPUTED_VALUE"""),46139.0)</f>
        <v>46139</v>
      </c>
      <c r="K487" s="3" t="str">
        <f>IFERROR(__xludf.DUMMYFUNCTION("""COMPUTED_VALUE"""),"13-17")</f>
        <v>13-17</v>
      </c>
      <c r="L487" s="3">
        <f>IFERROR(__xludf.DUMMYFUNCTION("""COMPUTED_VALUE"""),4.0)</f>
        <v>4</v>
      </c>
      <c r="M487" s="3" t="str">
        <f>IFERROR(__xludf.DUMMYFUNCTION("""COMPUTED_VALUE"""),"ร.อ.อนุชิต ทำจะดี")</f>
        <v>ร.อ.อนุชิต ทำจะดี</v>
      </c>
      <c r="N487" s="14" t="str">
        <f>IFERROR(__xludf.DUMMYFUNCTION("""COMPUTED_VALUE"""),"https://lh5.googleusercontent.com/d/1Q0NRl8tN6rjtcO6AasvNxx5hO2i3BW2e")</f>
        <v>https://lh5.googleusercontent.com/d/1Q0NRl8tN6rjtcO6AasvNxx5hO2i3BW2e</v>
      </c>
      <c r="O487" s="14" t="str">
        <f>IFERROR(__xludf.DUMMYFUNCTION("""COMPUTED_VALUE"""),"https://drive.google.com/file/d/1vGGlt3-ihX7eBTKXYmD847pj5CvvvLAn/view?usp=drivesdk")</f>
        <v>https://drive.google.com/file/d/1vGGlt3-ihX7eBTKXYmD847pj5CvvvLAn/view?usp=drivesdk</v>
      </c>
    </row>
    <row r="488">
      <c r="A488" s="3">
        <f>IFERROR(__xludf.DUMMYFUNCTION("""COMPUTED_VALUE"""),2026.0)</f>
        <v>2026</v>
      </c>
      <c r="B488" s="11">
        <f>IFERROR(__xludf.DUMMYFUNCTION("""COMPUTED_VALUE"""),46153.3871387037)</f>
        <v>46153.38714</v>
      </c>
      <c r="C488" s="3" t="str">
        <f>IFERROR(__xludf.DUMMYFUNCTION("""COMPUTED_VALUE"""),"ชั้นปีที่ 3")</f>
        <v>ชั้นปีที่ 3</v>
      </c>
      <c r="D488" s="3" t="str">
        <f>IFERROR(__xludf.DUMMYFUNCTION("""COMPUTED_VALUE"""),"6603801")</f>
        <v>6603801</v>
      </c>
      <c r="E488" s="3" t="str">
        <f>IFERROR(__xludf.DUMMYFUNCTION("""COMPUTED_VALUE"""),"47")</f>
        <v>47</v>
      </c>
      <c r="F488" s="3" t="str">
        <f>IFERROR(__xludf.DUMMYFUNCTION("""COMPUTED_VALUE"""),"นพอ.วาสิตา ไทรทอง")</f>
        <v>นพอ.วาสิตา ไทรทอง</v>
      </c>
      <c r="G488" s="3" t="str">
        <f>IFERROR(__xludf.DUMMYFUNCTION("""COMPUTED_VALUE"""),"ช่วยเหลืองานภายใน วพอ.")</f>
        <v>ช่วยเหลืองานภายใน วพอ.</v>
      </c>
      <c r="H48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8" s="3" t="str">
        <f>IFERROR(__xludf.DUMMYFUNCTION("""COMPUTED_VALUE"""),"วพอ.พอ.")</f>
        <v>วพอ.พอ.</v>
      </c>
      <c r="J488" s="12">
        <f>IFERROR(__xludf.DUMMYFUNCTION("""COMPUTED_VALUE"""),46134.0)</f>
        <v>46134</v>
      </c>
      <c r="K488" s="3" t="str">
        <f>IFERROR(__xludf.DUMMYFUNCTION("""COMPUTED_VALUE"""),"1700-2100")</f>
        <v>1700-2100</v>
      </c>
      <c r="L488" s="3">
        <f>IFERROR(__xludf.DUMMYFUNCTION("""COMPUTED_VALUE"""),4.0)</f>
        <v>4</v>
      </c>
      <c r="M488" s="3" t="str">
        <f>IFERROR(__xludf.DUMMYFUNCTION("""COMPUTED_VALUE"""),"ร.อ. อนุชิต ทำจะดี ")</f>
        <v>ร.อ. อนุชิต ทำจะดี </v>
      </c>
      <c r="N488" s="14" t="str">
        <f>IFERROR(__xludf.DUMMYFUNCTION("""COMPUTED_VALUE"""),"https://lh5.googleusercontent.com/d/17SwudX9axP2OCXwcXkvUiV3YOy1pxrNC")</f>
        <v>https://lh5.googleusercontent.com/d/17SwudX9axP2OCXwcXkvUiV3YOy1pxrNC</v>
      </c>
      <c r="O488" s="14" t="str">
        <f>IFERROR(__xludf.DUMMYFUNCTION("""COMPUTED_VALUE"""),"https://drive.google.com/file/d/1lUyirK5yqW9j7P1P_3nWx-jdZRkMUkVV/view?usp=drivesdk")</f>
        <v>https://drive.google.com/file/d/1lUyirK5yqW9j7P1P_3nWx-jdZRkMUkVV/view?usp=drivesdk</v>
      </c>
    </row>
    <row r="489">
      <c r="A489" s="3">
        <f>IFERROR(__xludf.DUMMYFUNCTION("""COMPUTED_VALUE"""),2027.0)</f>
        <v>2027</v>
      </c>
      <c r="B489" s="11">
        <f>IFERROR(__xludf.DUMMYFUNCTION("""COMPUTED_VALUE"""),46153.393134756945)</f>
        <v>46153.39313</v>
      </c>
      <c r="C489" s="3" t="str">
        <f>IFERROR(__xludf.DUMMYFUNCTION("""COMPUTED_VALUE"""),"ชั้นปีที่ 3")</f>
        <v>ชั้นปีที่ 3</v>
      </c>
      <c r="D489" s="3" t="str">
        <f>IFERROR(__xludf.DUMMYFUNCTION("""COMPUTED_VALUE"""),"6603801")</f>
        <v>6603801</v>
      </c>
      <c r="E489" s="3" t="str">
        <f>IFERROR(__xludf.DUMMYFUNCTION("""COMPUTED_VALUE"""),"47")</f>
        <v>47</v>
      </c>
      <c r="F489" s="3" t="str">
        <f>IFERROR(__xludf.DUMMYFUNCTION("""COMPUTED_VALUE"""),"นพอ.วาสิตา ไทรทอง")</f>
        <v>นพอ.วาสิตา ไทรทอง</v>
      </c>
      <c r="G489" s="3" t="str">
        <f>IFERROR(__xludf.DUMMYFUNCTION("""COMPUTED_VALUE"""),"ช่วยเหลืองานภายใน วพอ.")</f>
        <v>ช่วยเหลืองานภายใน วพอ.</v>
      </c>
      <c r="H48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9" s="3" t="str">
        <f>IFERROR(__xludf.DUMMYFUNCTION("""COMPUTED_VALUE"""),"วพอ.พอ.")</f>
        <v>วพอ.พอ.</v>
      </c>
      <c r="J489" s="12">
        <f>IFERROR(__xludf.DUMMYFUNCTION("""COMPUTED_VALUE"""),46135.0)</f>
        <v>46135</v>
      </c>
      <c r="K489" s="3" t="str">
        <f>IFERROR(__xludf.DUMMYFUNCTION("""COMPUTED_VALUE"""),"1700-2100")</f>
        <v>1700-2100</v>
      </c>
      <c r="L489" s="3">
        <f>IFERROR(__xludf.DUMMYFUNCTION("""COMPUTED_VALUE"""),4.0)</f>
        <v>4</v>
      </c>
      <c r="M489" s="3" t="str">
        <f>IFERROR(__xludf.DUMMYFUNCTION("""COMPUTED_VALUE"""),"ร.อ. อนุชิต ทำจะดี")</f>
        <v>ร.อ. อนุชิต ทำจะดี</v>
      </c>
      <c r="N489" s="14" t="str">
        <f>IFERROR(__xludf.DUMMYFUNCTION("""COMPUTED_VALUE"""),"https://lh5.googleusercontent.com/d/1IqH-cdJYeeAyzkytxDDl5zYOw18LkztW")</f>
        <v>https://lh5.googleusercontent.com/d/1IqH-cdJYeeAyzkytxDDl5zYOw18LkztW</v>
      </c>
      <c r="O489" s="14" t="str">
        <f>IFERROR(__xludf.DUMMYFUNCTION("""COMPUTED_VALUE"""),"https://drive.google.com/file/d/15pUs26CBf-byAF13PGzXQdDk4JMSA_Fr/view?usp=drivesdk")</f>
        <v>https://drive.google.com/file/d/15pUs26CBf-byAF13PGzXQdDk4JMSA_Fr/view?usp=drivesdk</v>
      </c>
    </row>
    <row r="490">
      <c r="A490" s="3">
        <f>IFERROR(__xludf.DUMMYFUNCTION("""COMPUTED_VALUE"""),2028.0)</f>
        <v>2028</v>
      </c>
      <c r="B490" s="11">
        <f>IFERROR(__xludf.DUMMYFUNCTION("""COMPUTED_VALUE"""),46153.39547471065)</f>
        <v>46153.39547</v>
      </c>
      <c r="C490" s="3" t="str">
        <f>IFERROR(__xludf.DUMMYFUNCTION("""COMPUTED_VALUE"""),"ชั้นปีที่ 3")</f>
        <v>ชั้นปีที่ 3</v>
      </c>
      <c r="D490" s="3" t="str">
        <f>IFERROR(__xludf.DUMMYFUNCTION("""COMPUTED_VALUE"""),"6603801")</f>
        <v>6603801</v>
      </c>
      <c r="E490" s="3" t="str">
        <f>IFERROR(__xludf.DUMMYFUNCTION("""COMPUTED_VALUE"""),"47")</f>
        <v>47</v>
      </c>
      <c r="F490" s="3" t="str">
        <f>IFERROR(__xludf.DUMMYFUNCTION("""COMPUTED_VALUE"""),"นพอ.วาสิตา ไทรทอง")</f>
        <v>นพอ.วาสิตา ไทรทอง</v>
      </c>
      <c r="G490" s="3" t="str">
        <f>IFERROR(__xludf.DUMMYFUNCTION("""COMPUTED_VALUE"""),"ช่วยเหลืองานภายใน วพอ.")</f>
        <v>ช่วยเหลืองานภายใน วพอ.</v>
      </c>
      <c r="H490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90" s="3" t="str">
        <f>IFERROR(__xludf.DUMMYFUNCTION("""COMPUTED_VALUE"""),"วพอ.พอ.")</f>
        <v>วพอ.พอ.</v>
      </c>
      <c r="J490" s="12">
        <f>IFERROR(__xludf.DUMMYFUNCTION("""COMPUTED_VALUE"""),46138.0)</f>
        <v>46138</v>
      </c>
      <c r="K490" s="3" t="str">
        <f>IFERROR(__xludf.DUMMYFUNCTION("""COMPUTED_VALUE"""),"1500-2100")</f>
        <v>1500-2100</v>
      </c>
      <c r="L490" s="3">
        <f>IFERROR(__xludf.DUMMYFUNCTION("""COMPUTED_VALUE"""),6.0)</f>
        <v>6</v>
      </c>
      <c r="M490" s="3" t="str">
        <f>IFERROR(__xludf.DUMMYFUNCTION("""COMPUTED_VALUE"""),"ร.อ. อนุชิต ทำจะดี")</f>
        <v>ร.อ. อนุชิต ทำจะดี</v>
      </c>
      <c r="N490" s="14" t="str">
        <f>IFERROR(__xludf.DUMMYFUNCTION("""COMPUTED_VALUE"""),"https://lh5.googleusercontent.com/d/1Ry3VtS6901ou6dmkPNNxnsLxgprx9Vdv")</f>
        <v>https://lh5.googleusercontent.com/d/1Ry3VtS6901ou6dmkPNNxnsLxgprx9Vdv</v>
      </c>
      <c r="O490" s="14" t="str">
        <f>IFERROR(__xludf.DUMMYFUNCTION("""COMPUTED_VALUE"""),"https://drive.google.com/file/d/1A-u8Tz7bv3F8Av3kDJ7GSSygUpZb4aUx/view?usp=drivesdk")</f>
        <v>https://drive.google.com/file/d/1A-u8Tz7bv3F8Av3kDJ7GSSygUpZb4aUx/view?usp=drivesdk</v>
      </c>
    </row>
    <row r="491">
      <c r="A491" s="3">
        <f>IFERROR(__xludf.DUMMYFUNCTION("""COMPUTED_VALUE"""),2029.0)</f>
        <v>2029</v>
      </c>
      <c r="B491" s="11">
        <f>IFERROR(__xludf.DUMMYFUNCTION("""COMPUTED_VALUE"""),46153.396905138885)</f>
        <v>46153.39691</v>
      </c>
      <c r="C491" s="3" t="str">
        <f>IFERROR(__xludf.DUMMYFUNCTION("""COMPUTED_VALUE"""),"ชั้นปีที่ 3")</f>
        <v>ชั้นปีที่ 3</v>
      </c>
      <c r="D491" s="3" t="str">
        <f>IFERROR(__xludf.DUMMYFUNCTION("""COMPUTED_VALUE"""),"6603801")</f>
        <v>6603801</v>
      </c>
      <c r="E491" s="3" t="str">
        <f>IFERROR(__xludf.DUMMYFUNCTION("""COMPUTED_VALUE"""),"47")</f>
        <v>47</v>
      </c>
      <c r="F491" s="3" t="str">
        <f>IFERROR(__xludf.DUMMYFUNCTION("""COMPUTED_VALUE"""),"นพอ.วาสิตา ไทรทอง")</f>
        <v>นพอ.วาสิตา ไทรทอง</v>
      </c>
      <c r="G491" s="3" t="str">
        <f>IFERROR(__xludf.DUMMYFUNCTION("""COMPUTED_VALUE"""),"ช่วยเหลืองานภายใน วพอ.")</f>
        <v>ช่วยเหลืองานภายใน วพอ.</v>
      </c>
      <c r="H491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491" s="3" t="str">
        <f>IFERROR(__xludf.DUMMYFUNCTION("""COMPUTED_VALUE"""),"วพอ.พอ")</f>
        <v>วพอ.พอ</v>
      </c>
      <c r="J491" s="12">
        <f>IFERROR(__xludf.DUMMYFUNCTION("""COMPUTED_VALUE"""),46139.0)</f>
        <v>46139</v>
      </c>
      <c r="K491" s="3" t="str">
        <f>IFERROR(__xludf.DUMMYFUNCTION("""COMPUTED_VALUE"""),"1700-2100")</f>
        <v>1700-2100</v>
      </c>
      <c r="L491" s="3">
        <f>IFERROR(__xludf.DUMMYFUNCTION("""COMPUTED_VALUE"""),4.0)</f>
        <v>4</v>
      </c>
      <c r="M491" s="3" t="str">
        <f>IFERROR(__xludf.DUMMYFUNCTION("""COMPUTED_VALUE"""),"ร.อ. อนุชิต ทำจะดี")</f>
        <v>ร.อ. อนุชิต ทำจะดี</v>
      </c>
      <c r="N491" s="14" t="str">
        <f>IFERROR(__xludf.DUMMYFUNCTION("""COMPUTED_VALUE"""),"https://lh5.googleusercontent.com/d/1BcVpWXF3_9oACefZXRGEOoU3VCuQMoFZ")</f>
        <v>https://lh5.googleusercontent.com/d/1BcVpWXF3_9oACefZXRGEOoU3VCuQMoFZ</v>
      </c>
      <c r="O491" s="14" t="str">
        <f>IFERROR(__xludf.DUMMYFUNCTION("""COMPUTED_VALUE"""),"https://drive.google.com/file/d/1-qgzZ_fBrH0hsWV5fsXm_pPRhrl2rWmY/view?usp=drivesdk")</f>
        <v>https://drive.google.com/file/d/1-qgzZ_fBrH0hsWV5fsXm_pPRhrl2rWmY/view?usp=drivesdk</v>
      </c>
    </row>
    <row r="492">
      <c r="A492" s="3">
        <f>IFERROR(__xludf.DUMMYFUNCTION("""COMPUTED_VALUE"""),2055.0)</f>
        <v>2055</v>
      </c>
      <c r="B492" s="11">
        <f>IFERROR(__xludf.DUMMYFUNCTION("""COMPUTED_VALUE"""),46153.44497777778)</f>
        <v>46153.44498</v>
      </c>
      <c r="C492" s="3" t="str">
        <f>IFERROR(__xludf.DUMMYFUNCTION("""COMPUTED_VALUE"""),"ชั้นปีที่ 3")</f>
        <v>ชั้นปีที่ 3</v>
      </c>
      <c r="D492" s="3" t="str">
        <f>IFERROR(__xludf.DUMMYFUNCTION("""COMPUTED_VALUE"""),"6603789")</f>
        <v>6603789</v>
      </c>
      <c r="E492" s="3" t="str">
        <f>IFERROR(__xludf.DUMMYFUNCTION("""COMPUTED_VALUE"""),"35")</f>
        <v>35</v>
      </c>
      <c r="F492" s="3" t="str">
        <f>IFERROR(__xludf.DUMMYFUNCTION("""COMPUTED_VALUE"""),"นพอ.ปานรัศมี ทองไทย")</f>
        <v>นพอ.ปานรัศมี ทองไทย</v>
      </c>
      <c r="G492" s="3" t="str">
        <f>IFERROR(__xludf.DUMMYFUNCTION("""COMPUTED_VALUE"""),"ช่วยเหลืองานภายใน วพอ.")</f>
        <v>ช่วยเหลืองานภายใน วพอ.</v>
      </c>
      <c r="H49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2" s="3" t="str">
        <f>IFERROR(__xludf.DUMMYFUNCTION("""COMPUTED_VALUE"""),"วพอ.พอ.")</f>
        <v>วพอ.พอ.</v>
      </c>
      <c r="J492" s="12">
        <f>IFERROR(__xludf.DUMMYFUNCTION("""COMPUTED_VALUE"""),46133.0)</f>
        <v>46133</v>
      </c>
      <c r="K492" s="3" t="str">
        <f>IFERROR(__xludf.DUMMYFUNCTION("""COMPUTED_VALUE"""),"1700-2100")</f>
        <v>1700-2100</v>
      </c>
      <c r="L492" s="3">
        <f>IFERROR(__xludf.DUMMYFUNCTION("""COMPUTED_VALUE"""),4.0)</f>
        <v>4</v>
      </c>
      <c r="M492" s="3" t="str">
        <f>IFERROR(__xludf.DUMMYFUNCTION("""COMPUTED_VALUE"""),"ร.อ.อนุชิต ทำจะดี")</f>
        <v>ร.อ.อนุชิต ทำจะดี</v>
      </c>
      <c r="N492" s="14" t="str">
        <f>IFERROR(__xludf.DUMMYFUNCTION("""COMPUTED_VALUE"""),"https://lh5.googleusercontent.com/d/1EF3EvZW6djo-J262ioo3bUvBuqOw01mI")</f>
        <v>https://lh5.googleusercontent.com/d/1EF3EvZW6djo-J262ioo3bUvBuqOw01mI</v>
      </c>
      <c r="O492" s="14" t="str">
        <f>IFERROR(__xludf.DUMMYFUNCTION("""COMPUTED_VALUE"""),"https://drive.google.com/file/d/14Zx77ecteEPez1qXRgyV9F3HoG8NxzRE/view?usp=drivesdk")</f>
        <v>https://drive.google.com/file/d/14Zx77ecteEPez1qXRgyV9F3HoG8NxzRE/view?usp=drivesdk</v>
      </c>
    </row>
    <row r="493">
      <c r="A493" s="3">
        <f>IFERROR(__xludf.DUMMYFUNCTION("""COMPUTED_VALUE"""),2056.0)</f>
        <v>2056</v>
      </c>
      <c r="B493" s="11">
        <f>IFERROR(__xludf.DUMMYFUNCTION("""COMPUTED_VALUE"""),46153.44824314815)</f>
        <v>46153.44824</v>
      </c>
      <c r="C493" s="3" t="str">
        <f>IFERROR(__xludf.DUMMYFUNCTION("""COMPUTED_VALUE"""),"ชั้นปีที่ 3")</f>
        <v>ชั้นปีที่ 3</v>
      </c>
      <c r="D493" s="3" t="str">
        <f>IFERROR(__xludf.DUMMYFUNCTION("""COMPUTED_VALUE"""),"6603789")</f>
        <v>6603789</v>
      </c>
      <c r="E493" s="3" t="str">
        <f>IFERROR(__xludf.DUMMYFUNCTION("""COMPUTED_VALUE"""),"35")</f>
        <v>35</v>
      </c>
      <c r="F493" s="3" t="str">
        <f>IFERROR(__xludf.DUMMYFUNCTION("""COMPUTED_VALUE"""),"นพอ.ปานรัศมี ทองไทย")</f>
        <v>นพอ.ปานรัศมี ทองไทย</v>
      </c>
      <c r="G493" s="3" t="str">
        <f>IFERROR(__xludf.DUMMYFUNCTION("""COMPUTED_VALUE"""),"ช่วยเหลืองานภายใน วพอ.")</f>
        <v>ช่วยเหลืองานภายใน วพอ.</v>
      </c>
      <c r="H49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3" s="3" t="str">
        <f>IFERROR(__xludf.DUMMYFUNCTION("""COMPUTED_VALUE"""),"วพอ.พอ.")</f>
        <v>วพอ.พอ.</v>
      </c>
      <c r="J493" s="12">
        <f>IFERROR(__xludf.DUMMYFUNCTION("""COMPUTED_VALUE"""),46134.0)</f>
        <v>46134</v>
      </c>
      <c r="K493" s="3" t="str">
        <f>IFERROR(__xludf.DUMMYFUNCTION("""COMPUTED_VALUE"""),"1700-2100")</f>
        <v>1700-2100</v>
      </c>
      <c r="L493" s="3">
        <f>IFERROR(__xludf.DUMMYFUNCTION("""COMPUTED_VALUE"""),4.0)</f>
        <v>4</v>
      </c>
      <c r="M493" s="3" t="str">
        <f>IFERROR(__xludf.DUMMYFUNCTION("""COMPUTED_VALUE"""),"ร.อ.อนุชิต ทำจะดี")</f>
        <v>ร.อ.อนุชิต ทำจะดี</v>
      </c>
      <c r="N493" s="14" t="str">
        <f>IFERROR(__xludf.DUMMYFUNCTION("""COMPUTED_VALUE"""),"https://lh5.googleusercontent.com/d/1u2bQTceSaatoh0uUT1Gi9R-e8LG4n6sq")</f>
        <v>https://lh5.googleusercontent.com/d/1u2bQTceSaatoh0uUT1Gi9R-e8LG4n6sq</v>
      </c>
      <c r="O493" s="14" t="str">
        <f>IFERROR(__xludf.DUMMYFUNCTION("""COMPUTED_VALUE"""),"https://drive.google.com/file/d/1bNXgmZLRW-9OqTIQW4bJ_f9khshT4lMz/view?usp=drivesdk")</f>
        <v>https://drive.google.com/file/d/1bNXgmZLRW-9OqTIQW4bJ_f9khshT4lMz/view?usp=drivesdk</v>
      </c>
    </row>
    <row r="494">
      <c r="A494" s="3">
        <f>IFERROR(__xludf.DUMMYFUNCTION("""COMPUTED_VALUE"""),2057.0)</f>
        <v>2057</v>
      </c>
      <c r="B494" s="11">
        <f>IFERROR(__xludf.DUMMYFUNCTION("""COMPUTED_VALUE"""),46153.45006711806)</f>
        <v>46153.45007</v>
      </c>
      <c r="C494" s="3" t="str">
        <f>IFERROR(__xludf.DUMMYFUNCTION("""COMPUTED_VALUE"""),"ชั้นปีที่ 3")</f>
        <v>ชั้นปีที่ 3</v>
      </c>
      <c r="D494" s="3" t="str">
        <f>IFERROR(__xludf.DUMMYFUNCTION("""COMPUTED_VALUE"""),"6603789")</f>
        <v>6603789</v>
      </c>
      <c r="E494" s="3" t="str">
        <f>IFERROR(__xludf.DUMMYFUNCTION("""COMPUTED_VALUE"""),"35")</f>
        <v>35</v>
      </c>
      <c r="F494" s="3" t="str">
        <f>IFERROR(__xludf.DUMMYFUNCTION("""COMPUTED_VALUE"""),"นพอ.ปานรัศมี ทองไทย")</f>
        <v>นพอ.ปานรัศมี ทองไทย</v>
      </c>
      <c r="G494" s="3" t="str">
        <f>IFERROR(__xludf.DUMMYFUNCTION("""COMPUTED_VALUE"""),"ช่วยเหลืองานภายใน วพอ.")</f>
        <v>ช่วยเหลืองานภายใน วพอ.</v>
      </c>
      <c r="H49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4" s="3" t="str">
        <f>IFERROR(__xludf.DUMMYFUNCTION("""COMPUTED_VALUE"""),"วพอ.พอ.")</f>
        <v>วพอ.พอ.</v>
      </c>
      <c r="J494" s="12">
        <f>IFERROR(__xludf.DUMMYFUNCTION("""COMPUTED_VALUE"""),46135.0)</f>
        <v>46135</v>
      </c>
      <c r="K494" s="3" t="str">
        <f>IFERROR(__xludf.DUMMYFUNCTION("""COMPUTED_VALUE"""),"1700-2100")</f>
        <v>1700-2100</v>
      </c>
      <c r="L494" s="3">
        <f>IFERROR(__xludf.DUMMYFUNCTION("""COMPUTED_VALUE"""),4.0)</f>
        <v>4</v>
      </c>
      <c r="M494" s="3" t="str">
        <f>IFERROR(__xludf.DUMMYFUNCTION("""COMPUTED_VALUE"""),"ร.อ.อนุชิต ทำจะดี")</f>
        <v>ร.อ.อนุชิต ทำจะดี</v>
      </c>
      <c r="N494" s="14" t="str">
        <f>IFERROR(__xludf.DUMMYFUNCTION("""COMPUTED_VALUE"""),"https://lh5.googleusercontent.com/d/1SdquLdKRIB_M-Ff9vfhI5nAxtWJsmZVW")</f>
        <v>https://lh5.googleusercontent.com/d/1SdquLdKRIB_M-Ff9vfhI5nAxtWJsmZVW</v>
      </c>
      <c r="O494" s="14" t="str">
        <f>IFERROR(__xludf.DUMMYFUNCTION("""COMPUTED_VALUE"""),"https://drive.google.com/file/d/1T5SjAq1Kx6m4UsfCoyK_6WRcty4cinXI/view?usp=drivesdk")</f>
        <v>https://drive.google.com/file/d/1T5SjAq1Kx6m4UsfCoyK_6WRcty4cinXI/view?usp=drivesdk</v>
      </c>
    </row>
    <row r="495">
      <c r="A495" s="3">
        <f>IFERROR(__xludf.DUMMYFUNCTION("""COMPUTED_VALUE"""),2058.0)</f>
        <v>2058</v>
      </c>
      <c r="B495" s="11">
        <f>IFERROR(__xludf.DUMMYFUNCTION("""COMPUTED_VALUE"""),46153.455778020834)</f>
        <v>46153.45578</v>
      </c>
      <c r="C495" s="3" t="str">
        <f>IFERROR(__xludf.DUMMYFUNCTION("""COMPUTED_VALUE"""),"ชั้นปีที่ 3")</f>
        <v>ชั้นปีที่ 3</v>
      </c>
      <c r="D495" s="3" t="str">
        <f>IFERROR(__xludf.DUMMYFUNCTION("""COMPUTED_VALUE"""),"6603789")</f>
        <v>6603789</v>
      </c>
      <c r="E495" s="3" t="str">
        <f>IFERROR(__xludf.DUMMYFUNCTION("""COMPUTED_VALUE"""),"35")</f>
        <v>35</v>
      </c>
      <c r="F495" s="3" t="str">
        <f>IFERROR(__xludf.DUMMYFUNCTION("""COMPUTED_VALUE"""),"นพอ.ปานรัศมี ทองไทย")</f>
        <v>นพอ.ปานรัศมี ทองไทย</v>
      </c>
      <c r="G495" s="3" t="str">
        <f>IFERROR(__xludf.DUMMYFUNCTION("""COMPUTED_VALUE"""),"ช่วยเหลืองานภายใน วพอ.")</f>
        <v>ช่วยเหลืองานภายใน วพอ.</v>
      </c>
      <c r="H49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5" s="3" t="str">
        <f>IFERROR(__xludf.DUMMYFUNCTION("""COMPUTED_VALUE"""),"วพอ.พอ.")</f>
        <v>วพอ.พอ.</v>
      </c>
      <c r="J495" s="12">
        <f>IFERROR(__xludf.DUMMYFUNCTION("""COMPUTED_VALUE"""),46168.0)</f>
        <v>46168</v>
      </c>
      <c r="K495" s="3" t="str">
        <f>IFERROR(__xludf.DUMMYFUNCTION("""COMPUTED_VALUE"""),"1500-2100")</f>
        <v>1500-2100</v>
      </c>
      <c r="L495" s="3">
        <f>IFERROR(__xludf.DUMMYFUNCTION("""COMPUTED_VALUE"""),6.0)</f>
        <v>6</v>
      </c>
      <c r="M495" s="3" t="str">
        <f>IFERROR(__xludf.DUMMYFUNCTION("""COMPUTED_VALUE"""),"ร.อ.อนุชิต ทำจะดี")</f>
        <v>ร.อ.อนุชิต ทำจะดี</v>
      </c>
      <c r="N495" s="14" t="str">
        <f>IFERROR(__xludf.DUMMYFUNCTION("""COMPUTED_VALUE"""),"https://lh5.googleusercontent.com/d/1tzbNAGADC9re1SzxHkV4Q6wfFnJzbSLz")</f>
        <v>https://lh5.googleusercontent.com/d/1tzbNAGADC9re1SzxHkV4Q6wfFnJzbSLz</v>
      </c>
      <c r="O495" s="14" t="str">
        <f>IFERROR(__xludf.DUMMYFUNCTION("""COMPUTED_VALUE"""),"https://drive.google.com/file/d/1-53z3VMh9y5xkGzxfBCUeCfHq3_-3Dyl/view?usp=drivesdk")</f>
        <v>https://drive.google.com/file/d/1-53z3VMh9y5xkGzxfBCUeCfHq3_-3Dyl/view?usp=drivesdk</v>
      </c>
    </row>
    <row r="496">
      <c r="A496" s="3">
        <f>IFERROR(__xludf.DUMMYFUNCTION("""COMPUTED_VALUE"""),2059.0)</f>
        <v>2059</v>
      </c>
      <c r="B496" s="11">
        <f>IFERROR(__xludf.DUMMYFUNCTION("""COMPUTED_VALUE"""),46153.45818100694)</f>
        <v>46153.45818</v>
      </c>
      <c r="C496" s="3" t="str">
        <f>IFERROR(__xludf.DUMMYFUNCTION("""COMPUTED_VALUE"""),"ชั้นปีที่ 3")</f>
        <v>ชั้นปีที่ 3</v>
      </c>
      <c r="D496" s="3" t="str">
        <f>IFERROR(__xludf.DUMMYFUNCTION("""COMPUTED_VALUE"""),"6603789")</f>
        <v>6603789</v>
      </c>
      <c r="E496" s="3" t="str">
        <f>IFERROR(__xludf.DUMMYFUNCTION("""COMPUTED_VALUE"""),"35")</f>
        <v>35</v>
      </c>
      <c r="F496" s="3" t="str">
        <f>IFERROR(__xludf.DUMMYFUNCTION("""COMPUTED_VALUE"""),"นพอ.ปานรัศมี ทองไทย")</f>
        <v>นพอ.ปานรัศมี ทองไทย</v>
      </c>
      <c r="G496" s="3" t="str">
        <f>IFERROR(__xludf.DUMMYFUNCTION("""COMPUTED_VALUE"""),"ช่วยเหลืองานภายใน วพอ.")</f>
        <v>ช่วยเหลืองานภายใน วพอ.</v>
      </c>
      <c r="H49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6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496" s="12">
        <f>IFERROR(__xludf.DUMMYFUNCTION("""COMPUTED_VALUE"""),46169.0)</f>
        <v>46169</v>
      </c>
      <c r="K496" s="3" t="str">
        <f>IFERROR(__xludf.DUMMYFUNCTION("""COMPUTED_VALUE"""),"1700-2100")</f>
        <v>1700-2100</v>
      </c>
      <c r="L496" s="3">
        <f>IFERROR(__xludf.DUMMYFUNCTION("""COMPUTED_VALUE"""),4.0)</f>
        <v>4</v>
      </c>
      <c r="M496" s="3" t="str">
        <f>IFERROR(__xludf.DUMMYFUNCTION("""COMPUTED_VALUE"""),"ร.อ.อนุชิต ทำจะดี")</f>
        <v>ร.อ.อนุชิต ทำจะดี</v>
      </c>
      <c r="N496" s="14" t="str">
        <f>IFERROR(__xludf.DUMMYFUNCTION("""COMPUTED_VALUE"""),"https://lh5.googleusercontent.com/d/1XeTcdsZJ-9XfZPNt12D0geCzdmMMskGg")</f>
        <v>https://lh5.googleusercontent.com/d/1XeTcdsZJ-9XfZPNt12D0geCzdmMMskGg</v>
      </c>
      <c r="O496" s="14" t="str">
        <f>IFERROR(__xludf.DUMMYFUNCTION("""COMPUTED_VALUE"""),"https://drive.google.com/file/d/1zds63hb6VRkthMl9bBV89x64t_i2g38R/view?usp=drivesdk")</f>
        <v>https://drive.google.com/file/d/1zds63hb6VRkthMl9bBV89x64t_i2g38R/view?usp=drivesdk</v>
      </c>
    </row>
    <row r="497">
      <c r="A497" s="3">
        <f>IFERROR(__xludf.DUMMYFUNCTION("""COMPUTED_VALUE"""),2060.0)</f>
        <v>2060</v>
      </c>
      <c r="B497" s="11">
        <f>IFERROR(__xludf.DUMMYFUNCTION("""COMPUTED_VALUE"""),46153.46713109954)</f>
        <v>46153.46713</v>
      </c>
      <c r="C497" s="3" t="str">
        <f>IFERROR(__xludf.DUMMYFUNCTION("""COMPUTED_VALUE"""),"ชั้นปีที่ 3")</f>
        <v>ชั้นปีที่ 3</v>
      </c>
      <c r="D497" s="3" t="str">
        <f>IFERROR(__xludf.DUMMYFUNCTION("""COMPUTED_VALUE"""),"6603761")</f>
        <v>6603761</v>
      </c>
      <c r="E497" s="3" t="str">
        <f>IFERROR(__xludf.DUMMYFUNCTION("""COMPUTED_VALUE"""),"8")</f>
        <v>8</v>
      </c>
      <c r="F497" s="3" t="str">
        <f>IFERROR(__xludf.DUMMYFUNCTION("""COMPUTED_VALUE"""),"นพอ.ชญานิศ ทองแสงแก้ว")</f>
        <v>นพอ.ชญานิศ ทองแสงแก้ว</v>
      </c>
      <c r="G49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7" s="3" t="str">
        <f>IFERROR(__xludf.DUMMYFUNCTION("""COMPUTED_VALUE"""),"วันเด็กแห่งชาติ")</f>
        <v>วันเด็กแห่งชาติ</v>
      </c>
      <c r="I497" s="3" t="str">
        <f>IFERROR(__xludf.DUMMYFUNCTION("""COMPUTED_VALUE"""),"กองบิน 6")</f>
        <v>กองบิน 6</v>
      </c>
      <c r="J497" s="12">
        <f>IFERROR(__xludf.DUMMYFUNCTION("""COMPUTED_VALUE"""),46032.0)</f>
        <v>46032</v>
      </c>
      <c r="K497" s="3" t="str">
        <f>IFERROR(__xludf.DUMMYFUNCTION("""COMPUTED_VALUE"""),"0600-1500")</f>
        <v>0600-1500</v>
      </c>
      <c r="L497" s="3">
        <f>IFERROR(__xludf.DUMMYFUNCTION("""COMPUTED_VALUE"""),8.0)</f>
        <v>8</v>
      </c>
      <c r="M497" s="3" t="str">
        <f>IFERROR(__xludf.DUMMYFUNCTION("""COMPUTED_VALUE"""),"น.ต.หญิง สมพงษ์ แก้วพรรณา")</f>
        <v>น.ต.หญิง สมพงษ์ แก้วพรรณา</v>
      </c>
      <c r="N497" s="14" t="str">
        <f>IFERROR(__xludf.DUMMYFUNCTION("""COMPUTED_VALUE"""),"https://lh5.googleusercontent.com/d/1rQbLcO0W8ak_87tmm93zfxqhKMa7OV9X")</f>
        <v>https://lh5.googleusercontent.com/d/1rQbLcO0W8ak_87tmm93zfxqhKMa7OV9X</v>
      </c>
      <c r="O497" s="14" t="str">
        <f>IFERROR(__xludf.DUMMYFUNCTION("""COMPUTED_VALUE"""),"https://drive.google.com/file/d/1vMCjSQoo2YuYLychu6KY3l9VY1K9NYDs/view?usp=drivesdk")</f>
        <v>https://drive.google.com/file/d/1vMCjSQoo2YuYLychu6KY3l9VY1K9NYDs/view?usp=drivesdk</v>
      </c>
    </row>
    <row r="498">
      <c r="A498" s="3">
        <f>IFERROR(__xludf.DUMMYFUNCTION("""COMPUTED_VALUE"""),2061.0)</f>
        <v>2061</v>
      </c>
      <c r="B498" s="11">
        <f>IFERROR(__xludf.DUMMYFUNCTION("""COMPUTED_VALUE"""),46153.46938662037)</f>
        <v>46153.46939</v>
      </c>
      <c r="C498" s="3" t="str">
        <f>IFERROR(__xludf.DUMMYFUNCTION("""COMPUTED_VALUE"""),"ชั้นปีที่ 3")</f>
        <v>ชั้นปีที่ 3</v>
      </c>
      <c r="D498" s="3" t="str">
        <f>IFERROR(__xludf.DUMMYFUNCTION("""COMPUTED_VALUE"""),"6603780")</f>
        <v>6603780</v>
      </c>
      <c r="E498" s="3" t="str">
        <f>IFERROR(__xludf.DUMMYFUNCTION("""COMPUTED_VALUE"""),"26")</f>
        <v>26</v>
      </c>
      <c r="F498" s="3" t="str">
        <f>IFERROR(__xludf.DUMMYFUNCTION("""COMPUTED_VALUE"""),"นพอ.นิศาชล ชุมจันทร์")</f>
        <v>นพอ.นิศาชล ชุมจันทร์</v>
      </c>
      <c r="G49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8" s="3" t="str">
        <f>IFERROR(__xludf.DUMMYFUNCTION("""COMPUTED_VALUE"""),"โรทาแรคท์เดย์2569")</f>
        <v>โรทาแรคท์เดย์2569</v>
      </c>
      <c r="I498" s="3" t="str">
        <f>IFERROR(__xludf.DUMMYFUNCTION("""COMPUTED_VALUE"""),"ศูนย์ศึกษาธรรมชาติกองทัพบก บางปู")</f>
        <v>ศูนย์ศึกษาธรรมชาติกองทัพบก บางปู</v>
      </c>
      <c r="J498" s="12">
        <f>IFERROR(__xludf.DUMMYFUNCTION("""COMPUTED_VALUE"""),46060.0)</f>
        <v>46060</v>
      </c>
      <c r="K498" s="3" t="str">
        <f>IFERROR(__xludf.DUMMYFUNCTION("""COMPUTED_VALUE"""),"0800-1600")</f>
        <v>0800-1600</v>
      </c>
      <c r="L498" s="3">
        <f>IFERROR(__xludf.DUMMYFUNCTION("""COMPUTED_VALUE"""),8.0)</f>
        <v>8</v>
      </c>
      <c r="M498" s="3" t="str">
        <f>IFERROR(__xludf.DUMMYFUNCTION("""COMPUTED_VALUE"""),"น.ต.ขวัญชนก พ่วงนาคพันธุ์")</f>
        <v>น.ต.ขวัญชนก พ่วงนาคพันธุ์</v>
      </c>
      <c r="N498" s="14" t="str">
        <f>IFERROR(__xludf.DUMMYFUNCTION("""COMPUTED_VALUE"""),"https://lh5.googleusercontent.com/d/1In9RzTX7WShkrvu6IK_VnuMVno1mojRQ")</f>
        <v>https://lh5.googleusercontent.com/d/1In9RzTX7WShkrvu6IK_VnuMVno1mojRQ</v>
      </c>
      <c r="O498" s="14" t="str">
        <f>IFERROR(__xludf.DUMMYFUNCTION("""COMPUTED_VALUE"""),"https://drive.google.com/file/d/1I_eu-Za799uGX1HuK_Q2NLTQfhliOG6y/view?usp=drivesdk")</f>
        <v>https://drive.google.com/file/d/1I_eu-Za799uGX1HuK_Q2NLTQfhliOG6y/view?usp=drivesdk</v>
      </c>
    </row>
    <row r="499">
      <c r="A499" s="3">
        <f>IFERROR(__xludf.DUMMYFUNCTION("""COMPUTED_VALUE"""),2062.0)</f>
        <v>2062</v>
      </c>
      <c r="B499" s="11">
        <f>IFERROR(__xludf.DUMMYFUNCTION("""COMPUTED_VALUE"""),46153.47284991898)</f>
        <v>46153.47285</v>
      </c>
      <c r="C499" s="3" t="str">
        <f>IFERROR(__xludf.DUMMYFUNCTION("""COMPUTED_VALUE"""),"ชั้นปีที่ 3")</f>
        <v>ชั้นปีที่ 3</v>
      </c>
      <c r="D499" s="3" t="str">
        <f>IFERROR(__xludf.DUMMYFUNCTION("""COMPUTED_VALUE"""),"6603780")</f>
        <v>6603780</v>
      </c>
      <c r="E499" s="3" t="str">
        <f>IFERROR(__xludf.DUMMYFUNCTION("""COMPUTED_VALUE"""),"26")</f>
        <v>26</v>
      </c>
      <c r="F499" s="3" t="str">
        <f>IFERROR(__xludf.DUMMYFUNCTION("""COMPUTED_VALUE"""),"นพอ.นิศาชล ชุมจันทร์")</f>
        <v>นพอ.นิศาชล ชุมจันทร์</v>
      </c>
      <c r="G499" s="3" t="str">
        <f>IFERROR(__xludf.DUMMYFUNCTION("""COMPUTED_VALUE"""),"ช่วยเหลืองานภายใน วพอ.")</f>
        <v>ช่วยเหลืองานภายใน วพอ.</v>
      </c>
      <c r="H499" s="3" t="str">
        <f>IFERROR(__xludf.DUMMYFUNCTION("""COMPUTED_VALUE"""),"ซ้อมงานพิธีมอบหมวกพยาบาลวิชาชีพปีการศึกษา2568")</f>
        <v>ซ้อมงานพิธีมอบหมวกพยาบาลวิชาชีพปีการศึกษา2568</v>
      </c>
      <c r="I499" s="3" t="str">
        <f>IFERROR(__xludf.DUMMYFUNCTION("""COMPUTED_VALUE"""),"วพอ.พอ.")</f>
        <v>วพอ.พอ.</v>
      </c>
      <c r="J499" s="12">
        <f>IFERROR(__xludf.DUMMYFUNCTION("""COMPUTED_VALUE"""),46133.0)</f>
        <v>46133</v>
      </c>
      <c r="K499" s="3" t="str">
        <f>IFERROR(__xludf.DUMMYFUNCTION("""COMPUTED_VALUE"""),"1700-2100")</f>
        <v>1700-2100</v>
      </c>
      <c r="L499" s="3">
        <f>IFERROR(__xludf.DUMMYFUNCTION("""COMPUTED_VALUE"""),4.0)</f>
        <v>4</v>
      </c>
      <c r="M499" s="3" t="str">
        <f>IFERROR(__xludf.DUMMYFUNCTION("""COMPUTED_VALUE"""),"ร.อ.อนุชิต ทำจะดี")</f>
        <v>ร.อ.อนุชิต ทำจะดี</v>
      </c>
      <c r="N499" s="14" t="str">
        <f>IFERROR(__xludf.DUMMYFUNCTION("""COMPUTED_VALUE"""),"https://lh5.googleusercontent.com/d/1tO3__IYHefEwPZa1vepYNbQ9dkGVbpc3")</f>
        <v>https://lh5.googleusercontent.com/d/1tO3__IYHefEwPZa1vepYNbQ9dkGVbpc3</v>
      </c>
      <c r="O499" s="14" t="str">
        <f>IFERROR(__xludf.DUMMYFUNCTION("""COMPUTED_VALUE"""),"https://drive.google.com/file/d/1yz9gNrAP1sct4JdmKUrsEHMA5rOB0fjK/view?usp=drivesdk")</f>
        <v>https://drive.google.com/file/d/1yz9gNrAP1sct4JdmKUrsEHMA5rOB0fjK/view?usp=drivesdk</v>
      </c>
    </row>
    <row r="500">
      <c r="A500" s="3">
        <f>IFERROR(__xludf.DUMMYFUNCTION("""COMPUTED_VALUE"""),2063.0)</f>
        <v>2063</v>
      </c>
      <c r="B500" s="11">
        <f>IFERROR(__xludf.DUMMYFUNCTION("""COMPUTED_VALUE"""),46153.47406719907)</f>
        <v>46153.47407</v>
      </c>
      <c r="C500" s="3" t="str">
        <f>IFERROR(__xludf.DUMMYFUNCTION("""COMPUTED_VALUE"""),"ชั้นปีที่ 3")</f>
        <v>ชั้นปีที่ 3</v>
      </c>
      <c r="D500" s="3" t="str">
        <f>IFERROR(__xludf.DUMMYFUNCTION("""COMPUTED_VALUE"""),"6603780")</f>
        <v>6603780</v>
      </c>
      <c r="E500" s="3" t="str">
        <f>IFERROR(__xludf.DUMMYFUNCTION("""COMPUTED_VALUE"""),"26")</f>
        <v>26</v>
      </c>
      <c r="F500" s="3" t="str">
        <f>IFERROR(__xludf.DUMMYFUNCTION("""COMPUTED_VALUE"""),"นพอ.นิศาชล ชุมจันทร์")</f>
        <v>นพอ.นิศาชล ชุมจันทร์</v>
      </c>
      <c r="G500" s="3" t="str">
        <f>IFERROR(__xludf.DUMMYFUNCTION("""COMPUTED_VALUE"""),"ช่วยเหลืองานภายใน วพอ.")</f>
        <v>ช่วยเหลืองานภายใน วพอ.</v>
      </c>
      <c r="H50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0" s="3" t="str">
        <f>IFERROR(__xludf.DUMMYFUNCTION("""COMPUTED_VALUE"""),"วพอ.พอ.")</f>
        <v>วพอ.พอ.</v>
      </c>
      <c r="J500" s="12">
        <f>IFERROR(__xludf.DUMMYFUNCTION("""COMPUTED_VALUE"""),46134.0)</f>
        <v>46134</v>
      </c>
      <c r="K500" s="3" t="str">
        <f>IFERROR(__xludf.DUMMYFUNCTION("""COMPUTED_VALUE"""),"1700-2100")</f>
        <v>1700-2100</v>
      </c>
      <c r="L500" s="3">
        <f>IFERROR(__xludf.DUMMYFUNCTION("""COMPUTED_VALUE"""),4.0)</f>
        <v>4</v>
      </c>
      <c r="M500" s="3" t="str">
        <f>IFERROR(__xludf.DUMMYFUNCTION("""COMPUTED_VALUE"""),"ร.อ.อนุชิต ทำจะดี")</f>
        <v>ร.อ.อนุชิต ทำจะดี</v>
      </c>
      <c r="N500" s="14" t="str">
        <f>IFERROR(__xludf.DUMMYFUNCTION("""COMPUTED_VALUE"""),"https://lh5.googleusercontent.com/d/1Q1Yjb6TJgfwa6MZTe_szQK3IJ539O6y7")</f>
        <v>https://lh5.googleusercontent.com/d/1Q1Yjb6TJgfwa6MZTe_szQK3IJ539O6y7</v>
      </c>
      <c r="O500" s="14" t="str">
        <f>IFERROR(__xludf.DUMMYFUNCTION("""COMPUTED_VALUE"""),"https://drive.google.com/file/d/1NTusMIy5MPGnWT19mANRdPyLLBjcexmL/view?usp=drivesdk")</f>
        <v>https://drive.google.com/file/d/1NTusMIy5MPGnWT19mANRdPyLLBjcexmL/view?usp=drivesdk</v>
      </c>
    </row>
    <row r="501">
      <c r="A501" s="3">
        <f>IFERROR(__xludf.DUMMYFUNCTION("""COMPUTED_VALUE"""),2064.0)</f>
        <v>2064</v>
      </c>
      <c r="B501" s="11">
        <f>IFERROR(__xludf.DUMMYFUNCTION("""COMPUTED_VALUE"""),46153.47530517361)</f>
        <v>46153.47531</v>
      </c>
      <c r="C501" s="3" t="str">
        <f>IFERROR(__xludf.DUMMYFUNCTION("""COMPUTED_VALUE"""),"ชั้นปีที่ 3")</f>
        <v>ชั้นปีที่ 3</v>
      </c>
      <c r="D501" s="3" t="str">
        <f>IFERROR(__xludf.DUMMYFUNCTION("""COMPUTED_VALUE"""),"6603780")</f>
        <v>6603780</v>
      </c>
      <c r="E501" s="3" t="str">
        <f>IFERROR(__xludf.DUMMYFUNCTION("""COMPUTED_VALUE"""),"26")</f>
        <v>26</v>
      </c>
      <c r="F501" s="3" t="str">
        <f>IFERROR(__xludf.DUMMYFUNCTION("""COMPUTED_VALUE"""),"นพอ.นิศาชล ชุมจันทร์")</f>
        <v>นพอ.นิศาชล ชุมจันทร์</v>
      </c>
      <c r="G501" s="3" t="str">
        <f>IFERROR(__xludf.DUMMYFUNCTION("""COMPUTED_VALUE"""),"ช่วยเหลืองานภายใน วพอ.")</f>
        <v>ช่วยเหลืองานภายใน วพอ.</v>
      </c>
      <c r="H50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1" s="3" t="str">
        <f>IFERROR(__xludf.DUMMYFUNCTION("""COMPUTED_VALUE"""),"วพอ.พอ.")</f>
        <v>วพอ.พอ.</v>
      </c>
      <c r="J501" s="12">
        <f>IFERROR(__xludf.DUMMYFUNCTION("""COMPUTED_VALUE"""),46135.0)</f>
        <v>46135</v>
      </c>
      <c r="K501" s="3" t="str">
        <f>IFERROR(__xludf.DUMMYFUNCTION("""COMPUTED_VALUE"""),"1700-2100")</f>
        <v>1700-2100</v>
      </c>
      <c r="L501" s="3">
        <f>IFERROR(__xludf.DUMMYFUNCTION("""COMPUTED_VALUE"""),4.0)</f>
        <v>4</v>
      </c>
      <c r="M501" s="3" t="str">
        <f>IFERROR(__xludf.DUMMYFUNCTION("""COMPUTED_VALUE"""),"ร.อ.อนุชิต ทำจะดี")</f>
        <v>ร.อ.อนุชิต ทำจะดี</v>
      </c>
      <c r="N501" s="14" t="str">
        <f>IFERROR(__xludf.DUMMYFUNCTION("""COMPUTED_VALUE"""),"https://lh5.googleusercontent.com/d/1F8wSMfTDiuwD1VNTHwtLS7Y1l3NDKFse")</f>
        <v>https://lh5.googleusercontent.com/d/1F8wSMfTDiuwD1VNTHwtLS7Y1l3NDKFse</v>
      </c>
      <c r="O501" s="14" t="str">
        <f>IFERROR(__xludf.DUMMYFUNCTION("""COMPUTED_VALUE"""),"https://drive.google.com/file/d/10zUS2Cv6iPMrlR1aDpe0q2flgDitToQo/view?usp=drivesdk")</f>
        <v>https://drive.google.com/file/d/10zUS2Cv6iPMrlR1aDpe0q2flgDitToQo/view?usp=drivesdk</v>
      </c>
    </row>
    <row r="502">
      <c r="A502" s="3">
        <f>IFERROR(__xludf.DUMMYFUNCTION("""COMPUTED_VALUE"""),2066.0)</f>
        <v>2066</v>
      </c>
      <c r="B502" s="11">
        <f>IFERROR(__xludf.DUMMYFUNCTION("""COMPUTED_VALUE"""),46153.47654505786)</f>
        <v>46153.47655</v>
      </c>
      <c r="C502" s="3" t="str">
        <f>IFERROR(__xludf.DUMMYFUNCTION("""COMPUTED_VALUE"""),"ชั้นปีที่ 3")</f>
        <v>ชั้นปีที่ 3</v>
      </c>
      <c r="D502" s="3" t="str">
        <f>IFERROR(__xludf.DUMMYFUNCTION("""COMPUTED_VALUE"""),"6603780")</f>
        <v>6603780</v>
      </c>
      <c r="E502" s="3" t="str">
        <f>IFERROR(__xludf.DUMMYFUNCTION("""COMPUTED_VALUE"""),"26")</f>
        <v>26</v>
      </c>
      <c r="F502" s="3" t="str">
        <f>IFERROR(__xludf.DUMMYFUNCTION("""COMPUTED_VALUE"""),"นพอ.นิศาชล  ชุมจันทร์")</f>
        <v>นพอ.นิศาชล  ชุมจันทร์</v>
      </c>
      <c r="G502" s="3" t="str">
        <f>IFERROR(__xludf.DUMMYFUNCTION("""COMPUTED_VALUE"""),"ช่วยเหลืองานภายใน วพอ.")</f>
        <v>ช่วยเหลืองานภายใน วพอ.</v>
      </c>
      <c r="H50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2" s="3" t="str">
        <f>IFERROR(__xludf.DUMMYFUNCTION("""COMPUTED_VALUE"""),"วพอ.พอ.")</f>
        <v>วพอ.พอ.</v>
      </c>
      <c r="J502" s="12">
        <f>IFERROR(__xludf.DUMMYFUNCTION("""COMPUTED_VALUE"""),46138.0)</f>
        <v>46138</v>
      </c>
      <c r="K502" s="3" t="str">
        <f>IFERROR(__xludf.DUMMYFUNCTION("""COMPUTED_VALUE"""),"1500-2100")</f>
        <v>1500-2100</v>
      </c>
      <c r="L502" s="3">
        <f>IFERROR(__xludf.DUMMYFUNCTION("""COMPUTED_VALUE"""),6.0)</f>
        <v>6</v>
      </c>
      <c r="M502" s="3" t="str">
        <f>IFERROR(__xludf.DUMMYFUNCTION("""COMPUTED_VALUE"""),"ร.อ.อนุชิต ทำจะดี")</f>
        <v>ร.อ.อนุชิต ทำจะดี</v>
      </c>
      <c r="N502" s="14" t="str">
        <f>IFERROR(__xludf.DUMMYFUNCTION("""COMPUTED_VALUE"""),"https://lh5.googleusercontent.com/d/1Lg8hmvTTENRGuN82RRL4VWuspCeA5GwL")</f>
        <v>https://lh5.googleusercontent.com/d/1Lg8hmvTTENRGuN82RRL4VWuspCeA5GwL</v>
      </c>
      <c r="O502" s="14" t="str">
        <f>IFERROR(__xludf.DUMMYFUNCTION("""COMPUTED_VALUE"""),"https://drive.google.com/file/d/1oZRTyGbAHEZAEXz_Kf8NGe-1VXQ68YVG/view?usp=drivesdk")</f>
        <v>https://drive.google.com/file/d/1oZRTyGbAHEZAEXz_Kf8NGe-1VXQ68YVG/view?usp=drivesdk</v>
      </c>
    </row>
    <row r="503">
      <c r="A503" s="3">
        <f>IFERROR(__xludf.DUMMYFUNCTION("""COMPUTED_VALUE"""),2067.0)</f>
        <v>2067</v>
      </c>
      <c r="B503" s="11">
        <f>IFERROR(__xludf.DUMMYFUNCTION("""COMPUTED_VALUE"""),46153.477984143516)</f>
        <v>46153.47798</v>
      </c>
      <c r="C503" s="3" t="str">
        <f>IFERROR(__xludf.DUMMYFUNCTION("""COMPUTED_VALUE"""),"ชั้นปีที่ 3")</f>
        <v>ชั้นปีที่ 3</v>
      </c>
      <c r="D503" s="3" t="str">
        <f>IFERROR(__xludf.DUMMYFUNCTION("""COMPUTED_VALUE"""),"6603780")</f>
        <v>6603780</v>
      </c>
      <c r="E503" s="3" t="str">
        <f>IFERROR(__xludf.DUMMYFUNCTION("""COMPUTED_VALUE"""),"26")</f>
        <v>26</v>
      </c>
      <c r="F503" s="3" t="str">
        <f>IFERROR(__xludf.DUMMYFUNCTION("""COMPUTED_VALUE"""),"นพอ.นิศาชล ชุมจันทร์")</f>
        <v>นพอ.นิศาชล ชุมจันทร์</v>
      </c>
      <c r="G503" s="3" t="str">
        <f>IFERROR(__xludf.DUMMYFUNCTION("""COMPUTED_VALUE"""),"ช่วยเหลืองานภายใน วพอ.")</f>
        <v>ช่วยเหลืองานภายใน วพอ.</v>
      </c>
      <c r="H503" s="3" t="str">
        <f>IFERROR(__xludf.DUMMYFUNCTION("""COMPUTED_VALUE"""),"ร่วมงานพิธีมอบหมวกพยาบาลวิชาชีพ ปีการศึกษา 2568")</f>
        <v>ร่วมงานพิธีมอบหมวกพยาบาลวิชาชีพ ปีการศึกษา 2568</v>
      </c>
      <c r="I503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03" s="12">
        <f>IFERROR(__xludf.DUMMYFUNCTION("""COMPUTED_VALUE"""),46139.0)</f>
        <v>46139</v>
      </c>
      <c r="K503" s="3" t="str">
        <f>IFERROR(__xludf.DUMMYFUNCTION("""COMPUTED_VALUE"""),"1700-2100")</f>
        <v>1700-2100</v>
      </c>
      <c r="L503" s="3">
        <f>IFERROR(__xludf.DUMMYFUNCTION("""COMPUTED_VALUE"""),4.0)</f>
        <v>4</v>
      </c>
      <c r="M503" s="3" t="str">
        <f>IFERROR(__xludf.DUMMYFUNCTION("""COMPUTED_VALUE"""),"ร.อ.อนุชิต ทำจะดี")</f>
        <v>ร.อ.อนุชิต ทำจะดี</v>
      </c>
      <c r="N503" s="14" t="str">
        <f>IFERROR(__xludf.DUMMYFUNCTION("""COMPUTED_VALUE"""),"https://lh5.googleusercontent.com/d/12_31nUjRjZ5AeIf6BBfymSxBF2Yo3VHK")</f>
        <v>https://lh5.googleusercontent.com/d/12_31nUjRjZ5AeIf6BBfymSxBF2Yo3VHK</v>
      </c>
      <c r="O503" s="14" t="str">
        <f>IFERROR(__xludf.DUMMYFUNCTION("""COMPUTED_VALUE"""),"https://drive.google.com/file/d/1qU9YclP_t3ncF5IUV4bInyo9yNcX4KhH/view?usp=drivesdk")</f>
        <v>https://drive.google.com/file/d/1qU9YclP_t3ncF5IUV4bInyo9yNcX4KhH/view?usp=drivesdk</v>
      </c>
    </row>
    <row r="504">
      <c r="A504" s="3">
        <f>IFERROR(__xludf.DUMMYFUNCTION("""COMPUTED_VALUE"""),2068.0)</f>
        <v>2068</v>
      </c>
      <c r="B504" s="11">
        <f>IFERROR(__xludf.DUMMYFUNCTION("""COMPUTED_VALUE"""),46153.478159652776)</f>
        <v>46153.47816</v>
      </c>
      <c r="C504" s="3" t="str">
        <f>IFERROR(__xludf.DUMMYFUNCTION("""COMPUTED_VALUE"""),"ชั้นปีที่ 3")</f>
        <v>ชั้นปีที่ 3</v>
      </c>
      <c r="D504" s="3" t="str">
        <f>IFERROR(__xludf.DUMMYFUNCTION("""COMPUTED_VALUE"""),"6603770")</f>
        <v>6603770</v>
      </c>
      <c r="E504" s="3" t="str">
        <f>IFERROR(__xludf.DUMMYFUNCTION("""COMPUTED_VALUE"""),"17")</f>
        <v>17</v>
      </c>
      <c r="F504" s="3" t="str">
        <f>IFERROR(__xludf.DUMMYFUNCTION("""COMPUTED_VALUE"""),"นพอ.ตรีสุคนธ์ ยศแก้ว")</f>
        <v>นพอ.ตรีสุคนธ์ ยศแก้ว</v>
      </c>
      <c r="G504" s="3" t="str">
        <f>IFERROR(__xludf.DUMMYFUNCTION("""COMPUTED_VALUE"""),"ช่วยเหลืองานภายใน วพอ.")</f>
        <v>ช่วยเหลืองานภายใน วพอ.</v>
      </c>
      <c r="H504" s="3" t="str">
        <f>IFERROR(__xludf.DUMMYFUNCTION("""COMPUTED_VALUE"""),"งานทดสอบพิเศษ")</f>
        <v>งานทดสอบพิเศษ</v>
      </c>
      <c r="I504" s="3" t="str">
        <f>IFERROR(__xludf.DUMMYFUNCTION("""COMPUTED_VALUE"""),"วิทยาลัยพยาบาลทหารอากาศ")</f>
        <v>วิทยาลัยพยาบาลทหารอากาศ</v>
      </c>
      <c r="J504" s="12">
        <f>IFERROR(__xludf.DUMMYFUNCTION("""COMPUTED_VALUE"""),46147.0)</f>
        <v>46147</v>
      </c>
      <c r="K504" s="3" t="str">
        <f>IFERROR(__xludf.DUMMYFUNCTION("""COMPUTED_VALUE"""),"0600-1200")</f>
        <v>0600-1200</v>
      </c>
      <c r="L504" s="3">
        <f>IFERROR(__xludf.DUMMYFUNCTION("""COMPUTED_VALUE"""),8.0)</f>
        <v>8</v>
      </c>
      <c r="M504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04" s="14" t="str">
        <f>IFERROR(__xludf.DUMMYFUNCTION("""COMPUTED_VALUE"""),"https://lh5.googleusercontent.com/d/1LDa4TwBSlihUIXd5EOcvDp98bX59fMql")</f>
        <v>https://lh5.googleusercontent.com/d/1LDa4TwBSlihUIXd5EOcvDp98bX59fMql</v>
      </c>
      <c r="O504" s="14" t="str">
        <f>IFERROR(__xludf.DUMMYFUNCTION("""COMPUTED_VALUE"""),"https://drive.google.com/file/d/1kjmnkXSuioODgUEHXqM4qVs2x3jtLHBw/view?usp=drivesdk")</f>
        <v>https://drive.google.com/file/d/1kjmnkXSuioODgUEHXqM4qVs2x3jtLHBw/view?usp=drivesdk</v>
      </c>
    </row>
    <row r="505">
      <c r="A505" s="3">
        <f>IFERROR(__xludf.DUMMYFUNCTION("""COMPUTED_VALUE"""),2069.0)</f>
        <v>2069</v>
      </c>
      <c r="B505" s="11">
        <f>IFERROR(__xludf.DUMMYFUNCTION("""COMPUTED_VALUE"""),46153.48487180555)</f>
        <v>46153.48487</v>
      </c>
      <c r="C505" s="3" t="str">
        <f>IFERROR(__xludf.DUMMYFUNCTION("""COMPUTED_VALUE"""),"ชั้นปีที่ 3")</f>
        <v>ชั้นปีที่ 3</v>
      </c>
      <c r="D505" s="3" t="str">
        <f>IFERROR(__xludf.DUMMYFUNCTION("""COMPUTED_VALUE"""),"6603770")</f>
        <v>6603770</v>
      </c>
      <c r="E505" s="3" t="str">
        <f>IFERROR(__xludf.DUMMYFUNCTION("""COMPUTED_VALUE"""),"17")</f>
        <v>17</v>
      </c>
      <c r="F505" s="3" t="str">
        <f>IFERROR(__xludf.DUMMYFUNCTION("""COMPUTED_VALUE"""),"นพอ.ตรีสุคนธ์ ยศแก้ว")</f>
        <v>นพอ.ตรีสุคนธ์ ยศแก้ว</v>
      </c>
      <c r="G505" s="3" t="str">
        <f>IFERROR(__xludf.DUMMYFUNCTION("""COMPUTED_VALUE"""),"ช่วยเหลืองานภายใน วพอ.")</f>
        <v>ช่วยเหลืองานภายใน วพอ.</v>
      </c>
      <c r="H50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5" s="3" t="str">
        <f>IFERROR(__xludf.DUMMYFUNCTION("""COMPUTED_VALUE"""),"วพอ.พอ.")</f>
        <v>วพอ.พอ.</v>
      </c>
      <c r="J505" s="12">
        <f>IFERROR(__xludf.DUMMYFUNCTION("""COMPUTED_VALUE"""),46138.0)</f>
        <v>46138</v>
      </c>
      <c r="K505" s="3" t="str">
        <f>IFERROR(__xludf.DUMMYFUNCTION("""COMPUTED_VALUE"""),"1500-2100")</f>
        <v>1500-2100</v>
      </c>
      <c r="L505" s="3">
        <f>IFERROR(__xludf.DUMMYFUNCTION("""COMPUTED_VALUE"""),6.0)</f>
        <v>6</v>
      </c>
      <c r="M505" s="3" t="str">
        <f>IFERROR(__xludf.DUMMYFUNCTION("""COMPUTED_VALUE"""),"ร.อ.อนุชิต ทำจะดี")</f>
        <v>ร.อ.อนุชิต ทำจะดี</v>
      </c>
      <c r="N505" s="14" t="str">
        <f>IFERROR(__xludf.DUMMYFUNCTION("""COMPUTED_VALUE"""),"https://lh5.googleusercontent.com/d/14HQ_XbrNqRhJx6EirVgF2DTxMssNXBYQ")</f>
        <v>https://lh5.googleusercontent.com/d/14HQ_XbrNqRhJx6EirVgF2DTxMssNXBYQ</v>
      </c>
      <c r="O505" s="14" t="str">
        <f>IFERROR(__xludf.DUMMYFUNCTION("""COMPUTED_VALUE"""),"https://drive.google.com/file/d/1Q7oBUmqQk2Ku8SW3UpU6YNodyfOZ2q41/view?usp=drivesdk")</f>
        <v>https://drive.google.com/file/d/1Q7oBUmqQk2Ku8SW3UpU6YNodyfOZ2q41/view?usp=drivesdk</v>
      </c>
    </row>
    <row r="506">
      <c r="A506" s="3">
        <f>IFERROR(__xludf.DUMMYFUNCTION("""COMPUTED_VALUE"""),2070.0)</f>
        <v>2070</v>
      </c>
      <c r="B506" s="11">
        <f>IFERROR(__xludf.DUMMYFUNCTION("""COMPUTED_VALUE"""),46153.48803601851)</f>
        <v>46153.48804</v>
      </c>
      <c r="C506" s="3" t="str">
        <f>IFERROR(__xludf.DUMMYFUNCTION("""COMPUTED_VALUE"""),"ชั้นปีที่ 3")</f>
        <v>ชั้นปีที่ 3</v>
      </c>
      <c r="D506" s="3" t="str">
        <f>IFERROR(__xludf.DUMMYFUNCTION("""COMPUTED_VALUE"""),"6603770")</f>
        <v>6603770</v>
      </c>
      <c r="E506" s="3" t="str">
        <f>IFERROR(__xludf.DUMMYFUNCTION("""COMPUTED_VALUE"""),"17")</f>
        <v>17</v>
      </c>
      <c r="F506" s="3" t="str">
        <f>IFERROR(__xludf.DUMMYFUNCTION("""COMPUTED_VALUE"""),"นพอ.ตรีสุคนธ์ ยศแก้ว")</f>
        <v>นพอ.ตรีสุคนธ์ ยศแก้ว</v>
      </c>
      <c r="G506" s="3" t="str">
        <f>IFERROR(__xludf.DUMMYFUNCTION("""COMPUTED_VALUE"""),"ช่วยเหลืองานภายใน วพอ.")</f>
        <v>ช่วยเหลืองานภายใน วพอ.</v>
      </c>
      <c r="H50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6" s="3" t="str">
        <f>IFERROR(__xludf.DUMMYFUNCTION("""COMPUTED_VALUE"""),"หอประชุมธุปะเตมีย์ ")</f>
        <v>หอประชุมธุปะเตมีย์ </v>
      </c>
      <c r="J506" s="12">
        <f>IFERROR(__xludf.DUMMYFUNCTION("""COMPUTED_VALUE"""),46139.0)</f>
        <v>46139</v>
      </c>
      <c r="K506" s="3" t="str">
        <f>IFERROR(__xludf.DUMMYFUNCTION("""COMPUTED_VALUE"""),"1700-2100")</f>
        <v>1700-2100</v>
      </c>
      <c r="L506" s="3">
        <f>IFERROR(__xludf.DUMMYFUNCTION("""COMPUTED_VALUE"""),4.0)</f>
        <v>4</v>
      </c>
      <c r="M506" s="3" t="str">
        <f>IFERROR(__xludf.DUMMYFUNCTION("""COMPUTED_VALUE"""),"ร.อ.อนุชิต ทำจะดี")</f>
        <v>ร.อ.อนุชิต ทำจะดี</v>
      </c>
      <c r="N506" s="3"/>
      <c r="O506" s="14" t="str">
        <f>IFERROR(__xludf.DUMMYFUNCTION("""COMPUTED_VALUE"""),"https://drive.google.com/file/d/1lztjI6NHPpUKx3kGIXcbG9iTZooXPjRM/view?usp=drivesdk")</f>
        <v>https://drive.google.com/file/d/1lztjI6NHPpUKx3kGIXcbG9iTZooXPjRM/view?usp=drivesdk</v>
      </c>
    </row>
    <row r="507">
      <c r="A507" s="3">
        <f>IFERROR(__xludf.DUMMYFUNCTION("""COMPUTED_VALUE"""),2071.0)</f>
        <v>2071</v>
      </c>
      <c r="B507" s="11">
        <f>IFERROR(__xludf.DUMMYFUNCTION("""COMPUTED_VALUE"""),46153.49159467593)</f>
        <v>46153.49159</v>
      </c>
      <c r="C507" s="3" t="str">
        <f>IFERROR(__xludf.DUMMYFUNCTION("""COMPUTED_VALUE"""),"ชั้นปีที่ 3")</f>
        <v>ชั้นปีที่ 3</v>
      </c>
      <c r="D507" s="3" t="str">
        <f>IFERROR(__xludf.DUMMYFUNCTION("""COMPUTED_VALUE"""),"6603799")</f>
        <v>6603799</v>
      </c>
      <c r="E507" s="3" t="str">
        <f>IFERROR(__xludf.DUMMYFUNCTION("""COMPUTED_VALUE"""),"45")</f>
        <v>45</v>
      </c>
      <c r="F507" s="3" t="str">
        <f>IFERROR(__xludf.DUMMYFUNCTION("""COMPUTED_VALUE"""),"นพอ.วรัญญา สุวรรณ")</f>
        <v>นพอ.วรัญญา สุวรรณ</v>
      </c>
      <c r="G5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7" s="3" t="str">
        <f>IFERROR(__xludf.DUMMYFUNCTION("""COMPUTED_VALUE"""),"งานกอล์ฟ")</f>
        <v>งานกอล์ฟ</v>
      </c>
      <c r="I507" s="3" t="str">
        <f>IFERROR(__xludf.DUMMYFUNCTION("""COMPUTED_VALUE"""),"สนามกีฬาธูปเตมี")</f>
        <v>สนามกีฬาธูปเตมี</v>
      </c>
      <c r="J507" s="12">
        <f>IFERROR(__xludf.DUMMYFUNCTION("""COMPUTED_VALUE"""),46092.0)</f>
        <v>46092</v>
      </c>
      <c r="K507" s="3" t="str">
        <f>IFERROR(__xludf.DUMMYFUNCTION("""COMPUTED_VALUE"""),"0800-1200")</f>
        <v>0800-1200</v>
      </c>
      <c r="L507" s="3">
        <f>IFERROR(__xludf.DUMMYFUNCTION("""COMPUTED_VALUE"""),4.0)</f>
        <v>4</v>
      </c>
      <c r="M507" s="3" t="str">
        <f>IFERROR(__xludf.DUMMYFUNCTION("""COMPUTED_VALUE"""),"น.ท.หญิง ดร. ลักษ์ขณา พานิช")</f>
        <v>น.ท.หญิง ดร. ลักษ์ขณา พานิช</v>
      </c>
      <c r="N507" s="14" t="str">
        <f>IFERROR(__xludf.DUMMYFUNCTION("""COMPUTED_VALUE"""),"https://lh5.googleusercontent.com/d/1Hfbk13vwJC_ZLSsrhdWctzgdN4n7fsIq")</f>
        <v>https://lh5.googleusercontent.com/d/1Hfbk13vwJC_ZLSsrhdWctzgdN4n7fsIq</v>
      </c>
      <c r="O507" s="14" t="str">
        <f>IFERROR(__xludf.DUMMYFUNCTION("""COMPUTED_VALUE"""),"https://drive.google.com/file/d/10rp7qjRxQlEmjSNHpzEzQugt4kZExTmq/view?usp=drivesdk")</f>
        <v>https://drive.google.com/file/d/10rp7qjRxQlEmjSNHpzEzQugt4kZExTmq/view?usp=drivesdk</v>
      </c>
    </row>
    <row r="508">
      <c r="A508" s="3">
        <f>IFERROR(__xludf.DUMMYFUNCTION("""COMPUTED_VALUE"""),2074.0)</f>
        <v>2074</v>
      </c>
      <c r="B508" s="11">
        <f>IFERROR(__xludf.DUMMYFUNCTION("""COMPUTED_VALUE"""),46153.56376940972)</f>
        <v>46153.56377</v>
      </c>
      <c r="C508" s="3" t="str">
        <f>IFERROR(__xludf.DUMMYFUNCTION("""COMPUTED_VALUE"""),"ชั้นปีที่ 3")</f>
        <v>ชั้นปีที่ 3</v>
      </c>
      <c r="D508" s="3" t="str">
        <f>IFERROR(__xludf.DUMMYFUNCTION("""COMPUTED_VALUE"""),"6603811")</f>
        <v>6603811</v>
      </c>
      <c r="E508" s="3" t="str">
        <f>IFERROR(__xludf.DUMMYFUNCTION("""COMPUTED_VALUE"""),"57")</f>
        <v>57</v>
      </c>
      <c r="F508" s="3" t="str">
        <f>IFERROR(__xludf.DUMMYFUNCTION("""COMPUTED_VALUE"""),"นพอ.สุภานัน ธรรมรักษา")</f>
        <v>นพอ.สุภานัน ธรรมรักษา</v>
      </c>
      <c r="G508" s="3" t="str">
        <f>IFERROR(__xludf.DUMMYFUNCTION("""COMPUTED_VALUE"""),"ช่วยเหลืองานภายใน วพอ.")</f>
        <v>ช่วยเหลืองานภายใน วพอ.</v>
      </c>
      <c r="H50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8" s="3" t="str">
        <f>IFERROR(__xludf.DUMMYFUNCTION("""COMPUTED_VALUE"""),"วพอ.พอ.")</f>
        <v>วพอ.พอ.</v>
      </c>
      <c r="J508" s="12">
        <f>IFERROR(__xludf.DUMMYFUNCTION("""COMPUTED_VALUE"""),46133.0)</f>
        <v>46133</v>
      </c>
      <c r="K508" s="3" t="str">
        <f>IFERROR(__xludf.DUMMYFUNCTION("""COMPUTED_VALUE"""),"1700-2100")</f>
        <v>1700-2100</v>
      </c>
      <c r="L508" s="3">
        <f>IFERROR(__xludf.DUMMYFUNCTION("""COMPUTED_VALUE"""),4.0)</f>
        <v>4</v>
      </c>
      <c r="M508" s="3" t="str">
        <f>IFERROR(__xludf.DUMMYFUNCTION("""COMPUTED_VALUE"""),"ร.อ.อนุชิต ทำจะดี")</f>
        <v>ร.อ.อนุชิต ทำจะดี</v>
      </c>
      <c r="N508" s="14" t="str">
        <f>IFERROR(__xludf.DUMMYFUNCTION("""COMPUTED_VALUE"""),"https://lh5.googleusercontent.com/d/1YMfGR2hW6qTA5_JiHviqImnnB2kwC80R")</f>
        <v>https://lh5.googleusercontent.com/d/1YMfGR2hW6qTA5_JiHviqImnnB2kwC80R</v>
      </c>
      <c r="O508" s="14" t="str">
        <f>IFERROR(__xludf.DUMMYFUNCTION("""COMPUTED_VALUE"""),"https://drive.google.com/file/d/1Y_L4qcqBvOIYKMyGKsBGh8QjHu4iAxwa/view?usp=drivesdk")</f>
        <v>https://drive.google.com/file/d/1Y_L4qcqBvOIYKMyGKsBGh8QjHu4iAxwa/view?usp=drivesdk</v>
      </c>
    </row>
    <row r="509">
      <c r="A509" s="3">
        <f>IFERROR(__xludf.DUMMYFUNCTION("""COMPUTED_VALUE"""),2075.0)</f>
        <v>2075</v>
      </c>
      <c r="B509" s="11">
        <f>IFERROR(__xludf.DUMMYFUNCTION("""COMPUTED_VALUE"""),46153.565344930554)</f>
        <v>46153.56534</v>
      </c>
      <c r="C509" s="3" t="str">
        <f>IFERROR(__xludf.DUMMYFUNCTION("""COMPUTED_VALUE"""),"ชั้นปีที่ 3")</f>
        <v>ชั้นปีที่ 3</v>
      </c>
      <c r="D509" s="3" t="str">
        <f>IFERROR(__xludf.DUMMYFUNCTION("""COMPUTED_VALUE"""),"6603811")</f>
        <v>6603811</v>
      </c>
      <c r="E509" s="3" t="str">
        <f>IFERROR(__xludf.DUMMYFUNCTION("""COMPUTED_VALUE"""),"57")</f>
        <v>57</v>
      </c>
      <c r="F509" s="3" t="str">
        <f>IFERROR(__xludf.DUMMYFUNCTION("""COMPUTED_VALUE"""),"นพอ.สุภานัน ธรรมรักษา")</f>
        <v>นพอ.สุภานัน ธรรมรักษา</v>
      </c>
      <c r="G509" s="3" t="str">
        <f>IFERROR(__xludf.DUMMYFUNCTION("""COMPUTED_VALUE"""),"ช่วยเหลืองานภายใน วพอ.")</f>
        <v>ช่วยเหลืองานภายใน วพอ.</v>
      </c>
      <c r="H50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9" s="3" t="str">
        <f>IFERROR(__xludf.DUMMYFUNCTION("""COMPUTED_VALUE"""),"วพอ.พอ.")</f>
        <v>วพอ.พอ.</v>
      </c>
      <c r="J509" s="12">
        <f>IFERROR(__xludf.DUMMYFUNCTION("""COMPUTED_VALUE"""),46134.0)</f>
        <v>46134</v>
      </c>
      <c r="K509" s="3" t="str">
        <f>IFERROR(__xludf.DUMMYFUNCTION("""COMPUTED_VALUE"""),"1700-2100")</f>
        <v>1700-2100</v>
      </c>
      <c r="L509" s="3">
        <f>IFERROR(__xludf.DUMMYFUNCTION("""COMPUTED_VALUE"""),4.0)</f>
        <v>4</v>
      </c>
      <c r="M509" s="3" t="str">
        <f>IFERROR(__xludf.DUMMYFUNCTION("""COMPUTED_VALUE"""),"ร.อ.อนุชิต ทำจะดี")</f>
        <v>ร.อ.อนุชิต ทำจะดี</v>
      </c>
      <c r="N509" s="14" t="str">
        <f>IFERROR(__xludf.DUMMYFUNCTION("""COMPUTED_VALUE"""),"https://lh5.googleusercontent.com/d/1LWoyGUzPdJAEKE5RSdxtP4qezVKNNjPm")</f>
        <v>https://lh5.googleusercontent.com/d/1LWoyGUzPdJAEKE5RSdxtP4qezVKNNjPm</v>
      </c>
      <c r="O509" s="14" t="str">
        <f>IFERROR(__xludf.DUMMYFUNCTION("""COMPUTED_VALUE"""),"https://drive.google.com/file/d/1VRLmv7SbXgQ-WwuypyxVL49JjPvnbJkq/view?usp=drivesdk")</f>
        <v>https://drive.google.com/file/d/1VRLmv7SbXgQ-WwuypyxVL49JjPvnbJkq/view?usp=drivesdk</v>
      </c>
    </row>
    <row r="510">
      <c r="A510" s="3">
        <f>IFERROR(__xludf.DUMMYFUNCTION("""COMPUTED_VALUE"""),2076.0)</f>
        <v>2076</v>
      </c>
      <c r="B510" s="11">
        <f>IFERROR(__xludf.DUMMYFUNCTION("""COMPUTED_VALUE"""),46153.56655982639)</f>
        <v>46153.56656</v>
      </c>
      <c r="C510" s="3" t="str">
        <f>IFERROR(__xludf.DUMMYFUNCTION("""COMPUTED_VALUE"""),"ชั้นปีที่ 3")</f>
        <v>ชั้นปีที่ 3</v>
      </c>
      <c r="D510" s="3" t="str">
        <f>IFERROR(__xludf.DUMMYFUNCTION("""COMPUTED_VALUE"""),"6603811")</f>
        <v>6603811</v>
      </c>
      <c r="E510" s="3" t="str">
        <f>IFERROR(__xludf.DUMMYFUNCTION("""COMPUTED_VALUE"""),"57")</f>
        <v>57</v>
      </c>
      <c r="F510" s="3" t="str">
        <f>IFERROR(__xludf.DUMMYFUNCTION("""COMPUTED_VALUE"""),"นพอ.สุภานัน ธรรมรักษา")</f>
        <v>นพอ.สุภานัน ธรรมรักษา</v>
      </c>
      <c r="G510" s="3" t="str">
        <f>IFERROR(__xludf.DUMMYFUNCTION("""COMPUTED_VALUE"""),"ช่วยเหลืองานภายใน วพอ.")</f>
        <v>ช่วยเหลืองานภายใน วพอ.</v>
      </c>
      <c r="H51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0" s="3" t="str">
        <f>IFERROR(__xludf.DUMMYFUNCTION("""COMPUTED_VALUE"""),"วพอ.พอ.")</f>
        <v>วพอ.พอ.</v>
      </c>
      <c r="J510" s="12">
        <f>IFERROR(__xludf.DUMMYFUNCTION("""COMPUTED_VALUE"""),46135.0)</f>
        <v>46135</v>
      </c>
      <c r="K510" s="3" t="str">
        <f>IFERROR(__xludf.DUMMYFUNCTION("""COMPUTED_VALUE"""),"1700-2100")</f>
        <v>1700-2100</v>
      </c>
      <c r="L510" s="3">
        <f>IFERROR(__xludf.DUMMYFUNCTION("""COMPUTED_VALUE"""),4.0)</f>
        <v>4</v>
      </c>
      <c r="M510" s="3" t="str">
        <f>IFERROR(__xludf.DUMMYFUNCTION("""COMPUTED_VALUE"""),"ร.อ.อนุชิต ทำจะดี")</f>
        <v>ร.อ.อนุชิต ทำจะดี</v>
      </c>
      <c r="N510" s="14" t="str">
        <f>IFERROR(__xludf.DUMMYFUNCTION("""COMPUTED_VALUE"""),"https://lh5.googleusercontent.com/d/15iy2cR_QegF-rTwVhd9ai60-RVF2LGrX")</f>
        <v>https://lh5.googleusercontent.com/d/15iy2cR_QegF-rTwVhd9ai60-RVF2LGrX</v>
      </c>
      <c r="O510" s="14" t="str">
        <f>IFERROR(__xludf.DUMMYFUNCTION("""COMPUTED_VALUE"""),"https://drive.google.com/file/d/1V9umGkz4Yvfxz_JhFNAetzYADGRqpF07/view?usp=drivesdk")</f>
        <v>https://drive.google.com/file/d/1V9umGkz4Yvfxz_JhFNAetzYADGRqpF07/view?usp=drivesdk</v>
      </c>
    </row>
    <row r="511">
      <c r="A511" s="3">
        <f>IFERROR(__xludf.DUMMYFUNCTION("""COMPUTED_VALUE"""),2077.0)</f>
        <v>2077</v>
      </c>
      <c r="B511" s="11">
        <f>IFERROR(__xludf.DUMMYFUNCTION("""COMPUTED_VALUE"""),46153.57003086805)</f>
        <v>46153.57003</v>
      </c>
      <c r="C511" s="3" t="str">
        <f>IFERROR(__xludf.DUMMYFUNCTION("""COMPUTED_VALUE"""),"ชั้นปีที่ 3")</f>
        <v>ชั้นปีที่ 3</v>
      </c>
      <c r="D511" s="3" t="str">
        <f>IFERROR(__xludf.DUMMYFUNCTION("""COMPUTED_VALUE"""),"6603811")</f>
        <v>6603811</v>
      </c>
      <c r="E511" s="3" t="str">
        <f>IFERROR(__xludf.DUMMYFUNCTION("""COMPUTED_VALUE"""),"57")</f>
        <v>57</v>
      </c>
      <c r="F511" s="3" t="str">
        <f>IFERROR(__xludf.DUMMYFUNCTION("""COMPUTED_VALUE"""),"นพอ.สุภานัน ธรรมรักษา")</f>
        <v>นพอ.สุภานัน ธรรมรักษา</v>
      </c>
      <c r="G511" s="3" t="str">
        <f>IFERROR(__xludf.DUMMYFUNCTION("""COMPUTED_VALUE"""),"ช่วยเหลืองานภายใน วพอ.")</f>
        <v>ช่วยเหลืองานภายใน วพอ.</v>
      </c>
      <c r="H51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1" s="3" t="str">
        <f>IFERROR(__xludf.DUMMYFUNCTION("""COMPUTED_VALUE"""),"วพอ.พอ.")</f>
        <v>วพอ.พอ.</v>
      </c>
      <c r="J511" s="12">
        <f>IFERROR(__xludf.DUMMYFUNCTION("""COMPUTED_VALUE"""),46138.0)</f>
        <v>46138</v>
      </c>
      <c r="K511" s="3" t="str">
        <f>IFERROR(__xludf.DUMMYFUNCTION("""COMPUTED_VALUE"""),"1500-2100")</f>
        <v>1500-2100</v>
      </c>
      <c r="L511" s="3">
        <f>IFERROR(__xludf.DUMMYFUNCTION("""COMPUTED_VALUE"""),6.0)</f>
        <v>6</v>
      </c>
      <c r="M511" s="3" t="str">
        <f>IFERROR(__xludf.DUMMYFUNCTION("""COMPUTED_VALUE"""),"ร.อ.อนุชิต ทำจะดี")</f>
        <v>ร.อ.อนุชิต ทำจะดี</v>
      </c>
      <c r="N511" s="14" t="str">
        <f>IFERROR(__xludf.DUMMYFUNCTION("""COMPUTED_VALUE"""),"https://lh5.googleusercontent.com/d/1BvJ08bTwhm3PC-II8n4x4ICjSs3-IbdH")</f>
        <v>https://lh5.googleusercontent.com/d/1BvJ08bTwhm3PC-II8n4x4ICjSs3-IbdH</v>
      </c>
      <c r="O511" s="14" t="str">
        <f>IFERROR(__xludf.DUMMYFUNCTION("""COMPUTED_VALUE"""),"https://drive.google.com/file/d/10zLoBBk2dyr50Pmyiyf8VhVikEMxdSfG/view?usp=drivesdk")</f>
        <v>https://drive.google.com/file/d/10zLoBBk2dyr50Pmyiyf8VhVikEMxdSfG/view?usp=drivesdk</v>
      </c>
    </row>
    <row r="512">
      <c r="A512" s="3">
        <f>IFERROR(__xludf.DUMMYFUNCTION("""COMPUTED_VALUE"""),2078.0)</f>
        <v>2078</v>
      </c>
      <c r="B512" s="11">
        <f>IFERROR(__xludf.DUMMYFUNCTION("""COMPUTED_VALUE"""),46153.57147313657)</f>
        <v>46153.57147</v>
      </c>
      <c r="C512" s="3" t="str">
        <f>IFERROR(__xludf.DUMMYFUNCTION("""COMPUTED_VALUE"""),"ชั้นปีที่ 3")</f>
        <v>ชั้นปีที่ 3</v>
      </c>
      <c r="D512" s="3" t="str">
        <f>IFERROR(__xludf.DUMMYFUNCTION("""COMPUTED_VALUE"""),"6603811")</f>
        <v>6603811</v>
      </c>
      <c r="E512" s="3" t="str">
        <f>IFERROR(__xludf.DUMMYFUNCTION("""COMPUTED_VALUE"""),"57")</f>
        <v>57</v>
      </c>
      <c r="F512" s="3" t="str">
        <f>IFERROR(__xludf.DUMMYFUNCTION("""COMPUTED_VALUE"""),"นพอ.สุภานัน ธรรมรักษา")</f>
        <v>นพอ.สุภานัน ธรรมรักษา</v>
      </c>
      <c r="G512" s="3" t="str">
        <f>IFERROR(__xludf.DUMMYFUNCTION("""COMPUTED_VALUE"""),"ช่วยเหลืองานภายใน วพอ.")</f>
        <v>ช่วยเหลืองานภายใน วพอ.</v>
      </c>
      <c r="H51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2" s="3" t="str">
        <f>IFERROR(__xludf.DUMMYFUNCTION("""COMPUTED_VALUE"""),"หอประชุมธูปะเตมีย์ โรงพยาบาลภูมิพลอดุลยเดช")</f>
        <v>หอประชุมธูปะเตมีย์ โรงพยาบาลภูมิพลอดุลยเดช</v>
      </c>
      <c r="J512" s="12">
        <f>IFERROR(__xludf.DUMMYFUNCTION("""COMPUTED_VALUE"""),46139.0)</f>
        <v>46139</v>
      </c>
      <c r="K512" s="3" t="str">
        <f>IFERROR(__xludf.DUMMYFUNCTION("""COMPUTED_VALUE"""),"1700-2100")</f>
        <v>1700-2100</v>
      </c>
      <c r="L512" s="3">
        <f>IFERROR(__xludf.DUMMYFUNCTION("""COMPUTED_VALUE"""),4.0)</f>
        <v>4</v>
      </c>
      <c r="M512" s="3" t="str">
        <f>IFERROR(__xludf.DUMMYFUNCTION("""COMPUTED_VALUE"""),"ร.อ.อนุชิต ทำจะดี")</f>
        <v>ร.อ.อนุชิต ทำจะดี</v>
      </c>
      <c r="N512" s="14" t="str">
        <f>IFERROR(__xludf.DUMMYFUNCTION("""COMPUTED_VALUE"""),"https://lh5.googleusercontent.com/d/1WAiiowfCC1aeL3MVQH-w_dizCbneRxII")</f>
        <v>https://lh5.googleusercontent.com/d/1WAiiowfCC1aeL3MVQH-w_dizCbneRxII</v>
      </c>
      <c r="O512" s="14" t="str">
        <f>IFERROR(__xludf.DUMMYFUNCTION("""COMPUTED_VALUE"""),"https://drive.google.com/file/d/1WnxOMIdJ0CQE9-jVCTa0JXYE7ciszg67/view?usp=drivesdk")</f>
        <v>https://drive.google.com/file/d/1WnxOMIdJ0CQE9-jVCTa0JXYE7ciszg67/view?usp=drivesdk</v>
      </c>
    </row>
    <row r="513">
      <c r="A513" s="3">
        <f>IFERROR(__xludf.DUMMYFUNCTION("""COMPUTED_VALUE"""),2079.0)</f>
        <v>2079</v>
      </c>
      <c r="B513" s="11">
        <f>IFERROR(__xludf.DUMMYFUNCTION("""COMPUTED_VALUE"""),46153.58091510417)</f>
        <v>46153.58092</v>
      </c>
      <c r="C513" s="3" t="str">
        <f>IFERROR(__xludf.DUMMYFUNCTION("""COMPUTED_VALUE"""),"ชั้นปีที่ 3")</f>
        <v>ชั้นปีที่ 3</v>
      </c>
      <c r="D513" s="3" t="str">
        <f>IFERROR(__xludf.DUMMYFUNCTION("""COMPUTED_VALUE"""),"6603811")</f>
        <v>6603811</v>
      </c>
      <c r="E513" s="3" t="str">
        <f>IFERROR(__xludf.DUMMYFUNCTION("""COMPUTED_VALUE"""),"57")</f>
        <v>57</v>
      </c>
      <c r="F513" s="3" t="str">
        <f>IFERROR(__xludf.DUMMYFUNCTION("""COMPUTED_VALUE"""),"นพอ.สุภานัน ธรรมรักษา")</f>
        <v>นพอ.สุภานัน ธรรมรักษา</v>
      </c>
      <c r="G51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3" s="3" t="str">
        <f>IFERROR(__xludf.DUMMYFUNCTION("""COMPUTED_VALUE"""),"ซ้อมการแสดงงานกอล์ฟวพอ. ปี 2569")</f>
        <v>ซ้อมการแสดงงานกอล์ฟวพอ. ปี 2569</v>
      </c>
      <c r="I513" s="3" t="str">
        <f>IFERROR(__xludf.DUMMYFUNCTION("""COMPUTED_VALUE"""),"สนามกอล์ฟธูปะเตมีย์")</f>
        <v>สนามกอล์ฟธูปะเตมีย์</v>
      </c>
      <c r="J513" s="12">
        <f>IFERROR(__xludf.DUMMYFUNCTION("""COMPUTED_VALUE"""),46064.0)</f>
        <v>46064</v>
      </c>
      <c r="K513" s="3" t="str">
        <f>IFERROR(__xludf.DUMMYFUNCTION("""COMPUTED_VALUE"""),"1830-2030")</f>
        <v>1830-2030</v>
      </c>
      <c r="L513" s="3">
        <f>IFERROR(__xludf.DUMMYFUNCTION("""COMPUTED_VALUE"""),2.0)</f>
        <v>2</v>
      </c>
      <c r="M513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13" s="14" t="str">
        <f>IFERROR(__xludf.DUMMYFUNCTION("""COMPUTED_VALUE"""),"https://lh5.googleusercontent.com/d/1JJyNjhLYZ7GJA6fW8unhjhrtpqIIQOEX")</f>
        <v>https://lh5.googleusercontent.com/d/1JJyNjhLYZ7GJA6fW8unhjhrtpqIIQOEX</v>
      </c>
      <c r="O513" s="14" t="str">
        <f>IFERROR(__xludf.DUMMYFUNCTION("""COMPUTED_VALUE"""),"https://drive.google.com/file/d/1s_2UD91CLy1w16pWzuIjMRl4K5N7tIuQ/view?usp=drivesdk")</f>
        <v>https://drive.google.com/file/d/1s_2UD91CLy1w16pWzuIjMRl4K5N7tIuQ/view?usp=drivesdk</v>
      </c>
    </row>
    <row r="514">
      <c r="A514" s="3">
        <f>IFERROR(__xludf.DUMMYFUNCTION("""COMPUTED_VALUE"""),2080.0)</f>
        <v>2080</v>
      </c>
      <c r="B514" s="11">
        <f>IFERROR(__xludf.DUMMYFUNCTION("""COMPUTED_VALUE"""),46153.5822264699)</f>
        <v>46153.58223</v>
      </c>
      <c r="C514" s="3" t="str">
        <f>IFERROR(__xludf.DUMMYFUNCTION("""COMPUTED_VALUE"""),"ชั้นปีที่ 3")</f>
        <v>ชั้นปีที่ 3</v>
      </c>
      <c r="D514" s="3" t="str">
        <f>IFERROR(__xludf.DUMMYFUNCTION("""COMPUTED_VALUE"""),"6603811")</f>
        <v>6603811</v>
      </c>
      <c r="E514" s="3" t="str">
        <f>IFERROR(__xludf.DUMMYFUNCTION("""COMPUTED_VALUE"""),"57")</f>
        <v>57</v>
      </c>
      <c r="F514" s="3" t="str">
        <f>IFERROR(__xludf.DUMMYFUNCTION("""COMPUTED_VALUE"""),"นพอ.สุภานัน ธรรมรักษา")</f>
        <v>นพอ.สุภานัน ธรรมรักษา</v>
      </c>
      <c r="G51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4" s="3" t="str">
        <f>IFERROR(__xludf.DUMMYFUNCTION("""COMPUTED_VALUE"""),"ซ้อม การแสดงงานกอล์ฟวพอ. ปี 2569")</f>
        <v>ซ้อม การแสดงงานกอล์ฟวพอ. ปี 2569</v>
      </c>
      <c r="I514" s="3" t="str">
        <f>IFERROR(__xludf.DUMMYFUNCTION("""COMPUTED_VALUE"""),"วพอ.พอ.")</f>
        <v>วพอ.พอ.</v>
      </c>
      <c r="J514" s="12">
        <f>IFERROR(__xludf.DUMMYFUNCTION("""COMPUTED_VALUE"""),46065.0)</f>
        <v>46065</v>
      </c>
      <c r="K514" s="3" t="str">
        <f>IFERROR(__xludf.DUMMYFUNCTION("""COMPUTED_VALUE"""),"1830-2030")</f>
        <v>1830-2030</v>
      </c>
      <c r="L514" s="3">
        <f>IFERROR(__xludf.DUMMYFUNCTION("""COMPUTED_VALUE"""),2.0)</f>
        <v>2</v>
      </c>
      <c r="M514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14" s="14" t="str">
        <f>IFERROR(__xludf.DUMMYFUNCTION("""COMPUTED_VALUE"""),"https://lh5.googleusercontent.com/d/1pq25t70QFqlcOWVFqay8eUcOg-BJgNt7")</f>
        <v>https://lh5.googleusercontent.com/d/1pq25t70QFqlcOWVFqay8eUcOg-BJgNt7</v>
      </c>
      <c r="O514" s="14" t="str">
        <f>IFERROR(__xludf.DUMMYFUNCTION("""COMPUTED_VALUE"""),"https://drive.google.com/file/d/18AfS7Ni7dkqww5BqCO6qAoXj89S1C2IO/view?usp=drivesdk")</f>
        <v>https://drive.google.com/file/d/18AfS7Ni7dkqww5BqCO6qAoXj89S1C2IO/view?usp=drivesdk</v>
      </c>
    </row>
    <row r="515">
      <c r="A515" s="3">
        <f>IFERROR(__xludf.DUMMYFUNCTION("""COMPUTED_VALUE"""),2081.0)</f>
        <v>2081</v>
      </c>
      <c r="B515" s="11">
        <f>IFERROR(__xludf.DUMMYFUNCTION("""COMPUTED_VALUE"""),46153.58316505787)</f>
        <v>46153.58317</v>
      </c>
      <c r="C515" s="3" t="str">
        <f>IFERROR(__xludf.DUMMYFUNCTION("""COMPUTED_VALUE"""),"ชั้นปีที่ 3")</f>
        <v>ชั้นปีที่ 3</v>
      </c>
      <c r="D515" s="3" t="str">
        <f>IFERROR(__xludf.DUMMYFUNCTION("""COMPUTED_VALUE"""),"6603811")</f>
        <v>6603811</v>
      </c>
      <c r="E515" s="3" t="str">
        <f>IFERROR(__xludf.DUMMYFUNCTION("""COMPUTED_VALUE"""),"57")</f>
        <v>57</v>
      </c>
      <c r="F515" s="3" t="str">
        <f>IFERROR(__xludf.DUMMYFUNCTION("""COMPUTED_VALUE"""),"นพอ.สุภานัน ธรรมรักษา")</f>
        <v>นพอ.สุภานัน ธรรมรักษา</v>
      </c>
      <c r="G5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5" s="3" t="str">
        <f>IFERROR(__xludf.DUMMYFUNCTION("""COMPUTED_VALUE"""),"การแสดงงานกอล์ฟวพอ. ปี 2569")</f>
        <v>การแสดงงานกอล์ฟวพอ. ปี 2569</v>
      </c>
      <c r="I515" s="3" t="str">
        <f>IFERROR(__xludf.DUMMYFUNCTION("""COMPUTED_VALUE"""),"สนามกอล์ฟธูปะเตมีย์")</f>
        <v>สนามกอล์ฟธูปะเตมีย์</v>
      </c>
      <c r="J515" s="12">
        <f>IFERROR(__xludf.DUMMYFUNCTION("""COMPUTED_VALUE"""),46066.0)</f>
        <v>46066</v>
      </c>
      <c r="K515" s="3" t="str">
        <f>IFERROR(__xludf.DUMMYFUNCTION("""COMPUTED_VALUE"""),"1600-2000")</f>
        <v>1600-2000</v>
      </c>
      <c r="L515" s="3">
        <f>IFERROR(__xludf.DUMMYFUNCTION("""COMPUTED_VALUE"""),4.0)</f>
        <v>4</v>
      </c>
      <c r="M515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15" s="14" t="str">
        <f>IFERROR(__xludf.DUMMYFUNCTION("""COMPUTED_VALUE"""),"https://lh5.googleusercontent.com/d/1bcRQ3wQtHD_HB49ksppAyzSaRDCgAWJc")</f>
        <v>https://lh5.googleusercontent.com/d/1bcRQ3wQtHD_HB49ksppAyzSaRDCgAWJc</v>
      </c>
      <c r="O515" s="14" t="str">
        <f>IFERROR(__xludf.DUMMYFUNCTION("""COMPUTED_VALUE"""),"https://drive.google.com/file/d/1fYBCxLnGw0Gaw04RYvZHPUzFI-qW-mip/view?usp=drivesdk")</f>
        <v>https://drive.google.com/file/d/1fYBCxLnGw0Gaw04RYvZHPUzFI-qW-mip/view?usp=drivesdk</v>
      </c>
    </row>
    <row r="516">
      <c r="A516" s="3">
        <f>IFERROR(__xludf.DUMMYFUNCTION("""COMPUTED_VALUE"""),2082.0)</f>
        <v>2082</v>
      </c>
      <c r="B516" s="11">
        <f>IFERROR(__xludf.DUMMYFUNCTION("""COMPUTED_VALUE"""),46153.68679969908)</f>
        <v>46153.6868</v>
      </c>
      <c r="C516" s="3" t="str">
        <f>IFERROR(__xludf.DUMMYFUNCTION("""COMPUTED_VALUE"""),"ชั้นปีที่ 3")</f>
        <v>ชั้นปีที่ 3</v>
      </c>
      <c r="D516" s="3" t="str">
        <f>IFERROR(__xludf.DUMMYFUNCTION("""COMPUTED_VALUE"""),"6603796")</f>
        <v>6603796</v>
      </c>
      <c r="E516" s="3" t="str">
        <f>IFERROR(__xludf.DUMMYFUNCTION("""COMPUTED_VALUE"""),"42")</f>
        <v>42</v>
      </c>
      <c r="F516" s="3" t="str">
        <f>IFERROR(__xludf.DUMMYFUNCTION("""COMPUTED_VALUE"""),"นพอ.พิมพ์พิศา ไพศาลมรกต")</f>
        <v>นพอ.พิมพ์พิศา ไพศาลมรกต</v>
      </c>
      <c r="G51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16" s="3" t="str">
        <f>IFERROR(__xludf.DUMMYFUNCTION("""COMPUTED_VALUE"""),"บริจาคเลือด")</f>
        <v>บริจาคเลือด</v>
      </c>
      <c r="I516" s="3" t="str">
        <f>IFERROR(__xludf.DUMMYFUNCTION("""COMPUTED_VALUE"""),"รพ.ภูมิพล")</f>
        <v>รพ.ภูมิพล</v>
      </c>
      <c r="J516" s="12">
        <f>IFERROR(__xludf.DUMMYFUNCTION("""COMPUTED_VALUE"""),46077.0)</f>
        <v>46077</v>
      </c>
      <c r="K516" s="3" t="str">
        <f>IFERROR(__xludf.DUMMYFUNCTION("""COMPUTED_VALUE"""),"0800-1600")</f>
        <v>0800-1600</v>
      </c>
      <c r="L516" s="3">
        <f>IFERROR(__xludf.DUMMYFUNCTION("""COMPUTED_VALUE"""),8.0)</f>
        <v>8</v>
      </c>
      <c r="M516" s="3" t="str">
        <f>IFERROR(__xludf.DUMMYFUNCTION("""COMPUTED_VALUE"""),"น.ท.หญิง ขวัญชนก พ่วงนาคพันธุ์")</f>
        <v>น.ท.หญิง ขวัญชนก พ่วงนาคพันธุ์</v>
      </c>
      <c r="N516" s="14" t="str">
        <f>IFERROR(__xludf.DUMMYFUNCTION("""COMPUTED_VALUE"""),"https://lh5.googleusercontent.com/d/1o8yPGaxtoDck6oJYyQRpbFnMHhNDUaYm")</f>
        <v>https://lh5.googleusercontent.com/d/1o8yPGaxtoDck6oJYyQRpbFnMHhNDUaYm</v>
      </c>
      <c r="O516" s="14" t="str">
        <f>IFERROR(__xludf.DUMMYFUNCTION("""COMPUTED_VALUE"""),"https://drive.google.com/file/d/1VIAEG1aeMo4tByYKE1kZyXBAQtlh-E9R/view?usp=drivesdk")</f>
        <v>https://drive.google.com/file/d/1VIAEG1aeMo4tByYKE1kZyXBAQtlh-E9R/view?usp=drivesdk</v>
      </c>
    </row>
    <row r="517">
      <c r="A517" s="3">
        <f>IFERROR(__xludf.DUMMYFUNCTION("""COMPUTED_VALUE"""),2083.0)</f>
        <v>2083</v>
      </c>
      <c r="B517" s="11">
        <f>IFERROR(__xludf.DUMMYFUNCTION("""COMPUTED_VALUE"""),46153.691965983795)</f>
        <v>46153.69197</v>
      </c>
      <c r="C517" s="3" t="str">
        <f>IFERROR(__xludf.DUMMYFUNCTION("""COMPUTED_VALUE"""),"ชั้นปีที่ 3")</f>
        <v>ชั้นปีที่ 3</v>
      </c>
      <c r="D517" s="3" t="str">
        <f>IFERROR(__xludf.DUMMYFUNCTION("""COMPUTED_VALUE"""),"6603796")</f>
        <v>6603796</v>
      </c>
      <c r="E517" s="3" t="str">
        <f>IFERROR(__xludf.DUMMYFUNCTION("""COMPUTED_VALUE"""),"42")</f>
        <v>42</v>
      </c>
      <c r="F517" s="3" t="str">
        <f>IFERROR(__xludf.DUMMYFUNCTION("""COMPUTED_VALUE"""),"นพอ.พิมพ์พิศา ไพศาลมรกต")</f>
        <v>นพอ.พิมพ์พิศา ไพศาลมรกต</v>
      </c>
      <c r="G51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17" s="3" t="str">
        <f>IFERROR(__xludf.DUMMYFUNCTION("""COMPUTED_VALUE"""),"บริจาคเลือด")</f>
        <v>บริจาคเลือด</v>
      </c>
      <c r="I517" s="3" t="str">
        <f>IFERROR(__xludf.DUMMYFUNCTION("""COMPUTED_VALUE"""),"รพ.ภูมิพล")</f>
        <v>รพ.ภูมิพล</v>
      </c>
      <c r="J517" s="12">
        <f>IFERROR(__xludf.DUMMYFUNCTION("""COMPUTED_VALUE"""),46153.0)</f>
        <v>46153</v>
      </c>
      <c r="K517" s="3" t="str">
        <f>IFERROR(__xludf.DUMMYFUNCTION("""COMPUTED_VALUE"""),"0800-1600")</f>
        <v>0800-1600</v>
      </c>
      <c r="L517" s="3">
        <f>IFERROR(__xludf.DUMMYFUNCTION("""COMPUTED_VALUE"""),8.0)</f>
        <v>8</v>
      </c>
      <c r="M517" s="3" t="str">
        <f>IFERROR(__xludf.DUMMYFUNCTION("""COMPUTED_VALUE"""),"น.ท.หญิง ขวัญชนก พ่วงนาคพันธุ์")</f>
        <v>น.ท.หญิง ขวัญชนก พ่วงนาคพันธุ์</v>
      </c>
      <c r="N517" s="14" t="str">
        <f>IFERROR(__xludf.DUMMYFUNCTION("""COMPUTED_VALUE"""),"https://lh5.googleusercontent.com/d/19RIBDXOc3aRohu2-mEmSwSf2gEaZtlB3")</f>
        <v>https://lh5.googleusercontent.com/d/19RIBDXOc3aRohu2-mEmSwSf2gEaZtlB3</v>
      </c>
      <c r="O517" s="14" t="str">
        <f>IFERROR(__xludf.DUMMYFUNCTION("""COMPUTED_VALUE"""),"https://drive.google.com/file/d/1X9knYF0QRfbsi8VhzAGqSKbikTuxPeGv/view?usp=drivesdk")</f>
        <v>https://drive.google.com/file/d/1X9knYF0QRfbsi8VhzAGqSKbikTuxPeGv/view?usp=drivesdk</v>
      </c>
    </row>
    <row r="518">
      <c r="A518" s="3">
        <f>IFERROR(__xludf.DUMMYFUNCTION("""COMPUTED_VALUE"""),2091.0)</f>
        <v>2091</v>
      </c>
      <c r="B518" s="11">
        <f>IFERROR(__xludf.DUMMYFUNCTION("""COMPUTED_VALUE"""),46160.36940681713)</f>
        <v>46160.36941</v>
      </c>
      <c r="C518" s="3" t="str">
        <f>IFERROR(__xludf.DUMMYFUNCTION("""COMPUTED_VALUE"""),"ชั้นปีที่ 3")</f>
        <v>ชั้นปีที่ 3</v>
      </c>
      <c r="D518" s="3" t="str">
        <f>IFERROR(__xludf.DUMMYFUNCTION("""COMPUTED_VALUE"""),"6603793")</f>
        <v>6603793</v>
      </c>
      <c r="E518" s="3" t="str">
        <f>IFERROR(__xludf.DUMMYFUNCTION("""COMPUTED_VALUE"""),"39")</f>
        <v>39</v>
      </c>
      <c r="F518" s="3" t="str">
        <f>IFERROR(__xludf.DUMMYFUNCTION("""COMPUTED_VALUE"""),"นพอ.พิชญาภัค สุวรรณสาม")</f>
        <v>นพอ.พิชญาภัค สุวรรณสาม</v>
      </c>
      <c r="G518" s="3" t="str">
        <f>IFERROR(__xludf.DUMMYFUNCTION("""COMPUTED_VALUE"""),"ช่วยเหลืองานภายใน วพอ.")</f>
        <v>ช่วยเหลืองานภายใน วพอ.</v>
      </c>
      <c r="H518" s="3" t="str">
        <f>IFERROR(__xludf.DUMMYFUNCTION("""COMPUTED_VALUE"""),"ต้อนรับคณะดูงานจาก วพร.ทร.")</f>
        <v>ต้อนรับคณะดูงานจาก วพร.ทร.</v>
      </c>
      <c r="I518" s="3" t="str">
        <f>IFERROR(__xludf.DUMMYFUNCTION("""COMPUTED_VALUE"""),"วพอ.พอ")</f>
        <v>วพอ.พอ</v>
      </c>
      <c r="J518" s="12">
        <f>IFERROR(__xludf.DUMMYFUNCTION("""COMPUTED_VALUE"""),46064.0)</f>
        <v>46064</v>
      </c>
      <c r="K518" s="3" t="str">
        <f>IFERROR(__xludf.DUMMYFUNCTION("""COMPUTED_VALUE"""),"0800-1200")</f>
        <v>0800-1200</v>
      </c>
      <c r="L518" s="3">
        <f>IFERROR(__xludf.DUMMYFUNCTION("""COMPUTED_VALUE"""),4.0)</f>
        <v>4</v>
      </c>
      <c r="M518" s="3" t="str">
        <f>IFERROR(__xludf.DUMMYFUNCTION("""COMPUTED_VALUE"""),"น.ท.หญิง ลักษ์ขณา พาณิชสรรค์")</f>
        <v>น.ท.หญิง ลักษ์ขณา พาณิชสรรค์</v>
      </c>
      <c r="N518" s="14" t="str">
        <f>IFERROR(__xludf.DUMMYFUNCTION("""COMPUTED_VALUE"""),"https://lh5.googleusercontent.com/d/1tdwIKqurYfSBKSRQVB7GnnHEYDqwCD1t")</f>
        <v>https://lh5.googleusercontent.com/d/1tdwIKqurYfSBKSRQVB7GnnHEYDqwCD1t</v>
      </c>
      <c r="O518" s="14" t="str">
        <f>IFERROR(__xludf.DUMMYFUNCTION("""COMPUTED_VALUE"""),"https://drive.google.com/file/d/1s7VliX--FMJ4F40Q6dtmm-gYPWvtLvC5/view?usp=drivesdk")</f>
        <v>https://drive.google.com/file/d/1s7VliX--FMJ4F40Q6dtmm-gYPWvtLvC5/view?usp=drivesdk</v>
      </c>
    </row>
    <row r="519">
      <c r="A519" s="3">
        <f>IFERROR(__xludf.DUMMYFUNCTION("""COMPUTED_VALUE"""),2092.0)</f>
        <v>2092</v>
      </c>
      <c r="B519" s="11">
        <f>IFERROR(__xludf.DUMMYFUNCTION("""COMPUTED_VALUE"""),46160.37308725694)</f>
        <v>46160.37309</v>
      </c>
      <c r="C519" s="3" t="str">
        <f>IFERROR(__xludf.DUMMYFUNCTION("""COMPUTED_VALUE"""),"ชั้นปีที่ 3")</f>
        <v>ชั้นปีที่ 3</v>
      </c>
      <c r="D519" s="3" t="str">
        <f>IFERROR(__xludf.DUMMYFUNCTION("""COMPUTED_VALUE"""),"6603793")</f>
        <v>6603793</v>
      </c>
      <c r="E519" s="3" t="str">
        <f>IFERROR(__xludf.DUMMYFUNCTION("""COMPUTED_VALUE"""),"39")</f>
        <v>39</v>
      </c>
      <c r="F519" s="3" t="str">
        <f>IFERROR(__xludf.DUMMYFUNCTION("""COMPUTED_VALUE"""),"นพอ.พิชญาภัค สุวรรณสาม")</f>
        <v>นพอ.พิชญาภัค สุวรรณสาม</v>
      </c>
      <c r="G519" s="3" t="str">
        <f>IFERROR(__xludf.DUMMYFUNCTION("""COMPUTED_VALUE"""),"ช่วยเหลืองานภายใน วพอ.")</f>
        <v>ช่วยเหลืองานภายใน วพอ.</v>
      </c>
      <c r="H519" s="3" t="str">
        <f>IFERROR(__xludf.DUMMYFUNCTION("""COMPUTED_VALUE"""),"เตรียมงานนภาภิบาล")</f>
        <v>เตรียมงานนภาภิบาล</v>
      </c>
      <c r="I519" s="3" t="str">
        <f>IFERROR(__xludf.DUMMYFUNCTION("""COMPUTED_VALUE"""),"วพอ.พอ.")</f>
        <v>วพอ.พอ.</v>
      </c>
      <c r="J519" s="12">
        <f>IFERROR(__xludf.DUMMYFUNCTION("""COMPUTED_VALUE"""),46131.0)</f>
        <v>46131</v>
      </c>
      <c r="K519" s="3" t="str">
        <f>IFERROR(__xludf.DUMMYFUNCTION("""COMPUTED_VALUE"""),"0800-1200")</f>
        <v>0800-1200</v>
      </c>
      <c r="L519" s="3">
        <f>IFERROR(__xludf.DUMMYFUNCTION("""COMPUTED_VALUE"""),4.0)</f>
        <v>4</v>
      </c>
      <c r="M519" s="3" t="str">
        <f>IFERROR(__xludf.DUMMYFUNCTION("""COMPUTED_VALUE"""),"ร.อ.อนุชิต ทำจะดี")</f>
        <v>ร.อ.อนุชิต ทำจะดี</v>
      </c>
      <c r="N519" s="3"/>
      <c r="O519" s="14" t="str">
        <f>IFERROR(__xludf.DUMMYFUNCTION("""COMPUTED_VALUE"""),"https://drive.google.com/file/d/1cXGBiu1Jd7eqjzizds_9XIsUuWtE27oA/view?usp=drivesdk")</f>
        <v>https://drive.google.com/file/d/1cXGBiu1Jd7eqjzizds_9XIsUuWtE27oA/view?usp=drivesdk</v>
      </c>
    </row>
    <row r="520">
      <c r="A520" s="3">
        <f>IFERROR(__xludf.DUMMYFUNCTION("""COMPUTED_VALUE"""),2093.0)</f>
        <v>2093</v>
      </c>
      <c r="B520" s="11">
        <f>IFERROR(__xludf.DUMMYFUNCTION("""COMPUTED_VALUE"""),46160.37507126157)</f>
        <v>46160.37507</v>
      </c>
      <c r="C520" s="3" t="str">
        <f>IFERROR(__xludf.DUMMYFUNCTION("""COMPUTED_VALUE"""),"ชั้นปีที่ 3")</f>
        <v>ชั้นปีที่ 3</v>
      </c>
      <c r="D520" s="3" t="str">
        <f>IFERROR(__xludf.DUMMYFUNCTION("""COMPUTED_VALUE"""),"6603793")</f>
        <v>6603793</v>
      </c>
      <c r="E520" s="3" t="str">
        <f>IFERROR(__xludf.DUMMYFUNCTION("""COMPUTED_VALUE"""),"39")</f>
        <v>39</v>
      </c>
      <c r="F520" s="3" t="str">
        <f>IFERROR(__xludf.DUMMYFUNCTION("""COMPUTED_VALUE"""),"นพอ.พิชญาภัค สุวรรณสาม")</f>
        <v>นพอ.พิชญาภัค สุวรรณสาม</v>
      </c>
      <c r="G520" s="3" t="str">
        <f>IFERROR(__xludf.DUMMYFUNCTION("""COMPUTED_VALUE"""),"ช่วยเหลืองานภายใน วพอ.")</f>
        <v>ช่วยเหลืองานภายใน วพอ.</v>
      </c>
      <c r="H520" s="3" t="str">
        <f>IFERROR(__xludf.DUMMYFUNCTION("""COMPUTED_VALUE"""),"งานพิธีมอบหมวกพยาบาลวิชาชีพ ปีการศึกษา 2568(ฝ่ายลงทะเบียนและอาหาร)")</f>
        <v>งานพิธีมอบหมวกพยาบาลวิชาชีพ ปีการศึกษา 2568(ฝ่ายลงทะเบียนและอาหาร)</v>
      </c>
      <c r="I520" s="3" t="str">
        <f>IFERROR(__xludf.DUMMYFUNCTION("""COMPUTED_VALUE"""),"ห้องประชุมธูปะเตมีย์ รพ.ภูมิพลอดุลยเดช")</f>
        <v>ห้องประชุมธูปะเตมีย์ รพ.ภูมิพลอดุลยเดช</v>
      </c>
      <c r="J520" s="12">
        <f>IFERROR(__xludf.DUMMYFUNCTION("""COMPUTED_VALUE"""),46140.0)</f>
        <v>46140</v>
      </c>
      <c r="K520" s="3" t="str">
        <f>IFERROR(__xludf.DUMMYFUNCTION("""COMPUTED_VALUE"""),"0800-1200")</f>
        <v>0800-1200</v>
      </c>
      <c r="L520" s="3">
        <f>IFERROR(__xludf.DUMMYFUNCTION("""COMPUTED_VALUE"""),4.0)</f>
        <v>4</v>
      </c>
      <c r="M520" s="3" t="str">
        <f>IFERROR(__xludf.DUMMYFUNCTION("""COMPUTED_VALUE"""),"ร.อ.อนุชิต ทำจะดี")</f>
        <v>ร.อ.อนุชิต ทำจะดี</v>
      </c>
      <c r="N520" s="14" t="str">
        <f>IFERROR(__xludf.DUMMYFUNCTION("""COMPUTED_VALUE"""),"https://lh5.googleusercontent.com/d/1BrN7waJGYNAo_3EQkwGQBOvvP77SwqY7")</f>
        <v>https://lh5.googleusercontent.com/d/1BrN7waJGYNAo_3EQkwGQBOvvP77SwqY7</v>
      </c>
      <c r="O520" s="14" t="str">
        <f>IFERROR(__xludf.DUMMYFUNCTION("""COMPUTED_VALUE"""),"https://drive.google.com/file/d/13ko6oon8spfyKVwHsKbU7AH5DfmkOfzf/view?usp=drivesdk")</f>
        <v>https://drive.google.com/file/d/13ko6oon8spfyKVwHsKbU7AH5DfmkOfzf/view?usp=drivesdk</v>
      </c>
    </row>
    <row r="521">
      <c r="A521" s="3">
        <f>IFERROR(__xludf.DUMMYFUNCTION("""COMPUTED_VALUE"""),2094.0)</f>
        <v>2094</v>
      </c>
      <c r="B521" s="11">
        <f>IFERROR(__xludf.DUMMYFUNCTION("""COMPUTED_VALUE"""),46160.37769027778)</f>
        <v>46160.37769</v>
      </c>
      <c r="C521" s="3" t="str">
        <f>IFERROR(__xludf.DUMMYFUNCTION("""COMPUTED_VALUE"""),"ชั้นปีที่ 3")</f>
        <v>ชั้นปีที่ 3</v>
      </c>
      <c r="D521" s="3" t="str">
        <f>IFERROR(__xludf.DUMMYFUNCTION("""COMPUTED_VALUE"""),"6603793")</f>
        <v>6603793</v>
      </c>
      <c r="E521" s="3" t="str">
        <f>IFERROR(__xludf.DUMMYFUNCTION("""COMPUTED_VALUE"""),"39")</f>
        <v>39</v>
      </c>
      <c r="F521" s="3" t="str">
        <f>IFERROR(__xludf.DUMMYFUNCTION("""COMPUTED_VALUE"""),"นพอ.พิชญาภัค สุวรรณสาม")</f>
        <v>นพอ.พิชญาภัค สุวรรณสาม</v>
      </c>
      <c r="G521" s="3" t="str">
        <f>IFERROR(__xludf.DUMMYFUNCTION("""COMPUTED_VALUE"""),"ช่วยเหลืองานภายใน วพอ.")</f>
        <v>ช่วยเหลืองานภายใน วพอ.</v>
      </c>
      <c r="H521" s="3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521" s="3" t="str">
        <f>IFERROR(__xludf.DUMMYFUNCTION("""COMPUTED_VALUE"""),"วพอ.พอ.")</f>
        <v>วพอ.พอ.</v>
      </c>
      <c r="J521" s="12">
        <f>IFERROR(__xludf.DUMMYFUNCTION("""COMPUTED_VALUE"""),46057.0)</f>
        <v>46057</v>
      </c>
      <c r="K521" s="3" t="str">
        <f>IFERROR(__xludf.DUMMYFUNCTION("""COMPUTED_VALUE"""),"0800-1600")</f>
        <v>0800-1600</v>
      </c>
      <c r="L521" s="3">
        <f>IFERROR(__xludf.DUMMYFUNCTION("""COMPUTED_VALUE"""),8.0)</f>
        <v>8</v>
      </c>
      <c r="M521" s="3" t="str">
        <f>IFERROR(__xludf.DUMMYFUNCTION("""COMPUTED_VALUE"""),"ร.อ.อนุชิต ทำจะดี")</f>
        <v>ร.อ.อนุชิต ทำจะดี</v>
      </c>
      <c r="N521" s="14" t="str">
        <f>IFERROR(__xludf.DUMMYFUNCTION("""COMPUTED_VALUE"""),"https://lh5.googleusercontent.com/d/18hLYnpsxoXyMYNJ7oePGrwlDkeC5pxQ9")</f>
        <v>https://lh5.googleusercontent.com/d/18hLYnpsxoXyMYNJ7oePGrwlDkeC5pxQ9</v>
      </c>
      <c r="O521" s="14" t="str">
        <f>IFERROR(__xludf.DUMMYFUNCTION("""COMPUTED_VALUE"""),"https://drive.google.com/file/d/1rjDcLFL6ZewZBbhjLnsPo6H02861aa6f/view?usp=drivesdk")</f>
        <v>https://drive.google.com/file/d/1rjDcLFL6ZewZBbhjLnsPo6H02861aa6f/view?usp=drivesdk</v>
      </c>
    </row>
    <row r="522">
      <c r="A522" s="3">
        <f>IFERROR(__xludf.DUMMYFUNCTION("""COMPUTED_VALUE"""),2095.0)</f>
        <v>2095</v>
      </c>
      <c r="B522" s="11">
        <f>IFERROR(__xludf.DUMMYFUNCTION("""COMPUTED_VALUE"""),46160.37916413195)</f>
        <v>46160.37916</v>
      </c>
      <c r="C522" s="3" t="str">
        <f>IFERROR(__xludf.DUMMYFUNCTION("""COMPUTED_VALUE"""),"ชั้นปีที่ 3")</f>
        <v>ชั้นปีที่ 3</v>
      </c>
      <c r="D522" s="3" t="str">
        <f>IFERROR(__xludf.DUMMYFUNCTION("""COMPUTED_VALUE"""),"6603793")</f>
        <v>6603793</v>
      </c>
      <c r="E522" s="3" t="str">
        <f>IFERROR(__xludf.DUMMYFUNCTION("""COMPUTED_VALUE"""),"39")</f>
        <v>39</v>
      </c>
      <c r="F522" s="3" t="str">
        <f>IFERROR(__xludf.DUMMYFUNCTION("""COMPUTED_VALUE"""),"นพอ.พิชญาภัค สุวรรณสาม")</f>
        <v>นพอ.พิชญาภัค สุวรรณสาม</v>
      </c>
      <c r="G522" s="3" t="str">
        <f>IFERROR(__xludf.DUMMYFUNCTION("""COMPUTED_VALUE"""),"ช่วยเหลืองานภายใน วพอ.")</f>
        <v>ช่วยเหลืองานภายใน วพอ.</v>
      </c>
      <c r="H522" s="3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522" s="3" t="str">
        <f>IFERROR(__xludf.DUMMYFUNCTION("""COMPUTED_VALUE"""),"วพอ.พอ.")</f>
        <v>วพอ.พอ.</v>
      </c>
      <c r="J522" s="12">
        <f>IFERROR(__xludf.DUMMYFUNCTION("""COMPUTED_VALUE"""),46071.0)</f>
        <v>46071</v>
      </c>
      <c r="K522" s="3" t="str">
        <f>IFERROR(__xludf.DUMMYFUNCTION("""COMPUTED_VALUE"""),"0800-1600")</f>
        <v>0800-1600</v>
      </c>
      <c r="L522" s="3">
        <f>IFERROR(__xludf.DUMMYFUNCTION("""COMPUTED_VALUE"""),8.0)</f>
        <v>8</v>
      </c>
      <c r="M522" s="3" t="str">
        <f>IFERROR(__xludf.DUMMYFUNCTION("""COMPUTED_VALUE"""),"ร.อ.อนุชิต ทำจะดี")</f>
        <v>ร.อ.อนุชิต ทำจะดี</v>
      </c>
      <c r="N522" s="14" t="str">
        <f>IFERROR(__xludf.DUMMYFUNCTION("""COMPUTED_VALUE"""),"https://lh5.googleusercontent.com/d/1rOxcdxU61T_-IVbG5jfe087N3rvmtiTr")</f>
        <v>https://lh5.googleusercontent.com/d/1rOxcdxU61T_-IVbG5jfe087N3rvmtiTr</v>
      </c>
      <c r="O522" s="14" t="str">
        <f>IFERROR(__xludf.DUMMYFUNCTION("""COMPUTED_VALUE"""),"https://drive.google.com/file/d/1aouT-pvcIbaXFglSomlUjHQn2rDWlf-3/view?usp=drivesdk")</f>
        <v>https://drive.google.com/file/d/1aouT-pvcIbaXFglSomlUjHQn2rDWlf-3/view?usp=drivesdk</v>
      </c>
    </row>
    <row r="523">
      <c r="A523" s="3">
        <f>IFERROR(__xludf.DUMMYFUNCTION("""COMPUTED_VALUE"""),2096.0)</f>
        <v>2096</v>
      </c>
      <c r="B523" s="11">
        <f>IFERROR(__xludf.DUMMYFUNCTION("""COMPUTED_VALUE"""),46160.38034960648)</f>
        <v>46160.38035</v>
      </c>
      <c r="C523" s="3" t="str">
        <f>IFERROR(__xludf.DUMMYFUNCTION("""COMPUTED_VALUE"""),"ชั้นปีที่ 3")</f>
        <v>ชั้นปีที่ 3</v>
      </c>
      <c r="D523" s="3" t="str">
        <f>IFERROR(__xludf.DUMMYFUNCTION("""COMPUTED_VALUE"""),"6603793")</f>
        <v>6603793</v>
      </c>
      <c r="E523" s="3" t="str">
        <f>IFERROR(__xludf.DUMMYFUNCTION("""COMPUTED_VALUE"""),"39")</f>
        <v>39</v>
      </c>
      <c r="F523" s="3" t="str">
        <f>IFERROR(__xludf.DUMMYFUNCTION("""COMPUTED_VALUE"""),"นพอ.พิชญาภัค สุวรรณสาม")</f>
        <v>นพอ.พิชญาภัค สุวรรณสาม</v>
      </c>
      <c r="G523" s="3" t="str">
        <f>IFERROR(__xludf.DUMMYFUNCTION("""COMPUTED_VALUE"""),"ช่วยเหลืองานภายใน วพอ.")</f>
        <v>ช่วยเหลืองานภายใน วพอ.</v>
      </c>
      <c r="H523" s="3" t="str">
        <f>IFERROR(__xludf.DUMMYFUNCTION("""COMPUTED_VALUE"""),"ทำการแทนนักเรียนบังคับบัญชา")</f>
        <v>ทำการแทนนักเรียนบังคับบัญชา</v>
      </c>
      <c r="I523" s="3" t="str">
        <f>IFERROR(__xludf.DUMMYFUNCTION("""COMPUTED_VALUE"""),"วพอ.พอ.")</f>
        <v>วพอ.พอ.</v>
      </c>
      <c r="J523" s="12">
        <f>IFERROR(__xludf.DUMMYFUNCTION("""COMPUTED_VALUE"""),46106.0)</f>
        <v>46106</v>
      </c>
      <c r="K523" s="3" t="str">
        <f>IFERROR(__xludf.DUMMYFUNCTION("""COMPUTED_VALUE"""),"0800-1200")</f>
        <v>0800-1200</v>
      </c>
      <c r="L523" s="3">
        <f>IFERROR(__xludf.DUMMYFUNCTION("""COMPUTED_VALUE"""),4.0)</f>
        <v>4</v>
      </c>
      <c r="M523" s="3" t="str">
        <f>IFERROR(__xludf.DUMMYFUNCTION("""COMPUTED_VALUE"""),"ร.อ.อนุชิต ทำจะดี")</f>
        <v>ร.อ.อนุชิต ทำจะดี</v>
      </c>
      <c r="N523" s="14" t="str">
        <f>IFERROR(__xludf.DUMMYFUNCTION("""COMPUTED_VALUE"""),"https://lh5.googleusercontent.com/d/1AfWjBeRFbO33ACecVFYGn04-ETPVZBL6")</f>
        <v>https://lh5.googleusercontent.com/d/1AfWjBeRFbO33ACecVFYGn04-ETPVZBL6</v>
      </c>
      <c r="O523" s="14" t="str">
        <f>IFERROR(__xludf.DUMMYFUNCTION("""COMPUTED_VALUE"""),"https://drive.google.com/file/d/1h3osPSzuK-l8oPeIeW3KnSoH2EHaSiNB/view?usp=drivesdk")</f>
        <v>https://drive.google.com/file/d/1h3osPSzuK-l8oPeIeW3KnSoH2EHaSiNB/view?usp=drivesdk</v>
      </c>
    </row>
    <row r="524">
      <c r="A524" s="3">
        <f>IFERROR(__xludf.DUMMYFUNCTION("""COMPUTED_VALUE"""),2097.0)</f>
        <v>2097</v>
      </c>
      <c r="B524" s="11">
        <f>IFERROR(__xludf.DUMMYFUNCTION("""COMPUTED_VALUE"""),46161.670421979165)</f>
        <v>46161.67042</v>
      </c>
      <c r="C524" s="3" t="str">
        <f>IFERROR(__xludf.DUMMYFUNCTION("""COMPUTED_VALUE"""),"ชั้นปีที่ 3")</f>
        <v>ชั้นปีที่ 3</v>
      </c>
      <c r="D524" s="3" t="str">
        <f>IFERROR(__xludf.DUMMYFUNCTION("""COMPUTED_VALUE"""),"6603799")</f>
        <v>6603799</v>
      </c>
      <c r="E524" s="3" t="str">
        <f>IFERROR(__xludf.DUMMYFUNCTION("""COMPUTED_VALUE"""),"45")</f>
        <v>45</v>
      </c>
      <c r="F524" s="3" t="str">
        <f>IFERROR(__xludf.DUMMYFUNCTION("""COMPUTED_VALUE"""),"นพอ.วรัญญา สุวรรณ")</f>
        <v>นพอ.วรัญญา สุวรรณ</v>
      </c>
      <c r="G52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24" s="3" t="str">
        <f>IFERROR(__xludf.DUMMYFUNCTION("""COMPUTED_VALUE"""),"บริจาคโลหิต")</f>
        <v>บริจาคโลหิต</v>
      </c>
      <c r="I524" s="3" t="str">
        <f>IFERROR(__xludf.DUMMYFUNCTION("""COMPUTED_VALUE"""),"กองโลหิตโรงพยาบาลภูมิพล")</f>
        <v>กองโลหิตโรงพยาบาลภูมิพล</v>
      </c>
      <c r="J524" s="12">
        <f>IFERROR(__xludf.DUMMYFUNCTION("""COMPUTED_VALUE"""),46153.0)</f>
        <v>46153</v>
      </c>
      <c r="K524" s="3" t="str">
        <f>IFERROR(__xludf.DUMMYFUNCTION("""COMPUTED_VALUE"""),"1100-1200")</f>
        <v>1100-1200</v>
      </c>
      <c r="L524" s="3">
        <f>IFERROR(__xludf.DUMMYFUNCTION("""COMPUTED_VALUE"""),8.0)</f>
        <v>8</v>
      </c>
      <c r="M524" s="3" t="str">
        <f>IFERROR(__xludf.DUMMYFUNCTION("""COMPUTED_VALUE"""),"ร.อ. อนุชิต ทำจะดี")</f>
        <v>ร.อ. อนุชิต ทำจะดี</v>
      </c>
      <c r="N524" s="14" t="str">
        <f>IFERROR(__xludf.DUMMYFUNCTION("""COMPUTED_VALUE"""),"https://lh5.googleusercontent.com/d/1Z76oICF3nPMnhtTV-JtsKKoTxvogWLzx")</f>
        <v>https://lh5.googleusercontent.com/d/1Z76oICF3nPMnhtTV-JtsKKoTxvogWLzx</v>
      </c>
      <c r="O524" s="14" t="str">
        <f>IFERROR(__xludf.DUMMYFUNCTION("""COMPUTED_VALUE"""),"https://drive.google.com/file/d/1tbr2Xlj8KjVcu2aJCRZ_0EOLTOtQcpZu/view?usp=drivesdk")</f>
        <v>https://drive.google.com/file/d/1tbr2Xlj8KjVcu2aJCRZ_0EOLTOtQcpZu/view?usp=drivesdk</v>
      </c>
    </row>
    <row r="525">
      <c r="A525" s="3">
        <f>IFERROR(__xludf.DUMMYFUNCTION("""COMPUTED_VALUE"""),2098.0)</f>
        <v>2098</v>
      </c>
      <c r="B525" s="11">
        <f>IFERROR(__xludf.DUMMYFUNCTION("""COMPUTED_VALUE"""),46161.79277702546)</f>
        <v>46161.79278</v>
      </c>
      <c r="C525" s="3" t="str">
        <f>IFERROR(__xludf.DUMMYFUNCTION("""COMPUTED_VALUE"""),"ชั้นปีที่ 3")</f>
        <v>ชั้นปีที่ 3</v>
      </c>
      <c r="D525" s="3" t="str">
        <f>IFERROR(__xludf.DUMMYFUNCTION("""COMPUTED_VALUE"""),"6603763")</f>
        <v>6603763</v>
      </c>
      <c r="E525" s="3" t="str">
        <f>IFERROR(__xludf.DUMMYFUNCTION("""COMPUTED_VALUE"""),"10")</f>
        <v>10</v>
      </c>
      <c r="F525" s="3" t="str">
        <f>IFERROR(__xludf.DUMMYFUNCTION("""COMPUTED_VALUE"""),"นพอ.ชนาภา บุญแสน")</f>
        <v>นพอ.ชนาภา บุญแสน</v>
      </c>
      <c r="G525" s="3" t="str">
        <f>IFERROR(__xludf.DUMMYFUNCTION("""COMPUTED_VALUE"""),"ช่วยเหลืองานภายใน วพอ.")</f>
        <v>ช่วยเหลืองานภายใน วพอ.</v>
      </c>
      <c r="H52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5" s="3" t="str">
        <f>IFERROR(__xludf.DUMMYFUNCTION("""COMPUTED_VALUE"""),"วพอ.พอ")</f>
        <v>วพอ.พอ</v>
      </c>
      <c r="J525" s="12">
        <f>IFERROR(__xludf.DUMMYFUNCTION("""COMPUTED_VALUE"""),46133.0)</f>
        <v>46133</v>
      </c>
      <c r="K525" s="3" t="str">
        <f>IFERROR(__xludf.DUMMYFUNCTION("""COMPUTED_VALUE"""),"1700-2100")</f>
        <v>1700-2100</v>
      </c>
      <c r="L525" s="3">
        <f>IFERROR(__xludf.DUMMYFUNCTION("""COMPUTED_VALUE"""),4.0)</f>
        <v>4</v>
      </c>
      <c r="M525" s="3" t="str">
        <f>IFERROR(__xludf.DUMMYFUNCTION("""COMPUTED_VALUE"""),"ร.อ.อนุชิต ทำจะดี")</f>
        <v>ร.อ.อนุชิต ทำจะดี</v>
      </c>
      <c r="N525" s="14" t="str">
        <f>IFERROR(__xludf.DUMMYFUNCTION("""COMPUTED_VALUE"""),"https://lh5.googleusercontent.com/d/14emU8Jy0kqkqS_akvSuTf3wg1cInAozK")</f>
        <v>https://lh5.googleusercontent.com/d/14emU8Jy0kqkqS_akvSuTf3wg1cInAozK</v>
      </c>
      <c r="O525" s="14" t="str">
        <f>IFERROR(__xludf.DUMMYFUNCTION("""COMPUTED_VALUE"""),"https://drive.google.com/file/d/159c6-E8u03M6qOaaqnaNVGw_CrBVNOyM/view?usp=drivesdk")</f>
        <v>https://drive.google.com/file/d/159c6-E8u03M6qOaaqnaNVGw_CrBVNOyM/view?usp=drivesdk</v>
      </c>
    </row>
    <row r="526">
      <c r="A526" s="3">
        <f>IFERROR(__xludf.DUMMYFUNCTION("""COMPUTED_VALUE"""),2099.0)</f>
        <v>2099</v>
      </c>
      <c r="B526" s="11">
        <f>IFERROR(__xludf.DUMMYFUNCTION("""COMPUTED_VALUE"""),46161.794381875)</f>
        <v>46161.79438</v>
      </c>
      <c r="C526" s="3" t="str">
        <f>IFERROR(__xludf.DUMMYFUNCTION("""COMPUTED_VALUE"""),"ชั้นปีที่ 3")</f>
        <v>ชั้นปีที่ 3</v>
      </c>
      <c r="D526" s="3" t="str">
        <f>IFERROR(__xludf.DUMMYFUNCTION("""COMPUTED_VALUE"""),"6603763")</f>
        <v>6603763</v>
      </c>
      <c r="E526" s="3" t="str">
        <f>IFERROR(__xludf.DUMMYFUNCTION("""COMPUTED_VALUE"""),"10")</f>
        <v>10</v>
      </c>
      <c r="F526" s="3" t="str">
        <f>IFERROR(__xludf.DUMMYFUNCTION("""COMPUTED_VALUE"""),"นพอ.ชนาภา บุญแสน")</f>
        <v>นพอ.ชนาภา บุญแสน</v>
      </c>
      <c r="G526" s="3" t="str">
        <f>IFERROR(__xludf.DUMMYFUNCTION("""COMPUTED_VALUE"""),"ช่วยเหลืองานภายใน วพอ.")</f>
        <v>ช่วยเหลืองานภายใน วพอ.</v>
      </c>
      <c r="H52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6" s="3" t="str">
        <f>IFERROR(__xludf.DUMMYFUNCTION("""COMPUTED_VALUE"""),"วพอ.พอ.")</f>
        <v>วพอ.พอ.</v>
      </c>
      <c r="J526" s="12">
        <f>IFERROR(__xludf.DUMMYFUNCTION("""COMPUTED_VALUE"""),46134.0)</f>
        <v>46134</v>
      </c>
      <c r="K526" s="3" t="str">
        <f>IFERROR(__xludf.DUMMYFUNCTION("""COMPUTED_VALUE"""),"1700-2100")</f>
        <v>1700-2100</v>
      </c>
      <c r="L526" s="3">
        <f>IFERROR(__xludf.DUMMYFUNCTION("""COMPUTED_VALUE"""),4.0)</f>
        <v>4</v>
      </c>
      <c r="M526" s="3" t="str">
        <f>IFERROR(__xludf.DUMMYFUNCTION("""COMPUTED_VALUE"""),"ร.อ.อนุชิต ทำจะดี")</f>
        <v>ร.อ.อนุชิต ทำจะดี</v>
      </c>
      <c r="N526" s="14" t="str">
        <f>IFERROR(__xludf.DUMMYFUNCTION("""COMPUTED_VALUE"""),"https://lh5.googleusercontent.com/d/1bv7DP75WfBOQVhprInAbTbPxjNOn5Av4")</f>
        <v>https://lh5.googleusercontent.com/d/1bv7DP75WfBOQVhprInAbTbPxjNOn5Av4</v>
      </c>
      <c r="O526" s="14" t="str">
        <f>IFERROR(__xludf.DUMMYFUNCTION("""COMPUTED_VALUE"""),"https://drive.google.com/file/d/1y5pKSyQPFb3GC8wHvL0cXVWtLAPYrwUB/view?usp=drivesdk")</f>
        <v>https://drive.google.com/file/d/1y5pKSyQPFb3GC8wHvL0cXVWtLAPYrwUB/view?usp=drivesdk</v>
      </c>
    </row>
    <row r="527">
      <c r="A527" s="3">
        <f>IFERROR(__xludf.DUMMYFUNCTION("""COMPUTED_VALUE"""),2100.0)</f>
        <v>2100</v>
      </c>
      <c r="B527" s="11">
        <f>IFERROR(__xludf.DUMMYFUNCTION("""COMPUTED_VALUE"""),46161.79638662037)</f>
        <v>46161.79639</v>
      </c>
      <c r="C527" s="3" t="str">
        <f>IFERROR(__xludf.DUMMYFUNCTION("""COMPUTED_VALUE"""),"ชั้นปีที่ 3")</f>
        <v>ชั้นปีที่ 3</v>
      </c>
      <c r="D527" s="3" t="str">
        <f>IFERROR(__xludf.DUMMYFUNCTION("""COMPUTED_VALUE"""),"6603788")</f>
        <v>6603788</v>
      </c>
      <c r="E527" s="3" t="str">
        <f>IFERROR(__xludf.DUMMYFUNCTION("""COMPUTED_VALUE"""),"34")</f>
        <v>34</v>
      </c>
      <c r="F527" s="3" t="str">
        <f>IFERROR(__xludf.DUMMYFUNCTION("""COMPUTED_VALUE"""),"นพอ.ปาจีรนันท์ ปิงขุนทด")</f>
        <v>นพอ.ปาจีรนันท์ ปิงขุนทด</v>
      </c>
      <c r="G527" s="3" t="str">
        <f>IFERROR(__xludf.DUMMYFUNCTION("""COMPUTED_VALUE"""),"ช่วยเหลืองานภายใน วพอ.")</f>
        <v>ช่วยเหลืองานภายใน วพอ.</v>
      </c>
      <c r="H52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7" s="3" t="str">
        <f>IFERROR(__xludf.DUMMYFUNCTION("""COMPUTED_VALUE"""),"วพอ.พอ.")</f>
        <v>วพอ.พอ.</v>
      </c>
      <c r="J527" s="12">
        <f>IFERROR(__xludf.DUMMYFUNCTION("""COMPUTED_VALUE"""),46138.0)</f>
        <v>46138</v>
      </c>
      <c r="K527" s="3" t="str">
        <f>IFERROR(__xludf.DUMMYFUNCTION("""COMPUTED_VALUE"""),"1500-2100")</f>
        <v>1500-2100</v>
      </c>
      <c r="L527" s="3">
        <f>IFERROR(__xludf.DUMMYFUNCTION("""COMPUTED_VALUE"""),6.0)</f>
        <v>6</v>
      </c>
      <c r="M527" s="3" t="str">
        <f>IFERROR(__xludf.DUMMYFUNCTION("""COMPUTED_VALUE"""),"ร.อ.อนุชิต ทำจะดี")</f>
        <v>ร.อ.อนุชิต ทำจะดี</v>
      </c>
      <c r="N527" s="14" t="str">
        <f>IFERROR(__xludf.DUMMYFUNCTION("""COMPUTED_VALUE"""),"https://lh5.googleusercontent.com/d/1cVyGyh_o861MbBI4lpCUoFu22ARgLMp8")</f>
        <v>https://lh5.googleusercontent.com/d/1cVyGyh_o861MbBI4lpCUoFu22ARgLMp8</v>
      </c>
      <c r="O527" s="14" t="str">
        <f>IFERROR(__xludf.DUMMYFUNCTION("""COMPUTED_VALUE"""),"https://drive.google.com/file/d/11LqsTmSBJ0rsdlHMxFxmtk4X8TMWa2bb/view?usp=drivesdk")</f>
        <v>https://drive.google.com/file/d/11LqsTmSBJ0rsdlHMxFxmtk4X8TMWa2bb/view?usp=drivesdk</v>
      </c>
    </row>
    <row r="528">
      <c r="A528" s="3">
        <f>IFERROR(__xludf.DUMMYFUNCTION("""COMPUTED_VALUE"""),2101.0)</f>
        <v>2101</v>
      </c>
      <c r="B528" s="11">
        <f>IFERROR(__xludf.DUMMYFUNCTION("""COMPUTED_VALUE"""),46161.800939849534)</f>
        <v>46161.80094</v>
      </c>
      <c r="C528" s="3" t="str">
        <f>IFERROR(__xludf.DUMMYFUNCTION("""COMPUTED_VALUE"""),"ชั้นปีที่ 3")</f>
        <v>ชั้นปีที่ 3</v>
      </c>
      <c r="D528" s="3" t="str">
        <f>IFERROR(__xludf.DUMMYFUNCTION("""COMPUTED_VALUE"""),"6603788")</f>
        <v>6603788</v>
      </c>
      <c r="E528" s="3" t="str">
        <f>IFERROR(__xludf.DUMMYFUNCTION("""COMPUTED_VALUE"""),"34")</f>
        <v>34</v>
      </c>
      <c r="F528" s="3" t="str">
        <f>IFERROR(__xludf.DUMMYFUNCTION("""COMPUTED_VALUE"""),"นพอ.ปาจีรนันท์ ปิงขุนทด")</f>
        <v>นพอ.ปาจีรนันท์ ปิงขุนทด</v>
      </c>
      <c r="G528" s="3" t="str">
        <f>IFERROR(__xludf.DUMMYFUNCTION("""COMPUTED_VALUE"""),"ช่วยเหลืองานภายใน วพอ.")</f>
        <v>ช่วยเหลืองานภายใน วพอ.</v>
      </c>
      <c r="H528" s="3" t="str">
        <f>IFERROR(__xludf.DUMMYFUNCTION("""COMPUTED_VALUE"""),"พิธีมอบหมวกพยาบาลวิชาชีพ ปีการศึกษา 2568")</f>
        <v>พิธีมอบหมวกพยาบาลวิชาชีพ ปีการศึกษา 2568</v>
      </c>
      <c r="I528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28" s="12">
        <f>IFERROR(__xludf.DUMMYFUNCTION("""COMPUTED_VALUE"""),46139.0)</f>
        <v>46139</v>
      </c>
      <c r="K528" s="3" t="str">
        <f>IFERROR(__xludf.DUMMYFUNCTION("""COMPUTED_VALUE"""),"1700-1200")</f>
        <v>1700-1200</v>
      </c>
      <c r="L528" s="3">
        <f>IFERROR(__xludf.DUMMYFUNCTION("""COMPUTED_VALUE"""),4.0)</f>
        <v>4</v>
      </c>
      <c r="M528" s="3" t="str">
        <f>IFERROR(__xludf.DUMMYFUNCTION("""COMPUTED_VALUE"""),"ร.อ.อนุชิต ทำจะดี")</f>
        <v>ร.อ.อนุชิต ทำจะดี</v>
      </c>
      <c r="N528" s="14" t="str">
        <f>IFERROR(__xludf.DUMMYFUNCTION("""COMPUTED_VALUE"""),"https://lh5.googleusercontent.com/d/1eFv7R7q_-8LTY6hLcYqdb0U8e5qNCsJa")</f>
        <v>https://lh5.googleusercontent.com/d/1eFv7R7q_-8LTY6hLcYqdb0U8e5qNCsJa</v>
      </c>
      <c r="O528" s="14" t="str">
        <f>IFERROR(__xludf.DUMMYFUNCTION("""COMPUTED_VALUE"""),"https://drive.google.com/file/d/1wqU_wibTD9JyLM-XNyjCWc-Yyp47cD1p/view?usp=drivesdk")</f>
        <v>https://drive.google.com/file/d/1wqU_wibTD9JyLM-XNyjCWc-Yyp47cD1p/view?usp=drivesdk</v>
      </c>
    </row>
    <row r="529">
      <c r="A529" s="3">
        <f>IFERROR(__xludf.DUMMYFUNCTION("""COMPUTED_VALUE"""),2102.0)</f>
        <v>2102</v>
      </c>
      <c r="B529" s="11">
        <f>IFERROR(__xludf.DUMMYFUNCTION("""COMPUTED_VALUE"""),46161.80122407408)</f>
        <v>46161.80122</v>
      </c>
      <c r="C529" s="3" t="str">
        <f>IFERROR(__xludf.DUMMYFUNCTION("""COMPUTED_VALUE"""),"ชั้นปีที่ 3")</f>
        <v>ชั้นปีที่ 3</v>
      </c>
      <c r="D529" s="3" t="str">
        <f>IFERROR(__xludf.DUMMYFUNCTION("""COMPUTED_VALUE"""),"6603763")</f>
        <v>6603763</v>
      </c>
      <c r="E529" s="3" t="str">
        <f>IFERROR(__xludf.DUMMYFUNCTION("""COMPUTED_VALUE"""),"10")</f>
        <v>10</v>
      </c>
      <c r="F529" s="3" t="str">
        <f>IFERROR(__xludf.DUMMYFUNCTION("""COMPUTED_VALUE"""),"นพอ.ชนาภา บุญแสน")</f>
        <v>นพอ.ชนาภา บุญแสน</v>
      </c>
      <c r="G529" s="3" t="str">
        <f>IFERROR(__xludf.DUMMYFUNCTION("""COMPUTED_VALUE"""),"ช่วยเหลืองานภายใน วพอ.")</f>
        <v>ช่วยเหลืองานภายใน วพอ.</v>
      </c>
      <c r="H52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9" s="3" t="str">
        <f>IFERROR(__xludf.DUMMYFUNCTION("""COMPUTED_VALUE"""),"วพอ.พอ.")</f>
        <v>วพอ.พอ.</v>
      </c>
      <c r="J529" s="12">
        <f>IFERROR(__xludf.DUMMYFUNCTION("""COMPUTED_VALUE"""),46168.0)</f>
        <v>46168</v>
      </c>
      <c r="K529" s="3" t="str">
        <f>IFERROR(__xludf.DUMMYFUNCTION("""COMPUTED_VALUE"""),"1500-2100")</f>
        <v>1500-2100</v>
      </c>
      <c r="L529" s="3">
        <f>IFERROR(__xludf.DUMMYFUNCTION("""COMPUTED_VALUE"""),6.0)</f>
        <v>6</v>
      </c>
      <c r="M529" s="3" t="str">
        <f>IFERROR(__xludf.DUMMYFUNCTION("""COMPUTED_VALUE"""),"ร.อ.อนุชิต ทำจะดี")</f>
        <v>ร.อ.อนุชิต ทำจะดี</v>
      </c>
      <c r="N529" s="14" t="str">
        <f>IFERROR(__xludf.DUMMYFUNCTION("""COMPUTED_VALUE"""),"https://lh5.googleusercontent.com/d/1AOr7pWcPQXrsG_1lRkCxA7FEkRhGQHH0")</f>
        <v>https://lh5.googleusercontent.com/d/1AOr7pWcPQXrsG_1lRkCxA7FEkRhGQHH0</v>
      </c>
      <c r="O529" s="14" t="str">
        <f>IFERROR(__xludf.DUMMYFUNCTION("""COMPUTED_VALUE"""),"https://drive.google.com/file/d/1SrARtgiIQS6NUs8hEjJW6YIfdv0KxwpK/view?usp=drivesdk")</f>
        <v>https://drive.google.com/file/d/1SrARtgiIQS6NUs8hEjJW6YIfdv0KxwpK/view?usp=drivesdk</v>
      </c>
    </row>
    <row r="530">
      <c r="A530" s="3">
        <f>IFERROR(__xludf.DUMMYFUNCTION("""COMPUTED_VALUE"""),2104.0)</f>
        <v>2104</v>
      </c>
      <c r="B530" s="11">
        <f>IFERROR(__xludf.DUMMYFUNCTION("""COMPUTED_VALUE"""),46161.80361354167)</f>
        <v>46161.80361</v>
      </c>
      <c r="C530" s="3" t="str">
        <f>IFERROR(__xludf.DUMMYFUNCTION("""COMPUTED_VALUE"""),"ชั้นปีที่ 3")</f>
        <v>ชั้นปีที่ 3</v>
      </c>
      <c r="D530" s="3" t="str">
        <f>IFERROR(__xludf.DUMMYFUNCTION("""COMPUTED_VALUE"""),"6603788")</f>
        <v>6603788</v>
      </c>
      <c r="E530" s="3" t="str">
        <f>IFERROR(__xludf.DUMMYFUNCTION("""COMPUTED_VALUE"""),"34")</f>
        <v>34</v>
      </c>
      <c r="F530" s="3" t="str">
        <f>IFERROR(__xludf.DUMMYFUNCTION("""COMPUTED_VALUE"""),"นพอ.ปาจีรนันท์ ปิงขุนทด")</f>
        <v>นพอ.ปาจีรนันท์ ปิงขุนทด</v>
      </c>
      <c r="G530" s="3" t="str">
        <f>IFERROR(__xludf.DUMMYFUNCTION("""COMPUTED_VALUE"""),"ช่วยเหลืองานภายใน วพอ.")</f>
        <v>ช่วยเหลืองานภายใน วพอ.</v>
      </c>
      <c r="H530" s="3" t="str">
        <f>IFERROR(__xludf.DUMMYFUNCTION("""COMPUTED_VALUE"""),"จัดโต๊ะรับสมัคร นพอ.69")</f>
        <v>จัดโต๊ะรับสมัคร นพอ.69</v>
      </c>
      <c r="I530" s="3" t="str">
        <f>IFERROR(__xludf.DUMMYFUNCTION("""COMPUTED_VALUE"""),"วพอ.พอ.")</f>
        <v>วพอ.พอ.</v>
      </c>
      <c r="J530" s="12">
        <f>IFERROR(__xludf.DUMMYFUNCTION("""COMPUTED_VALUE"""),46143.0)</f>
        <v>46143</v>
      </c>
      <c r="K530" s="3" t="str">
        <f>IFERROR(__xludf.DUMMYFUNCTION("""COMPUTED_VALUE"""),"0800-1200")</f>
        <v>0800-1200</v>
      </c>
      <c r="L530" s="3">
        <f>IFERROR(__xludf.DUMMYFUNCTION("""COMPUTED_VALUE"""),4.0)</f>
        <v>4</v>
      </c>
      <c r="M530" s="3" t="str">
        <f>IFERROR(__xludf.DUMMYFUNCTION("""COMPUTED_VALUE"""),"น.ต.ศักชัย บุญประสิทธิ์")</f>
        <v>น.ต.ศักชัย บุญประสิทธิ์</v>
      </c>
      <c r="N530" s="14" t="str">
        <f>IFERROR(__xludf.DUMMYFUNCTION("""COMPUTED_VALUE"""),"https://lh5.googleusercontent.com/d/1pH0IlA5aiH9DPFMRteNwbbbepA6YaA47")</f>
        <v>https://lh5.googleusercontent.com/d/1pH0IlA5aiH9DPFMRteNwbbbepA6YaA47</v>
      </c>
      <c r="O530" s="14" t="str">
        <f>IFERROR(__xludf.DUMMYFUNCTION("""COMPUTED_VALUE"""),"https://drive.google.com/file/d/1Qm9wm7VweK1dCxG7sDAQHvP2csgV_vkl/view?usp=drivesdk")</f>
        <v>https://drive.google.com/file/d/1Qm9wm7VweK1dCxG7sDAQHvP2csgV_vkl/view?usp=drivesdk</v>
      </c>
    </row>
    <row r="531">
      <c r="A531" s="3">
        <f>IFERROR(__xludf.DUMMYFUNCTION("""COMPUTED_VALUE"""),2105.0)</f>
        <v>2105</v>
      </c>
      <c r="B531" s="11">
        <f>IFERROR(__xludf.DUMMYFUNCTION("""COMPUTED_VALUE"""),46161.807256608794)</f>
        <v>46161.80726</v>
      </c>
      <c r="C531" s="3" t="str">
        <f>IFERROR(__xludf.DUMMYFUNCTION("""COMPUTED_VALUE"""),"ชั้นปีที่ 3")</f>
        <v>ชั้นปีที่ 3</v>
      </c>
      <c r="D531" s="3" t="str">
        <f>IFERROR(__xludf.DUMMYFUNCTION("""COMPUTED_VALUE"""),"6603788")</f>
        <v>6603788</v>
      </c>
      <c r="E531" s="3" t="str">
        <f>IFERROR(__xludf.DUMMYFUNCTION("""COMPUTED_VALUE"""),"34")</f>
        <v>34</v>
      </c>
      <c r="F531" s="3" t="str">
        <f>IFERROR(__xludf.DUMMYFUNCTION("""COMPUTED_VALUE"""),"นพอ.ปาจีรนันท์ ปิงขุนทด")</f>
        <v>นพอ.ปาจีรนันท์ ปิงขุนทด</v>
      </c>
      <c r="G531" s="3" t="str">
        <f>IFERROR(__xludf.DUMMYFUNCTION("""COMPUTED_VALUE"""),"ช่วยเหลืองานภายใน วพอ.")</f>
        <v>ช่วยเหลืองานภายใน วพอ.</v>
      </c>
      <c r="H531" s="3" t="str">
        <f>IFERROR(__xludf.DUMMYFUNCTION("""COMPUTED_VALUE"""),"ขายเสื้อชมรมโรทาแรคท์")</f>
        <v>ขายเสื้อชมรมโรทาแรคท์</v>
      </c>
      <c r="I531" s="3" t="str">
        <f>IFERROR(__xludf.DUMMYFUNCTION("""COMPUTED_VALUE"""),"วพอ.พอง")</f>
        <v>วพอ.พอง</v>
      </c>
      <c r="J531" s="12">
        <f>IFERROR(__xludf.DUMMYFUNCTION("""COMPUTED_VALUE"""),46148.0)</f>
        <v>46148</v>
      </c>
      <c r="K531" s="3" t="str">
        <f>IFERROR(__xludf.DUMMYFUNCTION("""COMPUTED_VALUE"""),"0800-1200")</f>
        <v>0800-1200</v>
      </c>
      <c r="L531" s="3">
        <f>IFERROR(__xludf.DUMMYFUNCTION("""COMPUTED_VALUE"""),4.0)</f>
        <v>4</v>
      </c>
      <c r="M53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1" s="3"/>
      <c r="O531" s="14" t="str">
        <f>IFERROR(__xludf.DUMMYFUNCTION("""COMPUTED_VALUE"""),"https://drive.google.com/file/d/1DqnvGUT0JdhAySgXK6SGgHwTBGudjidV/view?usp=drivesdk")</f>
        <v>https://drive.google.com/file/d/1DqnvGUT0JdhAySgXK6SGgHwTBGudjidV/view?usp=drivesdk</v>
      </c>
    </row>
    <row r="532">
      <c r="A532" s="3">
        <f>IFERROR(__xludf.DUMMYFUNCTION("""COMPUTED_VALUE"""),2106.0)</f>
        <v>2106</v>
      </c>
      <c r="B532" s="11">
        <f>IFERROR(__xludf.DUMMYFUNCTION("""COMPUTED_VALUE"""),46161.88701094908)</f>
        <v>46161.88701</v>
      </c>
      <c r="C532" s="3" t="str">
        <f>IFERROR(__xludf.DUMMYFUNCTION("""COMPUTED_VALUE"""),"ชั้นปีที่ 3")</f>
        <v>ชั้นปีที่ 3</v>
      </c>
      <c r="D532" s="3" t="str">
        <f>IFERROR(__xludf.DUMMYFUNCTION("""COMPUTED_VALUE"""),"6603808")</f>
        <v>6603808</v>
      </c>
      <c r="E532" s="3" t="str">
        <f>IFERROR(__xludf.DUMMYFUNCTION("""COMPUTED_VALUE"""),"54")</f>
        <v>54</v>
      </c>
      <c r="F532" s="3" t="str">
        <f>IFERROR(__xludf.DUMMYFUNCTION("""COMPUTED_VALUE"""),"นพอ.สุชานันท์ ดิสระมุณี")</f>
        <v>นพอ.สุชานันท์ ดิสระมุณี</v>
      </c>
      <c r="G532" s="3" t="str">
        <f>IFERROR(__xludf.DUMMYFUNCTION("""COMPUTED_VALUE"""),"ช่วยเหลืองานภายใน วพอ.")</f>
        <v>ช่วยเหลืองานภายใน วพอ.</v>
      </c>
      <c r="H532" s="3" t="str">
        <f>IFERROR(__xludf.DUMMYFUNCTION("""COMPUTED_VALUE"""),"ทกท.มว.1")</f>
        <v>ทกท.มว.1</v>
      </c>
      <c r="I532" s="3" t="str">
        <f>IFERROR(__xludf.DUMMYFUNCTION("""COMPUTED_VALUE"""),"วิทยาลัยพยาบาลทหารอากาศ")</f>
        <v>วิทยาลัยพยาบาลทหารอากาศ</v>
      </c>
      <c r="J532" s="12">
        <f>IFERROR(__xludf.DUMMYFUNCTION("""COMPUTED_VALUE"""),46113.0)</f>
        <v>46113</v>
      </c>
      <c r="K532" s="3" t="str">
        <f>IFERROR(__xludf.DUMMYFUNCTION("""COMPUTED_VALUE"""),"0800-1600")</f>
        <v>0800-1600</v>
      </c>
      <c r="L532" s="3">
        <f>IFERROR(__xludf.DUMMYFUNCTION("""COMPUTED_VALUE"""),8.0)</f>
        <v>8</v>
      </c>
      <c r="M532" s="3" t="str">
        <f>IFERROR(__xludf.DUMMYFUNCTION("""COMPUTED_VALUE"""),"ร.อ.อนุชิต ทำจะดี")</f>
        <v>ร.อ.อนุชิต ทำจะดี</v>
      </c>
      <c r="N532" s="14" t="str">
        <f>IFERROR(__xludf.DUMMYFUNCTION("""COMPUTED_VALUE"""),"https://lh5.googleusercontent.com/d/1Uk0ASo1uDF-Le8cEM1cVDtWmTLywdaB7")</f>
        <v>https://lh5.googleusercontent.com/d/1Uk0ASo1uDF-Le8cEM1cVDtWmTLywdaB7</v>
      </c>
      <c r="O532" s="14" t="str">
        <f>IFERROR(__xludf.DUMMYFUNCTION("""COMPUTED_VALUE"""),"https://drive.google.com/file/d/1CSq6g4ud7ri4-YSerqwl2Yv2re7iC5bN/view?usp=drivesdk")</f>
        <v>https://drive.google.com/file/d/1CSq6g4ud7ri4-YSerqwl2Yv2re7iC5bN/view?usp=drivesdk</v>
      </c>
    </row>
    <row r="533">
      <c r="A533" s="3">
        <f>IFERROR(__xludf.DUMMYFUNCTION("""COMPUTED_VALUE"""),2107.0)</f>
        <v>2107</v>
      </c>
      <c r="B533" s="11">
        <f>IFERROR(__xludf.DUMMYFUNCTION("""COMPUTED_VALUE"""),46161.89419237269)</f>
        <v>46161.89419</v>
      </c>
      <c r="C533" s="3" t="str">
        <f>IFERROR(__xludf.DUMMYFUNCTION("""COMPUTED_VALUE"""),"ชั้นปีที่ 3")</f>
        <v>ชั้นปีที่ 3</v>
      </c>
      <c r="D533" s="3" t="str">
        <f>IFERROR(__xludf.DUMMYFUNCTION("""COMPUTED_VALUE"""),"6603808")</f>
        <v>6603808</v>
      </c>
      <c r="E533" s="3" t="str">
        <f>IFERROR(__xludf.DUMMYFUNCTION("""COMPUTED_VALUE"""),"54")</f>
        <v>54</v>
      </c>
      <c r="F533" s="3" t="str">
        <f>IFERROR(__xludf.DUMMYFUNCTION("""COMPUTED_VALUE"""),"นพอ.สุชานันท์ ดิสระมุณี")</f>
        <v>นพอ.สุชานันท์ ดิสระมุณี</v>
      </c>
      <c r="G533" s="3" t="str">
        <f>IFERROR(__xludf.DUMMYFUNCTION("""COMPUTED_VALUE"""),"ช่วยเหลืองานภายใน วพอ.")</f>
        <v>ช่วยเหลืองานภายใน วพอ.</v>
      </c>
      <c r="H533" s="3" t="str">
        <f>IFERROR(__xludf.DUMMYFUNCTION("""COMPUTED_VALUE"""),"ทกท.มว.1")</f>
        <v>ทกท.มว.1</v>
      </c>
      <c r="I533" s="3" t="str">
        <f>IFERROR(__xludf.DUMMYFUNCTION("""COMPUTED_VALUE"""),"วิทยาลัยพยาบาลทหารอากาศ")</f>
        <v>วิทยาลัยพยาบาลทหารอากาศ</v>
      </c>
      <c r="J533" s="12">
        <f>IFERROR(__xludf.DUMMYFUNCTION("""COMPUTED_VALUE"""),46114.0)</f>
        <v>46114</v>
      </c>
      <c r="K533" s="3" t="str">
        <f>IFERROR(__xludf.DUMMYFUNCTION("""COMPUTED_VALUE"""),"0800-1600")</f>
        <v>0800-1600</v>
      </c>
      <c r="L533" s="3">
        <f>IFERROR(__xludf.DUMMYFUNCTION("""COMPUTED_VALUE"""),8.0)</f>
        <v>8</v>
      </c>
      <c r="M533" s="3" t="str">
        <f>IFERROR(__xludf.DUMMYFUNCTION("""COMPUTED_VALUE"""),"ร.อ.อนุชิต ทำจะดี")</f>
        <v>ร.อ.อนุชิต ทำจะดี</v>
      </c>
      <c r="N533" s="14" t="str">
        <f>IFERROR(__xludf.DUMMYFUNCTION("""COMPUTED_VALUE"""),"https://lh5.googleusercontent.com/d/1ckJY1-PJ1vCQrApjC4agA273g35L9b2X")</f>
        <v>https://lh5.googleusercontent.com/d/1ckJY1-PJ1vCQrApjC4agA273g35L9b2X</v>
      </c>
      <c r="O533" s="14" t="str">
        <f>IFERROR(__xludf.DUMMYFUNCTION("""COMPUTED_VALUE"""),"https://drive.google.com/file/d/1B90nEAm9m22aY38T7IPM58ink1A2gPjM/view?usp=drivesdk")</f>
        <v>https://drive.google.com/file/d/1B90nEAm9m22aY38T7IPM58ink1A2gPjM/view?usp=drivesdk</v>
      </c>
    </row>
    <row r="534">
      <c r="A534" s="3">
        <f>IFERROR(__xludf.DUMMYFUNCTION("""COMPUTED_VALUE"""),2108.0)</f>
        <v>2108</v>
      </c>
      <c r="B534" s="11">
        <f>IFERROR(__xludf.DUMMYFUNCTION("""COMPUTED_VALUE"""),46161.90064962963)</f>
        <v>46161.90065</v>
      </c>
      <c r="C534" s="3" t="str">
        <f>IFERROR(__xludf.DUMMYFUNCTION("""COMPUTED_VALUE"""),"ชั้นปีที่ 3")</f>
        <v>ชั้นปีที่ 3</v>
      </c>
      <c r="D534" s="3" t="str">
        <f>IFERROR(__xludf.DUMMYFUNCTION("""COMPUTED_VALUE"""),"6603808")</f>
        <v>6603808</v>
      </c>
      <c r="E534" s="3" t="str">
        <f>IFERROR(__xludf.DUMMYFUNCTION("""COMPUTED_VALUE"""),"54")</f>
        <v>54</v>
      </c>
      <c r="F534" s="3" t="str">
        <f>IFERROR(__xludf.DUMMYFUNCTION("""COMPUTED_VALUE"""),"นพอ.สุชานันท์ ดิสระมุณี")</f>
        <v>นพอ.สุชานันท์ ดิสระมุณี</v>
      </c>
      <c r="G534" s="3" t="str">
        <f>IFERROR(__xludf.DUMMYFUNCTION("""COMPUTED_VALUE"""),"ช่วยเหลืองานภายใน วพอ.")</f>
        <v>ช่วยเหลืองานภายใน วพอ.</v>
      </c>
      <c r="H534" s="3" t="str">
        <f>IFERROR(__xludf.DUMMYFUNCTION("""COMPUTED_VALUE"""),"ทกท.มว.1")</f>
        <v>ทกท.มว.1</v>
      </c>
      <c r="I534" s="3" t="str">
        <f>IFERROR(__xludf.DUMMYFUNCTION("""COMPUTED_VALUE"""),"วิทยาลัยพยาบาลทหารอากาศ")</f>
        <v>วิทยาลัยพยาบาลทหารอากาศ</v>
      </c>
      <c r="J534" s="12">
        <f>IFERROR(__xludf.DUMMYFUNCTION("""COMPUTED_VALUE"""),46115.0)</f>
        <v>46115</v>
      </c>
      <c r="K534" s="3" t="str">
        <f>IFERROR(__xludf.DUMMYFUNCTION("""COMPUTED_VALUE"""),"0800-1200")</f>
        <v>0800-1200</v>
      </c>
      <c r="L534" s="3">
        <f>IFERROR(__xludf.DUMMYFUNCTION("""COMPUTED_VALUE"""),4.0)</f>
        <v>4</v>
      </c>
      <c r="M534" s="3" t="str">
        <f>IFERROR(__xludf.DUMMYFUNCTION("""COMPUTED_VALUE"""),"ร.อ.อนุชิต ทำจะดี")</f>
        <v>ร.อ.อนุชิต ทำจะดี</v>
      </c>
      <c r="N534" s="14" t="str">
        <f>IFERROR(__xludf.DUMMYFUNCTION("""COMPUTED_VALUE"""),"https://lh5.googleusercontent.com/d/16SZsJGlALpnVKJ9N7wZKRiEMIcD5JVM8")</f>
        <v>https://lh5.googleusercontent.com/d/16SZsJGlALpnVKJ9N7wZKRiEMIcD5JVM8</v>
      </c>
      <c r="O534" s="14" t="str">
        <f>IFERROR(__xludf.DUMMYFUNCTION("""COMPUTED_VALUE"""),"https://drive.google.com/file/d/1ehu8EcCoPjXCC1F85NeRnNticOlqxqST/view?usp=drivesdk")</f>
        <v>https://drive.google.com/file/d/1ehu8EcCoPjXCC1F85NeRnNticOlqxqST/view?usp=drivesdk</v>
      </c>
    </row>
    <row r="535">
      <c r="A535" s="3">
        <f>IFERROR(__xludf.DUMMYFUNCTION("""COMPUTED_VALUE"""),2118.0)</f>
        <v>2118</v>
      </c>
      <c r="B535" s="11">
        <f>IFERROR(__xludf.DUMMYFUNCTION("""COMPUTED_VALUE"""),46162.63152311343)</f>
        <v>46162.63152</v>
      </c>
      <c r="C535" s="3" t="str">
        <f>IFERROR(__xludf.DUMMYFUNCTION("""COMPUTED_VALUE"""),"ชั้นปีที่ 3")</f>
        <v>ชั้นปีที่ 3</v>
      </c>
      <c r="D535" s="3" t="str">
        <f>IFERROR(__xludf.DUMMYFUNCTION("""COMPUTED_VALUE"""),"6603774")</f>
        <v>6603774</v>
      </c>
      <c r="E535" s="3" t="str">
        <f>IFERROR(__xludf.DUMMYFUNCTION("""COMPUTED_VALUE"""),"21")</f>
        <v>21</v>
      </c>
      <c r="F535" s="3" t="str">
        <f>IFERROR(__xludf.DUMMYFUNCTION("""COMPUTED_VALUE"""),"นพอ.ธัญลักษณ์ ระลึกเย็น")</f>
        <v>นพอ.ธัญลักษณ์ ระลึกเย็น</v>
      </c>
      <c r="G535" s="3" t="str">
        <f>IFERROR(__xludf.DUMMYFUNCTION("""COMPUTED_VALUE"""),"ช่วยเหลืองานภายใน วพอ.")</f>
        <v>ช่วยเหลืองานภายใน วพอ.</v>
      </c>
      <c r="H535" s="3" t="str">
        <f>IFERROR(__xludf.DUMMYFUNCTION("""COMPUTED_VALUE"""),"จัดห้องสูติ")</f>
        <v>จัดห้องสูติ</v>
      </c>
      <c r="I535" s="3" t="str">
        <f>IFERROR(__xludf.DUMMYFUNCTION("""COMPUTED_VALUE"""),"ห้องปฏิบัติการมารดาทารรกเเละการผดุงครรภ์")</f>
        <v>ห้องปฏิบัติการมารดาทารรกเเละการผดุงครรภ์</v>
      </c>
      <c r="J535" s="12">
        <f>IFERROR(__xludf.DUMMYFUNCTION("""COMPUTED_VALUE"""),46094.0)</f>
        <v>46094</v>
      </c>
      <c r="K535" s="3" t="str">
        <f>IFERROR(__xludf.DUMMYFUNCTION("""COMPUTED_VALUE"""),"1100-1200")</f>
        <v>1100-1200</v>
      </c>
      <c r="L535" s="3">
        <f>IFERROR(__xludf.DUMMYFUNCTION("""COMPUTED_VALUE"""),1.0)</f>
        <v>1</v>
      </c>
      <c r="M535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535" s="14" t="str">
        <f>IFERROR(__xludf.DUMMYFUNCTION("""COMPUTED_VALUE"""),"https://lh5.googleusercontent.com/d/1eEypjiSyR8djBSBvtZPJYqvv9wcP3nzi")</f>
        <v>https://lh5.googleusercontent.com/d/1eEypjiSyR8djBSBvtZPJYqvv9wcP3nzi</v>
      </c>
      <c r="O535" s="14" t="str">
        <f>IFERROR(__xludf.DUMMYFUNCTION("""COMPUTED_VALUE"""),"https://drive.google.com/file/d/1V2-Vtw5wQBTvVp0SQ9m4y_Q1QK2QQNlr/view?usp=drivesdk")</f>
        <v>https://drive.google.com/file/d/1V2-Vtw5wQBTvVp0SQ9m4y_Q1QK2QQNlr/view?usp=drivesdk</v>
      </c>
    </row>
    <row r="536">
      <c r="A536" s="3">
        <f>IFERROR(__xludf.DUMMYFUNCTION("""COMPUTED_VALUE"""),2119.0)</f>
        <v>2119</v>
      </c>
      <c r="B536" s="11">
        <f>IFERROR(__xludf.DUMMYFUNCTION("""COMPUTED_VALUE"""),46162.63403537037)</f>
        <v>46162.63404</v>
      </c>
      <c r="C536" s="3" t="str">
        <f>IFERROR(__xludf.DUMMYFUNCTION("""COMPUTED_VALUE"""),"ชั้นปีที่ 3")</f>
        <v>ชั้นปีที่ 3</v>
      </c>
      <c r="D536" s="3" t="str">
        <f>IFERROR(__xludf.DUMMYFUNCTION("""COMPUTED_VALUE"""),"6603774")</f>
        <v>6603774</v>
      </c>
      <c r="E536" s="3" t="str">
        <f>IFERROR(__xludf.DUMMYFUNCTION("""COMPUTED_VALUE"""),"21")</f>
        <v>21</v>
      </c>
      <c r="F536" s="3" t="str">
        <f>IFERROR(__xludf.DUMMYFUNCTION("""COMPUTED_VALUE"""),"นพอ.ธัญลักษณ์ ระลึกเย็น")</f>
        <v>นพอ.ธัญลักษณ์ ระลึกเย็น</v>
      </c>
      <c r="G5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6" s="3" t="str">
        <f>IFERROR(__xludf.DUMMYFUNCTION("""COMPUTED_VALUE"""),"สงกรานต์เบิกบานจิต")</f>
        <v>สงกรานต์เบิกบานจิต</v>
      </c>
      <c r="I536" s="3" t="str">
        <f>IFERROR(__xludf.DUMMYFUNCTION("""COMPUTED_VALUE"""),"โรงพยาบาลศรีธัญญา")</f>
        <v>โรงพยาบาลศรีธัญญา</v>
      </c>
      <c r="J536" s="12">
        <f>IFERROR(__xludf.DUMMYFUNCTION("""COMPUTED_VALUE"""),46121.0)</f>
        <v>46121</v>
      </c>
      <c r="K536" s="3" t="str">
        <f>IFERROR(__xludf.DUMMYFUNCTION("""COMPUTED_VALUE"""),"0800-1600")</f>
        <v>0800-1600</v>
      </c>
      <c r="L536" s="3">
        <f>IFERROR(__xludf.DUMMYFUNCTION("""COMPUTED_VALUE"""),8.0)</f>
        <v>8</v>
      </c>
      <c r="M536" s="3" t="str">
        <f>IFERROR(__xludf.DUMMYFUNCTION("""COMPUTED_VALUE"""),"น.ต.หญิง รฐานุช ถิ่นสอน")</f>
        <v>น.ต.หญิง รฐานุช ถิ่นสอน</v>
      </c>
      <c r="N536" s="14" t="str">
        <f>IFERROR(__xludf.DUMMYFUNCTION("""COMPUTED_VALUE"""),"https://lh5.googleusercontent.com/d/1bSFkjOK01M2WW5-pI_qfNv4x8tx24oBA")</f>
        <v>https://lh5.googleusercontent.com/d/1bSFkjOK01M2WW5-pI_qfNv4x8tx24oBA</v>
      </c>
      <c r="O536" s="14" t="str">
        <f>IFERROR(__xludf.DUMMYFUNCTION("""COMPUTED_VALUE"""),"https://drive.google.com/file/d/10QaTlZsCwdMJecltmdMOEjR_ezJPpGsG/view?usp=drivesdk")</f>
        <v>https://drive.google.com/file/d/10QaTlZsCwdMJecltmdMOEjR_ezJPpGsG/view?usp=drivesdk</v>
      </c>
    </row>
    <row r="537">
      <c r="A537" s="3">
        <f>IFERROR(__xludf.DUMMYFUNCTION("""COMPUTED_VALUE"""),2120.0)</f>
        <v>2120</v>
      </c>
      <c r="B537" s="11">
        <f>IFERROR(__xludf.DUMMYFUNCTION("""COMPUTED_VALUE"""),46162.636992962965)</f>
        <v>46162.63699</v>
      </c>
      <c r="C537" s="3" t="str">
        <f>IFERROR(__xludf.DUMMYFUNCTION("""COMPUTED_VALUE"""),"ชั้นปีที่ 3")</f>
        <v>ชั้นปีที่ 3</v>
      </c>
      <c r="D537" s="3" t="str">
        <f>IFERROR(__xludf.DUMMYFUNCTION("""COMPUTED_VALUE"""),"6603774")</f>
        <v>6603774</v>
      </c>
      <c r="E537" s="3" t="str">
        <f>IFERROR(__xludf.DUMMYFUNCTION("""COMPUTED_VALUE"""),"21")</f>
        <v>21</v>
      </c>
      <c r="F537" s="3" t="str">
        <f>IFERROR(__xludf.DUMMYFUNCTION("""COMPUTED_VALUE"""),"นพอ.ธัญลักษณ์ ระลึกเย็น")</f>
        <v>นพอ.ธัญลักษณ์ ระลึกเย็น</v>
      </c>
      <c r="G537" s="3" t="str">
        <f>IFERROR(__xludf.DUMMYFUNCTION("""COMPUTED_VALUE"""),"ช่วยเหลืองานภายใน วพอ.")</f>
        <v>ช่วยเหลืองานภายใน วพอ.</v>
      </c>
      <c r="H537" s="3" t="str">
        <f>IFERROR(__xludf.DUMMYFUNCTION("""COMPUTED_VALUE"""),"อนุรักษ์สิ่งเเวดล้อม")</f>
        <v>อนุรักษ์สิ่งเเวดล้อม</v>
      </c>
      <c r="I537" s="3" t="str">
        <f>IFERROR(__xludf.DUMMYFUNCTION("""COMPUTED_VALUE"""),"วิทยาลัยพยาบาลทหารอากาศ")</f>
        <v>วิทยาลัยพยาบาลทหารอากาศ</v>
      </c>
      <c r="J537" s="12">
        <f>IFERROR(__xludf.DUMMYFUNCTION("""COMPUTED_VALUE"""),46129.0)</f>
        <v>46129</v>
      </c>
      <c r="K537" s="3" t="str">
        <f>IFERROR(__xludf.DUMMYFUNCTION("""COMPUTED_VALUE"""),"0800-1200")</f>
        <v>0800-1200</v>
      </c>
      <c r="L537" s="3">
        <f>IFERROR(__xludf.DUMMYFUNCTION("""COMPUTED_VALUE"""),4.0)</f>
        <v>4</v>
      </c>
      <c r="M537" s="3" t="str">
        <f>IFERROR(__xludf.DUMMYFUNCTION("""COMPUTED_VALUE"""),"น.ท.หญิง สุพัตรา ปิ่นเเก้ว")</f>
        <v>น.ท.หญิง สุพัตรา ปิ่นเเก้ว</v>
      </c>
      <c r="N537" s="14" t="str">
        <f>IFERROR(__xludf.DUMMYFUNCTION("""COMPUTED_VALUE"""),"https://lh5.googleusercontent.com/d/1OBNfuuJQZg-dxDfJt8XjbXnKPFd50T74")</f>
        <v>https://lh5.googleusercontent.com/d/1OBNfuuJQZg-dxDfJt8XjbXnKPFd50T74</v>
      </c>
      <c r="O537" s="14" t="str">
        <f>IFERROR(__xludf.DUMMYFUNCTION("""COMPUTED_VALUE"""),"https://drive.google.com/file/d/1g0i8yhyhcUSYORfRcIvPKLOu5XbZv5Vn/view?usp=drivesdk")</f>
        <v>https://drive.google.com/file/d/1g0i8yhyhcUSYORfRcIvPKLOu5XbZv5Vn/view?usp=drivesdk</v>
      </c>
    </row>
    <row r="538">
      <c r="A538" s="3">
        <f>IFERROR(__xludf.DUMMYFUNCTION("""COMPUTED_VALUE"""),2121.0)</f>
        <v>2121</v>
      </c>
      <c r="B538" s="11">
        <f>IFERROR(__xludf.DUMMYFUNCTION("""COMPUTED_VALUE"""),46162.63930511574)</f>
        <v>46162.63931</v>
      </c>
      <c r="C538" s="3" t="str">
        <f>IFERROR(__xludf.DUMMYFUNCTION("""COMPUTED_VALUE"""),"ชั้นปีที่ 3")</f>
        <v>ชั้นปีที่ 3</v>
      </c>
      <c r="D538" s="3" t="str">
        <f>IFERROR(__xludf.DUMMYFUNCTION("""COMPUTED_VALUE"""),"6603774")</f>
        <v>6603774</v>
      </c>
      <c r="E538" s="3" t="str">
        <f>IFERROR(__xludf.DUMMYFUNCTION("""COMPUTED_VALUE"""),"21")</f>
        <v>21</v>
      </c>
      <c r="F538" s="3" t="str">
        <f>IFERROR(__xludf.DUMMYFUNCTION("""COMPUTED_VALUE"""),"นพอ.ธัญลักษณ์ ระลึกเย็น")</f>
        <v>นพอ.ธัญลักษณ์ ระลึกเย็น</v>
      </c>
      <c r="G538" s="3" t="str">
        <f>IFERROR(__xludf.DUMMYFUNCTION("""COMPUTED_VALUE"""),"ช่วยเหลืองานภายใน วพอ.")</f>
        <v>ช่วยเหลืองานภายใน วพอ.</v>
      </c>
      <c r="H538" s="3" t="str">
        <f>IFERROR(__xludf.DUMMYFUNCTION("""COMPUTED_VALUE"""),"รับสมัครนพอ.ประจำปี 2569")</f>
        <v>รับสมัครนพอ.ประจำปี 2569</v>
      </c>
      <c r="I538" s="3" t="str">
        <f>IFERROR(__xludf.DUMMYFUNCTION("""COMPUTED_VALUE"""),"วิทยาลัยพยาบาลทหารอากาศ")</f>
        <v>วิทยาลัยพยาบาลทหารอากาศ</v>
      </c>
      <c r="J538" s="12">
        <f>IFERROR(__xludf.DUMMYFUNCTION("""COMPUTED_VALUE"""),46147.0)</f>
        <v>46147</v>
      </c>
      <c r="K538" s="3" t="str">
        <f>IFERROR(__xludf.DUMMYFUNCTION("""COMPUTED_VALUE"""),"0800-1600")</f>
        <v>0800-1600</v>
      </c>
      <c r="L538" s="3">
        <f>IFERROR(__xludf.DUMMYFUNCTION("""COMPUTED_VALUE"""),8.0)</f>
        <v>8</v>
      </c>
      <c r="M538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38" s="14" t="str">
        <f>IFERROR(__xludf.DUMMYFUNCTION("""COMPUTED_VALUE"""),"https://lh5.googleusercontent.com/d/1D3tyT3IrxeybMWCnRXM7hgRSOZ4H2fpa")</f>
        <v>https://lh5.googleusercontent.com/d/1D3tyT3IrxeybMWCnRXM7hgRSOZ4H2fpa</v>
      </c>
      <c r="O538" s="14" t="str">
        <f>IFERROR(__xludf.DUMMYFUNCTION("""COMPUTED_VALUE"""),"https://drive.google.com/file/d/1yICT3EitS2KqB02oPX4hF2E0uKmo5lVj/view?usp=drivesdk")</f>
        <v>https://drive.google.com/file/d/1yICT3EitS2KqB02oPX4hF2E0uKmo5lVj/view?usp=drivesdk</v>
      </c>
    </row>
    <row r="539">
      <c r="A539" s="3">
        <f>IFERROR(__xludf.DUMMYFUNCTION("""COMPUTED_VALUE"""),2122.0)</f>
        <v>2122</v>
      </c>
      <c r="B539" s="11">
        <f>IFERROR(__xludf.DUMMYFUNCTION("""COMPUTED_VALUE"""),46162.641846875)</f>
        <v>46162.64185</v>
      </c>
      <c r="C539" s="3" t="str">
        <f>IFERROR(__xludf.DUMMYFUNCTION("""COMPUTED_VALUE"""),"ชั้นปีที่ 3")</f>
        <v>ชั้นปีที่ 3</v>
      </c>
      <c r="D539" s="3" t="str">
        <f>IFERROR(__xludf.DUMMYFUNCTION("""COMPUTED_VALUE"""),"6603774")</f>
        <v>6603774</v>
      </c>
      <c r="E539" s="3" t="str">
        <f>IFERROR(__xludf.DUMMYFUNCTION("""COMPUTED_VALUE"""),"21")</f>
        <v>21</v>
      </c>
      <c r="F539" s="3" t="str">
        <f>IFERROR(__xludf.DUMMYFUNCTION("""COMPUTED_VALUE"""),"นพอ.ธัญลักษณ์ ระลึกเย็น")</f>
        <v>นพอ.ธัญลักษณ์ ระลึกเย็น</v>
      </c>
      <c r="G539" s="3" t="str">
        <f>IFERROR(__xludf.DUMMYFUNCTION("""COMPUTED_VALUE"""),"ช่วยเหลืองานภายใน วพอ.")</f>
        <v>ช่วยเหลืองานภายใน วพอ.</v>
      </c>
      <c r="H539" s="3" t="str">
        <f>IFERROR(__xludf.DUMMYFUNCTION("""COMPUTED_VALUE"""),"ซ้อมงานพิธีมอบหมวกพยาบาลวิชาชีพ")</f>
        <v>ซ้อมงานพิธีมอบหมวกพยาบาลวิชาชีพ</v>
      </c>
      <c r="I539" s="3" t="str">
        <f>IFERROR(__xludf.DUMMYFUNCTION("""COMPUTED_VALUE"""),"วิทยาลัยพยาบาลทหารอากาศ")</f>
        <v>วิทยาลัยพยาบาลทหารอากาศ</v>
      </c>
      <c r="J539" s="12">
        <f>IFERROR(__xludf.DUMMYFUNCTION("""COMPUTED_VALUE"""),46138.0)</f>
        <v>46138</v>
      </c>
      <c r="K539" s="3" t="str">
        <f>IFERROR(__xludf.DUMMYFUNCTION("""COMPUTED_VALUE"""),"1500-2100")</f>
        <v>1500-2100</v>
      </c>
      <c r="L539" s="3">
        <f>IFERROR(__xludf.DUMMYFUNCTION("""COMPUTED_VALUE"""),6.0)</f>
        <v>6</v>
      </c>
      <c r="M539" s="3" t="str">
        <f>IFERROR(__xludf.DUMMYFUNCTION("""COMPUTED_VALUE"""),"ร.อ.อนุชิต ทำจะดี")</f>
        <v>ร.อ.อนุชิต ทำจะดี</v>
      </c>
      <c r="N539" s="14" t="str">
        <f>IFERROR(__xludf.DUMMYFUNCTION("""COMPUTED_VALUE"""),"https://lh5.googleusercontent.com/d/1tSWelcv2Rs_cRrnHX2XDB1uo0-ogE8LO")</f>
        <v>https://lh5.googleusercontent.com/d/1tSWelcv2Rs_cRrnHX2XDB1uo0-ogE8LO</v>
      </c>
      <c r="O539" s="14" t="str">
        <f>IFERROR(__xludf.DUMMYFUNCTION("""COMPUTED_VALUE"""),"https://drive.google.com/file/d/1lE_sVCiMgo_HQ0HbPK05dTmAxgp62k3Q/view?usp=drivesdk")</f>
        <v>https://drive.google.com/file/d/1lE_sVCiMgo_HQ0HbPK05dTmAxgp62k3Q/view?usp=drivesdk</v>
      </c>
    </row>
    <row r="540">
      <c r="A540" s="3">
        <f>IFERROR(__xludf.DUMMYFUNCTION("""COMPUTED_VALUE"""),2123.0)</f>
        <v>2123</v>
      </c>
      <c r="B540" s="11">
        <f>IFERROR(__xludf.DUMMYFUNCTION("""COMPUTED_VALUE"""),46162.64510701389)</f>
        <v>46162.64511</v>
      </c>
      <c r="C540" s="3" t="str">
        <f>IFERROR(__xludf.DUMMYFUNCTION("""COMPUTED_VALUE"""),"ชั้นปีที่ 3")</f>
        <v>ชั้นปีที่ 3</v>
      </c>
      <c r="D540" s="3" t="str">
        <f>IFERROR(__xludf.DUMMYFUNCTION("""COMPUTED_VALUE"""),"6603774")</f>
        <v>6603774</v>
      </c>
      <c r="E540" s="3" t="str">
        <f>IFERROR(__xludf.DUMMYFUNCTION("""COMPUTED_VALUE"""),"21")</f>
        <v>21</v>
      </c>
      <c r="F540" s="3" t="str">
        <f>IFERROR(__xludf.DUMMYFUNCTION("""COMPUTED_VALUE"""),"นพอ.ธัญลักษณ์ ระลึกเย็น")</f>
        <v>นพอ.ธัญลักษณ์ ระลึกเย็น</v>
      </c>
      <c r="G540" s="3" t="str">
        <f>IFERROR(__xludf.DUMMYFUNCTION("""COMPUTED_VALUE"""),"ช่วยเหลืองานภายใน วพอ.")</f>
        <v>ช่วยเหลืองานภายใน วพอ.</v>
      </c>
      <c r="H540" s="3" t="str">
        <f>IFERROR(__xludf.DUMMYFUNCTION("""COMPUTED_VALUE"""),"มอบหมวกพยาบาลวิชาชีพ")</f>
        <v>มอบหมวกพยาบาลวิชาชีพ</v>
      </c>
      <c r="I540" s="3" t="str">
        <f>IFERROR(__xludf.DUMMYFUNCTION("""COMPUTED_VALUE"""),"โรงพยาบาลภูมิพลอดุลยเดช")</f>
        <v>โรงพยาบาลภูมิพลอดุลยเดช</v>
      </c>
      <c r="J540" s="12">
        <f>IFERROR(__xludf.DUMMYFUNCTION("""COMPUTED_VALUE"""),46140.0)</f>
        <v>46140</v>
      </c>
      <c r="K540" s="3" t="str">
        <f>IFERROR(__xludf.DUMMYFUNCTION("""COMPUTED_VALUE"""),"0800-1200")</f>
        <v>0800-1200</v>
      </c>
      <c r="L540" s="3">
        <f>IFERROR(__xludf.DUMMYFUNCTION("""COMPUTED_VALUE"""),4.0)</f>
        <v>4</v>
      </c>
      <c r="M540" s="3" t="str">
        <f>IFERROR(__xludf.DUMMYFUNCTION("""COMPUTED_VALUE"""),"ร.อ.อนุชิต ทำจะดี")</f>
        <v>ร.อ.อนุชิต ทำจะดี</v>
      </c>
      <c r="N540" s="14" t="str">
        <f>IFERROR(__xludf.DUMMYFUNCTION("""COMPUTED_VALUE"""),"https://lh5.googleusercontent.com/d/1Hhsy4gixRsnm4U2PnK0BPr9R-uhtONsv")</f>
        <v>https://lh5.googleusercontent.com/d/1Hhsy4gixRsnm4U2PnK0BPr9R-uhtONsv</v>
      </c>
      <c r="O540" s="14" t="str">
        <f>IFERROR(__xludf.DUMMYFUNCTION("""COMPUTED_VALUE"""),"https://drive.google.com/file/d/1u-WE0Q9LgHY8ffm3TJ05fyYRVWkpoB7Y/view?usp=drivesdk")</f>
        <v>https://drive.google.com/file/d/1u-WE0Q9LgHY8ffm3TJ05fyYRVWkpoB7Y/view?usp=drivesdk</v>
      </c>
    </row>
    <row r="541">
      <c r="A541" s="3">
        <f>IFERROR(__xludf.DUMMYFUNCTION("""COMPUTED_VALUE"""),2135.0)</f>
        <v>2135</v>
      </c>
      <c r="B541" s="11">
        <f>IFERROR(__xludf.DUMMYFUNCTION("""COMPUTED_VALUE"""),46162.683554953706)</f>
        <v>46162.68355</v>
      </c>
      <c r="C541" s="3" t="str">
        <f>IFERROR(__xludf.DUMMYFUNCTION("""COMPUTED_VALUE"""),"ชั้นปีที่ 3")</f>
        <v>ชั้นปีที่ 3</v>
      </c>
      <c r="D541" s="3" t="str">
        <f>IFERROR(__xludf.DUMMYFUNCTION("""COMPUTED_VALUE"""),"6603783")</f>
        <v>6603783</v>
      </c>
      <c r="E541" s="3" t="str">
        <f>IFERROR(__xludf.DUMMYFUNCTION("""COMPUTED_VALUE"""),"29")</f>
        <v>29</v>
      </c>
      <c r="F541" s="3" t="str">
        <f>IFERROR(__xludf.DUMMYFUNCTION("""COMPUTED_VALUE"""),"นพอ.บูรพา สิริอุดมสิน")</f>
        <v>นพอ.บูรพา สิริอุดมสิน</v>
      </c>
      <c r="G54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41" s="3" t="str">
        <f>IFERROR(__xludf.DUMMYFUNCTION("""COMPUTED_VALUE"""),"ซ้อมการแสดงวันสงกรานต์")</f>
        <v>ซ้อมการแสดงวันสงกรานต์</v>
      </c>
      <c r="I541" s="3" t="str">
        <f>IFERROR(__xludf.DUMMYFUNCTION("""COMPUTED_VALUE"""),"รพ.ศรีธัญญา")</f>
        <v>รพ.ศรีธัญญา</v>
      </c>
      <c r="J541" s="12">
        <f>IFERROR(__xludf.DUMMYFUNCTION("""COMPUTED_VALUE"""),46120.0)</f>
        <v>46120</v>
      </c>
      <c r="K541" s="3" t="str">
        <f>IFERROR(__xludf.DUMMYFUNCTION("""COMPUTED_VALUE"""),"1800 - 2000")</f>
        <v>1800 - 2000</v>
      </c>
      <c r="L541" s="3">
        <f>IFERROR(__xludf.DUMMYFUNCTION("""COMPUTED_VALUE"""),2.0)</f>
        <v>2</v>
      </c>
      <c r="M541" s="3" t="str">
        <f>IFERROR(__xludf.DUMMYFUNCTION("""COMPUTED_VALUE"""),"น.ต.หญิง รฐานุช ถิ่นสอน")</f>
        <v>น.ต.หญิง รฐานุช ถิ่นสอน</v>
      </c>
      <c r="N541" s="14" t="str">
        <f>IFERROR(__xludf.DUMMYFUNCTION("""COMPUTED_VALUE"""),"https://lh5.googleusercontent.com/d/1diPy7j_o7vy__7Wa9jKYKXKrcCtk_-WZ")</f>
        <v>https://lh5.googleusercontent.com/d/1diPy7j_o7vy__7Wa9jKYKXKrcCtk_-WZ</v>
      </c>
      <c r="O541" s="14" t="str">
        <f>IFERROR(__xludf.DUMMYFUNCTION("""COMPUTED_VALUE"""),"https://drive.google.com/file/d/1Tm3rpdfmnr6xvD5jO7iiNDytca89Mg2J/view?usp=drivesdk")</f>
        <v>https://drive.google.com/file/d/1Tm3rpdfmnr6xvD5jO7iiNDytca89Mg2J/view?usp=drivesdk</v>
      </c>
    </row>
    <row r="542">
      <c r="A542" s="3">
        <f>IFERROR(__xludf.DUMMYFUNCTION("""COMPUTED_VALUE"""),2136.0)</f>
        <v>2136</v>
      </c>
      <c r="B542" s="11">
        <f>IFERROR(__xludf.DUMMYFUNCTION("""COMPUTED_VALUE"""),46162.687495138896)</f>
        <v>46162.6875</v>
      </c>
      <c r="C542" s="3" t="str">
        <f>IFERROR(__xludf.DUMMYFUNCTION("""COMPUTED_VALUE"""),"ชั้นปีที่ 3")</f>
        <v>ชั้นปีที่ 3</v>
      </c>
      <c r="D542" s="3" t="str">
        <f>IFERROR(__xludf.DUMMYFUNCTION("""COMPUTED_VALUE"""),"6603783")</f>
        <v>6603783</v>
      </c>
      <c r="E542" s="3" t="str">
        <f>IFERROR(__xludf.DUMMYFUNCTION("""COMPUTED_VALUE"""),"29")</f>
        <v>29</v>
      </c>
      <c r="F542" s="3" t="str">
        <f>IFERROR(__xludf.DUMMYFUNCTION("""COMPUTED_VALUE"""),"นพอ.บูรพา สิริอุดมสิน")</f>
        <v>นพอ.บูรพา สิริอุดมสิน</v>
      </c>
      <c r="G54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42" s="3" t="str">
        <f>IFERROR(__xludf.DUMMYFUNCTION("""COMPUTED_VALUE"""),"เข้าร่วมกิจกรรมงานวันสงกรานต์")</f>
        <v>เข้าร่วมกิจกรรมงานวันสงกรานต์</v>
      </c>
      <c r="I542" s="3" t="str">
        <f>IFERROR(__xludf.DUMMYFUNCTION("""COMPUTED_VALUE"""),"รพ.ศรีธัญญา")</f>
        <v>รพ.ศรีธัญญา</v>
      </c>
      <c r="J542" s="12">
        <f>IFERROR(__xludf.DUMMYFUNCTION("""COMPUTED_VALUE"""),46121.0)</f>
        <v>46121</v>
      </c>
      <c r="K542" s="3" t="str">
        <f>IFERROR(__xludf.DUMMYFUNCTION("""COMPUTED_VALUE"""),"0800 - 1600")</f>
        <v>0800 - 1600</v>
      </c>
      <c r="L542" s="3">
        <f>IFERROR(__xludf.DUMMYFUNCTION("""COMPUTED_VALUE"""),8.0)</f>
        <v>8</v>
      </c>
      <c r="M542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42" s="14" t="str">
        <f>IFERROR(__xludf.DUMMYFUNCTION("""COMPUTED_VALUE"""),"https://lh5.googleusercontent.com/d/1X_v8_VEvsdhkOlRmUblxQb1yLW2ZIT-A")</f>
        <v>https://lh5.googleusercontent.com/d/1X_v8_VEvsdhkOlRmUblxQb1yLW2ZIT-A</v>
      </c>
      <c r="O542" s="14" t="str">
        <f>IFERROR(__xludf.DUMMYFUNCTION("""COMPUTED_VALUE"""),"https://drive.google.com/file/d/1KL7muEw53ZE5jTx_mK6pNm_LaTyqclxy/view?usp=drivesdk")</f>
        <v>https://drive.google.com/file/d/1KL7muEw53ZE5jTx_mK6pNm_LaTyqclxy/view?usp=drivesdk</v>
      </c>
    </row>
    <row r="543">
      <c r="A543" s="3">
        <f>IFERROR(__xludf.DUMMYFUNCTION("""COMPUTED_VALUE"""),2141.0)</f>
        <v>2141</v>
      </c>
      <c r="B543" s="11">
        <f>IFERROR(__xludf.DUMMYFUNCTION("""COMPUTED_VALUE"""),46162.69210576389)</f>
        <v>46162.69211</v>
      </c>
      <c r="C543" s="3" t="str">
        <f>IFERROR(__xludf.DUMMYFUNCTION("""COMPUTED_VALUE"""),"ชั้นปีที่ 3")</f>
        <v>ชั้นปีที่ 3</v>
      </c>
      <c r="D543" s="3" t="str">
        <f>IFERROR(__xludf.DUMMYFUNCTION("""COMPUTED_VALUE"""),"6603783")</f>
        <v>6603783</v>
      </c>
      <c r="E543" s="3" t="str">
        <f>IFERROR(__xludf.DUMMYFUNCTION("""COMPUTED_VALUE"""),"29")</f>
        <v>29</v>
      </c>
      <c r="F543" s="3" t="str">
        <f>IFERROR(__xludf.DUMMYFUNCTION("""COMPUTED_VALUE"""),"นพอ.บูรพา สิริอุดมสิน")</f>
        <v>นพอ.บูรพา สิริอุดมสิน</v>
      </c>
      <c r="G543" s="3" t="str">
        <f>IFERROR(__xludf.DUMMYFUNCTION("""COMPUTED_VALUE"""),"ช่วยเหลืองานภายใน วพอ.")</f>
        <v>ช่วยเหลืองานภายใน วพอ.</v>
      </c>
      <c r="H543" s="3" t="str">
        <f>IFERROR(__xludf.DUMMYFUNCTION("""COMPUTED_VALUE"""),"ช่วยงานรับสมัคร นพอ. ประจำปี 2569")</f>
        <v>ช่วยงานรับสมัคร นพอ. ประจำปี 2569</v>
      </c>
      <c r="I543" s="3" t="str">
        <f>IFERROR(__xludf.DUMMYFUNCTION("""COMPUTED_VALUE"""),"อาคารสำนักงาน วพอ.พอ.")</f>
        <v>อาคารสำนักงาน วพอ.พอ.</v>
      </c>
      <c r="J543" s="12">
        <f>IFERROR(__xludf.DUMMYFUNCTION("""COMPUTED_VALUE"""),46147.0)</f>
        <v>46147</v>
      </c>
      <c r="K543" s="3" t="str">
        <f>IFERROR(__xludf.DUMMYFUNCTION("""COMPUTED_VALUE"""),"0800 - 1600")</f>
        <v>0800 - 1600</v>
      </c>
      <c r="L543" s="3">
        <f>IFERROR(__xludf.DUMMYFUNCTION("""COMPUTED_VALUE"""),8.0)</f>
        <v>8</v>
      </c>
      <c r="M543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43" s="14" t="str">
        <f>IFERROR(__xludf.DUMMYFUNCTION("""COMPUTED_VALUE"""),"https://lh5.googleusercontent.com/d/1TIBXsiKV18Sl9Mm0ilpGBN6duWsbpHmq")</f>
        <v>https://lh5.googleusercontent.com/d/1TIBXsiKV18Sl9Mm0ilpGBN6duWsbpHmq</v>
      </c>
      <c r="O543" s="14" t="str">
        <f>IFERROR(__xludf.DUMMYFUNCTION("""COMPUTED_VALUE"""),"https://drive.google.com/file/d/1EQTw81pdzej6BTm9npYODK4Ix50JGwyR/view?usp=drivesdk")</f>
        <v>https://drive.google.com/file/d/1EQTw81pdzej6BTm9npYODK4Ix50JGwyR/view?usp=drivesdk</v>
      </c>
    </row>
    <row r="544">
      <c r="A544" s="3">
        <f>IFERROR(__xludf.DUMMYFUNCTION("""COMPUTED_VALUE"""),2142.0)</f>
        <v>2142</v>
      </c>
      <c r="B544" s="11">
        <f>IFERROR(__xludf.DUMMYFUNCTION("""COMPUTED_VALUE"""),46162.82700855324)</f>
        <v>46162.82701</v>
      </c>
      <c r="C544" s="3" t="str">
        <f>IFERROR(__xludf.DUMMYFUNCTION("""COMPUTED_VALUE"""),"ชั้นปีที่ 3")</f>
        <v>ชั้นปีที่ 3</v>
      </c>
      <c r="D544" s="3" t="str">
        <f>IFERROR(__xludf.DUMMYFUNCTION("""COMPUTED_VALUE"""),"6603785")</f>
        <v>6603785</v>
      </c>
      <c r="E544" s="3" t="str">
        <f>IFERROR(__xludf.DUMMYFUNCTION("""COMPUTED_VALUE"""),"31")</f>
        <v>31</v>
      </c>
      <c r="F544" s="3" t="str">
        <f>IFERROR(__xludf.DUMMYFUNCTION("""COMPUTED_VALUE"""),"นพอ.ประชาธิปไตย ปู่คาน")</f>
        <v>นพอ.ประชาธิปไตย ปู่คาน</v>
      </c>
      <c r="G544" s="3" t="str">
        <f>IFERROR(__xludf.DUMMYFUNCTION("""COMPUTED_VALUE"""),"ช่วยเหลืองานภายใน วพอ.")</f>
        <v>ช่วยเหลืองานภายใน วพอ.</v>
      </c>
      <c r="H544" s="3" t="str">
        <f>IFERROR(__xludf.DUMMYFUNCTION("""COMPUTED_VALUE"""),"ซ้อมงาน พิธีมอบหมวกวิชาชีพปีการศึกษา 2568")</f>
        <v>ซ้อมงาน พิธีมอบหมวกวิชาชีพปีการศึกษา 2568</v>
      </c>
      <c r="I544" s="3" t="str">
        <f>IFERROR(__xludf.DUMMYFUNCTION("""COMPUTED_VALUE"""),"วพอ.พอ.")</f>
        <v>วพอ.พอ.</v>
      </c>
      <c r="J544" s="12">
        <f>IFERROR(__xludf.DUMMYFUNCTION("""COMPUTED_VALUE"""),46164.0)</f>
        <v>46164</v>
      </c>
      <c r="K544" s="3" t="str">
        <f>IFERROR(__xludf.DUMMYFUNCTION("""COMPUTED_VALUE"""),"1700-2100")</f>
        <v>1700-2100</v>
      </c>
      <c r="L544" s="3">
        <f>IFERROR(__xludf.DUMMYFUNCTION("""COMPUTED_VALUE"""),4.0)</f>
        <v>4</v>
      </c>
      <c r="M544" s="3" t="str">
        <f>IFERROR(__xludf.DUMMYFUNCTION("""COMPUTED_VALUE"""),"ร.อ.อนุชิต ทำจะดี")</f>
        <v>ร.อ.อนุชิต ทำจะดี</v>
      </c>
      <c r="N544" s="14" t="str">
        <f>IFERROR(__xludf.DUMMYFUNCTION("""COMPUTED_VALUE"""),"https://lh5.googleusercontent.com/d/1g6wyTsrYuT3ZElZy2Hf21IBPCe3-9K4Y")</f>
        <v>https://lh5.googleusercontent.com/d/1g6wyTsrYuT3ZElZy2Hf21IBPCe3-9K4Y</v>
      </c>
      <c r="O544" s="14" t="str">
        <f>IFERROR(__xludf.DUMMYFUNCTION("""COMPUTED_VALUE"""),"https://drive.google.com/file/d/1HFmYnqoiDy_UgB8fQxz1L1qyW_Krdi_l/view?usp=drivesdk")</f>
        <v>https://drive.google.com/file/d/1HFmYnqoiDy_UgB8fQxz1L1qyW_Krdi_l/view?usp=drivesdk</v>
      </c>
    </row>
    <row r="545">
      <c r="A545" s="3">
        <f>IFERROR(__xludf.DUMMYFUNCTION("""COMPUTED_VALUE"""),2143.0)</f>
        <v>2143</v>
      </c>
      <c r="B545" s="11">
        <f>IFERROR(__xludf.DUMMYFUNCTION("""COMPUTED_VALUE"""),46162.82822350694)</f>
        <v>46162.82822</v>
      </c>
      <c r="C545" s="3" t="str">
        <f>IFERROR(__xludf.DUMMYFUNCTION("""COMPUTED_VALUE"""),"ชั้นปีที่ 3")</f>
        <v>ชั้นปีที่ 3</v>
      </c>
      <c r="D545" s="3" t="str">
        <f>IFERROR(__xludf.DUMMYFUNCTION("""COMPUTED_VALUE"""),"6603785")</f>
        <v>6603785</v>
      </c>
      <c r="E545" s="3" t="str">
        <f>IFERROR(__xludf.DUMMYFUNCTION("""COMPUTED_VALUE"""),"31")</f>
        <v>31</v>
      </c>
      <c r="F545" s="3" t="str">
        <f>IFERROR(__xludf.DUMMYFUNCTION("""COMPUTED_VALUE"""),"นพอ.ประชาธิปไตย ปู่คาน")</f>
        <v>นพอ.ประชาธิปไตย ปู่คาน</v>
      </c>
      <c r="G545" s="3" t="str">
        <f>IFERROR(__xludf.DUMMYFUNCTION("""COMPUTED_VALUE"""),"ช่วยเหลืองานภายใน วพอ.")</f>
        <v>ช่วยเหลืองานภายใน วพอ.</v>
      </c>
      <c r="H545" s="3" t="str">
        <f>IFERROR(__xludf.DUMMYFUNCTION("""COMPUTED_VALUE"""),"ซ้อมงานพิธีมอบหมวกพยาบาลวิชาชีพปีการศึกษา 2568")</f>
        <v>ซ้อมงานพิธีมอบหมวกพยาบาลวิชาชีพปีการศึกษา 2568</v>
      </c>
      <c r="I545" s="3" t="str">
        <f>IFERROR(__xludf.DUMMYFUNCTION("""COMPUTED_VALUE"""),"วพอ.พอ.")</f>
        <v>วพอ.พอ.</v>
      </c>
      <c r="J545" s="12">
        <f>IFERROR(__xludf.DUMMYFUNCTION("""COMPUTED_VALUE"""),46135.0)</f>
        <v>46135</v>
      </c>
      <c r="K545" s="3" t="str">
        <f>IFERROR(__xludf.DUMMYFUNCTION("""COMPUTED_VALUE"""),"1700-2100")</f>
        <v>1700-2100</v>
      </c>
      <c r="L545" s="3">
        <f>IFERROR(__xludf.DUMMYFUNCTION("""COMPUTED_VALUE"""),4.0)</f>
        <v>4</v>
      </c>
      <c r="M545" s="3" t="str">
        <f>IFERROR(__xludf.DUMMYFUNCTION("""COMPUTED_VALUE"""),"ร.อ.อนุชิต ทำจะดี")</f>
        <v>ร.อ.อนุชิต ทำจะดี</v>
      </c>
      <c r="N545" s="14" t="str">
        <f>IFERROR(__xludf.DUMMYFUNCTION("""COMPUTED_VALUE"""),"https://lh5.googleusercontent.com/d/1rRmacDvflIxO9C4N0PbnIZNC_BE0hTij")</f>
        <v>https://lh5.googleusercontent.com/d/1rRmacDvflIxO9C4N0PbnIZNC_BE0hTij</v>
      </c>
      <c r="O545" s="14" t="str">
        <f>IFERROR(__xludf.DUMMYFUNCTION("""COMPUTED_VALUE"""),"https://drive.google.com/file/d/1MUykMEWgN_sKyy0ZRrvgWZIvaiPLNsEK/view?usp=drivesdk")</f>
        <v>https://drive.google.com/file/d/1MUykMEWgN_sKyy0ZRrvgWZIvaiPLNsEK/view?usp=drivesdk</v>
      </c>
    </row>
    <row r="546">
      <c r="A546" s="3">
        <f>IFERROR(__xludf.DUMMYFUNCTION("""COMPUTED_VALUE"""),2144.0)</f>
        <v>2144</v>
      </c>
      <c r="B546" s="11">
        <f>IFERROR(__xludf.DUMMYFUNCTION("""COMPUTED_VALUE"""),46162.830458206015)</f>
        <v>46162.83046</v>
      </c>
      <c r="C546" s="3" t="str">
        <f>IFERROR(__xludf.DUMMYFUNCTION("""COMPUTED_VALUE"""),"ชั้นปีที่ 3")</f>
        <v>ชั้นปีที่ 3</v>
      </c>
      <c r="D546" s="3" t="str">
        <f>IFERROR(__xludf.DUMMYFUNCTION("""COMPUTED_VALUE"""),"6603785")</f>
        <v>6603785</v>
      </c>
      <c r="E546" s="3" t="str">
        <f>IFERROR(__xludf.DUMMYFUNCTION("""COMPUTED_VALUE"""),"31")</f>
        <v>31</v>
      </c>
      <c r="F546" s="3" t="str">
        <f>IFERROR(__xludf.DUMMYFUNCTION("""COMPUTED_VALUE"""),"นพอ.ประชาธิปไตย ปู่คาน")</f>
        <v>นพอ.ประชาธิปไตย ปู่คาน</v>
      </c>
      <c r="G546" s="3" t="str">
        <f>IFERROR(__xludf.DUMMYFUNCTION("""COMPUTED_VALUE"""),"ช่วยเหลืองานภายใน วพอ.")</f>
        <v>ช่วยเหลืองานภายใน วพอ.</v>
      </c>
      <c r="H546" s="3" t="str">
        <f>IFERROR(__xludf.DUMMYFUNCTION("""COMPUTED_VALUE"""),"ซ้อมงานพิธีมอบหมวกพยาบาลวิชาชีพปีการศึกษา 2568")</f>
        <v>ซ้อมงานพิธีมอบหมวกพยาบาลวิชาชีพปีการศึกษา 2568</v>
      </c>
      <c r="I546" s="3" t="str">
        <f>IFERROR(__xludf.DUMMYFUNCTION("""COMPUTED_VALUE"""),"วพอ.พอ.")</f>
        <v>วพอ.พอ.</v>
      </c>
      <c r="J546" s="12">
        <f>IFERROR(__xludf.DUMMYFUNCTION("""COMPUTED_VALUE"""),46138.0)</f>
        <v>46138</v>
      </c>
      <c r="K546" s="3" t="str">
        <f>IFERROR(__xludf.DUMMYFUNCTION("""COMPUTED_VALUE"""),"1500-2100")</f>
        <v>1500-2100</v>
      </c>
      <c r="L546" s="3">
        <f>IFERROR(__xludf.DUMMYFUNCTION("""COMPUTED_VALUE"""),6.0)</f>
        <v>6</v>
      </c>
      <c r="M546" s="3" t="str">
        <f>IFERROR(__xludf.DUMMYFUNCTION("""COMPUTED_VALUE"""),"ร.อ.อนุชิต ทำจะดี")</f>
        <v>ร.อ.อนุชิต ทำจะดี</v>
      </c>
      <c r="N546" s="14" t="str">
        <f>IFERROR(__xludf.DUMMYFUNCTION("""COMPUTED_VALUE"""),"https://lh5.googleusercontent.com/d/1Sl5s3gyTBAJ9gfgQM6s81kKm1X8Lb62Z")</f>
        <v>https://lh5.googleusercontent.com/d/1Sl5s3gyTBAJ9gfgQM6s81kKm1X8Lb62Z</v>
      </c>
      <c r="O546" s="14" t="str">
        <f>IFERROR(__xludf.DUMMYFUNCTION("""COMPUTED_VALUE"""),"https://drive.google.com/file/d/11KvtGw1HVD7rQD1tv5HQnfhU0trRNDB7/view?usp=drivesdk")</f>
        <v>https://drive.google.com/file/d/11KvtGw1HVD7rQD1tv5HQnfhU0trRNDB7/view?usp=drivesdk</v>
      </c>
    </row>
    <row r="547">
      <c r="A547" s="3">
        <f>IFERROR(__xludf.DUMMYFUNCTION("""COMPUTED_VALUE"""),2145.0)</f>
        <v>2145</v>
      </c>
      <c r="B547" s="11">
        <f>IFERROR(__xludf.DUMMYFUNCTION("""COMPUTED_VALUE"""),46162.83261564815)</f>
        <v>46162.83262</v>
      </c>
      <c r="C547" s="3" t="str">
        <f>IFERROR(__xludf.DUMMYFUNCTION("""COMPUTED_VALUE"""),"ชั้นปีที่ 3")</f>
        <v>ชั้นปีที่ 3</v>
      </c>
      <c r="D547" s="3" t="str">
        <f>IFERROR(__xludf.DUMMYFUNCTION("""COMPUTED_VALUE"""),"6603785")</f>
        <v>6603785</v>
      </c>
      <c r="E547" s="3" t="str">
        <f>IFERROR(__xludf.DUMMYFUNCTION("""COMPUTED_VALUE"""),"31")</f>
        <v>31</v>
      </c>
      <c r="F547" s="3" t="str">
        <f>IFERROR(__xludf.DUMMYFUNCTION("""COMPUTED_VALUE"""),"นพอ.ประชาธิปไตย ปู่คาน")</f>
        <v>นพอ.ประชาธิปไตย ปู่คาน</v>
      </c>
      <c r="G547" s="3" t="str">
        <f>IFERROR(__xludf.DUMMYFUNCTION("""COMPUTED_VALUE"""),"ช่วยเหลืองานภายใน วพอ.")</f>
        <v>ช่วยเหลืองานภายใน วพอ.</v>
      </c>
      <c r="H547" s="3" t="str">
        <f>IFERROR(__xludf.DUMMYFUNCTION("""COMPUTED_VALUE"""),"ซ้อมพิธีรับหมวกพยาบาลวิชาชีพปีการศึกษา 2568")</f>
        <v>ซ้อมพิธีรับหมวกพยาบาลวิชาชีพปีการศึกษา 2568</v>
      </c>
      <c r="I547" s="3" t="str">
        <f>IFERROR(__xludf.DUMMYFUNCTION("""COMPUTED_VALUE"""),"หอประชุมธูปเตมีย์โรงพยาบาลภูมิพล")</f>
        <v>หอประชุมธูปเตมีย์โรงพยาบาลภูมิพล</v>
      </c>
      <c r="J547" s="12">
        <f>IFERROR(__xludf.DUMMYFUNCTION("""COMPUTED_VALUE"""),46139.0)</f>
        <v>46139</v>
      </c>
      <c r="K547" s="3" t="str">
        <f>IFERROR(__xludf.DUMMYFUNCTION("""COMPUTED_VALUE"""),"1700-2100")</f>
        <v>1700-2100</v>
      </c>
      <c r="L547" s="3">
        <f>IFERROR(__xludf.DUMMYFUNCTION("""COMPUTED_VALUE"""),4.0)</f>
        <v>4</v>
      </c>
      <c r="M547" s="3" t="str">
        <f>IFERROR(__xludf.DUMMYFUNCTION("""COMPUTED_VALUE"""),"ร.อ.อนุชิต ทำจะดี")</f>
        <v>ร.อ.อนุชิต ทำจะดี</v>
      </c>
      <c r="N547" s="14" t="str">
        <f>IFERROR(__xludf.DUMMYFUNCTION("""COMPUTED_VALUE"""),"https://lh5.googleusercontent.com/d/1WqTQHFooVZA1RdxujIS5Yfop-8H6UhzR")</f>
        <v>https://lh5.googleusercontent.com/d/1WqTQHFooVZA1RdxujIS5Yfop-8H6UhzR</v>
      </c>
      <c r="O547" s="14" t="str">
        <f>IFERROR(__xludf.DUMMYFUNCTION("""COMPUTED_VALUE"""),"https://drive.google.com/file/d/1TSd7lQ-tC6iAOWJyajR51GG28RGurQ2Q/view?usp=drivesdk")</f>
        <v>https://drive.google.com/file/d/1TSd7lQ-tC6iAOWJyajR51GG28RGurQ2Q/view?usp=drivesdk</v>
      </c>
    </row>
    <row r="548">
      <c r="A548" s="3">
        <f>IFERROR(__xludf.DUMMYFUNCTION("""COMPUTED_VALUE"""),2146.0)</f>
        <v>2146</v>
      </c>
      <c r="B548" s="11">
        <f>IFERROR(__xludf.DUMMYFUNCTION("""COMPUTED_VALUE"""),46162.837382025464)</f>
        <v>46162.83738</v>
      </c>
      <c r="C548" s="3" t="str">
        <f>IFERROR(__xludf.DUMMYFUNCTION("""COMPUTED_VALUE"""),"ชั้นปีที่ 3")</f>
        <v>ชั้นปีที่ 3</v>
      </c>
      <c r="D548" s="3" t="str">
        <f>IFERROR(__xludf.DUMMYFUNCTION("""COMPUTED_VALUE"""),"6603785")</f>
        <v>6603785</v>
      </c>
      <c r="E548" s="3" t="str">
        <f>IFERROR(__xludf.DUMMYFUNCTION("""COMPUTED_VALUE"""),"31")</f>
        <v>31</v>
      </c>
      <c r="F548" s="3" t="str">
        <f>IFERROR(__xludf.DUMMYFUNCTION("""COMPUTED_VALUE"""),"นพอ.ประชาธิปไตย ปู่คาน")</f>
        <v>นพอ.ประชาธิปไตย ปู่คาน</v>
      </c>
      <c r="G54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8" s="3" t="str">
        <f>IFERROR(__xludf.DUMMYFUNCTION("""COMPUTED_VALUE"""),"เข้าร่วมพิธีลงนาม บันทึกข้อตกลงความร่วมมือ (MOU) เพื่อดำเนินการพัฒนาระบบบริการเลิกผลิตภัณฑ์นิโคติน และส่งเสริมการสร้างสิ่งแวดล้อมปลอดบุหรี่ ระหว่างสมาคมแพทย์ทหารแห่งประเทศไทย ในพระบรมราชูปถัมภ์ กับสมาพันธ์เครือข่ายแห่งชาติเพื่อสังคมไทยปลอดบุหรี่ ภายใต้แพท"&amp;"ยสมาคมแห่งประเทศไทย ในพระบรมราชูปถัมภ์")</f>
        <v>เข้าร่วมพิธีลงนาม บันทึกข้อตกลงความร่วมมือ (MOU) เพื่อดำเนินการพัฒนาระบบบริการเลิกผลิตภัณฑ์นิโคติน และส่งเสริมการสร้างสิ่งแวดล้อมปลอดบุหรี่ ระหว่างสมาคมแพทย์ทหารแห่งประเทศไทย ในพระบรมราชูปถัมภ์ กับสมาพันธ์เครือข่ายแห่งชาติเพื่อสังคมไทยปลอดบุหรี่ ภายใต้แพทยสมาคมแห่งประเทศไทย ในพระบรมราชูปถัมภ์</v>
      </c>
      <c r="I548" s="3" t="str">
        <f>IFERROR(__xludf.DUMMYFUNCTION("""COMPUTED_VALUE"""),"โรงพยาบาลตำรวจ")</f>
        <v>โรงพยาบาลตำรวจ</v>
      </c>
      <c r="J548" s="12">
        <f>IFERROR(__xludf.DUMMYFUNCTION("""COMPUTED_VALUE"""),46148.0)</f>
        <v>46148</v>
      </c>
      <c r="K548" s="3" t="str">
        <f>IFERROR(__xludf.DUMMYFUNCTION("""COMPUTED_VALUE"""),"0800-1200")</f>
        <v>0800-1200</v>
      </c>
      <c r="L548" s="3">
        <f>IFERROR(__xludf.DUMMYFUNCTION("""COMPUTED_VALUE"""),4.0)</f>
        <v>4</v>
      </c>
      <c r="M548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548" s="14" t="str">
        <f>IFERROR(__xludf.DUMMYFUNCTION("""COMPUTED_VALUE"""),"https://lh5.googleusercontent.com/d/1-mWgwzzaOuTF4S_bN7EnHPALeXAU-bDM")</f>
        <v>https://lh5.googleusercontent.com/d/1-mWgwzzaOuTF4S_bN7EnHPALeXAU-bDM</v>
      </c>
      <c r="O548" s="14" t="str">
        <f>IFERROR(__xludf.DUMMYFUNCTION("""COMPUTED_VALUE"""),"https://drive.google.com/file/d/1fMPwzLAzhL3I1fzOlUM4u0hY0nntD5VE/view?usp=drivesdk")</f>
        <v>https://drive.google.com/file/d/1fMPwzLAzhL3I1fzOlUM4u0hY0nntD5VE/view?usp=drivesdk</v>
      </c>
    </row>
    <row r="549">
      <c r="A549" s="3">
        <f>IFERROR(__xludf.DUMMYFUNCTION("""COMPUTED_VALUE"""),2152.0)</f>
        <v>2152</v>
      </c>
      <c r="B549" s="11">
        <f>IFERROR(__xludf.DUMMYFUNCTION("""COMPUTED_VALUE"""),46164.56283570602)</f>
        <v>46164.56284</v>
      </c>
      <c r="C549" s="3" t="str">
        <f>IFERROR(__xludf.DUMMYFUNCTION("""COMPUTED_VALUE"""),"ชั้นปีที่ 3")</f>
        <v>ชั้นปีที่ 3</v>
      </c>
      <c r="D549" s="3" t="str">
        <f>IFERROR(__xludf.DUMMYFUNCTION("""COMPUTED_VALUE"""),"6603777")</f>
        <v>6603777</v>
      </c>
      <c r="E549" s="3" t="str">
        <f>IFERROR(__xludf.DUMMYFUNCTION("""COMPUTED_VALUE"""),"23")</f>
        <v>23</v>
      </c>
      <c r="F549" s="3" t="str">
        <f>IFERROR(__xludf.DUMMYFUNCTION("""COMPUTED_VALUE"""),"นพอ.นัชธิดา ไกรทองสุข")</f>
        <v>นพอ.นัชธิดา ไกรทองสุข</v>
      </c>
      <c r="G549" s="3" t="str">
        <f>IFERROR(__xludf.DUMMYFUNCTION("""COMPUTED_VALUE"""),"ช่วยเหลืองานภายใน วพอ.")</f>
        <v>ช่วยเหลืองานภายใน วพอ.</v>
      </c>
      <c r="H549" s="3" t="str">
        <f>IFERROR(__xludf.DUMMYFUNCTION("""COMPUTED_VALUE"""),"ทดสอบพิเศษนักเรียนปีการศึกษา 69 ")</f>
        <v>ทดสอบพิเศษนักเรียนปีการศึกษา 69 </v>
      </c>
      <c r="I549" s="3" t="str">
        <f>IFERROR(__xludf.DUMMYFUNCTION("""COMPUTED_VALUE"""),"วพอ.พอ.")</f>
        <v>วพอ.พอ.</v>
      </c>
      <c r="J549" s="12">
        <f>IFERROR(__xludf.DUMMYFUNCTION("""COMPUTED_VALUE"""),46147.0)</f>
        <v>46147</v>
      </c>
      <c r="K549" s="3" t="str">
        <f>IFERROR(__xludf.DUMMYFUNCTION("""COMPUTED_VALUE"""),"0600-1500")</f>
        <v>0600-1500</v>
      </c>
      <c r="L549" s="3">
        <f>IFERROR(__xludf.DUMMYFUNCTION("""COMPUTED_VALUE"""),8.0)</f>
        <v>8</v>
      </c>
      <c r="M549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49" s="14" t="str">
        <f>IFERROR(__xludf.DUMMYFUNCTION("""COMPUTED_VALUE"""),"https://lh5.googleusercontent.com/d/1Z33WlJd8aGacrbMYkwBTlyR7rtWSW8Fb")</f>
        <v>https://lh5.googleusercontent.com/d/1Z33WlJd8aGacrbMYkwBTlyR7rtWSW8Fb</v>
      </c>
      <c r="O549" s="14" t="str">
        <f>IFERROR(__xludf.DUMMYFUNCTION("""COMPUTED_VALUE"""),"https://drive.google.com/file/d/1UzqVVpj5z7ZOIErqOQwKG8Ozcos4BeU4/view?usp=drivesdk")</f>
        <v>https://drive.google.com/file/d/1UzqVVpj5z7ZOIErqOQwKG8Ozcos4BeU4/view?usp=drivesdk</v>
      </c>
    </row>
    <row r="550">
      <c r="A550" s="3">
        <f>IFERROR(__xludf.DUMMYFUNCTION("""COMPUTED_VALUE"""),2155.0)</f>
        <v>2155</v>
      </c>
      <c r="B550" s="11">
        <f>IFERROR(__xludf.DUMMYFUNCTION("""COMPUTED_VALUE"""),46165.43052572916)</f>
        <v>46165.43053</v>
      </c>
      <c r="C550" s="3" t="str">
        <f>IFERROR(__xludf.DUMMYFUNCTION("""COMPUTED_VALUE"""),"ชั้นปีที่ 3")</f>
        <v>ชั้นปีที่ 3</v>
      </c>
      <c r="D550" s="3" t="str">
        <f>IFERROR(__xludf.DUMMYFUNCTION("""COMPUTED_VALUE"""),"6603797")</f>
        <v>6603797</v>
      </c>
      <c r="E550" s="3" t="str">
        <f>IFERROR(__xludf.DUMMYFUNCTION("""COMPUTED_VALUE"""),"43")</f>
        <v>43</v>
      </c>
      <c r="F550" s="3" t="str">
        <f>IFERROR(__xludf.DUMMYFUNCTION("""COMPUTED_VALUE"""),"นพอ.พิมพ์ลภัส ทองดีเลิศ")</f>
        <v>นพอ.พิมพ์ลภัส ทองดีเลิศ</v>
      </c>
      <c r="G5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0" s="3" t="str">
        <f>IFERROR(__xludf.DUMMYFUNCTION("""COMPUTED_VALUE"""),"งานกาชาด")</f>
        <v>งานกาชาด</v>
      </c>
      <c r="I550" s="3" t="str">
        <f>IFERROR(__xludf.DUMMYFUNCTION("""COMPUTED_VALUE"""),"สวนลุมพินี")</f>
        <v>สวนลุมพินี</v>
      </c>
      <c r="J550" s="12">
        <f>IFERROR(__xludf.DUMMYFUNCTION("""COMPUTED_VALUE"""),46010.0)</f>
        <v>46010</v>
      </c>
      <c r="K550" s="3" t="str">
        <f>IFERROR(__xludf.DUMMYFUNCTION("""COMPUTED_VALUE"""),"1400-2200")</f>
        <v>1400-2200</v>
      </c>
      <c r="L550" s="3">
        <f>IFERROR(__xludf.DUMMYFUNCTION("""COMPUTED_VALUE"""),8.0)</f>
        <v>8</v>
      </c>
      <c r="M550" s="3" t="str">
        <f>IFERROR(__xludf.DUMMYFUNCTION("""COMPUTED_VALUE"""),"น.อ.ผศ.วัลภา อันดารา")</f>
        <v>น.อ.ผศ.วัลภา อันดารา</v>
      </c>
      <c r="N550" s="14" t="str">
        <f>IFERROR(__xludf.DUMMYFUNCTION("""COMPUTED_VALUE"""),"https://lh5.googleusercontent.com/d/1a3rEW8liXfOlxZSx8KZiQLfM8rPjkaWK")</f>
        <v>https://lh5.googleusercontent.com/d/1a3rEW8liXfOlxZSx8KZiQLfM8rPjkaWK</v>
      </c>
      <c r="O550" s="14" t="str">
        <f>IFERROR(__xludf.DUMMYFUNCTION("""COMPUTED_VALUE"""),"https://drive.google.com/file/d/18shZqDouieXpTa1OTm7D5nRn5E-RFcbS/view?usp=drivesdk")</f>
        <v>https://drive.google.com/file/d/18shZqDouieXpTa1OTm7D5nRn5E-RFcbS/view?usp=drivesdk</v>
      </c>
    </row>
    <row r="551">
      <c r="A551" s="3">
        <f>IFERROR(__xludf.DUMMYFUNCTION("""COMPUTED_VALUE"""),2162.0)</f>
        <v>2162</v>
      </c>
      <c r="B551" s="11">
        <f>IFERROR(__xludf.DUMMYFUNCTION("""COMPUTED_VALUE"""),46167.3039664699)</f>
        <v>46167.30397</v>
      </c>
      <c r="C551" s="3" t="str">
        <f>IFERROR(__xludf.DUMMYFUNCTION("""COMPUTED_VALUE"""),"ชั้นปีที่ 3")</f>
        <v>ชั้นปีที่ 3</v>
      </c>
      <c r="D551" s="3" t="str">
        <f>IFERROR(__xludf.DUMMYFUNCTION("""COMPUTED_VALUE"""),"6603758")</f>
        <v>6603758</v>
      </c>
      <c r="E551" s="3" t="str">
        <f>IFERROR(__xludf.DUMMYFUNCTION("""COMPUTED_VALUE"""),"5")</f>
        <v>5</v>
      </c>
      <c r="F551" s="3" t="str">
        <f>IFERROR(__xludf.DUMMYFUNCTION("""COMPUTED_VALUE"""),"นพอ.กาญจน์สุดา เหล่าบุตรดี")</f>
        <v>นพอ.กาญจน์สุดา เหล่าบุตรดี</v>
      </c>
      <c r="G551" s="3" t="str">
        <f>IFERROR(__xludf.DUMMYFUNCTION("""COMPUTED_VALUE"""),"ช่วยเหลืองานภายใน วพอ.")</f>
        <v>ช่วยเหลืองานภายใน วพอ.</v>
      </c>
      <c r="H551" s="3" t="str">
        <f>IFERROR(__xludf.DUMMYFUNCTION("""COMPUTED_VALUE"""),"อนุรักษ์สิ่งแวดล้อม")</f>
        <v>อนุรักษ์สิ่งแวดล้อม</v>
      </c>
      <c r="I551" s="3" t="str">
        <f>IFERROR(__xludf.DUMMYFUNCTION("""COMPUTED_VALUE"""),"วพอ.")</f>
        <v>วพอ.</v>
      </c>
      <c r="J551" s="12">
        <f>IFERROR(__xludf.DUMMYFUNCTION("""COMPUTED_VALUE"""),46129.0)</f>
        <v>46129</v>
      </c>
      <c r="K551" s="3" t="str">
        <f>IFERROR(__xludf.DUMMYFUNCTION("""COMPUTED_VALUE"""),"0800-1200")</f>
        <v>0800-1200</v>
      </c>
      <c r="L551" s="3">
        <f>IFERROR(__xludf.DUMMYFUNCTION("""COMPUTED_VALUE"""),4.0)</f>
        <v>4</v>
      </c>
      <c r="M551" s="3" t="str">
        <f>IFERROR(__xludf.DUMMYFUNCTION("""COMPUTED_VALUE"""),"น.ท.หญิง สุพัตรา ปิ่นแก้ว")</f>
        <v>น.ท.หญิง สุพัตรา ปิ่นแก้ว</v>
      </c>
      <c r="N551" s="14" t="str">
        <f>IFERROR(__xludf.DUMMYFUNCTION("""COMPUTED_VALUE"""),"https://lh5.googleusercontent.com/d/1OJYzzOjx1XTgVLBW2Ap1aficBadDq2Gc")</f>
        <v>https://lh5.googleusercontent.com/d/1OJYzzOjx1XTgVLBW2Ap1aficBadDq2Gc</v>
      </c>
      <c r="O551" s="14" t="str">
        <f>IFERROR(__xludf.DUMMYFUNCTION("""COMPUTED_VALUE"""),"https://drive.google.com/file/d/15sK9orYpm2T3922SJ-f25N0gxCFmKcl1/view?usp=drivesdk")</f>
        <v>https://drive.google.com/file/d/15sK9orYpm2T3922SJ-f25N0gxCFmKcl1/view?usp=drivesdk</v>
      </c>
    </row>
    <row r="552">
      <c r="A552" s="3">
        <f>IFERROR(__xludf.DUMMYFUNCTION("""COMPUTED_VALUE"""),2163.0)</f>
        <v>2163</v>
      </c>
      <c r="B552" s="11">
        <f>IFERROR(__xludf.DUMMYFUNCTION("""COMPUTED_VALUE"""),46167.312795150465)</f>
        <v>46167.3128</v>
      </c>
      <c r="C552" s="3" t="str">
        <f>IFERROR(__xludf.DUMMYFUNCTION("""COMPUTED_VALUE"""),"ชั้นปีที่ 3")</f>
        <v>ชั้นปีที่ 3</v>
      </c>
      <c r="D552" s="3" t="str">
        <f>IFERROR(__xludf.DUMMYFUNCTION("""COMPUTED_VALUE"""),"6603758")</f>
        <v>6603758</v>
      </c>
      <c r="E552" s="3" t="str">
        <f>IFERROR(__xludf.DUMMYFUNCTION("""COMPUTED_VALUE"""),"5")</f>
        <v>5</v>
      </c>
      <c r="F552" s="3" t="str">
        <f>IFERROR(__xludf.DUMMYFUNCTION("""COMPUTED_VALUE"""),"นพอ.กาญจน์สุดา เหล่าบุตรดี")</f>
        <v>นพอ.กาญจน์สุดา เหล่าบุตรดี</v>
      </c>
      <c r="G5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2" s="3" t="str">
        <f>IFERROR(__xludf.DUMMYFUNCTION("""COMPUTED_VALUE"""),"สงกรานต์เบิกบานจิต")</f>
        <v>สงกรานต์เบิกบานจิต</v>
      </c>
      <c r="I552" s="3" t="str">
        <f>IFERROR(__xludf.DUMMYFUNCTION("""COMPUTED_VALUE"""),"โรงพยาบาลศรีธัญญา")</f>
        <v>โรงพยาบาลศรีธัญญา</v>
      </c>
      <c r="J552" s="12">
        <f>IFERROR(__xludf.DUMMYFUNCTION("""COMPUTED_VALUE"""),46121.0)</f>
        <v>46121</v>
      </c>
      <c r="K552" s="3" t="str">
        <f>IFERROR(__xludf.DUMMYFUNCTION("""COMPUTED_VALUE"""),"0800-1600")</f>
        <v>0800-1600</v>
      </c>
      <c r="L552" s="3">
        <f>IFERROR(__xludf.DUMMYFUNCTION("""COMPUTED_VALUE"""),8.0)</f>
        <v>8</v>
      </c>
      <c r="M552" s="3" t="str">
        <f>IFERROR(__xludf.DUMMYFUNCTION("""COMPUTED_VALUE"""),"น.ต.หญิง รฐานุช ถิ่นสอน")</f>
        <v>น.ต.หญิง รฐานุช ถิ่นสอน</v>
      </c>
      <c r="N552" s="14" t="str">
        <f>IFERROR(__xludf.DUMMYFUNCTION("""COMPUTED_VALUE"""),"https://lh5.googleusercontent.com/d/1KJu2y9gFTshmjP2AHHSXqsFCc1BJqW5e")</f>
        <v>https://lh5.googleusercontent.com/d/1KJu2y9gFTshmjP2AHHSXqsFCc1BJqW5e</v>
      </c>
      <c r="O552" s="14" t="str">
        <f>IFERROR(__xludf.DUMMYFUNCTION("""COMPUTED_VALUE"""),"https://drive.google.com/file/d/1jIUrNGuiBBwh11xO0hu2BU89lMfJuVYE/view?usp=drivesdk")</f>
        <v>https://drive.google.com/file/d/1jIUrNGuiBBwh11xO0hu2BU89lMfJuVYE/view?usp=drivesdk</v>
      </c>
    </row>
    <row r="553">
      <c r="A553" s="3">
        <f>IFERROR(__xludf.DUMMYFUNCTION("""COMPUTED_VALUE"""),2165.0)</f>
        <v>2165</v>
      </c>
      <c r="B553" s="11">
        <f>IFERROR(__xludf.DUMMYFUNCTION("""COMPUTED_VALUE"""),46167.31602553241)</f>
        <v>46167.31603</v>
      </c>
      <c r="C553" s="3" t="str">
        <f>IFERROR(__xludf.DUMMYFUNCTION("""COMPUTED_VALUE"""),"ชั้นปีที่ 3")</f>
        <v>ชั้นปีที่ 3</v>
      </c>
      <c r="D553" s="3" t="str">
        <f>IFERROR(__xludf.DUMMYFUNCTION("""COMPUTED_VALUE"""),"6603758")</f>
        <v>6603758</v>
      </c>
      <c r="E553" s="3" t="str">
        <f>IFERROR(__xludf.DUMMYFUNCTION("""COMPUTED_VALUE"""),"5")</f>
        <v>5</v>
      </c>
      <c r="F553" s="3" t="str">
        <f>IFERROR(__xludf.DUMMYFUNCTION("""COMPUTED_VALUE"""),"นพอ.")</f>
        <v>นพอ.</v>
      </c>
      <c r="G553" s="3" t="str">
        <f>IFERROR(__xludf.DUMMYFUNCTION("""COMPUTED_VALUE"""),"ช่วยเหลืองานภายใน วพอ.")</f>
        <v>ช่วยเหลืองานภายใน วพอ.</v>
      </c>
      <c r="H55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53" s="3" t="str">
        <f>IFERROR(__xludf.DUMMYFUNCTION("""COMPUTED_VALUE"""),"วพอ.")</f>
        <v>วพอ.</v>
      </c>
      <c r="J553" s="12">
        <f>IFERROR(__xludf.DUMMYFUNCTION("""COMPUTED_VALUE"""),46138.0)</f>
        <v>46138</v>
      </c>
      <c r="K553" s="3" t="str">
        <f>IFERROR(__xludf.DUMMYFUNCTION("""COMPUTED_VALUE"""),"1500-2100")</f>
        <v>1500-2100</v>
      </c>
      <c r="L553" s="3">
        <f>IFERROR(__xludf.DUMMYFUNCTION("""COMPUTED_VALUE"""),6.0)</f>
        <v>6</v>
      </c>
      <c r="M553" s="3" t="str">
        <f>IFERROR(__xludf.DUMMYFUNCTION("""COMPUTED_VALUE"""),"ร.อ. อนุชิต ทำจะดี")</f>
        <v>ร.อ. อนุชิต ทำจะดี</v>
      </c>
      <c r="N553" s="14" t="str">
        <f>IFERROR(__xludf.DUMMYFUNCTION("""COMPUTED_VALUE"""),"https://lh5.googleusercontent.com/d/1WvLDTNk-sWr1yzP0RKjT6_8BdNepvyRM")</f>
        <v>https://lh5.googleusercontent.com/d/1WvLDTNk-sWr1yzP0RKjT6_8BdNepvyRM</v>
      </c>
      <c r="O553" s="14" t="str">
        <f>IFERROR(__xludf.DUMMYFUNCTION("""COMPUTED_VALUE"""),"https://drive.google.com/file/d/1VwBos4GwgdHWKeTZBPvztzAKF_j8GnN-/view?usp=drivesdk")</f>
        <v>https://drive.google.com/file/d/1VwBos4GwgdHWKeTZBPvztzAKF_j8GnN-/view?usp=drivesdk</v>
      </c>
    </row>
    <row r="554">
      <c r="A554" s="3">
        <f>IFERROR(__xludf.DUMMYFUNCTION("""COMPUTED_VALUE"""),2167.0)</f>
        <v>2167</v>
      </c>
      <c r="B554" s="11">
        <f>IFERROR(__xludf.DUMMYFUNCTION("""COMPUTED_VALUE"""),46167.32082101852)</f>
        <v>46167.32082</v>
      </c>
      <c r="C554" s="3" t="str">
        <f>IFERROR(__xludf.DUMMYFUNCTION("""COMPUTED_VALUE"""),"ชั้นปีที่ 3")</f>
        <v>ชั้นปีที่ 3</v>
      </c>
      <c r="D554" s="3" t="str">
        <f>IFERROR(__xludf.DUMMYFUNCTION("""COMPUTED_VALUE"""),"6603776")</f>
        <v>6603776</v>
      </c>
      <c r="E554" s="3" t="str">
        <f>IFERROR(__xludf.DUMMYFUNCTION("""COMPUTED_VALUE"""),"22")</f>
        <v>22</v>
      </c>
      <c r="F554" s="3" t="str">
        <f>IFERROR(__xludf.DUMMYFUNCTION("""COMPUTED_VALUE"""),"นพอ.นภชนก อัครวุฒิญาณ")</f>
        <v>นพอ.นภชนก อัครวุฒิญาณ</v>
      </c>
      <c r="G5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4" s="3" t="str">
        <f>IFERROR(__xludf.DUMMYFUNCTION("""COMPUTED_VALUE"""),"งานสงกรานต์ เบิกบานจิต")</f>
        <v>งานสงกรานต์ เบิกบานจิต</v>
      </c>
      <c r="I554" s="3" t="str">
        <f>IFERROR(__xludf.DUMMYFUNCTION("""COMPUTED_VALUE"""),"โรงพยาบาลศรีธัญญา")</f>
        <v>โรงพยาบาลศรีธัญญา</v>
      </c>
      <c r="J554" s="12">
        <f>IFERROR(__xludf.DUMMYFUNCTION("""COMPUTED_VALUE"""),46121.0)</f>
        <v>46121</v>
      </c>
      <c r="K554" s="3" t="str">
        <f>IFERROR(__xludf.DUMMYFUNCTION("""COMPUTED_VALUE"""),"1300")</f>
        <v>1300</v>
      </c>
      <c r="L554" s="3">
        <f>IFERROR(__xludf.DUMMYFUNCTION("""COMPUTED_VALUE"""),8.0)</f>
        <v>8</v>
      </c>
      <c r="M554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54" s="14" t="str">
        <f>IFERROR(__xludf.DUMMYFUNCTION("""COMPUTED_VALUE"""),"https://lh5.googleusercontent.com/d/1Ck4ZG4o3J5bNBYAzMA4CZur2B7nbpb_L")</f>
        <v>https://lh5.googleusercontent.com/d/1Ck4ZG4o3J5bNBYAzMA4CZur2B7nbpb_L</v>
      </c>
      <c r="O554" s="14" t="str">
        <f>IFERROR(__xludf.DUMMYFUNCTION("""COMPUTED_VALUE"""),"https://drive.google.com/file/d/1eyKapDvroaQLedBGHjQ64pkOXPfVWVml/view?usp=drivesdk")</f>
        <v>https://drive.google.com/file/d/1eyKapDvroaQLedBGHjQ64pkOXPfVWVml/view?usp=drivesdk</v>
      </c>
    </row>
    <row r="555">
      <c r="A555" s="3">
        <f>IFERROR(__xludf.DUMMYFUNCTION("""COMPUTED_VALUE"""),2170.0)</f>
        <v>2170</v>
      </c>
      <c r="B555" s="11">
        <f>IFERROR(__xludf.DUMMYFUNCTION("""COMPUTED_VALUE"""),46167.32184478009)</f>
        <v>46167.32184</v>
      </c>
      <c r="C555" s="3" t="str">
        <f>IFERROR(__xludf.DUMMYFUNCTION("""COMPUTED_VALUE"""),"ชั้นปีที่ 3")</f>
        <v>ชั้นปีที่ 3</v>
      </c>
      <c r="D555" s="3" t="str">
        <f>IFERROR(__xludf.DUMMYFUNCTION("""COMPUTED_VALUE"""),"6603758")</f>
        <v>6603758</v>
      </c>
      <c r="E555" s="3" t="str">
        <f>IFERROR(__xludf.DUMMYFUNCTION("""COMPUTED_VALUE"""),"5")</f>
        <v>5</v>
      </c>
      <c r="F555" s="3" t="str">
        <f>IFERROR(__xludf.DUMMYFUNCTION("""COMPUTED_VALUE"""),"นพอ.กาญจน์สุดา เหล่าบุตรดี")</f>
        <v>นพอ.กาญจน์สุดา เหล่าบุตรดี</v>
      </c>
      <c r="G555" s="3" t="str">
        <f>IFERROR(__xludf.DUMMYFUNCTION("""COMPUTED_VALUE"""),"ช่วยเหลืองานภายใน วพอ.")</f>
        <v>ช่วยเหลืองานภายใน วพอ.</v>
      </c>
      <c r="H555" s="3" t="str">
        <f>IFERROR(__xludf.DUMMYFUNCTION("""COMPUTED_VALUE"""),"การทดสอบความถนัด วิภาววิสัย และทดสอบร่างกาย")</f>
        <v>การทดสอบความถนัด วิภาววิสัย และทดสอบร่างกาย</v>
      </c>
      <c r="I555" s="3" t="str">
        <f>IFERROR(__xludf.DUMMYFUNCTION("""COMPUTED_VALUE"""),"วพอ.")</f>
        <v>วพอ.</v>
      </c>
      <c r="J555" s="12">
        <f>IFERROR(__xludf.DUMMYFUNCTION("""COMPUTED_VALUE"""),46147.0)</f>
        <v>46147</v>
      </c>
      <c r="K555" s="3" t="str">
        <f>IFERROR(__xludf.DUMMYFUNCTION("""COMPUTED_VALUE"""),"0800-1600")</f>
        <v>0800-1600</v>
      </c>
      <c r="L555" s="3">
        <f>IFERROR(__xludf.DUMMYFUNCTION("""COMPUTED_VALUE"""),8.0)</f>
        <v>8</v>
      </c>
      <c r="M555" s="3" t="str">
        <f>IFERROR(__xludf.DUMMYFUNCTION("""COMPUTED_VALUE"""),"น.ท.หญิง ลักษ์ขณา พานิช")</f>
        <v>น.ท.หญิง ลักษ์ขณา พานิช</v>
      </c>
      <c r="N555" s="14" t="str">
        <f>IFERROR(__xludf.DUMMYFUNCTION("""COMPUTED_VALUE"""),"https://lh5.googleusercontent.com/d/1xWVSDEwp1nBW2J1cW4DZZtPSjgSrPiFC")</f>
        <v>https://lh5.googleusercontent.com/d/1xWVSDEwp1nBW2J1cW4DZZtPSjgSrPiFC</v>
      </c>
      <c r="O555" s="14" t="str">
        <f>IFERROR(__xludf.DUMMYFUNCTION("""COMPUTED_VALUE"""),"https://drive.google.com/file/d/18uSw_PQZUQLgHpEh3OdfX0il9zG5VeWM/view?usp=drivesdk")</f>
        <v>https://drive.google.com/file/d/18uSw_PQZUQLgHpEh3OdfX0il9zG5VeWM/view?usp=drivesdk</v>
      </c>
    </row>
    <row r="556">
      <c r="A556" s="3">
        <f>IFERROR(__xludf.DUMMYFUNCTION("""COMPUTED_VALUE"""),2172.0)</f>
        <v>2172</v>
      </c>
      <c r="B556" s="11">
        <f>IFERROR(__xludf.DUMMYFUNCTION("""COMPUTED_VALUE"""),46167.32475253472)</f>
        <v>46167.32475</v>
      </c>
      <c r="C556" s="3" t="str">
        <f>IFERROR(__xludf.DUMMYFUNCTION("""COMPUTED_VALUE"""),"ชั้นปีที่ 3")</f>
        <v>ชั้นปีที่ 3</v>
      </c>
      <c r="D556" s="3" t="str">
        <f>IFERROR(__xludf.DUMMYFUNCTION("""COMPUTED_VALUE"""),"6603776")</f>
        <v>6603776</v>
      </c>
      <c r="E556" s="3" t="str">
        <f>IFERROR(__xludf.DUMMYFUNCTION("""COMPUTED_VALUE"""),"22")</f>
        <v>22</v>
      </c>
      <c r="F556" s="3" t="str">
        <f>IFERROR(__xludf.DUMMYFUNCTION("""COMPUTED_VALUE"""),"นพอ.นภชนก อัครวุฒิญาณ")</f>
        <v>นพอ.นภชนก อัครวุฒิญาณ</v>
      </c>
      <c r="G556" s="3" t="str">
        <f>IFERROR(__xludf.DUMMYFUNCTION("""COMPUTED_VALUE"""),"ช่วยเหลืองานภายใน วพอ.")</f>
        <v>ช่วยเหลืองานภายใน วพอ.</v>
      </c>
      <c r="H556" s="3" t="str">
        <f>IFERROR(__xludf.DUMMYFUNCTION("""COMPUTED_VALUE"""),"ช่วยงานจัดการทดสอบความถนัด วิภาวิสัยและจิตวิทยา ประจำปีการศึกษา 2569")</f>
        <v>ช่วยงานจัดการทดสอบความถนัด วิภาวิสัยและจิตวิทยา ประจำปีการศึกษา 2569</v>
      </c>
      <c r="I556" s="3" t="str">
        <f>IFERROR(__xludf.DUMMYFUNCTION("""COMPUTED_VALUE"""),"ห้องประชุมชั้น4")</f>
        <v>ห้องประชุมชั้น4</v>
      </c>
      <c r="J556" s="12">
        <f>IFERROR(__xludf.DUMMYFUNCTION("""COMPUTED_VALUE"""),46147.0)</f>
        <v>46147</v>
      </c>
      <c r="K556" s="3" t="str">
        <f>IFERROR(__xludf.DUMMYFUNCTION("""COMPUTED_VALUE"""),"07.00-15.00")</f>
        <v>07.00-15.00</v>
      </c>
      <c r="L556" s="3">
        <f>IFERROR(__xludf.DUMMYFUNCTION("""COMPUTED_VALUE"""),8.0)</f>
        <v>8</v>
      </c>
      <c r="M556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56" s="14" t="str">
        <f>IFERROR(__xludf.DUMMYFUNCTION("""COMPUTED_VALUE"""),"https://lh5.googleusercontent.com/d/1LwFUIathufeyG5BYBYIQHjyALtlyk_8x")</f>
        <v>https://lh5.googleusercontent.com/d/1LwFUIathufeyG5BYBYIQHjyALtlyk_8x</v>
      </c>
      <c r="O556" s="14" t="str">
        <f>IFERROR(__xludf.DUMMYFUNCTION("""COMPUTED_VALUE"""),"https://drive.google.com/file/d/1aOaJZCpX1O3ClPn6CrjgPJDIXuUGmj7D/view?usp=drivesdk")</f>
        <v>https://drive.google.com/file/d/1aOaJZCpX1O3ClPn6CrjgPJDIXuUGmj7D/view?usp=drivesdk</v>
      </c>
    </row>
    <row r="557">
      <c r="A557" s="3">
        <f>IFERROR(__xludf.DUMMYFUNCTION("""COMPUTED_VALUE"""),2279.0)</f>
        <v>2279</v>
      </c>
      <c r="B557" s="11">
        <f>IFERROR(__xludf.DUMMYFUNCTION("""COMPUTED_VALUE"""),46168.395501782405)</f>
        <v>46168.3955</v>
      </c>
      <c r="C557" s="3" t="str">
        <f>IFERROR(__xludf.DUMMYFUNCTION("""COMPUTED_VALUE"""),"ชั้นปีที่ 3")</f>
        <v>ชั้นปีที่ 3</v>
      </c>
      <c r="D557" s="3" t="str">
        <f>IFERROR(__xludf.DUMMYFUNCTION("""COMPUTED_VALUE"""),"นพอ.ฉัตรชนก")</f>
        <v>นพอ.ฉัตรชนก</v>
      </c>
      <c r="E557" s="3" t="str">
        <f>IFERROR(__xludf.DUMMYFUNCTION("""COMPUTED_VALUE"""),"7")</f>
        <v>7</v>
      </c>
      <c r="F557" s="3" t="str">
        <f>IFERROR(__xludf.DUMMYFUNCTION("""COMPUTED_VALUE"""),"กันสาตร")</f>
        <v>กันสาตร</v>
      </c>
      <c r="G557" s="3" t="str">
        <f>IFERROR(__xludf.DUMMYFUNCTION("""COMPUTED_VALUE"""),"ช่วยเหลืองานภายใน วพอ.")</f>
        <v>ช่วยเหลืองานภายใน วพอ.</v>
      </c>
      <c r="H557" s="3" t="str">
        <f>IFERROR(__xludf.DUMMYFUNCTION("""COMPUTED_VALUE"""),"จัดห้องปฏิบัติการและทำความสะอาดหุ่นและอุปกรณ์ต่าง ๆ ")</f>
        <v>จัดห้องปฏิบัติการและทำความสะอาดหุ่นและอุปกรณ์ต่าง ๆ </v>
      </c>
      <c r="I557" s="3" t="str">
        <f>IFERROR(__xludf.DUMMYFUNCTION("""COMPUTED_VALUE"""),"ห้องปฏิบัติการสูติ")</f>
        <v>ห้องปฏิบัติการสูติ</v>
      </c>
      <c r="J557" s="12">
        <f>IFERROR(__xludf.DUMMYFUNCTION("""COMPUTED_VALUE"""),46094.0)</f>
        <v>46094</v>
      </c>
      <c r="K557" s="3" t="str">
        <f>IFERROR(__xludf.DUMMYFUNCTION("""COMPUTED_VALUE"""),"1100-1200")</f>
        <v>1100-1200</v>
      </c>
      <c r="L557" s="3">
        <f>IFERROR(__xludf.DUMMYFUNCTION("""COMPUTED_VALUE"""),1.0)</f>
        <v>1</v>
      </c>
      <c r="M557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557" s="14" t="str">
        <f>IFERROR(__xludf.DUMMYFUNCTION("""COMPUTED_VALUE"""),"https://lh5.googleusercontent.com/d/1D58Gm7c0nzkJN1ZvFVIhXpmHNdxvq1yp")</f>
        <v>https://lh5.googleusercontent.com/d/1D58Gm7c0nzkJN1ZvFVIhXpmHNdxvq1yp</v>
      </c>
      <c r="O557" s="14" t="str">
        <f>IFERROR(__xludf.DUMMYFUNCTION("""COMPUTED_VALUE"""),"https://drive.google.com/file/d/1MNkX3rW0mCWdzMIoIdZ3U8ezwtXxiJMj/view?usp=drivesdk")</f>
        <v>https://drive.google.com/file/d/1MNkX3rW0mCWdzMIoIdZ3U8ezwtXxiJMj/view?usp=drivesdk</v>
      </c>
    </row>
    <row r="558">
      <c r="A558" s="3">
        <f>IFERROR(__xludf.DUMMYFUNCTION("""COMPUTED_VALUE"""),2280.0)</f>
        <v>2280</v>
      </c>
      <c r="B558" s="11">
        <f>IFERROR(__xludf.DUMMYFUNCTION("""COMPUTED_VALUE"""),46168.39817163195)</f>
        <v>46168.39817</v>
      </c>
      <c r="C558" s="3" t="str">
        <f>IFERROR(__xludf.DUMMYFUNCTION("""COMPUTED_VALUE"""),"ชั้นปีที่ 3")</f>
        <v>ชั้นปีที่ 3</v>
      </c>
      <c r="D558" s="3" t="str">
        <f>IFERROR(__xludf.DUMMYFUNCTION("""COMPUTED_VALUE"""),"6603760")</f>
        <v>6603760</v>
      </c>
      <c r="E558" s="3" t="str">
        <f>IFERROR(__xludf.DUMMYFUNCTION("""COMPUTED_VALUE"""),"7")</f>
        <v>7</v>
      </c>
      <c r="F558" s="3" t="str">
        <f>IFERROR(__xludf.DUMMYFUNCTION("""COMPUTED_VALUE"""),"นพอ.ฉัตรชนก กันสาตร")</f>
        <v>นพอ.ฉัตรชนก กันสาตร</v>
      </c>
      <c r="G558" s="3" t="str">
        <f>IFERROR(__xludf.DUMMYFUNCTION("""COMPUTED_VALUE"""),"ช่วยเหลืองานภายใน วพอ.")</f>
        <v>ช่วยเหลืองานภายใน วพอ.</v>
      </c>
      <c r="H558" s="3" t="str">
        <f>IFERROR(__xludf.DUMMYFUNCTION("""COMPUTED_VALUE"""),"จัดห้องปฏิบัติการและทำความสะอาดหุ่นและอุปกรณ์ต่าง ๆ")</f>
        <v>จัดห้องปฏิบัติการและทำความสะอาดหุ่นและอุปกรณ์ต่าง ๆ</v>
      </c>
      <c r="I558" s="3" t="str">
        <f>IFERROR(__xludf.DUMMYFUNCTION("""COMPUTED_VALUE"""),"ห้องปฏิบัติการสูติ ")</f>
        <v>ห้องปฏิบัติการสูติ </v>
      </c>
      <c r="J558" s="12">
        <f>IFERROR(__xludf.DUMMYFUNCTION("""COMPUTED_VALUE"""),46094.0)</f>
        <v>46094</v>
      </c>
      <c r="K558" s="3" t="str">
        <f>IFERROR(__xludf.DUMMYFUNCTION("""COMPUTED_VALUE"""),"1100-1200")</f>
        <v>1100-1200</v>
      </c>
      <c r="L558" s="3">
        <f>IFERROR(__xludf.DUMMYFUNCTION("""COMPUTED_VALUE"""),1.0)</f>
        <v>1</v>
      </c>
      <c r="M558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558" s="14" t="str">
        <f>IFERROR(__xludf.DUMMYFUNCTION("""COMPUTED_VALUE"""),"https://lh5.googleusercontent.com/d/1cI_QyOIAS868KWut8IPZdoDEHqKUCNGi")</f>
        <v>https://lh5.googleusercontent.com/d/1cI_QyOIAS868KWut8IPZdoDEHqKUCNGi</v>
      </c>
      <c r="O558" s="14" t="str">
        <f>IFERROR(__xludf.DUMMYFUNCTION("""COMPUTED_VALUE"""),"https://drive.google.com/file/d/1I5ycZPIt3uFhzazHnPlbP0u0aXV0UXZT/view?usp=drivesdk")</f>
        <v>https://drive.google.com/file/d/1I5ycZPIt3uFhzazHnPlbP0u0aXV0UXZT/view?usp=drivesdk</v>
      </c>
    </row>
    <row r="559">
      <c r="A559" s="3">
        <f>IFERROR(__xludf.DUMMYFUNCTION("""COMPUTED_VALUE"""),2281.0)</f>
        <v>2281</v>
      </c>
      <c r="B559" s="11">
        <f>IFERROR(__xludf.DUMMYFUNCTION("""COMPUTED_VALUE"""),46168.4013128125)</f>
        <v>46168.40131</v>
      </c>
      <c r="C559" s="3" t="str">
        <f>IFERROR(__xludf.DUMMYFUNCTION("""COMPUTED_VALUE"""),"ชั้นปีที่ 3")</f>
        <v>ชั้นปีที่ 3</v>
      </c>
      <c r="D559" s="3" t="str">
        <f>IFERROR(__xludf.DUMMYFUNCTION("""COMPUTED_VALUE"""),"6603760")</f>
        <v>6603760</v>
      </c>
      <c r="E559" s="3" t="str">
        <f>IFERROR(__xludf.DUMMYFUNCTION("""COMPUTED_VALUE"""),"7")</f>
        <v>7</v>
      </c>
      <c r="F559" s="3" t="str">
        <f>IFERROR(__xludf.DUMMYFUNCTION("""COMPUTED_VALUE"""),"นพอ.ฉัตรชนก กันสาตร")</f>
        <v>นพอ.ฉัตรชนก กันสาตร</v>
      </c>
      <c r="G559" s="3" t="str">
        <f>IFERROR(__xludf.DUMMYFUNCTION("""COMPUTED_VALUE"""),"ช่วยเหลืองานภายใน วพอ.")</f>
        <v>ช่วยเหลืองานภายใน วพอ.</v>
      </c>
      <c r="H559" s="3" t="str">
        <f>IFERROR(__xludf.DUMMYFUNCTION("""COMPUTED_VALUE"""),"ช่วยงานทดสอบพิเศษ")</f>
        <v>ช่วยงานทดสอบพิเศษ</v>
      </c>
      <c r="I559" s="3" t="str">
        <f>IFERROR(__xludf.DUMMYFUNCTION("""COMPUTED_VALUE"""),"วพอ.พอ.")</f>
        <v>วพอ.พอ.</v>
      </c>
      <c r="J559" s="12">
        <f>IFERROR(__xludf.DUMMYFUNCTION("""COMPUTED_VALUE"""),46147.0)</f>
        <v>46147</v>
      </c>
      <c r="K559" s="3" t="str">
        <f>IFERROR(__xludf.DUMMYFUNCTION("""COMPUTED_VALUE"""),"0800-1600")</f>
        <v>0800-1600</v>
      </c>
      <c r="L559" s="3">
        <f>IFERROR(__xludf.DUMMYFUNCTION("""COMPUTED_VALUE"""),8.0)</f>
        <v>8</v>
      </c>
      <c r="M559" s="3" t="str">
        <f>IFERROR(__xludf.DUMMYFUNCTION("""COMPUTED_VALUE"""),"น.ท.หญิง ดร.ลักขณา พานิชสรรค์")</f>
        <v>น.ท.หญิง ดร.ลักขณา พานิชสรรค์</v>
      </c>
      <c r="N559" s="14" t="str">
        <f>IFERROR(__xludf.DUMMYFUNCTION("""COMPUTED_VALUE"""),"https://lh5.googleusercontent.com/d/1-szYcfPiK0tip1iklqd0lqX6BDfOWXS4")</f>
        <v>https://lh5.googleusercontent.com/d/1-szYcfPiK0tip1iklqd0lqX6BDfOWXS4</v>
      </c>
      <c r="O559" s="14" t="str">
        <f>IFERROR(__xludf.DUMMYFUNCTION("""COMPUTED_VALUE"""),"https://drive.google.com/file/d/1vWIeA7NSuqPuP3eCMencTmhMn8BfwWDd/view?usp=drivesdk")</f>
        <v>https://drive.google.com/file/d/1vWIeA7NSuqPuP3eCMencTmhMn8BfwWDd/view?usp=drivesdk</v>
      </c>
    </row>
    <row r="560">
      <c r="A560" s="3">
        <f>IFERROR(__xludf.DUMMYFUNCTION("""COMPUTED_VALUE"""),2282.0)</f>
        <v>2282</v>
      </c>
      <c r="B560" s="11">
        <f>IFERROR(__xludf.DUMMYFUNCTION("""COMPUTED_VALUE"""),46168.406997245365)</f>
        <v>46168.407</v>
      </c>
      <c r="C560" s="3" t="str">
        <f>IFERROR(__xludf.DUMMYFUNCTION("""COMPUTED_VALUE"""),"ชั้นปีที่ 3")</f>
        <v>ชั้นปีที่ 3</v>
      </c>
      <c r="D560" s="3" t="str">
        <f>IFERROR(__xludf.DUMMYFUNCTION("""COMPUTED_VALUE"""),"6603760")</f>
        <v>6603760</v>
      </c>
      <c r="E560" s="3" t="str">
        <f>IFERROR(__xludf.DUMMYFUNCTION("""COMPUTED_VALUE"""),"7")</f>
        <v>7</v>
      </c>
      <c r="F560" s="3" t="str">
        <f>IFERROR(__xludf.DUMMYFUNCTION("""COMPUTED_VALUE"""),"นพอ.ฉัตรชนก กันสาตร")</f>
        <v>นพอ.ฉัตรชนก กันสาตร</v>
      </c>
      <c r="G560" s="3" t="str">
        <f>IFERROR(__xludf.DUMMYFUNCTION("""COMPUTED_VALUE"""),"ช่วยเหลืองานภายใน วพอ.")</f>
        <v>ช่วยเหลืองานภายใน วพอ.</v>
      </c>
      <c r="H560" s="3" t="str">
        <f>IFERROR(__xludf.DUMMYFUNCTION("""COMPUTED_VALUE"""),"ซ้อมประสานเสียงงานพิธีมอบหมวกพยาบาลวิชาชีพ ปีการศึกษา 2568")</f>
        <v>ซ้อมประสานเสียงงานพิธีมอบหมวกพยาบาลวิชาชีพ ปีการศึกษา 2568</v>
      </c>
      <c r="I560" s="3" t="str">
        <f>IFERROR(__xludf.DUMMYFUNCTION("""COMPUTED_VALUE"""),"วพอ.พอ.")</f>
        <v>วพอ.พอ.</v>
      </c>
      <c r="J560" s="12">
        <f>IFERROR(__xludf.DUMMYFUNCTION("""COMPUTED_VALUE"""),46133.0)</f>
        <v>46133</v>
      </c>
      <c r="K560" s="3" t="str">
        <f>IFERROR(__xludf.DUMMYFUNCTION("""COMPUTED_VALUE"""),"1700-2100")</f>
        <v>1700-2100</v>
      </c>
      <c r="L560" s="3">
        <f>IFERROR(__xludf.DUMMYFUNCTION("""COMPUTED_VALUE"""),4.0)</f>
        <v>4</v>
      </c>
      <c r="M560" s="3" t="str">
        <f>IFERROR(__xludf.DUMMYFUNCTION("""COMPUTED_VALUE"""),"ร.อ.อนุชิต ทำจะดี")</f>
        <v>ร.อ.อนุชิต ทำจะดี</v>
      </c>
      <c r="N560" s="14" t="str">
        <f>IFERROR(__xludf.DUMMYFUNCTION("""COMPUTED_VALUE"""),"https://lh5.googleusercontent.com/d/1CvhFqpwDhhiW1_bsUWVMvQZcHsjZh5G3")</f>
        <v>https://lh5.googleusercontent.com/d/1CvhFqpwDhhiW1_bsUWVMvQZcHsjZh5G3</v>
      </c>
      <c r="O560" s="14" t="str">
        <f>IFERROR(__xludf.DUMMYFUNCTION("""COMPUTED_VALUE"""),"https://drive.google.com/file/d/1KvCiLPEs0qF2mAXqIznvcwBpFc8bkoFR/view?usp=drivesdk")</f>
        <v>https://drive.google.com/file/d/1KvCiLPEs0qF2mAXqIznvcwBpFc8bkoFR/view?usp=drivesdk</v>
      </c>
    </row>
    <row r="561">
      <c r="A561" s="3">
        <f>IFERROR(__xludf.DUMMYFUNCTION("""COMPUTED_VALUE"""),2283.0)</f>
        <v>2283</v>
      </c>
      <c r="B561" s="11">
        <f>IFERROR(__xludf.DUMMYFUNCTION("""COMPUTED_VALUE"""),46168.408229513894)</f>
        <v>46168.40823</v>
      </c>
      <c r="C561" s="3" t="str">
        <f>IFERROR(__xludf.DUMMYFUNCTION("""COMPUTED_VALUE"""),"ชั้นปีที่ 3")</f>
        <v>ชั้นปีที่ 3</v>
      </c>
      <c r="D561" s="3" t="str">
        <f>IFERROR(__xludf.DUMMYFUNCTION("""COMPUTED_VALUE"""),"6603760")</f>
        <v>6603760</v>
      </c>
      <c r="E561" s="3" t="str">
        <f>IFERROR(__xludf.DUMMYFUNCTION("""COMPUTED_VALUE"""),"7")</f>
        <v>7</v>
      </c>
      <c r="F561" s="3" t="str">
        <f>IFERROR(__xludf.DUMMYFUNCTION("""COMPUTED_VALUE"""),"นพอ.ฉัตรชนก กันสาตร")</f>
        <v>นพอ.ฉัตรชนก กันสาตร</v>
      </c>
      <c r="G561" s="3" t="str">
        <f>IFERROR(__xludf.DUMMYFUNCTION("""COMPUTED_VALUE"""),"ช่วยเหลืองานภายใน วพอ.")</f>
        <v>ช่วยเหลืองานภายใน วพอ.</v>
      </c>
      <c r="H561" s="3" t="str">
        <f>IFERROR(__xludf.DUMMYFUNCTION("""COMPUTED_VALUE"""),"ซ้อมประสานเสียงงานพิธีมอบหมวกพยาบาลวิชาชีพ ปีการศึกษา 2568")</f>
        <v>ซ้อมประสานเสียงงานพิธีมอบหมวกพยาบาลวิชาชีพ ปีการศึกษา 2568</v>
      </c>
      <c r="I561" s="3" t="str">
        <f>IFERROR(__xludf.DUMMYFUNCTION("""COMPUTED_VALUE"""),"วพอ.พอ.")</f>
        <v>วพอ.พอ.</v>
      </c>
      <c r="J561" s="12">
        <f>IFERROR(__xludf.DUMMYFUNCTION("""COMPUTED_VALUE"""),46134.0)</f>
        <v>46134</v>
      </c>
      <c r="K561" s="3" t="str">
        <f>IFERROR(__xludf.DUMMYFUNCTION("""COMPUTED_VALUE"""),"1700-2100")</f>
        <v>1700-2100</v>
      </c>
      <c r="L561" s="3">
        <f>IFERROR(__xludf.DUMMYFUNCTION("""COMPUTED_VALUE"""),4.0)</f>
        <v>4</v>
      </c>
      <c r="M561" s="3" t="str">
        <f>IFERROR(__xludf.DUMMYFUNCTION("""COMPUTED_VALUE"""),"ร.อ.อนุชิต ทำจะดี")</f>
        <v>ร.อ.อนุชิต ทำจะดี</v>
      </c>
      <c r="N561" s="14" t="str">
        <f>IFERROR(__xludf.DUMMYFUNCTION("""COMPUTED_VALUE"""),"https://lh5.googleusercontent.com/d/1iHe_w7YdP5mykPXFLBA3A7m5todcq_DK")</f>
        <v>https://lh5.googleusercontent.com/d/1iHe_w7YdP5mykPXFLBA3A7m5todcq_DK</v>
      </c>
      <c r="O561" s="14" t="str">
        <f>IFERROR(__xludf.DUMMYFUNCTION("""COMPUTED_VALUE"""),"https://drive.google.com/file/d/1NMH3_KuvmgQgqyRqpLE8FAu1cDyA_A_g/view?usp=drivesdk")</f>
        <v>https://drive.google.com/file/d/1NMH3_KuvmgQgqyRqpLE8FAu1cDyA_A_g/view?usp=drivesdk</v>
      </c>
    </row>
    <row r="562">
      <c r="A562" s="3">
        <f>IFERROR(__xludf.DUMMYFUNCTION("""COMPUTED_VALUE"""),2284.0)</f>
        <v>2284</v>
      </c>
      <c r="B562" s="11">
        <f>IFERROR(__xludf.DUMMYFUNCTION("""COMPUTED_VALUE"""),46168.410086041666)</f>
        <v>46168.41009</v>
      </c>
      <c r="C562" s="3" t="str">
        <f>IFERROR(__xludf.DUMMYFUNCTION("""COMPUTED_VALUE"""),"ชั้นปีที่ 3")</f>
        <v>ชั้นปีที่ 3</v>
      </c>
      <c r="D562" s="3" t="str">
        <f>IFERROR(__xludf.DUMMYFUNCTION("""COMPUTED_VALUE"""),"6603760")</f>
        <v>6603760</v>
      </c>
      <c r="E562" s="3" t="str">
        <f>IFERROR(__xludf.DUMMYFUNCTION("""COMPUTED_VALUE"""),"7")</f>
        <v>7</v>
      </c>
      <c r="F562" s="3" t="str">
        <f>IFERROR(__xludf.DUMMYFUNCTION("""COMPUTED_VALUE"""),"นพอ.ฉัตรชนก กันสาตร")</f>
        <v>นพอ.ฉัตรชนก กันสาตร</v>
      </c>
      <c r="G562" s="3" t="str">
        <f>IFERROR(__xludf.DUMMYFUNCTION("""COMPUTED_VALUE"""),"ช่วยเหลืองานภายใน วพอ.")</f>
        <v>ช่วยเหลืองานภายใน วพอ.</v>
      </c>
      <c r="H562" s="3" t="str">
        <f>IFERROR(__xludf.DUMMYFUNCTION("""COMPUTED_VALUE"""),"ซ้อมประสานเสียงงานพิธีมอบหมวกพยาบาลวิชาชีพ ปีการศึกษา 2568")</f>
        <v>ซ้อมประสานเสียงงานพิธีมอบหมวกพยาบาลวิชาชีพ ปีการศึกษา 2568</v>
      </c>
      <c r="I562" s="3" t="str">
        <f>IFERROR(__xludf.DUMMYFUNCTION("""COMPUTED_VALUE"""),"วพอ.พอ.")</f>
        <v>วพอ.พอ.</v>
      </c>
      <c r="J562" s="12">
        <f>IFERROR(__xludf.DUMMYFUNCTION("""COMPUTED_VALUE"""),46135.0)</f>
        <v>46135</v>
      </c>
      <c r="K562" s="3" t="str">
        <f>IFERROR(__xludf.DUMMYFUNCTION("""COMPUTED_VALUE"""),"1700-2100")</f>
        <v>1700-2100</v>
      </c>
      <c r="L562" s="3">
        <f>IFERROR(__xludf.DUMMYFUNCTION("""COMPUTED_VALUE"""),4.0)</f>
        <v>4</v>
      </c>
      <c r="M562" s="3" t="str">
        <f>IFERROR(__xludf.DUMMYFUNCTION("""COMPUTED_VALUE"""),"ร.อ.อนุชิต ทำจะดี")</f>
        <v>ร.อ.อนุชิต ทำจะดี</v>
      </c>
      <c r="N562" s="14" t="str">
        <f>IFERROR(__xludf.DUMMYFUNCTION("""COMPUTED_VALUE"""),"https://lh5.googleusercontent.com/d/1nrpVVs-U2wy3U9je5eZMkOJgJV51PV0C")</f>
        <v>https://lh5.googleusercontent.com/d/1nrpVVs-U2wy3U9je5eZMkOJgJV51PV0C</v>
      </c>
      <c r="O562" s="14" t="str">
        <f>IFERROR(__xludf.DUMMYFUNCTION("""COMPUTED_VALUE"""),"https://drive.google.com/file/d/1ONtIkuBaavByTDw-Zdh5a-fX_aHZq6-i/view?usp=drivesdk")</f>
        <v>https://drive.google.com/file/d/1ONtIkuBaavByTDw-Zdh5a-fX_aHZq6-i/view?usp=drivesdk</v>
      </c>
    </row>
    <row r="563">
      <c r="A563" s="3">
        <f>IFERROR(__xludf.DUMMYFUNCTION("""COMPUTED_VALUE"""),2285.0)</f>
        <v>2285</v>
      </c>
      <c r="B563" s="11">
        <f>IFERROR(__xludf.DUMMYFUNCTION("""COMPUTED_VALUE"""),46168.41237591435)</f>
        <v>46168.41238</v>
      </c>
      <c r="C563" s="3" t="str">
        <f>IFERROR(__xludf.DUMMYFUNCTION("""COMPUTED_VALUE"""),"ชั้นปีที่ 3")</f>
        <v>ชั้นปีที่ 3</v>
      </c>
      <c r="D563" s="3" t="str">
        <f>IFERROR(__xludf.DUMMYFUNCTION("""COMPUTED_VALUE"""),"6603760")</f>
        <v>6603760</v>
      </c>
      <c r="E563" s="3" t="str">
        <f>IFERROR(__xludf.DUMMYFUNCTION("""COMPUTED_VALUE"""),"7")</f>
        <v>7</v>
      </c>
      <c r="F563" s="3" t="str">
        <f>IFERROR(__xludf.DUMMYFUNCTION("""COMPUTED_VALUE"""),"นพอ.ฉัตรชนก กันสาตร")</f>
        <v>นพอ.ฉัตรชนก กันสาตร</v>
      </c>
      <c r="G563" s="3" t="str">
        <f>IFERROR(__xludf.DUMMYFUNCTION("""COMPUTED_VALUE"""),"ช่วยเหลืองานภายใน วพอ.")</f>
        <v>ช่วยเหลืองานภายใน วพอ.</v>
      </c>
      <c r="H563" s="3" t="str">
        <f>IFERROR(__xludf.DUMMYFUNCTION("""COMPUTED_VALUE"""),"ซ้อมประสานเสียงงานพิธีมอบหมวกพยาบาลวิชาชีพ ปีการศึกษา 2568")</f>
        <v>ซ้อมประสานเสียงงานพิธีมอบหมวกพยาบาลวิชาชีพ ปีการศึกษา 2568</v>
      </c>
      <c r="I563" s="3" t="str">
        <f>IFERROR(__xludf.DUMMYFUNCTION("""COMPUTED_VALUE"""),"วพอ.พอ.")</f>
        <v>วพอ.พอ.</v>
      </c>
      <c r="J563" s="12">
        <f>IFERROR(__xludf.DUMMYFUNCTION("""COMPUTED_VALUE"""),46138.0)</f>
        <v>46138</v>
      </c>
      <c r="K563" s="3" t="str">
        <f>IFERROR(__xludf.DUMMYFUNCTION("""COMPUTED_VALUE"""),"1300-2100")</f>
        <v>1300-2100</v>
      </c>
      <c r="L563" s="3">
        <f>IFERROR(__xludf.DUMMYFUNCTION("""COMPUTED_VALUE"""),8.0)</f>
        <v>8</v>
      </c>
      <c r="M563" s="3" t="str">
        <f>IFERROR(__xludf.DUMMYFUNCTION("""COMPUTED_VALUE"""),"ร.อ.อนุชิต ทำจะดี")</f>
        <v>ร.อ.อนุชิต ทำจะดี</v>
      </c>
      <c r="N563" s="14" t="str">
        <f>IFERROR(__xludf.DUMMYFUNCTION("""COMPUTED_VALUE"""),"https://lh5.googleusercontent.com/d/1ZjFvaaNG7_2fAK2TluuBM46Rh8Za3Axp")</f>
        <v>https://lh5.googleusercontent.com/d/1ZjFvaaNG7_2fAK2TluuBM46Rh8Za3Axp</v>
      </c>
      <c r="O563" s="14" t="str">
        <f>IFERROR(__xludf.DUMMYFUNCTION("""COMPUTED_VALUE"""),"https://drive.google.com/file/d/1HNGY4RIOZHl3D2qE130Z9TCFWCXIjVI-/view?usp=drivesdk")</f>
        <v>https://drive.google.com/file/d/1HNGY4RIOZHl3D2qE130Z9TCFWCXIjVI-/view?usp=drivesdk</v>
      </c>
    </row>
    <row r="564">
      <c r="A564" s="3">
        <f>IFERROR(__xludf.DUMMYFUNCTION("""COMPUTED_VALUE"""),2287.0)</f>
        <v>2287</v>
      </c>
      <c r="B564" s="11">
        <f>IFERROR(__xludf.DUMMYFUNCTION("""COMPUTED_VALUE"""),46168.419500914344)</f>
        <v>46168.4195</v>
      </c>
      <c r="C564" s="3" t="str">
        <f>IFERROR(__xludf.DUMMYFUNCTION("""COMPUTED_VALUE"""),"ชั้นปีที่ 3")</f>
        <v>ชั้นปีที่ 3</v>
      </c>
      <c r="D564" s="3" t="str">
        <f>IFERROR(__xludf.DUMMYFUNCTION("""COMPUTED_VALUE"""),"6603760")</f>
        <v>6603760</v>
      </c>
      <c r="E564" s="3" t="str">
        <f>IFERROR(__xludf.DUMMYFUNCTION("""COMPUTED_VALUE"""),"7")</f>
        <v>7</v>
      </c>
      <c r="F564" s="3" t="str">
        <f>IFERROR(__xludf.DUMMYFUNCTION("""COMPUTED_VALUE"""),"นพอ.ฉัตรชนก กันสาตร")</f>
        <v>นพอ.ฉัตรชนก กันสาตร</v>
      </c>
      <c r="G564" s="3" t="str">
        <f>IFERROR(__xludf.DUMMYFUNCTION("""COMPUTED_VALUE"""),"ช่วยเหลืองานภายใน วพอ.")</f>
        <v>ช่วยเหลืองานภายใน วพอ.</v>
      </c>
      <c r="H564" s="3" t="str">
        <f>IFERROR(__xludf.DUMMYFUNCTION("""COMPUTED_VALUE"""),"ซ้อมประสานเสียงงานพิธีมอบหมวกพยาบาลวิชาชีพ ปีการศึกษา 2568")</f>
        <v>ซ้อมประสานเสียงงานพิธีมอบหมวกพยาบาลวิชาชีพ ปีการศึกษา 2568</v>
      </c>
      <c r="I564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64" s="12">
        <f>IFERROR(__xludf.DUMMYFUNCTION("""COMPUTED_VALUE"""),46139.0)</f>
        <v>46139</v>
      </c>
      <c r="K564" s="3" t="str">
        <f>IFERROR(__xludf.DUMMYFUNCTION("""COMPUTED_VALUE"""),"1700-2100")</f>
        <v>1700-2100</v>
      </c>
      <c r="L564" s="3">
        <f>IFERROR(__xludf.DUMMYFUNCTION("""COMPUTED_VALUE"""),4.0)</f>
        <v>4</v>
      </c>
      <c r="M564" s="3" t="str">
        <f>IFERROR(__xludf.DUMMYFUNCTION("""COMPUTED_VALUE"""),"ร.อ.อนุชิต ทำจะดี")</f>
        <v>ร.อ.อนุชิต ทำจะดี</v>
      </c>
      <c r="N564" s="14" t="str">
        <f>IFERROR(__xludf.DUMMYFUNCTION("""COMPUTED_VALUE"""),"https://lh5.googleusercontent.com/d/1p2NgZAI2IIbk3MUU7dEFTq6Q__BAYUv7")</f>
        <v>https://lh5.googleusercontent.com/d/1p2NgZAI2IIbk3MUU7dEFTq6Q__BAYUv7</v>
      </c>
      <c r="O564" s="14" t="str">
        <f>IFERROR(__xludf.DUMMYFUNCTION("""COMPUTED_VALUE"""),"https://drive.google.com/file/d/1neMSG3z6bL6MJBG9CboAjnHTHWP5C3ik/view?usp=drivesdk")</f>
        <v>https://drive.google.com/file/d/1neMSG3z6bL6MJBG9CboAjnHTHWP5C3ik/view?usp=drivesdk</v>
      </c>
    </row>
    <row r="565">
      <c r="A565" s="3">
        <f>IFERROR(__xludf.DUMMYFUNCTION("""COMPUTED_VALUE"""),2483.0)</f>
        <v>2483</v>
      </c>
      <c r="B565" s="11">
        <f>IFERROR(__xludf.DUMMYFUNCTION("""COMPUTED_VALUE"""),46171.904112731485)</f>
        <v>46171.90411</v>
      </c>
      <c r="C565" s="3" t="str">
        <f>IFERROR(__xludf.DUMMYFUNCTION("""COMPUTED_VALUE"""),"ชั้นปีที่ 3")</f>
        <v>ชั้นปีที่ 3</v>
      </c>
      <c r="D565" s="3" t="str">
        <f>IFERROR(__xludf.DUMMYFUNCTION("""COMPUTED_VALUE"""),"6603792")</f>
        <v>6603792</v>
      </c>
      <c r="E565" s="3" t="str">
        <f>IFERROR(__xludf.DUMMYFUNCTION("""COMPUTED_VALUE"""),"38")</f>
        <v>38</v>
      </c>
      <c r="F565" s="3" t="str">
        <f>IFERROR(__xludf.DUMMYFUNCTION("""COMPUTED_VALUE"""),"นพอ.พลอยไพลิน สุทธหลวง")</f>
        <v>นพอ.พลอยไพลิน สุทธหลวง</v>
      </c>
      <c r="G5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5" s="3" t="str">
        <f>IFERROR(__xludf.DUMMYFUNCTION("""COMPUTED_VALUE"""),"ลงนาม MOU ขับเคลื่อนสังคมไทยปลอดบุหรี่")</f>
        <v>ลงนาม MOU ขับเคลื่อนสังคมไทยปลอดบุหรี่</v>
      </c>
      <c r="I565" s="3" t="str">
        <f>IFERROR(__xludf.DUMMYFUNCTION("""COMPUTED_VALUE"""),"โรงพยาบาลตำรวจ")</f>
        <v>โรงพยาบาลตำรวจ</v>
      </c>
      <c r="J565" s="12">
        <f>IFERROR(__xludf.DUMMYFUNCTION("""COMPUTED_VALUE"""),46148.0)</f>
        <v>46148</v>
      </c>
      <c r="K565" s="3" t="str">
        <f>IFERROR(__xludf.DUMMYFUNCTION("""COMPUTED_VALUE"""),"0800-1200")</f>
        <v>0800-1200</v>
      </c>
      <c r="L565" s="3">
        <f>IFERROR(__xludf.DUMMYFUNCTION("""COMPUTED_VALUE"""),4.0)</f>
        <v>4</v>
      </c>
      <c r="M565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565" s="14" t="str">
        <f>IFERROR(__xludf.DUMMYFUNCTION("""COMPUTED_VALUE"""),"https://lh5.googleusercontent.com/d/1mIBwNYkHd1loPHuACFdWAqFP5ASBD-Hx")</f>
        <v>https://lh5.googleusercontent.com/d/1mIBwNYkHd1loPHuACFdWAqFP5ASBD-Hx</v>
      </c>
      <c r="O565" s="14" t="str">
        <f>IFERROR(__xludf.DUMMYFUNCTION("""COMPUTED_VALUE"""),"https://drive.google.com/file/d/1BUrF9zBpo9oaJbRwK7kKRz-uPzpykOZW/view?usp=drivesdk")</f>
        <v>https://drive.google.com/file/d/1BUrF9zBpo9oaJbRwK7kKRz-uPzpykOZW/view?usp=drivesdk</v>
      </c>
    </row>
    <row r="566">
      <c r="A566" s="3">
        <f>IFERROR(__xludf.DUMMYFUNCTION("""COMPUTED_VALUE"""),2484.0)</f>
        <v>2484</v>
      </c>
      <c r="B566" s="11">
        <f>IFERROR(__xludf.DUMMYFUNCTION("""COMPUTED_VALUE"""),46171.90473432871)</f>
        <v>46171.90473</v>
      </c>
      <c r="C566" s="3" t="str">
        <f>IFERROR(__xludf.DUMMYFUNCTION("""COMPUTED_VALUE"""),"ชั้นปีที่ 3")</f>
        <v>ชั้นปีที่ 3</v>
      </c>
      <c r="D566" s="3" t="str">
        <f>IFERROR(__xludf.DUMMYFUNCTION("""COMPUTED_VALUE"""),"6603790")</f>
        <v>6603790</v>
      </c>
      <c r="E566" s="3" t="str">
        <f>IFERROR(__xludf.DUMMYFUNCTION("""COMPUTED_VALUE"""),"36")</f>
        <v>36</v>
      </c>
      <c r="F566" s="3" t="str">
        <f>IFERROR(__xludf.DUMMYFUNCTION("""COMPUTED_VALUE"""),"นพอ.ปิยะนันท์ ตุนก")</f>
        <v>นพอ.ปิยะนันท์ ตุนก</v>
      </c>
      <c r="G5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6" s="3" t="str">
        <f>IFERROR(__xludf.DUMMYFUNCTION("""COMPUTED_VALUE"""),"ลงนาม MOU ขับเคลื่อนสังคมไทยปลอดบุหรี่")</f>
        <v>ลงนาม MOU ขับเคลื่อนสังคมไทยปลอดบุหรี่</v>
      </c>
      <c r="I566" s="3" t="str">
        <f>IFERROR(__xludf.DUMMYFUNCTION("""COMPUTED_VALUE"""),"รพ.ตำรวจ")</f>
        <v>รพ.ตำรวจ</v>
      </c>
      <c r="J566" s="12">
        <f>IFERROR(__xludf.DUMMYFUNCTION("""COMPUTED_VALUE"""),46148.0)</f>
        <v>46148</v>
      </c>
      <c r="K566" s="3" t="str">
        <f>IFERROR(__xludf.DUMMYFUNCTION("""COMPUTED_VALUE"""),"0800-1200")</f>
        <v>0800-1200</v>
      </c>
      <c r="L566" s="3">
        <f>IFERROR(__xludf.DUMMYFUNCTION("""COMPUTED_VALUE"""),4.0)</f>
        <v>4</v>
      </c>
      <c r="M566" s="3" t="str">
        <f>IFERROR(__xludf.DUMMYFUNCTION("""COMPUTED_VALUE"""),"น.ต.หญิงจิรปรียา โรจนเกียรติปรีดา")</f>
        <v>น.ต.หญิงจิรปรียา โรจนเกียรติปรีดา</v>
      </c>
      <c r="N566" s="14" t="str">
        <f>IFERROR(__xludf.DUMMYFUNCTION("""COMPUTED_VALUE"""),"https://lh5.googleusercontent.com/d/19WM_Pa4VFfuUvCHra16rAGr-k0vjEQxB")</f>
        <v>https://lh5.googleusercontent.com/d/19WM_Pa4VFfuUvCHra16rAGr-k0vjEQxB</v>
      </c>
      <c r="O566" s="14" t="str">
        <f>IFERROR(__xludf.DUMMYFUNCTION("""COMPUTED_VALUE"""),"https://drive.google.com/file/d/13m5aGr-RbPqCIBPD0uOTJ4oLlvaRZ8Oh/view?usp=drivesdk")</f>
        <v>https://drive.google.com/file/d/13m5aGr-RbPqCIBPD0uOTJ4oLlvaRZ8Oh/view?usp=drivesdk</v>
      </c>
    </row>
    <row r="567">
      <c r="A567" s="3">
        <f>IFERROR(__xludf.DUMMYFUNCTION("""COMPUTED_VALUE"""),2485.0)</f>
        <v>2485</v>
      </c>
      <c r="B567" s="11">
        <f>IFERROR(__xludf.DUMMYFUNCTION("""COMPUTED_VALUE"""),46172.38219478009)</f>
        <v>46172.38219</v>
      </c>
      <c r="C567" s="3" t="str">
        <f>IFERROR(__xludf.DUMMYFUNCTION("""COMPUTED_VALUE"""),"ชั้นปีที่ 3")</f>
        <v>ชั้นปีที่ 3</v>
      </c>
      <c r="D567" s="3" t="str">
        <f>IFERROR(__xludf.DUMMYFUNCTION("""COMPUTED_VALUE"""),"6603797")</f>
        <v>6603797</v>
      </c>
      <c r="E567" s="3" t="str">
        <f>IFERROR(__xludf.DUMMYFUNCTION("""COMPUTED_VALUE"""),"43")</f>
        <v>43</v>
      </c>
      <c r="F567" s="3" t="str">
        <f>IFERROR(__xludf.DUMMYFUNCTION("""COMPUTED_VALUE"""),"นพอ.พิมพ์ลภัส ทองดีเลิศ")</f>
        <v>นพอ.พิมพ์ลภัส ทองดีเลิศ</v>
      </c>
      <c r="G56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7" s="3" t="str">
        <f>IFERROR(__xludf.DUMMYFUNCTION("""COMPUTED_VALUE"""),"งานแข่งขันกอล์ฟ")</f>
        <v>งานแข่งขันกอล์ฟ</v>
      </c>
      <c r="I567" s="3" t="str">
        <f>IFERROR(__xludf.DUMMYFUNCTION("""COMPUTED_VALUE"""),"สนามกีฬากองทัพอากาศ")</f>
        <v>สนามกีฬากองทัพอากาศ</v>
      </c>
      <c r="J567" s="12">
        <f>IFERROR(__xludf.DUMMYFUNCTION("""COMPUTED_VALUE"""),46066.0)</f>
        <v>46066</v>
      </c>
      <c r="K567" s="3" t="str">
        <f>IFERROR(__xludf.DUMMYFUNCTION("""COMPUTED_VALUE"""),"1600-2000")</f>
        <v>1600-2000</v>
      </c>
      <c r="L567" s="3">
        <f>IFERROR(__xludf.DUMMYFUNCTION("""COMPUTED_VALUE"""),4.0)</f>
        <v>4</v>
      </c>
      <c r="M567" s="3" t="str">
        <f>IFERROR(__xludf.DUMMYFUNCTION("""COMPUTED_VALUE"""),"น.อ.หญิง ผศ.วัลภา อันดารา")</f>
        <v>น.อ.หญิง ผศ.วัลภา อันดารา</v>
      </c>
      <c r="N567" s="14" t="str">
        <f>IFERROR(__xludf.DUMMYFUNCTION("""COMPUTED_VALUE"""),"https://lh5.googleusercontent.com/d/1iQ8hioj3MUMEOPGIvAmfrjNMEH1s4B9s")</f>
        <v>https://lh5.googleusercontent.com/d/1iQ8hioj3MUMEOPGIvAmfrjNMEH1s4B9s</v>
      </c>
      <c r="O567" s="14" t="str">
        <f>IFERROR(__xludf.DUMMYFUNCTION("""COMPUTED_VALUE"""),"https://drive.google.com/file/d/1gNnDknQkROYkqPCO4yw5aW2cfPeaKVL5/view?usp=drivesdk")</f>
        <v>https://drive.google.com/file/d/1gNnDknQkROYkqPCO4yw5aW2cfPeaKVL5/view?usp=drivesdk</v>
      </c>
    </row>
    <row r="568">
      <c r="A568" s="3">
        <f>IFERROR(__xludf.DUMMYFUNCTION("""COMPUTED_VALUE"""),2496.0)</f>
        <v>2496</v>
      </c>
      <c r="B568" s="11">
        <f>IFERROR(__xludf.DUMMYFUNCTION("""COMPUTED_VALUE"""),46172.588115729166)</f>
        <v>46172.58812</v>
      </c>
      <c r="C568" s="3" t="str">
        <f>IFERROR(__xludf.DUMMYFUNCTION("""COMPUTED_VALUE"""),"ชั้นปีที่ 3")</f>
        <v>ชั้นปีที่ 3</v>
      </c>
      <c r="D568" s="3" t="str">
        <f>IFERROR(__xludf.DUMMYFUNCTION("""COMPUTED_VALUE"""),"6603797")</f>
        <v>6603797</v>
      </c>
      <c r="E568" s="3" t="str">
        <f>IFERROR(__xludf.DUMMYFUNCTION("""COMPUTED_VALUE"""),"43")</f>
        <v>43</v>
      </c>
      <c r="F568" s="3" t="str">
        <f>IFERROR(__xludf.DUMMYFUNCTION("""COMPUTED_VALUE"""),"นพอ.พิมพ์ลภัส ทองดีเลิศ")</f>
        <v>นพอ.พิมพ์ลภัส ทองดีเลิศ</v>
      </c>
      <c r="G568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568" s="3" t="str">
        <f>IFERROR(__xludf.DUMMYFUNCTION("""COMPUTED_VALUE"""),"ซ้อมเต้นงานกอล์ฟ")</f>
        <v>ซ้อมเต้นงานกอล์ฟ</v>
      </c>
      <c r="I568" s="3" t="str">
        <f>IFERROR(__xludf.DUMMYFUNCTION("""COMPUTED_VALUE"""),"วพอ.พอ.")</f>
        <v>วพอ.พอ.</v>
      </c>
      <c r="J568" s="12">
        <f>IFERROR(__xludf.DUMMYFUNCTION("""COMPUTED_VALUE"""),46153.0)</f>
        <v>46153</v>
      </c>
      <c r="K568" s="3" t="str">
        <f>IFERROR(__xludf.DUMMYFUNCTION("""COMPUTED_VALUE"""),"1830-2030")</f>
        <v>1830-2030</v>
      </c>
      <c r="L568" s="3">
        <f>IFERROR(__xludf.DUMMYFUNCTION("""COMPUTED_VALUE"""),2.0)</f>
        <v>2</v>
      </c>
      <c r="M568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68" s="14" t="str">
        <f>IFERROR(__xludf.DUMMYFUNCTION("""COMPUTED_VALUE"""),"https://lh5.googleusercontent.com/d/1RaIH_xjp5bXw7oBy-dOKxYBpDowEsETn")</f>
        <v>https://lh5.googleusercontent.com/d/1RaIH_xjp5bXw7oBy-dOKxYBpDowEsETn</v>
      </c>
      <c r="O568" s="14" t="str">
        <f>IFERROR(__xludf.DUMMYFUNCTION("""COMPUTED_VALUE"""),"https://drive.google.com/file/d/11maVx-VnBJ7rOXonC1NORy8LHw8W5OQz/view?usp=drivesdk")</f>
        <v>https://drive.google.com/file/d/11maVx-VnBJ7rOXonC1NORy8LHw8W5OQz/view?usp=drivesdk</v>
      </c>
    </row>
    <row r="569">
      <c r="A569" s="3">
        <f>IFERROR(__xludf.DUMMYFUNCTION("""COMPUTED_VALUE"""),2504.0)</f>
        <v>2504</v>
      </c>
      <c r="B569" s="11">
        <f>IFERROR(__xludf.DUMMYFUNCTION("""COMPUTED_VALUE"""),46172.67867763888)</f>
        <v>46172.67868</v>
      </c>
      <c r="C569" s="3" t="str">
        <f>IFERROR(__xludf.DUMMYFUNCTION("""COMPUTED_VALUE"""),"ชั้นปีที่ 3")</f>
        <v>ชั้นปีที่ 3</v>
      </c>
      <c r="D569" s="3" t="str">
        <f>IFERROR(__xludf.DUMMYFUNCTION("""COMPUTED_VALUE"""),"6603786")</f>
        <v>6603786</v>
      </c>
      <c r="E569" s="3" t="str">
        <f>IFERROR(__xludf.DUMMYFUNCTION("""COMPUTED_VALUE"""),"32")</f>
        <v>32</v>
      </c>
      <c r="F569" s="3" t="str">
        <f>IFERROR(__xludf.DUMMYFUNCTION("""COMPUTED_VALUE"""),"ประภัสสร คีตวัฒนานท์")</f>
        <v>ประภัสสร คีตวัฒนานท์</v>
      </c>
      <c r="G56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9" s="3" t="str">
        <f>IFERROR(__xludf.DUMMYFUNCTION("""COMPUTED_VALUE"""),"งานกอล์ฟการกุศลวิทยาลัยพยาบาลทหารอากาศ")</f>
        <v>งานกอล์ฟการกุศลวิทยาลัยพยาบาลทหารอากาศ</v>
      </c>
      <c r="I569" s="3" t="str">
        <f>IFERROR(__xludf.DUMMYFUNCTION("""COMPUTED_VALUE"""),"สนามกอล์ฟธูปเตมีย์")</f>
        <v>สนามกอล์ฟธูปเตมีย์</v>
      </c>
      <c r="J569" s="12">
        <f>IFERROR(__xludf.DUMMYFUNCTION("""COMPUTED_VALUE"""),46066.0)</f>
        <v>46066</v>
      </c>
      <c r="K569" s="3" t="str">
        <f>IFERROR(__xludf.DUMMYFUNCTION("""COMPUTED_VALUE"""),"1500-1900")</f>
        <v>1500-1900</v>
      </c>
      <c r="L569" s="3">
        <f>IFERROR(__xludf.DUMMYFUNCTION("""COMPUTED_VALUE"""),4.0)</f>
        <v>4</v>
      </c>
      <c r="M569" s="3" t="str">
        <f>IFERROR(__xludf.DUMMYFUNCTION("""COMPUTED_VALUE"""),"น.อ.หญิง ลักขณา พานิสสังข์")</f>
        <v>น.อ.หญิง ลักขณา พานิสสังข์</v>
      </c>
      <c r="N569" s="14" t="str">
        <f>IFERROR(__xludf.DUMMYFUNCTION("""COMPUTED_VALUE"""),"https://lh5.googleusercontent.com/d/1LLcFgL8vC7X_OQsYNwkpx1zAG3EoClXv")</f>
        <v>https://lh5.googleusercontent.com/d/1LLcFgL8vC7X_OQsYNwkpx1zAG3EoClXv</v>
      </c>
      <c r="O569" s="14" t="str">
        <f>IFERROR(__xludf.DUMMYFUNCTION("""COMPUTED_VALUE"""),"https://drive.google.com/file/d/1z74pm7URrEOIjuGV83HcxQm3moreSgTW/view?usp=drivesdk")</f>
        <v>https://drive.google.com/file/d/1z74pm7URrEOIjuGV83HcxQm3moreSgTW/view?usp=drivesdk</v>
      </c>
    </row>
    <row r="570">
      <c r="A570" s="3">
        <f>IFERROR(__xludf.DUMMYFUNCTION("""COMPUTED_VALUE"""),2505.0)</f>
        <v>2505</v>
      </c>
      <c r="B570" s="11">
        <f>IFERROR(__xludf.DUMMYFUNCTION("""COMPUTED_VALUE"""),46172.681877407405)</f>
        <v>46172.68188</v>
      </c>
      <c r="C570" s="3" t="str">
        <f>IFERROR(__xludf.DUMMYFUNCTION("""COMPUTED_VALUE"""),"ชั้นปีที่ 3")</f>
        <v>ชั้นปีที่ 3</v>
      </c>
      <c r="D570" s="3" t="str">
        <f>IFERROR(__xludf.DUMMYFUNCTION("""COMPUTED_VALUE"""),"6603786")</f>
        <v>6603786</v>
      </c>
      <c r="E570" s="3" t="str">
        <f>IFERROR(__xludf.DUMMYFUNCTION("""COMPUTED_VALUE"""),"32")</f>
        <v>32</v>
      </c>
      <c r="F570" s="3" t="str">
        <f>IFERROR(__xludf.DUMMYFUNCTION("""COMPUTED_VALUE"""),"ประภัสสร คีตวัฒนานนท์")</f>
        <v>ประภัสสร คีตวัฒนานนท์</v>
      </c>
      <c r="G570" s="3" t="str">
        <f>IFERROR(__xludf.DUMMYFUNCTION("""COMPUTED_VALUE"""),"ช่วยเหลืองานภายใน วพอ.")</f>
        <v>ช่วยเหลืองานภายใน วพอ.</v>
      </c>
      <c r="H570" s="3" t="str">
        <f>IFERROR(__xludf.DUMMYFUNCTION("""COMPUTED_VALUE"""),"จัดโต๊ะรับสมัครนพอ.69")</f>
        <v>จัดโต๊ะรับสมัครนพอ.69</v>
      </c>
      <c r="I570" s="3" t="str">
        <f>IFERROR(__xludf.DUMMYFUNCTION("""COMPUTED_VALUE"""),"วพอ.พอ.")</f>
        <v>วพอ.พอ.</v>
      </c>
      <c r="J570" s="12">
        <f>IFERROR(__xludf.DUMMYFUNCTION("""COMPUTED_VALUE"""),46143.0)</f>
        <v>46143</v>
      </c>
      <c r="K570" s="3" t="str">
        <f>IFERROR(__xludf.DUMMYFUNCTION("""COMPUTED_VALUE"""),"0800-1200")</f>
        <v>0800-1200</v>
      </c>
      <c r="L570" s="3">
        <f>IFERROR(__xludf.DUMMYFUNCTION("""COMPUTED_VALUE"""),4.0)</f>
        <v>4</v>
      </c>
      <c r="M570" s="3" t="str">
        <f>IFERROR(__xludf.DUMMYFUNCTION("""COMPUTED_VALUE"""),"น.ต.ศักชัย บุญประสิทธิ์")</f>
        <v>น.ต.ศักชัย บุญประสิทธิ์</v>
      </c>
      <c r="N570" s="14" t="str">
        <f>IFERROR(__xludf.DUMMYFUNCTION("""COMPUTED_VALUE"""),"https://lh5.googleusercontent.com/d/1aGmcrckuYf4GviVmhvaEDpH7nnsFoJbF")</f>
        <v>https://lh5.googleusercontent.com/d/1aGmcrckuYf4GviVmhvaEDpH7nnsFoJbF</v>
      </c>
      <c r="O570" s="14" t="str">
        <f>IFERROR(__xludf.DUMMYFUNCTION("""COMPUTED_VALUE"""),"https://drive.google.com/file/d/1iVFRWKO5Nw0W7eHqiqio9T7cl8Us8wuu/view?usp=drivesdk")</f>
        <v>https://drive.google.com/file/d/1iVFRWKO5Nw0W7eHqiqio9T7cl8Us8wuu/view?usp=drivesdk</v>
      </c>
    </row>
    <row r="571">
      <c r="A571" s="3">
        <f>IFERROR(__xludf.DUMMYFUNCTION("""COMPUTED_VALUE"""),2506.0)</f>
        <v>2506</v>
      </c>
      <c r="B571" s="11">
        <f>IFERROR(__xludf.DUMMYFUNCTION("""COMPUTED_VALUE"""),46172.685543287036)</f>
        <v>46172.68554</v>
      </c>
      <c r="C571" s="3" t="str">
        <f>IFERROR(__xludf.DUMMYFUNCTION("""COMPUTED_VALUE"""),"ชั้นปีที่ 3")</f>
        <v>ชั้นปีที่ 3</v>
      </c>
      <c r="D571" s="3" t="str">
        <f>IFERROR(__xludf.DUMMYFUNCTION("""COMPUTED_VALUE"""),"6603786")</f>
        <v>6603786</v>
      </c>
      <c r="E571" s="3" t="str">
        <f>IFERROR(__xludf.DUMMYFUNCTION("""COMPUTED_VALUE"""),"32")</f>
        <v>32</v>
      </c>
      <c r="F571" s="3" t="str">
        <f>IFERROR(__xludf.DUMMYFUNCTION("""COMPUTED_VALUE"""),"ประภัสสร คีตวัฒนานนท์")</f>
        <v>ประภัสสร คีตวัฒนานนท์</v>
      </c>
      <c r="G571" s="3" t="str">
        <f>IFERROR(__xludf.DUMMYFUNCTION("""COMPUTED_VALUE"""),"ช่วยเหลืองานภายใน วพอ.")</f>
        <v>ช่วยเหลืองานภายใน วพอ.</v>
      </c>
      <c r="H571" s="3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571" s="3" t="str">
        <f>IFERROR(__xludf.DUMMYFUNCTION("""COMPUTED_VALUE"""),"วพอ.พอ.")</f>
        <v>วพอ.พอ.</v>
      </c>
      <c r="J571" s="12">
        <f>IFERROR(__xludf.DUMMYFUNCTION("""COMPUTED_VALUE"""),46133.0)</f>
        <v>46133</v>
      </c>
      <c r="K571" s="3" t="str">
        <f>IFERROR(__xludf.DUMMYFUNCTION("""COMPUTED_VALUE"""),"1700-2100")</f>
        <v>1700-2100</v>
      </c>
      <c r="L571" s="3">
        <f>IFERROR(__xludf.DUMMYFUNCTION("""COMPUTED_VALUE"""),4.0)</f>
        <v>4</v>
      </c>
      <c r="M571" s="3" t="str">
        <f>IFERROR(__xludf.DUMMYFUNCTION("""COMPUTED_VALUE"""),"ร.อ.อนุชิต ทำจะดี")</f>
        <v>ร.อ.อนุชิต ทำจะดี</v>
      </c>
      <c r="N571" s="14" t="str">
        <f>IFERROR(__xludf.DUMMYFUNCTION("""COMPUTED_VALUE"""),"https://lh5.googleusercontent.com/d/1T1YKh-zRGkMp1pRT7jBD5u3BrvrqRu_s")</f>
        <v>https://lh5.googleusercontent.com/d/1T1YKh-zRGkMp1pRT7jBD5u3BrvrqRu_s</v>
      </c>
      <c r="O571" s="14" t="str">
        <f>IFERROR(__xludf.DUMMYFUNCTION("""COMPUTED_VALUE"""),"https://drive.google.com/file/d/19MK7dgraEI9T44Ulfu_jh_Syzj-z6J-s/view?usp=drivesdk")</f>
        <v>https://drive.google.com/file/d/19MK7dgraEI9T44Ulfu_jh_Syzj-z6J-s/view?usp=drivesdk</v>
      </c>
    </row>
    <row r="572">
      <c r="A572" s="3">
        <f>IFERROR(__xludf.DUMMYFUNCTION("""COMPUTED_VALUE"""),2508.0)</f>
        <v>2508</v>
      </c>
      <c r="B572" s="11">
        <f>IFERROR(__xludf.DUMMYFUNCTION("""COMPUTED_VALUE"""),46172.68768607639)</f>
        <v>46172.68769</v>
      </c>
      <c r="C572" s="3" t="str">
        <f>IFERROR(__xludf.DUMMYFUNCTION("""COMPUTED_VALUE"""),"ชั้นปีที่ 3")</f>
        <v>ชั้นปีที่ 3</v>
      </c>
      <c r="D572" s="3" t="str">
        <f>IFERROR(__xludf.DUMMYFUNCTION("""COMPUTED_VALUE"""),"6603786")</f>
        <v>6603786</v>
      </c>
      <c r="E572" s="3" t="str">
        <f>IFERROR(__xludf.DUMMYFUNCTION("""COMPUTED_VALUE"""),"32")</f>
        <v>32</v>
      </c>
      <c r="F572" s="3" t="str">
        <f>IFERROR(__xludf.DUMMYFUNCTION("""COMPUTED_VALUE"""),"ประภัสสร คีตวัฒนานนท์")</f>
        <v>ประภัสสร คีตวัฒนานนท์</v>
      </c>
      <c r="G572" s="3" t="str">
        <f>IFERROR(__xludf.DUMMYFUNCTION("""COMPUTED_VALUE"""),"ช่วยเหลืองานภายใน วพอ.")</f>
        <v>ช่วยเหลืองานภายใน วพอ.</v>
      </c>
      <c r="H572" s="3" t="str">
        <f>IFERROR(__xludf.DUMMYFUNCTION("""COMPUTED_VALUE"""),"พิธีมอบหมวกพยาบาลวิชาชีพ ปีการศึกษา2568")</f>
        <v>พิธีมอบหมวกพยาบาลวิชาชีพ ปีการศึกษา2568</v>
      </c>
      <c r="I572" s="3" t="str">
        <f>IFERROR(__xludf.DUMMYFUNCTION("""COMPUTED_VALUE"""),"วพอ.พอ.")</f>
        <v>วพอ.พอ.</v>
      </c>
      <c r="J572" s="12">
        <f>IFERROR(__xludf.DUMMYFUNCTION("""COMPUTED_VALUE"""),46134.0)</f>
        <v>46134</v>
      </c>
      <c r="K572" s="3" t="str">
        <f>IFERROR(__xludf.DUMMYFUNCTION("""COMPUTED_VALUE"""),"1700-2000")</f>
        <v>1700-2000</v>
      </c>
      <c r="L572" s="3">
        <f>IFERROR(__xludf.DUMMYFUNCTION("""COMPUTED_VALUE"""),4.0)</f>
        <v>4</v>
      </c>
      <c r="M572" s="3" t="str">
        <f>IFERROR(__xludf.DUMMYFUNCTION("""COMPUTED_VALUE"""),"ร.อ.อนุชิต ทำจะดี")</f>
        <v>ร.อ.อนุชิต ทำจะดี</v>
      </c>
      <c r="N572" s="14" t="str">
        <f>IFERROR(__xludf.DUMMYFUNCTION("""COMPUTED_VALUE"""),"https://lh5.googleusercontent.com/d/1_TnqQfV7uJiYJjngPwcP0mZ_fgSPTKpM")</f>
        <v>https://lh5.googleusercontent.com/d/1_TnqQfV7uJiYJjngPwcP0mZ_fgSPTKpM</v>
      </c>
      <c r="O572" s="3"/>
    </row>
    <row r="573">
      <c r="A573" s="3">
        <f>IFERROR(__xludf.DUMMYFUNCTION("""COMPUTED_VALUE"""),2509.0)</f>
        <v>2509</v>
      </c>
      <c r="B573" s="11">
        <f>IFERROR(__xludf.DUMMYFUNCTION("""COMPUTED_VALUE"""),46172.69553765046)</f>
        <v>46172.69554</v>
      </c>
      <c r="C573" s="3" t="str">
        <f>IFERROR(__xludf.DUMMYFUNCTION("""COMPUTED_VALUE"""),"ชั้นปีที่ 3")</f>
        <v>ชั้นปีที่ 3</v>
      </c>
      <c r="D573" s="3" t="str">
        <f>IFERROR(__xludf.DUMMYFUNCTION("""COMPUTED_VALUE"""),"6603786")</f>
        <v>6603786</v>
      </c>
      <c r="E573" s="3" t="str">
        <f>IFERROR(__xludf.DUMMYFUNCTION("""COMPUTED_VALUE"""),"32")</f>
        <v>32</v>
      </c>
      <c r="F573" s="3" t="str">
        <f>IFERROR(__xludf.DUMMYFUNCTION("""COMPUTED_VALUE"""),"ประภัสสร คีตวัฒนานนท์")</f>
        <v>ประภัสสร คีตวัฒนานนท์</v>
      </c>
      <c r="G573" s="3" t="str">
        <f>IFERROR(__xludf.DUMMYFUNCTION("""COMPUTED_VALUE"""),"ช่วยเหลืองานภายใน วพอ.")</f>
        <v>ช่วยเหลืองานภายใน วพอ.</v>
      </c>
      <c r="H573" s="3" t="str">
        <f>IFERROR(__xludf.DUMMYFUNCTION("""COMPUTED_VALUE"""),"พิธีมอบหมวกพยาบาลวิชาชีพ ปีการศึกษา2568")</f>
        <v>พิธีมอบหมวกพยาบาลวิชาชีพ ปีการศึกษา2568</v>
      </c>
      <c r="I573" s="3" t="str">
        <f>IFERROR(__xludf.DUMMYFUNCTION("""COMPUTED_VALUE"""),"วพอ.พอ.")</f>
        <v>วพอ.พอ.</v>
      </c>
      <c r="J573" s="12">
        <f>IFERROR(__xludf.DUMMYFUNCTION("""COMPUTED_VALUE"""),46135.0)</f>
        <v>46135</v>
      </c>
      <c r="K573" s="3" t="str">
        <f>IFERROR(__xludf.DUMMYFUNCTION("""COMPUTED_VALUE"""),"1700-2100")</f>
        <v>1700-2100</v>
      </c>
      <c r="L573" s="3">
        <f>IFERROR(__xludf.DUMMYFUNCTION("""COMPUTED_VALUE"""),4.0)</f>
        <v>4</v>
      </c>
      <c r="M573" s="3" t="str">
        <f>IFERROR(__xludf.DUMMYFUNCTION("""COMPUTED_VALUE"""),"ร.อ.อนุชิต ทำจะดี")</f>
        <v>ร.อ.อนุชิต ทำจะดี</v>
      </c>
      <c r="N573" s="14" t="str">
        <f>IFERROR(__xludf.DUMMYFUNCTION("""COMPUTED_VALUE"""),"https://lh5.googleusercontent.com/d/1XCu2ARgNfjlmvBTgNkjAGFyKOPrrfONx")</f>
        <v>https://lh5.googleusercontent.com/d/1XCu2ARgNfjlmvBTgNkjAGFyKOPrrfONx</v>
      </c>
      <c r="O573" s="14" t="str">
        <f>IFERROR(__xludf.DUMMYFUNCTION("""COMPUTED_VALUE"""),"https://drive.google.com/file/d/1ONSgLwit3TcettiqDL7NitaZKg7TV_Xp/view?usp=drivesdk")</f>
        <v>https://drive.google.com/file/d/1ONSgLwit3TcettiqDL7NitaZKg7TV_Xp/view?usp=drivesdk</v>
      </c>
    </row>
    <row r="574">
      <c r="A574" s="3">
        <f>IFERROR(__xludf.DUMMYFUNCTION("""COMPUTED_VALUE"""),2510.0)</f>
        <v>2510</v>
      </c>
      <c r="B574" s="11">
        <f>IFERROR(__xludf.DUMMYFUNCTION("""COMPUTED_VALUE"""),46172.697545115734)</f>
        <v>46172.69755</v>
      </c>
      <c r="C574" s="3" t="str">
        <f>IFERROR(__xludf.DUMMYFUNCTION("""COMPUTED_VALUE"""),"ชั้นปีที่ 3")</f>
        <v>ชั้นปีที่ 3</v>
      </c>
      <c r="D574" s="3" t="str">
        <f>IFERROR(__xludf.DUMMYFUNCTION("""COMPUTED_VALUE"""),"6603786")</f>
        <v>6603786</v>
      </c>
      <c r="E574" s="3" t="str">
        <f>IFERROR(__xludf.DUMMYFUNCTION("""COMPUTED_VALUE"""),"32")</f>
        <v>32</v>
      </c>
      <c r="F574" s="3" t="str">
        <f>IFERROR(__xludf.DUMMYFUNCTION("""COMPUTED_VALUE"""),"ประภัสสร คีตวัฒนานนท์")</f>
        <v>ประภัสสร คีตวัฒนานนท์</v>
      </c>
      <c r="G574" s="3" t="str">
        <f>IFERROR(__xludf.DUMMYFUNCTION("""COMPUTED_VALUE"""),"ช่วยเหลืองานภายใน วพอ.")</f>
        <v>ช่วยเหลืองานภายใน วพอ.</v>
      </c>
      <c r="H574" s="3" t="str">
        <f>IFERROR(__xludf.DUMMYFUNCTION("""COMPUTED_VALUE"""),"พิธีมอบหมวกพยาบาลวิชาชีพ ปีการศึกษา2568")</f>
        <v>พิธีมอบหมวกพยาบาลวิชาชีพ ปีการศึกษา2568</v>
      </c>
      <c r="I574" s="3" t="str">
        <f>IFERROR(__xludf.DUMMYFUNCTION("""COMPUTED_VALUE"""),"วพอ.พอ.")</f>
        <v>วพอ.พอ.</v>
      </c>
      <c r="J574" s="12">
        <f>IFERROR(__xludf.DUMMYFUNCTION("""COMPUTED_VALUE"""),46138.0)</f>
        <v>46138</v>
      </c>
      <c r="K574" s="3" t="str">
        <f>IFERROR(__xludf.DUMMYFUNCTION("""COMPUTED_VALUE"""),"1500-2100")</f>
        <v>1500-2100</v>
      </c>
      <c r="L574" s="3">
        <f>IFERROR(__xludf.DUMMYFUNCTION("""COMPUTED_VALUE"""),6.0)</f>
        <v>6</v>
      </c>
      <c r="M574" s="3" t="str">
        <f>IFERROR(__xludf.DUMMYFUNCTION("""COMPUTED_VALUE"""),"ร.อ.อนุชิต ทำจะดี")</f>
        <v>ร.อ.อนุชิต ทำจะดี</v>
      </c>
      <c r="N574" s="14" t="str">
        <f>IFERROR(__xludf.DUMMYFUNCTION("""COMPUTED_VALUE"""),"https://lh5.googleusercontent.com/d/1tbE2mFWHmrjPkMZCTZDAR496edfBzHI4")</f>
        <v>https://lh5.googleusercontent.com/d/1tbE2mFWHmrjPkMZCTZDAR496edfBzHI4</v>
      </c>
      <c r="O574" s="14" t="str">
        <f>IFERROR(__xludf.DUMMYFUNCTION("""COMPUTED_VALUE"""),"https://drive.google.com/file/d/1m3AnxfR-MEybcM12Vn0myNB92wk9R29q/view?usp=drivesdk")</f>
        <v>https://drive.google.com/file/d/1m3AnxfR-MEybcM12Vn0myNB92wk9R29q/view?usp=drivesdk</v>
      </c>
    </row>
    <row r="575">
      <c r="A575" s="3">
        <f>IFERROR(__xludf.DUMMYFUNCTION("""COMPUTED_VALUE"""),2511.0)</f>
        <v>2511</v>
      </c>
      <c r="B575" s="11">
        <f>IFERROR(__xludf.DUMMYFUNCTION("""COMPUTED_VALUE"""),46172.69956368055)</f>
        <v>46172.69956</v>
      </c>
      <c r="C575" s="3" t="str">
        <f>IFERROR(__xludf.DUMMYFUNCTION("""COMPUTED_VALUE"""),"ชั้นปีที่ 3")</f>
        <v>ชั้นปีที่ 3</v>
      </c>
      <c r="D575" s="3" t="str">
        <f>IFERROR(__xludf.DUMMYFUNCTION("""COMPUTED_VALUE"""),"6603786")</f>
        <v>6603786</v>
      </c>
      <c r="E575" s="3" t="str">
        <f>IFERROR(__xludf.DUMMYFUNCTION("""COMPUTED_VALUE"""),"32")</f>
        <v>32</v>
      </c>
      <c r="F575" s="3" t="str">
        <f>IFERROR(__xludf.DUMMYFUNCTION("""COMPUTED_VALUE"""),"ประภัสสร คีตวัฒนานนท์")</f>
        <v>ประภัสสร คีตวัฒนานนท์</v>
      </c>
      <c r="G575" s="3" t="str">
        <f>IFERROR(__xludf.DUMMYFUNCTION("""COMPUTED_VALUE"""),"ช่วยเหลืองานภายใน วพอ.")</f>
        <v>ช่วยเหลืองานภายใน วพอ.</v>
      </c>
      <c r="H575" s="3" t="str">
        <f>IFERROR(__xludf.DUMMYFUNCTION("""COMPUTED_VALUE"""),"พิธีมอบหมวกพยาบาลวิชาชีพ ปีการศึกษา2568")</f>
        <v>พิธีมอบหมวกพยาบาลวิชาชีพ ปีการศึกษา2568</v>
      </c>
      <c r="I575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75" s="12">
        <f>IFERROR(__xludf.DUMMYFUNCTION("""COMPUTED_VALUE"""),46139.0)</f>
        <v>46139</v>
      </c>
      <c r="K575" s="3" t="str">
        <f>IFERROR(__xludf.DUMMYFUNCTION("""COMPUTED_VALUE"""),"1700-2100")</f>
        <v>1700-2100</v>
      </c>
      <c r="L575" s="3">
        <f>IFERROR(__xludf.DUMMYFUNCTION("""COMPUTED_VALUE"""),4.0)</f>
        <v>4</v>
      </c>
      <c r="M575" s="3" t="str">
        <f>IFERROR(__xludf.DUMMYFUNCTION("""COMPUTED_VALUE"""),"ร.อ.อนุชิต ทำจะดี")</f>
        <v>ร.อ.อนุชิต ทำจะดี</v>
      </c>
      <c r="N575" s="14" t="str">
        <f>IFERROR(__xludf.DUMMYFUNCTION("""COMPUTED_VALUE"""),"https://lh5.googleusercontent.com/d/1JpA4sost2BpFsv4Ys5rAw5Ka1GOzX8r-")</f>
        <v>https://lh5.googleusercontent.com/d/1JpA4sost2BpFsv4Ys5rAw5Ka1GOzX8r-</v>
      </c>
      <c r="O575" s="14" t="str">
        <f>IFERROR(__xludf.DUMMYFUNCTION("""COMPUTED_VALUE"""),"https://drive.google.com/file/d/1GTnHMPhLKEC1iUuKge-FwpKIoOdfNi-W/view?usp=drivesdk")</f>
        <v>https://drive.google.com/file/d/1GTnHMPhLKEC1iUuKge-FwpKIoOdfNi-W/view?usp=drivesdk</v>
      </c>
    </row>
    <row r="576">
      <c r="A576" s="3">
        <f>IFERROR(__xludf.DUMMYFUNCTION("""COMPUTED_VALUE"""),2546.0)</f>
        <v>2546</v>
      </c>
      <c r="B576" s="11">
        <f>IFERROR(__xludf.DUMMYFUNCTION("""COMPUTED_VALUE"""),46174.40969943287)</f>
        <v>46174.4097</v>
      </c>
      <c r="C576" s="3" t="str">
        <f>IFERROR(__xludf.DUMMYFUNCTION("""COMPUTED_VALUE"""),"ชั้นปีที่ 3")</f>
        <v>ชั้นปีที่ 3</v>
      </c>
      <c r="D576" s="3" t="str">
        <f>IFERROR(__xludf.DUMMYFUNCTION("""COMPUTED_VALUE"""),"6603797")</f>
        <v>6603797</v>
      </c>
      <c r="E576" s="3" t="str">
        <f>IFERROR(__xludf.DUMMYFUNCTION("""COMPUTED_VALUE"""),"43")</f>
        <v>43</v>
      </c>
      <c r="F576" s="3" t="str">
        <f>IFERROR(__xludf.DUMMYFUNCTION("""COMPUTED_VALUE"""),"นพอ.พิมพ์ลภัส ทองดีเลิศ")</f>
        <v>นพอ.พิมพ์ลภัส ทองดีเลิศ</v>
      </c>
      <c r="G576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576" s="3" t="str">
        <f>IFERROR(__xludf.DUMMYFUNCTION("""COMPUTED_VALUE"""),"ซ้อมเต้นงานกอล์ฟ")</f>
        <v>ซ้อมเต้นงานกอล์ฟ</v>
      </c>
      <c r="I576" s="3" t="str">
        <f>IFERROR(__xludf.DUMMYFUNCTION("""COMPUTED_VALUE"""),"วพอ.พอ.")</f>
        <v>วพอ.พอ.</v>
      </c>
      <c r="J576" s="12">
        <f>IFERROR(__xludf.DUMMYFUNCTION("""COMPUTED_VALUE"""),46064.0)</f>
        <v>46064</v>
      </c>
      <c r="K576" s="3" t="str">
        <f>IFERROR(__xludf.DUMMYFUNCTION("""COMPUTED_VALUE"""),"1830-2030")</f>
        <v>1830-2030</v>
      </c>
      <c r="L576" s="3">
        <f>IFERROR(__xludf.DUMMYFUNCTION("""COMPUTED_VALUE"""),2.0)</f>
        <v>2</v>
      </c>
      <c r="M576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76" s="14" t="str">
        <f>IFERROR(__xludf.DUMMYFUNCTION("""COMPUTED_VALUE"""),"https://lh5.googleusercontent.com/d/12rYsePBAhOOczyl1OzGOxpiRtd8Gxl7T")</f>
        <v>https://lh5.googleusercontent.com/d/12rYsePBAhOOczyl1OzGOxpiRtd8Gxl7T</v>
      </c>
      <c r="O576" s="14" t="str">
        <f>IFERROR(__xludf.DUMMYFUNCTION("""COMPUTED_VALUE"""),"https://drive.google.com/file/d/1W2OdFDwytRzAAezRwhu4sGNOqxwvdlme/view?usp=drivesdk")</f>
        <v>https://drive.google.com/file/d/1W2OdFDwytRzAAezRwhu4sGNOqxwvdlme/view?usp=drivesdk</v>
      </c>
    </row>
    <row r="577">
      <c r="A577" s="3">
        <f>IFERROR(__xludf.DUMMYFUNCTION("""COMPUTED_VALUE"""),2547.0)</f>
        <v>2547</v>
      </c>
      <c r="B577" s="11">
        <f>IFERROR(__xludf.DUMMYFUNCTION("""COMPUTED_VALUE"""),46174.480336354165)</f>
        <v>46174.48034</v>
      </c>
      <c r="C577" s="3" t="str">
        <f>IFERROR(__xludf.DUMMYFUNCTION("""COMPUTED_VALUE"""),"ชั้นปีที่ 3")</f>
        <v>ชั้นปีที่ 3</v>
      </c>
      <c r="D577" s="3" t="str">
        <f>IFERROR(__xludf.DUMMYFUNCTION("""COMPUTED_VALUE"""),"6603756")</f>
        <v>6603756</v>
      </c>
      <c r="E577" s="3" t="str">
        <f>IFERROR(__xludf.DUMMYFUNCTION("""COMPUTED_VALUE"""),"3")</f>
        <v>3</v>
      </c>
      <c r="F577" s="3" t="str">
        <f>IFERROR(__xludf.DUMMYFUNCTION("""COMPUTED_VALUE"""),"นพอ.กันต์ฤทัย อินทรเทศ")</f>
        <v>นพอ.กันต์ฤทัย อินทรเทศ</v>
      </c>
      <c r="G5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7" s="3" t="str">
        <f>IFERROR(__xludf.DUMMYFUNCTION("""COMPUTED_VALUE"""),"สงกรานต์เบิกบานจิต")</f>
        <v>สงกรานต์เบิกบานจิต</v>
      </c>
      <c r="I577" s="3" t="str">
        <f>IFERROR(__xludf.DUMMYFUNCTION("""COMPUTED_VALUE"""),"โรงพยาบาลศรีธัญญา")</f>
        <v>โรงพยาบาลศรีธัญญา</v>
      </c>
      <c r="J577" s="12">
        <f>IFERROR(__xludf.DUMMYFUNCTION("""COMPUTED_VALUE"""),46121.0)</f>
        <v>46121</v>
      </c>
      <c r="K577" s="3" t="str">
        <f>IFERROR(__xludf.DUMMYFUNCTION("""COMPUTED_VALUE"""),"0800-1600")</f>
        <v>0800-1600</v>
      </c>
      <c r="L577" s="3">
        <f>IFERROR(__xludf.DUMMYFUNCTION("""COMPUTED_VALUE"""),8.0)</f>
        <v>8</v>
      </c>
      <c r="M577" s="3" t="str">
        <f>IFERROR(__xludf.DUMMYFUNCTION("""COMPUTED_VALUE"""),"น.ต.หญิง รฐานุช ถิ่นสอน")</f>
        <v>น.ต.หญิง รฐานุช ถิ่นสอน</v>
      </c>
      <c r="N577" s="14" t="str">
        <f>IFERROR(__xludf.DUMMYFUNCTION("""COMPUTED_VALUE"""),"https://lh5.googleusercontent.com/d/1DK2HbYDRiOQ9lRpCsKAfEJNK0TrpEqQB")</f>
        <v>https://lh5.googleusercontent.com/d/1DK2HbYDRiOQ9lRpCsKAfEJNK0TrpEqQB</v>
      </c>
      <c r="O577" s="14" t="str">
        <f>IFERROR(__xludf.DUMMYFUNCTION("""COMPUTED_VALUE"""),"https://drive.google.com/file/d/1W1ikJp-mTYNgSHoW0T7m6_d-RJuZntHy/view?usp=drivesdk")</f>
        <v>https://drive.google.com/file/d/1W1ikJp-mTYNgSHoW0T7m6_d-RJuZntHy/view?usp=drivesdk</v>
      </c>
    </row>
    <row r="578">
      <c r="A578" s="3">
        <f>IFERROR(__xludf.DUMMYFUNCTION("""COMPUTED_VALUE"""),2548.0)</f>
        <v>2548</v>
      </c>
      <c r="B578" s="11">
        <f>IFERROR(__xludf.DUMMYFUNCTION("""COMPUTED_VALUE"""),46174.48509171296)</f>
        <v>46174.48509</v>
      </c>
      <c r="C578" s="3" t="str">
        <f>IFERROR(__xludf.DUMMYFUNCTION("""COMPUTED_VALUE"""),"ชั้นปีที่ 3")</f>
        <v>ชั้นปีที่ 3</v>
      </c>
      <c r="D578" s="3" t="str">
        <f>IFERROR(__xludf.DUMMYFUNCTION("""COMPUTED_VALUE"""),"6603756")</f>
        <v>6603756</v>
      </c>
      <c r="E578" s="3" t="str">
        <f>IFERROR(__xludf.DUMMYFUNCTION("""COMPUTED_VALUE"""),"3")</f>
        <v>3</v>
      </c>
      <c r="F578" s="3" t="str">
        <f>IFERROR(__xludf.DUMMYFUNCTION("""COMPUTED_VALUE"""),"นพอ.กันต์ฤทัย อินทรเทศ")</f>
        <v>นพอ.กันต์ฤทัย อินทรเทศ</v>
      </c>
      <c r="G578" s="3" t="str">
        <f>IFERROR(__xludf.DUMMYFUNCTION("""COMPUTED_VALUE"""),"ช่วยเหลืองานภายใน วพอ.")</f>
        <v>ช่วยเหลืองานภายใน วพอ.</v>
      </c>
      <c r="H57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8" s="3" t="str">
        <f>IFERROR(__xludf.DUMMYFUNCTION("""COMPUTED_VALUE"""),"วพอ.พอ.")</f>
        <v>วพอ.พอ.</v>
      </c>
      <c r="J578" s="12">
        <f>IFERROR(__xludf.DUMMYFUNCTION("""COMPUTED_VALUE"""),46133.0)</f>
        <v>46133</v>
      </c>
      <c r="K578" s="3" t="str">
        <f>IFERROR(__xludf.DUMMYFUNCTION("""COMPUTED_VALUE"""),"1700-2100")</f>
        <v>1700-2100</v>
      </c>
      <c r="L578" s="3">
        <f>IFERROR(__xludf.DUMMYFUNCTION("""COMPUTED_VALUE"""),4.0)</f>
        <v>4</v>
      </c>
      <c r="M578" s="3" t="str">
        <f>IFERROR(__xludf.DUMMYFUNCTION("""COMPUTED_VALUE"""),"ร.อ.อนุชิต ทำจะดี")</f>
        <v>ร.อ.อนุชิต ทำจะดี</v>
      </c>
      <c r="N578" s="14" t="str">
        <f>IFERROR(__xludf.DUMMYFUNCTION("""COMPUTED_VALUE"""),"https://lh5.googleusercontent.com/d/1K-3_cGFdqAzhmO7vzeC1j5wxoCbzbp-q")</f>
        <v>https://lh5.googleusercontent.com/d/1K-3_cGFdqAzhmO7vzeC1j5wxoCbzbp-q</v>
      </c>
      <c r="O578" s="14" t="str">
        <f>IFERROR(__xludf.DUMMYFUNCTION("""COMPUTED_VALUE"""),"https://drive.google.com/file/d/1oLWQNORZHPLLcOD2ymoqPPDcbR-HjxlM/view?usp=drivesdk")</f>
        <v>https://drive.google.com/file/d/1oLWQNORZHPLLcOD2ymoqPPDcbR-HjxlM/view?usp=drivesdk</v>
      </c>
    </row>
    <row r="579">
      <c r="A579" s="3">
        <f>IFERROR(__xludf.DUMMYFUNCTION("""COMPUTED_VALUE"""),2549.0)</f>
        <v>2549</v>
      </c>
      <c r="B579" s="11">
        <f>IFERROR(__xludf.DUMMYFUNCTION("""COMPUTED_VALUE"""),46174.4871753588)</f>
        <v>46174.48718</v>
      </c>
      <c r="C579" s="3" t="str">
        <f>IFERROR(__xludf.DUMMYFUNCTION("""COMPUTED_VALUE"""),"ชั้นปีที่ 3")</f>
        <v>ชั้นปีที่ 3</v>
      </c>
      <c r="D579" s="3" t="str">
        <f>IFERROR(__xludf.DUMMYFUNCTION("""COMPUTED_VALUE"""),"6603756")</f>
        <v>6603756</v>
      </c>
      <c r="E579" s="3" t="str">
        <f>IFERROR(__xludf.DUMMYFUNCTION("""COMPUTED_VALUE"""),"3")</f>
        <v>3</v>
      </c>
      <c r="F579" s="3" t="str">
        <f>IFERROR(__xludf.DUMMYFUNCTION("""COMPUTED_VALUE"""),"นพอ.กันต์ฤทัย อินทรเทศ")</f>
        <v>นพอ.กันต์ฤทัย อินทรเทศ</v>
      </c>
      <c r="G579" s="3" t="str">
        <f>IFERROR(__xludf.DUMMYFUNCTION("""COMPUTED_VALUE"""),"ช่วยเหลืองานภายใน วพอ.")</f>
        <v>ช่วยเหลืองานภายใน วพอ.</v>
      </c>
      <c r="H579" s="3" t="str">
        <f>IFERROR(__xludf.DUMMYFUNCTION("""COMPUTED_VALUE"""),"การทดสอบความถนัดวิภาววิสัยและการทดสอบร่างกาย")</f>
        <v>การทดสอบความถนัดวิภาววิสัยและการทดสอบร่างกาย</v>
      </c>
      <c r="I579" s="3" t="str">
        <f>IFERROR(__xludf.DUMMYFUNCTION("""COMPUTED_VALUE"""),"วพอ.พอ.")</f>
        <v>วพอ.พอ.</v>
      </c>
      <c r="J579" s="12">
        <f>IFERROR(__xludf.DUMMYFUNCTION("""COMPUTED_VALUE"""),46147.0)</f>
        <v>46147</v>
      </c>
      <c r="K579" s="3" t="str">
        <f>IFERROR(__xludf.DUMMYFUNCTION("""COMPUTED_VALUE"""),"0800-1600")</f>
        <v>0800-1600</v>
      </c>
      <c r="L579" s="3">
        <f>IFERROR(__xludf.DUMMYFUNCTION("""COMPUTED_VALUE"""),8.0)</f>
        <v>8</v>
      </c>
      <c r="M579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79" s="14" t="str">
        <f>IFERROR(__xludf.DUMMYFUNCTION("""COMPUTED_VALUE"""),"https://lh5.googleusercontent.com/d/1rLwQuw5ZVTf6Q0x24qN1We0DVZYfHlO8")</f>
        <v>https://lh5.googleusercontent.com/d/1rLwQuw5ZVTf6Q0x24qN1We0DVZYfHlO8</v>
      </c>
      <c r="O579" s="14" t="str">
        <f>IFERROR(__xludf.DUMMYFUNCTION("""COMPUTED_VALUE"""),"https://drive.google.com/file/d/1obE38KvLLvCvX2as5ho8ICUuOZaqBYqG/view?usp=drivesdk")</f>
        <v>https://drive.google.com/file/d/1obE38KvLLvCvX2as5ho8ICUuOZaqBYqG/view?usp=drivesdk</v>
      </c>
    </row>
    <row r="580">
      <c r="A580" s="3">
        <f>IFERROR(__xludf.DUMMYFUNCTION("""COMPUTED_VALUE"""),2562.0)</f>
        <v>2562</v>
      </c>
      <c r="B580" s="11">
        <f>IFERROR(__xludf.DUMMYFUNCTION("""COMPUTED_VALUE"""),46174.91987758102)</f>
        <v>46174.91988</v>
      </c>
      <c r="C580" s="3" t="str">
        <f>IFERROR(__xludf.DUMMYFUNCTION("""COMPUTED_VALUE"""),"ชั้นปีที่ 3")</f>
        <v>ชั้นปีที่ 3</v>
      </c>
      <c r="D580" s="3" t="str">
        <f>IFERROR(__xludf.DUMMYFUNCTION("""COMPUTED_VALUE"""),"6603773")</f>
        <v>6603773</v>
      </c>
      <c r="E580" s="3" t="str">
        <f>IFERROR(__xludf.DUMMYFUNCTION("""COMPUTED_VALUE"""),"20")</f>
        <v>20</v>
      </c>
      <c r="F580" s="3" t="str">
        <f>IFERROR(__xludf.DUMMYFUNCTION("""COMPUTED_VALUE"""),"นพอ.ธัญชนก ไชยปรุง")</f>
        <v>นพอ.ธัญชนก ไชยปรุง</v>
      </c>
      <c r="G580" s="3" t="str">
        <f>IFERROR(__xludf.DUMMYFUNCTION("""COMPUTED_VALUE"""),"ช่วยเหลืองานภายใน วพอ.")</f>
        <v>ช่วยเหลืองานภายใน วพอ.</v>
      </c>
      <c r="H580" s="3" t="str">
        <f>IFERROR(__xludf.DUMMYFUNCTION("""COMPUTED_VALUE"""),"ช่วยเหลืองานรับสมัคร 69")</f>
        <v>ช่วยเหลืองานรับสมัคร 69</v>
      </c>
      <c r="I580" s="3" t="str">
        <f>IFERROR(__xludf.DUMMYFUNCTION("""COMPUTED_VALUE"""),"วพอ.พอ.")</f>
        <v>วพอ.พอ.</v>
      </c>
      <c r="J580" s="12">
        <f>IFERROR(__xludf.DUMMYFUNCTION("""COMPUTED_VALUE"""),46147.0)</f>
        <v>46147</v>
      </c>
      <c r="K580" s="3" t="str">
        <f>IFERROR(__xludf.DUMMYFUNCTION("""COMPUTED_VALUE"""),"0800-1600")</f>
        <v>0800-1600</v>
      </c>
      <c r="L580" s="3">
        <f>IFERROR(__xludf.DUMMYFUNCTION("""COMPUTED_VALUE"""),8.0)</f>
        <v>8</v>
      </c>
      <c r="M580" s="3" t="str">
        <f>IFERROR(__xludf.DUMMYFUNCTION("""COMPUTED_VALUE"""),"น.ท.ลักษ์ขณา พานิชสรรค์")</f>
        <v>น.ท.ลักษ์ขณา พานิชสรรค์</v>
      </c>
      <c r="N580" s="14" t="str">
        <f>IFERROR(__xludf.DUMMYFUNCTION("""COMPUTED_VALUE"""),"https://lh5.googleusercontent.com/d/1dHjqw89UYWxM_s5jWKnpC4RR8SiiCZS0")</f>
        <v>https://lh5.googleusercontent.com/d/1dHjqw89UYWxM_s5jWKnpC4RR8SiiCZS0</v>
      </c>
      <c r="O580" s="14" t="str">
        <f>IFERROR(__xludf.DUMMYFUNCTION("""COMPUTED_VALUE"""),"https://drive.google.com/file/d/1EcoQ6pu5eEFNm_dJ_z8dodiqpcNdeer-/view?usp=drivesdk")</f>
        <v>https://drive.google.com/file/d/1EcoQ6pu5eEFNm_dJ_z8dodiqpcNdeer-/view?usp=drivesdk</v>
      </c>
    </row>
    <row r="581">
      <c r="A581" s="3">
        <f>IFERROR(__xludf.DUMMYFUNCTION("""COMPUTED_VALUE"""),2563.0)</f>
        <v>2563</v>
      </c>
      <c r="B581" s="11">
        <f>IFERROR(__xludf.DUMMYFUNCTION("""COMPUTED_VALUE"""),46174.93649431713)</f>
        <v>46174.93649</v>
      </c>
      <c r="C581" s="3" t="str">
        <f>IFERROR(__xludf.DUMMYFUNCTION("""COMPUTED_VALUE"""),"ชั้นปีที่ 3")</f>
        <v>ชั้นปีที่ 3</v>
      </c>
      <c r="D581" s="3" t="str">
        <f>IFERROR(__xludf.DUMMYFUNCTION("""COMPUTED_VALUE"""),"6603782")</f>
        <v>6603782</v>
      </c>
      <c r="E581" s="3" t="str">
        <f>IFERROR(__xludf.DUMMYFUNCTION("""COMPUTED_VALUE"""),"28")</f>
        <v>28</v>
      </c>
      <c r="F581" s="3" t="str">
        <f>IFERROR(__xludf.DUMMYFUNCTION("""COMPUTED_VALUE"""),"นพอ.เนตรชนก ชูหนู")</f>
        <v>นพอ.เนตรชนก ชูหนู</v>
      </c>
      <c r="G58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81" s="3" t="str">
        <f>IFERROR(__xludf.DUMMYFUNCTION("""COMPUTED_VALUE"""),"บริจาคเลือด")</f>
        <v>บริจาคเลือด</v>
      </c>
      <c r="I581" s="3" t="str">
        <f>IFERROR(__xludf.DUMMYFUNCTION("""COMPUTED_VALUE"""),"รพ.ภูมิพล")</f>
        <v>รพ.ภูมิพล</v>
      </c>
      <c r="J581" s="12">
        <f>IFERROR(__xludf.DUMMYFUNCTION("""COMPUTED_VALUE"""),46094.0)</f>
        <v>46094</v>
      </c>
      <c r="K581" s="3" t="str">
        <f>IFERROR(__xludf.DUMMYFUNCTION("""COMPUTED_VALUE"""),"0900")</f>
        <v>0900</v>
      </c>
      <c r="L581" s="3">
        <f>IFERROR(__xludf.DUMMYFUNCTION("""COMPUTED_VALUE"""),8.0)</f>
        <v>8</v>
      </c>
      <c r="M581" s="3" t="str">
        <f>IFERROR(__xludf.DUMMYFUNCTION("""COMPUTED_VALUE"""),"ร.อ.อนุชิต ทำจะดี")</f>
        <v>ร.อ.อนุชิต ทำจะดี</v>
      </c>
      <c r="N581" s="14" t="str">
        <f>IFERROR(__xludf.DUMMYFUNCTION("""COMPUTED_VALUE"""),"https://lh5.googleusercontent.com/d/1f07Q9e7nSvmX5wI3rfbPvjXNKYTmb6P-")</f>
        <v>https://lh5.googleusercontent.com/d/1f07Q9e7nSvmX5wI3rfbPvjXNKYTmb6P-</v>
      </c>
      <c r="O581" s="14" t="str">
        <f>IFERROR(__xludf.DUMMYFUNCTION("""COMPUTED_VALUE"""),"https://drive.google.com/file/d/1DEdPnjkByZXW-fCSfeHdMuPg5k-0mb35/view?usp=drivesdk")</f>
        <v>https://drive.google.com/file/d/1DEdPnjkByZXW-fCSfeHdMuPg5k-0mb35/view?usp=drivesdk</v>
      </c>
    </row>
    <row r="582">
      <c r="A582" s="3">
        <f>IFERROR(__xludf.DUMMYFUNCTION("""COMPUTED_VALUE"""),2564.0)</f>
        <v>2564</v>
      </c>
      <c r="B582" s="11">
        <f>IFERROR(__xludf.DUMMYFUNCTION("""COMPUTED_VALUE"""),46174.96510061343)</f>
        <v>46174.9651</v>
      </c>
      <c r="C582" s="3" t="str">
        <f>IFERROR(__xludf.DUMMYFUNCTION("""COMPUTED_VALUE"""),"ชั้นปีที่ 3")</f>
        <v>ชั้นปีที่ 3</v>
      </c>
      <c r="D582" s="3" t="str">
        <f>IFERROR(__xludf.DUMMYFUNCTION("""COMPUTED_VALUE"""),"6603773")</f>
        <v>6603773</v>
      </c>
      <c r="E582" s="3" t="str">
        <f>IFERROR(__xludf.DUMMYFUNCTION("""COMPUTED_VALUE"""),"20")</f>
        <v>20</v>
      </c>
      <c r="F582" s="3" t="str">
        <f>IFERROR(__xludf.DUMMYFUNCTION("""COMPUTED_VALUE"""),"นพอ.ธัญชนก ไชยปรุง")</f>
        <v>นพอ.ธัญชนก ไชยปรุง</v>
      </c>
      <c r="G582" s="3" t="str">
        <f>IFERROR(__xludf.DUMMYFUNCTION("""COMPUTED_VALUE"""),"ช่วยเหลืองานภายใน วพอ.")</f>
        <v>ช่วยเหลืองานภายใน วพอ.</v>
      </c>
      <c r="H58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2" s="3" t="str">
        <f>IFERROR(__xludf.DUMMYFUNCTION("""COMPUTED_VALUE"""),"วพอ.พอ.")</f>
        <v>วพอ.พอ.</v>
      </c>
      <c r="J582" s="12">
        <f>IFERROR(__xludf.DUMMYFUNCTION("""COMPUTED_VALUE"""),46133.0)</f>
        <v>46133</v>
      </c>
      <c r="K582" s="3" t="str">
        <f>IFERROR(__xludf.DUMMYFUNCTION("""COMPUTED_VALUE"""),"1700-2100")</f>
        <v>1700-2100</v>
      </c>
      <c r="L582" s="3">
        <f>IFERROR(__xludf.DUMMYFUNCTION("""COMPUTED_VALUE"""),4.0)</f>
        <v>4</v>
      </c>
      <c r="M582" s="3" t="str">
        <f>IFERROR(__xludf.DUMMYFUNCTION("""COMPUTED_VALUE"""),"ร.อ.อนุชิต ทำจะดี")</f>
        <v>ร.อ.อนุชิต ทำจะดี</v>
      </c>
      <c r="N582" s="14" t="str">
        <f>IFERROR(__xludf.DUMMYFUNCTION("""COMPUTED_VALUE"""),"https://lh5.googleusercontent.com/d/1e20eohcurqSovVVjFZlEcllNy8zyVQ_E")</f>
        <v>https://lh5.googleusercontent.com/d/1e20eohcurqSovVVjFZlEcllNy8zyVQ_E</v>
      </c>
      <c r="O582" s="14" t="str">
        <f>IFERROR(__xludf.DUMMYFUNCTION("""COMPUTED_VALUE"""),"https://drive.google.com/file/d/1qfg5T5s-AduRAXqFeZkcr9JnzsF7bjcl/view?usp=drivesdk")</f>
        <v>https://drive.google.com/file/d/1qfg5T5s-AduRAXqFeZkcr9JnzsF7bjcl/view?usp=drivesdk</v>
      </c>
    </row>
    <row r="583">
      <c r="A583" s="3">
        <f>IFERROR(__xludf.DUMMYFUNCTION("""COMPUTED_VALUE"""),2565.0)</f>
        <v>2565</v>
      </c>
      <c r="B583" s="11">
        <f>IFERROR(__xludf.DUMMYFUNCTION("""COMPUTED_VALUE"""),46174.96626498843)</f>
        <v>46174.96626</v>
      </c>
      <c r="C583" s="3" t="str">
        <f>IFERROR(__xludf.DUMMYFUNCTION("""COMPUTED_VALUE"""),"ชั้นปีที่ 3")</f>
        <v>ชั้นปีที่ 3</v>
      </c>
      <c r="D583" s="3" t="str">
        <f>IFERROR(__xludf.DUMMYFUNCTION("""COMPUTED_VALUE"""),"6603773")</f>
        <v>6603773</v>
      </c>
      <c r="E583" s="3" t="str">
        <f>IFERROR(__xludf.DUMMYFUNCTION("""COMPUTED_VALUE"""),"20")</f>
        <v>20</v>
      </c>
      <c r="F583" s="3" t="str">
        <f>IFERROR(__xludf.DUMMYFUNCTION("""COMPUTED_VALUE"""),"นพอ.ธัญชนก ไชยปรุง")</f>
        <v>นพอ.ธัญชนก ไชยปรุง</v>
      </c>
      <c r="G583" s="3" t="str">
        <f>IFERROR(__xludf.DUMMYFUNCTION("""COMPUTED_VALUE"""),"ช่วยเหลืองานภายใน วพอ.")</f>
        <v>ช่วยเหลืองานภายใน วพอ.</v>
      </c>
      <c r="H58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3" s="3" t="str">
        <f>IFERROR(__xludf.DUMMYFUNCTION("""COMPUTED_VALUE"""),"วพอ.พอ.")</f>
        <v>วพอ.พอ.</v>
      </c>
      <c r="J583" s="12">
        <f>IFERROR(__xludf.DUMMYFUNCTION("""COMPUTED_VALUE"""),46134.0)</f>
        <v>46134</v>
      </c>
      <c r="K583" s="3" t="str">
        <f>IFERROR(__xludf.DUMMYFUNCTION("""COMPUTED_VALUE"""),"1700-2100")</f>
        <v>1700-2100</v>
      </c>
      <c r="L583" s="3">
        <f>IFERROR(__xludf.DUMMYFUNCTION("""COMPUTED_VALUE"""),4.0)</f>
        <v>4</v>
      </c>
      <c r="M583" s="3" t="str">
        <f>IFERROR(__xludf.DUMMYFUNCTION("""COMPUTED_VALUE"""),"ร.อ.อนุชิต ทำจะดี")</f>
        <v>ร.อ.อนุชิต ทำจะดี</v>
      </c>
      <c r="N583" s="14" t="str">
        <f>IFERROR(__xludf.DUMMYFUNCTION("""COMPUTED_VALUE"""),"https://lh5.googleusercontent.com/d/1po_htnjzoYwu3BkqvYYkfPI-UcNhVzoB")</f>
        <v>https://lh5.googleusercontent.com/d/1po_htnjzoYwu3BkqvYYkfPI-UcNhVzoB</v>
      </c>
      <c r="O583" s="14" t="str">
        <f>IFERROR(__xludf.DUMMYFUNCTION("""COMPUTED_VALUE"""),"https://drive.google.com/file/d/1Y5bCZzJoshr4vLYLFNe1xBqdSwysRdY6/view?usp=drivesdk")</f>
        <v>https://drive.google.com/file/d/1Y5bCZzJoshr4vLYLFNe1xBqdSwysRdY6/view?usp=drivesdk</v>
      </c>
    </row>
    <row r="584">
      <c r="A584" s="3">
        <f>IFERROR(__xludf.DUMMYFUNCTION("""COMPUTED_VALUE"""),2566.0)</f>
        <v>2566</v>
      </c>
      <c r="B584" s="11">
        <f>IFERROR(__xludf.DUMMYFUNCTION("""COMPUTED_VALUE"""),46174.96763461806)</f>
        <v>46174.96763</v>
      </c>
      <c r="C584" s="3" t="str">
        <f>IFERROR(__xludf.DUMMYFUNCTION("""COMPUTED_VALUE"""),"ชั้นปีที่ 3")</f>
        <v>ชั้นปีที่ 3</v>
      </c>
      <c r="D584" s="3" t="str">
        <f>IFERROR(__xludf.DUMMYFUNCTION("""COMPUTED_VALUE"""),"6603773")</f>
        <v>6603773</v>
      </c>
      <c r="E584" s="3" t="str">
        <f>IFERROR(__xludf.DUMMYFUNCTION("""COMPUTED_VALUE"""),"20")</f>
        <v>20</v>
      </c>
      <c r="F584" s="3" t="str">
        <f>IFERROR(__xludf.DUMMYFUNCTION("""COMPUTED_VALUE"""),"นพอ.ธัญชนก ไชยปรุง")</f>
        <v>นพอ.ธัญชนก ไชยปรุง</v>
      </c>
      <c r="G584" s="3" t="str">
        <f>IFERROR(__xludf.DUMMYFUNCTION("""COMPUTED_VALUE"""),"ช่วยเหลืองานภายใน วพอ.")</f>
        <v>ช่วยเหลืองานภายใน วพอ.</v>
      </c>
      <c r="H58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4" s="3" t="str">
        <f>IFERROR(__xludf.DUMMYFUNCTION("""COMPUTED_VALUE"""),"วพอ.พอ.")</f>
        <v>วพอ.พอ.</v>
      </c>
      <c r="J584" s="12">
        <f>IFERROR(__xludf.DUMMYFUNCTION("""COMPUTED_VALUE"""),46135.0)</f>
        <v>46135</v>
      </c>
      <c r="K584" s="3" t="str">
        <f>IFERROR(__xludf.DUMMYFUNCTION("""COMPUTED_VALUE"""),"1700-2100")</f>
        <v>1700-2100</v>
      </c>
      <c r="L584" s="3">
        <f>IFERROR(__xludf.DUMMYFUNCTION("""COMPUTED_VALUE"""),4.0)</f>
        <v>4</v>
      </c>
      <c r="M584" s="3" t="str">
        <f>IFERROR(__xludf.DUMMYFUNCTION("""COMPUTED_VALUE"""),"ร.อ.อนุชิต ทำจะดี")</f>
        <v>ร.อ.อนุชิต ทำจะดี</v>
      </c>
      <c r="N584" s="14" t="str">
        <f>IFERROR(__xludf.DUMMYFUNCTION("""COMPUTED_VALUE"""),"https://lh5.googleusercontent.com/d/1VkuT3goB1oArpADOhmF8ElePTSCtB1Yh")</f>
        <v>https://lh5.googleusercontent.com/d/1VkuT3goB1oArpADOhmF8ElePTSCtB1Yh</v>
      </c>
      <c r="O584" s="14" t="str">
        <f>IFERROR(__xludf.DUMMYFUNCTION("""COMPUTED_VALUE"""),"https://drive.google.com/file/d/1U0ZNWCijG4CEvW6ELdq7zzwjijx-lUp6/view?usp=drivesdk")</f>
        <v>https://drive.google.com/file/d/1U0ZNWCijG4CEvW6ELdq7zzwjijx-lUp6/view?usp=drivesdk</v>
      </c>
    </row>
    <row r="585">
      <c r="A585" s="3">
        <f>IFERROR(__xludf.DUMMYFUNCTION("""COMPUTED_VALUE"""),2567.0)</f>
        <v>2567</v>
      </c>
      <c r="B585" s="11">
        <f>IFERROR(__xludf.DUMMYFUNCTION("""COMPUTED_VALUE"""),46174.96860936343)</f>
        <v>46174.96861</v>
      </c>
      <c r="C585" s="3" t="str">
        <f>IFERROR(__xludf.DUMMYFUNCTION("""COMPUTED_VALUE"""),"ชั้นปีที่ 3")</f>
        <v>ชั้นปีที่ 3</v>
      </c>
      <c r="D585" s="3" t="str">
        <f>IFERROR(__xludf.DUMMYFUNCTION("""COMPUTED_VALUE"""),"6603799")</f>
        <v>6603799</v>
      </c>
      <c r="E585" s="3" t="str">
        <f>IFERROR(__xludf.DUMMYFUNCTION("""COMPUTED_VALUE"""),"45")</f>
        <v>45</v>
      </c>
      <c r="F585" s="3" t="str">
        <f>IFERROR(__xludf.DUMMYFUNCTION("""COMPUTED_VALUE"""),"นพอ.วรัญญา สุวรรณ")</f>
        <v>นพอ.วรัญญา สุวรรณ</v>
      </c>
      <c r="G58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85" s="3" t="str">
        <f>IFERROR(__xludf.DUMMYFUNCTION("""COMPUTED_VALUE"""),"บริจาคโลหิต")</f>
        <v>บริจาคโลหิต</v>
      </c>
      <c r="I585" s="3" t="str">
        <f>IFERROR(__xludf.DUMMYFUNCTION("""COMPUTED_VALUE"""),"รพ.ภูมิพล")</f>
        <v>รพ.ภูมิพล</v>
      </c>
      <c r="J585" s="12">
        <f>IFERROR(__xludf.DUMMYFUNCTION("""COMPUTED_VALUE"""),46073.0)</f>
        <v>46073</v>
      </c>
      <c r="K585" s="3" t="str">
        <f>IFERROR(__xludf.DUMMYFUNCTION("""COMPUTED_VALUE"""),"1100-1200")</f>
        <v>1100-1200</v>
      </c>
      <c r="L585" s="3">
        <f>IFERROR(__xludf.DUMMYFUNCTION("""COMPUTED_VALUE"""),8.0)</f>
        <v>8</v>
      </c>
      <c r="M585" s="3" t="str">
        <f>IFERROR(__xludf.DUMMYFUNCTION("""COMPUTED_VALUE"""),"ร.อ.อนุชิต ทำจะดี")</f>
        <v>ร.อ.อนุชิต ทำจะดี</v>
      </c>
      <c r="N585" s="14" t="str">
        <f>IFERROR(__xludf.DUMMYFUNCTION("""COMPUTED_VALUE"""),"https://lh5.googleusercontent.com/d/1jKkqmD8SAVQuqmFJF27uLirky6KUmUYX")</f>
        <v>https://lh5.googleusercontent.com/d/1jKkqmD8SAVQuqmFJF27uLirky6KUmUYX</v>
      </c>
      <c r="O585" s="14" t="str">
        <f>IFERROR(__xludf.DUMMYFUNCTION("""COMPUTED_VALUE"""),"https://drive.google.com/file/d/1dTKDVpFvkG_H0D42FZCTuKNBxKl4eI9Z/view?usp=drivesdk")</f>
        <v>https://drive.google.com/file/d/1dTKDVpFvkG_H0D42FZCTuKNBxKl4eI9Z/view?usp=drivesdk</v>
      </c>
    </row>
    <row r="586">
      <c r="A586" s="3">
        <f>IFERROR(__xludf.DUMMYFUNCTION("""COMPUTED_VALUE"""),2568.0)</f>
        <v>2568</v>
      </c>
      <c r="B586" s="11">
        <f>IFERROR(__xludf.DUMMYFUNCTION("""COMPUTED_VALUE"""),46174.9688665625)</f>
        <v>46174.96887</v>
      </c>
      <c r="C586" s="3" t="str">
        <f>IFERROR(__xludf.DUMMYFUNCTION("""COMPUTED_VALUE"""),"ชั้นปีที่ 3")</f>
        <v>ชั้นปีที่ 3</v>
      </c>
      <c r="D586" s="3" t="str">
        <f>IFERROR(__xludf.DUMMYFUNCTION("""COMPUTED_VALUE"""),"6603773")</f>
        <v>6603773</v>
      </c>
      <c r="E586" s="3" t="str">
        <f>IFERROR(__xludf.DUMMYFUNCTION("""COMPUTED_VALUE"""),"20")</f>
        <v>20</v>
      </c>
      <c r="F586" s="3" t="str">
        <f>IFERROR(__xludf.DUMMYFUNCTION("""COMPUTED_VALUE"""),"นพอ.ธัญชนก ไชยปรุง")</f>
        <v>นพอ.ธัญชนก ไชยปรุง</v>
      </c>
      <c r="G586" s="3" t="str">
        <f>IFERROR(__xludf.DUMMYFUNCTION("""COMPUTED_VALUE"""),"ช่วยเหลืองานภายใน วพอ.")</f>
        <v>ช่วยเหลืองานภายใน วพอ.</v>
      </c>
      <c r="H58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6" s="3" t="str">
        <f>IFERROR(__xludf.DUMMYFUNCTION("""COMPUTED_VALUE"""),"วพอ.พอ.")</f>
        <v>วพอ.พอ.</v>
      </c>
      <c r="J586" s="12">
        <f>IFERROR(__xludf.DUMMYFUNCTION("""COMPUTED_VALUE"""),46138.0)</f>
        <v>46138</v>
      </c>
      <c r="K586" s="3" t="str">
        <f>IFERROR(__xludf.DUMMYFUNCTION("""COMPUTED_VALUE"""),"1500-2100")</f>
        <v>1500-2100</v>
      </c>
      <c r="L586" s="3">
        <f>IFERROR(__xludf.DUMMYFUNCTION("""COMPUTED_VALUE"""),6.0)</f>
        <v>6</v>
      </c>
      <c r="M586" s="3" t="str">
        <f>IFERROR(__xludf.DUMMYFUNCTION("""COMPUTED_VALUE"""),"ร.อ.อนุชิต ทำจะดี")</f>
        <v>ร.อ.อนุชิต ทำจะดี</v>
      </c>
      <c r="N586" s="14" t="str">
        <f>IFERROR(__xludf.DUMMYFUNCTION("""COMPUTED_VALUE"""),"https://lh5.googleusercontent.com/d/15srlvaRLm3WgcBBZgLqZWv2DEUpSwRiB")</f>
        <v>https://lh5.googleusercontent.com/d/15srlvaRLm3WgcBBZgLqZWv2DEUpSwRiB</v>
      </c>
      <c r="O586" s="14" t="str">
        <f>IFERROR(__xludf.DUMMYFUNCTION("""COMPUTED_VALUE"""),"https://drive.google.com/file/d/1c3POBTxhRse6gXYnfH3D3VD43quoFGs3/view?usp=drivesdk")</f>
        <v>https://drive.google.com/file/d/1c3POBTxhRse6gXYnfH3D3VD43quoFGs3/view?usp=drivesdk</v>
      </c>
    </row>
    <row r="587">
      <c r="A587" s="3">
        <f>IFERROR(__xludf.DUMMYFUNCTION("""COMPUTED_VALUE"""),2569.0)</f>
        <v>2569</v>
      </c>
      <c r="B587" s="11">
        <f>IFERROR(__xludf.DUMMYFUNCTION("""COMPUTED_VALUE"""),46174.97034642361)</f>
        <v>46174.97035</v>
      </c>
      <c r="C587" s="3" t="str">
        <f>IFERROR(__xludf.DUMMYFUNCTION("""COMPUTED_VALUE"""),"ชั้นปีที่ 3")</f>
        <v>ชั้นปีที่ 3</v>
      </c>
      <c r="D587" s="3" t="str">
        <f>IFERROR(__xludf.DUMMYFUNCTION("""COMPUTED_VALUE"""),"6603773")</f>
        <v>6603773</v>
      </c>
      <c r="E587" s="3" t="str">
        <f>IFERROR(__xludf.DUMMYFUNCTION("""COMPUTED_VALUE"""),"20")</f>
        <v>20</v>
      </c>
      <c r="F587" s="3" t="str">
        <f>IFERROR(__xludf.DUMMYFUNCTION("""COMPUTED_VALUE"""),"นพอ.ธัญชนก ไชยปรุง")</f>
        <v>นพอ.ธัญชนก ไชยปรุง</v>
      </c>
      <c r="G587" s="3" t="str">
        <f>IFERROR(__xludf.DUMMYFUNCTION("""COMPUTED_VALUE"""),"ช่วยเหลืองานภายใน วพอ.")</f>
        <v>ช่วยเหลืองานภายใน วพอ.</v>
      </c>
      <c r="H58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7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587" s="12">
        <f>IFERROR(__xludf.DUMMYFUNCTION("""COMPUTED_VALUE"""),46139.0)</f>
        <v>46139</v>
      </c>
      <c r="K587" s="3" t="str">
        <f>IFERROR(__xludf.DUMMYFUNCTION("""COMPUTED_VALUE"""),"1700-2100")</f>
        <v>1700-2100</v>
      </c>
      <c r="L587" s="3">
        <f>IFERROR(__xludf.DUMMYFUNCTION("""COMPUTED_VALUE"""),4.0)</f>
        <v>4</v>
      </c>
      <c r="M587" s="3" t="str">
        <f>IFERROR(__xludf.DUMMYFUNCTION("""COMPUTED_VALUE"""),"ร.อ.อนุชิต ทำจะดี")</f>
        <v>ร.อ.อนุชิต ทำจะดี</v>
      </c>
      <c r="N587" s="14" t="str">
        <f>IFERROR(__xludf.DUMMYFUNCTION("""COMPUTED_VALUE"""),"https://lh5.googleusercontent.com/d/1MlzFTVRQ3ZAf7u62QLB4sriIJnf08WHL")</f>
        <v>https://lh5.googleusercontent.com/d/1MlzFTVRQ3ZAf7u62QLB4sriIJnf08WHL</v>
      </c>
      <c r="O587" s="14" t="str">
        <f>IFERROR(__xludf.DUMMYFUNCTION("""COMPUTED_VALUE"""),"https://drive.google.com/file/d/19ptaXW6MtDmpiLDGT9QvSXzEmGTvw9P1/view?usp=drivesdk")</f>
        <v>https://drive.google.com/file/d/19ptaXW6MtDmpiLDGT9QvSXzEmGTvw9P1/view?usp=drivesdk</v>
      </c>
    </row>
    <row r="588">
      <c r="A588" s="3">
        <f>IFERROR(__xludf.DUMMYFUNCTION("""COMPUTED_VALUE"""),2570.0)</f>
        <v>2570</v>
      </c>
      <c r="B588" s="11">
        <f>IFERROR(__xludf.DUMMYFUNCTION("""COMPUTED_VALUE"""),46174.97459568287)</f>
        <v>46174.9746</v>
      </c>
      <c r="C588" s="3" t="str">
        <f>IFERROR(__xludf.DUMMYFUNCTION("""COMPUTED_VALUE"""),"ชั้นปีที่ 3")</f>
        <v>ชั้นปีที่ 3</v>
      </c>
      <c r="D588" s="3" t="str">
        <f>IFERROR(__xludf.DUMMYFUNCTION("""COMPUTED_VALUE"""),"6603799")</f>
        <v>6603799</v>
      </c>
      <c r="E588" s="3" t="str">
        <f>IFERROR(__xludf.DUMMYFUNCTION("""COMPUTED_VALUE"""),"45")</f>
        <v>45</v>
      </c>
      <c r="F588" s="3" t="str">
        <f>IFERROR(__xludf.DUMMYFUNCTION("""COMPUTED_VALUE"""),"นพอ.วรัญญา สุวรรณ")</f>
        <v>นพอ.วรัญญา สุวรรณ</v>
      </c>
      <c r="G588" s="3" t="str">
        <f>IFERROR(__xludf.DUMMYFUNCTION("""COMPUTED_VALUE"""),"ทำนุบำรุงศาสนสถาน")</f>
        <v>ทำนุบำรุงศาสนสถาน</v>
      </c>
      <c r="H588" s="3" t="str">
        <f>IFERROR(__xludf.DUMMYFUNCTION("""COMPUTED_VALUE"""),"ทำความสะอาดห้องน้ำวัด")</f>
        <v>ทำความสะอาดห้องน้ำวัด</v>
      </c>
      <c r="I588" s="3" t="str">
        <f>IFERROR(__xludf.DUMMYFUNCTION("""COMPUTED_VALUE"""),"วัดสร้อยทอง")</f>
        <v>วัดสร้อยทอง</v>
      </c>
      <c r="J588" s="12">
        <f>IFERROR(__xludf.DUMMYFUNCTION("""COMPUTED_VALUE"""),46137.0)</f>
        <v>46137</v>
      </c>
      <c r="K588" s="3" t="str">
        <f>IFERROR(__xludf.DUMMYFUNCTION("""COMPUTED_VALUE"""),"1500-1600")</f>
        <v>1500-1600</v>
      </c>
      <c r="L588" s="3">
        <f>IFERROR(__xludf.DUMMYFUNCTION("""COMPUTED_VALUE"""),1.0)</f>
        <v>1</v>
      </c>
      <c r="M588" s="3" t="str">
        <f>IFERROR(__xludf.DUMMYFUNCTION("""COMPUTED_VALUE"""),"ร.อ.อนุชิต ทำจะดี")</f>
        <v>ร.อ.อนุชิต ทำจะดี</v>
      </c>
      <c r="N588" s="14" t="str">
        <f>IFERROR(__xludf.DUMMYFUNCTION("""COMPUTED_VALUE"""),"https://lh5.googleusercontent.com/d/1AWg0Y3P6Q9RCbeKkUowpBAPoViEBPkfH")</f>
        <v>https://lh5.googleusercontent.com/d/1AWg0Y3P6Q9RCbeKkUowpBAPoViEBPkfH</v>
      </c>
      <c r="O588" s="14" t="str">
        <f>IFERROR(__xludf.DUMMYFUNCTION("""COMPUTED_VALUE"""),"https://drive.google.com/file/d/1vDjtzOjxYDrebBOI3tsxd8qI1RHIovR8/view?usp=drivesdk")</f>
        <v>https://drive.google.com/file/d/1vDjtzOjxYDrebBOI3tsxd8qI1RHIovR8/view?usp=drivesdk</v>
      </c>
    </row>
    <row r="589">
      <c r="A589" s="3">
        <f>IFERROR(__xludf.DUMMYFUNCTION("""COMPUTED_VALUE"""),2572.0)</f>
        <v>2572</v>
      </c>
      <c r="B589" s="11">
        <f>IFERROR(__xludf.DUMMYFUNCTION("""COMPUTED_VALUE"""),46175.310171446756)</f>
        <v>46175.31017</v>
      </c>
      <c r="C589" s="3" t="str">
        <f>IFERROR(__xludf.DUMMYFUNCTION("""COMPUTED_VALUE"""),"ชั้นปีที่ 3")</f>
        <v>ชั้นปีที่ 3</v>
      </c>
      <c r="D589" s="3" t="str">
        <f>IFERROR(__xludf.DUMMYFUNCTION("""COMPUTED_VALUE"""),"6603784")</f>
        <v>6603784</v>
      </c>
      <c r="E589" s="3" t="str">
        <f>IFERROR(__xludf.DUMMYFUNCTION("""COMPUTED_VALUE"""),"30")</f>
        <v>30</v>
      </c>
      <c r="F589" s="3" t="str">
        <f>IFERROR(__xludf.DUMMYFUNCTION("""COMPUTED_VALUE"""),"นพอ.เบญจมาภรณ์ เกตุมณี")</f>
        <v>นพอ.เบญจมาภรณ์ เกตุมณี</v>
      </c>
      <c r="G589" s="3" t="str">
        <f>IFERROR(__xludf.DUMMYFUNCTION("""COMPUTED_VALUE"""),"ช่วยเหลืองานภายใน วพอ.")</f>
        <v>ช่วยเหลืองานภายใน วพอ.</v>
      </c>
      <c r="H589" s="3" t="str">
        <f>IFERROR(__xludf.DUMMYFUNCTION("""COMPUTED_VALUE"""),"ซ้อมงานพิธีมอบหมวกพยาบาลวิชาชีพ")</f>
        <v>ซ้อมงานพิธีมอบหมวกพยาบาลวิชาชีพ</v>
      </c>
      <c r="I589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89" s="12">
        <f>IFERROR(__xludf.DUMMYFUNCTION("""COMPUTED_VALUE"""),46139.0)</f>
        <v>46139</v>
      </c>
      <c r="K589" s="3" t="str">
        <f>IFERROR(__xludf.DUMMYFUNCTION("""COMPUTED_VALUE"""),"1400-1700")</f>
        <v>1400-1700</v>
      </c>
      <c r="L589" s="3">
        <f>IFERROR(__xludf.DUMMYFUNCTION("""COMPUTED_VALUE"""),4.0)</f>
        <v>4</v>
      </c>
      <c r="M589" s="3" t="str">
        <f>IFERROR(__xludf.DUMMYFUNCTION("""COMPUTED_VALUE"""),"ร.อ.หญิงเบญญาดา บุรีรัตน์")</f>
        <v>ร.อ.หญิงเบญญาดา บุรีรัตน์</v>
      </c>
      <c r="N589" s="14" t="str">
        <f>IFERROR(__xludf.DUMMYFUNCTION("""COMPUTED_VALUE"""),"https://lh5.googleusercontent.com/d/1oEOe5_iB99h_xkxaUUToR25Tjmr5CwC1")</f>
        <v>https://lh5.googleusercontent.com/d/1oEOe5_iB99h_xkxaUUToR25Tjmr5CwC1</v>
      </c>
      <c r="O589" s="14" t="str">
        <f>IFERROR(__xludf.DUMMYFUNCTION("""COMPUTED_VALUE"""),"https://drive.google.com/file/d/1B3D9NXWfP7m2m_al_ylKlqf6tJ3vF5Yb/view?usp=drivesdk")</f>
        <v>https://drive.google.com/file/d/1B3D9NXWfP7m2m_al_ylKlqf6tJ3vF5Yb/view?usp=drivesdk</v>
      </c>
    </row>
    <row r="590">
      <c r="A590" s="3">
        <f>IFERROR(__xludf.DUMMYFUNCTION("""COMPUTED_VALUE"""),2573.0)</f>
        <v>2573</v>
      </c>
      <c r="B590" s="11">
        <f>IFERROR(__xludf.DUMMYFUNCTION("""COMPUTED_VALUE"""),46175.311695)</f>
        <v>46175.3117</v>
      </c>
      <c r="C590" s="3" t="str">
        <f>IFERROR(__xludf.DUMMYFUNCTION("""COMPUTED_VALUE"""),"ชั้นปีที่ 3")</f>
        <v>ชั้นปีที่ 3</v>
      </c>
      <c r="D590" s="3" t="str">
        <f>IFERROR(__xludf.DUMMYFUNCTION("""COMPUTED_VALUE"""),"6603784")</f>
        <v>6603784</v>
      </c>
      <c r="E590" s="3" t="str">
        <f>IFERROR(__xludf.DUMMYFUNCTION("""COMPUTED_VALUE"""),"30")</f>
        <v>30</v>
      </c>
      <c r="F590" s="3" t="str">
        <f>IFERROR(__xludf.DUMMYFUNCTION("""COMPUTED_VALUE"""),"นพอ.เบญจมาภรณ์ เกตุมณี")</f>
        <v>นพอ.เบญจมาภรณ์ เกตุมณี</v>
      </c>
      <c r="G590" s="3" t="str">
        <f>IFERROR(__xludf.DUMMYFUNCTION("""COMPUTED_VALUE"""),"ช่วยเหลืองานภายใน วพอ.")</f>
        <v>ช่วยเหลืองานภายใน วพอ.</v>
      </c>
      <c r="H590" s="3" t="str">
        <f>IFERROR(__xludf.DUMMYFUNCTION("""COMPUTED_VALUE"""),"ซ้อมพิธีมอบหมวกพยาบาลวิชาชีพ")</f>
        <v>ซ้อมพิธีมอบหมวกพยาบาลวิชาชีพ</v>
      </c>
      <c r="I590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90" s="12">
        <f>IFERROR(__xludf.DUMMYFUNCTION("""COMPUTED_VALUE"""),46140.0)</f>
        <v>46140</v>
      </c>
      <c r="K590" s="3" t="str">
        <f>IFERROR(__xludf.DUMMYFUNCTION("""COMPUTED_VALUE"""),"0800-1200")</f>
        <v>0800-1200</v>
      </c>
      <c r="L590" s="3">
        <f>IFERROR(__xludf.DUMMYFUNCTION("""COMPUTED_VALUE"""),4.0)</f>
        <v>4</v>
      </c>
      <c r="M590" s="3" t="str">
        <f>IFERROR(__xludf.DUMMYFUNCTION("""COMPUTED_VALUE"""),"ร.อ.หญิงเบญญาดา บุรีรัตน์")</f>
        <v>ร.อ.หญิงเบญญาดา บุรีรัตน์</v>
      </c>
      <c r="N590" s="14" t="str">
        <f>IFERROR(__xludf.DUMMYFUNCTION("""COMPUTED_VALUE"""),"https://lh5.googleusercontent.com/d/1E9EnG1965O1aZuqobxjEThkKNZw78No6")</f>
        <v>https://lh5.googleusercontent.com/d/1E9EnG1965O1aZuqobxjEThkKNZw78No6</v>
      </c>
      <c r="O590" s="14" t="str">
        <f>IFERROR(__xludf.DUMMYFUNCTION("""COMPUTED_VALUE"""),"https://drive.google.com/file/d/1Tuiwa1y3gPPCJbhdYaDoX1J1VJVanXDb/view?usp=drivesdk")</f>
        <v>https://drive.google.com/file/d/1Tuiwa1y3gPPCJbhdYaDoX1J1VJVanXDb/view?usp=drivesdk</v>
      </c>
    </row>
    <row r="591">
      <c r="A591" s="3">
        <f>IFERROR(__xludf.DUMMYFUNCTION("""COMPUTED_VALUE"""),2575.0)</f>
        <v>2575</v>
      </c>
      <c r="B591" s="11">
        <f>IFERROR(__xludf.DUMMYFUNCTION("""COMPUTED_VALUE"""),46175.313296099535)</f>
        <v>46175.3133</v>
      </c>
      <c r="C591" s="3" t="str">
        <f>IFERROR(__xludf.DUMMYFUNCTION("""COMPUTED_VALUE"""),"ชั้นปีที่ 3")</f>
        <v>ชั้นปีที่ 3</v>
      </c>
      <c r="D591" s="3" t="str">
        <f>IFERROR(__xludf.DUMMYFUNCTION("""COMPUTED_VALUE"""),"6603814")</f>
        <v>6603814</v>
      </c>
      <c r="E591" s="3" t="str">
        <f>IFERROR(__xludf.DUMMYFUNCTION("""COMPUTED_VALUE"""),"60")</f>
        <v>60</v>
      </c>
      <c r="F591" s="3" t="str">
        <f>IFERROR(__xludf.DUMMYFUNCTION("""COMPUTED_VALUE"""),"นพอ.อนัญญา สิงทิศ")</f>
        <v>นพอ.อนัญญา สิงทิศ</v>
      </c>
      <c r="G591" s="3" t="str">
        <f>IFERROR(__xludf.DUMMYFUNCTION("""COMPUTED_VALUE"""),"ช่วยเหลืองานภายใน วพอ.")</f>
        <v>ช่วยเหลืองานภายใน วพอ.</v>
      </c>
      <c r="H591" s="3" t="str">
        <f>IFERROR(__xludf.DUMMYFUNCTION("""COMPUTED_VALUE"""),"งานสงกรานต์ชมรมผู้สูงอายุ")</f>
        <v>งานสงกรานต์ชมรมผู้สูงอายุ</v>
      </c>
      <c r="I591" s="3" t="str">
        <f>IFERROR(__xludf.DUMMYFUNCTION("""COMPUTED_VALUE"""),"วพอ.พอ.")</f>
        <v>วพอ.พอ.</v>
      </c>
      <c r="J591" s="12">
        <f>IFERROR(__xludf.DUMMYFUNCTION("""COMPUTED_VALUE"""),46141.0)</f>
        <v>46141</v>
      </c>
      <c r="K591" s="3" t="str">
        <f>IFERROR(__xludf.DUMMYFUNCTION("""COMPUTED_VALUE"""),"0800-1200")</f>
        <v>0800-1200</v>
      </c>
      <c r="L591" s="3">
        <f>IFERROR(__xludf.DUMMYFUNCTION("""COMPUTED_VALUE"""),4.0)</f>
        <v>4</v>
      </c>
      <c r="M591" s="3" t="str">
        <f>IFERROR(__xludf.DUMMYFUNCTION("""COMPUTED_VALUE"""),"น.อ.หญิง ธัญรดี ปราบริปู")</f>
        <v>น.อ.หญิง ธัญรดี ปราบริปู</v>
      </c>
      <c r="N591" s="14" t="str">
        <f>IFERROR(__xludf.DUMMYFUNCTION("""COMPUTED_VALUE"""),"https://lh5.googleusercontent.com/d/18di8zGQbaG9-KTMt8-kEOZq4NZRWHG91")</f>
        <v>https://lh5.googleusercontent.com/d/18di8zGQbaG9-KTMt8-kEOZq4NZRWHG91</v>
      </c>
      <c r="O591" s="14" t="str">
        <f>IFERROR(__xludf.DUMMYFUNCTION("""COMPUTED_VALUE"""),"https://drive.google.com/file/d/1L1130I0Oxl6t9nEyun6u9YlSgw-G-B73/view?usp=drivesdk")</f>
        <v>https://drive.google.com/file/d/1L1130I0Oxl6t9nEyun6u9YlSgw-G-B73/view?usp=drivesdk</v>
      </c>
    </row>
    <row r="592">
      <c r="A592" s="3">
        <f>IFERROR(__xludf.DUMMYFUNCTION("""COMPUTED_VALUE"""),2576.0)</f>
        <v>2576</v>
      </c>
      <c r="B592" s="11">
        <f>IFERROR(__xludf.DUMMYFUNCTION("""COMPUTED_VALUE"""),46175.31390414352)</f>
        <v>46175.3139</v>
      </c>
      <c r="C592" s="3" t="str">
        <f>IFERROR(__xludf.DUMMYFUNCTION("""COMPUTED_VALUE"""),"ชั้นปีที่ 3")</f>
        <v>ชั้นปีที่ 3</v>
      </c>
      <c r="D592" s="3" t="str">
        <f>IFERROR(__xludf.DUMMYFUNCTION("""COMPUTED_VALUE"""),"6603782")</f>
        <v>6603782</v>
      </c>
      <c r="E592" s="3" t="str">
        <f>IFERROR(__xludf.DUMMYFUNCTION("""COMPUTED_VALUE"""),"28")</f>
        <v>28</v>
      </c>
      <c r="F592" s="3" t="str">
        <f>IFERROR(__xludf.DUMMYFUNCTION("""COMPUTED_VALUE"""),"นพอ.เนตรชนก ชูหนู")</f>
        <v>นพอ.เนตรชนก ชูหนู</v>
      </c>
      <c r="G592" s="3" t="str">
        <f>IFERROR(__xludf.DUMMYFUNCTION("""COMPUTED_VALUE"""),"ช่วยเหลืองานภายใน วพอ.")</f>
        <v>ช่วยเหลืองานภายใน วพอ.</v>
      </c>
      <c r="H592" s="3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592" s="3" t="str">
        <f>IFERROR(__xludf.DUMMYFUNCTION("""COMPUTED_VALUE"""),"วพอ.พอ")</f>
        <v>วพอ.พอ</v>
      </c>
      <c r="J592" s="12">
        <f>IFERROR(__xludf.DUMMYFUNCTION("""COMPUTED_VALUE"""),46133.0)</f>
        <v>46133</v>
      </c>
      <c r="K592" s="3" t="str">
        <f>IFERROR(__xludf.DUMMYFUNCTION("""COMPUTED_VALUE"""),"1700-2100")</f>
        <v>1700-2100</v>
      </c>
      <c r="L592" s="3">
        <f>IFERROR(__xludf.DUMMYFUNCTION("""COMPUTED_VALUE"""),4.0)</f>
        <v>4</v>
      </c>
      <c r="M592" s="3" t="str">
        <f>IFERROR(__xludf.DUMMYFUNCTION("""COMPUTED_VALUE"""),"ร.อ.อนุชิต ทำจะดี")</f>
        <v>ร.อ.อนุชิต ทำจะดี</v>
      </c>
      <c r="N592" s="14" t="str">
        <f>IFERROR(__xludf.DUMMYFUNCTION("""COMPUTED_VALUE"""),"https://lh5.googleusercontent.com/d/1p-Rtf_bADfKA_dki0Bb_FDlyZ8x8xAFt")</f>
        <v>https://lh5.googleusercontent.com/d/1p-Rtf_bADfKA_dki0Bb_FDlyZ8x8xAFt</v>
      </c>
      <c r="O592" s="14" t="str">
        <f>IFERROR(__xludf.DUMMYFUNCTION("""COMPUTED_VALUE"""),"https://drive.google.com/file/d/1iQwSR3YvaWKtzKbXYZ060qFnM0IN2b1b/view?usp=drivesdk")</f>
        <v>https://drive.google.com/file/d/1iQwSR3YvaWKtzKbXYZ060qFnM0IN2b1b/view?usp=drivesdk</v>
      </c>
    </row>
    <row r="593">
      <c r="A593" s="3">
        <f>IFERROR(__xludf.DUMMYFUNCTION("""COMPUTED_VALUE"""),2577.0)</f>
        <v>2577</v>
      </c>
      <c r="B593" s="11">
        <f>IFERROR(__xludf.DUMMYFUNCTION("""COMPUTED_VALUE"""),46175.31481732639)</f>
        <v>46175.31482</v>
      </c>
      <c r="C593" s="3" t="str">
        <f>IFERROR(__xludf.DUMMYFUNCTION("""COMPUTED_VALUE"""),"ชั้นปีที่ 3")</f>
        <v>ชั้นปีที่ 3</v>
      </c>
      <c r="D593" s="3" t="str">
        <f>IFERROR(__xludf.DUMMYFUNCTION("""COMPUTED_VALUE"""),"6603804")</f>
        <v>6603804</v>
      </c>
      <c r="E593" s="3" t="str">
        <f>IFERROR(__xludf.DUMMYFUNCTION("""COMPUTED_VALUE"""),"50")</f>
        <v>50</v>
      </c>
      <c r="F593" s="3" t="str">
        <f>IFERROR(__xludf.DUMMYFUNCTION("""COMPUTED_VALUE"""),"นพอ.ศิริวรรณ บริบูรณ์")</f>
        <v>นพอ.ศิริวรรณ บริบูรณ์</v>
      </c>
      <c r="G593" s="3" t="str">
        <f>IFERROR(__xludf.DUMMYFUNCTION("""COMPUTED_VALUE"""),"ช่วยเหลืองานภายใน วพอ.")</f>
        <v>ช่วยเหลืองานภายใน วพอ.</v>
      </c>
      <c r="H59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3" s="3" t="str">
        <f>IFERROR(__xludf.DUMMYFUNCTION("""COMPUTED_VALUE"""),"วพอ.พอ")</f>
        <v>วพอ.พอ</v>
      </c>
      <c r="J593" s="12">
        <f>IFERROR(__xludf.DUMMYFUNCTION("""COMPUTED_VALUE"""),46135.0)</f>
        <v>46135</v>
      </c>
      <c r="K593" s="3" t="str">
        <f>IFERROR(__xludf.DUMMYFUNCTION("""COMPUTED_VALUE"""),"1700-2100")</f>
        <v>1700-2100</v>
      </c>
      <c r="L593" s="3">
        <f>IFERROR(__xludf.DUMMYFUNCTION("""COMPUTED_VALUE"""),4.0)</f>
        <v>4</v>
      </c>
      <c r="M593" s="3" t="str">
        <f>IFERROR(__xludf.DUMMYFUNCTION("""COMPUTED_VALUE"""),"น.ต.อนุชิต ทำจะดี")</f>
        <v>น.ต.อนุชิต ทำจะดี</v>
      </c>
      <c r="N593" s="14" t="str">
        <f>IFERROR(__xludf.DUMMYFUNCTION("""COMPUTED_VALUE"""),"https://lh5.googleusercontent.com/d/1tj6HqJjp2BoZZ2HaUx3ell5ghtrGOyWl")</f>
        <v>https://lh5.googleusercontent.com/d/1tj6HqJjp2BoZZ2HaUx3ell5ghtrGOyWl</v>
      </c>
      <c r="O593" s="14" t="str">
        <f>IFERROR(__xludf.DUMMYFUNCTION("""COMPUTED_VALUE"""),"https://drive.google.com/file/d/18NDbBxUW1FaKr1ffUrGBrD6qX1IARBEY/view?usp=drivesdk")</f>
        <v>https://drive.google.com/file/d/18NDbBxUW1FaKr1ffUrGBrD6qX1IARBEY/view?usp=drivesdk</v>
      </c>
    </row>
    <row r="594">
      <c r="A594" s="3">
        <f>IFERROR(__xludf.DUMMYFUNCTION("""COMPUTED_VALUE"""),2578.0)</f>
        <v>2578</v>
      </c>
      <c r="B594" s="11">
        <f>IFERROR(__xludf.DUMMYFUNCTION("""COMPUTED_VALUE"""),46175.31525131944)</f>
        <v>46175.31525</v>
      </c>
      <c r="C594" s="3" t="str">
        <f>IFERROR(__xludf.DUMMYFUNCTION("""COMPUTED_VALUE"""),"ชั้นปีที่ 3")</f>
        <v>ชั้นปีที่ 3</v>
      </c>
      <c r="D594" s="3" t="str">
        <f>IFERROR(__xludf.DUMMYFUNCTION("""COMPUTED_VALUE"""),"6603773")</f>
        <v>6603773</v>
      </c>
      <c r="E594" s="3" t="str">
        <f>IFERROR(__xludf.DUMMYFUNCTION("""COMPUTED_VALUE"""),"20")</f>
        <v>20</v>
      </c>
      <c r="F594" s="3" t="str">
        <f>IFERROR(__xludf.DUMMYFUNCTION("""COMPUTED_VALUE"""),"นพอ.ธัญชนก ไชยปรุง")</f>
        <v>นพอ.ธัญชนก ไชยปรุง</v>
      </c>
      <c r="G5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4" s="3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594" s="3" t="str">
        <f>IFERROR(__xludf.DUMMYFUNCTION("""COMPUTED_VALUE"""),"กองบิน 6")</f>
        <v>กองบิน 6</v>
      </c>
      <c r="J594" s="12">
        <f>IFERROR(__xludf.DUMMYFUNCTION("""COMPUTED_VALUE"""),46032.0)</f>
        <v>46032</v>
      </c>
      <c r="K594" s="3" t="str">
        <f>IFERROR(__xludf.DUMMYFUNCTION("""COMPUTED_VALUE"""),"0600-1400")</f>
        <v>0600-1400</v>
      </c>
      <c r="L594" s="3">
        <f>IFERROR(__xludf.DUMMYFUNCTION("""COMPUTED_VALUE"""),8.0)</f>
        <v>8</v>
      </c>
      <c r="M594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94" s="14" t="str">
        <f>IFERROR(__xludf.DUMMYFUNCTION("""COMPUTED_VALUE"""),"https://lh5.googleusercontent.com/d/1yB0sCDZ2Mxw-qnLLOleehv_vtfSONQUk")</f>
        <v>https://lh5.googleusercontent.com/d/1yB0sCDZ2Mxw-qnLLOleehv_vtfSONQUk</v>
      </c>
      <c r="O594" s="14" t="str">
        <f>IFERROR(__xludf.DUMMYFUNCTION("""COMPUTED_VALUE"""),"https://drive.google.com/file/d/1qxYJ8_Mx_WbuzLWhPAF4L1OKmgfd-vhW/view?usp=drivesdk")</f>
        <v>https://drive.google.com/file/d/1qxYJ8_Mx_WbuzLWhPAF4L1OKmgfd-vhW/view?usp=drivesdk</v>
      </c>
    </row>
    <row r="595">
      <c r="A595" s="19">
        <f>IFERROR(__xludf.DUMMYFUNCTION("""COMPUTED_VALUE"""),2579.0)</f>
        <v>2579</v>
      </c>
      <c r="B595" s="20">
        <f>IFERROR(__xludf.DUMMYFUNCTION("""COMPUTED_VALUE"""),46175.31565149306)</f>
        <v>46175.31565</v>
      </c>
      <c r="C595" s="19" t="str">
        <f>IFERROR(__xludf.DUMMYFUNCTION("""COMPUTED_VALUE"""),"ชั้นปีที่ 3")</f>
        <v>ชั้นปีที่ 3</v>
      </c>
      <c r="D595" s="19" t="str">
        <f>IFERROR(__xludf.DUMMYFUNCTION("""COMPUTED_VALUE"""),"6603784")</f>
        <v>6603784</v>
      </c>
      <c r="E595" s="19" t="str">
        <f>IFERROR(__xludf.DUMMYFUNCTION("""COMPUTED_VALUE"""),"30")</f>
        <v>30</v>
      </c>
      <c r="F595" s="19" t="str">
        <f>IFERROR(__xludf.DUMMYFUNCTION("""COMPUTED_VALUE"""),"นพอ.เบญจมาภรณ์ เกตุมณี")</f>
        <v>นพอ.เบญจมาภรณ์ เกตุมณี</v>
      </c>
      <c r="G595" s="19" t="str">
        <f>IFERROR(__xludf.DUMMYFUNCTION("""COMPUTED_VALUE"""),"ช่วยเหลืองานภายใน วพอ.")</f>
        <v>ช่วยเหลืองานภายใน วพอ.</v>
      </c>
      <c r="H595" s="19" t="str">
        <f>IFERROR(__xludf.DUMMYFUNCTION("""COMPUTED_VALUE"""),"ช่วยงานรับน้อง นพอ.รุ่นที่ 69")</f>
        <v>ช่วยงานรับน้อง นพอ.รุ่นที่ 69</v>
      </c>
      <c r="I595" s="19" t="str">
        <f>IFERROR(__xludf.DUMMYFUNCTION("""COMPUTED_VALUE"""),"วพอ.พอ.")</f>
        <v>วพอ.พอ.</v>
      </c>
      <c r="J595" s="21">
        <f>IFERROR(__xludf.DUMMYFUNCTION("""COMPUTED_VALUE"""),46147.0)</f>
        <v>46147</v>
      </c>
      <c r="K595" s="19" t="str">
        <f>IFERROR(__xludf.DUMMYFUNCTION("""COMPUTED_VALUE"""),"0800-1600")</f>
        <v>0800-1600</v>
      </c>
      <c r="L595" s="19">
        <f>IFERROR(__xludf.DUMMYFUNCTION("""COMPUTED_VALUE"""),8.0)</f>
        <v>8</v>
      </c>
      <c r="M595" s="19" t="str">
        <f>IFERROR(__xludf.DUMMYFUNCTION("""COMPUTED_VALUE"""),"น.ท.หญิง ลักษ์ขณา พานิชสรรค์")</f>
        <v>น.ท.หญิง ลักษ์ขณา พานิชสรรค์</v>
      </c>
      <c r="N595" s="22" t="str">
        <f>IFERROR(__xludf.DUMMYFUNCTION("""COMPUTED_VALUE"""),"https://lh5.googleusercontent.com/d/1sZaqqYAM2JrhZLLI8XZZcpf-sZTsZL4z")</f>
        <v>https://lh5.googleusercontent.com/d/1sZaqqYAM2JrhZLLI8XZZcpf-sZTsZL4z</v>
      </c>
      <c r="O595" s="22" t="str">
        <f>IFERROR(__xludf.DUMMYFUNCTION("""COMPUTED_VALUE"""),"https://drive.google.com/file/d/1S9YhAhIWP7Wu90uNvdg5bNSiDfajdjXG/view?usp=drivesdk")</f>
        <v>https://drive.google.com/file/d/1S9YhAhIWP7Wu90uNvdg5bNSiDfajdjXG/view?usp=drivesdk</v>
      </c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3">
        <f>IFERROR(__xludf.DUMMYFUNCTION("""COMPUTED_VALUE"""),2580.0)</f>
        <v>2580</v>
      </c>
      <c r="B596" s="11">
        <f>IFERROR(__xludf.DUMMYFUNCTION("""COMPUTED_VALUE"""),46175.31581363426)</f>
        <v>46175.31581</v>
      </c>
      <c r="C596" s="3" t="str">
        <f>IFERROR(__xludf.DUMMYFUNCTION("""COMPUTED_VALUE"""),"ชั้นปีที่ 3")</f>
        <v>ชั้นปีที่ 3</v>
      </c>
      <c r="D596" s="3" t="str">
        <f>IFERROR(__xludf.DUMMYFUNCTION("""COMPUTED_VALUE"""),"6603804")</f>
        <v>6603804</v>
      </c>
      <c r="E596" s="3" t="str">
        <f>IFERROR(__xludf.DUMMYFUNCTION("""COMPUTED_VALUE"""),"50")</f>
        <v>50</v>
      </c>
      <c r="F596" s="3" t="str">
        <f>IFERROR(__xludf.DUMMYFUNCTION("""COMPUTED_VALUE"""),"นพอ.ศิริวรรณ บริบูรณ์")</f>
        <v>นพอ.ศิริวรรณ บริบูรณ์</v>
      </c>
      <c r="G596" s="3" t="str">
        <f>IFERROR(__xludf.DUMMYFUNCTION("""COMPUTED_VALUE"""),"ช่วยเหลืองานภายใน วพอ.")</f>
        <v>ช่วยเหลืองานภายใน วพอ.</v>
      </c>
      <c r="H59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6" s="3" t="str">
        <f>IFERROR(__xludf.DUMMYFUNCTION("""COMPUTED_VALUE"""),"วพอ.พอ")</f>
        <v>วพอ.พอ</v>
      </c>
      <c r="J596" s="12">
        <f>IFERROR(__xludf.DUMMYFUNCTION("""COMPUTED_VALUE"""),46138.0)</f>
        <v>46138</v>
      </c>
      <c r="K596" s="3" t="str">
        <f>IFERROR(__xludf.DUMMYFUNCTION("""COMPUTED_VALUE"""),"1500-2100")</f>
        <v>1500-2100</v>
      </c>
      <c r="L596" s="3">
        <f>IFERROR(__xludf.DUMMYFUNCTION("""COMPUTED_VALUE"""),6.0)</f>
        <v>6</v>
      </c>
      <c r="M596" s="3" t="str">
        <f>IFERROR(__xludf.DUMMYFUNCTION("""COMPUTED_VALUE"""),"น.ต.อนุชิต ทำจะดี")</f>
        <v>น.ต.อนุชิต ทำจะดี</v>
      </c>
      <c r="N596" s="14" t="str">
        <f>IFERROR(__xludf.DUMMYFUNCTION("""COMPUTED_VALUE"""),"https://lh5.googleusercontent.com/d/12C61VAyycwahVEs5WXVJ8eZTVD268VMu")</f>
        <v>https://lh5.googleusercontent.com/d/12C61VAyycwahVEs5WXVJ8eZTVD268VMu</v>
      </c>
      <c r="O596" s="14" t="str">
        <f>IFERROR(__xludf.DUMMYFUNCTION("""COMPUTED_VALUE"""),"https://drive.google.com/file/d/1ynQcYrqWggbjGk1sMriIt7mseBqK5vIG/view?usp=drivesdk")</f>
        <v>https://drive.google.com/file/d/1ynQcYrqWggbjGk1sMriIt7mseBqK5vIG/view?usp=drivesdk</v>
      </c>
    </row>
    <row r="597">
      <c r="A597" s="3">
        <f>IFERROR(__xludf.DUMMYFUNCTION("""COMPUTED_VALUE"""),2581.0)</f>
        <v>2581</v>
      </c>
      <c r="B597" s="11">
        <f>IFERROR(__xludf.DUMMYFUNCTION("""COMPUTED_VALUE"""),46175.31623146991)</f>
        <v>46175.31623</v>
      </c>
      <c r="C597" s="3" t="str">
        <f>IFERROR(__xludf.DUMMYFUNCTION("""COMPUTED_VALUE"""),"ชั้นปีที่ 3")</f>
        <v>ชั้นปีที่ 3</v>
      </c>
      <c r="D597" s="3" t="str">
        <f>IFERROR(__xludf.DUMMYFUNCTION("""COMPUTED_VALUE"""),"6603782")</f>
        <v>6603782</v>
      </c>
      <c r="E597" s="3" t="str">
        <f>IFERROR(__xludf.DUMMYFUNCTION("""COMPUTED_VALUE"""),"28")</f>
        <v>28</v>
      </c>
      <c r="F597" s="3" t="str">
        <f>IFERROR(__xludf.DUMMYFUNCTION("""COMPUTED_VALUE"""),"นพอ.เนตรชนก ชูหนู")</f>
        <v>นพอ.เนตรชนก ชูหนู</v>
      </c>
      <c r="G597" s="3" t="str">
        <f>IFERROR(__xludf.DUMMYFUNCTION("""COMPUTED_VALUE"""),"ช่วยเหลืองานภายใน วพอ.")</f>
        <v>ช่วยเหลืองานภายใน วพอ.</v>
      </c>
      <c r="H597" s="3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597" s="3" t="str">
        <f>IFERROR(__xludf.DUMMYFUNCTION("""COMPUTED_VALUE"""),"วพอ.พอ.")</f>
        <v>วพอ.พอ.</v>
      </c>
      <c r="J597" s="12">
        <f>IFERROR(__xludf.DUMMYFUNCTION("""COMPUTED_VALUE"""),46134.0)</f>
        <v>46134</v>
      </c>
      <c r="K597" s="3" t="str">
        <f>IFERROR(__xludf.DUMMYFUNCTION("""COMPUTED_VALUE"""),"1700-2100")</f>
        <v>1700-2100</v>
      </c>
      <c r="L597" s="3">
        <f>IFERROR(__xludf.DUMMYFUNCTION("""COMPUTED_VALUE"""),4.0)</f>
        <v>4</v>
      </c>
      <c r="M597" s="3" t="str">
        <f>IFERROR(__xludf.DUMMYFUNCTION("""COMPUTED_VALUE"""),"ร.อ.อนุชิต ทำจะดี")</f>
        <v>ร.อ.อนุชิต ทำจะดี</v>
      </c>
      <c r="N597" s="14" t="str">
        <f>IFERROR(__xludf.DUMMYFUNCTION("""COMPUTED_VALUE"""),"https://lh5.googleusercontent.com/d/1CEj_Om6SXaxTcWay2FOSinHTSubL01La")</f>
        <v>https://lh5.googleusercontent.com/d/1CEj_Om6SXaxTcWay2FOSinHTSubL01La</v>
      </c>
      <c r="O597" s="14" t="str">
        <f>IFERROR(__xludf.DUMMYFUNCTION("""COMPUTED_VALUE"""),"https://drive.google.com/file/d/1DFBmc_nMGXD1IhIunoURcXv4Ev6_oGKG/view?usp=drivesdk")</f>
        <v>https://drive.google.com/file/d/1DFBmc_nMGXD1IhIunoURcXv4Ev6_oGKG/view?usp=drivesdk</v>
      </c>
    </row>
    <row r="598">
      <c r="A598" s="3">
        <f>IFERROR(__xludf.DUMMYFUNCTION("""COMPUTED_VALUE"""),2582.0)</f>
        <v>2582</v>
      </c>
      <c r="B598" s="11">
        <f>IFERROR(__xludf.DUMMYFUNCTION("""COMPUTED_VALUE"""),46175.31656383102)</f>
        <v>46175.31656</v>
      </c>
      <c r="C598" s="3" t="str">
        <f>IFERROR(__xludf.DUMMYFUNCTION("""COMPUTED_VALUE"""),"ชั้นปีที่ 3")</f>
        <v>ชั้นปีที่ 3</v>
      </c>
      <c r="D598" s="3" t="str">
        <f>IFERROR(__xludf.DUMMYFUNCTION("""COMPUTED_VALUE"""),"6603787")</f>
        <v>6603787</v>
      </c>
      <c r="E598" s="3" t="str">
        <f>IFERROR(__xludf.DUMMYFUNCTION("""COMPUTED_VALUE"""),"33")</f>
        <v>33</v>
      </c>
      <c r="F598" s="3" t="str">
        <f>IFERROR(__xludf.DUMMYFUNCTION("""COMPUTED_VALUE"""),"นพอ.ปรียาภรณ์ ทองอำพันธ์")</f>
        <v>นพอ.ปรียาภรณ์ ทองอำพันธ์</v>
      </c>
      <c r="G598" s="3" t="str">
        <f>IFERROR(__xludf.DUMMYFUNCTION("""COMPUTED_VALUE"""),"ช่วยเหลืองานภายใน วพอ.")</f>
        <v>ช่วยเหลืองานภายใน วพอ.</v>
      </c>
      <c r="H598" s="3" t="str">
        <f>IFERROR(__xludf.DUMMYFUNCTION("""COMPUTED_VALUE"""),"กอล์ฟการกุศล วิทยาลัยพยาบาลทหารอากาศ")</f>
        <v>กอล์ฟการกุศล วิทยาลัยพยาบาลทหารอากาศ</v>
      </c>
      <c r="I598" s="3" t="str">
        <f>IFERROR(__xludf.DUMMYFUNCTION("""COMPUTED_VALUE"""),"สนามกอล์ฟธูปะเตมีย์")</f>
        <v>สนามกอล์ฟธูปะเตมีย์</v>
      </c>
      <c r="J598" s="12">
        <f>IFERROR(__xludf.DUMMYFUNCTION("""COMPUTED_VALUE"""),46067.0)</f>
        <v>46067</v>
      </c>
      <c r="K598" s="3" t="str">
        <f>IFERROR(__xludf.DUMMYFUNCTION("""COMPUTED_VALUE"""),"0800-1200")</f>
        <v>0800-1200</v>
      </c>
      <c r="L598" s="3">
        <f>IFERROR(__xludf.DUMMYFUNCTION("""COMPUTED_VALUE"""),4.0)</f>
        <v>4</v>
      </c>
      <c r="M598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598" s="14" t="str">
        <f>IFERROR(__xludf.DUMMYFUNCTION("""COMPUTED_VALUE"""),"https://lh5.googleusercontent.com/d/1qygOC5r53g74n8jttPq4V1dqn1gy39WG")</f>
        <v>https://lh5.googleusercontent.com/d/1qygOC5r53g74n8jttPq4V1dqn1gy39WG</v>
      </c>
      <c r="O598" s="14" t="str">
        <f>IFERROR(__xludf.DUMMYFUNCTION("""COMPUTED_VALUE"""),"https://drive.google.com/file/d/1P7JDrxMmnPR1K7pGENG9hmOUiA0YNB8Y/view?usp=drivesdk")</f>
        <v>https://drive.google.com/file/d/1P7JDrxMmnPR1K7pGENG9hmOUiA0YNB8Y/view?usp=drivesdk</v>
      </c>
    </row>
    <row r="599">
      <c r="A599" s="3">
        <f>IFERROR(__xludf.DUMMYFUNCTION("""COMPUTED_VALUE"""),2583.0)</f>
        <v>2583</v>
      </c>
      <c r="B599" s="11">
        <f>IFERROR(__xludf.DUMMYFUNCTION("""COMPUTED_VALUE"""),46175.316595856486)</f>
        <v>46175.3166</v>
      </c>
      <c r="C599" s="3" t="str">
        <f>IFERROR(__xludf.DUMMYFUNCTION("""COMPUTED_VALUE"""),"ชั้นปีที่ 3")</f>
        <v>ชั้นปีที่ 3</v>
      </c>
      <c r="D599" s="3" t="str">
        <f>IFERROR(__xludf.DUMMYFUNCTION("""COMPUTED_VALUE"""),"6603771")</f>
        <v>6603771</v>
      </c>
      <c r="E599" s="3" t="str">
        <f>IFERROR(__xludf.DUMMYFUNCTION("""COMPUTED_VALUE"""),"18")</f>
        <v>18</v>
      </c>
      <c r="F599" s="3" t="str">
        <f>IFERROR(__xludf.DUMMYFUNCTION("""COMPUTED_VALUE"""),"นพอ.ทวิกา สอิ้งแก้ว")</f>
        <v>นพอ.ทวิกา สอิ้งแก้ว</v>
      </c>
      <c r="G5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9" s="3" t="str">
        <f>IFERROR(__xludf.DUMMYFUNCTION("""COMPUTED_VALUE"""),"งาดกาชาด")</f>
        <v>งาดกาชาด</v>
      </c>
      <c r="I599" s="3" t="str">
        <f>IFERROR(__xludf.DUMMYFUNCTION("""COMPUTED_VALUE"""),"สวนลุมพินี")</f>
        <v>สวนลุมพินี</v>
      </c>
      <c r="J599" s="12">
        <f>IFERROR(__xludf.DUMMYFUNCTION("""COMPUTED_VALUE"""),46010.0)</f>
        <v>46010</v>
      </c>
      <c r="K599" s="3" t="str">
        <f>IFERROR(__xludf.DUMMYFUNCTION("""COMPUTED_VALUE"""),"0800-1600")</f>
        <v>0800-1600</v>
      </c>
      <c r="L599" s="3">
        <f>IFERROR(__xludf.DUMMYFUNCTION("""COMPUTED_VALUE"""),8.0)</f>
        <v>8</v>
      </c>
      <c r="M599" s="3" t="str">
        <f>IFERROR(__xludf.DUMMYFUNCTION("""COMPUTED_VALUE"""),"น.อ.หญิง ผศ.วัลลภา อันดารา")</f>
        <v>น.อ.หญิง ผศ.วัลลภา อันดารา</v>
      </c>
      <c r="N599" s="14" t="str">
        <f>IFERROR(__xludf.DUMMYFUNCTION("""COMPUTED_VALUE"""),"https://lh5.googleusercontent.com/d/1I1FFvhKk2uF9B0-E5ebrsoZeO_pDvIb6")</f>
        <v>https://lh5.googleusercontent.com/d/1I1FFvhKk2uF9B0-E5ebrsoZeO_pDvIb6</v>
      </c>
      <c r="O599" s="14" t="str">
        <f>IFERROR(__xludf.DUMMYFUNCTION("""COMPUTED_VALUE"""),"https://drive.google.com/file/d/1tykojL__JsqG1uw5JJHVQny9NbTVtouG/view?usp=drivesdk")</f>
        <v>https://drive.google.com/file/d/1tykojL__JsqG1uw5JJHVQny9NbTVtouG/view?usp=drivesdk</v>
      </c>
    </row>
    <row r="600">
      <c r="A600" s="3">
        <f>IFERROR(__xludf.DUMMYFUNCTION("""COMPUTED_VALUE"""),2584.0)</f>
        <v>2584</v>
      </c>
      <c r="B600" s="11">
        <f>IFERROR(__xludf.DUMMYFUNCTION("""COMPUTED_VALUE"""),46175.31712350694)</f>
        <v>46175.31712</v>
      </c>
      <c r="C600" s="3" t="str">
        <f>IFERROR(__xludf.DUMMYFUNCTION("""COMPUTED_VALUE"""),"ชั้นปีที่ 3")</f>
        <v>ชั้นปีที่ 3</v>
      </c>
      <c r="D600" s="3" t="str">
        <f>IFERROR(__xludf.DUMMYFUNCTION("""COMPUTED_VALUE"""),"6603757")</f>
        <v>6603757</v>
      </c>
      <c r="E600" s="3" t="str">
        <f>IFERROR(__xludf.DUMMYFUNCTION("""COMPUTED_VALUE"""),"4")</f>
        <v>4</v>
      </c>
      <c r="F600" s="3" t="str">
        <f>IFERROR(__xludf.DUMMYFUNCTION("""COMPUTED_VALUE"""),"นพอ.กัลยาณี นารีพล")</f>
        <v>นพอ.กัลยาณี นารีพล</v>
      </c>
      <c r="G60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00" s="3" t="str">
        <f>IFERROR(__xludf.DUMMYFUNCTION("""COMPUTED_VALUE"""),"เข้าร่วมงานวันเด็กแห่งชาติ2569")</f>
        <v>เข้าร่วมงานวันเด็กแห่งชาติ2569</v>
      </c>
      <c r="I600" s="3" t="str">
        <f>IFERROR(__xludf.DUMMYFUNCTION("""COMPUTED_VALUE"""),"กองบิน6")</f>
        <v>กองบิน6</v>
      </c>
      <c r="J600" s="12">
        <f>IFERROR(__xludf.DUMMYFUNCTION("""COMPUTED_VALUE"""),46032.0)</f>
        <v>46032</v>
      </c>
      <c r="K600" s="3" t="str">
        <f>IFERROR(__xludf.DUMMYFUNCTION("""COMPUTED_VALUE"""),"0600-1400")</f>
        <v>0600-1400</v>
      </c>
      <c r="L600" s="3">
        <f>IFERROR(__xludf.DUMMYFUNCTION("""COMPUTED_VALUE"""),8.0)</f>
        <v>8</v>
      </c>
      <c r="M60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00" s="14" t="str">
        <f>IFERROR(__xludf.DUMMYFUNCTION("""COMPUTED_VALUE"""),"https://lh5.googleusercontent.com/d/1RpIpGVvK8ec0rSQgwkFHuRWV5ffUBxC2")</f>
        <v>https://lh5.googleusercontent.com/d/1RpIpGVvK8ec0rSQgwkFHuRWV5ffUBxC2</v>
      </c>
      <c r="O600" s="14" t="str">
        <f>IFERROR(__xludf.DUMMYFUNCTION("""COMPUTED_VALUE"""),"https://drive.google.com/file/d/1mwsGC1e1wNvYTehgoXOw6xqIUc1toFIW/view?usp=drivesdk")</f>
        <v>https://drive.google.com/file/d/1mwsGC1e1wNvYTehgoXOw6xqIUc1toFIW/view?usp=drivesdk</v>
      </c>
    </row>
    <row r="601">
      <c r="A601" s="3">
        <f>IFERROR(__xludf.DUMMYFUNCTION("""COMPUTED_VALUE"""),2585.0)</f>
        <v>2585</v>
      </c>
      <c r="B601" s="11">
        <f>IFERROR(__xludf.DUMMYFUNCTION("""COMPUTED_VALUE"""),46175.31718799768)</f>
        <v>46175.31719</v>
      </c>
      <c r="C601" s="3" t="str">
        <f>IFERROR(__xludf.DUMMYFUNCTION("""COMPUTED_VALUE"""),"ชั้นปีที่ 3")</f>
        <v>ชั้นปีที่ 3</v>
      </c>
      <c r="D601" s="3" t="str">
        <f>IFERROR(__xludf.DUMMYFUNCTION("""COMPUTED_VALUE"""),"6603761")</f>
        <v>6603761</v>
      </c>
      <c r="E601" s="3" t="str">
        <f>IFERROR(__xludf.DUMMYFUNCTION("""COMPUTED_VALUE"""),"8")</f>
        <v>8</v>
      </c>
      <c r="F601" s="3" t="str">
        <f>IFERROR(__xludf.DUMMYFUNCTION("""COMPUTED_VALUE"""),"นพอ.ชญานิศ ทองแสงแก้ว")</f>
        <v>นพอ.ชญานิศ ทองแสงแก้ว</v>
      </c>
      <c r="G601" s="3" t="str">
        <f>IFERROR(__xludf.DUMMYFUNCTION("""COMPUTED_VALUE"""),"ช่วยเหลืองานภายใน วพอ.")</f>
        <v>ช่วยเหลืองานภายใน วพอ.</v>
      </c>
      <c r="H601" s="3" t="str">
        <f>IFERROR(__xludf.DUMMYFUNCTION("""COMPUTED_VALUE"""),"ซ้อมพิธีมอบหมวกวิชาชีพ swd65")</f>
        <v>ซ้อมพิธีมอบหมวกวิชาชีพ swd65</v>
      </c>
      <c r="I601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01" s="12">
        <f>IFERROR(__xludf.DUMMYFUNCTION("""COMPUTED_VALUE"""),46139.0)</f>
        <v>46139</v>
      </c>
      <c r="K601" s="3" t="str">
        <f>IFERROR(__xludf.DUMMYFUNCTION("""COMPUTED_VALUE"""),"1400-1700")</f>
        <v>1400-1700</v>
      </c>
      <c r="L601" s="3">
        <f>IFERROR(__xludf.DUMMYFUNCTION("""COMPUTED_VALUE"""),4.0)</f>
        <v>4</v>
      </c>
      <c r="M601" s="3" t="str">
        <f>IFERROR(__xludf.DUMMYFUNCTION("""COMPUTED_VALUE"""),"ร.อ.หญิง เบญญาดา บุรีรัตน์")</f>
        <v>ร.อ.หญิง เบญญาดา บุรีรัตน์</v>
      </c>
      <c r="N601" s="14" t="str">
        <f>IFERROR(__xludf.DUMMYFUNCTION("""COMPUTED_VALUE"""),"https://lh5.googleusercontent.com/d/1kDJaZTzD3QYTlvVtWs_Bs5BMnvoDOi_s")</f>
        <v>https://lh5.googleusercontent.com/d/1kDJaZTzD3QYTlvVtWs_Bs5BMnvoDOi_s</v>
      </c>
      <c r="O601" s="14" t="str">
        <f>IFERROR(__xludf.DUMMYFUNCTION("""COMPUTED_VALUE"""),"https://drive.google.com/file/d/1XWMEQ4bsWrlnBTlvjVOIR-YR5nT4OTko/view?usp=drivesdk")</f>
        <v>https://drive.google.com/file/d/1XWMEQ4bsWrlnBTlvjVOIR-YR5nT4OTko/view?usp=drivesdk</v>
      </c>
    </row>
    <row r="602">
      <c r="A602" s="3">
        <f>IFERROR(__xludf.DUMMYFUNCTION("""COMPUTED_VALUE"""),2586.0)</f>
        <v>2586</v>
      </c>
      <c r="B602" s="11">
        <f>IFERROR(__xludf.DUMMYFUNCTION("""COMPUTED_VALUE"""),46175.317253125)</f>
        <v>46175.31725</v>
      </c>
      <c r="C602" s="3" t="str">
        <f>IFERROR(__xludf.DUMMYFUNCTION("""COMPUTED_VALUE"""),"ชั้นปีที่ 3")</f>
        <v>ชั้นปีที่ 3</v>
      </c>
      <c r="D602" s="3" t="str">
        <f>IFERROR(__xludf.DUMMYFUNCTION("""COMPUTED_VALUE"""),"6603804")</f>
        <v>6603804</v>
      </c>
      <c r="E602" s="3" t="str">
        <f>IFERROR(__xludf.DUMMYFUNCTION("""COMPUTED_VALUE"""),"50")</f>
        <v>50</v>
      </c>
      <c r="F602" s="3" t="str">
        <f>IFERROR(__xludf.DUMMYFUNCTION("""COMPUTED_VALUE"""),"นพอ.ศิริวรรณ บริบูรณ์")</f>
        <v>นพอ.ศิริวรรณ บริบูรณ์</v>
      </c>
      <c r="G602" s="3" t="str">
        <f>IFERROR(__xludf.DUMMYFUNCTION("""COMPUTED_VALUE"""),"ช่วยเหลืองานภายใน วพอ.")</f>
        <v>ช่วยเหลืองานภายใน วพอ.</v>
      </c>
      <c r="H60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2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602" s="12">
        <f>IFERROR(__xludf.DUMMYFUNCTION("""COMPUTED_VALUE"""),46139.0)</f>
        <v>46139</v>
      </c>
      <c r="K602" s="3" t="str">
        <f>IFERROR(__xludf.DUMMYFUNCTION("""COMPUTED_VALUE"""),"1700-2100")</f>
        <v>1700-2100</v>
      </c>
      <c r="L602" s="3">
        <f>IFERROR(__xludf.DUMMYFUNCTION("""COMPUTED_VALUE"""),4.0)</f>
        <v>4</v>
      </c>
      <c r="M602" s="3" t="str">
        <f>IFERROR(__xludf.DUMMYFUNCTION("""COMPUTED_VALUE"""),"น.ต.อนุชิต ทำจะดี")</f>
        <v>น.ต.อนุชิต ทำจะดี</v>
      </c>
      <c r="N602" s="14" t="str">
        <f>IFERROR(__xludf.DUMMYFUNCTION("""COMPUTED_VALUE"""),"https://lh5.googleusercontent.com/d/1hmaLllWDwk7a_7ZS_gY1LRO6YVhVSseB")</f>
        <v>https://lh5.googleusercontent.com/d/1hmaLllWDwk7a_7ZS_gY1LRO6YVhVSseB</v>
      </c>
      <c r="O602" s="14" t="str">
        <f>IFERROR(__xludf.DUMMYFUNCTION("""COMPUTED_VALUE"""),"https://drive.google.com/file/d/1i5eBRTOR3kkPVWcwWTsMDsOJtxf0YMA2/view?usp=drivesdk")</f>
        <v>https://drive.google.com/file/d/1i5eBRTOR3kkPVWcwWTsMDsOJtxf0YMA2/view?usp=drivesdk</v>
      </c>
    </row>
    <row r="603">
      <c r="A603" s="3">
        <f>IFERROR(__xludf.DUMMYFUNCTION("""COMPUTED_VALUE"""),2587.0)</f>
        <v>2587</v>
      </c>
      <c r="B603" s="11">
        <f>IFERROR(__xludf.DUMMYFUNCTION("""COMPUTED_VALUE"""),46175.31788505787)</f>
        <v>46175.31789</v>
      </c>
      <c r="C603" s="3" t="str">
        <f>IFERROR(__xludf.DUMMYFUNCTION("""COMPUTED_VALUE"""),"ชั้นปีที่ 3")</f>
        <v>ชั้นปีที่ 3</v>
      </c>
      <c r="D603" s="3" t="str">
        <f>IFERROR(__xludf.DUMMYFUNCTION("""COMPUTED_VALUE"""),"6603788")</f>
        <v>6603788</v>
      </c>
      <c r="E603" s="3" t="str">
        <f>IFERROR(__xludf.DUMMYFUNCTION("""COMPUTED_VALUE"""),"34")</f>
        <v>34</v>
      </c>
      <c r="F603" s="3" t="str">
        <f>IFERROR(__xludf.DUMMYFUNCTION("""COMPUTED_VALUE"""),"นพอ.ปาจีรนันท์ ปิงขุนทด")</f>
        <v>นพอ.ปาจีรนันท์ ปิงขุนทด</v>
      </c>
      <c r="G603" s="3" t="str">
        <f>IFERROR(__xludf.DUMMYFUNCTION("""COMPUTED_VALUE"""),"ช่วยเหลืองานภายใน วพอ.")</f>
        <v>ช่วยเหลืองานภายใน วพอ.</v>
      </c>
      <c r="H603" s="3" t="str">
        <f>IFERROR(__xludf.DUMMYFUNCTION("""COMPUTED_VALUE"""),"ทกท.")</f>
        <v>ทกท.</v>
      </c>
      <c r="I603" s="3" t="str">
        <f>IFERROR(__xludf.DUMMYFUNCTION("""COMPUTED_VALUE"""),"วพอ.")</f>
        <v>วพอ.</v>
      </c>
      <c r="J603" s="12">
        <f>IFERROR(__xludf.DUMMYFUNCTION("""COMPUTED_VALUE"""),46097.0)</f>
        <v>46097</v>
      </c>
      <c r="K603" s="3" t="str">
        <f>IFERROR(__xludf.DUMMYFUNCTION("""COMPUTED_VALUE"""),"0800-1600")</f>
        <v>0800-1600</v>
      </c>
      <c r="L603" s="3">
        <f>IFERROR(__xludf.DUMMYFUNCTION("""COMPUTED_VALUE"""),8.0)</f>
        <v>8</v>
      </c>
      <c r="M603" s="3" t="str">
        <f>IFERROR(__xludf.DUMMYFUNCTION("""COMPUTED_VALUE"""),"ร.อ.อนุชิต ทำจะดี")</f>
        <v>ร.อ.อนุชิต ทำจะดี</v>
      </c>
      <c r="N603" s="14" t="str">
        <f>IFERROR(__xludf.DUMMYFUNCTION("""COMPUTED_VALUE"""),"https://lh5.googleusercontent.com/d/1f7Vs15oUYjc-6c-DThPixBb3xZIx_D-h")</f>
        <v>https://lh5.googleusercontent.com/d/1f7Vs15oUYjc-6c-DThPixBb3xZIx_D-h</v>
      </c>
      <c r="O603" s="3"/>
    </row>
    <row r="604">
      <c r="A604" s="3">
        <f>IFERROR(__xludf.DUMMYFUNCTION("""COMPUTED_VALUE"""),2588.0)</f>
        <v>2588</v>
      </c>
      <c r="B604" s="11">
        <f>IFERROR(__xludf.DUMMYFUNCTION("""COMPUTED_VALUE"""),46175.31819994213)</f>
        <v>46175.3182</v>
      </c>
      <c r="C604" s="3" t="str">
        <f>IFERROR(__xludf.DUMMYFUNCTION("""COMPUTED_VALUE"""),"ชั้นปีที่ 3")</f>
        <v>ชั้นปีที่ 3</v>
      </c>
      <c r="D604" s="3" t="str">
        <f>IFERROR(__xludf.DUMMYFUNCTION("""COMPUTED_VALUE"""),"6603782")</f>
        <v>6603782</v>
      </c>
      <c r="E604" s="3" t="str">
        <f>IFERROR(__xludf.DUMMYFUNCTION("""COMPUTED_VALUE"""),"28")</f>
        <v>28</v>
      </c>
      <c r="F604" s="3" t="str">
        <f>IFERROR(__xludf.DUMMYFUNCTION("""COMPUTED_VALUE"""),"นพอ.เนตรชนก ชูหนู")</f>
        <v>นพอ.เนตรชนก ชูหนู</v>
      </c>
      <c r="G604" s="3" t="str">
        <f>IFERROR(__xludf.DUMMYFUNCTION("""COMPUTED_VALUE"""),"ช่วยเหลืองานภายใน วพอ.")</f>
        <v>ช่วยเหลืองานภายใน วพอ.</v>
      </c>
      <c r="H604" s="3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604" s="3" t="str">
        <f>IFERROR(__xludf.DUMMYFUNCTION("""COMPUTED_VALUE"""),"วพอ.พอ.")</f>
        <v>วพอ.พอ.</v>
      </c>
      <c r="J604" s="12">
        <f>IFERROR(__xludf.DUMMYFUNCTION("""COMPUTED_VALUE"""),46135.0)</f>
        <v>46135</v>
      </c>
      <c r="K604" s="3" t="str">
        <f>IFERROR(__xludf.DUMMYFUNCTION("""COMPUTED_VALUE"""),"1700-2100")</f>
        <v>1700-2100</v>
      </c>
      <c r="L604" s="3">
        <f>IFERROR(__xludf.DUMMYFUNCTION("""COMPUTED_VALUE"""),4.0)</f>
        <v>4</v>
      </c>
      <c r="M604" s="3" t="str">
        <f>IFERROR(__xludf.DUMMYFUNCTION("""COMPUTED_VALUE"""),"ร.อ.อนุชิต ทำจะดี")</f>
        <v>ร.อ.อนุชิต ทำจะดี</v>
      </c>
      <c r="N604" s="14" t="str">
        <f>IFERROR(__xludf.DUMMYFUNCTION("""COMPUTED_VALUE"""),"https://lh5.googleusercontent.com/d/1OQ8QSsb8H4yq6FggzsbUyGjjdzCuScls")</f>
        <v>https://lh5.googleusercontent.com/d/1OQ8QSsb8H4yq6FggzsbUyGjjdzCuScls</v>
      </c>
      <c r="O604" s="14" t="str">
        <f>IFERROR(__xludf.DUMMYFUNCTION("""COMPUTED_VALUE"""),"https://drive.google.com/file/d/1AucO896ldesCCVjKPC78_N7hB3jnWfvy/view?usp=drivesdk")</f>
        <v>https://drive.google.com/file/d/1AucO896ldesCCVjKPC78_N7hB3jnWfvy/view?usp=drivesdk</v>
      </c>
    </row>
    <row r="605">
      <c r="A605" s="3">
        <f>IFERROR(__xludf.DUMMYFUNCTION("""COMPUTED_VALUE"""),2589.0)</f>
        <v>2589</v>
      </c>
      <c r="B605" s="11">
        <f>IFERROR(__xludf.DUMMYFUNCTION("""COMPUTED_VALUE"""),46175.3182992361)</f>
        <v>46175.3183</v>
      </c>
      <c r="C605" s="3" t="str">
        <f>IFERROR(__xludf.DUMMYFUNCTION("""COMPUTED_VALUE"""),"ชั้นปีที่ 3")</f>
        <v>ชั้นปีที่ 3</v>
      </c>
      <c r="D605" s="3" t="str">
        <f>IFERROR(__xludf.DUMMYFUNCTION("""COMPUTED_VALUE"""),"6603795")</f>
        <v>6603795</v>
      </c>
      <c r="E605" s="3" t="str">
        <f>IFERROR(__xludf.DUMMYFUNCTION("""COMPUTED_VALUE"""),"41")</f>
        <v>41</v>
      </c>
      <c r="F605" s="3" t="str">
        <f>IFERROR(__xludf.DUMMYFUNCTION("""COMPUTED_VALUE"""),"นพอ.พิทยาภรณ์ คำลือ")</f>
        <v>นพอ.พิทยาภรณ์ คำลือ</v>
      </c>
      <c r="G605" s="3" t="str">
        <f>IFERROR(__xludf.DUMMYFUNCTION("""COMPUTED_VALUE"""),"ช่วยเหลืองานภายใน วพอ.")</f>
        <v>ช่วยเหลืองานภายใน วพอ.</v>
      </c>
      <c r="H605" s="3" t="str">
        <f>IFERROR(__xludf.DUMMYFUNCTION("""COMPUTED_VALUE"""),"ต้อนรับคณะดูงานจาก วพร.ทร.")</f>
        <v>ต้อนรับคณะดูงานจาก วพร.ทร.</v>
      </c>
      <c r="I605" s="3" t="str">
        <f>IFERROR(__xludf.DUMMYFUNCTION("""COMPUTED_VALUE"""),"วพอ.พอ.")</f>
        <v>วพอ.พอ.</v>
      </c>
      <c r="J605" s="12">
        <f>IFERROR(__xludf.DUMMYFUNCTION("""COMPUTED_VALUE"""),46064.0)</f>
        <v>46064</v>
      </c>
      <c r="K605" s="3" t="str">
        <f>IFERROR(__xludf.DUMMYFUNCTION("""COMPUTED_VALUE"""),"0800-1200")</f>
        <v>0800-1200</v>
      </c>
      <c r="L605" s="3">
        <f>IFERROR(__xludf.DUMMYFUNCTION("""COMPUTED_VALUE"""),4.0)</f>
        <v>4</v>
      </c>
      <c r="M605" s="3" t="str">
        <f>IFERROR(__xludf.DUMMYFUNCTION("""COMPUTED_VALUE"""),"น.ท.หญิง ลักษ์ขณา พาณิชสรรค์")</f>
        <v>น.ท.หญิง ลักษ์ขณา พาณิชสรรค์</v>
      </c>
      <c r="N605" s="14" t="str">
        <f>IFERROR(__xludf.DUMMYFUNCTION("""COMPUTED_VALUE"""),"https://lh5.googleusercontent.com/d/1bdDbuaQXfDRuf-nNCWHmjCRi3D4mzd40")</f>
        <v>https://lh5.googleusercontent.com/d/1bdDbuaQXfDRuf-nNCWHmjCRi3D4mzd40</v>
      </c>
      <c r="O605" s="14" t="str">
        <f>IFERROR(__xludf.DUMMYFUNCTION("""COMPUTED_VALUE"""),"https://drive.google.com/file/d/1KKA7fVNDqrDvWLecMEW-YGONpqB6eCh5/view?usp=drivesdk")</f>
        <v>https://drive.google.com/file/d/1KKA7fVNDqrDvWLecMEW-YGONpqB6eCh5/view?usp=drivesdk</v>
      </c>
    </row>
    <row r="606">
      <c r="A606" s="3">
        <f>IFERROR(__xludf.DUMMYFUNCTION("""COMPUTED_VALUE"""),2590.0)</f>
        <v>2590</v>
      </c>
      <c r="B606" s="11">
        <f>IFERROR(__xludf.DUMMYFUNCTION("""COMPUTED_VALUE"""),46175.318460462964)</f>
        <v>46175.31846</v>
      </c>
      <c r="C606" s="3" t="str">
        <f>IFERROR(__xludf.DUMMYFUNCTION("""COMPUTED_VALUE"""),"ชั้นปีที่ 3")</f>
        <v>ชั้นปีที่ 3</v>
      </c>
      <c r="D606" s="3" t="str">
        <f>IFERROR(__xludf.DUMMYFUNCTION("""COMPUTED_VALUE"""),"6603784")</f>
        <v>6603784</v>
      </c>
      <c r="E606" s="3" t="str">
        <f>IFERROR(__xludf.DUMMYFUNCTION("""COMPUTED_VALUE"""),"30")</f>
        <v>30</v>
      </c>
      <c r="F606" s="3" t="str">
        <f>IFERROR(__xludf.DUMMYFUNCTION("""COMPUTED_VALUE"""),"นพอ.เบญจมาภรณ์ เกตุมณี")</f>
        <v>นพอ.เบญจมาภรณ์ เกตุมณี</v>
      </c>
      <c r="G60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06" s="3" t="str">
        <f>IFERROR(__xludf.DUMMYFUNCTION("""COMPUTED_VALUE"""),"โรทาแรกค์ปลูกป่า ณ บางปู")</f>
        <v>โรทาแรกค์ปลูกป่า ณ บางปู</v>
      </c>
      <c r="I606" s="3" t="str">
        <f>IFERROR(__xludf.DUMMYFUNCTION("""COMPUTED_VALUE"""),"บางปู")</f>
        <v>บางปู</v>
      </c>
      <c r="J606" s="12">
        <f>IFERROR(__xludf.DUMMYFUNCTION("""COMPUTED_VALUE"""),46060.0)</f>
        <v>46060</v>
      </c>
      <c r="K606" s="3" t="str">
        <f>IFERROR(__xludf.DUMMYFUNCTION("""COMPUTED_VALUE"""),"0800-1600")</f>
        <v>0800-1600</v>
      </c>
      <c r="L606" s="3">
        <f>IFERROR(__xludf.DUMMYFUNCTION("""COMPUTED_VALUE"""),8.0)</f>
        <v>8</v>
      </c>
      <c r="M606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06" s="14" t="str">
        <f>IFERROR(__xludf.DUMMYFUNCTION("""COMPUTED_VALUE"""),"https://lh5.googleusercontent.com/d/155tqHi3lHE8gPsyS6b5Ubpp6I7eRSet9")</f>
        <v>https://lh5.googleusercontent.com/d/155tqHi3lHE8gPsyS6b5Ubpp6I7eRSet9</v>
      </c>
      <c r="O606" s="3"/>
    </row>
    <row r="607">
      <c r="A607" s="3">
        <f>IFERROR(__xludf.DUMMYFUNCTION("""COMPUTED_VALUE"""),2591.0)</f>
        <v>2591</v>
      </c>
      <c r="B607" s="11">
        <f>IFERROR(__xludf.DUMMYFUNCTION("""COMPUTED_VALUE"""),46175.31876070602)</f>
        <v>46175.31876</v>
      </c>
      <c r="C607" s="3" t="str">
        <f>IFERROR(__xludf.DUMMYFUNCTION("""COMPUTED_VALUE"""),"ชั้นปีที่ 3")</f>
        <v>ชั้นปีที่ 3</v>
      </c>
      <c r="D607" s="3" t="str">
        <f>IFERROR(__xludf.DUMMYFUNCTION("""COMPUTED_VALUE"""),"6603771")</f>
        <v>6603771</v>
      </c>
      <c r="E607" s="3" t="str">
        <f>IFERROR(__xludf.DUMMYFUNCTION("""COMPUTED_VALUE"""),"18")</f>
        <v>18</v>
      </c>
      <c r="F607" s="3" t="str">
        <f>IFERROR(__xludf.DUMMYFUNCTION("""COMPUTED_VALUE"""),"นพอ.ทวิกา สอิ้งแก้ว")</f>
        <v>นพอ.ทวิกา สอิ้งแก้ว</v>
      </c>
      <c r="G607" s="3" t="str">
        <f>IFERROR(__xludf.DUMMYFUNCTION("""COMPUTED_VALUE"""),"ช่วยเหลืองานภายใน วพอ.")</f>
        <v>ช่วยเหลืองานภายใน วพอ.</v>
      </c>
      <c r="H607" s="3" t="str">
        <f>IFERROR(__xludf.DUMMYFUNCTION("""COMPUTED_VALUE"""),"ช่วยเหลืองานรัยสมัคร 69")</f>
        <v>ช่วยเหลืองานรัยสมัคร 69</v>
      </c>
      <c r="I607" s="3" t="str">
        <f>IFERROR(__xludf.DUMMYFUNCTION("""COMPUTED_VALUE"""),"วพอ.พอ.")</f>
        <v>วพอ.พอ.</v>
      </c>
      <c r="J607" s="12">
        <f>IFERROR(__xludf.DUMMYFUNCTION("""COMPUTED_VALUE"""),46147.0)</f>
        <v>46147</v>
      </c>
      <c r="K607" s="3" t="str">
        <f>IFERROR(__xludf.DUMMYFUNCTION("""COMPUTED_VALUE"""),"0800-1600")</f>
        <v>0800-1600</v>
      </c>
      <c r="L607" s="3">
        <f>IFERROR(__xludf.DUMMYFUNCTION("""COMPUTED_VALUE"""),8.0)</f>
        <v>8</v>
      </c>
      <c r="M607" s="3" t="str">
        <f>IFERROR(__xludf.DUMMYFUNCTION("""COMPUTED_VALUE"""),"น.ท.หญิงลักษ์ขณา พานิชสรรค์")</f>
        <v>น.ท.หญิงลักษ์ขณา พานิชสรรค์</v>
      </c>
      <c r="N607" s="14" t="str">
        <f>IFERROR(__xludf.DUMMYFUNCTION("""COMPUTED_VALUE"""),"https://lh5.googleusercontent.com/d/1D8xGJCivGEG_HYs-YaClRl-TPprWF6zO")</f>
        <v>https://lh5.googleusercontent.com/d/1D8xGJCivGEG_HYs-YaClRl-TPprWF6zO</v>
      </c>
      <c r="O607" s="14" t="str">
        <f>IFERROR(__xludf.DUMMYFUNCTION("""COMPUTED_VALUE"""),"https://drive.google.com/file/d/1l5bAaR6ytFyiLqd6XsQJL8k4fcLfTVIf/view?usp=drivesdk")</f>
        <v>https://drive.google.com/file/d/1l5bAaR6ytFyiLqd6XsQJL8k4fcLfTVIf/view?usp=drivesdk</v>
      </c>
    </row>
    <row r="608">
      <c r="A608" s="3">
        <f>IFERROR(__xludf.DUMMYFUNCTION("""COMPUTED_VALUE"""),2592.0)</f>
        <v>2592</v>
      </c>
      <c r="B608" s="11">
        <f>IFERROR(__xludf.DUMMYFUNCTION("""COMPUTED_VALUE"""),46175.319439583334)</f>
        <v>46175.31944</v>
      </c>
      <c r="C608" s="3" t="str">
        <f>IFERROR(__xludf.DUMMYFUNCTION("""COMPUTED_VALUE"""),"ชั้นปีที่ 3")</f>
        <v>ชั้นปีที่ 3</v>
      </c>
      <c r="D608" s="3" t="str">
        <f>IFERROR(__xludf.DUMMYFUNCTION("""COMPUTED_VALUE"""),"6603797")</f>
        <v>6603797</v>
      </c>
      <c r="E608" s="3" t="str">
        <f>IFERROR(__xludf.DUMMYFUNCTION("""COMPUTED_VALUE"""),"43")</f>
        <v>43</v>
      </c>
      <c r="F608" s="3" t="str">
        <f>IFERROR(__xludf.DUMMYFUNCTION("""COMPUTED_VALUE"""),"นพอ.พิมพ์ลภัส ทองดีเลิศ")</f>
        <v>นพอ.พิมพ์ลภัส ทองดีเลิศ</v>
      </c>
      <c r="G608" s="3" t="str">
        <f>IFERROR(__xludf.DUMMYFUNCTION("""COMPUTED_VALUE"""),"ทำนุบำรุงศาสนสถาน")</f>
        <v>ทำนุบำรุงศาสนสถาน</v>
      </c>
      <c r="H608" s="3" t="str">
        <f>IFERROR(__xludf.DUMMYFUNCTION("""COMPUTED_VALUE"""),"กวาดลานวัด")</f>
        <v>กวาดลานวัด</v>
      </c>
      <c r="I608" s="3" t="str">
        <f>IFERROR(__xludf.DUMMYFUNCTION("""COMPUTED_VALUE"""),"วัดนาหม่อม")</f>
        <v>วัดนาหม่อม</v>
      </c>
      <c r="J608" s="12">
        <f>IFERROR(__xludf.DUMMYFUNCTION("""COMPUTED_VALUE"""),46102.0)</f>
        <v>46102</v>
      </c>
      <c r="K608" s="3" t="str">
        <f>IFERROR(__xludf.DUMMYFUNCTION("""COMPUTED_VALUE"""),"1400-1500")</f>
        <v>1400-1500</v>
      </c>
      <c r="L608" s="3">
        <f>IFERROR(__xludf.DUMMYFUNCTION("""COMPUTED_VALUE"""),1.0)</f>
        <v>1</v>
      </c>
      <c r="M608" s="3" t="str">
        <f>IFERROR(__xludf.DUMMYFUNCTION("""COMPUTED_VALUE"""),"นายสมพร ทองดีเลิศ")</f>
        <v>นายสมพร ทองดีเลิศ</v>
      </c>
      <c r="N608" s="14" t="str">
        <f>IFERROR(__xludf.DUMMYFUNCTION("""COMPUTED_VALUE"""),"https://lh5.googleusercontent.com/d/1rANkYCQ1icUznCs9wBcz5HsEdDH0Kwq9")</f>
        <v>https://lh5.googleusercontent.com/d/1rANkYCQ1icUznCs9wBcz5HsEdDH0Kwq9</v>
      </c>
      <c r="O608" s="14" t="str">
        <f>IFERROR(__xludf.DUMMYFUNCTION("""COMPUTED_VALUE"""),"https://drive.google.com/file/d/1QbiDeJLVJ51PjVPVbferhS_hF4U_0d_o/view?usp=drivesdk")</f>
        <v>https://drive.google.com/file/d/1QbiDeJLVJ51PjVPVbferhS_hF4U_0d_o/view?usp=drivesdk</v>
      </c>
    </row>
    <row r="609">
      <c r="A609" s="3">
        <f>IFERROR(__xludf.DUMMYFUNCTION("""COMPUTED_VALUE"""),2593.0)</f>
        <v>2593</v>
      </c>
      <c r="B609" s="11">
        <f>IFERROR(__xludf.DUMMYFUNCTION("""COMPUTED_VALUE"""),46175.319801111116)</f>
        <v>46175.3198</v>
      </c>
      <c r="C609" s="3" t="str">
        <f>IFERROR(__xludf.DUMMYFUNCTION("""COMPUTED_VALUE"""),"ชั้นปีที่ 3")</f>
        <v>ชั้นปีที่ 3</v>
      </c>
      <c r="D609" s="3" t="str">
        <f>IFERROR(__xludf.DUMMYFUNCTION("""COMPUTED_VALUE"""),"6603776")</f>
        <v>6603776</v>
      </c>
      <c r="E609" s="3" t="str">
        <f>IFERROR(__xludf.DUMMYFUNCTION("""COMPUTED_VALUE"""),"22")</f>
        <v>22</v>
      </c>
      <c r="F609" s="3" t="str">
        <f>IFERROR(__xludf.DUMMYFUNCTION("""COMPUTED_VALUE"""),"นพอ.นภชนก อัครวุฒิญาณ")</f>
        <v>นพอ.นภชนก อัครวุฒิญาณ</v>
      </c>
      <c r="G609" s="3" t="str">
        <f>IFERROR(__xludf.DUMMYFUNCTION("""COMPUTED_VALUE"""),"ช่วยเหลืองานภายใน วพอ.")</f>
        <v>ช่วยเหลืองานภายใน วพอ.</v>
      </c>
      <c r="H609" s="3" t="str">
        <f>IFERROR(__xludf.DUMMYFUNCTION("""COMPUTED_VALUE"""),"จีดโต๊ะห้องประชุมชั้น4 งานทดสอบความถนัด วิภาวิสัยและจิตวิทยา ประจำปีการศึกษา 2569")</f>
        <v>จีดโต๊ะห้องประชุมชั้น4 งานทดสอบความถนัด วิภาวิสัยและจิตวิทยา ประจำปีการศึกษา 2569</v>
      </c>
      <c r="I609" s="3" t="str">
        <f>IFERROR(__xludf.DUMMYFUNCTION("""COMPUTED_VALUE"""),"ห้องประชุมชั้น4 อาคารสำนักงาน")</f>
        <v>ห้องประชุมชั้น4 อาคารสำนักงาน</v>
      </c>
      <c r="J609" s="12">
        <f>IFERROR(__xludf.DUMMYFUNCTION("""COMPUTED_VALUE"""),46143.0)</f>
        <v>46143</v>
      </c>
      <c r="K609" s="3" t="str">
        <f>IFERROR(__xludf.DUMMYFUNCTION("""COMPUTED_VALUE"""),"08.00-12.00 ")</f>
        <v>08.00-12.00 </v>
      </c>
      <c r="L609" s="3">
        <f>IFERROR(__xludf.DUMMYFUNCTION("""COMPUTED_VALUE"""),4.0)</f>
        <v>4</v>
      </c>
      <c r="M609" s="3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609" s="14" t="str">
        <f>IFERROR(__xludf.DUMMYFUNCTION("""COMPUTED_VALUE"""),"https://lh5.googleusercontent.com/d/1CWmgOoppE8Z1oDZQ0AWqsef33ay1g8bj")</f>
        <v>https://lh5.googleusercontent.com/d/1CWmgOoppE8Z1oDZQ0AWqsef33ay1g8bj</v>
      </c>
      <c r="O609" s="14" t="str">
        <f>IFERROR(__xludf.DUMMYFUNCTION("""COMPUTED_VALUE"""),"https://drive.google.com/file/d/1NbWFF45kMhEHD4NETPpYPwqAktVSbtSs/view?usp=drivesdk")</f>
        <v>https://drive.google.com/file/d/1NbWFF45kMhEHD4NETPpYPwqAktVSbtSs/view?usp=drivesdk</v>
      </c>
    </row>
    <row r="610">
      <c r="A610" s="3">
        <f>IFERROR(__xludf.DUMMYFUNCTION("""COMPUTED_VALUE"""),2594.0)</f>
        <v>2594</v>
      </c>
      <c r="B610" s="11">
        <f>IFERROR(__xludf.DUMMYFUNCTION("""COMPUTED_VALUE"""),46175.3198162037)</f>
        <v>46175.31982</v>
      </c>
      <c r="C610" s="3" t="str">
        <f>IFERROR(__xludf.DUMMYFUNCTION("""COMPUTED_VALUE"""),"ชั้นปีที่ 3")</f>
        <v>ชั้นปีที่ 3</v>
      </c>
      <c r="D610" s="3" t="str">
        <f>IFERROR(__xludf.DUMMYFUNCTION("""COMPUTED_VALUE"""),"6603804")</f>
        <v>6603804</v>
      </c>
      <c r="E610" s="3" t="str">
        <f>IFERROR(__xludf.DUMMYFUNCTION("""COMPUTED_VALUE"""),"50")</f>
        <v>50</v>
      </c>
      <c r="F610" s="3" t="str">
        <f>IFERROR(__xludf.DUMMYFUNCTION("""COMPUTED_VALUE"""),"นพอ.ศิริวรรณ บริบูรณ์")</f>
        <v>นพอ.ศิริวรรณ บริบูรณ์</v>
      </c>
      <c r="G61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10" s="3" t="str">
        <f>IFERROR(__xludf.DUMMYFUNCTION("""COMPUTED_VALUE"""),"บริจาคเลือด")</f>
        <v>บริจาคเลือด</v>
      </c>
      <c r="I610" s="3" t="str">
        <f>IFERROR(__xludf.DUMMYFUNCTION("""COMPUTED_VALUE"""),"รพ.ภูมิพล")</f>
        <v>รพ.ภูมิพล</v>
      </c>
      <c r="J610" s="12">
        <f>IFERROR(__xludf.DUMMYFUNCTION("""COMPUTED_VALUE"""),46037.0)</f>
        <v>46037</v>
      </c>
      <c r="K610" s="3" t="str">
        <f>IFERROR(__xludf.DUMMYFUNCTION("""COMPUTED_VALUE"""),"0800-0900")</f>
        <v>0800-0900</v>
      </c>
      <c r="L610" s="3">
        <f>IFERROR(__xludf.DUMMYFUNCTION("""COMPUTED_VALUE"""),8.0)</f>
        <v>8</v>
      </c>
      <c r="M610" s="3" t="str">
        <f>IFERROR(__xludf.DUMMYFUNCTION("""COMPUTED_VALUE"""),"ร.ต.เรวัติ วัชรสิทธิ์")</f>
        <v>ร.ต.เรวัติ วัชรสิทธิ์</v>
      </c>
      <c r="N610" s="14" t="str">
        <f>IFERROR(__xludf.DUMMYFUNCTION("""COMPUTED_VALUE"""),"https://lh5.googleusercontent.com/d/1lcLqITs32VK1ihy1wMy1wKul0rc1HZmG")</f>
        <v>https://lh5.googleusercontent.com/d/1lcLqITs32VK1ihy1wMy1wKul0rc1HZmG</v>
      </c>
      <c r="O610" s="14" t="str">
        <f>IFERROR(__xludf.DUMMYFUNCTION("""COMPUTED_VALUE"""),"https://drive.google.com/file/d/1kP-ga7gZsID43Y4VeENo6ZAYZ77-YXY8/view?usp=drivesdk")</f>
        <v>https://drive.google.com/file/d/1kP-ga7gZsID43Y4VeENo6ZAYZ77-YXY8/view?usp=drivesdk</v>
      </c>
    </row>
    <row r="611">
      <c r="A611" s="3">
        <f>IFERROR(__xludf.DUMMYFUNCTION("""COMPUTED_VALUE"""),2594.0)</f>
        <v>2594</v>
      </c>
      <c r="B611" s="11">
        <f>IFERROR(__xludf.DUMMYFUNCTION("""COMPUTED_VALUE"""),46175.31982649306)</f>
        <v>46175.31983</v>
      </c>
      <c r="C611" s="3" t="str">
        <f>IFERROR(__xludf.DUMMYFUNCTION("""COMPUTED_VALUE"""),"ชั้นปีที่ 3")</f>
        <v>ชั้นปีที่ 3</v>
      </c>
      <c r="D611" s="3" t="str">
        <f>IFERROR(__xludf.DUMMYFUNCTION("""COMPUTED_VALUE"""),"6603761")</f>
        <v>6603761</v>
      </c>
      <c r="E611" s="3" t="str">
        <f>IFERROR(__xludf.DUMMYFUNCTION("""COMPUTED_VALUE"""),"8")</f>
        <v>8</v>
      </c>
      <c r="F611" s="3" t="str">
        <f>IFERROR(__xludf.DUMMYFUNCTION("""COMPUTED_VALUE"""),"นพอ.ชญานิศ ทองแสงแก้ว")</f>
        <v>นพอ.ชญานิศ ทองแสงแก้ว</v>
      </c>
      <c r="G611" s="3" t="str">
        <f>IFERROR(__xludf.DUMMYFUNCTION("""COMPUTED_VALUE"""),"ช่วยเหลืองานภายใน วพอ.")</f>
        <v>ช่วยเหลืองานภายใน วพอ.</v>
      </c>
      <c r="H611" s="3" t="str">
        <f>IFERROR(__xludf.DUMMYFUNCTION("""COMPUTED_VALUE"""),"พิธีมอบหมวกวิขาชีพ swd65")</f>
        <v>พิธีมอบหมวกวิขาชีพ swd65</v>
      </c>
      <c r="I611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11" s="12">
        <f>IFERROR(__xludf.DUMMYFUNCTION("""COMPUTED_VALUE"""),46140.0)</f>
        <v>46140</v>
      </c>
      <c r="K611" s="3" t="str">
        <f>IFERROR(__xludf.DUMMYFUNCTION("""COMPUTED_VALUE"""),"0800-1200")</f>
        <v>0800-1200</v>
      </c>
      <c r="L611" s="3">
        <f>IFERROR(__xludf.DUMMYFUNCTION("""COMPUTED_VALUE"""),4.0)</f>
        <v>4</v>
      </c>
      <c r="M611" s="3" t="str">
        <f>IFERROR(__xludf.DUMMYFUNCTION("""COMPUTED_VALUE"""),"ร.อ.หญิง เบญญาดา บุรีรัตน์")</f>
        <v>ร.อ.หญิง เบญญาดา บุรีรัตน์</v>
      </c>
      <c r="N611" s="14" t="str">
        <f>IFERROR(__xludf.DUMMYFUNCTION("""COMPUTED_VALUE"""),"https://lh5.googleusercontent.com/d/1HrL9l0wVuBuO7fNyZEF1m4ykZ9ydkk6k")</f>
        <v>https://lh5.googleusercontent.com/d/1HrL9l0wVuBuO7fNyZEF1m4ykZ9ydkk6k</v>
      </c>
      <c r="O611" s="14" t="str">
        <f>IFERROR(__xludf.DUMMYFUNCTION("""COMPUTED_VALUE"""),"https://drive.google.com/file/d/1wxfQkeOxZWoO7z40TF2Jd_fmyj8u6fht/view?usp=drivesdk")</f>
        <v>https://drive.google.com/file/d/1wxfQkeOxZWoO7z40TF2Jd_fmyj8u6fht/view?usp=drivesdk</v>
      </c>
    </row>
    <row r="612">
      <c r="A612" s="3">
        <f>IFERROR(__xludf.DUMMYFUNCTION("""COMPUTED_VALUE"""),2595.0)</f>
        <v>2595</v>
      </c>
      <c r="B612" s="11">
        <f>IFERROR(__xludf.DUMMYFUNCTION("""COMPUTED_VALUE"""),46175.32031423611)</f>
        <v>46175.32031</v>
      </c>
      <c r="C612" s="3" t="str">
        <f>IFERROR(__xludf.DUMMYFUNCTION("""COMPUTED_VALUE"""),"ชั้นปีที่ 3")</f>
        <v>ชั้นปีที่ 3</v>
      </c>
      <c r="D612" s="3" t="str">
        <f>IFERROR(__xludf.DUMMYFUNCTION("""COMPUTED_VALUE"""),"6603755")</f>
        <v>6603755</v>
      </c>
      <c r="E612" s="3" t="str">
        <f>IFERROR(__xludf.DUMMYFUNCTION("""COMPUTED_VALUE"""),"2")</f>
        <v>2</v>
      </c>
      <c r="F612" s="3" t="str">
        <f>IFERROR(__xludf.DUMMYFUNCTION("""COMPUTED_VALUE"""),"นพอ.กฤตินันท์ ฉิมพาลร")</f>
        <v>นพอ.กฤตินันท์ ฉิมพาลร</v>
      </c>
      <c r="G612" s="3" t="str">
        <f>IFERROR(__xludf.DUMMYFUNCTION("""COMPUTED_VALUE"""),"ช่วยเหลืองานภายใน วพอ.")</f>
        <v>ช่วยเหลืองานภายใน วพอ.</v>
      </c>
      <c r="H612" s="3" t="str">
        <f>IFERROR(__xludf.DUMMYFUNCTION("""COMPUTED_VALUE"""),"ซ้อมงานพิธีมอบหมวกพยาบาลวิชาชีพ ปีการศึกษา2568 ")</f>
        <v>ซ้อมงานพิธีมอบหมวกพยาบาลวิชาชีพ ปีการศึกษา2568 </v>
      </c>
      <c r="I612" s="3" t="str">
        <f>IFERROR(__xludf.DUMMYFUNCTION("""COMPUTED_VALUE"""),"วพอ.พอ")</f>
        <v>วพอ.พอ</v>
      </c>
      <c r="J612" s="12">
        <f>IFERROR(__xludf.DUMMYFUNCTION("""COMPUTED_VALUE"""),46133.0)</f>
        <v>46133</v>
      </c>
      <c r="K612" s="3" t="str">
        <f>IFERROR(__xludf.DUMMYFUNCTION("""COMPUTED_VALUE"""),"1700-2100")</f>
        <v>1700-2100</v>
      </c>
      <c r="L612" s="3">
        <f>IFERROR(__xludf.DUMMYFUNCTION("""COMPUTED_VALUE"""),4.0)</f>
        <v>4</v>
      </c>
      <c r="M612" s="3" t="str">
        <f>IFERROR(__xludf.DUMMYFUNCTION("""COMPUTED_VALUE"""),"ร.อ อนุชิต ทำจะดี ")</f>
        <v>ร.อ อนุชิต ทำจะดี </v>
      </c>
      <c r="N612" s="14" t="str">
        <f>IFERROR(__xludf.DUMMYFUNCTION("""COMPUTED_VALUE"""),"https://lh5.googleusercontent.com/d/1QnAArVacq9mme4DpwzdHU_ejuk5F3lwq")</f>
        <v>https://lh5.googleusercontent.com/d/1QnAArVacq9mme4DpwzdHU_ejuk5F3lwq</v>
      </c>
      <c r="O612" s="14" t="str">
        <f>IFERROR(__xludf.DUMMYFUNCTION("""COMPUTED_VALUE"""),"https://drive.google.com/file/d/1O_iRCUQk0F3kQlXHf1xlMM1moShfU9ir/view?usp=drivesdk")</f>
        <v>https://drive.google.com/file/d/1O_iRCUQk0F3kQlXHf1xlMM1moShfU9ir/view?usp=drivesdk</v>
      </c>
    </row>
    <row r="613">
      <c r="A613" s="3">
        <f>IFERROR(__xludf.DUMMYFUNCTION("""COMPUTED_VALUE"""),2596.0)</f>
        <v>2596</v>
      </c>
      <c r="B613" s="11">
        <f>IFERROR(__xludf.DUMMYFUNCTION("""COMPUTED_VALUE"""),46175.32078582176)</f>
        <v>46175.32079</v>
      </c>
      <c r="C613" s="3" t="str">
        <f>IFERROR(__xludf.DUMMYFUNCTION("""COMPUTED_VALUE"""),"ชั้นปีที่ 3")</f>
        <v>ชั้นปีที่ 3</v>
      </c>
      <c r="D613" s="3" t="str">
        <f>IFERROR(__xludf.DUMMYFUNCTION("""COMPUTED_VALUE"""),"6603797")</f>
        <v>6603797</v>
      </c>
      <c r="E613" s="3" t="str">
        <f>IFERROR(__xludf.DUMMYFUNCTION("""COMPUTED_VALUE"""),"43")</f>
        <v>43</v>
      </c>
      <c r="F613" s="3" t="str">
        <f>IFERROR(__xludf.DUMMYFUNCTION("""COMPUTED_VALUE"""),"นพอ.พิมพ์ลภัส ทองดีเลิศ")</f>
        <v>นพอ.พิมพ์ลภัส ทองดีเลิศ</v>
      </c>
      <c r="G613" s="3" t="str">
        <f>IFERROR(__xludf.DUMMYFUNCTION("""COMPUTED_VALUE"""),"ทำนุบำรุงศาสนสถาน")</f>
        <v>ทำนุบำรุงศาสนสถาน</v>
      </c>
      <c r="H613" s="3" t="str">
        <f>IFERROR(__xludf.DUMMYFUNCTION("""COMPUTED_VALUE"""),"กวาดลานวัด")</f>
        <v>กวาดลานวัด</v>
      </c>
      <c r="I613" s="3" t="str">
        <f>IFERROR(__xludf.DUMMYFUNCTION("""COMPUTED_VALUE"""),"สำนักหลวงปู่")</f>
        <v>สำนักหลวงปู่</v>
      </c>
      <c r="J613" s="12">
        <f>IFERROR(__xludf.DUMMYFUNCTION("""COMPUTED_VALUE"""),46023.0)</f>
        <v>46023</v>
      </c>
      <c r="K613" s="3" t="str">
        <f>IFERROR(__xludf.DUMMYFUNCTION("""COMPUTED_VALUE"""),"1500-1600")</f>
        <v>1500-1600</v>
      </c>
      <c r="L613" s="3">
        <f>IFERROR(__xludf.DUMMYFUNCTION("""COMPUTED_VALUE"""),1.0)</f>
        <v>1</v>
      </c>
      <c r="M613" s="3" t="str">
        <f>IFERROR(__xludf.DUMMYFUNCTION("""COMPUTED_VALUE"""),"นางเพ็ญศรี ทองดีเลิศ")</f>
        <v>นางเพ็ญศรี ทองดีเลิศ</v>
      </c>
      <c r="N613" s="14" t="str">
        <f>IFERROR(__xludf.DUMMYFUNCTION("""COMPUTED_VALUE"""),"https://lh5.googleusercontent.com/d/1_imt5bS0sGma9h5gU-VgdtS_iqOf3wlY")</f>
        <v>https://lh5.googleusercontent.com/d/1_imt5bS0sGma9h5gU-VgdtS_iqOf3wlY</v>
      </c>
      <c r="O613" s="14" t="str">
        <f>IFERROR(__xludf.DUMMYFUNCTION("""COMPUTED_VALUE"""),"https://drive.google.com/file/d/1DNVGsLbwddhK4S2iLsYHxWvo7QYgXZ4o/view?usp=drivesdk")</f>
        <v>https://drive.google.com/file/d/1DNVGsLbwddhK4S2iLsYHxWvo7QYgXZ4o/view?usp=drivesdk</v>
      </c>
    </row>
    <row r="614">
      <c r="A614" s="3">
        <f>IFERROR(__xludf.DUMMYFUNCTION("""COMPUTED_VALUE"""),2597.0)</f>
        <v>2597</v>
      </c>
      <c r="B614" s="11">
        <f>IFERROR(__xludf.DUMMYFUNCTION("""COMPUTED_VALUE"""),46175.32196743055)</f>
        <v>46175.32197</v>
      </c>
      <c r="C614" s="3" t="str">
        <f>IFERROR(__xludf.DUMMYFUNCTION("""COMPUTED_VALUE"""),"ชั้นปีที่ 3")</f>
        <v>ชั้นปีที่ 3</v>
      </c>
      <c r="D614" s="3" t="str">
        <f>IFERROR(__xludf.DUMMYFUNCTION("""COMPUTED_VALUE"""),"6603755")</f>
        <v>6603755</v>
      </c>
      <c r="E614" s="3" t="str">
        <f>IFERROR(__xludf.DUMMYFUNCTION("""COMPUTED_VALUE"""),"2")</f>
        <v>2</v>
      </c>
      <c r="F614" s="3" t="str">
        <f>IFERROR(__xludf.DUMMYFUNCTION("""COMPUTED_VALUE"""),"นพอ.กฤตินันท์ ฉิมพาลี ")</f>
        <v>นพอ.กฤตินันท์ ฉิมพาลี </v>
      </c>
      <c r="G614" s="3" t="str">
        <f>IFERROR(__xludf.DUMMYFUNCTION("""COMPUTED_VALUE"""),"ช่วยเหลืองานภายใน วพอ.")</f>
        <v>ช่วยเหลืองานภายใน วพอ.</v>
      </c>
      <c r="H614" s="3" t="str">
        <f>IFERROR(__xludf.DUMMYFUNCTION("""COMPUTED_VALUE"""),"ซ้อมงานพิธีรับหมวกพยาบาลวิชาชีพ ประจำปีการศึกษา 2568")</f>
        <v>ซ้อมงานพิธีรับหมวกพยาบาลวิชาชีพ ประจำปีการศึกษา 2568</v>
      </c>
      <c r="I614" s="3" t="str">
        <f>IFERROR(__xludf.DUMMYFUNCTION("""COMPUTED_VALUE"""),"วพอ.พอ")</f>
        <v>วพอ.พอ</v>
      </c>
      <c r="J614" s="12">
        <f>IFERROR(__xludf.DUMMYFUNCTION("""COMPUTED_VALUE"""),46134.0)</f>
        <v>46134</v>
      </c>
      <c r="K614" s="3" t="str">
        <f>IFERROR(__xludf.DUMMYFUNCTION("""COMPUTED_VALUE"""),"1700-2100")</f>
        <v>1700-2100</v>
      </c>
      <c r="L614" s="3">
        <f>IFERROR(__xludf.DUMMYFUNCTION("""COMPUTED_VALUE"""),4.0)</f>
        <v>4</v>
      </c>
      <c r="M614" s="3" t="str">
        <f>IFERROR(__xludf.DUMMYFUNCTION("""COMPUTED_VALUE"""),"ร.อ.อนุชิต ทำจะดี ")</f>
        <v>ร.อ.อนุชิต ทำจะดี </v>
      </c>
      <c r="N614" s="14" t="str">
        <f>IFERROR(__xludf.DUMMYFUNCTION("""COMPUTED_VALUE"""),"https://lh5.googleusercontent.com/d/1nNiLnE9cpGG_bCQJwHjaMIou-MxY2Jjj")</f>
        <v>https://lh5.googleusercontent.com/d/1nNiLnE9cpGG_bCQJwHjaMIou-MxY2Jjj</v>
      </c>
      <c r="O614" s="14" t="str">
        <f>IFERROR(__xludf.DUMMYFUNCTION("""COMPUTED_VALUE"""),"https://drive.google.com/file/d/1LhbVBFAh0qa7HeVzMsO_3D_-lwpGbLn7/view?usp=drivesdk")</f>
        <v>https://drive.google.com/file/d/1LhbVBFAh0qa7HeVzMsO_3D_-lwpGbLn7/view?usp=drivesdk</v>
      </c>
    </row>
    <row r="615">
      <c r="A615" s="3">
        <f>IFERROR(__xludf.DUMMYFUNCTION("""COMPUTED_VALUE"""),2598.0)</f>
        <v>2598</v>
      </c>
      <c r="B615" s="11">
        <f>IFERROR(__xludf.DUMMYFUNCTION("""COMPUTED_VALUE"""),46175.32322641204)</f>
        <v>46175.32323</v>
      </c>
      <c r="C615" s="3" t="str">
        <f>IFERROR(__xludf.DUMMYFUNCTION("""COMPUTED_VALUE"""),"ชั้นปีที่ 3")</f>
        <v>ชั้นปีที่ 3</v>
      </c>
      <c r="D615" s="3" t="str">
        <f>IFERROR(__xludf.DUMMYFUNCTION("""COMPUTED_VALUE"""),"6603804")</f>
        <v>6603804</v>
      </c>
      <c r="E615" s="3" t="str">
        <f>IFERROR(__xludf.DUMMYFUNCTION("""COMPUTED_VALUE"""),"50")</f>
        <v>50</v>
      </c>
      <c r="F615" s="3" t="str">
        <f>IFERROR(__xludf.DUMMYFUNCTION("""COMPUTED_VALUE"""),"นพอ.ศิริวรรณ บริบูรณ์")</f>
        <v>นพอ.ศิริวรรณ บริบูรณ์</v>
      </c>
      <c r="G61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15" s="3" t="str">
        <f>IFERROR(__xludf.DUMMYFUNCTION("""COMPUTED_VALUE"""),"บริจาคเลือด")</f>
        <v>บริจาคเลือด</v>
      </c>
      <c r="I615" s="3" t="str">
        <f>IFERROR(__xludf.DUMMYFUNCTION("""COMPUTED_VALUE"""),"สภากาชาดไทย")</f>
        <v>สภากาชาดไทย</v>
      </c>
      <c r="J615" s="12">
        <f>IFERROR(__xludf.DUMMYFUNCTION("""COMPUTED_VALUE"""),46172.0)</f>
        <v>46172</v>
      </c>
      <c r="K615" s="3" t="str">
        <f>IFERROR(__xludf.DUMMYFUNCTION("""COMPUTED_VALUE"""),"1000-1100")</f>
        <v>1000-1100</v>
      </c>
      <c r="L615" s="3">
        <f>IFERROR(__xludf.DUMMYFUNCTION("""COMPUTED_VALUE"""),8.0)</f>
        <v>8</v>
      </c>
      <c r="M615" s="3" t="str">
        <f>IFERROR(__xludf.DUMMYFUNCTION("""COMPUTED_VALUE"""),"น.ต.อนุชิต ทำจะดี")</f>
        <v>น.ต.อนุชิต ทำจะดี</v>
      </c>
      <c r="N615" s="14" t="str">
        <f>IFERROR(__xludf.DUMMYFUNCTION("""COMPUTED_VALUE"""),"https://lh5.googleusercontent.com/d/1on8wiZ_Y-UaJIaTamT0mcRMwpTVORA3O")</f>
        <v>https://lh5.googleusercontent.com/d/1on8wiZ_Y-UaJIaTamT0mcRMwpTVORA3O</v>
      </c>
      <c r="O615" s="14" t="str">
        <f>IFERROR(__xludf.DUMMYFUNCTION("""COMPUTED_VALUE"""),"https://drive.google.com/file/d/1dJDRtaKhydQnd5xrMEi8_z7dPBZz5_1F/view?usp=drivesdk")</f>
        <v>https://drive.google.com/file/d/1dJDRtaKhydQnd5xrMEi8_z7dPBZz5_1F/view?usp=drivesdk</v>
      </c>
    </row>
    <row r="616">
      <c r="A616" s="3">
        <f>IFERROR(__xludf.DUMMYFUNCTION("""COMPUTED_VALUE"""),2599.0)</f>
        <v>2599</v>
      </c>
      <c r="B616" s="11">
        <f>IFERROR(__xludf.DUMMYFUNCTION("""COMPUTED_VALUE"""),46175.32330826389)</f>
        <v>46175.32331</v>
      </c>
      <c r="C616" s="3" t="str">
        <f>IFERROR(__xludf.DUMMYFUNCTION("""COMPUTED_VALUE"""),"ชั้นปีที่ 3")</f>
        <v>ชั้นปีที่ 3</v>
      </c>
      <c r="D616" s="3" t="str">
        <f>IFERROR(__xludf.DUMMYFUNCTION("""COMPUTED_VALUE"""),"6603814")</f>
        <v>6603814</v>
      </c>
      <c r="E616" s="3" t="str">
        <f>IFERROR(__xludf.DUMMYFUNCTION("""COMPUTED_VALUE"""),"60")</f>
        <v>60</v>
      </c>
      <c r="F616" s="3" t="str">
        <f>IFERROR(__xludf.DUMMYFUNCTION("""COMPUTED_VALUE"""),"นพอ.อนัญญา สิงทิศ")</f>
        <v>นพอ.อนัญญา สิงทิศ</v>
      </c>
      <c r="G616" s="3" t="str">
        <f>IFERROR(__xludf.DUMMYFUNCTION("""COMPUTED_VALUE"""),"ช่วยเหลืองานภายใน วพอ.")</f>
        <v>ช่วยเหลืองานภายใน วพอ.</v>
      </c>
      <c r="H61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6" s="3" t="str">
        <f>IFERROR(__xludf.DUMMYFUNCTION("""COMPUTED_VALUE"""),"วพอ.พอ.")</f>
        <v>วพอ.พอ.</v>
      </c>
      <c r="J616" s="12">
        <f>IFERROR(__xludf.DUMMYFUNCTION("""COMPUTED_VALUE"""),46133.0)</f>
        <v>46133</v>
      </c>
      <c r="K616" s="3" t="str">
        <f>IFERROR(__xludf.DUMMYFUNCTION("""COMPUTED_VALUE"""),"1700-2100")</f>
        <v>1700-2100</v>
      </c>
      <c r="L616" s="3">
        <f>IFERROR(__xludf.DUMMYFUNCTION("""COMPUTED_VALUE"""),4.0)</f>
        <v>4</v>
      </c>
      <c r="M616" s="3" t="str">
        <f>IFERROR(__xludf.DUMMYFUNCTION("""COMPUTED_VALUE"""),"ร.อ.อนุชิต ทำจะดี")</f>
        <v>ร.อ.อนุชิต ทำจะดี</v>
      </c>
      <c r="N616" s="14" t="str">
        <f>IFERROR(__xludf.DUMMYFUNCTION("""COMPUTED_VALUE"""),"https://lh5.googleusercontent.com/d/1giP9swpnwXlmitzbcGeuEujpzzG0ijeK")</f>
        <v>https://lh5.googleusercontent.com/d/1giP9swpnwXlmitzbcGeuEujpzzG0ijeK</v>
      </c>
      <c r="O616" s="14" t="str">
        <f>IFERROR(__xludf.DUMMYFUNCTION("""COMPUTED_VALUE"""),"https://drive.google.com/file/d/1zJOFomyMh0C9abhR57SZEgkiKkmAf141/view?usp=drivesdk")</f>
        <v>https://drive.google.com/file/d/1zJOFomyMh0C9abhR57SZEgkiKkmAf141/view?usp=drivesdk</v>
      </c>
    </row>
    <row r="617">
      <c r="A617" s="3">
        <f>IFERROR(__xludf.DUMMYFUNCTION("""COMPUTED_VALUE"""),2600.0)</f>
        <v>2600</v>
      </c>
      <c r="B617" s="11">
        <f>IFERROR(__xludf.DUMMYFUNCTION("""COMPUTED_VALUE"""),46175.32335863426)</f>
        <v>46175.32336</v>
      </c>
      <c r="C617" s="3" t="str">
        <f>IFERROR(__xludf.DUMMYFUNCTION("""COMPUTED_VALUE"""),"ชั้นปีที่ 3")</f>
        <v>ชั้นปีที่ 3</v>
      </c>
      <c r="D617" s="3" t="str">
        <f>IFERROR(__xludf.DUMMYFUNCTION("""COMPUTED_VALUE"""),"6603792")</f>
        <v>6603792</v>
      </c>
      <c r="E617" s="3" t="str">
        <f>IFERROR(__xludf.DUMMYFUNCTION("""COMPUTED_VALUE"""),"38")</f>
        <v>38</v>
      </c>
      <c r="F617" s="3" t="str">
        <f>IFERROR(__xludf.DUMMYFUNCTION("""COMPUTED_VALUE"""),"นพอ.พลอยไพลิน สุทธหลวง")</f>
        <v>นพอ.พลอยไพลิน สุทธหลวง</v>
      </c>
      <c r="G617" s="3" t="str">
        <f>IFERROR(__xludf.DUMMYFUNCTION("""COMPUTED_VALUE"""),"ช่วยเหลืองานภายใน วพอ.")</f>
        <v>ช่วยเหลืองานภายใน วพอ.</v>
      </c>
      <c r="H617" s="3" t="str">
        <f>IFERROR(__xludf.DUMMYFUNCTION("""COMPUTED_VALUE"""),"งานกอล์ฟ วพอ.")</f>
        <v>งานกอล์ฟ วพอ.</v>
      </c>
      <c r="I617" s="3" t="str">
        <f>IFERROR(__xludf.DUMMYFUNCTION("""COMPUTED_VALUE"""),"ศูนย์พัฒนากีฬากองทัพอากาศธูปะเตมีย์(สนามกอล์ฟธูปะเตมีย์)")</f>
        <v>ศูนย์พัฒนากีฬากองทัพอากาศธูปะเตมีย์(สนามกอล์ฟธูปะเตมีย์)</v>
      </c>
      <c r="J617" s="12">
        <f>IFERROR(__xludf.DUMMYFUNCTION("""COMPUTED_VALUE"""),46067.0)</f>
        <v>46067</v>
      </c>
      <c r="K617" s="3" t="str">
        <f>IFERROR(__xludf.DUMMYFUNCTION("""COMPUTED_VALUE"""),"0800-1600")</f>
        <v>0800-1600</v>
      </c>
      <c r="L617" s="3">
        <f>IFERROR(__xludf.DUMMYFUNCTION("""COMPUTED_VALUE"""),8.0)</f>
        <v>8</v>
      </c>
      <c r="M617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617" s="14" t="str">
        <f>IFERROR(__xludf.DUMMYFUNCTION("""COMPUTED_VALUE"""),"https://lh5.googleusercontent.com/d/1etURJWANQv2q02nPZyu-QWex-qbXO0bh")</f>
        <v>https://lh5.googleusercontent.com/d/1etURJWANQv2q02nPZyu-QWex-qbXO0bh</v>
      </c>
      <c r="O617" s="14" t="str">
        <f>IFERROR(__xludf.DUMMYFUNCTION("""COMPUTED_VALUE"""),"https://drive.google.com/file/d/1g3LR7ZXeU6NMQYNe_TU6WIuVlvPyBQ-O/view?usp=drivesdk")</f>
        <v>https://drive.google.com/file/d/1g3LR7ZXeU6NMQYNe_TU6WIuVlvPyBQ-O/view?usp=drivesdk</v>
      </c>
    </row>
    <row r="618">
      <c r="A618" s="3">
        <f>IFERROR(__xludf.DUMMYFUNCTION("""COMPUTED_VALUE"""),2601.0)</f>
        <v>2601</v>
      </c>
      <c r="B618" s="11">
        <f>IFERROR(__xludf.DUMMYFUNCTION("""COMPUTED_VALUE"""),46175.323966145836)</f>
        <v>46175.32397</v>
      </c>
      <c r="C618" s="3" t="str">
        <f>IFERROR(__xludf.DUMMYFUNCTION("""COMPUTED_VALUE"""),"ชั้นปีที่ 3")</f>
        <v>ชั้นปีที่ 3</v>
      </c>
      <c r="D618" s="3" t="str">
        <f>IFERROR(__xludf.DUMMYFUNCTION("""COMPUTED_VALUE"""),"6603788")</f>
        <v>6603788</v>
      </c>
      <c r="E618" s="3" t="str">
        <f>IFERROR(__xludf.DUMMYFUNCTION("""COMPUTED_VALUE"""),"34")</f>
        <v>34</v>
      </c>
      <c r="F618" s="3" t="str">
        <f>IFERROR(__xludf.DUMMYFUNCTION("""COMPUTED_VALUE"""),"นพอ.ปาจีรนันท์ ปิงขุนทด")</f>
        <v>นพอ.ปาจีรนันท์ ปิงขุนทด</v>
      </c>
      <c r="G618" s="3" t="str">
        <f>IFERROR(__xludf.DUMMYFUNCTION("""COMPUTED_VALUE"""),"ช่วยเหลืองานภายใน วพอ.")</f>
        <v>ช่วยเหลืองานภายใน วพอ.</v>
      </c>
      <c r="H618" s="3" t="str">
        <f>IFERROR(__xludf.DUMMYFUNCTION("""COMPUTED_VALUE"""),"ทกท.")</f>
        <v>ทกท.</v>
      </c>
      <c r="I618" s="3" t="str">
        <f>IFERROR(__xludf.DUMMYFUNCTION("""COMPUTED_VALUE"""),"วพอ.")</f>
        <v>วพอ.</v>
      </c>
      <c r="J618" s="12">
        <f>IFERROR(__xludf.DUMMYFUNCTION("""COMPUTED_VALUE"""),46133.0)</f>
        <v>46133</v>
      </c>
      <c r="K618" s="3" t="str">
        <f>IFERROR(__xludf.DUMMYFUNCTION("""COMPUTED_VALUE"""),"0800-1200")</f>
        <v>0800-1200</v>
      </c>
      <c r="L618" s="3">
        <f>IFERROR(__xludf.DUMMYFUNCTION("""COMPUTED_VALUE"""),4.0)</f>
        <v>4</v>
      </c>
      <c r="M618" s="3" t="str">
        <f>IFERROR(__xludf.DUMMYFUNCTION("""COMPUTED_VALUE"""),"ร.อ.อนุชิต ทำจะดี")</f>
        <v>ร.อ.อนุชิต ทำจะดี</v>
      </c>
      <c r="N618" s="14" t="str">
        <f>IFERROR(__xludf.DUMMYFUNCTION("""COMPUTED_VALUE"""),"https://lh5.googleusercontent.com/d/15JYC_iVvBXirjx87I0Mq0ssiB4CoREl4")</f>
        <v>https://lh5.googleusercontent.com/d/15JYC_iVvBXirjx87I0Mq0ssiB4CoREl4</v>
      </c>
      <c r="O618" s="14" t="str">
        <f>IFERROR(__xludf.DUMMYFUNCTION("""COMPUTED_VALUE"""),"https://drive.google.com/file/d/1ymyK67XuTSiZL3fd1IwP-tFhdGJJIfB4/view?usp=drivesdk")</f>
        <v>https://drive.google.com/file/d/1ymyK67XuTSiZL3fd1IwP-tFhdGJJIfB4/view?usp=drivesdk</v>
      </c>
    </row>
    <row r="619">
      <c r="A619" s="3">
        <f>IFERROR(__xludf.DUMMYFUNCTION("""COMPUTED_VALUE"""),2602.0)</f>
        <v>2602</v>
      </c>
      <c r="B619" s="11">
        <f>IFERROR(__xludf.DUMMYFUNCTION("""COMPUTED_VALUE"""),46175.32436241898)</f>
        <v>46175.32436</v>
      </c>
      <c r="C619" s="3" t="str">
        <f>IFERROR(__xludf.DUMMYFUNCTION("""COMPUTED_VALUE"""),"ชั้นปีที่ 3")</f>
        <v>ชั้นปีที่ 3</v>
      </c>
      <c r="D619" s="3" t="str">
        <f>IFERROR(__xludf.DUMMYFUNCTION("""COMPUTED_VALUE"""),"6603755")</f>
        <v>6603755</v>
      </c>
      <c r="E619" s="3" t="str">
        <f>IFERROR(__xludf.DUMMYFUNCTION("""COMPUTED_VALUE"""),"2")</f>
        <v>2</v>
      </c>
      <c r="F619" s="3" t="str">
        <f>IFERROR(__xludf.DUMMYFUNCTION("""COMPUTED_VALUE"""),"นพอ.กฤตินันท์ ฉิมพาลี ")</f>
        <v>นพอ.กฤตินันท์ ฉิมพาลี </v>
      </c>
      <c r="G619" s="3" t="str">
        <f>IFERROR(__xludf.DUMMYFUNCTION("""COMPUTED_VALUE"""),"ช่วยเหลืองานภายใน วพอ.")</f>
        <v>ช่วยเหลืองานภายใน วพอ.</v>
      </c>
      <c r="H61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9" s="3" t="str">
        <f>IFERROR(__xludf.DUMMYFUNCTION("""COMPUTED_VALUE"""),"วพอ.พอ.")</f>
        <v>วพอ.พอ.</v>
      </c>
      <c r="J619" s="12">
        <f>IFERROR(__xludf.DUMMYFUNCTION("""COMPUTED_VALUE"""),46135.0)</f>
        <v>46135</v>
      </c>
      <c r="K619" s="3" t="str">
        <f>IFERROR(__xludf.DUMMYFUNCTION("""COMPUTED_VALUE"""),"1700-2100")</f>
        <v>1700-2100</v>
      </c>
      <c r="L619" s="3">
        <f>IFERROR(__xludf.DUMMYFUNCTION("""COMPUTED_VALUE"""),4.0)</f>
        <v>4</v>
      </c>
      <c r="M619" s="3" t="str">
        <f>IFERROR(__xludf.DUMMYFUNCTION("""COMPUTED_VALUE"""),"ร.อ.อนุชิต ทำจะดี ")</f>
        <v>ร.อ.อนุชิต ทำจะดี </v>
      </c>
      <c r="N619" s="14" t="str">
        <f>IFERROR(__xludf.DUMMYFUNCTION("""COMPUTED_VALUE"""),"https://lh5.googleusercontent.com/d/1Kb2J9XSeY0IWFN5TEtqCXmfEJPP2nA8b")</f>
        <v>https://lh5.googleusercontent.com/d/1Kb2J9XSeY0IWFN5TEtqCXmfEJPP2nA8b</v>
      </c>
      <c r="O619" s="14" t="str">
        <f>IFERROR(__xludf.DUMMYFUNCTION("""COMPUTED_VALUE"""),"https://drive.google.com/file/d/1z4DgWClg8lR5J2s-IvRrWMqHkllQAyxV/view?usp=drivesdk")</f>
        <v>https://drive.google.com/file/d/1z4DgWClg8lR5J2s-IvRrWMqHkllQAyxV/view?usp=drivesdk</v>
      </c>
    </row>
    <row r="620">
      <c r="A620" s="3">
        <f>IFERROR(__xludf.DUMMYFUNCTION("""COMPUTED_VALUE"""),2603.0)</f>
        <v>2603</v>
      </c>
      <c r="B620" s="11">
        <f>IFERROR(__xludf.DUMMYFUNCTION("""COMPUTED_VALUE"""),46175.3257471875)</f>
        <v>46175.32575</v>
      </c>
      <c r="C620" s="3" t="str">
        <f>IFERROR(__xludf.DUMMYFUNCTION("""COMPUTED_VALUE"""),"ชั้นปีที่ 3")</f>
        <v>ชั้นปีที่ 3</v>
      </c>
      <c r="D620" s="3" t="str">
        <f>IFERROR(__xludf.DUMMYFUNCTION("""COMPUTED_VALUE"""),"6603814")</f>
        <v>6603814</v>
      </c>
      <c r="E620" s="3" t="str">
        <f>IFERROR(__xludf.DUMMYFUNCTION("""COMPUTED_VALUE"""),"60")</f>
        <v>60</v>
      </c>
      <c r="F620" s="3" t="str">
        <f>IFERROR(__xludf.DUMMYFUNCTION("""COMPUTED_VALUE"""),"นพอ.อนัญญา สิงทิศ")</f>
        <v>นพอ.อนัญญา สิงทิศ</v>
      </c>
      <c r="G620" s="3" t="str">
        <f>IFERROR(__xludf.DUMMYFUNCTION("""COMPUTED_VALUE"""),"ช่วยเหลืองานภายใน วพอ.")</f>
        <v>ช่วยเหลืองานภายใน วพอ.</v>
      </c>
      <c r="H62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0" s="3" t="str">
        <f>IFERROR(__xludf.DUMMYFUNCTION("""COMPUTED_VALUE"""),"วพอ.พอ.")</f>
        <v>วพอ.พอ.</v>
      </c>
      <c r="J620" s="12">
        <f>IFERROR(__xludf.DUMMYFUNCTION("""COMPUTED_VALUE"""),46134.0)</f>
        <v>46134</v>
      </c>
      <c r="K620" s="3" t="str">
        <f>IFERROR(__xludf.DUMMYFUNCTION("""COMPUTED_VALUE"""),"1700-2100")</f>
        <v>1700-2100</v>
      </c>
      <c r="L620" s="3">
        <f>IFERROR(__xludf.DUMMYFUNCTION("""COMPUTED_VALUE"""),4.0)</f>
        <v>4</v>
      </c>
      <c r="M620" s="3" t="str">
        <f>IFERROR(__xludf.DUMMYFUNCTION("""COMPUTED_VALUE"""),"ร.อ.อนุชิต ทำจะดี")</f>
        <v>ร.อ.อนุชิต ทำจะดี</v>
      </c>
      <c r="N620" s="14" t="str">
        <f>IFERROR(__xludf.DUMMYFUNCTION("""COMPUTED_VALUE"""),"https://lh5.googleusercontent.com/d/1InLQv2VMi9TC8lylI7Xt9KUs0SfJsOtL")</f>
        <v>https://lh5.googleusercontent.com/d/1InLQv2VMi9TC8lylI7Xt9KUs0SfJsOtL</v>
      </c>
      <c r="O620" s="14" t="str">
        <f>IFERROR(__xludf.DUMMYFUNCTION("""COMPUTED_VALUE"""),"https://drive.google.com/file/d/1IIPiD0JVtElZYP8A9Gp2EIMPvrKRNaJy/view?usp=drivesdk")</f>
        <v>https://drive.google.com/file/d/1IIPiD0JVtElZYP8A9Gp2EIMPvrKRNaJy/view?usp=drivesdk</v>
      </c>
    </row>
    <row r="621">
      <c r="A621" s="3">
        <f>IFERROR(__xludf.DUMMYFUNCTION("""COMPUTED_VALUE"""),2604.0)</f>
        <v>2604</v>
      </c>
      <c r="B621" s="11">
        <f>IFERROR(__xludf.DUMMYFUNCTION("""COMPUTED_VALUE"""),46175.32580314815)</f>
        <v>46175.3258</v>
      </c>
      <c r="C621" s="3" t="str">
        <f>IFERROR(__xludf.DUMMYFUNCTION("""COMPUTED_VALUE"""),"ชั้นปีที่ 3")</f>
        <v>ชั้นปีที่ 3</v>
      </c>
      <c r="D621" s="3" t="str">
        <f>IFERROR(__xludf.DUMMYFUNCTION("""COMPUTED_VALUE"""),"6603755")</f>
        <v>6603755</v>
      </c>
      <c r="E621" s="3" t="str">
        <f>IFERROR(__xludf.DUMMYFUNCTION("""COMPUTED_VALUE"""),"2")</f>
        <v>2</v>
      </c>
      <c r="F621" s="3" t="str">
        <f>IFERROR(__xludf.DUMMYFUNCTION("""COMPUTED_VALUE"""),"นพอ.กฤตินันท์ ฉิมพาลี ")</f>
        <v>นพอ.กฤตินันท์ ฉิมพาลี </v>
      </c>
      <c r="G621" s="3" t="str">
        <f>IFERROR(__xludf.DUMMYFUNCTION("""COMPUTED_VALUE"""),"ช่วยเหลืองานภายใน วพอ.")</f>
        <v>ช่วยเหลืองานภายใน วพอ.</v>
      </c>
      <c r="H62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1" s="3" t="str">
        <f>IFERROR(__xludf.DUMMYFUNCTION("""COMPUTED_VALUE"""),"วพอ.พอ.")</f>
        <v>วพอ.พอ.</v>
      </c>
      <c r="J621" s="12">
        <f>IFERROR(__xludf.DUMMYFUNCTION("""COMPUTED_VALUE"""),46138.0)</f>
        <v>46138</v>
      </c>
      <c r="K621" s="3" t="str">
        <f>IFERROR(__xludf.DUMMYFUNCTION("""COMPUTED_VALUE"""),"1500-2100")</f>
        <v>1500-2100</v>
      </c>
      <c r="L621" s="3">
        <f>IFERROR(__xludf.DUMMYFUNCTION("""COMPUTED_VALUE"""),6.0)</f>
        <v>6</v>
      </c>
      <c r="M621" s="3" t="str">
        <f>IFERROR(__xludf.DUMMYFUNCTION("""COMPUTED_VALUE"""),"ร.อ.อนุชิต ทำจะดี ")</f>
        <v>ร.อ.อนุชิต ทำจะดี </v>
      </c>
      <c r="N621" s="14" t="str">
        <f>IFERROR(__xludf.DUMMYFUNCTION("""COMPUTED_VALUE"""),"https://lh5.googleusercontent.com/d/1n2FWFfmPQZJ0klI3sbBZU7xYR9GnUCFk")</f>
        <v>https://lh5.googleusercontent.com/d/1n2FWFfmPQZJ0klI3sbBZU7xYR9GnUCFk</v>
      </c>
      <c r="O621" s="14" t="str">
        <f>IFERROR(__xludf.DUMMYFUNCTION("""COMPUTED_VALUE"""),"https://drive.google.com/file/d/1gzHoNMcYupjl57zXZcrR8BIoGrJWFDCr/view?usp=drivesdk")</f>
        <v>https://drive.google.com/file/d/1gzHoNMcYupjl57zXZcrR8BIoGrJWFDCr/view?usp=drivesdk</v>
      </c>
    </row>
    <row r="622">
      <c r="A622" s="3">
        <f>IFERROR(__xludf.DUMMYFUNCTION("""COMPUTED_VALUE"""),2605.0)</f>
        <v>2605</v>
      </c>
      <c r="B622" s="11">
        <f>IFERROR(__xludf.DUMMYFUNCTION("""COMPUTED_VALUE"""),46175.32654277778)</f>
        <v>46175.32654</v>
      </c>
      <c r="C622" s="3" t="str">
        <f>IFERROR(__xludf.DUMMYFUNCTION("""COMPUTED_VALUE"""),"ชั้นปีที่ 3")</f>
        <v>ชั้นปีที่ 3</v>
      </c>
      <c r="D622" s="3" t="str">
        <f>IFERROR(__xludf.DUMMYFUNCTION("""COMPUTED_VALUE"""),"6603788")</f>
        <v>6603788</v>
      </c>
      <c r="E622" s="3" t="str">
        <f>IFERROR(__xludf.DUMMYFUNCTION("""COMPUTED_VALUE"""),"34")</f>
        <v>34</v>
      </c>
      <c r="F622" s="3" t="str">
        <f>IFERROR(__xludf.DUMMYFUNCTION("""COMPUTED_VALUE"""),"นพอ.ปาจีรนันท์ ปิงขุนทด")</f>
        <v>นพอ.ปาจีรนันท์ ปิงขุนทด</v>
      </c>
      <c r="G622" s="3" t="str">
        <f>IFERROR(__xludf.DUMMYFUNCTION("""COMPUTED_VALUE"""),"ช่วยเหลืองานภายใน วพอ.")</f>
        <v>ช่วยเหลืองานภายใน วพอ.</v>
      </c>
      <c r="H622" s="3" t="str">
        <f>IFERROR(__xludf.DUMMYFUNCTION("""COMPUTED_VALUE"""),"ทกท.")</f>
        <v>ทกท.</v>
      </c>
      <c r="I622" s="3" t="str">
        <f>IFERROR(__xludf.DUMMYFUNCTION("""COMPUTED_VALUE"""),"วพอ.")</f>
        <v>วพอ.</v>
      </c>
      <c r="J622" s="12">
        <f>IFERROR(__xludf.DUMMYFUNCTION("""COMPUTED_VALUE"""),46122.0)</f>
        <v>46122</v>
      </c>
      <c r="K622" s="3" t="str">
        <f>IFERROR(__xludf.DUMMYFUNCTION("""COMPUTED_VALUE"""),"0800-1600")</f>
        <v>0800-1600</v>
      </c>
      <c r="L622" s="3">
        <f>IFERROR(__xludf.DUMMYFUNCTION("""COMPUTED_VALUE"""),8.0)</f>
        <v>8</v>
      </c>
      <c r="M622" s="3" t="str">
        <f>IFERROR(__xludf.DUMMYFUNCTION("""COMPUTED_VALUE"""),"ร.อ.อนุชิต ทำจะดี")</f>
        <v>ร.อ.อนุชิต ทำจะดี</v>
      </c>
      <c r="N622" s="14" t="str">
        <f>IFERROR(__xludf.DUMMYFUNCTION("""COMPUTED_VALUE"""),"https://lh5.googleusercontent.com/d/1mlOn0Acgojb4oDQmxG0UIPu0ktbkAbbc")</f>
        <v>https://lh5.googleusercontent.com/d/1mlOn0Acgojb4oDQmxG0UIPu0ktbkAbbc</v>
      </c>
      <c r="O622" s="14" t="str">
        <f>IFERROR(__xludf.DUMMYFUNCTION("""COMPUTED_VALUE"""),"https://drive.google.com/file/d/14hRy9bNB33tWf5x0miCN0ZbvEZcI-CJo/view?usp=drivesdk")</f>
        <v>https://drive.google.com/file/d/14hRy9bNB33tWf5x0miCN0ZbvEZcI-CJo/view?usp=drivesdk</v>
      </c>
    </row>
    <row r="623">
      <c r="A623" s="3">
        <f>IFERROR(__xludf.DUMMYFUNCTION("""COMPUTED_VALUE"""),2606.0)</f>
        <v>2606</v>
      </c>
      <c r="B623" s="11">
        <f>IFERROR(__xludf.DUMMYFUNCTION("""COMPUTED_VALUE"""),46175.32671118055)</f>
        <v>46175.32671</v>
      </c>
      <c r="C623" s="3" t="str">
        <f>IFERROR(__xludf.DUMMYFUNCTION("""COMPUTED_VALUE"""),"ชั้นปีที่ 3")</f>
        <v>ชั้นปีที่ 3</v>
      </c>
      <c r="D623" s="3" t="str">
        <f>IFERROR(__xludf.DUMMYFUNCTION("""COMPUTED_VALUE"""),"6603771")</f>
        <v>6603771</v>
      </c>
      <c r="E623" s="3" t="str">
        <f>IFERROR(__xludf.DUMMYFUNCTION("""COMPUTED_VALUE"""),"18")</f>
        <v>18</v>
      </c>
      <c r="F623" s="3" t="str">
        <f>IFERROR(__xludf.DUMMYFUNCTION("""COMPUTED_VALUE"""),"นพอ.ทวิกา สอิ้งแก้ว")</f>
        <v>นพอ.ทวิกา สอิ้งแก้ว</v>
      </c>
      <c r="G6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3" s="3" t="str">
        <f>IFERROR(__xludf.DUMMYFUNCTION("""COMPUTED_VALUE"""),"ปลูกป่าชายเลน")</f>
        <v>ปลูกป่าชายเลน</v>
      </c>
      <c r="I623" s="3" t="str">
        <f>IFERROR(__xludf.DUMMYFUNCTION("""COMPUTED_VALUE"""),"อ.บางปู")</f>
        <v>อ.บางปู</v>
      </c>
      <c r="J623" s="12">
        <f>IFERROR(__xludf.DUMMYFUNCTION("""COMPUTED_VALUE"""),46060.0)</f>
        <v>46060</v>
      </c>
      <c r="K623" s="3" t="str">
        <f>IFERROR(__xludf.DUMMYFUNCTION("""COMPUTED_VALUE"""),"0800-1600")</f>
        <v>0800-1600</v>
      </c>
      <c r="L623" s="3">
        <f>IFERROR(__xludf.DUMMYFUNCTION("""COMPUTED_VALUE"""),8.0)</f>
        <v>8</v>
      </c>
      <c r="M623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23" s="14" t="str">
        <f>IFERROR(__xludf.DUMMYFUNCTION("""COMPUTED_VALUE"""),"https://lh5.googleusercontent.com/d/1-Gusb68gcalFYXsux-ukvC9FkUIz7w6_")</f>
        <v>https://lh5.googleusercontent.com/d/1-Gusb68gcalFYXsux-ukvC9FkUIz7w6_</v>
      </c>
      <c r="O623" s="14" t="str">
        <f>IFERROR(__xludf.DUMMYFUNCTION("""COMPUTED_VALUE"""),"https://drive.google.com/file/d/15ztBM0Yhu0IkIFXsHYRBEotgWZDFK2gi/view?usp=drivesdk")</f>
        <v>https://drive.google.com/file/d/15ztBM0Yhu0IkIFXsHYRBEotgWZDFK2gi/view?usp=drivesdk</v>
      </c>
    </row>
    <row r="624">
      <c r="A624" s="3">
        <f>IFERROR(__xludf.DUMMYFUNCTION("""COMPUTED_VALUE"""),2607.0)</f>
        <v>2607</v>
      </c>
      <c r="B624" s="11">
        <f>IFERROR(__xludf.DUMMYFUNCTION("""COMPUTED_VALUE"""),46175.32691966435)</f>
        <v>46175.32692</v>
      </c>
      <c r="C624" s="3" t="str">
        <f>IFERROR(__xludf.DUMMYFUNCTION("""COMPUTED_VALUE"""),"ชั้นปีที่ 3")</f>
        <v>ชั้นปีที่ 3</v>
      </c>
      <c r="D624" s="3" t="str">
        <f>IFERROR(__xludf.DUMMYFUNCTION("""COMPUTED_VALUE"""),"6603814")</f>
        <v>6603814</v>
      </c>
      <c r="E624" s="3" t="str">
        <f>IFERROR(__xludf.DUMMYFUNCTION("""COMPUTED_VALUE"""),"60")</f>
        <v>60</v>
      </c>
      <c r="F624" s="3" t="str">
        <f>IFERROR(__xludf.DUMMYFUNCTION("""COMPUTED_VALUE"""),"นพอ.อนัญญา สิงทิศ")</f>
        <v>นพอ.อนัญญา สิงทิศ</v>
      </c>
      <c r="G624" s="3" t="str">
        <f>IFERROR(__xludf.DUMMYFUNCTION("""COMPUTED_VALUE"""),"ช่วยเหลืองานภายใน วพอ.")</f>
        <v>ช่วยเหลืองานภายใน วพอ.</v>
      </c>
      <c r="H62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4" s="3" t="str">
        <f>IFERROR(__xludf.DUMMYFUNCTION("""COMPUTED_VALUE"""),"วพอ.พอ.")</f>
        <v>วพอ.พอ.</v>
      </c>
      <c r="J624" s="12">
        <f>IFERROR(__xludf.DUMMYFUNCTION("""COMPUTED_VALUE"""),46196.0)</f>
        <v>46196</v>
      </c>
      <c r="K624" s="3" t="str">
        <f>IFERROR(__xludf.DUMMYFUNCTION("""COMPUTED_VALUE"""),"1700-2100")</f>
        <v>1700-2100</v>
      </c>
      <c r="L624" s="3">
        <f>IFERROR(__xludf.DUMMYFUNCTION("""COMPUTED_VALUE"""),4.0)</f>
        <v>4</v>
      </c>
      <c r="M624" s="3" t="str">
        <f>IFERROR(__xludf.DUMMYFUNCTION("""COMPUTED_VALUE"""),"ร.อ.อนุชิต ทำจะดี")</f>
        <v>ร.อ.อนุชิต ทำจะดี</v>
      </c>
      <c r="N624" s="14" t="str">
        <f>IFERROR(__xludf.DUMMYFUNCTION("""COMPUTED_VALUE"""),"https://lh5.googleusercontent.com/d/1x-MhyD041LBY2fThjRvFvaQrqvibnLDA")</f>
        <v>https://lh5.googleusercontent.com/d/1x-MhyD041LBY2fThjRvFvaQrqvibnLDA</v>
      </c>
      <c r="O624" s="14" t="str">
        <f>IFERROR(__xludf.DUMMYFUNCTION("""COMPUTED_VALUE"""),"https://drive.google.com/file/d/12rsNOZYmUvfjmGqMjwIycgO8uZr576f3/view?usp=drivesdk")</f>
        <v>https://drive.google.com/file/d/12rsNOZYmUvfjmGqMjwIycgO8uZr576f3/view?usp=drivesdk</v>
      </c>
    </row>
    <row r="625">
      <c r="A625" s="3">
        <f>IFERROR(__xludf.DUMMYFUNCTION("""COMPUTED_VALUE"""),2608.0)</f>
        <v>2608</v>
      </c>
      <c r="B625" s="11">
        <f>IFERROR(__xludf.DUMMYFUNCTION("""COMPUTED_VALUE"""),46175.328176550924)</f>
        <v>46175.32818</v>
      </c>
      <c r="C625" s="3" t="str">
        <f>IFERROR(__xludf.DUMMYFUNCTION("""COMPUTED_VALUE"""),"ชั้นปีที่ 3")</f>
        <v>ชั้นปีที่ 3</v>
      </c>
      <c r="D625" s="3" t="str">
        <f>IFERROR(__xludf.DUMMYFUNCTION("""COMPUTED_VALUE"""),"6603784")</f>
        <v>6603784</v>
      </c>
      <c r="E625" s="3" t="str">
        <f>IFERROR(__xludf.DUMMYFUNCTION("""COMPUTED_VALUE"""),"30")</f>
        <v>30</v>
      </c>
      <c r="F625" s="3" t="str">
        <f>IFERROR(__xludf.DUMMYFUNCTION("""COMPUTED_VALUE"""),"นพอ.เบญจมาภรณ์ เกตุมณี")</f>
        <v>นพอ.เบญจมาภรณ์ เกตุมณี</v>
      </c>
      <c r="G625" s="3" t="str">
        <f>IFERROR(__xludf.DUMMYFUNCTION("""COMPUTED_VALUE"""),"ช่วยเหลืองานภายใน วพอ.")</f>
        <v>ช่วยเหลืองานภายใน วพอ.</v>
      </c>
      <c r="H625" s="3" t="str">
        <f>IFERROR(__xludf.DUMMYFUNCTION("""COMPUTED_VALUE"""),"ช่วยเหลือจัดห้องป.มดท.")</f>
        <v>ช่วยเหลือจัดห้องป.มดท.</v>
      </c>
      <c r="I625" s="3" t="str">
        <f>IFERROR(__xludf.DUMMYFUNCTION("""COMPUTED_VALUE"""),"ห้องป.มทด. อาคารศูนย์การเรียนรู้")</f>
        <v>ห้องป.มทด. อาคารศูนย์การเรียนรู้</v>
      </c>
      <c r="J625" s="12">
        <f>IFERROR(__xludf.DUMMYFUNCTION("""COMPUTED_VALUE"""),46094.0)</f>
        <v>46094</v>
      </c>
      <c r="K625" s="3" t="str">
        <f>IFERROR(__xludf.DUMMYFUNCTION("""COMPUTED_VALUE"""),"1100-1200")</f>
        <v>1100-1200</v>
      </c>
      <c r="L625" s="3">
        <f>IFERROR(__xludf.DUMMYFUNCTION("""COMPUTED_VALUE"""),1.0)</f>
        <v>1</v>
      </c>
      <c r="M625" s="3" t="str">
        <f>IFERROR(__xludf.DUMMYFUNCTION("""COMPUTED_VALUE"""),"น.ต.หญิงจิรปรียา โรจนเกียรติปรีดา")</f>
        <v>น.ต.หญิงจิรปรียา โรจนเกียรติปรีดา</v>
      </c>
      <c r="N625" s="14" t="str">
        <f>IFERROR(__xludf.DUMMYFUNCTION("""COMPUTED_VALUE"""),"https://lh5.googleusercontent.com/d/1I1_3k3tjf82nj3txR-zXaAtVemq5YiOh")</f>
        <v>https://lh5.googleusercontent.com/d/1I1_3k3tjf82nj3txR-zXaAtVemq5YiOh</v>
      </c>
      <c r="O625" s="14" t="str">
        <f>IFERROR(__xludf.DUMMYFUNCTION("""COMPUTED_VALUE"""),"https://drive.google.com/file/d/1HVhUr-HmM9vKIIYbrKyNcbfgAxiUZ57k/view?usp=drivesdk")</f>
        <v>https://drive.google.com/file/d/1HVhUr-HmM9vKIIYbrKyNcbfgAxiUZ57k/view?usp=drivesdk</v>
      </c>
    </row>
    <row r="626">
      <c r="A626" s="3">
        <f>IFERROR(__xludf.DUMMYFUNCTION("""COMPUTED_VALUE"""),2609.0)</f>
        <v>2609</v>
      </c>
      <c r="B626" s="11">
        <f>IFERROR(__xludf.DUMMYFUNCTION("""COMPUTED_VALUE"""),46175.328534155095)</f>
        <v>46175.32853</v>
      </c>
      <c r="C626" s="3" t="str">
        <f>IFERROR(__xludf.DUMMYFUNCTION("""COMPUTED_VALUE"""),"ชั้นปีที่ 3")</f>
        <v>ชั้นปีที่ 3</v>
      </c>
      <c r="D626" s="3" t="str">
        <f>IFERROR(__xludf.DUMMYFUNCTION("""COMPUTED_VALUE"""),"6603814")</f>
        <v>6603814</v>
      </c>
      <c r="E626" s="3" t="str">
        <f>IFERROR(__xludf.DUMMYFUNCTION("""COMPUTED_VALUE"""),"60")</f>
        <v>60</v>
      </c>
      <c r="F626" s="3" t="str">
        <f>IFERROR(__xludf.DUMMYFUNCTION("""COMPUTED_VALUE"""),"นพอ.อนัญญา สิงทิศ")</f>
        <v>นพอ.อนัญญา สิงทิศ</v>
      </c>
      <c r="G626" s="3" t="str">
        <f>IFERROR(__xludf.DUMMYFUNCTION("""COMPUTED_VALUE"""),"ช่วยเหลืองานภายใน วพอ.")</f>
        <v>ช่วยเหลืองานภายใน วพอ.</v>
      </c>
      <c r="H62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6" s="3" t="str">
        <f>IFERROR(__xludf.DUMMYFUNCTION("""COMPUTED_VALUE"""),"วพอ.พอ.")</f>
        <v>วพอ.พอ.</v>
      </c>
      <c r="J626" s="12">
        <f>IFERROR(__xludf.DUMMYFUNCTION("""COMPUTED_VALUE"""),46138.0)</f>
        <v>46138</v>
      </c>
      <c r="K626" s="3" t="str">
        <f>IFERROR(__xludf.DUMMYFUNCTION("""COMPUTED_VALUE"""),"1500-2100")</f>
        <v>1500-2100</v>
      </c>
      <c r="L626" s="3">
        <f>IFERROR(__xludf.DUMMYFUNCTION("""COMPUTED_VALUE"""),6.0)</f>
        <v>6</v>
      </c>
      <c r="M626" s="3" t="str">
        <f>IFERROR(__xludf.DUMMYFUNCTION("""COMPUTED_VALUE"""),"ร.อ.อนุชิต ทำจะดี")</f>
        <v>ร.อ.อนุชิต ทำจะดี</v>
      </c>
      <c r="N626" s="14" t="str">
        <f>IFERROR(__xludf.DUMMYFUNCTION("""COMPUTED_VALUE"""),"https://lh5.googleusercontent.com/d/1YZa4DzF_W7K7UOvdRjmdzmMyI5JvMOGS")</f>
        <v>https://lh5.googleusercontent.com/d/1YZa4DzF_W7K7UOvdRjmdzmMyI5JvMOGS</v>
      </c>
      <c r="O626" s="14" t="str">
        <f>IFERROR(__xludf.DUMMYFUNCTION("""COMPUTED_VALUE"""),"https://drive.google.com/file/d/1bwM3XVV7S28ryrlz64LiwIccYbjTDrlA/view?usp=drivesdk")</f>
        <v>https://drive.google.com/file/d/1bwM3XVV7S28ryrlz64LiwIccYbjTDrlA/view?usp=drivesdk</v>
      </c>
    </row>
    <row r="627">
      <c r="A627" s="3">
        <f>IFERROR(__xludf.DUMMYFUNCTION("""COMPUTED_VALUE"""),2610.0)</f>
        <v>2610</v>
      </c>
      <c r="B627" s="11">
        <f>IFERROR(__xludf.DUMMYFUNCTION("""COMPUTED_VALUE"""),46175.32922724537)</f>
        <v>46175.32923</v>
      </c>
      <c r="C627" s="3" t="str">
        <f>IFERROR(__xludf.DUMMYFUNCTION("""COMPUTED_VALUE"""),"ชั้นปีที่ 3")</f>
        <v>ชั้นปีที่ 3</v>
      </c>
      <c r="D627" s="3" t="str">
        <f>IFERROR(__xludf.DUMMYFUNCTION("""COMPUTED_VALUE"""),"6603790")</f>
        <v>6603790</v>
      </c>
      <c r="E627" s="3" t="str">
        <f>IFERROR(__xludf.DUMMYFUNCTION("""COMPUTED_VALUE"""),"36")</f>
        <v>36</v>
      </c>
      <c r="F627" s="3" t="str">
        <f>IFERROR(__xludf.DUMMYFUNCTION("""COMPUTED_VALUE"""),"นพอ.ปิยะนันท์ ตุนก")</f>
        <v>นพอ.ปิยะนันท์ ตุนก</v>
      </c>
      <c r="G627" s="3" t="str">
        <f>IFERROR(__xludf.DUMMYFUNCTION("""COMPUTED_VALUE"""),"ช่วยเหลืองานภายใน วพอ.")</f>
        <v>ช่วยเหลืองานภายใน วพอ.</v>
      </c>
      <c r="H62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7" s="3" t="str">
        <f>IFERROR(__xludf.DUMMYFUNCTION("""COMPUTED_VALUE"""),"วพอ.พอ.")</f>
        <v>วพอ.พอ.</v>
      </c>
      <c r="J627" s="12">
        <f>IFERROR(__xludf.DUMMYFUNCTION("""COMPUTED_VALUE"""),46133.0)</f>
        <v>46133</v>
      </c>
      <c r="K627" s="3" t="str">
        <f>IFERROR(__xludf.DUMMYFUNCTION("""COMPUTED_VALUE"""),"1700-2100")</f>
        <v>1700-2100</v>
      </c>
      <c r="L627" s="3">
        <f>IFERROR(__xludf.DUMMYFUNCTION("""COMPUTED_VALUE"""),4.0)</f>
        <v>4</v>
      </c>
      <c r="M627" s="3" t="str">
        <f>IFERROR(__xludf.DUMMYFUNCTION("""COMPUTED_VALUE"""),"ร.อ.อนุชิต ทำจะดี")</f>
        <v>ร.อ.อนุชิต ทำจะดี</v>
      </c>
      <c r="N627" s="14" t="str">
        <f>IFERROR(__xludf.DUMMYFUNCTION("""COMPUTED_VALUE"""),"https://lh5.googleusercontent.com/d/10VzmPn6w-Fw6Ne2I4gHNDUf1BjpwqMdI")</f>
        <v>https://lh5.googleusercontent.com/d/10VzmPn6w-Fw6Ne2I4gHNDUf1BjpwqMdI</v>
      </c>
      <c r="O627" s="14" t="str">
        <f>IFERROR(__xludf.DUMMYFUNCTION("""COMPUTED_VALUE"""),"https://drive.google.com/file/d/1Aw9VRkJ_kkE04_fsaiJyKMwFiu04DKE2/view?usp=drivesdk")</f>
        <v>https://drive.google.com/file/d/1Aw9VRkJ_kkE04_fsaiJyKMwFiu04DKE2/view?usp=drivesdk</v>
      </c>
    </row>
    <row r="628">
      <c r="A628" s="3">
        <f>IFERROR(__xludf.DUMMYFUNCTION("""COMPUTED_VALUE"""),2611.0)</f>
        <v>2611</v>
      </c>
      <c r="B628" s="11">
        <f>IFERROR(__xludf.DUMMYFUNCTION("""COMPUTED_VALUE"""),46175.329678842594)</f>
        <v>46175.32968</v>
      </c>
      <c r="C628" s="3" t="str">
        <f>IFERROR(__xludf.DUMMYFUNCTION("""COMPUTED_VALUE"""),"ชั้นปีที่ 3")</f>
        <v>ชั้นปีที่ 3</v>
      </c>
      <c r="D628" s="3" t="str">
        <f>IFERROR(__xludf.DUMMYFUNCTION("""COMPUTED_VALUE"""),"6603787")</f>
        <v>6603787</v>
      </c>
      <c r="E628" s="3" t="str">
        <f>IFERROR(__xludf.DUMMYFUNCTION("""COMPUTED_VALUE"""),"33")</f>
        <v>33</v>
      </c>
      <c r="F628" s="3" t="str">
        <f>IFERROR(__xludf.DUMMYFUNCTION("""COMPUTED_VALUE"""),"นพอ.ปรียาภรณ์ ทองอำพันธ์")</f>
        <v>นพอ.ปรียาภรณ์ ทองอำพันธ์</v>
      </c>
      <c r="G628" s="3" t="str">
        <f>IFERROR(__xludf.DUMMYFUNCTION("""COMPUTED_VALUE"""),"ช่วยเหลืองานภายใน วพอ.")</f>
        <v>ช่วยเหลืองานภายใน วพอ.</v>
      </c>
      <c r="H628" s="3" t="str">
        <f>IFERROR(__xludf.DUMMYFUNCTION("""COMPUTED_VALUE"""),"จัดโต๊ะสอบ นพอ. 69")</f>
        <v>จัดโต๊ะสอบ นพอ. 69</v>
      </c>
      <c r="I628" s="3" t="str">
        <f>IFERROR(__xludf.DUMMYFUNCTION("""COMPUTED_VALUE"""),"ห้องประชุมชั้น 4 สนง.")</f>
        <v>ห้องประชุมชั้น 4 สนง.</v>
      </c>
      <c r="J628" s="12">
        <f>IFERROR(__xludf.DUMMYFUNCTION("""COMPUTED_VALUE"""),46143.0)</f>
        <v>46143</v>
      </c>
      <c r="K628" s="3" t="str">
        <f>IFERROR(__xludf.DUMMYFUNCTION("""COMPUTED_VALUE"""),"0800-1200")</f>
        <v>0800-1200</v>
      </c>
      <c r="L628" s="3">
        <f>IFERROR(__xludf.DUMMYFUNCTION("""COMPUTED_VALUE"""),4.0)</f>
        <v>4</v>
      </c>
      <c r="M628" s="3" t="str">
        <f>IFERROR(__xludf.DUMMYFUNCTION("""COMPUTED_VALUE"""),"ร.อ.ศักดิ์ชัย บุญประสิทธิ์")</f>
        <v>ร.อ.ศักดิ์ชัย บุญประสิทธิ์</v>
      </c>
      <c r="N628" s="14" t="str">
        <f>IFERROR(__xludf.DUMMYFUNCTION("""COMPUTED_VALUE"""),"https://lh5.googleusercontent.com/d/1GmGToX6kiH0TttXyWgb6eVyZMKetIaKv")</f>
        <v>https://lh5.googleusercontent.com/d/1GmGToX6kiH0TttXyWgb6eVyZMKetIaKv</v>
      </c>
      <c r="O628" s="14" t="str">
        <f>IFERROR(__xludf.DUMMYFUNCTION("""COMPUTED_VALUE"""),"https://drive.google.com/file/d/1ZzyJwLHDubK4ra8y1_R-IrRadUyb945_/view?usp=drivesdk")</f>
        <v>https://drive.google.com/file/d/1ZzyJwLHDubK4ra8y1_R-IrRadUyb945_/view?usp=drivesdk</v>
      </c>
    </row>
    <row r="629">
      <c r="A629" s="3">
        <f>IFERROR(__xludf.DUMMYFUNCTION("""COMPUTED_VALUE"""),2612.0)</f>
        <v>2612</v>
      </c>
      <c r="B629" s="11">
        <f>IFERROR(__xludf.DUMMYFUNCTION("""COMPUTED_VALUE"""),46175.32975802083)</f>
        <v>46175.32976</v>
      </c>
      <c r="C629" s="3" t="str">
        <f>IFERROR(__xludf.DUMMYFUNCTION("""COMPUTED_VALUE"""),"ชั้นปีที่ 3")</f>
        <v>ชั้นปีที่ 3</v>
      </c>
      <c r="D629" s="3" t="str">
        <f>IFERROR(__xludf.DUMMYFUNCTION("""COMPUTED_VALUE"""),"6603814")</f>
        <v>6603814</v>
      </c>
      <c r="E629" s="3" t="str">
        <f>IFERROR(__xludf.DUMMYFUNCTION("""COMPUTED_VALUE"""),"60")</f>
        <v>60</v>
      </c>
      <c r="F629" s="3" t="str">
        <f>IFERROR(__xludf.DUMMYFUNCTION("""COMPUTED_VALUE"""),"นพอ.อนัญญา สิงทิศ")</f>
        <v>นพอ.อนัญญา สิงทิศ</v>
      </c>
      <c r="G629" s="3" t="str">
        <f>IFERROR(__xludf.DUMMYFUNCTION("""COMPUTED_VALUE"""),"ช่วยเหลืองานภายใน วพอ.")</f>
        <v>ช่วยเหลืองานภายใน วพอ.</v>
      </c>
      <c r="H629" s="3" t="str">
        <f>IFERROR(__xludf.DUMMYFUNCTION("""COMPUTED_VALUE"""),"งานพิธีมอบหมวกพยาบาลวิชาชีพ ปีการศึกษา 2568")</f>
        <v>งานพิธีมอบหมวกพยาบาลวิชาชีพ ปีการศึกษา 2568</v>
      </c>
      <c r="I629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629" s="12">
        <f>IFERROR(__xludf.DUMMYFUNCTION("""COMPUTED_VALUE"""),46139.0)</f>
        <v>46139</v>
      </c>
      <c r="K629" s="3" t="str">
        <f>IFERROR(__xludf.DUMMYFUNCTION("""COMPUTED_VALUE"""),"1700-2100")</f>
        <v>1700-2100</v>
      </c>
      <c r="L629" s="3">
        <f>IFERROR(__xludf.DUMMYFUNCTION("""COMPUTED_VALUE"""),4.0)</f>
        <v>4</v>
      </c>
      <c r="M629" s="3" t="str">
        <f>IFERROR(__xludf.DUMMYFUNCTION("""COMPUTED_VALUE"""),"ร.อ.อนุชิต ทำจะดี")</f>
        <v>ร.อ.อนุชิต ทำจะดี</v>
      </c>
      <c r="N629" s="14" t="str">
        <f>IFERROR(__xludf.DUMMYFUNCTION("""COMPUTED_VALUE"""),"https://lh5.googleusercontent.com/d/1CM31RjiYxEQ0FN9X-2vHDOV9z8k2-5ml")</f>
        <v>https://lh5.googleusercontent.com/d/1CM31RjiYxEQ0FN9X-2vHDOV9z8k2-5ml</v>
      </c>
      <c r="O629" s="3"/>
    </row>
    <row r="630">
      <c r="A630" s="3">
        <f>IFERROR(__xludf.DUMMYFUNCTION("""COMPUTED_VALUE"""),2613.0)</f>
        <v>2613</v>
      </c>
      <c r="B630" s="11">
        <f>IFERROR(__xludf.DUMMYFUNCTION("""COMPUTED_VALUE"""),46175.33003962963)</f>
        <v>46175.33004</v>
      </c>
      <c r="C630" s="3" t="str">
        <f>IFERROR(__xludf.DUMMYFUNCTION("""COMPUTED_VALUE"""),"ชั้นปีที่ 3")</f>
        <v>ชั้นปีที่ 3</v>
      </c>
      <c r="D630" s="3" t="str">
        <f>IFERROR(__xludf.DUMMYFUNCTION("""COMPUTED_VALUE"""),"6603792")</f>
        <v>6603792</v>
      </c>
      <c r="E630" s="3" t="str">
        <f>IFERROR(__xludf.DUMMYFUNCTION("""COMPUTED_VALUE"""),"38")</f>
        <v>38</v>
      </c>
      <c r="F630" s="3" t="str">
        <f>IFERROR(__xludf.DUMMYFUNCTION("""COMPUTED_VALUE"""),"นพอ.พลอยไพลิน สุทธหลวง")</f>
        <v>นพอ.พลอยไพลิน สุทธหลวง</v>
      </c>
      <c r="G630" s="3" t="str">
        <f>IFERROR(__xludf.DUMMYFUNCTION("""COMPUTED_VALUE"""),"ช่วยเหลืองานภายใน วพอ.")</f>
        <v>ช่วยเหลืองานภายใน วพอ.</v>
      </c>
      <c r="H630" s="3" t="str">
        <f>IFERROR(__xludf.DUMMYFUNCTION("""COMPUTED_VALUE"""),"ต้อนรับคณะดูงานจาดวิทยาลัยพยาบาลกองทัพเรือ")</f>
        <v>ต้อนรับคณะดูงานจาดวิทยาลัยพยาบาลกองทัพเรือ</v>
      </c>
      <c r="I630" s="3" t="str">
        <f>IFERROR(__xludf.DUMMYFUNCTION("""COMPUTED_VALUE"""),"วพอ.พอ")</f>
        <v>วพอ.พอ</v>
      </c>
      <c r="J630" s="12">
        <f>IFERROR(__xludf.DUMMYFUNCTION("""COMPUTED_VALUE"""),46064.0)</f>
        <v>46064</v>
      </c>
      <c r="K630" s="3" t="str">
        <f>IFERROR(__xludf.DUMMYFUNCTION("""COMPUTED_VALUE"""),"0800-1200")</f>
        <v>0800-1200</v>
      </c>
      <c r="L630" s="3">
        <f>IFERROR(__xludf.DUMMYFUNCTION("""COMPUTED_VALUE"""),4.0)</f>
        <v>4</v>
      </c>
      <c r="M630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630" s="14" t="str">
        <f>IFERROR(__xludf.DUMMYFUNCTION("""COMPUTED_VALUE"""),"https://lh5.googleusercontent.com/d/1TE4FFmwDpUGrGGxCPsoC6zjQYH3q7Ce9")</f>
        <v>https://lh5.googleusercontent.com/d/1TE4FFmwDpUGrGGxCPsoC6zjQYH3q7Ce9</v>
      </c>
      <c r="O630" s="14" t="str">
        <f>IFERROR(__xludf.DUMMYFUNCTION("""COMPUTED_VALUE"""),"https://drive.google.com/file/d/114rEjPUTm5IssEGNCDwJXGKIWWTvxKQa/view?usp=drivesdk")</f>
        <v>https://drive.google.com/file/d/114rEjPUTm5IssEGNCDwJXGKIWWTvxKQa/view?usp=drivesdk</v>
      </c>
    </row>
    <row r="631">
      <c r="A631" s="3">
        <f>IFERROR(__xludf.DUMMYFUNCTION("""COMPUTED_VALUE"""),2614.0)</f>
        <v>2614</v>
      </c>
      <c r="B631" s="11">
        <f>IFERROR(__xludf.DUMMYFUNCTION("""COMPUTED_VALUE"""),46175.33071841435)</f>
        <v>46175.33072</v>
      </c>
      <c r="C631" s="3" t="str">
        <f>IFERROR(__xludf.DUMMYFUNCTION("""COMPUTED_VALUE"""),"ชั้นปีที่ 3")</f>
        <v>ชั้นปีที่ 3</v>
      </c>
      <c r="D631" s="3" t="str">
        <f>IFERROR(__xludf.DUMMYFUNCTION("""COMPUTED_VALUE"""),"6603790")</f>
        <v>6603790</v>
      </c>
      <c r="E631" s="3" t="str">
        <f>IFERROR(__xludf.DUMMYFUNCTION("""COMPUTED_VALUE"""),"36")</f>
        <v>36</v>
      </c>
      <c r="F631" s="3" t="str">
        <f>IFERROR(__xludf.DUMMYFUNCTION("""COMPUTED_VALUE"""),"นพอ.ปิยะนันท์ ตุนก")</f>
        <v>นพอ.ปิยะนันท์ ตุนก</v>
      </c>
      <c r="G631" s="3" t="str">
        <f>IFERROR(__xludf.DUMMYFUNCTION("""COMPUTED_VALUE"""),"ช่วยเหลืองานภายใน วพอ.")</f>
        <v>ช่วยเหลืองานภายใน วพอ.</v>
      </c>
      <c r="H63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31" s="3" t="str">
        <f>IFERROR(__xludf.DUMMYFUNCTION("""COMPUTED_VALUE"""),"วพอ.พอ.")</f>
        <v>วพอ.พอ.</v>
      </c>
      <c r="J631" s="12">
        <f>IFERROR(__xludf.DUMMYFUNCTION("""COMPUTED_VALUE"""),46195.0)</f>
        <v>46195</v>
      </c>
      <c r="K631" s="3" t="str">
        <f>IFERROR(__xludf.DUMMYFUNCTION("""COMPUTED_VALUE"""),"1700-2100")</f>
        <v>1700-2100</v>
      </c>
      <c r="L631" s="3">
        <f>IFERROR(__xludf.DUMMYFUNCTION("""COMPUTED_VALUE"""),4.0)</f>
        <v>4</v>
      </c>
      <c r="M631" s="3" t="str">
        <f>IFERROR(__xludf.DUMMYFUNCTION("""COMPUTED_VALUE"""),"ร.อ.อนุชิต ทำจะดี")</f>
        <v>ร.อ.อนุชิต ทำจะดี</v>
      </c>
      <c r="N631" s="14" t="str">
        <f>IFERROR(__xludf.DUMMYFUNCTION("""COMPUTED_VALUE"""),"https://lh5.googleusercontent.com/d/1AIQUPRymncxw7vDzZz4oe_2xS3LIE3Ji")</f>
        <v>https://lh5.googleusercontent.com/d/1AIQUPRymncxw7vDzZz4oe_2xS3LIE3Ji</v>
      </c>
      <c r="O631" s="3"/>
    </row>
    <row r="632">
      <c r="A632" s="3">
        <f>IFERROR(__xludf.DUMMYFUNCTION("""COMPUTED_VALUE"""),2615.0)</f>
        <v>2615</v>
      </c>
      <c r="B632" s="11">
        <f>IFERROR(__xludf.DUMMYFUNCTION("""COMPUTED_VALUE"""),46175.3322283912)</f>
        <v>46175.33223</v>
      </c>
      <c r="C632" s="3" t="str">
        <f>IFERROR(__xludf.DUMMYFUNCTION("""COMPUTED_VALUE"""),"ชั้นปีที่ 3")</f>
        <v>ชั้นปีที่ 3</v>
      </c>
      <c r="D632" s="3" t="str">
        <f>IFERROR(__xludf.DUMMYFUNCTION("""COMPUTED_VALUE"""),"6603790")</f>
        <v>6603790</v>
      </c>
      <c r="E632" s="3" t="str">
        <f>IFERROR(__xludf.DUMMYFUNCTION("""COMPUTED_VALUE"""),"36")</f>
        <v>36</v>
      </c>
      <c r="F632" s="3" t="str">
        <f>IFERROR(__xludf.DUMMYFUNCTION("""COMPUTED_VALUE"""),"นพอ.ปิยะนันท์ ตุนก")</f>
        <v>นพอ.ปิยะนันท์ ตุนก</v>
      </c>
      <c r="G632" s="3" t="str">
        <f>IFERROR(__xludf.DUMMYFUNCTION("""COMPUTED_VALUE"""),"ช่วยเหลืองานภายใน วพอ.")</f>
        <v>ช่วยเหลืองานภายใน วพอ.</v>
      </c>
      <c r="H63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32" s="3" t="str">
        <f>IFERROR(__xludf.DUMMYFUNCTION("""COMPUTED_VALUE"""),"วพอ.พอ.")</f>
        <v>วพอ.พอ.</v>
      </c>
      <c r="J632" s="12">
        <f>IFERROR(__xludf.DUMMYFUNCTION("""COMPUTED_VALUE"""),46135.0)</f>
        <v>46135</v>
      </c>
      <c r="K632" s="3" t="str">
        <f>IFERROR(__xludf.DUMMYFUNCTION("""COMPUTED_VALUE"""),"1700-2100")</f>
        <v>1700-2100</v>
      </c>
      <c r="L632" s="3">
        <f>IFERROR(__xludf.DUMMYFUNCTION("""COMPUTED_VALUE"""),4.0)</f>
        <v>4</v>
      </c>
      <c r="M632" s="3" t="str">
        <f>IFERROR(__xludf.DUMMYFUNCTION("""COMPUTED_VALUE"""),"ร.อ.อนุชิต ทำจะดี")</f>
        <v>ร.อ.อนุชิต ทำจะดี</v>
      </c>
      <c r="N632" s="14" t="str">
        <f>IFERROR(__xludf.DUMMYFUNCTION("""COMPUTED_VALUE"""),"https://lh5.googleusercontent.com/d/1OjwMUUdZMmvuMn0i0JM0fGVTKfso8UFi")</f>
        <v>https://lh5.googleusercontent.com/d/1OjwMUUdZMmvuMn0i0JM0fGVTKfso8UFi</v>
      </c>
      <c r="O632" s="14" t="str">
        <f>IFERROR(__xludf.DUMMYFUNCTION("""COMPUTED_VALUE"""),"https://drive.google.com/file/d/12SbUl1-JZ09o5_qy_eDsi44AwSH3uWLA/view?usp=drivesdk")</f>
        <v>https://drive.google.com/file/d/12SbUl1-JZ09o5_qy_eDsi44AwSH3uWLA/view?usp=drivesdk</v>
      </c>
    </row>
    <row r="633">
      <c r="A633" s="3">
        <f>IFERROR(__xludf.DUMMYFUNCTION("""COMPUTED_VALUE"""),2616.0)</f>
        <v>2616</v>
      </c>
      <c r="B633" s="11">
        <f>IFERROR(__xludf.DUMMYFUNCTION("""COMPUTED_VALUE"""),46175.333926284715)</f>
        <v>46175.33393</v>
      </c>
      <c r="C633" s="3" t="str">
        <f>IFERROR(__xludf.DUMMYFUNCTION("""COMPUTED_VALUE"""),"ชั้นปีที่ 3")</f>
        <v>ชั้นปีที่ 3</v>
      </c>
      <c r="D633" s="3" t="str">
        <f>IFERROR(__xludf.DUMMYFUNCTION("""COMPUTED_VALUE"""),"6603795")</f>
        <v>6603795</v>
      </c>
      <c r="E633" s="3" t="str">
        <f>IFERROR(__xludf.DUMMYFUNCTION("""COMPUTED_VALUE"""),"41")</f>
        <v>41</v>
      </c>
      <c r="F633" s="3" t="str">
        <f>IFERROR(__xludf.DUMMYFUNCTION("""COMPUTED_VALUE"""),"นพอ.พิทยาภรณ์ คำลือ")</f>
        <v>นพอ.พิทยาภรณ์ คำลือ</v>
      </c>
      <c r="G633" s="3" t="str">
        <f>IFERROR(__xludf.DUMMYFUNCTION("""COMPUTED_VALUE"""),"ช่วยเหลืองานภายใน วพอ.")</f>
        <v>ช่วยเหลืองานภายใน วพอ.</v>
      </c>
      <c r="H633" s="3" t="str">
        <f>IFERROR(__xludf.DUMMYFUNCTION("""COMPUTED_VALUE"""),"รับน้อง นพอ.68")</f>
        <v>รับน้อง นพอ.68</v>
      </c>
      <c r="I633" s="3" t="str">
        <f>IFERROR(__xludf.DUMMYFUNCTION("""COMPUTED_VALUE"""),"วพอ.พอ.")</f>
        <v>วพอ.พอ.</v>
      </c>
      <c r="J633" s="12">
        <f>IFERROR(__xludf.DUMMYFUNCTION("""COMPUTED_VALUE"""),45859.0)</f>
        <v>45859</v>
      </c>
      <c r="K633" s="3" t="str">
        <f>IFERROR(__xludf.DUMMYFUNCTION("""COMPUTED_VALUE"""),"0600-1400")</f>
        <v>0600-1400</v>
      </c>
      <c r="L633" s="3">
        <f>IFERROR(__xludf.DUMMYFUNCTION("""COMPUTED_VALUE"""),8.0)</f>
        <v>8</v>
      </c>
      <c r="M633" s="3" t="str">
        <f>IFERROR(__xludf.DUMMYFUNCTION("""COMPUTED_VALUE"""),"น.ต.หญิง ขวัญชนก พ่วงนาคพันธ์")</f>
        <v>น.ต.หญิง ขวัญชนก พ่วงนาคพันธ์</v>
      </c>
      <c r="N633" s="14" t="str">
        <f>IFERROR(__xludf.DUMMYFUNCTION("""COMPUTED_VALUE"""),"https://lh5.googleusercontent.com/d/15EcKAMVi-SLh3T-NVZ0DbXeiVuqXlaBy")</f>
        <v>https://lh5.googleusercontent.com/d/15EcKAMVi-SLh3T-NVZ0DbXeiVuqXlaBy</v>
      </c>
      <c r="O633" s="14" t="str">
        <f>IFERROR(__xludf.DUMMYFUNCTION("""COMPUTED_VALUE"""),"https://drive.google.com/file/d/1I0Zvcq9MSXgVlTjWilDRPu1cfJJxuWCW/view?usp=drivesdk")</f>
        <v>https://drive.google.com/file/d/1I0Zvcq9MSXgVlTjWilDRPu1cfJJxuWCW/view?usp=drivesdk</v>
      </c>
    </row>
    <row r="634">
      <c r="A634" s="3">
        <f>IFERROR(__xludf.DUMMYFUNCTION("""COMPUTED_VALUE"""),2617.0)</f>
        <v>2617</v>
      </c>
      <c r="B634" s="11">
        <f>IFERROR(__xludf.DUMMYFUNCTION("""COMPUTED_VALUE"""),46175.33887179398)</f>
        <v>46175.33887</v>
      </c>
      <c r="C634" s="3" t="str">
        <f>IFERROR(__xludf.DUMMYFUNCTION("""COMPUTED_VALUE"""),"ชั้นปีที่ 3")</f>
        <v>ชั้นปีที่ 3</v>
      </c>
      <c r="D634" s="3" t="str">
        <f>IFERROR(__xludf.DUMMYFUNCTION("""COMPUTED_VALUE"""),"6603782")</f>
        <v>6603782</v>
      </c>
      <c r="E634" s="3" t="str">
        <f>IFERROR(__xludf.DUMMYFUNCTION("""COMPUTED_VALUE"""),"28")</f>
        <v>28</v>
      </c>
      <c r="F634" s="3" t="str">
        <f>IFERROR(__xludf.DUMMYFUNCTION("""COMPUTED_VALUE"""),"นพอ.เนตรชนก ชูหนู")</f>
        <v>นพอ.เนตรชนก ชูหนู</v>
      </c>
      <c r="G634" s="3" t="str">
        <f>IFERROR(__xludf.DUMMYFUNCTION("""COMPUTED_VALUE"""),"ช่วยเหลืองานภายใน วพอ.")</f>
        <v>ช่วยเหลืองานภายใน วพอ.</v>
      </c>
      <c r="H634" s="3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634" s="3" t="str">
        <f>IFERROR(__xludf.DUMMYFUNCTION("""COMPUTED_VALUE"""),"วพอ.พอ.")</f>
        <v>วพอ.พอ.</v>
      </c>
      <c r="J634" s="12">
        <f>IFERROR(__xludf.DUMMYFUNCTION("""COMPUTED_VALUE"""),46138.0)</f>
        <v>46138</v>
      </c>
      <c r="K634" s="3" t="str">
        <f>IFERROR(__xludf.DUMMYFUNCTION("""COMPUTED_VALUE"""),"1500-2100")</f>
        <v>1500-2100</v>
      </c>
      <c r="L634" s="3">
        <f>IFERROR(__xludf.DUMMYFUNCTION("""COMPUTED_VALUE"""),6.0)</f>
        <v>6</v>
      </c>
      <c r="M634" s="3" t="str">
        <f>IFERROR(__xludf.DUMMYFUNCTION("""COMPUTED_VALUE"""),"ร.อ.อนุชิต ทำจะดี")</f>
        <v>ร.อ.อนุชิต ทำจะดี</v>
      </c>
      <c r="N634" s="14" t="str">
        <f>IFERROR(__xludf.DUMMYFUNCTION("""COMPUTED_VALUE"""),"https://lh5.googleusercontent.com/d/1Gxn37TNKhXKSf4i--OtRm0sDfk5gqOuw")</f>
        <v>https://lh5.googleusercontent.com/d/1Gxn37TNKhXKSf4i--OtRm0sDfk5gqOuw</v>
      </c>
      <c r="O634" s="14" t="str">
        <f>IFERROR(__xludf.DUMMYFUNCTION("""COMPUTED_VALUE"""),"https://drive.google.com/file/d/1NwVJ8kAMQUouDasreE_6RWid1MSeVThg/view?usp=drivesdk")</f>
        <v>https://drive.google.com/file/d/1NwVJ8kAMQUouDasreE_6RWid1MSeVThg/view?usp=drivesdk</v>
      </c>
    </row>
    <row r="635">
      <c r="A635" s="3">
        <f>IFERROR(__xludf.DUMMYFUNCTION("""COMPUTED_VALUE"""),2618.0)</f>
        <v>2618</v>
      </c>
      <c r="B635" s="11">
        <f>IFERROR(__xludf.DUMMYFUNCTION("""COMPUTED_VALUE"""),46175.4161462037)</f>
        <v>46175.41615</v>
      </c>
      <c r="C635" s="3" t="str">
        <f>IFERROR(__xludf.DUMMYFUNCTION("""COMPUTED_VALUE"""),"ชั้นปีที่ 3")</f>
        <v>ชั้นปีที่ 3</v>
      </c>
      <c r="D635" s="3" t="str">
        <f>IFERROR(__xludf.DUMMYFUNCTION("""COMPUTED_VALUE"""),"6603781")</f>
        <v>6603781</v>
      </c>
      <c r="E635" s="3" t="str">
        <f>IFERROR(__xludf.DUMMYFUNCTION("""COMPUTED_VALUE"""),"27")</f>
        <v>27</v>
      </c>
      <c r="F635" s="3" t="str">
        <f>IFERROR(__xludf.DUMMYFUNCTION("""COMPUTED_VALUE"""),"นพอ.เนตรชนก จงไกรจักร")</f>
        <v>นพอ.เนตรชนก จงไกรจักร</v>
      </c>
      <c r="G635" s="3" t="str">
        <f>IFERROR(__xludf.DUMMYFUNCTION("""COMPUTED_VALUE"""),"ช่วยเหลืองานภายใน วพอ.")</f>
        <v>ช่วยเหลืองานภายใน วพอ.</v>
      </c>
      <c r="H635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635" s="3" t="str">
        <f>IFERROR(__xludf.DUMMYFUNCTION("""COMPUTED_VALUE"""),"วพอ.พอ.")</f>
        <v>วพอ.พอ.</v>
      </c>
      <c r="J635" s="12">
        <f>IFERROR(__xludf.DUMMYFUNCTION("""COMPUTED_VALUE"""),46133.0)</f>
        <v>46133</v>
      </c>
      <c r="K635" s="3" t="str">
        <f>IFERROR(__xludf.DUMMYFUNCTION("""COMPUTED_VALUE"""),"1700-2100")</f>
        <v>1700-2100</v>
      </c>
      <c r="L635" s="3">
        <f>IFERROR(__xludf.DUMMYFUNCTION("""COMPUTED_VALUE"""),4.0)</f>
        <v>4</v>
      </c>
      <c r="M635" s="3" t="str">
        <f>IFERROR(__xludf.DUMMYFUNCTION("""COMPUTED_VALUE"""),"ร.อ.อนุชิต ทำจะดี")</f>
        <v>ร.อ.อนุชิต ทำจะดี</v>
      </c>
      <c r="N635" s="14" t="str">
        <f>IFERROR(__xludf.DUMMYFUNCTION("""COMPUTED_VALUE"""),"https://lh5.googleusercontent.com/d/1mYAFvfRquQba1B3IA02duF96_rY4Mjil")</f>
        <v>https://lh5.googleusercontent.com/d/1mYAFvfRquQba1B3IA02duF96_rY4Mjil</v>
      </c>
      <c r="O635" s="14" t="str">
        <f>IFERROR(__xludf.DUMMYFUNCTION("""COMPUTED_VALUE"""),"https://drive.google.com/file/d/1tNZ25iUQ-8KyqHXIWUj6WveqjCTGt36u/view?usp=drivesdk")</f>
        <v>https://drive.google.com/file/d/1tNZ25iUQ-8KyqHXIWUj6WveqjCTGt36u/view?usp=drivesdk</v>
      </c>
    </row>
    <row r="636">
      <c r="A636" s="3">
        <f>IFERROR(__xludf.DUMMYFUNCTION("""COMPUTED_VALUE"""),2619.0)</f>
        <v>2619</v>
      </c>
      <c r="B636" s="11">
        <f>IFERROR(__xludf.DUMMYFUNCTION("""COMPUTED_VALUE"""),46175.41765274305)</f>
        <v>46175.41765</v>
      </c>
      <c r="C636" s="3" t="str">
        <f>IFERROR(__xludf.DUMMYFUNCTION("""COMPUTED_VALUE"""),"ชั้นปีที่ 3")</f>
        <v>ชั้นปีที่ 3</v>
      </c>
      <c r="D636" s="3" t="str">
        <f>IFERROR(__xludf.DUMMYFUNCTION("""COMPUTED_VALUE"""),"6603781")</f>
        <v>6603781</v>
      </c>
      <c r="E636" s="3" t="str">
        <f>IFERROR(__xludf.DUMMYFUNCTION("""COMPUTED_VALUE"""),"27")</f>
        <v>27</v>
      </c>
      <c r="F636" s="3" t="str">
        <f>IFERROR(__xludf.DUMMYFUNCTION("""COMPUTED_VALUE"""),"นพอ.เนตรชนก จงไกรจักร")</f>
        <v>นพอ.เนตรชนก จงไกรจักร</v>
      </c>
      <c r="G636" s="3" t="str">
        <f>IFERROR(__xludf.DUMMYFUNCTION("""COMPUTED_VALUE"""),"ช่วยเหลืองานภายใน วพอ.")</f>
        <v>ช่วยเหลืองานภายใน วพอ.</v>
      </c>
      <c r="H636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636" s="3" t="str">
        <f>IFERROR(__xludf.DUMMYFUNCTION("""COMPUTED_VALUE"""),"วพอ.พอ.")</f>
        <v>วพอ.พอ.</v>
      </c>
      <c r="J636" s="12">
        <f>IFERROR(__xludf.DUMMYFUNCTION("""COMPUTED_VALUE"""),46134.0)</f>
        <v>46134</v>
      </c>
      <c r="K636" s="3" t="str">
        <f>IFERROR(__xludf.DUMMYFUNCTION("""COMPUTED_VALUE"""),"1700-2100")</f>
        <v>1700-2100</v>
      </c>
      <c r="L636" s="3">
        <f>IFERROR(__xludf.DUMMYFUNCTION("""COMPUTED_VALUE"""),4.0)</f>
        <v>4</v>
      </c>
      <c r="M636" s="3" t="str">
        <f>IFERROR(__xludf.DUMMYFUNCTION("""COMPUTED_VALUE"""),"ร.อ.อนุชิต ทำจะดี")</f>
        <v>ร.อ.อนุชิต ทำจะดี</v>
      </c>
      <c r="N636" s="14" t="str">
        <f>IFERROR(__xludf.DUMMYFUNCTION("""COMPUTED_VALUE"""),"https://lh5.googleusercontent.com/d/1T7MskqBYve6Uf1316h9NNjKHixWx3x5d")</f>
        <v>https://lh5.googleusercontent.com/d/1T7MskqBYve6Uf1316h9NNjKHixWx3x5d</v>
      </c>
      <c r="O636" s="14" t="str">
        <f>IFERROR(__xludf.DUMMYFUNCTION("""COMPUTED_VALUE"""),"https://drive.google.com/file/d/1m8l0GlFZ9dHC4-cScMSaHJT7_TbabhzU/view?usp=drivesdk")</f>
        <v>https://drive.google.com/file/d/1m8l0GlFZ9dHC4-cScMSaHJT7_TbabhzU/view?usp=drivesdk</v>
      </c>
    </row>
    <row r="637">
      <c r="A637" s="3">
        <f>IFERROR(__xludf.DUMMYFUNCTION("""COMPUTED_VALUE"""),2620.0)</f>
        <v>2620</v>
      </c>
      <c r="B637" s="11">
        <f>IFERROR(__xludf.DUMMYFUNCTION("""COMPUTED_VALUE"""),46175.41857850694)</f>
        <v>46175.41858</v>
      </c>
      <c r="C637" s="3" t="str">
        <f>IFERROR(__xludf.DUMMYFUNCTION("""COMPUTED_VALUE"""),"ชั้นปีที่ 3")</f>
        <v>ชั้นปีที่ 3</v>
      </c>
      <c r="D637" s="3" t="str">
        <f>IFERROR(__xludf.DUMMYFUNCTION("""COMPUTED_VALUE"""),"6603781")</f>
        <v>6603781</v>
      </c>
      <c r="E637" s="3" t="str">
        <f>IFERROR(__xludf.DUMMYFUNCTION("""COMPUTED_VALUE"""),"27")</f>
        <v>27</v>
      </c>
      <c r="F637" s="3" t="str">
        <f>IFERROR(__xludf.DUMMYFUNCTION("""COMPUTED_VALUE"""),"นพอ.เนตรชนก จงไกรจักร")</f>
        <v>นพอ.เนตรชนก จงไกรจักร</v>
      </c>
      <c r="G637" s="3" t="str">
        <f>IFERROR(__xludf.DUMMYFUNCTION("""COMPUTED_VALUE"""),"ช่วยเหลืองานภายใน วพอ.")</f>
        <v>ช่วยเหลืองานภายใน วพอ.</v>
      </c>
      <c r="H637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637" s="3" t="str">
        <f>IFERROR(__xludf.DUMMYFUNCTION("""COMPUTED_VALUE"""),"วพอ.พอ.")</f>
        <v>วพอ.พอ.</v>
      </c>
      <c r="J637" s="12">
        <f>IFERROR(__xludf.DUMMYFUNCTION("""COMPUTED_VALUE"""),46135.0)</f>
        <v>46135</v>
      </c>
      <c r="K637" s="3" t="str">
        <f>IFERROR(__xludf.DUMMYFUNCTION("""COMPUTED_VALUE"""),"1700-2100")</f>
        <v>1700-2100</v>
      </c>
      <c r="L637" s="3">
        <f>IFERROR(__xludf.DUMMYFUNCTION("""COMPUTED_VALUE"""),4.0)</f>
        <v>4</v>
      </c>
      <c r="M637" s="3" t="str">
        <f>IFERROR(__xludf.DUMMYFUNCTION("""COMPUTED_VALUE"""),"ร.อ.อนุชิต ทำจะดี")</f>
        <v>ร.อ.อนุชิต ทำจะดี</v>
      </c>
      <c r="N637" s="14" t="str">
        <f>IFERROR(__xludf.DUMMYFUNCTION("""COMPUTED_VALUE"""),"https://lh5.googleusercontent.com/d/1dxhJYAPhGIYCZZL7SAdGosgaIsQW3PkU")</f>
        <v>https://lh5.googleusercontent.com/d/1dxhJYAPhGIYCZZL7SAdGosgaIsQW3PkU</v>
      </c>
      <c r="O637" s="14" t="str">
        <f>IFERROR(__xludf.DUMMYFUNCTION("""COMPUTED_VALUE"""),"https://drive.google.com/file/d/1E2E4Chqim9SAbBgHTiFovGrv2v_hmLpL/view?usp=drivesdk")</f>
        <v>https://drive.google.com/file/d/1E2E4Chqim9SAbBgHTiFovGrv2v_hmLpL/view?usp=drivesdk</v>
      </c>
    </row>
    <row r="638">
      <c r="A638" s="3">
        <f>IFERROR(__xludf.DUMMYFUNCTION("""COMPUTED_VALUE"""),2621.0)</f>
        <v>2621</v>
      </c>
      <c r="B638" s="11">
        <f>IFERROR(__xludf.DUMMYFUNCTION("""COMPUTED_VALUE"""),46175.41994)</f>
        <v>46175.41994</v>
      </c>
      <c r="C638" s="3" t="str">
        <f>IFERROR(__xludf.DUMMYFUNCTION("""COMPUTED_VALUE"""),"ชั้นปีที่ 3")</f>
        <v>ชั้นปีที่ 3</v>
      </c>
      <c r="D638" s="3" t="str">
        <f>IFERROR(__xludf.DUMMYFUNCTION("""COMPUTED_VALUE"""),"6603781")</f>
        <v>6603781</v>
      </c>
      <c r="E638" s="3" t="str">
        <f>IFERROR(__xludf.DUMMYFUNCTION("""COMPUTED_VALUE"""),"27")</f>
        <v>27</v>
      </c>
      <c r="F638" s="3" t="str">
        <f>IFERROR(__xludf.DUMMYFUNCTION("""COMPUTED_VALUE"""),"นพอ.เนตรชนก จงไกรจักร")</f>
        <v>นพอ.เนตรชนก จงไกรจักร</v>
      </c>
      <c r="G638" s="3" t="str">
        <f>IFERROR(__xludf.DUMMYFUNCTION("""COMPUTED_VALUE"""),"ช่วยเหลืองานภายใน วพอ.")</f>
        <v>ช่วยเหลืองานภายใน วพอ.</v>
      </c>
      <c r="H638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638" s="3" t="str">
        <f>IFERROR(__xludf.DUMMYFUNCTION("""COMPUTED_VALUE"""),"วพอ.พอ.")</f>
        <v>วพอ.พอ.</v>
      </c>
      <c r="J638" s="12">
        <f>IFERROR(__xludf.DUMMYFUNCTION("""COMPUTED_VALUE"""),46138.0)</f>
        <v>46138</v>
      </c>
      <c r="K638" s="3" t="str">
        <f>IFERROR(__xludf.DUMMYFUNCTION("""COMPUTED_VALUE"""),"1500-2100")</f>
        <v>1500-2100</v>
      </c>
      <c r="L638" s="3">
        <f>IFERROR(__xludf.DUMMYFUNCTION("""COMPUTED_VALUE"""),6.0)</f>
        <v>6</v>
      </c>
      <c r="M638" s="3" t="str">
        <f>IFERROR(__xludf.DUMMYFUNCTION("""COMPUTED_VALUE"""),"ร.อ.อนุชิต ทำจะดี")</f>
        <v>ร.อ.อนุชิต ทำจะดี</v>
      </c>
      <c r="N638" s="14" t="str">
        <f>IFERROR(__xludf.DUMMYFUNCTION("""COMPUTED_VALUE"""),"https://lh5.googleusercontent.com/d/1uFEo22WIHmdEfa-wjyfRUebM0YB7f4iG")</f>
        <v>https://lh5.googleusercontent.com/d/1uFEo22WIHmdEfa-wjyfRUebM0YB7f4iG</v>
      </c>
      <c r="O638" s="14" t="str">
        <f>IFERROR(__xludf.DUMMYFUNCTION("""COMPUTED_VALUE"""),"https://drive.google.com/file/d/1LSn2PrQlq4-nnDZOdycVbGYf1p2CW7C0/view?usp=drivesdk")</f>
        <v>https://drive.google.com/file/d/1LSn2PrQlq4-nnDZOdycVbGYf1p2CW7C0/view?usp=drivesdk</v>
      </c>
    </row>
    <row r="639">
      <c r="A639" s="3">
        <f>IFERROR(__xludf.DUMMYFUNCTION("""COMPUTED_VALUE"""),2622.0)</f>
        <v>2622</v>
      </c>
      <c r="B639" s="11">
        <f>IFERROR(__xludf.DUMMYFUNCTION("""COMPUTED_VALUE"""),46175.42158577546)</f>
        <v>46175.42159</v>
      </c>
      <c r="C639" s="3" t="str">
        <f>IFERROR(__xludf.DUMMYFUNCTION("""COMPUTED_VALUE"""),"ชั้นปีที่ 3")</f>
        <v>ชั้นปีที่ 3</v>
      </c>
      <c r="D639" s="3" t="str">
        <f>IFERROR(__xludf.DUMMYFUNCTION("""COMPUTED_VALUE"""),"6603781")</f>
        <v>6603781</v>
      </c>
      <c r="E639" s="3" t="str">
        <f>IFERROR(__xludf.DUMMYFUNCTION("""COMPUTED_VALUE"""),"27")</f>
        <v>27</v>
      </c>
      <c r="F639" s="3" t="str">
        <f>IFERROR(__xludf.DUMMYFUNCTION("""COMPUTED_VALUE"""),"นพอ.เนตรชนก จงไกรจักร")</f>
        <v>นพอ.เนตรชนก จงไกรจักร</v>
      </c>
      <c r="G639" s="3" t="str">
        <f>IFERROR(__xludf.DUMMYFUNCTION("""COMPUTED_VALUE"""),"ช่วยเหลืองานภายใน วพอ.")</f>
        <v>ช่วยเหลืองานภายใน วพอ.</v>
      </c>
      <c r="H639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639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39" s="12">
        <f>IFERROR(__xludf.DUMMYFUNCTION("""COMPUTED_VALUE"""),46139.0)</f>
        <v>46139</v>
      </c>
      <c r="K639" s="3" t="str">
        <f>IFERROR(__xludf.DUMMYFUNCTION("""COMPUTED_VALUE"""),"1700-2100")</f>
        <v>1700-2100</v>
      </c>
      <c r="L639" s="3">
        <f>IFERROR(__xludf.DUMMYFUNCTION("""COMPUTED_VALUE"""),4.0)</f>
        <v>4</v>
      </c>
      <c r="M639" s="3" t="str">
        <f>IFERROR(__xludf.DUMMYFUNCTION("""COMPUTED_VALUE"""),"ร.อ.อนุชิต ทำจะดี")</f>
        <v>ร.อ.อนุชิต ทำจะดี</v>
      </c>
      <c r="N639" s="14" t="str">
        <f>IFERROR(__xludf.DUMMYFUNCTION("""COMPUTED_VALUE"""),"https://lh5.googleusercontent.com/d/1NXVWTsXHoX94oJdDBZtc3_Yint-aMQ9c")</f>
        <v>https://lh5.googleusercontent.com/d/1NXVWTsXHoX94oJdDBZtc3_Yint-aMQ9c</v>
      </c>
      <c r="O639" s="14" t="str">
        <f>IFERROR(__xludf.DUMMYFUNCTION("""COMPUTED_VALUE"""),"https://drive.google.com/file/d/1CsI1WBPHcvTbjbPijIRS6YFpC68eDZ95/view?usp=drivesdk")</f>
        <v>https://drive.google.com/file/d/1CsI1WBPHcvTbjbPijIRS6YFpC68eDZ95/view?usp=drivesdk</v>
      </c>
    </row>
    <row r="640">
      <c r="A640" s="3">
        <f>IFERROR(__xludf.DUMMYFUNCTION("""COMPUTED_VALUE"""),2623.0)</f>
        <v>2623</v>
      </c>
      <c r="B640" s="11">
        <f>IFERROR(__xludf.DUMMYFUNCTION("""COMPUTED_VALUE"""),46175.4304630787)</f>
        <v>46175.43046</v>
      </c>
      <c r="C640" s="3" t="str">
        <f>IFERROR(__xludf.DUMMYFUNCTION("""COMPUTED_VALUE"""),"ชั้นปีที่ 3")</f>
        <v>ชั้นปีที่ 3</v>
      </c>
      <c r="D640" s="3" t="str">
        <f>IFERROR(__xludf.DUMMYFUNCTION("""COMPUTED_VALUE"""),"6603781")</f>
        <v>6603781</v>
      </c>
      <c r="E640" s="3" t="str">
        <f>IFERROR(__xludf.DUMMYFUNCTION("""COMPUTED_VALUE"""),"27")</f>
        <v>27</v>
      </c>
      <c r="F640" s="3" t="str">
        <f>IFERROR(__xludf.DUMMYFUNCTION("""COMPUTED_VALUE"""),"นพอ.เนตรชนก จงไกรจักร")</f>
        <v>นพอ.เนตรชนก จงไกรจักร</v>
      </c>
      <c r="G640" s="3" t="str">
        <f>IFERROR(__xludf.DUMMYFUNCTION("""COMPUTED_VALUE"""),"ช่วยเหลืองานภายใน วพอ.")</f>
        <v>ช่วยเหลืองานภายใน วพอ.</v>
      </c>
      <c r="H640" s="3" t="str">
        <f>IFERROR(__xludf.DUMMYFUNCTION("""COMPUTED_VALUE"""),"ช่วยงานทดสอบพิเศษนพอ.69")</f>
        <v>ช่วยงานทดสอบพิเศษนพอ.69</v>
      </c>
      <c r="I640" s="3" t="str">
        <f>IFERROR(__xludf.DUMMYFUNCTION("""COMPUTED_VALUE"""),"วพอ.พอ.")</f>
        <v>วพอ.พอ.</v>
      </c>
      <c r="J640" s="12">
        <f>IFERROR(__xludf.DUMMYFUNCTION("""COMPUTED_VALUE"""),46147.0)</f>
        <v>46147</v>
      </c>
      <c r="K640" s="3" t="str">
        <f>IFERROR(__xludf.DUMMYFUNCTION("""COMPUTED_VALUE"""),"0800-1600")</f>
        <v>0800-1600</v>
      </c>
      <c r="L640" s="3">
        <f>IFERROR(__xludf.DUMMYFUNCTION("""COMPUTED_VALUE"""),8.0)</f>
        <v>8</v>
      </c>
      <c r="M640" s="3" t="str">
        <f>IFERROR(__xludf.DUMMYFUNCTION("""COMPUTED_VALUE"""),"น.ท.หญิง ลักษณ์ขณา พานิชสรรค์")</f>
        <v>น.ท.หญิง ลักษณ์ขณา พานิชสรรค์</v>
      </c>
      <c r="N640" s="14" t="str">
        <f>IFERROR(__xludf.DUMMYFUNCTION("""COMPUTED_VALUE"""),"https://lh5.googleusercontent.com/d/12unAgULDkoz2wy6gL8NDf6tHAwcm3Jf9")</f>
        <v>https://lh5.googleusercontent.com/d/12unAgULDkoz2wy6gL8NDf6tHAwcm3Jf9</v>
      </c>
      <c r="O640" s="14" t="str">
        <f>IFERROR(__xludf.DUMMYFUNCTION("""COMPUTED_VALUE"""),"https://drive.google.com/file/d/1MzlZDGcqDajUm_1f2GdMQrZUHnEUo3ie/view?usp=drivesdk")</f>
        <v>https://drive.google.com/file/d/1MzlZDGcqDajUm_1f2GdMQrZUHnEUo3ie/view?usp=drivesdk</v>
      </c>
    </row>
    <row r="641">
      <c r="A641" s="3">
        <f>IFERROR(__xludf.DUMMYFUNCTION("""COMPUTED_VALUE"""),2624.0)</f>
        <v>2624</v>
      </c>
      <c r="B641" s="11">
        <f>IFERROR(__xludf.DUMMYFUNCTION("""COMPUTED_VALUE"""),46175.43606854167)</f>
        <v>46175.43607</v>
      </c>
      <c r="C641" s="3" t="str">
        <f>IFERROR(__xludf.DUMMYFUNCTION("""COMPUTED_VALUE"""),"ชั้นปีที่ 3")</f>
        <v>ชั้นปีที่ 3</v>
      </c>
      <c r="D641" s="3" t="str">
        <f>IFERROR(__xludf.DUMMYFUNCTION("""COMPUTED_VALUE"""),"6603817")</f>
        <v>6603817</v>
      </c>
      <c r="E641" s="3" t="str">
        <f>IFERROR(__xludf.DUMMYFUNCTION("""COMPUTED_VALUE"""),"63")</f>
        <v>63</v>
      </c>
      <c r="F641" s="3" t="str">
        <f>IFERROR(__xludf.DUMMYFUNCTION("""COMPUTED_VALUE"""),"นพอ.อารียา สงวน")</f>
        <v>นพอ.อารียา สงวน</v>
      </c>
      <c r="G64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1" s="3" t="str">
        <f>IFERROR(__xludf.DUMMYFUNCTION("""COMPUTED_VALUE"""),"งานกอล์ฟ")</f>
        <v>งานกอล์ฟ</v>
      </c>
      <c r="I641" s="3" t="str">
        <f>IFERROR(__xludf.DUMMYFUNCTION("""COMPUTED_VALUE"""),"สนามกอล์ฟ ทอ.")</f>
        <v>สนามกอล์ฟ ทอ.</v>
      </c>
      <c r="J641" s="12">
        <f>IFERROR(__xludf.DUMMYFUNCTION("""COMPUTED_VALUE"""),46064.0)</f>
        <v>46064</v>
      </c>
      <c r="K641" s="3" t="str">
        <f>IFERROR(__xludf.DUMMYFUNCTION("""COMPUTED_VALUE"""),"1830-2030")</f>
        <v>1830-2030</v>
      </c>
      <c r="L641" s="3">
        <f>IFERROR(__xludf.DUMMYFUNCTION("""COMPUTED_VALUE"""),2.0)</f>
        <v>2</v>
      </c>
      <c r="M641" s="3" t="str">
        <f>IFERROR(__xludf.DUMMYFUNCTION("""COMPUTED_VALUE"""),"นาวาอากาศโทหญิง ลักษณ์ขณา พานิชสรรค์")</f>
        <v>นาวาอากาศโทหญิง ลักษณ์ขณา พานิชสรรค์</v>
      </c>
      <c r="N641" s="14" t="str">
        <f>IFERROR(__xludf.DUMMYFUNCTION("""COMPUTED_VALUE"""),"https://lh5.googleusercontent.com/d/10oxADqy84lIvBV96T22V_n3OECDOCERa")</f>
        <v>https://lh5.googleusercontent.com/d/10oxADqy84lIvBV96T22V_n3OECDOCERa</v>
      </c>
      <c r="O641" s="14" t="str">
        <f>IFERROR(__xludf.DUMMYFUNCTION("""COMPUTED_VALUE"""),"https://drive.google.com/file/d/1RXxfnUNz36j52iJcVYJSs0sxYDYKCra0/view?usp=drivesdk")</f>
        <v>https://drive.google.com/file/d/1RXxfnUNz36j52iJcVYJSs0sxYDYKCra0/view?usp=drivesdk</v>
      </c>
    </row>
    <row r="642">
      <c r="A642" s="3">
        <f>IFERROR(__xludf.DUMMYFUNCTION("""COMPUTED_VALUE"""),2625.0)</f>
        <v>2625</v>
      </c>
      <c r="B642" s="11">
        <f>IFERROR(__xludf.DUMMYFUNCTION("""COMPUTED_VALUE"""),46175.43714039352)</f>
        <v>46175.43714</v>
      </c>
      <c r="C642" s="3" t="str">
        <f>IFERROR(__xludf.DUMMYFUNCTION("""COMPUTED_VALUE"""),"ชั้นปีที่ 3")</f>
        <v>ชั้นปีที่ 3</v>
      </c>
      <c r="D642" s="3" t="str">
        <f>IFERROR(__xludf.DUMMYFUNCTION("""COMPUTED_VALUE"""),"6603817")</f>
        <v>6603817</v>
      </c>
      <c r="E642" s="3" t="str">
        <f>IFERROR(__xludf.DUMMYFUNCTION("""COMPUTED_VALUE"""),"63")</f>
        <v>63</v>
      </c>
      <c r="F642" s="3" t="str">
        <f>IFERROR(__xludf.DUMMYFUNCTION("""COMPUTED_VALUE"""),"นพอ.อารียา สงวน")</f>
        <v>นพอ.อารียา สงวน</v>
      </c>
      <c r="G6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2" s="3" t="str">
        <f>IFERROR(__xludf.DUMMYFUNCTION("""COMPUTED_VALUE"""),"งานกอล์ฟ")</f>
        <v>งานกอล์ฟ</v>
      </c>
      <c r="I642" s="3" t="str">
        <f>IFERROR(__xludf.DUMMYFUNCTION("""COMPUTED_VALUE"""),"สนามกอล์ฟ ทอ.")</f>
        <v>สนามกอล์ฟ ทอ.</v>
      </c>
      <c r="J642" s="12">
        <f>IFERROR(__xludf.DUMMYFUNCTION("""COMPUTED_VALUE"""),46065.0)</f>
        <v>46065</v>
      </c>
      <c r="K642" s="3" t="str">
        <f>IFERROR(__xludf.DUMMYFUNCTION("""COMPUTED_VALUE"""),"1830-2030")</f>
        <v>1830-2030</v>
      </c>
      <c r="L642" s="3">
        <f>IFERROR(__xludf.DUMMYFUNCTION("""COMPUTED_VALUE"""),2.0)</f>
        <v>2</v>
      </c>
      <c r="M642" s="3" t="str">
        <f>IFERROR(__xludf.DUMMYFUNCTION("""COMPUTED_VALUE"""),"นาวาอากาศโทหญิง ลักษณ์ขณา พานิชสรรค์")</f>
        <v>นาวาอากาศโทหญิง ลักษณ์ขณา พานิชสรรค์</v>
      </c>
      <c r="N642" s="14" t="str">
        <f>IFERROR(__xludf.DUMMYFUNCTION("""COMPUTED_VALUE"""),"https://lh5.googleusercontent.com/d/1TTVWM837vazPUZZ8ptgiYWMBp4Mb7SCC")</f>
        <v>https://lh5.googleusercontent.com/d/1TTVWM837vazPUZZ8ptgiYWMBp4Mb7SCC</v>
      </c>
      <c r="O642" s="14" t="str">
        <f>IFERROR(__xludf.DUMMYFUNCTION("""COMPUTED_VALUE"""),"https://drive.google.com/file/d/1bJ-asKsj3wp8lxwkqK1My1rHUvyRljHi/view?usp=drivesdk")</f>
        <v>https://drive.google.com/file/d/1bJ-asKsj3wp8lxwkqK1My1rHUvyRljHi/view?usp=drivesdk</v>
      </c>
    </row>
    <row r="643">
      <c r="A643" s="3">
        <f>IFERROR(__xludf.DUMMYFUNCTION("""COMPUTED_VALUE"""),2626.0)</f>
        <v>2626</v>
      </c>
      <c r="B643" s="11">
        <f>IFERROR(__xludf.DUMMYFUNCTION("""COMPUTED_VALUE"""),46175.43819809028)</f>
        <v>46175.4382</v>
      </c>
      <c r="C643" s="3" t="str">
        <f>IFERROR(__xludf.DUMMYFUNCTION("""COMPUTED_VALUE"""),"ชั้นปีที่ 3")</f>
        <v>ชั้นปีที่ 3</v>
      </c>
      <c r="D643" s="3" t="str">
        <f>IFERROR(__xludf.DUMMYFUNCTION("""COMPUTED_VALUE"""),"6603817")</f>
        <v>6603817</v>
      </c>
      <c r="E643" s="3" t="str">
        <f>IFERROR(__xludf.DUMMYFUNCTION("""COMPUTED_VALUE"""),"63")</f>
        <v>63</v>
      </c>
      <c r="F643" s="3" t="str">
        <f>IFERROR(__xludf.DUMMYFUNCTION("""COMPUTED_VALUE"""),"นพอ.อารียา สงวน")</f>
        <v>นพอ.อารียา สงวน</v>
      </c>
      <c r="G6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3" s="3" t="str">
        <f>IFERROR(__xludf.DUMMYFUNCTION("""COMPUTED_VALUE"""),"งานกอล์ฟ")</f>
        <v>งานกอล์ฟ</v>
      </c>
      <c r="I643" s="3" t="str">
        <f>IFERROR(__xludf.DUMMYFUNCTION("""COMPUTED_VALUE"""),"สนามกอล์ฟ ทอ.")</f>
        <v>สนามกอล์ฟ ทอ.</v>
      </c>
      <c r="J643" s="12">
        <f>IFERROR(__xludf.DUMMYFUNCTION("""COMPUTED_VALUE"""),46066.0)</f>
        <v>46066</v>
      </c>
      <c r="K643" s="3" t="str">
        <f>IFERROR(__xludf.DUMMYFUNCTION("""COMPUTED_VALUE"""),"1600-2000")</f>
        <v>1600-2000</v>
      </c>
      <c r="L643" s="3">
        <f>IFERROR(__xludf.DUMMYFUNCTION("""COMPUTED_VALUE"""),4.0)</f>
        <v>4</v>
      </c>
      <c r="M643" s="3" t="str">
        <f>IFERROR(__xludf.DUMMYFUNCTION("""COMPUTED_VALUE"""),"นาวาอากาศโทหญิง ลักษณ์ขณา พานิชสรรค์")</f>
        <v>นาวาอากาศโทหญิง ลักษณ์ขณา พานิชสรรค์</v>
      </c>
      <c r="N643" s="14" t="str">
        <f>IFERROR(__xludf.DUMMYFUNCTION("""COMPUTED_VALUE"""),"https://lh5.googleusercontent.com/d/1k3VXtGW1_JjI_86IknVjn4mxLPkRPNRb")</f>
        <v>https://lh5.googleusercontent.com/d/1k3VXtGW1_JjI_86IknVjn4mxLPkRPNRb</v>
      </c>
      <c r="O643" s="14" t="str">
        <f>IFERROR(__xludf.DUMMYFUNCTION("""COMPUTED_VALUE"""),"https://drive.google.com/file/d/1UL1uUZRja6mm97BXUL--ggeqo3Q5GRvy/view?usp=drivesdk")</f>
        <v>https://drive.google.com/file/d/1UL1uUZRja6mm97BXUL--ggeqo3Q5GRvy/view?usp=drivesdk</v>
      </c>
    </row>
    <row r="644">
      <c r="A644" s="3">
        <f>IFERROR(__xludf.DUMMYFUNCTION("""COMPUTED_VALUE"""),2648.0)</f>
        <v>2648</v>
      </c>
      <c r="B644" s="11">
        <f>IFERROR(__xludf.DUMMYFUNCTION("""COMPUTED_VALUE"""),46175.53470596065)</f>
        <v>46175.53471</v>
      </c>
      <c r="C644" s="3" t="str">
        <f>IFERROR(__xludf.DUMMYFUNCTION("""COMPUTED_VALUE"""),"ชั้นปีที่ 3")</f>
        <v>ชั้นปีที่ 3</v>
      </c>
      <c r="D644" s="3" t="str">
        <f>IFERROR(__xludf.DUMMYFUNCTION("""COMPUTED_VALUE"""),"6603813")</f>
        <v>6603813</v>
      </c>
      <c r="E644" s="3" t="str">
        <f>IFERROR(__xludf.DUMMYFUNCTION("""COMPUTED_VALUE"""),"59")</f>
        <v>59</v>
      </c>
      <c r="F644" s="3" t="str">
        <f>IFERROR(__xludf.DUMMYFUNCTION("""COMPUTED_VALUE"""),"นพอ.อโณชา จันทรา")</f>
        <v>นพอ.อโณชา จันทรา</v>
      </c>
      <c r="G644" s="3" t="str">
        <f>IFERROR(__xludf.DUMMYFUNCTION("""COMPUTED_VALUE"""),"ช่วยเหลืองานภายใน วพอ.")</f>
        <v>ช่วยเหลืองานภายใน วพอ.</v>
      </c>
      <c r="H644" s="3" t="str">
        <f>IFERROR(__xludf.DUMMYFUNCTION("""COMPUTED_VALUE"""),"ช้อมงานพิธีมอบหมวกพยาบาลวิชาชีพ ปีการศึกษา 2568")</f>
        <v>ช้อมงานพิธีมอบหมวกพยาบาลวิชาชีพ ปีการศึกษา 2568</v>
      </c>
      <c r="I644" s="3" t="str">
        <f>IFERROR(__xludf.DUMMYFUNCTION("""COMPUTED_VALUE"""),"วพอ.พอ.")</f>
        <v>วพอ.พอ.</v>
      </c>
      <c r="J644" s="12">
        <f>IFERROR(__xludf.DUMMYFUNCTION("""COMPUTED_VALUE"""),46133.0)</f>
        <v>46133</v>
      </c>
      <c r="K644" s="3" t="str">
        <f>IFERROR(__xludf.DUMMYFUNCTION("""COMPUTED_VALUE"""),"17.00-21.00")</f>
        <v>17.00-21.00</v>
      </c>
      <c r="L644" s="3">
        <f>IFERROR(__xludf.DUMMYFUNCTION("""COMPUTED_VALUE"""),4.0)</f>
        <v>4</v>
      </c>
      <c r="M644" s="3" t="str">
        <f>IFERROR(__xludf.DUMMYFUNCTION("""COMPUTED_VALUE"""),"ร.อ.อนุชิต ทำจดี")</f>
        <v>ร.อ.อนุชิต ทำจดี</v>
      </c>
      <c r="N644" s="14" t="str">
        <f>IFERROR(__xludf.DUMMYFUNCTION("""COMPUTED_VALUE"""),"https://lh5.googleusercontent.com/d/1LcZC4Y2ACySLZ7VeQrBc29uYocmNJlUY")</f>
        <v>https://lh5.googleusercontent.com/d/1LcZC4Y2ACySLZ7VeQrBc29uYocmNJlUY</v>
      </c>
      <c r="O644" s="14" t="str">
        <f>IFERROR(__xludf.DUMMYFUNCTION("""COMPUTED_VALUE"""),"https://drive.google.com/file/d/1ukAVEz4gKvxHoaeO3LYgIuBNKYYPU-Bi/view?usp=drivesdk")</f>
        <v>https://drive.google.com/file/d/1ukAVEz4gKvxHoaeO3LYgIuBNKYYPU-Bi/view?usp=drivesdk</v>
      </c>
    </row>
    <row r="645">
      <c r="A645" s="3">
        <f>IFERROR(__xludf.DUMMYFUNCTION("""COMPUTED_VALUE"""),2651.0)</f>
        <v>2651</v>
      </c>
      <c r="B645" s="11">
        <f>IFERROR(__xludf.DUMMYFUNCTION("""COMPUTED_VALUE"""),46175.53654918981)</f>
        <v>46175.53655</v>
      </c>
      <c r="C645" s="3" t="str">
        <f>IFERROR(__xludf.DUMMYFUNCTION("""COMPUTED_VALUE"""),"ชั้นปีที่ 3")</f>
        <v>ชั้นปีที่ 3</v>
      </c>
      <c r="D645" s="3" t="str">
        <f>IFERROR(__xludf.DUMMYFUNCTION("""COMPUTED_VALUE"""),"6603813")</f>
        <v>6603813</v>
      </c>
      <c r="E645" s="3" t="str">
        <f>IFERROR(__xludf.DUMMYFUNCTION("""COMPUTED_VALUE"""),"59")</f>
        <v>59</v>
      </c>
      <c r="F645" s="3" t="str">
        <f>IFERROR(__xludf.DUMMYFUNCTION("""COMPUTED_VALUE"""),"นพอ.อโณชา จันทรา")</f>
        <v>นพอ.อโณชา จันทรา</v>
      </c>
      <c r="G645" s="3" t="str">
        <f>IFERROR(__xludf.DUMMYFUNCTION("""COMPUTED_VALUE"""),"ช่วยเหลืองานภายใน วพอ.")</f>
        <v>ช่วยเหลืองานภายใน วพอ.</v>
      </c>
      <c r="H645" s="3" t="str">
        <f>IFERROR(__xludf.DUMMYFUNCTION("""COMPUTED_VALUE"""),"ช้อมงานพิธีมอบหมวกพยาบาลวิชาชีพ ปีการศึกษา 2568")</f>
        <v>ช้อมงานพิธีมอบหมวกพยาบาลวิชาชีพ ปีการศึกษา 2568</v>
      </c>
      <c r="I645" s="3" t="str">
        <f>IFERROR(__xludf.DUMMYFUNCTION("""COMPUTED_VALUE"""),"วพอ.พอ.")</f>
        <v>วพอ.พอ.</v>
      </c>
      <c r="J645" s="12">
        <f>IFERROR(__xludf.DUMMYFUNCTION("""COMPUTED_VALUE"""),46134.0)</f>
        <v>46134</v>
      </c>
      <c r="K645" s="3" t="str">
        <f>IFERROR(__xludf.DUMMYFUNCTION("""COMPUTED_VALUE"""),"17.00-21.00")</f>
        <v>17.00-21.00</v>
      </c>
      <c r="L645" s="3">
        <f>IFERROR(__xludf.DUMMYFUNCTION("""COMPUTED_VALUE"""),4.0)</f>
        <v>4</v>
      </c>
      <c r="M645" s="3" t="str">
        <f>IFERROR(__xludf.DUMMYFUNCTION("""COMPUTED_VALUE"""),"ร.อ.อนุชิต ทำจดี")</f>
        <v>ร.อ.อนุชิต ทำจดี</v>
      </c>
      <c r="N645" s="14" t="str">
        <f>IFERROR(__xludf.DUMMYFUNCTION("""COMPUTED_VALUE"""),"https://lh5.googleusercontent.com/d/1_uucTwerwGZ0dp9okkp3HbIJLAxoldJi")</f>
        <v>https://lh5.googleusercontent.com/d/1_uucTwerwGZ0dp9okkp3HbIJLAxoldJi</v>
      </c>
      <c r="O645" s="14" t="str">
        <f>IFERROR(__xludf.DUMMYFUNCTION("""COMPUTED_VALUE"""),"https://drive.google.com/file/d/11eVnHlBm1lB-y6Op9_Q-x6L4Wkz3oES_/view?usp=drivesdk")</f>
        <v>https://drive.google.com/file/d/11eVnHlBm1lB-y6Op9_Q-x6L4Wkz3oES_/view?usp=drivesdk</v>
      </c>
    </row>
    <row r="646">
      <c r="A646" s="3">
        <f>IFERROR(__xludf.DUMMYFUNCTION("""COMPUTED_VALUE"""),2653.0)</f>
        <v>2653</v>
      </c>
      <c r="B646" s="11">
        <f>IFERROR(__xludf.DUMMYFUNCTION("""COMPUTED_VALUE"""),46175.53758599537)</f>
        <v>46175.53759</v>
      </c>
      <c r="C646" s="3" t="str">
        <f>IFERROR(__xludf.DUMMYFUNCTION("""COMPUTED_VALUE"""),"ชั้นปีที่ 3")</f>
        <v>ชั้นปีที่ 3</v>
      </c>
      <c r="D646" s="3" t="str">
        <f>IFERROR(__xludf.DUMMYFUNCTION("""COMPUTED_VALUE"""),"6603813")</f>
        <v>6603813</v>
      </c>
      <c r="E646" s="3" t="str">
        <f>IFERROR(__xludf.DUMMYFUNCTION("""COMPUTED_VALUE"""),"59")</f>
        <v>59</v>
      </c>
      <c r="F646" s="3" t="str">
        <f>IFERROR(__xludf.DUMMYFUNCTION("""COMPUTED_VALUE"""),"นพอ.อโณชา จันทรา")</f>
        <v>นพอ.อโณชา จันทรา</v>
      </c>
      <c r="G646" s="3" t="str">
        <f>IFERROR(__xludf.DUMMYFUNCTION("""COMPUTED_VALUE"""),"ช่วยเหลืองานภายใน วพอ.")</f>
        <v>ช่วยเหลืองานภายใน วพอ.</v>
      </c>
      <c r="H646" s="3" t="str">
        <f>IFERROR(__xludf.DUMMYFUNCTION("""COMPUTED_VALUE"""),"ช้อมงานพิธีมอบหมวกพยาบาลวิชาชีพ ปีการศึกษา 2568")</f>
        <v>ช้อมงานพิธีมอบหมวกพยาบาลวิชาชีพ ปีการศึกษา 2568</v>
      </c>
      <c r="I646" s="3" t="str">
        <f>IFERROR(__xludf.DUMMYFUNCTION("""COMPUTED_VALUE"""),"วพอ.พอ.")</f>
        <v>วพอ.พอ.</v>
      </c>
      <c r="J646" s="12">
        <f>IFERROR(__xludf.DUMMYFUNCTION("""COMPUTED_VALUE"""),46135.0)</f>
        <v>46135</v>
      </c>
      <c r="K646" s="3" t="str">
        <f>IFERROR(__xludf.DUMMYFUNCTION("""COMPUTED_VALUE"""),"17.00-21.00")</f>
        <v>17.00-21.00</v>
      </c>
      <c r="L646" s="3">
        <f>IFERROR(__xludf.DUMMYFUNCTION("""COMPUTED_VALUE"""),4.0)</f>
        <v>4</v>
      </c>
      <c r="M646" s="3" t="str">
        <f>IFERROR(__xludf.DUMMYFUNCTION("""COMPUTED_VALUE"""),"ร.อ.อนุชิต ทำจดี")</f>
        <v>ร.อ.อนุชิต ทำจดี</v>
      </c>
      <c r="N646" s="14" t="str">
        <f>IFERROR(__xludf.DUMMYFUNCTION("""COMPUTED_VALUE"""),"https://lh5.googleusercontent.com/d/1rVzMMp9hr_JZvTMDKwnN8sFjIZaS1Lme")</f>
        <v>https://lh5.googleusercontent.com/d/1rVzMMp9hr_JZvTMDKwnN8sFjIZaS1Lme</v>
      </c>
      <c r="O646" s="14" t="str">
        <f>IFERROR(__xludf.DUMMYFUNCTION("""COMPUTED_VALUE"""),"https://drive.google.com/file/d/1nh1Rsqg-rym38uKg0nmni1XxG5GgZ41K/view?usp=drivesdk")</f>
        <v>https://drive.google.com/file/d/1nh1Rsqg-rym38uKg0nmni1XxG5GgZ41K/view?usp=drivesdk</v>
      </c>
    </row>
    <row r="647">
      <c r="A647" s="3">
        <f>IFERROR(__xludf.DUMMYFUNCTION("""COMPUTED_VALUE"""),2658.0)</f>
        <v>2658</v>
      </c>
      <c r="B647" s="11">
        <f>IFERROR(__xludf.DUMMYFUNCTION("""COMPUTED_VALUE"""),46175.53931626157)</f>
        <v>46175.53932</v>
      </c>
      <c r="C647" s="3" t="str">
        <f>IFERROR(__xludf.DUMMYFUNCTION("""COMPUTED_VALUE"""),"ชั้นปีที่ 3")</f>
        <v>ชั้นปีที่ 3</v>
      </c>
      <c r="D647" s="3" t="str">
        <f>IFERROR(__xludf.DUMMYFUNCTION("""COMPUTED_VALUE"""),"6603813")</f>
        <v>6603813</v>
      </c>
      <c r="E647" s="3" t="str">
        <f>IFERROR(__xludf.DUMMYFUNCTION("""COMPUTED_VALUE"""),"59")</f>
        <v>59</v>
      </c>
      <c r="F647" s="3" t="str">
        <f>IFERROR(__xludf.DUMMYFUNCTION("""COMPUTED_VALUE"""),"นพอ.อโณชา จันทรา")</f>
        <v>นพอ.อโณชา จันทรา</v>
      </c>
      <c r="G647" s="3" t="str">
        <f>IFERROR(__xludf.DUMMYFUNCTION("""COMPUTED_VALUE"""),"ช่วยเหลืองานภายใน วพอ.")</f>
        <v>ช่วยเหลืองานภายใน วพอ.</v>
      </c>
      <c r="H647" s="3" t="str">
        <f>IFERROR(__xludf.DUMMYFUNCTION("""COMPUTED_VALUE"""),"ช้อมงานพิธีมอบหมวกพยาบาลวิชาชีพ ปีการศึกษา 2568")</f>
        <v>ช้อมงานพิธีมอบหมวกพยาบาลวิชาชีพ ปีการศึกษา 2568</v>
      </c>
      <c r="I647" s="3" t="str">
        <f>IFERROR(__xludf.DUMMYFUNCTION("""COMPUTED_VALUE"""),"วพอ.พอ.")</f>
        <v>วพอ.พอ.</v>
      </c>
      <c r="J647" s="12">
        <f>IFERROR(__xludf.DUMMYFUNCTION("""COMPUTED_VALUE"""),46138.0)</f>
        <v>46138</v>
      </c>
      <c r="K647" s="3" t="str">
        <f>IFERROR(__xludf.DUMMYFUNCTION("""COMPUTED_VALUE"""),"15.00-21.00")</f>
        <v>15.00-21.00</v>
      </c>
      <c r="L647" s="3">
        <f>IFERROR(__xludf.DUMMYFUNCTION("""COMPUTED_VALUE"""),6.0)</f>
        <v>6</v>
      </c>
      <c r="M647" s="3" t="str">
        <f>IFERROR(__xludf.DUMMYFUNCTION("""COMPUTED_VALUE"""),"ร.อ.อนุชิต ทำจดี")</f>
        <v>ร.อ.อนุชิต ทำจดี</v>
      </c>
      <c r="N647" s="14" t="str">
        <f>IFERROR(__xludf.DUMMYFUNCTION("""COMPUTED_VALUE"""),"https://lh5.googleusercontent.com/d/17o8ncys5oDkfKiOnjIPnttePvUFINF4U")</f>
        <v>https://lh5.googleusercontent.com/d/17o8ncys5oDkfKiOnjIPnttePvUFINF4U</v>
      </c>
      <c r="O647" s="14" t="str">
        <f>IFERROR(__xludf.DUMMYFUNCTION("""COMPUTED_VALUE"""),"https://drive.google.com/file/d/1CZAj9TuLJSClz7h5txCp1KRRaseEOkdu/view?usp=drivesdk")</f>
        <v>https://drive.google.com/file/d/1CZAj9TuLJSClz7h5txCp1KRRaseEOkdu/view?usp=drivesdk</v>
      </c>
    </row>
    <row r="648">
      <c r="A648" s="3">
        <f>IFERROR(__xludf.DUMMYFUNCTION("""COMPUTED_VALUE"""),2665.0)</f>
        <v>2665</v>
      </c>
      <c r="B648" s="11">
        <f>IFERROR(__xludf.DUMMYFUNCTION("""COMPUTED_VALUE"""),46175.54126225695)</f>
        <v>46175.54126</v>
      </c>
      <c r="C648" s="3" t="str">
        <f>IFERROR(__xludf.DUMMYFUNCTION("""COMPUTED_VALUE"""),"ชั้นปีที่ 3")</f>
        <v>ชั้นปีที่ 3</v>
      </c>
      <c r="D648" s="3" t="str">
        <f>IFERROR(__xludf.DUMMYFUNCTION("""COMPUTED_VALUE"""),"6603813")</f>
        <v>6603813</v>
      </c>
      <c r="E648" s="3" t="str">
        <f>IFERROR(__xludf.DUMMYFUNCTION("""COMPUTED_VALUE"""),"59")</f>
        <v>59</v>
      </c>
      <c r="F648" s="3" t="str">
        <f>IFERROR(__xludf.DUMMYFUNCTION("""COMPUTED_VALUE"""),"นพอ.อโณชา จันทรา")</f>
        <v>นพอ.อโณชา จันทรา</v>
      </c>
      <c r="G648" s="3" t="str">
        <f>IFERROR(__xludf.DUMMYFUNCTION("""COMPUTED_VALUE"""),"ช่วยเหลืองานภายใน วพอ.")</f>
        <v>ช่วยเหลืองานภายใน วพอ.</v>
      </c>
      <c r="H648" s="3" t="str">
        <f>IFERROR(__xludf.DUMMYFUNCTION("""COMPUTED_VALUE"""),"ช้อมงานพิธีมอบหมวกพยาบาลวิชาชีพ ปีการศึกษา 2568")</f>
        <v>ช้อมงานพิธีมอบหมวกพยาบาลวิชาชีพ ปีการศึกษา 2568</v>
      </c>
      <c r="I648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648" s="12">
        <f>IFERROR(__xludf.DUMMYFUNCTION("""COMPUTED_VALUE"""),46139.0)</f>
        <v>46139</v>
      </c>
      <c r="K648" s="3" t="str">
        <f>IFERROR(__xludf.DUMMYFUNCTION("""COMPUTED_VALUE"""),"17.00-21.00")</f>
        <v>17.00-21.00</v>
      </c>
      <c r="L648" s="3">
        <f>IFERROR(__xludf.DUMMYFUNCTION("""COMPUTED_VALUE"""),4.0)</f>
        <v>4</v>
      </c>
      <c r="M648" s="3" t="str">
        <f>IFERROR(__xludf.DUMMYFUNCTION("""COMPUTED_VALUE"""),"ร.อ.อนุชิต ทำจดี")</f>
        <v>ร.อ.อนุชิต ทำจดี</v>
      </c>
      <c r="N648" s="14" t="str">
        <f>IFERROR(__xludf.DUMMYFUNCTION("""COMPUTED_VALUE"""),"https://lh5.googleusercontent.com/d/19MT-zKWSry9TAOnx1K_ogfHWE2B1VmPo")</f>
        <v>https://lh5.googleusercontent.com/d/19MT-zKWSry9TAOnx1K_ogfHWE2B1VmPo</v>
      </c>
      <c r="O648" s="14" t="str">
        <f>IFERROR(__xludf.DUMMYFUNCTION("""COMPUTED_VALUE"""),"https://drive.google.com/file/d/1bcDZKd_f3GEd_nAp9e8GPqllQ0CpJ0kA/view?usp=drivesdk")</f>
        <v>https://drive.google.com/file/d/1bcDZKd_f3GEd_nAp9e8GPqllQ0CpJ0kA/view?usp=drivesdk</v>
      </c>
    </row>
    <row r="649">
      <c r="A649" s="3">
        <f>IFERROR(__xludf.DUMMYFUNCTION("""COMPUTED_VALUE"""),2672.0)</f>
        <v>2672</v>
      </c>
      <c r="B649" s="11">
        <f>IFERROR(__xludf.DUMMYFUNCTION("""COMPUTED_VALUE"""),46175.54490828703)</f>
        <v>46175.54491</v>
      </c>
      <c r="C649" s="3" t="str">
        <f>IFERROR(__xludf.DUMMYFUNCTION("""COMPUTED_VALUE"""),"ชั้นปีที่ 3")</f>
        <v>ชั้นปีที่ 3</v>
      </c>
      <c r="D649" s="3" t="str">
        <f>IFERROR(__xludf.DUMMYFUNCTION("""COMPUTED_VALUE"""),"6603813")</f>
        <v>6603813</v>
      </c>
      <c r="E649" s="3" t="str">
        <f>IFERROR(__xludf.DUMMYFUNCTION("""COMPUTED_VALUE"""),"59")</f>
        <v>59</v>
      </c>
      <c r="F649" s="3" t="str">
        <f>IFERROR(__xludf.DUMMYFUNCTION("""COMPUTED_VALUE"""),"นพอ.อโณชา จันทรา")</f>
        <v>นพอ.อโณชา จันทรา</v>
      </c>
      <c r="G6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9" s="3" t="str">
        <f>IFERROR(__xludf.DUMMYFUNCTION("""COMPUTED_VALUE"""),"งานกาชาดไทย 2568")</f>
        <v>งานกาชาดไทย 2568</v>
      </c>
      <c r="I649" s="3" t="str">
        <f>IFERROR(__xludf.DUMMYFUNCTION("""COMPUTED_VALUE"""),"สวนลุมพินี")</f>
        <v>สวนลุมพินี</v>
      </c>
      <c r="J649" s="12">
        <f>IFERROR(__xludf.DUMMYFUNCTION("""COMPUTED_VALUE"""),46004.0)</f>
        <v>46004</v>
      </c>
      <c r="K649" s="3" t="str">
        <f>IFERROR(__xludf.DUMMYFUNCTION("""COMPUTED_VALUE"""),"12.00-21.00")</f>
        <v>12.00-21.00</v>
      </c>
      <c r="L649" s="3">
        <f>IFERROR(__xludf.DUMMYFUNCTION("""COMPUTED_VALUE"""),8.0)</f>
        <v>8</v>
      </c>
      <c r="M649" s="3" t="str">
        <f>IFERROR(__xludf.DUMMYFUNCTION("""COMPUTED_VALUE"""),"น.อ.ผศ.วัลลภา อันดารา")</f>
        <v>น.อ.ผศ.วัลลภา อันดารา</v>
      </c>
      <c r="N649" s="14" t="str">
        <f>IFERROR(__xludf.DUMMYFUNCTION("""COMPUTED_VALUE"""),"https://lh5.googleusercontent.com/d/1zoXybWfssveoW82DazZr9zfkuIeSjS43")</f>
        <v>https://lh5.googleusercontent.com/d/1zoXybWfssveoW82DazZr9zfkuIeSjS43</v>
      </c>
      <c r="O649" s="14" t="str">
        <f>IFERROR(__xludf.DUMMYFUNCTION("""COMPUTED_VALUE"""),"https://drive.google.com/file/d/1F2-hF9CzwT2-RwCVvWJxJn3RDDwvq3Oj/view?usp=drivesdk")</f>
        <v>https://drive.google.com/file/d/1F2-hF9CzwT2-RwCVvWJxJn3RDDwvq3Oj/view?usp=drivesdk</v>
      </c>
    </row>
    <row r="650">
      <c r="A650" s="3">
        <f>IFERROR(__xludf.DUMMYFUNCTION("""COMPUTED_VALUE"""),2696.0)</f>
        <v>2696</v>
      </c>
      <c r="B650" s="11">
        <f>IFERROR(__xludf.DUMMYFUNCTION("""COMPUTED_VALUE"""),46175.58926959491)</f>
        <v>46175.58927</v>
      </c>
      <c r="C650" s="3" t="str">
        <f>IFERROR(__xludf.DUMMYFUNCTION("""COMPUTED_VALUE"""),"ชั้นปีที่ 3")</f>
        <v>ชั้นปีที่ 3</v>
      </c>
      <c r="D650" s="3" t="str">
        <f>IFERROR(__xludf.DUMMYFUNCTION("""COMPUTED_VALUE"""),"6603795")</f>
        <v>6603795</v>
      </c>
      <c r="E650" s="3" t="str">
        <f>IFERROR(__xludf.DUMMYFUNCTION("""COMPUTED_VALUE"""),"41")</f>
        <v>41</v>
      </c>
      <c r="F650" s="3" t="str">
        <f>IFERROR(__xludf.DUMMYFUNCTION("""COMPUTED_VALUE"""),"นพอ.พิทยาภรณ์ คำลือ")</f>
        <v>นพอ.พิทยาภรณ์ คำลือ</v>
      </c>
      <c r="G65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0" s="3" t="str">
        <f>IFERROR(__xludf.DUMMYFUNCTION("""COMPUTED_VALUE"""),"บริจาคโลหิต")</f>
        <v>บริจาคโลหิต</v>
      </c>
      <c r="I650" s="3" t="str">
        <f>IFERROR(__xludf.DUMMYFUNCTION("""COMPUTED_VALUE"""),"ศูนย์บริจาคโลหิตโรงพยาบาลภูมิพลอดุลยเดช")</f>
        <v>ศูนย์บริจาคโลหิตโรงพยาบาลภูมิพลอดุลยเดช</v>
      </c>
      <c r="J650" s="12">
        <f>IFERROR(__xludf.DUMMYFUNCTION("""COMPUTED_VALUE"""),46175.0)</f>
        <v>46175</v>
      </c>
      <c r="K650" s="3" t="str">
        <f>IFERROR(__xludf.DUMMYFUNCTION("""COMPUTED_VALUE"""),"1400")</f>
        <v>1400</v>
      </c>
      <c r="L650" s="3">
        <f>IFERROR(__xludf.DUMMYFUNCTION("""COMPUTED_VALUE"""),8.0)</f>
        <v>8</v>
      </c>
      <c r="M650" s="3" t="str">
        <f>IFERROR(__xludf.DUMMYFUNCTION("""COMPUTED_VALUE"""),"ศูนย์บริจาคโลหิตโรงพยาบาลภูมิพลอดุลยเดช")</f>
        <v>ศูนย์บริจาคโลหิตโรงพยาบาลภูมิพลอดุลยเดช</v>
      </c>
      <c r="N650" s="14" t="str">
        <f>IFERROR(__xludf.DUMMYFUNCTION("""COMPUTED_VALUE"""),"https://lh5.googleusercontent.com/d/1S1Rw2W1CM4TASe23TUtyZ3tgYMp4pvwM")</f>
        <v>https://lh5.googleusercontent.com/d/1S1Rw2W1CM4TASe23TUtyZ3tgYMp4pvwM</v>
      </c>
      <c r="O650" s="14" t="str">
        <f>IFERROR(__xludf.DUMMYFUNCTION("""COMPUTED_VALUE"""),"https://drive.google.com/file/d/1P0gDsIw6hoCy6raCa01DZoyqxF4eMi4B/view?usp=drivesdk")</f>
        <v>https://drive.google.com/file/d/1P0gDsIw6hoCy6raCa01DZoyqxF4eMi4B/view?usp=drivesdk</v>
      </c>
    </row>
    <row r="651">
      <c r="A651" s="3">
        <f>IFERROR(__xludf.DUMMYFUNCTION("""COMPUTED_VALUE"""),2697.0)</f>
        <v>2697</v>
      </c>
      <c r="B651" s="11">
        <f>IFERROR(__xludf.DUMMYFUNCTION("""COMPUTED_VALUE"""),46175.59997914352)</f>
        <v>46175.59998</v>
      </c>
      <c r="C651" s="3" t="str">
        <f>IFERROR(__xludf.DUMMYFUNCTION("""COMPUTED_VALUE"""),"ชั้นปีที่ 3")</f>
        <v>ชั้นปีที่ 3</v>
      </c>
      <c r="D651" s="3" t="str">
        <f>IFERROR(__xludf.DUMMYFUNCTION("""COMPUTED_VALUE"""),"6603789")</f>
        <v>6603789</v>
      </c>
      <c r="E651" s="3" t="str">
        <f>IFERROR(__xludf.DUMMYFUNCTION("""COMPUTED_VALUE"""),"35")</f>
        <v>35</v>
      </c>
      <c r="F651" s="3" t="str">
        <f>IFERROR(__xludf.DUMMYFUNCTION("""COMPUTED_VALUE"""),"นพอ.ปานรัศมี ทองไทย")</f>
        <v>นพอ.ปานรัศมี ทองไทย</v>
      </c>
      <c r="G65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1" s="3" t="str">
        <f>IFERROR(__xludf.DUMMYFUNCTION("""COMPUTED_VALUE"""),"บริจาคโลหิต")</f>
        <v>บริจาคโลหิต</v>
      </c>
      <c r="I651" s="3" t="str">
        <f>IFERROR(__xludf.DUMMYFUNCTION("""COMPUTED_VALUE"""),"รพ.ภูมิพลอดุลยเดช")</f>
        <v>รพ.ภูมิพลอดุลยเดช</v>
      </c>
      <c r="J651" s="12">
        <f>IFERROR(__xludf.DUMMYFUNCTION("""COMPUTED_VALUE"""),46175.0)</f>
        <v>46175</v>
      </c>
      <c r="K651" s="3" t="str">
        <f>IFERROR(__xludf.DUMMYFUNCTION("""COMPUTED_VALUE"""),"1300")</f>
        <v>1300</v>
      </c>
      <c r="L651" s="3">
        <f>IFERROR(__xludf.DUMMYFUNCTION("""COMPUTED_VALUE"""),8.0)</f>
        <v>8</v>
      </c>
      <c r="M651" s="3" t="str">
        <f>IFERROR(__xludf.DUMMYFUNCTION("""COMPUTED_VALUE"""),"ศูนย์บริจาคโลหิตรพ.ภูมิพลอดุลยเดช")</f>
        <v>ศูนย์บริจาคโลหิตรพ.ภูมิพลอดุลยเดช</v>
      </c>
      <c r="N651" s="14" t="str">
        <f>IFERROR(__xludf.DUMMYFUNCTION("""COMPUTED_VALUE"""),"https://lh5.googleusercontent.com/d/1lXCrUp0riMHmTANM7D-qhJoUVIc9Agcb")</f>
        <v>https://lh5.googleusercontent.com/d/1lXCrUp0riMHmTANM7D-qhJoUVIc9Agcb</v>
      </c>
      <c r="O651" s="14" t="str">
        <f>IFERROR(__xludf.DUMMYFUNCTION("""COMPUTED_VALUE"""),"https://drive.google.com/file/d/1wdC83RT7dk59S-RVpuohHHM-AkNQ7xvV/view?usp=drivesdk")</f>
        <v>https://drive.google.com/file/d/1wdC83RT7dk59S-RVpuohHHM-AkNQ7xvV/view?usp=drivesdk</v>
      </c>
    </row>
    <row r="652">
      <c r="A652" s="3">
        <f>IFERROR(__xludf.DUMMYFUNCTION("""COMPUTED_VALUE"""),2740.0)</f>
        <v>2740</v>
      </c>
      <c r="B652" s="11">
        <f>IFERROR(__xludf.DUMMYFUNCTION("""COMPUTED_VALUE"""),46175.91403528935)</f>
        <v>46175.91404</v>
      </c>
      <c r="C652" s="3" t="str">
        <f>IFERROR(__xludf.DUMMYFUNCTION("""COMPUTED_VALUE"""),"ชั้นปีที่ 3")</f>
        <v>ชั้นปีที่ 3</v>
      </c>
      <c r="D652" s="3" t="str">
        <f>IFERROR(__xludf.DUMMYFUNCTION("""COMPUTED_VALUE"""),"6603797")</f>
        <v>6603797</v>
      </c>
      <c r="E652" s="3" t="str">
        <f>IFERROR(__xludf.DUMMYFUNCTION("""COMPUTED_VALUE"""),"43")</f>
        <v>43</v>
      </c>
      <c r="F652" s="3" t="str">
        <f>IFERROR(__xludf.DUMMYFUNCTION("""COMPUTED_VALUE"""),"นพอ.พิมพ์ลภัส ทองดีเลิศ")</f>
        <v>นพอ.พิมพ์ลภัส ทองดีเลิศ</v>
      </c>
      <c r="G652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2" s="3" t="str">
        <f>IFERROR(__xludf.DUMMYFUNCTION("""COMPUTED_VALUE"""),"บริจาคโลหิต")</f>
        <v>บริจาคโลหิต</v>
      </c>
      <c r="I652" s="3" t="str">
        <f>IFERROR(__xludf.DUMMYFUNCTION("""COMPUTED_VALUE"""),"รพ.ภูมิพลอดุลยเดช")</f>
        <v>รพ.ภูมิพลอดุลยเดช</v>
      </c>
      <c r="J652" s="12">
        <f>IFERROR(__xludf.DUMMYFUNCTION("""COMPUTED_VALUE"""),46175.0)</f>
        <v>46175</v>
      </c>
      <c r="K652" s="3" t="str">
        <f>IFERROR(__xludf.DUMMYFUNCTION("""COMPUTED_VALUE"""),"1300-1400")</f>
        <v>1300-1400</v>
      </c>
      <c r="L652" s="3">
        <f>IFERROR(__xludf.DUMMYFUNCTION("""COMPUTED_VALUE"""),8.0)</f>
        <v>8</v>
      </c>
      <c r="M652" s="3" t="str">
        <f>IFERROR(__xludf.DUMMYFUNCTION("""COMPUTED_VALUE"""),"น.ท.หญิง สุพัตรา ปิ่นแก้ว")</f>
        <v>น.ท.หญิง สุพัตรา ปิ่นแก้ว</v>
      </c>
      <c r="N652" s="14" t="str">
        <f>IFERROR(__xludf.DUMMYFUNCTION("""COMPUTED_VALUE"""),"https://lh5.googleusercontent.com/d/14OU5-5ipfqLllldW2XV-nIZhJEuZvsGK")</f>
        <v>https://lh5.googleusercontent.com/d/14OU5-5ipfqLllldW2XV-nIZhJEuZvsGK</v>
      </c>
      <c r="O652" s="14" t="str">
        <f>IFERROR(__xludf.DUMMYFUNCTION("""COMPUTED_VALUE"""),"https://drive.google.com/file/d/1c1GBl9cRfM4-0fhqkRnGEroIHjE9l6ZU/view?usp=drivesdk")</f>
        <v>https://drive.google.com/file/d/1c1GBl9cRfM4-0fhqkRnGEroIHjE9l6ZU/view?usp=drivesdk</v>
      </c>
    </row>
    <row r="653">
      <c r="A653" s="3">
        <f>IFERROR(__xludf.DUMMYFUNCTION("""COMPUTED_VALUE"""),2747.0)</f>
        <v>2747</v>
      </c>
      <c r="B653" s="11">
        <f>IFERROR(__xludf.DUMMYFUNCTION("""COMPUTED_VALUE"""),46176.3499821875)</f>
        <v>46176.34998</v>
      </c>
      <c r="C653" s="3" t="str">
        <f>IFERROR(__xludf.DUMMYFUNCTION("""COMPUTED_VALUE"""),"ชั้นปีที่ 3")</f>
        <v>ชั้นปีที่ 3</v>
      </c>
      <c r="D653" s="3" t="str">
        <f>IFERROR(__xludf.DUMMYFUNCTION("""COMPUTED_VALUE"""),"6603782")</f>
        <v>6603782</v>
      </c>
      <c r="E653" s="3" t="str">
        <f>IFERROR(__xludf.DUMMYFUNCTION("""COMPUTED_VALUE"""),"28")</f>
        <v>28</v>
      </c>
      <c r="F653" s="3" t="str">
        <f>IFERROR(__xludf.DUMMYFUNCTION("""COMPUTED_VALUE"""),"นพอ.เนตรชนก ชูหนู")</f>
        <v>นพอ.เนตรชนก ชูหนู</v>
      </c>
      <c r="G653" s="3" t="str">
        <f>IFERROR(__xludf.DUMMYFUNCTION("""COMPUTED_VALUE"""),"ช่วยเหลืองานภายใน วพอ.")</f>
        <v>ช่วยเหลืองานภายใน วพอ.</v>
      </c>
      <c r="H653" s="3" t="str">
        <f>IFERROR(__xludf.DUMMYFUNCTION("""COMPUTED_VALUE"""),"ช่วยเหลืองานรับสมัครนพอ รุ่น69")</f>
        <v>ช่วยเหลืองานรับสมัครนพอ รุ่น69</v>
      </c>
      <c r="I653" s="3" t="str">
        <f>IFERROR(__xludf.DUMMYFUNCTION("""COMPUTED_VALUE"""),"วพอ.พอ.")</f>
        <v>วพอ.พอ.</v>
      </c>
      <c r="J653" s="12">
        <f>IFERROR(__xludf.DUMMYFUNCTION("""COMPUTED_VALUE"""),46147.0)</f>
        <v>46147</v>
      </c>
      <c r="K653" s="3" t="str">
        <f>IFERROR(__xludf.DUMMYFUNCTION("""COMPUTED_VALUE"""),"0700-1500")</f>
        <v>0700-1500</v>
      </c>
      <c r="L653" s="3">
        <f>IFERROR(__xludf.DUMMYFUNCTION("""COMPUTED_VALUE"""),8.0)</f>
        <v>8</v>
      </c>
      <c r="M653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653" s="14" t="str">
        <f>IFERROR(__xludf.DUMMYFUNCTION("""COMPUTED_VALUE"""),"https://lh5.googleusercontent.com/d/1qfJdACi5ntVit3s6yn7XDrfguNYr4T7M")</f>
        <v>https://lh5.googleusercontent.com/d/1qfJdACi5ntVit3s6yn7XDrfguNYr4T7M</v>
      </c>
      <c r="O653" s="14" t="str">
        <f>IFERROR(__xludf.DUMMYFUNCTION("""COMPUTED_VALUE"""),"https://drive.google.com/file/d/1x5tLo5I816zdzUBeRi0GdfnpI6M_pWDK/view?usp=drivesdk")</f>
        <v>https://drive.google.com/file/d/1x5tLo5I816zdzUBeRi0GdfnpI6M_pWDK/view?usp=drivesdk</v>
      </c>
    </row>
    <row r="654">
      <c r="A654" s="3">
        <f>IFERROR(__xludf.DUMMYFUNCTION("""COMPUTED_VALUE"""),2750.0)</f>
        <v>2750</v>
      </c>
      <c r="B654" s="11">
        <f>IFERROR(__xludf.DUMMYFUNCTION("""COMPUTED_VALUE"""),46176.35797880787)</f>
        <v>46176.35798</v>
      </c>
      <c r="C654" s="3" t="str">
        <f>IFERROR(__xludf.DUMMYFUNCTION("""COMPUTED_VALUE"""),"ชั้นปีที่ 3")</f>
        <v>ชั้นปีที่ 3</v>
      </c>
      <c r="D654" s="3" t="str">
        <f>IFERROR(__xludf.DUMMYFUNCTION("""COMPUTED_VALUE"""),"6603782")</f>
        <v>6603782</v>
      </c>
      <c r="E654" s="3" t="str">
        <f>IFERROR(__xludf.DUMMYFUNCTION("""COMPUTED_VALUE"""),"28")</f>
        <v>28</v>
      </c>
      <c r="F654" s="3" t="str">
        <f>IFERROR(__xludf.DUMMYFUNCTION("""COMPUTED_VALUE"""),"นพอ.เนตรชนก ชูหนู")</f>
        <v>นพอ.เนตรชนก ชูหนู</v>
      </c>
      <c r="G654" s="3" t="str">
        <f>IFERROR(__xludf.DUMMYFUNCTION("""COMPUTED_VALUE"""),"ช่วยเหลืองานภายใน วพอ.")</f>
        <v>ช่วยเหลืองานภายใน วพอ.</v>
      </c>
      <c r="H654" s="3" t="str">
        <f>IFERROR(__xludf.DUMMYFUNCTION("""COMPUTED_VALUE"""),"ช่วยจัดเก็บห้องปฏิบัติการมารดาทารกและการผดุงครรภ์")</f>
        <v>ช่วยจัดเก็บห้องปฏิบัติการมารดาทารกและการผดุงครรภ์</v>
      </c>
      <c r="I654" s="3" t="str">
        <f>IFERROR(__xludf.DUMMYFUNCTION("""COMPUTED_VALUE"""),"ห้องปฏิบัติการมารดาทารกและการผดุงครรภ์ อาคารศูนย์การเรียนรู้")</f>
        <v>ห้องปฏิบัติการมารดาทารกและการผดุงครรภ์ อาคารศูนย์การเรียนรู้</v>
      </c>
      <c r="J654" s="12">
        <f>IFERROR(__xludf.DUMMYFUNCTION("""COMPUTED_VALUE"""),46094.0)</f>
        <v>46094</v>
      </c>
      <c r="K654" s="3" t="str">
        <f>IFERROR(__xludf.DUMMYFUNCTION("""COMPUTED_VALUE"""),"0900-1000")</f>
        <v>0900-1000</v>
      </c>
      <c r="L654" s="3">
        <f>IFERROR(__xludf.DUMMYFUNCTION("""COMPUTED_VALUE"""),1.0)</f>
        <v>1</v>
      </c>
      <c r="M654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654" s="14" t="str">
        <f>IFERROR(__xludf.DUMMYFUNCTION("""COMPUTED_VALUE"""),"https://lh5.googleusercontent.com/d/1PLiBip91PbRM2ci7V8n1od8FBldnFfGt")</f>
        <v>https://lh5.googleusercontent.com/d/1PLiBip91PbRM2ci7V8n1od8FBldnFfGt</v>
      </c>
      <c r="O654" s="14" t="str">
        <f>IFERROR(__xludf.DUMMYFUNCTION("""COMPUTED_VALUE"""),"https://drive.google.com/file/d/1eEKOVueLYzxHhEaOh7b0HV_3iRWeTuPk/view?usp=drivesdk")</f>
        <v>https://drive.google.com/file/d/1eEKOVueLYzxHhEaOh7b0HV_3iRWeTuPk/view?usp=drivesdk</v>
      </c>
    </row>
    <row r="655">
      <c r="A655" s="3">
        <f>IFERROR(__xludf.DUMMYFUNCTION("""COMPUTED_VALUE"""),2776.0)</f>
        <v>2776</v>
      </c>
      <c r="B655" s="11">
        <f>IFERROR(__xludf.DUMMYFUNCTION("""COMPUTED_VALUE"""),46176.41035634259)</f>
        <v>46176.41036</v>
      </c>
      <c r="C655" s="3" t="str">
        <f>IFERROR(__xludf.DUMMYFUNCTION("""COMPUTED_VALUE"""),"ชั้นปีที่ 3")</f>
        <v>ชั้นปีที่ 3</v>
      </c>
      <c r="D655" s="3" t="str">
        <f>IFERROR(__xludf.DUMMYFUNCTION("""COMPUTED_VALUE"""),"6603798")</f>
        <v>6603798</v>
      </c>
      <c r="E655" s="3" t="str">
        <f>IFERROR(__xludf.DUMMYFUNCTION("""COMPUTED_VALUE"""),"44")</f>
        <v>44</v>
      </c>
      <c r="F655" s="3" t="str">
        <f>IFERROR(__xludf.DUMMYFUNCTION("""COMPUTED_VALUE"""),"นพอ.วรรณพร ศรีด่านจาก")</f>
        <v>นพอ.วรรณพร ศรีด่านจาก</v>
      </c>
      <c r="G65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5" s="3" t="str">
        <f>IFERROR(__xludf.DUMMYFUNCTION("""COMPUTED_VALUE"""),"บริจาคโลหิต")</f>
        <v>บริจาคโลหิต</v>
      </c>
      <c r="I655" s="3" t="str">
        <f>IFERROR(__xludf.DUMMYFUNCTION("""COMPUTED_VALUE"""),"เดอะมอลล์นครราชสีมา")</f>
        <v>เดอะมอลล์นครราชสีมา</v>
      </c>
      <c r="J655" s="12">
        <f>IFERROR(__xludf.DUMMYFUNCTION("""COMPUTED_VALUE"""),46053.0)</f>
        <v>46053</v>
      </c>
      <c r="K655" s="3" t="str">
        <f>IFERROR(__xludf.DUMMYFUNCTION("""COMPUTED_VALUE"""),"1300")</f>
        <v>1300</v>
      </c>
      <c r="L655" s="3">
        <f>IFERROR(__xludf.DUMMYFUNCTION("""COMPUTED_VALUE"""),8.0)</f>
        <v>8</v>
      </c>
      <c r="M655" s="3" t="str">
        <f>IFERROR(__xludf.DUMMYFUNCTION("""COMPUTED_VALUE"""),"ศูนย์บริจาคโลหิตเดอะมอลล์")</f>
        <v>ศูนย์บริจาคโลหิตเดอะมอลล์</v>
      </c>
      <c r="N655" s="14" t="str">
        <f>IFERROR(__xludf.DUMMYFUNCTION("""COMPUTED_VALUE"""),"https://lh5.googleusercontent.com/d/1irJff7EjJnTC_5h_A4EQk3POfyDaaMJt")</f>
        <v>https://lh5.googleusercontent.com/d/1irJff7EjJnTC_5h_A4EQk3POfyDaaMJt</v>
      </c>
      <c r="O655" s="14" t="str">
        <f>IFERROR(__xludf.DUMMYFUNCTION("""COMPUTED_VALUE"""),"https://drive.google.com/file/d/12xkQ864eHbKYxbMYSURxu-lvCk816FSi/view?usp=drivesdk")</f>
        <v>https://drive.google.com/file/d/12xkQ864eHbKYxbMYSURxu-lvCk816FSi/view?usp=drivesdk</v>
      </c>
    </row>
    <row r="656">
      <c r="A656" s="3">
        <f>IFERROR(__xludf.DUMMYFUNCTION("""COMPUTED_VALUE"""),2781.0)</f>
        <v>2781</v>
      </c>
      <c r="B656" s="11">
        <f>IFERROR(__xludf.DUMMYFUNCTION("""COMPUTED_VALUE"""),46176.41513393519)</f>
        <v>46176.41513</v>
      </c>
      <c r="C656" s="3" t="str">
        <f>IFERROR(__xludf.DUMMYFUNCTION("""COMPUTED_VALUE"""),"ชั้นปีที่ 3")</f>
        <v>ชั้นปีที่ 3</v>
      </c>
      <c r="D656" s="3" t="str">
        <f>IFERROR(__xludf.DUMMYFUNCTION("""COMPUTED_VALUE"""),"6603798")</f>
        <v>6603798</v>
      </c>
      <c r="E656" s="3" t="str">
        <f>IFERROR(__xludf.DUMMYFUNCTION("""COMPUTED_VALUE"""),"44")</f>
        <v>44</v>
      </c>
      <c r="F656" s="3" t="str">
        <f>IFERROR(__xludf.DUMMYFUNCTION("""COMPUTED_VALUE"""),"นพอ.วรรณพร ศรีด่านจาก")</f>
        <v>นพอ.วรรณพร ศรีด่านจาก</v>
      </c>
      <c r="G65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6" s="3" t="str">
        <f>IFERROR(__xludf.DUMMYFUNCTION("""COMPUTED_VALUE"""),"บริจาคโลหิต")</f>
        <v>บริจาคโลหิต</v>
      </c>
      <c r="I656" s="3" t="str">
        <f>IFERROR(__xludf.DUMMYFUNCTION("""COMPUTED_VALUE"""),"โรงพยาบาลภูมิพลอดุลยเดช")</f>
        <v>โรงพยาบาลภูมิพลอดุลยเดช</v>
      </c>
      <c r="J656" s="12">
        <f>IFERROR(__xludf.DUMMYFUNCTION("""COMPUTED_VALUE"""),46175.0)</f>
        <v>46175</v>
      </c>
      <c r="K656" s="3" t="str">
        <f>IFERROR(__xludf.DUMMYFUNCTION("""COMPUTED_VALUE"""),"1330")</f>
        <v>1330</v>
      </c>
      <c r="L656" s="3">
        <f>IFERROR(__xludf.DUMMYFUNCTION("""COMPUTED_VALUE"""),8.0)</f>
        <v>8</v>
      </c>
      <c r="M656" s="3" t="str">
        <f>IFERROR(__xludf.DUMMYFUNCTION("""COMPUTED_VALUE"""),"ศูนย์บริจาคโลหิตรพ.ภูมิพล")</f>
        <v>ศูนย์บริจาคโลหิตรพ.ภูมิพล</v>
      </c>
      <c r="N656" s="14" t="str">
        <f>IFERROR(__xludf.DUMMYFUNCTION("""COMPUTED_VALUE"""),"https://lh5.googleusercontent.com/d/1mwx10EhW5PIyhwDiUjIog5VcXHkHWWwD")</f>
        <v>https://lh5.googleusercontent.com/d/1mwx10EhW5PIyhwDiUjIog5VcXHkHWWwD</v>
      </c>
      <c r="O656" s="14" t="str">
        <f>IFERROR(__xludf.DUMMYFUNCTION("""COMPUTED_VALUE"""),"https://drive.google.com/file/d/1L_4OkusZ_eRW7Vcfik5yh8R3n9Sfu74q/view?usp=drivesdk")</f>
        <v>https://drive.google.com/file/d/1L_4OkusZ_eRW7Vcfik5yh8R3n9Sfu74q/view?usp=drivesdk</v>
      </c>
    </row>
    <row r="657">
      <c r="A657" s="3">
        <f>IFERROR(__xludf.DUMMYFUNCTION("""COMPUTED_VALUE"""),2784.0)</f>
        <v>2784</v>
      </c>
      <c r="B657" s="11">
        <f>IFERROR(__xludf.DUMMYFUNCTION("""COMPUTED_VALUE"""),46176.41975472222)</f>
        <v>46176.41975</v>
      </c>
      <c r="C657" s="3" t="str">
        <f>IFERROR(__xludf.DUMMYFUNCTION("""COMPUTED_VALUE"""),"ชั้นปีที่ 3")</f>
        <v>ชั้นปีที่ 3</v>
      </c>
      <c r="D657" s="3" t="str">
        <f>IFERROR(__xludf.DUMMYFUNCTION("""COMPUTED_VALUE"""),"6603798")</f>
        <v>6603798</v>
      </c>
      <c r="E657" s="3" t="str">
        <f>IFERROR(__xludf.DUMMYFUNCTION("""COMPUTED_VALUE"""),"44")</f>
        <v>44</v>
      </c>
      <c r="F657" s="3" t="str">
        <f>IFERROR(__xludf.DUMMYFUNCTION("""COMPUTED_VALUE"""),"นพอ.วรรณพร ศรีด่านจาก")</f>
        <v>นพอ.วรรณพร ศรีด่านจาก</v>
      </c>
      <c r="G657" s="3" t="str">
        <f>IFERROR(__xludf.DUMMYFUNCTION("""COMPUTED_VALUE"""),"ทำนุบำรุงศาสนสถาน")</f>
        <v>ทำนุบำรุงศาสนสถาน</v>
      </c>
      <c r="H657" s="3" t="str">
        <f>IFERROR(__xludf.DUMMYFUNCTION("""COMPUTED_VALUE"""),"กวาดลานวัด")</f>
        <v>กวาดลานวัด</v>
      </c>
      <c r="I657" s="3" t="str">
        <f>IFERROR(__xludf.DUMMYFUNCTION("""COMPUTED_VALUE"""),"วัดหนองไผ่")</f>
        <v>วัดหนองไผ่</v>
      </c>
      <c r="J657" s="12">
        <f>IFERROR(__xludf.DUMMYFUNCTION("""COMPUTED_VALUE"""),46125.0)</f>
        <v>46125</v>
      </c>
      <c r="K657" s="3" t="str">
        <f>IFERROR(__xludf.DUMMYFUNCTION("""COMPUTED_VALUE"""),"1000-1100")</f>
        <v>1000-1100</v>
      </c>
      <c r="L657" s="3">
        <f>IFERROR(__xludf.DUMMYFUNCTION("""COMPUTED_VALUE"""),1.0)</f>
        <v>1</v>
      </c>
      <c r="M657" s="3" t="str">
        <f>IFERROR(__xludf.DUMMYFUNCTION("""COMPUTED_VALUE"""),"เจ้าอาวาสวัดหนองไผ่")</f>
        <v>เจ้าอาวาสวัดหนองไผ่</v>
      </c>
      <c r="N657" s="14" t="str">
        <f>IFERROR(__xludf.DUMMYFUNCTION("""COMPUTED_VALUE"""),"https://lh5.googleusercontent.com/d/1VsMxBIr38CuWiTKSEkLC6k-hGh3WHOB6")</f>
        <v>https://lh5.googleusercontent.com/d/1VsMxBIr38CuWiTKSEkLC6k-hGh3WHOB6</v>
      </c>
      <c r="O657" s="14" t="str">
        <f>IFERROR(__xludf.DUMMYFUNCTION("""COMPUTED_VALUE"""),"https://drive.google.com/file/d/18GUORMaH7vPi1mdSts7qiZhVCUJvhAx_/view?usp=drivesdk")</f>
        <v>https://drive.google.com/file/d/18GUORMaH7vPi1mdSts7qiZhVCUJvhAx_/view?usp=drivesdk</v>
      </c>
    </row>
    <row r="658">
      <c r="A658" s="3">
        <f>IFERROR(__xludf.DUMMYFUNCTION("""COMPUTED_VALUE"""),2788.0)</f>
        <v>2788</v>
      </c>
      <c r="B658" s="11">
        <f>IFERROR(__xludf.DUMMYFUNCTION("""COMPUTED_VALUE"""),46176.42481680556)</f>
        <v>46176.42482</v>
      </c>
      <c r="C658" s="3" t="str">
        <f>IFERROR(__xludf.DUMMYFUNCTION("""COMPUTED_VALUE"""),"ชั้นปีที่ 3")</f>
        <v>ชั้นปีที่ 3</v>
      </c>
      <c r="D658" s="3" t="str">
        <f>IFERROR(__xludf.DUMMYFUNCTION("""COMPUTED_VALUE"""),"6603798")</f>
        <v>6603798</v>
      </c>
      <c r="E658" s="3" t="str">
        <f>IFERROR(__xludf.DUMMYFUNCTION("""COMPUTED_VALUE"""),"44")</f>
        <v>44</v>
      </c>
      <c r="F658" s="3" t="str">
        <f>IFERROR(__xludf.DUMMYFUNCTION("""COMPUTED_VALUE"""),"นพอ.วรรณพร ศรีด่านจาก")</f>
        <v>นพอ.วรรณพร ศรีด่านจาก</v>
      </c>
      <c r="G6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8" s="3" t="str">
        <f>IFERROR(__xludf.DUMMYFUNCTION("""COMPUTED_VALUE"""),"ซ้อมพิธีมอบหมวกพยาบาลวิชาชีพ ปีการศึกษา 2568")</f>
        <v>ซ้อมพิธีมอบหมวกพยาบาลวิชาชีพ ปีการศึกษา 2568</v>
      </c>
      <c r="I658" s="3" t="str">
        <f>IFERROR(__xludf.DUMMYFUNCTION("""COMPUTED_VALUE"""),"วิทยาลัยพยาบาลทหารอากาศ")</f>
        <v>วิทยาลัยพยาบาลทหารอากาศ</v>
      </c>
      <c r="J658" s="12">
        <f>IFERROR(__xludf.DUMMYFUNCTION("""COMPUTED_VALUE"""),46135.0)</f>
        <v>46135</v>
      </c>
      <c r="K658" s="3" t="str">
        <f>IFERROR(__xludf.DUMMYFUNCTION("""COMPUTED_VALUE"""),"1700-2100")</f>
        <v>1700-2100</v>
      </c>
      <c r="L658" s="3">
        <f>IFERROR(__xludf.DUMMYFUNCTION("""COMPUTED_VALUE"""),4.0)</f>
        <v>4</v>
      </c>
      <c r="M658" s="3" t="str">
        <f>IFERROR(__xludf.DUMMYFUNCTION("""COMPUTED_VALUE"""),"ร.อ.อนุชิต ทำจะดี")</f>
        <v>ร.อ.อนุชิต ทำจะดี</v>
      </c>
      <c r="N658" s="14" t="str">
        <f>IFERROR(__xludf.DUMMYFUNCTION("""COMPUTED_VALUE"""),"https://lh5.googleusercontent.com/d/1IpvLHg7bVU2E3Z5e4w5gCnmnyeFdMfLe")</f>
        <v>https://lh5.googleusercontent.com/d/1IpvLHg7bVU2E3Z5e4w5gCnmnyeFdMfLe</v>
      </c>
      <c r="O658" s="14" t="str">
        <f>IFERROR(__xludf.DUMMYFUNCTION("""COMPUTED_VALUE"""),"https://drive.google.com/file/d/1ajhheTBRJT5_jebFy8n1j3Ut_Xj9zaqB/view?usp=drivesdk")</f>
        <v>https://drive.google.com/file/d/1ajhheTBRJT5_jebFy8n1j3Ut_Xj9zaqB/view?usp=drivesdk</v>
      </c>
    </row>
    <row r="659">
      <c r="A659" s="3">
        <f>IFERROR(__xludf.DUMMYFUNCTION("""COMPUTED_VALUE"""),2789.0)</f>
        <v>2789</v>
      </c>
      <c r="B659" s="11">
        <f>IFERROR(__xludf.DUMMYFUNCTION("""COMPUTED_VALUE"""),46176.42659756944)</f>
        <v>46176.4266</v>
      </c>
      <c r="C659" s="3" t="str">
        <f>IFERROR(__xludf.DUMMYFUNCTION("""COMPUTED_VALUE"""),"ชั้นปีที่ 3")</f>
        <v>ชั้นปีที่ 3</v>
      </c>
      <c r="D659" s="3" t="str">
        <f>IFERROR(__xludf.DUMMYFUNCTION("""COMPUTED_VALUE"""),"6603798")</f>
        <v>6603798</v>
      </c>
      <c r="E659" s="3" t="str">
        <f>IFERROR(__xludf.DUMMYFUNCTION("""COMPUTED_VALUE"""),"44")</f>
        <v>44</v>
      </c>
      <c r="F659" s="3" t="str">
        <f>IFERROR(__xludf.DUMMYFUNCTION("""COMPUTED_VALUE"""),"นพอ.วรรณพร ศรีด่านจาก")</f>
        <v>นพอ.วรรณพร ศรีด่านจาก</v>
      </c>
      <c r="G6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9" s="3" t="str">
        <f>IFERROR(__xludf.DUMMYFUNCTION("""COMPUTED_VALUE"""),"ซ้อมพิธีมอบหมวกพยาบาลวิชาชีพ ปีการศึกษา 2568")</f>
        <v>ซ้อมพิธีมอบหมวกพยาบาลวิชาชีพ ปีการศึกษา 2568</v>
      </c>
      <c r="I659" s="3" t="str">
        <f>IFERROR(__xludf.DUMMYFUNCTION("""COMPUTED_VALUE"""),"วพอ.พอ.")</f>
        <v>วพอ.พอ.</v>
      </c>
      <c r="J659" s="12">
        <f>IFERROR(__xludf.DUMMYFUNCTION("""COMPUTED_VALUE"""),46138.0)</f>
        <v>46138</v>
      </c>
      <c r="K659" s="3" t="str">
        <f>IFERROR(__xludf.DUMMYFUNCTION("""COMPUTED_VALUE"""),"1500-2100")</f>
        <v>1500-2100</v>
      </c>
      <c r="L659" s="3">
        <f>IFERROR(__xludf.DUMMYFUNCTION("""COMPUTED_VALUE"""),6.0)</f>
        <v>6</v>
      </c>
      <c r="M659" s="3" t="str">
        <f>IFERROR(__xludf.DUMMYFUNCTION("""COMPUTED_VALUE"""),"ร.อ.อนุชิต ทำจะดี")</f>
        <v>ร.อ.อนุชิต ทำจะดี</v>
      </c>
      <c r="N659" s="14" t="str">
        <f>IFERROR(__xludf.DUMMYFUNCTION("""COMPUTED_VALUE"""),"https://lh5.googleusercontent.com/d/11RYpVEYnwmZKnTpSGEz4sCHOqb9vmKsB")</f>
        <v>https://lh5.googleusercontent.com/d/11RYpVEYnwmZKnTpSGEz4sCHOqb9vmKsB</v>
      </c>
      <c r="O659" s="14" t="str">
        <f>IFERROR(__xludf.DUMMYFUNCTION("""COMPUTED_VALUE"""),"https://drive.google.com/file/d/1tN9U_hRoXDpDNz-M2rlBT7O2BLWG9t8M/view?usp=drivesdk")</f>
        <v>https://drive.google.com/file/d/1tN9U_hRoXDpDNz-M2rlBT7O2BLWG9t8M/view?usp=drivesdk</v>
      </c>
    </row>
    <row r="660">
      <c r="A660" s="3">
        <f>IFERROR(__xludf.DUMMYFUNCTION("""COMPUTED_VALUE"""),2791.0)</f>
        <v>2791</v>
      </c>
      <c r="B660" s="11">
        <f>IFERROR(__xludf.DUMMYFUNCTION("""COMPUTED_VALUE"""),46176.42816984954)</f>
        <v>46176.42817</v>
      </c>
      <c r="C660" s="3" t="str">
        <f>IFERROR(__xludf.DUMMYFUNCTION("""COMPUTED_VALUE"""),"ชั้นปีที่ 3")</f>
        <v>ชั้นปีที่ 3</v>
      </c>
      <c r="D660" s="3" t="str">
        <f>IFERROR(__xludf.DUMMYFUNCTION("""COMPUTED_VALUE"""),"6603798")</f>
        <v>6603798</v>
      </c>
      <c r="E660" s="3" t="str">
        <f>IFERROR(__xludf.DUMMYFUNCTION("""COMPUTED_VALUE"""),"44")</f>
        <v>44</v>
      </c>
      <c r="F660" s="3" t="str">
        <f>IFERROR(__xludf.DUMMYFUNCTION("""COMPUTED_VALUE"""),"นพอ.วรรณพร ศรีด่านจาก")</f>
        <v>นพอ.วรรณพร ศรีด่านจาก</v>
      </c>
      <c r="G66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0" s="3" t="str">
        <f>IFERROR(__xludf.DUMMYFUNCTION("""COMPUTED_VALUE"""),"ซ้อมพิธีมอบหมวกพยาบาลวิชาชีพ ปีการศึกษา 2568")</f>
        <v>ซ้อมพิธีมอบหมวกพยาบาลวิชาชีพ ปีการศึกษา 2568</v>
      </c>
      <c r="I660" s="3" t="str">
        <f>IFERROR(__xludf.DUMMYFUNCTION("""COMPUTED_VALUE"""),"หอประชุมธูปะเตมีย์รพ.ภูมิพล")</f>
        <v>หอประชุมธูปะเตมีย์รพ.ภูมิพล</v>
      </c>
      <c r="J660" s="12">
        <f>IFERROR(__xludf.DUMMYFUNCTION("""COMPUTED_VALUE"""),46139.0)</f>
        <v>46139</v>
      </c>
      <c r="K660" s="3" t="str">
        <f>IFERROR(__xludf.DUMMYFUNCTION("""COMPUTED_VALUE"""),"1700-2100")</f>
        <v>1700-2100</v>
      </c>
      <c r="L660" s="3">
        <f>IFERROR(__xludf.DUMMYFUNCTION("""COMPUTED_VALUE"""),4.0)</f>
        <v>4</v>
      </c>
      <c r="M660" s="3" t="str">
        <f>IFERROR(__xludf.DUMMYFUNCTION("""COMPUTED_VALUE"""),"ร.อ.อนุชิต ทำจะดี")</f>
        <v>ร.อ.อนุชิต ทำจะดี</v>
      </c>
      <c r="N660" s="14" t="str">
        <f>IFERROR(__xludf.DUMMYFUNCTION("""COMPUTED_VALUE"""),"https://lh5.googleusercontent.com/d/1QiBFLMyc2wG5hHc9cf-Ib0H-ih3JoY5Z")</f>
        <v>https://lh5.googleusercontent.com/d/1QiBFLMyc2wG5hHc9cf-Ib0H-ih3JoY5Z</v>
      </c>
      <c r="O660" s="14" t="str">
        <f>IFERROR(__xludf.DUMMYFUNCTION("""COMPUTED_VALUE"""),"https://drive.google.com/file/d/16oNVQu81rPd7R8Kwl567qVLGU4R6xQVS/view?usp=drivesdk")</f>
        <v>https://drive.google.com/file/d/16oNVQu81rPd7R8Kwl567qVLGU4R6xQVS/view?usp=drivesdk</v>
      </c>
    </row>
    <row r="661">
      <c r="A661" s="3">
        <f>IFERROR(__xludf.DUMMYFUNCTION("""COMPUTED_VALUE"""),2855.0)</f>
        <v>2855</v>
      </c>
      <c r="B661" s="11">
        <f>IFERROR(__xludf.DUMMYFUNCTION("""COMPUTED_VALUE"""),46176.89829318287)</f>
        <v>46176.89829</v>
      </c>
      <c r="C661" s="3" t="str">
        <f>IFERROR(__xludf.DUMMYFUNCTION("""COMPUTED_VALUE"""),"ชั้นปีที่ 3")</f>
        <v>ชั้นปีที่ 3</v>
      </c>
      <c r="D661" s="3" t="str">
        <f>IFERROR(__xludf.DUMMYFUNCTION("""COMPUTED_VALUE"""),"6603792")</f>
        <v>6603792</v>
      </c>
      <c r="E661" s="3" t="str">
        <f>IFERROR(__xludf.DUMMYFUNCTION("""COMPUTED_VALUE"""),"38")</f>
        <v>38</v>
      </c>
      <c r="F661" s="3" t="str">
        <f>IFERROR(__xludf.DUMMYFUNCTION("""COMPUTED_VALUE"""),"นพอ.พลอยไพลิน สุทธหลวง")</f>
        <v>นพอ.พลอยไพลิน สุทธหลวง</v>
      </c>
      <c r="G661" s="3" t="str">
        <f>IFERROR(__xludf.DUMMYFUNCTION("""COMPUTED_VALUE"""),"ช่วยเหลืองานภายใน วพอ.")</f>
        <v>ช่วยเหลืองานภายใน วพอ.</v>
      </c>
      <c r="H66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1" s="3" t="str">
        <f>IFERROR(__xludf.DUMMYFUNCTION("""COMPUTED_VALUE"""),"วพอ.พอ.")</f>
        <v>วพอ.พอ.</v>
      </c>
      <c r="J661" s="12">
        <f>IFERROR(__xludf.DUMMYFUNCTION("""COMPUTED_VALUE"""),46133.0)</f>
        <v>46133</v>
      </c>
      <c r="K661" s="3" t="str">
        <f>IFERROR(__xludf.DUMMYFUNCTION("""COMPUTED_VALUE"""),"1700-2100")</f>
        <v>1700-2100</v>
      </c>
      <c r="L661" s="3">
        <f>IFERROR(__xludf.DUMMYFUNCTION("""COMPUTED_VALUE"""),4.0)</f>
        <v>4</v>
      </c>
      <c r="M661" s="3" t="str">
        <f>IFERROR(__xludf.DUMMYFUNCTION("""COMPUTED_VALUE"""),"ร.อ.อนุชิต ทำจะดี")</f>
        <v>ร.อ.อนุชิต ทำจะดี</v>
      </c>
      <c r="N661" s="14" t="str">
        <f>IFERROR(__xludf.DUMMYFUNCTION("""COMPUTED_VALUE"""),"https://lh5.googleusercontent.com/d/1yL8MEJko0sMl3uIR_RfoS5ERoP4qqruJ")</f>
        <v>https://lh5.googleusercontent.com/d/1yL8MEJko0sMl3uIR_RfoS5ERoP4qqruJ</v>
      </c>
      <c r="O661" s="14" t="str">
        <f>IFERROR(__xludf.DUMMYFUNCTION("""COMPUTED_VALUE"""),"https://drive.google.com/file/d/1RPQt1OGmE8dYGrRENUpsK_GJdy4JXr1E/view?usp=drivesdk")</f>
        <v>https://drive.google.com/file/d/1RPQt1OGmE8dYGrRENUpsK_GJdy4JXr1E/view?usp=drivesdk</v>
      </c>
    </row>
    <row r="662">
      <c r="A662" s="3">
        <f>IFERROR(__xludf.DUMMYFUNCTION("""COMPUTED_VALUE"""),2856.0)</f>
        <v>2856</v>
      </c>
      <c r="B662" s="11">
        <f>IFERROR(__xludf.DUMMYFUNCTION("""COMPUTED_VALUE"""),46176.8997984375)</f>
        <v>46176.8998</v>
      </c>
      <c r="C662" s="3" t="str">
        <f>IFERROR(__xludf.DUMMYFUNCTION("""COMPUTED_VALUE"""),"ชั้นปีที่ 3")</f>
        <v>ชั้นปีที่ 3</v>
      </c>
      <c r="D662" s="3" t="str">
        <f>IFERROR(__xludf.DUMMYFUNCTION("""COMPUTED_VALUE"""),"6603792")</f>
        <v>6603792</v>
      </c>
      <c r="E662" s="3" t="str">
        <f>IFERROR(__xludf.DUMMYFUNCTION("""COMPUTED_VALUE"""),"38")</f>
        <v>38</v>
      </c>
      <c r="F662" s="3" t="str">
        <f>IFERROR(__xludf.DUMMYFUNCTION("""COMPUTED_VALUE"""),"นพอ.พลอยไพลิน สุทธหลวง")</f>
        <v>นพอ.พลอยไพลิน สุทธหลวง</v>
      </c>
      <c r="G662" s="3" t="str">
        <f>IFERROR(__xludf.DUMMYFUNCTION("""COMPUTED_VALUE"""),"ช่วยเหลืองานภายใน วพอ.")</f>
        <v>ช่วยเหลืองานภายใน วพอ.</v>
      </c>
      <c r="H66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2" s="3" t="str">
        <f>IFERROR(__xludf.DUMMYFUNCTION("""COMPUTED_VALUE"""),"วพอ.พอ.")</f>
        <v>วพอ.พอ.</v>
      </c>
      <c r="J662" s="12">
        <f>IFERROR(__xludf.DUMMYFUNCTION("""COMPUTED_VALUE"""),46134.0)</f>
        <v>46134</v>
      </c>
      <c r="K662" s="3" t="str">
        <f>IFERROR(__xludf.DUMMYFUNCTION("""COMPUTED_VALUE"""),"1700-2100")</f>
        <v>1700-2100</v>
      </c>
      <c r="L662" s="3">
        <f>IFERROR(__xludf.DUMMYFUNCTION("""COMPUTED_VALUE"""),4.0)</f>
        <v>4</v>
      </c>
      <c r="M662" s="3" t="str">
        <f>IFERROR(__xludf.DUMMYFUNCTION("""COMPUTED_VALUE"""),"ร.อ.อนุชิต ทำจะดี")</f>
        <v>ร.อ.อนุชิต ทำจะดี</v>
      </c>
      <c r="N662" s="14" t="str">
        <f>IFERROR(__xludf.DUMMYFUNCTION("""COMPUTED_VALUE"""),"https://lh5.googleusercontent.com/d/1BU0Lv6iJO_aJvx2JIb7zcAI9kNCMWgVT")</f>
        <v>https://lh5.googleusercontent.com/d/1BU0Lv6iJO_aJvx2JIb7zcAI9kNCMWgVT</v>
      </c>
      <c r="O662" s="14" t="str">
        <f>IFERROR(__xludf.DUMMYFUNCTION("""COMPUTED_VALUE"""),"https://drive.google.com/file/d/1dRjNwtZAtY8l4wIptw7IvPCdsFAvEOyL/view?usp=drivesdk")</f>
        <v>https://drive.google.com/file/d/1dRjNwtZAtY8l4wIptw7IvPCdsFAvEOyL/view?usp=drivesdk</v>
      </c>
    </row>
    <row r="663">
      <c r="A663" s="3">
        <f>IFERROR(__xludf.DUMMYFUNCTION("""COMPUTED_VALUE"""),2857.0)</f>
        <v>2857</v>
      </c>
      <c r="B663" s="11">
        <f>IFERROR(__xludf.DUMMYFUNCTION("""COMPUTED_VALUE"""),46176.90182568287)</f>
        <v>46176.90183</v>
      </c>
      <c r="C663" s="3" t="str">
        <f>IFERROR(__xludf.DUMMYFUNCTION("""COMPUTED_VALUE"""),"ชั้นปีที่ 3")</f>
        <v>ชั้นปีที่ 3</v>
      </c>
      <c r="D663" s="3" t="str">
        <f>IFERROR(__xludf.DUMMYFUNCTION("""COMPUTED_VALUE"""),"6603792")</f>
        <v>6603792</v>
      </c>
      <c r="E663" s="3" t="str">
        <f>IFERROR(__xludf.DUMMYFUNCTION("""COMPUTED_VALUE"""),"38")</f>
        <v>38</v>
      </c>
      <c r="F663" s="3" t="str">
        <f>IFERROR(__xludf.DUMMYFUNCTION("""COMPUTED_VALUE"""),"นพอ.พลอยไพลิน สุทธหลวง")</f>
        <v>นพอ.พลอยไพลิน สุทธหลวง</v>
      </c>
      <c r="G663" s="3" t="str">
        <f>IFERROR(__xludf.DUMMYFUNCTION("""COMPUTED_VALUE"""),"ช่วยเหลืองานภายใน วพอ.")</f>
        <v>ช่วยเหลืองานภายใน วพอ.</v>
      </c>
      <c r="H66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3" s="3" t="str">
        <f>IFERROR(__xludf.DUMMYFUNCTION("""COMPUTED_VALUE"""),"วพอ.พอ.")</f>
        <v>วพอ.พอ.</v>
      </c>
      <c r="J663" s="12">
        <f>IFERROR(__xludf.DUMMYFUNCTION("""COMPUTED_VALUE"""),46135.0)</f>
        <v>46135</v>
      </c>
      <c r="K663" s="3" t="str">
        <f>IFERROR(__xludf.DUMMYFUNCTION("""COMPUTED_VALUE"""),"1700-2100")</f>
        <v>1700-2100</v>
      </c>
      <c r="L663" s="3">
        <f>IFERROR(__xludf.DUMMYFUNCTION("""COMPUTED_VALUE"""),4.0)</f>
        <v>4</v>
      </c>
      <c r="M663" s="3" t="str">
        <f>IFERROR(__xludf.DUMMYFUNCTION("""COMPUTED_VALUE"""),"ร.อ.อนุชิต ทำจะดี")</f>
        <v>ร.อ.อนุชิต ทำจะดี</v>
      </c>
      <c r="N663" s="14" t="str">
        <f>IFERROR(__xludf.DUMMYFUNCTION("""COMPUTED_VALUE"""),"https://lh5.googleusercontent.com/d/15r6vGOcyP8sKgG6_u3u1F57MxdaSN4Tr")</f>
        <v>https://lh5.googleusercontent.com/d/15r6vGOcyP8sKgG6_u3u1F57MxdaSN4Tr</v>
      </c>
      <c r="O663" s="14" t="str">
        <f>IFERROR(__xludf.DUMMYFUNCTION("""COMPUTED_VALUE"""),"https://drive.google.com/file/d/16TQV6AB8WysPVGwrVn1eB4WXh_3XRWVG/view?usp=drivesdk")</f>
        <v>https://drive.google.com/file/d/16TQV6AB8WysPVGwrVn1eB4WXh_3XRWVG/view?usp=drivesdk</v>
      </c>
    </row>
    <row r="664">
      <c r="A664" s="3">
        <f>IFERROR(__xludf.DUMMYFUNCTION("""COMPUTED_VALUE"""),2858.0)</f>
        <v>2858</v>
      </c>
      <c r="B664" s="11">
        <f>IFERROR(__xludf.DUMMYFUNCTION("""COMPUTED_VALUE"""),46176.903477824075)</f>
        <v>46176.90348</v>
      </c>
      <c r="C664" s="3" t="str">
        <f>IFERROR(__xludf.DUMMYFUNCTION("""COMPUTED_VALUE"""),"ชั้นปีที่ 3")</f>
        <v>ชั้นปีที่ 3</v>
      </c>
      <c r="D664" s="3" t="str">
        <f>IFERROR(__xludf.DUMMYFUNCTION("""COMPUTED_VALUE"""),"6603792")</f>
        <v>6603792</v>
      </c>
      <c r="E664" s="3" t="str">
        <f>IFERROR(__xludf.DUMMYFUNCTION("""COMPUTED_VALUE"""),"38")</f>
        <v>38</v>
      </c>
      <c r="F664" s="3" t="str">
        <f>IFERROR(__xludf.DUMMYFUNCTION("""COMPUTED_VALUE"""),"นพอ.พลอยไพลิน สุทธหลวง")</f>
        <v>นพอ.พลอยไพลิน สุทธหลวง</v>
      </c>
      <c r="G664" s="3" t="str">
        <f>IFERROR(__xludf.DUMMYFUNCTION("""COMPUTED_VALUE"""),"ช่วยเหลืองานภายใน วพอ.")</f>
        <v>ช่วยเหลืองานภายใน วพอ.</v>
      </c>
      <c r="H66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4" s="3" t="str">
        <f>IFERROR(__xludf.DUMMYFUNCTION("""COMPUTED_VALUE"""),"วพอ.พอ.")</f>
        <v>วพอ.พอ.</v>
      </c>
      <c r="J664" s="12">
        <f>IFERROR(__xludf.DUMMYFUNCTION("""COMPUTED_VALUE"""),46138.0)</f>
        <v>46138</v>
      </c>
      <c r="K664" s="3" t="str">
        <f>IFERROR(__xludf.DUMMYFUNCTION("""COMPUTED_VALUE"""),"1500-2100")</f>
        <v>1500-2100</v>
      </c>
      <c r="L664" s="3">
        <f>IFERROR(__xludf.DUMMYFUNCTION("""COMPUTED_VALUE"""),6.0)</f>
        <v>6</v>
      </c>
      <c r="M664" s="3" t="str">
        <f>IFERROR(__xludf.DUMMYFUNCTION("""COMPUTED_VALUE"""),"ร.อ.อนุชิต ทำจะดี")</f>
        <v>ร.อ.อนุชิต ทำจะดี</v>
      </c>
      <c r="N664" s="14" t="str">
        <f>IFERROR(__xludf.DUMMYFUNCTION("""COMPUTED_VALUE"""),"https://lh5.googleusercontent.com/d/1taUVtPVMVX0Jq6yMubrLNNIkHnf0CTzb")</f>
        <v>https://lh5.googleusercontent.com/d/1taUVtPVMVX0Jq6yMubrLNNIkHnf0CTzb</v>
      </c>
      <c r="O664" s="14" t="str">
        <f>IFERROR(__xludf.DUMMYFUNCTION("""COMPUTED_VALUE"""),"https://drive.google.com/file/d/18XjQ--wNyfllxA0EwfEzmEAJHjsUPIMO/view?usp=drivesdk")</f>
        <v>https://drive.google.com/file/d/18XjQ--wNyfllxA0EwfEzmEAJHjsUPIMO/view?usp=drivesdk</v>
      </c>
    </row>
    <row r="665">
      <c r="A665" s="3">
        <f>IFERROR(__xludf.DUMMYFUNCTION("""COMPUTED_VALUE"""),2859.0)</f>
        <v>2859</v>
      </c>
      <c r="B665" s="11">
        <f>IFERROR(__xludf.DUMMYFUNCTION("""COMPUTED_VALUE"""),46176.90530078704)</f>
        <v>46176.9053</v>
      </c>
      <c r="C665" s="3" t="str">
        <f>IFERROR(__xludf.DUMMYFUNCTION("""COMPUTED_VALUE"""),"ชั้นปีที่ 3")</f>
        <v>ชั้นปีที่ 3</v>
      </c>
      <c r="D665" s="3" t="str">
        <f>IFERROR(__xludf.DUMMYFUNCTION("""COMPUTED_VALUE"""),"6603792")</f>
        <v>6603792</v>
      </c>
      <c r="E665" s="3" t="str">
        <f>IFERROR(__xludf.DUMMYFUNCTION("""COMPUTED_VALUE"""),"38")</f>
        <v>38</v>
      </c>
      <c r="F665" s="3" t="str">
        <f>IFERROR(__xludf.DUMMYFUNCTION("""COMPUTED_VALUE"""),"นพอ.พลอยไพลิน สุทธหลวง")</f>
        <v>นพอ.พลอยไพลิน สุทธหลวง</v>
      </c>
      <c r="G665" s="3" t="str">
        <f>IFERROR(__xludf.DUMMYFUNCTION("""COMPUTED_VALUE"""),"ช่วยเหลืองานภายใน วพอ.")</f>
        <v>ช่วยเหลืองานภายใน วพอ.</v>
      </c>
      <c r="H66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5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665" s="12">
        <f>IFERROR(__xludf.DUMMYFUNCTION("""COMPUTED_VALUE"""),46139.0)</f>
        <v>46139</v>
      </c>
      <c r="K665" s="3" t="str">
        <f>IFERROR(__xludf.DUMMYFUNCTION("""COMPUTED_VALUE"""),"1700-2100")</f>
        <v>1700-2100</v>
      </c>
      <c r="L665" s="3">
        <f>IFERROR(__xludf.DUMMYFUNCTION("""COMPUTED_VALUE"""),4.0)</f>
        <v>4</v>
      </c>
      <c r="M665" s="3" t="str">
        <f>IFERROR(__xludf.DUMMYFUNCTION("""COMPUTED_VALUE"""),"ร.อ.อนุชิต ทำจะดี")</f>
        <v>ร.อ.อนุชิต ทำจะดี</v>
      </c>
      <c r="N665" s="14" t="str">
        <f>IFERROR(__xludf.DUMMYFUNCTION("""COMPUTED_VALUE"""),"https://lh5.googleusercontent.com/d/1ij5m0-IQ1pam4Xn3io67vS4A_yviXLxk")</f>
        <v>https://lh5.googleusercontent.com/d/1ij5m0-IQ1pam4Xn3io67vS4A_yviXLxk</v>
      </c>
      <c r="O665" s="14" t="str">
        <f>IFERROR(__xludf.DUMMYFUNCTION("""COMPUTED_VALUE"""),"https://drive.google.com/file/d/1G7ZI_oi6gTS6uLc24bR0X3j9hfvb1Fje/view?usp=drivesdk")</f>
        <v>https://drive.google.com/file/d/1G7ZI_oi6gTS6uLc24bR0X3j9hfvb1Fje/view?usp=drivesdk</v>
      </c>
    </row>
    <row r="666">
      <c r="A666" s="3">
        <f>IFERROR(__xludf.DUMMYFUNCTION("""COMPUTED_VALUE"""),2861.0)</f>
        <v>2861</v>
      </c>
      <c r="B666" s="11">
        <f>IFERROR(__xludf.DUMMYFUNCTION("""COMPUTED_VALUE"""),46176.94940575232)</f>
        <v>46176.94941</v>
      </c>
      <c r="C666" s="3" t="str">
        <f>IFERROR(__xludf.DUMMYFUNCTION("""COMPUTED_VALUE"""),"ชั้นปีที่ 3")</f>
        <v>ชั้นปีที่ 3</v>
      </c>
      <c r="D666" s="3" t="str">
        <f>IFERROR(__xludf.DUMMYFUNCTION("""COMPUTED_VALUE"""),"6603757")</f>
        <v>6603757</v>
      </c>
      <c r="E666" s="3" t="str">
        <f>IFERROR(__xludf.DUMMYFUNCTION("""COMPUTED_VALUE"""),"4")</f>
        <v>4</v>
      </c>
      <c r="F666" s="3" t="str">
        <f>IFERROR(__xludf.DUMMYFUNCTION("""COMPUTED_VALUE"""),"นพอ.กัลยาณี นารีพล")</f>
        <v>นพอ.กัลยาณี นารีพล</v>
      </c>
      <c r="G666" s="3" t="str">
        <f>IFERROR(__xludf.DUMMYFUNCTION("""COMPUTED_VALUE"""),"ช่วยเหลืองานภายใน วพอ.")</f>
        <v>ช่วยเหลืองานภายใน วพอ.</v>
      </c>
      <c r="H66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6" s="3" t="str">
        <f>IFERROR(__xludf.DUMMYFUNCTION("""COMPUTED_VALUE"""),"วพอ.พอ.")</f>
        <v>วพอ.พอ.</v>
      </c>
      <c r="J666" s="12">
        <f>IFERROR(__xludf.DUMMYFUNCTION("""COMPUTED_VALUE"""),46133.0)</f>
        <v>46133</v>
      </c>
      <c r="K666" s="3" t="str">
        <f>IFERROR(__xludf.DUMMYFUNCTION("""COMPUTED_VALUE"""),"1700-2100")</f>
        <v>1700-2100</v>
      </c>
      <c r="L666" s="3">
        <f>IFERROR(__xludf.DUMMYFUNCTION("""COMPUTED_VALUE"""),4.0)</f>
        <v>4</v>
      </c>
      <c r="M666" s="3" t="str">
        <f>IFERROR(__xludf.DUMMYFUNCTION("""COMPUTED_VALUE"""),"ร.อ. อนุชิต ทำจะดี")</f>
        <v>ร.อ. อนุชิต ทำจะดี</v>
      </c>
      <c r="N666" s="14" t="str">
        <f>IFERROR(__xludf.DUMMYFUNCTION("""COMPUTED_VALUE"""),"https://lh5.googleusercontent.com/d/16fFXpjbyXZHLC8UGJyuTDr-v-LlrP0sh")</f>
        <v>https://lh5.googleusercontent.com/d/16fFXpjbyXZHLC8UGJyuTDr-v-LlrP0sh</v>
      </c>
      <c r="O666" s="14" t="str">
        <f>IFERROR(__xludf.DUMMYFUNCTION("""COMPUTED_VALUE"""),"https://drive.google.com/file/d/1yWMxUSw6UdZgtJ5HTTUImCI5Cn5Po_uz/view?usp=drivesdk")</f>
        <v>https://drive.google.com/file/d/1yWMxUSw6UdZgtJ5HTTUImCI5Cn5Po_uz/view?usp=drivesdk</v>
      </c>
    </row>
    <row r="667">
      <c r="A667" s="3">
        <f>IFERROR(__xludf.DUMMYFUNCTION("""COMPUTED_VALUE"""),2862.0)</f>
        <v>2862</v>
      </c>
      <c r="B667" s="11">
        <f>IFERROR(__xludf.DUMMYFUNCTION("""COMPUTED_VALUE"""),46176.95079200232)</f>
        <v>46176.95079</v>
      </c>
      <c r="C667" s="3" t="str">
        <f>IFERROR(__xludf.DUMMYFUNCTION("""COMPUTED_VALUE"""),"ชั้นปีที่ 3")</f>
        <v>ชั้นปีที่ 3</v>
      </c>
      <c r="D667" s="3" t="str">
        <f>IFERROR(__xludf.DUMMYFUNCTION("""COMPUTED_VALUE"""),"6603757")</f>
        <v>6603757</v>
      </c>
      <c r="E667" s="3" t="str">
        <f>IFERROR(__xludf.DUMMYFUNCTION("""COMPUTED_VALUE"""),"4")</f>
        <v>4</v>
      </c>
      <c r="F667" s="3" t="str">
        <f>IFERROR(__xludf.DUMMYFUNCTION("""COMPUTED_VALUE"""),"นพอ.กัลยาณี นารีพล")</f>
        <v>นพอ.กัลยาณี นารีพล</v>
      </c>
      <c r="G667" s="3" t="str">
        <f>IFERROR(__xludf.DUMMYFUNCTION("""COMPUTED_VALUE"""),"ช่วยเหลืองานภายใน วพอ.")</f>
        <v>ช่วยเหลืองานภายใน วพอ.</v>
      </c>
      <c r="H66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7" s="3" t="str">
        <f>IFERROR(__xludf.DUMMYFUNCTION("""COMPUTED_VALUE"""),"วพอ.พอ.")</f>
        <v>วพอ.พอ.</v>
      </c>
      <c r="J667" s="12">
        <f>IFERROR(__xludf.DUMMYFUNCTION("""COMPUTED_VALUE"""),46134.0)</f>
        <v>46134</v>
      </c>
      <c r="K667" s="3" t="str">
        <f>IFERROR(__xludf.DUMMYFUNCTION("""COMPUTED_VALUE"""),"1700-2100")</f>
        <v>1700-2100</v>
      </c>
      <c r="L667" s="3">
        <f>IFERROR(__xludf.DUMMYFUNCTION("""COMPUTED_VALUE"""),4.0)</f>
        <v>4</v>
      </c>
      <c r="M667" s="3" t="str">
        <f>IFERROR(__xludf.DUMMYFUNCTION("""COMPUTED_VALUE"""),"ร.อ. อนุชิต ทำจะดี")</f>
        <v>ร.อ. อนุชิต ทำจะดี</v>
      </c>
      <c r="N667" s="14" t="str">
        <f>IFERROR(__xludf.DUMMYFUNCTION("""COMPUTED_VALUE"""),"https://lh5.googleusercontent.com/d/1XMDlc8zCyyxC1WzmgliIKxoKxvcQShgp")</f>
        <v>https://lh5.googleusercontent.com/d/1XMDlc8zCyyxC1WzmgliIKxoKxvcQShgp</v>
      </c>
      <c r="O667" s="14" t="str">
        <f>IFERROR(__xludf.DUMMYFUNCTION("""COMPUTED_VALUE"""),"https://drive.google.com/file/d/1gG5zUkpuk0uc2X1tIqbVI-yOdqKQDMBa/view?usp=drivesdk")</f>
        <v>https://drive.google.com/file/d/1gG5zUkpuk0uc2X1tIqbVI-yOdqKQDMBa/view?usp=drivesdk</v>
      </c>
    </row>
    <row r="668">
      <c r="A668" s="3">
        <f>IFERROR(__xludf.DUMMYFUNCTION("""COMPUTED_VALUE"""),2864.0)</f>
        <v>2864</v>
      </c>
      <c r="B668" s="11">
        <f>IFERROR(__xludf.DUMMYFUNCTION("""COMPUTED_VALUE"""),46176.953533368054)</f>
        <v>46176.95353</v>
      </c>
      <c r="C668" s="3" t="str">
        <f>IFERROR(__xludf.DUMMYFUNCTION("""COMPUTED_VALUE"""),"ชั้นปีที่ 3")</f>
        <v>ชั้นปีที่ 3</v>
      </c>
      <c r="D668" s="3" t="str">
        <f>IFERROR(__xludf.DUMMYFUNCTION("""COMPUTED_VALUE"""),"6603757")</f>
        <v>6603757</v>
      </c>
      <c r="E668" s="3" t="str">
        <f>IFERROR(__xludf.DUMMYFUNCTION("""COMPUTED_VALUE"""),"4")</f>
        <v>4</v>
      </c>
      <c r="F668" s="3" t="str">
        <f>IFERROR(__xludf.DUMMYFUNCTION("""COMPUTED_VALUE"""),"นพอ.กัลยาณี นารีพล")</f>
        <v>นพอ.กัลยาณี นารีพล</v>
      </c>
      <c r="G668" s="3" t="str">
        <f>IFERROR(__xludf.DUMMYFUNCTION("""COMPUTED_VALUE"""),"ช่วยเหลืองานภายใน วพอ.")</f>
        <v>ช่วยเหลืองานภายใน วพอ.</v>
      </c>
      <c r="H66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8" s="3" t="str">
        <f>IFERROR(__xludf.DUMMYFUNCTION("""COMPUTED_VALUE"""),"4")</f>
        <v>4</v>
      </c>
      <c r="J668" s="12">
        <f>IFERROR(__xludf.DUMMYFUNCTION("""COMPUTED_VALUE"""),46135.0)</f>
        <v>46135</v>
      </c>
      <c r="K668" s="3" t="str">
        <f>IFERROR(__xludf.DUMMYFUNCTION("""COMPUTED_VALUE"""),"1700-2100")</f>
        <v>1700-2100</v>
      </c>
      <c r="L668" s="3">
        <f>IFERROR(__xludf.DUMMYFUNCTION("""COMPUTED_VALUE"""),4.0)</f>
        <v>4</v>
      </c>
      <c r="M668" s="3" t="str">
        <f>IFERROR(__xludf.DUMMYFUNCTION("""COMPUTED_VALUE"""),"ร.อ. อนุชติ ทำจะดี")</f>
        <v>ร.อ. อนุชติ ทำจะดี</v>
      </c>
      <c r="N668" s="14" t="str">
        <f>IFERROR(__xludf.DUMMYFUNCTION("""COMPUTED_VALUE"""),"https://lh5.googleusercontent.com/d/1DGbsC1hw-9L6fPm2mTlW04h89VPEVehQ")</f>
        <v>https://lh5.googleusercontent.com/d/1DGbsC1hw-9L6fPm2mTlW04h89VPEVehQ</v>
      </c>
      <c r="O668" s="14" t="str">
        <f>IFERROR(__xludf.DUMMYFUNCTION("""COMPUTED_VALUE"""),"https://drive.google.com/file/d/1E0ruZxDADITmD600uS9KICtUsxUzr8Yt/view?usp=drivesdk")</f>
        <v>https://drive.google.com/file/d/1E0ruZxDADITmD600uS9KICtUsxUzr8Yt/view?usp=drivesdk</v>
      </c>
    </row>
    <row r="669">
      <c r="A669" s="3">
        <f>IFERROR(__xludf.DUMMYFUNCTION("""COMPUTED_VALUE"""),2865.0)</f>
        <v>2865</v>
      </c>
      <c r="B669" s="11">
        <f>IFERROR(__xludf.DUMMYFUNCTION("""COMPUTED_VALUE"""),46176.954924571764)</f>
        <v>46176.95492</v>
      </c>
      <c r="C669" s="3" t="str">
        <f>IFERROR(__xludf.DUMMYFUNCTION("""COMPUTED_VALUE"""),"ชั้นปีที่ 3")</f>
        <v>ชั้นปีที่ 3</v>
      </c>
      <c r="D669" s="3" t="str">
        <f>IFERROR(__xludf.DUMMYFUNCTION("""COMPUTED_VALUE"""),"6603757")</f>
        <v>6603757</v>
      </c>
      <c r="E669" s="3" t="str">
        <f>IFERROR(__xludf.DUMMYFUNCTION("""COMPUTED_VALUE"""),"4")</f>
        <v>4</v>
      </c>
      <c r="F669" s="3" t="str">
        <f>IFERROR(__xludf.DUMMYFUNCTION("""COMPUTED_VALUE"""),"นพอ.กัลยาณี นารีพล")</f>
        <v>นพอ.กัลยาณี นารีพล</v>
      </c>
      <c r="G669" s="3" t="str">
        <f>IFERROR(__xludf.DUMMYFUNCTION("""COMPUTED_VALUE"""),"ช่วยเหลืองานภายใน วพอ.")</f>
        <v>ช่วยเหลืองานภายใน วพอ.</v>
      </c>
      <c r="H66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9" s="3" t="str">
        <f>IFERROR(__xludf.DUMMYFUNCTION("""COMPUTED_VALUE"""),"วพอ.พอ.")</f>
        <v>วพอ.พอ.</v>
      </c>
      <c r="J669" s="12">
        <f>IFERROR(__xludf.DUMMYFUNCTION("""COMPUTED_VALUE"""),46138.0)</f>
        <v>46138</v>
      </c>
      <c r="K669" s="3" t="str">
        <f>IFERROR(__xludf.DUMMYFUNCTION("""COMPUTED_VALUE"""),"1500-2100")</f>
        <v>1500-2100</v>
      </c>
      <c r="L669" s="3">
        <f>IFERROR(__xludf.DUMMYFUNCTION("""COMPUTED_VALUE"""),6.0)</f>
        <v>6</v>
      </c>
      <c r="M669" s="3" t="str">
        <f>IFERROR(__xludf.DUMMYFUNCTION("""COMPUTED_VALUE"""),"ร.อ. อนุชิต ทำจะดี")</f>
        <v>ร.อ. อนุชิต ทำจะดี</v>
      </c>
      <c r="N669" s="14" t="str">
        <f>IFERROR(__xludf.DUMMYFUNCTION("""COMPUTED_VALUE"""),"https://lh5.googleusercontent.com/d/1ZF5po8YTiUSFiP5SZEiDjFUsUprxZY8l")</f>
        <v>https://lh5.googleusercontent.com/d/1ZF5po8YTiUSFiP5SZEiDjFUsUprxZY8l</v>
      </c>
      <c r="O669" s="14" t="str">
        <f>IFERROR(__xludf.DUMMYFUNCTION("""COMPUTED_VALUE"""),"https://drive.google.com/file/d/1dobKeh4XQGHK6Mx62xSbVfGUsQDuKWtY/view?usp=drivesdk")</f>
        <v>https://drive.google.com/file/d/1dobKeh4XQGHK6Mx62xSbVfGUsQDuKWtY/view?usp=drivesdk</v>
      </c>
    </row>
    <row r="670">
      <c r="A670" s="3">
        <f>IFERROR(__xludf.DUMMYFUNCTION("""COMPUTED_VALUE"""),2866.0)</f>
        <v>2866</v>
      </c>
      <c r="B670" s="11">
        <f>IFERROR(__xludf.DUMMYFUNCTION("""COMPUTED_VALUE"""),46176.95499378472)</f>
        <v>46176.95499</v>
      </c>
      <c r="C670" s="3" t="str">
        <f>IFERROR(__xludf.DUMMYFUNCTION("""COMPUTED_VALUE"""),"ชั้นปีที่ 3")</f>
        <v>ชั้นปีที่ 3</v>
      </c>
      <c r="D670" s="3" t="str">
        <f>IFERROR(__xludf.DUMMYFUNCTION("""COMPUTED_VALUE"""),"6603754")</f>
        <v>6603754</v>
      </c>
      <c r="E670" s="3" t="str">
        <f>IFERROR(__xludf.DUMMYFUNCTION("""COMPUTED_VALUE"""),"1")</f>
        <v>1</v>
      </c>
      <c r="F670" s="3" t="str">
        <f>IFERROR(__xludf.DUMMYFUNCTION("""COMPUTED_VALUE"""),"นพอ.กรกนก วิไลลักษณ์")</f>
        <v>นพอ.กรกนก วิไลลักษณ์</v>
      </c>
      <c r="G670" s="3" t="str">
        <f>IFERROR(__xludf.DUMMYFUNCTION("""COMPUTED_VALUE"""),"ช่วยเหลืองานภายใน วพอ.")</f>
        <v>ช่วยเหลืองานภายใน วพอ.</v>
      </c>
      <c r="H670" s="3" t="str">
        <f>IFERROR(__xludf.DUMMYFUNCTION("""COMPUTED_VALUE"""),"ซ้อมงานพิธีมอบหมวกพยาบาลวิชาชีพ")</f>
        <v>ซ้อมงานพิธีมอบหมวกพยาบาลวิชาชีพ</v>
      </c>
      <c r="I670" s="3" t="str">
        <f>IFERROR(__xludf.DUMMYFUNCTION("""COMPUTED_VALUE"""),"วพอ.พอ.")</f>
        <v>วพอ.พอ.</v>
      </c>
      <c r="J670" s="12">
        <f>IFERROR(__xludf.DUMMYFUNCTION("""COMPUTED_VALUE"""),46134.0)</f>
        <v>46134</v>
      </c>
      <c r="K670" s="3" t="str">
        <f>IFERROR(__xludf.DUMMYFUNCTION("""COMPUTED_VALUE"""),"1700-2100")</f>
        <v>1700-2100</v>
      </c>
      <c r="L670" s="3">
        <f>IFERROR(__xludf.DUMMYFUNCTION("""COMPUTED_VALUE"""),4.0)</f>
        <v>4</v>
      </c>
      <c r="M670" s="3" t="str">
        <f>IFERROR(__xludf.DUMMYFUNCTION("""COMPUTED_VALUE"""),"ร.อ.อนุชิต ทำจะดี")</f>
        <v>ร.อ.อนุชิต ทำจะดี</v>
      </c>
      <c r="N670" s="14" t="str">
        <f>IFERROR(__xludf.DUMMYFUNCTION("""COMPUTED_VALUE"""),"https://lh5.googleusercontent.com/d/1XNezoAxhOg8abuP3qyHcfsGawfp7aPtj")</f>
        <v>https://lh5.googleusercontent.com/d/1XNezoAxhOg8abuP3qyHcfsGawfp7aPtj</v>
      </c>
      <c r="O670" s="14" t="str">
        <f>IFERROR(__xludf.DUMMYFUNCTION("""COMPUTED_VALUE"""),"https://drive.google.com/file/d/1Quwl47smZPdauoebnJ0q9uFjoU4wNvtA/view?usp=drivesdk")</f>
        <v>https://drive.google.com/file/d/1Quwl47smZPdauoebnJ0q9uFjoU4wNvtA/view?usp=drivesdk</v>
      </c>
    </row>
    <row r="671">
      <c r="A671" s="3">
        <f>IFERROR(__xludf.DUMMYFUNCTION("""COMPUTED_VALUE"""),2867.0)</f>
        <v>2867</v>
      </c>
      <c r="B671" s="11">
        <f>IFERROR(__xludf.DUMMYFUNCTION("""COMPUTED_VALUE"""),46176.95689820602)</f>
        <v>46176.9569</v>
      </c>
      <c r="C671" s="3" t="str">
        <f>IFERROR(__xludf.DUMMYFUNCTION("""COMPUTED_VALUE"""),"ชั้นปีที่ 3")</f>
        <v>ชั้นปีที่ 3</v>
      </c>
      <c r="D671" s="3" t="str">
        <f>IFERROR(__xludf.DUMMYFUNCTION("""COMPUTED_VALUE"""),"6603754")</f>
        <v>6603754</v>
      </c>
      <c r="E671" s="3" t="str">
        <f>IFERROR(__xludf.DUMMYFUNCTION("""COMPUTED_VALUE"""),"1")</f>
        <v>1</v>
      </c>
      <c r="F671" s="3" t="str">
        <f>IFERROR(__xludf.DUMMYFUNCTION("""COMPUTED_VALUE"""),"นพอ.กรกนก วิไลลักษณ์")</f>
        <v>นพอ.กรกนก วิไลลักษณ์</v>
      </c>
      <c r="G671" s="3" t="str">
        <f>IFERROR(__xludf.DUMMYFUNCTION("""COMPUTED_VALUE"""),"ช่วยเหลืองานภายใน วพอ.")</f>
        <v>ช่วยเหลืองานภายใน วพอ.</v>
      </c>
      <c r="H671" s="3" t="str">
        <f>IFERROR(__xludf.DUMMYFUNCTION("""COMPUTED_VALUE"""),"ซ้อมงานพิธีมอบหมวกพยาบาลวิชาชีพปีการศึกษา 2568")</f>
        <v>ซ้อมงานพิธีมอบหมวกพยาบาลวิชาชีพปีการศึกษา 2568</v>
      </c>
      <c r="I671" s="3" t="str">
        <f>IFERROR(__xludf.DUMMYFUNCTION("""COMPUTED_VALUE"""),"วพอ.พอ.")</f>
        <v>วพอ.พอ.</v>
      </c>
      <c r="J671" s="12">
        <f>IFERROR(__xludf.DUMMYFUNCTION("""COMPUTED_VALUE"""),46133.0)</f>
        <v>46133</v>
      </c>
      <c r="K671" s="3" t="str">
        <f>IFERROR(__xludf.DUMMYFUNCTION("""COMPUTED_VALUE"""),"1700-2100")</f>
        <v>1700-2100</v>
      </c>
      <c r="L671" s="3">
        <f>IFERROR(__xludf.DUMMYFUNCTION("""COMPUTED_VALUE"""),4.0)</f>
        <v>4</v>
      </c>
      <c r="M671" s="3" t="str">
        <f>IFERROR(__xludf.DUMMYFUNCTION("""COMPUTED_VALUE"""),"ร.อ.อนุชิต ทำจะดี")</f>
        <v>ร.อ.อนุชิต ทำจะดี</v>
      </c>
      <c r="N671" s="14" t="str">
        <f>IFERROR(__xludf.DUMMYFUNCTION("""COMPUTED_VALUE"""),"https://lh5.googleusercontent.com/d/1cRT8ahVgMHLvJm67mRy-er8p5JSIErSK")</f>
        <v>https://lh5.googleusercontent.com/d/1cRT8ahVgMHLvJm67mRy-er8p5JSIErSK</v>
      </c>
      <c r="O671" s="14" t="str">
        <f>IFERROR(__xludf.DUMMYFUNCTION("""COMPUTED_VALUE"""),"https://drive.google.com/file/d/1nmu3V-K1OlenXV0L8TdGFLxg9v0W0nE7/view?usp=drivesdk")</f>
        <v>https://drive.google.com/file/d/1nmu3V-K1OlenXV0L8TdGFLxg9v0W0nE7/view?usp=drivesdk</v>
      </c>
    </row>
    <row r="672">
      <c r="A672" s="3">
        <f>IFERROR(__xludf.DUMMYFUNCTION("""COMPUTED_VALUE"""),2868.0)</f>
        <v>2868</v>
      </c>
      <c r="B672" s="11">
        <f>IFERROR(__xludf.DUMMYFUNCTION("""COMPUTED_VALUE"""),46176.95911019676)</f>
        <v>46176.95911</v>
      </c>
      <c r="C672" s="3" t="str">
        <f>IFERROR(__xludf.DUMMYFUNCTION("""COMPUTED_VALUE"""),"ชั้นปีที่ 3")</f>
        <v>ชั้นปีที่ 3</v>
      </c>
      <c r="D672" s="3" t="str">
        <f>IFERROR(__xludf.DUMMYFUNCTION("""COMPUTED_VALUE"""),"6603754")</f>
        <v>6603754</v>
      </c>
      <c r="E672" s="3" t="str">
        <f>IFERROR(__xludf.DUMMYFUNCTION("""COMPUTED_VALUE"""),"1")</f>
        <v>1</v>
      </c>
      <c r="F672" s="3" t="str">
        <f>IFERROR(__xludf.DUMMYFUNCTION("""COMPUTED_VALUE"""),"นพอ.กรกนก วิไลลักษณ์")</f>
        <v>นพอ.กรกนก วิไลลักษณ์</v>
      </c>
      <c r="G672" s="3" t="str">
        <f>IFERROR(__xludf.DUMMYFUNCTION("""COMPUTED_VALUE"""),"ช่วยเหลืองานภายใน วพอ.")</f>
        <v>ช่วยเหลืองานภายใน วพอ.</v>
      </c>
      <c r="H67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72" s="3" t="str">
        <f>IFERROR(__xludf.DUMMYFUNCTION("""COMPUTED_VALUE"""),"วพอ.พอ.")</f>
        <v>วพอ.พอ.</v>
      </c>
      <c r="J672" s="12">
        <f>IFERROR(__xludf.DUMMYFUNCTION("""COMPUTED_VALUE"""),46135.0)</f>
        <v>46135</v>
      </c>
      <c r="K672" s="3" t="str">
        <f>IFERROR(__xludf.DUMMYFUNCTION("""COMPUTED_VALUE"""),"1700-2100")</f>
        <v>1700-2100</v>
      </c>
      <c r="L672" s="3">
        <f>IFERROR(__xludf.DUMMYFUNCTION("""COMPUTED_VALUE"""),4.0)</f>
        <v>4</v>
      </c>
      <c r="M672" s="3" t="str">
        <f>IFERROR(__xludf.DUMMYFUNCTION("""COMPUTED_VALUE"""),"ร.อ.อนุชิต ทำจะดี")</f>
        <v>ร.อ.อนุชิต ทำจะดี</v>
      </c>
      <c r="N672" s="14" t="str">
        <f>IFERROR(__xludf.DUMMYFUNCTION("""COMPUTED_VALUE"""),"https://lh5.googleusercontent.com/d/1CVrcTAdFZ0606XMTV1OM_mArI6VNTz-e")</f>
        <v>https://lh5.googleusercontent.com/d/1CVrcTAdFZ0606XMTV1OM_mArI6VNTz-e</v>
      </c>
      <c r="O672" s="14" t="str">
        <f>IFERROR(__xludf.DUMMYFUNCTION("""COMPUTED_VALUE"""),"https://drive.google.com/file/d/1-3-B_iNJds1Jv86lJ87LPSKFYY81kQZS/view?usp=drivesdk")</f>
        <v>https://drive.google.com/file/d/1-3-B_iNJds1Jv86lJ87LPSKFYY81kQZS/view?usp=drivesdk</v>
      </c>
    </row>
    <row r="673">
      <c r="A673" s="3">
        <f>IFERROR(__xludf.DUMMYFUNCTION("""COMPUTED_VALUE"""),2870.0)</f>
        <v>2870</v>
      </c>
      <c r="B673" s="11">
        <f>IFERROR(__xludf.DUMMYFUNCTION("""COMPUTED_VALUE"""),46176.961402835645)</f>
        <v>46176.9614</v>
      </c>
      <c r="C673" s="3" t="str">
        <f>IFERROR(__xludf.DUMMYFUNCTION("""COMPUTED_VALUE"""),"ชั้นปีที่ 3")</f>
        <v>ชั้นปีที่ 3</v>
      </c>
      <c r="D673" s="3" t="str">
        <f>IFERROR(__xludf.DUMMYFUNCTION("""COMPUTED_VALUE"""),"6603754")</f>
        <v>6603754</v>
      </c>
      <c r="E673" s="3" t="str">
        <f>IFERROR(__xludf.DUMMYFUNCTION("""COMPUTED_VALUE"""),"1")</f>
        <v>1</v>
      </c>
      <c r="F673" s="3" t="str">
        <f>IFERROR(__xludf.DUMMYFUNCTION("""COMPUTED_VALUE"""),"นพอ.กรกนก วิไลลักษณ์")</f>
        <v>นพอ.กรกนก วิไลลักษณ์</v>
      </c>
      <c r="G673" s="3" t="str">
        <f>IFERROR(__xludf.DUMMYFUNCTION("""COMPUTED_VALUE"""),"ช่วยเหลืองานภายใน วพอ.")</f>
        <v>ช่วยเหลืองานภายใน วพอ.</v>
      </c>
      <c r="H673" s="3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673" s="3" t="str">
        <f>IFERROR(__xludf.DUMMYFUNCTION("""COMPUTED_VALUE"""),"วพอ.พอ.")</f>
        <v>วพอ.พอ.</v>
      </c>
      <c r="J673" s="12">
        <f>IFERROR(__xludf.DUMMYFUNCTION("""COMPUTED_VALUE"""),46138.0)</f>
        <v>46138</v>
      </c>
      <c r="K673" s="3" t="str">
        <f>IFERROR(__xludf.DUMMYFUNCTION("""COMPUTED_VALUE"""),"1500-2100")</f>
        <v>1500-2100</v>
      </c>
      <c r="L673" s="3">
        <f>IFERROR(__xludf.DUMMYFUNCTION("""COMPUTED_VALUE"""),6.0)</f>
        <v>6</v>
      </c>
      <c r="M673" s="3" t="str">
        <f>IFERROR(__xludf.DUMMYFUNCTION("""COMPUTED_VALUE"""),"ร.อ.อนุชิต ทำจะดี")</f>
        <v>ร.อ.อนุชิต ทำจะดี</v>
      </c>
      <c r="N673" s="14" t="str">
        <f>IFERROR(__xludf.DUMMYFUNCTION("""COMPUTED_VALUE"""),"https://lh5.googleusercontent.com/d/11A-p7SktU6UARZYvXagMVKis4U0Q7oS1")</f>
        <v>https://lh5.googleusercontent.com/d/11A-p7SktU6UARZYvXagMVKis4U0Q7oS1</v>
      </c>
      <c r="O673" s="14" t="str">
        <f>IFERROR(__xludf.DUMMYFUNCTION("""COMPUTED_VALUE"""),"https://drive.google.com/file/d/1iEwIALNEmVAgcLNz6GPz7aL8rR5kGWtO/view?usp=drivesdk")</f>
        <v>https://drive.google.com/file/d/1iEwIALNEmVAgcLNz6GPz7aL8rR5kGWtO/view?usp=drivesdk</v>
      </c>
    </row>
    <row r="674">
      <c r="A674" s="3">
        <f>IFERROR(__xludf.DUMMYFUNCTION("""COMPUTED_VALUE"""),2871.0)</f>
        <v>2871</v>
      </c>
      <c r="B674" s="11">
        <f>IFERROR(__xludf.DUMMYFUNCTION("""COMPUTED_VALUE"""),46176.96373601852)</f>
        <v>46176.96374</v>
      </c>
      <c r="C674" s="3" t="str">
        <f>IFERROR(__xludf.DUMMYFUNCTION("""COMPUTED_VALUE"""),"ชั้นปีที่ 3")</f>
        <v>ชั้นปีที่ 3</v>
      </c>
      <c r="D674" s="3" t="str">
        <f>IFERROR(__xludf.DUMMYFUNCTION("""COMPUTED_VALUE"""),"6603754")</f>
        <v>6603754</v>
      </c>
      <c r="E674" s="3" t="str">
        <f>IFERROR(__xludf.DUMMYFUNCTION("""COMPUTED_VALUE"""),"1")</f>
        <v>1</v>
      </c>
      <c r="F674" s="3" t="str">
        <f>IFERROR(__xludf.DUMMYFUNCTION("""COMPUTED_VALUE"""),"นพอ.กรกนก วิไลลักษณ์")</f>
        <v>นพอ.กรกนก วิไลลักษณ์</v>
      </c>
      <c r="G674" s="3" t="str">
        <f>IFERROR(__xludf.DUMMYFUNCTION("""COMPUTED_VALUE"""),"ช่วยเหลืองานภายใน วพอ.")</f>
        <v>ช่วยเหลืองานภายใน วพอ.</v>
      </c>
      <c r="H674" s="3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674" s="3" t="str">
        <f>IFERROR(__xludf.DUMMYFUNCTION("""COMPUTED_VALUE"""),"วพอ.พอ.")</f>
        <v>วพอ.พอ.</v>
      </c>
      <c r="J674" s="12">
        <f>IFERROR(__xludf.DUMMYFUNCTION("""COMPUTED_VALUE"""),46139.0)</f>
        <v>46139</v>
      </c>
      <c r="K674" s="3" t="str">
        <f>IFERROR(__xludf.DUMMYFUNCTION("""COMPUTED_VALUE"""),"1700-2100")</f>
        <v>1700-2100</v>
      </c>
      <c r="L674" s="3">
        <f>IFERROR(__xludf.DUMMYFUNCTION("""COMPUTED_VALUE"""),4.0)</f>
        <v>4</v>
      </c>
      <c r="M674" s="3" t="str">
        <f>IFERROR(__xludf.DUMMYFUNCTION("""COMPUTED_VALUE"""),"ร.อ.อนุชิต ทำจะดี")</f>
        <v>ร.อ.อนุชิต ทำจะดี</v>
      </c>
      <c r="N674" s="14" t="str">
        <f>IFERROR(__xludf.DUMMYFUNCTION("""COMPUTED_VALUE"""),"https://lh5.googleusercontent.com/d/1snQ7FVfrzfagRN3vB04FfGpbCjtxZTYa")</f>
        <v>https://lh5.googleusercontent.com/d/1snQ7FVfrzfagRN3vB04FfGpbCjtxZTYa</v>
      </c>
      <c r="O674" s="14" t="str">
        <f>IFERROR(__xludf.DUMMYFUNCTION("""COMPUTED_VALUE"""),"https://drive.google.com/file/d/1HSxx8R4nThb7RUJD9p8yLDqoqdffiqgP/view?usp=drivesdk")</f>
        <v>https://drive.google.com/file/d/1HSxx8R4nThb7RUJD9p8yLDqoqdffiqgP/view?usp=drivesdk</v>
      </c>
    </row>
    <row r="675">
      <c r="A675" s="3">
        <f>IFERROR(__xludf.DUMMYFUNCTION("""COMPUTED_VALUE"""),2873.0)</f>
        <v>2873</v>
      </c>
      <c r="B675" s="11">
        <f>IFERROR(__xludf.DUMMYFUNCTION("""COMPUTED_VALUE"""),46176.96611311343)</f>
        <v>46176.96611</v>
      </c>
      <c r="C675" s="3" t="str">
        <f>IFERROR(__xludf.DUMMYFUNCTION("""COMPUTED_VALUE"""),"ชั้นปีที่ 3")</f>
        <v>ชั้นปีที่ 3</v>
      </c>
      <c r="D675" s="3" t="str">
        <f>IFERROR(__xludf.DUMMYFUNCTION("""COMPUTED_VALUE"""),"6603757")</f>
        <v>6603757</v>
      </c>
      <c r="E675" s="3" t="str">
        <f>IFERROR(__xludf.DUMMYFUNCTION("""COMPUTED_VALUE"""),"4")</f>
        <v>4</v>
      </c>
      <c r="F675" s="3" t="str">
        <f>IFERROR(__xludf.DUMMYFUNCTION("""COMPUTED_VALUE"""),"นพอ.กัลยาณี นารีพล")</f>
        <v>นพอ.กัลยาณี นารีพล</v>
      </c>
      <c r="G675" s="3" t="str">
        <f>IFERROR(__xludf.DUMMYFUNCTION("""COMPUTED_VALUE"""),"ช่วยเหลืองานภายใน วพอ.")</f>
        <v>ช่วยเหลืองานภายใน วพอ.</v>
      </c>
      <c r="H67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75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675" s="12">
        <f>IFERROR(__xludf.DUMMYFUNCTION("""COMPUTED_VALUE"""),46139.0)</f>
        <v>46139</v>
      </c>
      <c r="K675" s="3" t="str">
        <f>IFERROR(__xludf.DUMMYFUNCTION("""COMPUTED_VALUE"""),"1700-2100")</f>
        <v>1700-2100</v>
      </c>
      <c r="L675" s="3">
        <f>IFERROR(__xludf.DUMMYFUNCTION("""COMPUTED_VALUE"""),4.0)</f>
        <v>4</v>
      </c>
      <c r="M675" s="3" t="str">
        <f>IFERROR(__xludf.DUMMYFUNCTION("""COMPUTED_VALUE"""),"ร.อ. อนุชิต ทำจะดี")</f>
        <v>ร.อ. อนุชิต ทำจะดี</v>
      </c>
      <c r="N675" s="14" t="str">
        <f>IFERROR(__xludf.DUMMYFUNCTION("""COMPUTED_VALUE"""),"https://lh5.googleusercontent.com/d/1Rig2PbSnOyF_vNmrsc3dSn22lPNbWydu")</f>
        <v>https://lh5.googleusercontent.com/d/1Rig2PbSnOyF_vNmrsc3dSn22lPNbWydu</v>
      </c>
      <c r="O675" s="14" t="str">
        <f>IFERROR(__xludf.DUMMYFUNCTION("""COMPUTED_VALUE"""),"https://drive.google.com/file/d/17nquMvKbkdPvOp2yqTIwtozNEVfqKDXw/view?usp=drivesdk")</f>
        <v>https://drive.google.com/file/d/17nquMvKbkdPvOp2yqTIwtozNEVfqKDXw/view?usp=drivesdk</v>
      </c>
    </row>
    <row r="676">
      <c r="A676" s="3">
        <f>IFERROR(__xludf.DUMMYFUNCTION("""COMPUTED_VALUE"""),2874.0)</f>
        <v>2874</v>
      </c>
      <c r="B676" s="11">
        <f>IFERROR(__xludf.DUMMYFUNCTION("""COMPUTED_VALUE"""),46176.967929861115)</f>
        <v>46176.96793</v>
      </c>
      <c r="C676" s="3" t="str">
        <f>IFERROR(__xludf.DUMMYFUNCTION("""COMPUTED_VALUE"""),"ชั้นปีที่ 3")</f>
        <v>ชั้นปีที่ 3</v>
      </c>
      <c r="D676" s="3" t="str">
        <f>IFERROR(__xludf.DUMMYFUNCTION("""COMPUTED_VALUE"""),"6603754")</f>
        <v>6603754</v>
      </c>
      <c r="E676" s="3" t="str">
        <f>IFERROR(__xludf.DUMMYFUNCTION("""COMPUTED_VALUE"""),"1")</f>
        <v>1</v>
      </c>
      <c r="F676" s="3" t="str">
        <f>IFERROR(__xludf.DUMMYFUNCTION("""COMPUTED_VALUE"""),"นพอ.กรกนก วิไลลักษณ์")</f>
        <v>นพอ.กรกนก วิไลลักษณ์</v>
      </c>
      <c r="G676" s="3" t="str">
        <f>IFERROR(__xludf.DUMMYFUNCTION("""COMPUTED_VALUE"""),"ช่วยเหลืองานภายใน วพอ.")</f>
        <v>ช่วยเหลืองานภายใน วพอ.</v>
      </c>
      <c r="H676" s="3" t="str">
        <f>IFERROR(__xludf.DUMMYFUNCTION("""COMPUTED_VALUE"""),"ทกท.")</f>
        <v>ทกท.</v>
      </c>
      <c r="I676" s="3" t="str">
        <f>IFERROR(__xludf.DUMMYFUNCTION("""COMPUTED_VALUE"""),"วพอ.พอ.")</f>
        <v>วพอ.พอ.</v>
      </c>
      <c r="J676" s="12">
        <f>IFERROR(__xludf.DUMMYFUNCTION("""COMPUTED_VALUE"""),46097.0)</f>
        <v>46097</v>
      </c>
      <c r="K676" s="3" t="str">
        <f>IFERROR(__xludf.DUMMYFUNCTION("""COMPUTED_VALUE"""),"0800-1600")</f>
        <v>0800-1600</v>
      </c>
      <c r="L676" s="3">
        <f>IFERROR(__xludf.DUMMYFUNCTION("""COMPUTED_VALUE"""),8.0)</f>
        <v>8</v>
      </c>
      <c r="M676" s="3" t="str">
        <f>IFERROR(__xludf.DUMMYFUNCTION("""COMPUTED_VALUE"""),"ร.อ.อนุชิต ทำจะดี")</f>
        <v>ร.อ.อนุชิต ทำจะดี</v>
      </c>
      <c r="N676" s="14" t="str">
        <f>IFERROR(__xludf.DUMMYFUNCTION("""COMPUTED_VALUE"""),"https://lh5.googleusercontent.com/d/1WUYbpY5PTYetnkOUEvpLlmncHNtOvjhN")</f>
        <v>https://lh5.googleusercontent.com/d/1WUYbpY5PTYetnkOUEvpLlmncHNtOvjhN</v>
      </c>
      <c r="O676" s="14" t="str">
        <f>IFERROR(__xludf.DUMMYFUNCTION("""COMPUTED_VALUE"""),"https://drive.google.com/file/d/12_yM27ChxaZBN5bbdGFwCSnJ5cV5Tl_s/view?usp=drivesdk")</f>
        <v>https://drive.google.com/file/d/12_yM27ChxaZBN5bbdGFwCSnJ5cV5Tl_s/view?usp=drivesdk</v>
      </c>
    </row>
    <row r="677">
      <c r="A677" s="3">
        <f>IFERROR(__xludf.DUMMYFUNCTION("""COMPUTED_VALUE"""),2875.0)</f>
        <v>2875</v>
      </c>
      <c r="B677" s="11">
        <f>IFERROR(__xludf.DUMMYFUNCTION("""COMPUTED_VALUE"""),46176.970093125004)</f>
        <v>46176.97009</v>
      </c>
      <c r="C677" s="3" t="str">
        <f>IFERROR(__xludf.DUMMYFUNCTION("""COMPUTED_VALUE"""),"ชั้นปีที่ 3")</f>
        <v>ชั้นปีที่ 3</v>
      </c>
      <c r="D677" s="3" t="str">
        <f>IFERROR(__xludf.DUMMYFUNCTION("""COMPUTED_VALUE"""),"6603754")</f>
        <v>6603754</v>
      </c>
      <c r="E677" s="3" t="str">
        <f>IFERROR(__xludf.DUMMYFUNCTION("""COMPUTED_VALUE"""),"1")</f>
        <v>1</v>
      </c>
      <c r="F677" s="3" t="str">
        <f>IFERROR(__xludf.DUMMYFUNCTION("""COMPUTED_VALUE"""),"นพอ.กรกนก วิไลลักษณ์")</f>
        <v>นพอ.กรกนก วิไลลักษณ์</v>
      </c>
      <c r="G677" s="3" t="str">
        <f>IFERROR(__xludf.DUMMYFUNCTION("""COMPUTED_VALUE"""),"ช่วยเหลืองานภายใน วพอ.")</f>
        <v>ช่วยเหลืองานภายใน วพอ.</v>
      </c>
      <c r="H677" s="3" t="str">
        <f>IFERROR(__xludf.DUMMYFUNCTION("""COMPUTED_VALUE"""),"ทกท.")</f>
        <v>ทกท.</v>
      </c>
      <c r="I677" s="3" t="str">
        <f>IFERROR(__xludf.DUMMYFUNCTION("""COMPUTED_VALUE"""),"วพอ.พอ.")</f>
        <v>วพอ.พอ.</v>
      </c>
      <c r="J677" s="12">
        <f>IFERROR(__xludf.DUMMYFUNCTION("""COMPUTED_VALUE"""),46122.0)</f>
        <v>46122</v>
      </c>
      <c r="K677" s="3" t="str">
        <f>IFERROR(__xludf.DUMMYFUNCTION("""COMPUTED_VALUE"""),"0800-1600")</f>
        <v>0800-1600</v>
      </c>
      <c r="L677" s="3">
        <f>IFERROR(__xludf.DUMMYFUNCTION("""COMPUTED_VALUE"""),8.0)</f>
        <v>8</v>
      </c>
      <c r="M677" s="3" t="str">
        <f>IFERROR(__xludf.DUMMYFUNCTION("""COMPUTED_VALUE"""),"ร.อ.อนุชิต ทำจะดี")</f>
        <v>ร.อ.อนุชิต ทำจะดี</v>
      </c>
      <c r="N677" s="14" t="str">
        <f>IFERROR(__xludf.DUMMYFUNCTION("""COMPUTED_VALUE"""),"https://lh5.googleusercontent.com/d/1HGdPDg5s9GWJ9ivwFlsyl5zydDuC0_ib")</f>
        <v>https://lh5.googleusercontent.com/d/1HGdPDg5s9GWJ9ivwFlsyl5zydDuC0_ib</v>
      </c>
      <c r="O677" s="14" t="str">
        <f>IFERROR(__xludf.DUMMYFUNCTION("""COMPUTED_VALUE"""),"https://drive.google.com/file/d/1f1ZpS1cbvCFfK1mr1ycXXMq5IUJVJwRQ/view?usp=drivesdk")</f>
        <v>https://drive.google.com/file/d/1f1ZpS1cbvCFfK1mr1ycXXMq5IUJVJwRQ/view?usp=drivesdk</v>
      </c>
    </row>
    <row r="678">
      <c r="A678" s="3">
        <f>IFERROR(__xludf.DUMMYFUNCTION("""COMPUTED_VALUE"""),2876.0)</f>
        <v>2876</v>
      </c>
      <c r="B678" s="11">
        <f>IFERROR(__xludf.DUMMYFUNCTION("""COMPUTED_VALUE"""),46176.97122644676)</f>
        <v>46176.97123</v>
      </c>
      <c r="C678" s="3" t="str">
        <f>IFERROR(__xludf.DUMMYFUNCTION("""COMPUTED_VALUE"""),"ชั้นปีที่ 3")</f>
        <v>ชั้นปีที่ 3</v>
      </c>
      <c r="D678" s="3" t="str">
        <f>IFERROR(__xludf.DUMMYFUNCTION("""COMPUTED_VALUE"""),"6603754")</f>
        <v>6603754</v>
      </c>
      <c r="E678" s="3" t="str">
        <f>IFERROR(__xludf.DUMMYFUNCTION("""COMPUTED_VALUE"""),"1")</f>
        <v>1</v>
      </c>
      <c r="F678" s="3" t="str">
        <f>IFERROR(__xludf.DUMMYFUNCTION("""COMPUTED_VALUE"""),"นพอ.กรกนก วิไลลักษณ์")</f>
        <v>นพอ.กรกนก วิไลลักษณ์</v>
      </c>
      <c r="G678" s="3" t="str">
        <f>IFERROR(__xludf.DUMMYFUNCTION("""COMPUTED_VALUE"""),"ช่วยเหลืองานภายใน วพอ.")</f>
        <v>ช่วยเหลืองานภายใน วพอ.</v>
      </c>
      <c r="H678" s="3" t="str">
        <f>IFERROR(__xludf.DUMMYFUNCTION("""COMPUTED_VALUE"""),"ทกท.")</f>
        <v>ทกท.</v>
      </c>
      <c r="I678" s="3" t="str">
        <f>IFERROR(__xludf.DUMMYFUNCTION("""COMPUTED_VALUE"""),"วพอ.พอ.")</f>
        <v>วพอ.พอ.</v>
      </c>
      <c r="J678" s="12">
        <f>IFERROR(__xludf.DUMMYFUNCTION("""COMPUTED_VALUE"""),46133.0)</f>
        <v>46133</v>
      </c>
      <c r="K678" s="3" t="str">
        <f>IFERROR(__xludf.DUMMYFUNCTION("""COMPUTED_VALUE"""),"0800-1200")</f>
        <v>0800-1200</v>
      </c>
      <c r="L678" s="3">
        <f>IFERROR(__xludf.DUMMYFUNCTION("""COMPUTED_VALUE"""),4.0)</f>
        <v>4</v>
      </c>
      <c r="M678" s="3" t="str">
        <f>IFERROR(__xludf.DUMMYFUNCTION("""COMPUTED_VALUE"""),"ร.อ.อนุชิต ทำจะดี")</f>
        <v>ร.อ.อนุชิต ทำจะดี</v>
      </c>
      <c r="N678" s="14" t="str">
        <f>IFERROR(__xludf.DUMMYFUNCTION("""COMPUTED_VALUE"""),"https://lh5.googleusercontent.com/d/14MnZHc1-pN6ISOU9GjnF443PJY8a6i_8")</f>
        <v>https://lh5.googleusercontent.com/d/14MnZHc1-pN6ISOU9GjnF443PJY8a6i_8</v>
      </c>
      <c r="O678" s="14" t="str">
        <f>IFERROR(__xludf.DUMMYFUNCTION("""COMPUTED_VALUE"""),"https://drive.google.com/file/d/14XzbrXtbYp1jnoxds8_ME8CVIBCFqILc/view?usp=drivesdk")</f>
        <v>https://drive.google.com/file/d/14XzbrXtbYp1jnoxds8_ME8CVIBCFqILc/view?usp=drivesdk</v>
      </c>
    </row>
    <row r="679">
      <c r="A679" s="3">
        <f>IFERROR(__xludf.DUMMYFUNCTION("""COMPUTED_VALUE"""),2877.0)</f>
        <v>2877</v>
      </c>
      <c r="B679" s="11">
        <f>IFERROR(__xludf.DUMMYFUNCTION("""COMPUTED_VALUE"""),46176.97325881944)</f>
        <v>46176.97326</v>
      </c>
      <c r="C679" s="3" t="str">
        <f>IFERROR(__xludf.DUMMYFUNCTION("""COMPUTED_VALUE"""),"ชั้นปีที่ 3")</f>
        <v>ชั้นปีที่ 3</v>
      </c>
      <c r="D679" s="3" t="str">
        <f>IFERROR(__xludf.DUMMYFUNCTION("""COMPUTED_VALUE"""),"6603754")</f>
        <v>6603754</v>
      </c>
      <c r="E679" s="3" t="str">
        <f>IFERROR(__xludf.DUMMYFUNCTION("""COMPUTED_VALUE"""),"1")</f>
        <v>1</v>
      </c>
      <c r="F679" s="3" t="str">
        <f>IFERROR(__xludf.DUMMYFUNCTION("""COMPUTED_VALUE"""),"นพอ.กรกนก วิไลลักษณ์")</f>
        <v>นพอ.กรกนก วิไลลักษณ์</v>
      </c>
      <c r="G679" s="3" t="str">
        <f>IFERROR(__xludf.DUMMYFUNCTION("""COMPUTED_VALUE"""),"ช่วยเหลืองานภายใน วพอ.")</f>
        <v>ช่วยเหลืองานภายใน วพอ.</v>
      </c>
      <c r="H679" s="3" t="str">
        <f>IFERROR(__xludf.DUMMYFUNCTION("""COMPUTED_VALUE"""),"ช่วยเหลืองานรับสมัคร 69")</f>
        <v>ช่วยเหลืองานรับสมัคร 69</v>
      </c>
      <c r="I679" s="3" t="str">
        <f>IFERROR(__xludf.DUMMYFUNCTION("""COMPUTED_VALUE"""),"วพอ.พอ.")</f>
        <v>วพอ.พอ.</v>
      </c>
      <c r="J679" s="12">
        <f>IFERROR(__xludf.DUMMYFUNCTION("""COMPUTED_VALUE"""),46147.0)</f>
        <v>46147</v>
      </c>
      <c r="K679" s="3" t="str">
        <f>IFERROR(__xludf.DUMMYFUNCTION("""COMPUTED_VALUE"""),"0800-1600")</f>
        <v>0800-1600</v>
      </c>
      <c r="L679" s="3">
        <f>IFERROR(__xludf.DUMMYFUNCTION("""COMPUTED_VALUE"""),8.0)</f>
        <v>8</v>
      </c>
      <c r="M679" s="3" t="str">
        <f>IFERROR(__xludf.DUMMYFUNCTION("""COMPUTED_VALUE"""),"น.ท.ลักษ์ขณา พานิชสรรค์")</f>
        <v>น.ท.ลักษ์ขณา พานิชสรรค์</v>
      </c>
      <c r="N679" s="14" t="str">
        <f>IFERROR(__xludf.DUMMYFUNCTION("""COMPUTED_VALUE"""),"https://lh5.googleusercontent.com/d/1CMPwMg1Vc1J30_8YCx8yDmjUyKp2gBq5")</f>
        <v>https://lh5.googleusercontent.com/d/1CMPwMg1Vc1J30_8YCx8yDmjUyKp2gBq5</v>
      </c>
      <c r="O679" s="14" t="str">
        <f>IFERROR(__xludf.DUMMYFUNCTION("""COMPUTED_VALUE"""),"https://drive.google.com/file/d/1ZxZjjsjQS9v-RJE0RdRbLIL9qhwKVYeT/view?usp=drivesdk")</f>
        <v>https://drive.google.com/file/d/1ZxZjjsjQS9v-RJE0RdRbLIL9qhwKVYeT/view?usp=drivesdk</v>
      </c>
    </row>
    <row r="680">
      <c r="A680" s="3">
        <f>IFERROR(__xludf.DUMMYFUNCTION("""COMPUTED_VALUE"""),2878.0)</f>
        <v>2878</v>
      </c>
      <c r="B680" s="11">
        <f>IFERROR(__xludf.DUMMYFUNCTION("""COMPUTED_VALUE"""),46176.97615554398)</f>
        <v>46176.97616</v>
      </c>
      <c r="C680" s="3" t="str">
        <f>IFERROR(__xludf.DUMMYFUNCTION("""COMPUTED_VALUE"""),"ชั้นปีที่ 3")</f>
        <v>ชั้นปีที่ 3</v>
      </c>
      <c r="D680" s="3" t="str">
        <f>IFERROR(__xludf.DUMMYFUNCTION("""COMPUTED_VALUE"""),"6603754")</f>
        <v>6603754</v>
      </c>
      <c r="E680" s="3" t="str">
        <f>IFERROR(__xludf.DUMMYFUNCTION("""COMPUTED_VALUE"""),"1")</f>
        <v>1</v>
      </c>
      <c r="F680" s="3" t="str">
        <f>IFERROR(__xludf.DUMMYFUNCTION("""COMPUTED_VALUE"""),"นพอ.กรกนก วิไลลักษณ์")</f>
        <v>นพอ.กรกนก วิไลลักษณ์</v>
      </c>
      <c r="G6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0" s="3" t="str">
        <f>IFERROR(__xludf.DUMMYFUNCTION("""COMPUTED_VALUE"""),"เข้าร่วมกิจกรรมวันเด็กแห่งชาติ 2568")</f>
        <v>เข้าร่วมกิจกรรมวันเด็กแห่งชาติ 2568</v>
      </c>
      <c r="I680" s="3" t="str">
        <f>IFERROR(__xludf.DUMMYFUNCTION("""COMPUTED_VALUE"""),"บน.6")</f>
        <v>บน.6</v>
      </c>
      <c r="J680" s="12">
        <f>IFERROR(__xludf.DUMMYFUNCTION("""COMPUTED_VALUE"""),46032.0)</f>
        <v>46032</v>
      </c>
      <c r="K680" s="3" t="str">
        <f>IFERROR(__xludf.DUMMYFUNCTION("""COMPUTED_VALUE"""),"0600-1400")</f>
        <v>0600-1400</v>
      </c>
      <c r="L680" s="3">
        <f>IFERROR(__xludf.DUMMYFUNCTION("""COMPUTED_VALUE"""),8.0)</f>
        <v>8</v>
      </c>
      <c r="M68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0" s="14" t="str">
        <f>IFERROR(__xludf.DUMMYFUNCTION("""COMPUTED_VALUE"""),"https://lh5.googleusercontent.com/d/1T9SNZalVBRJ2pgusCyKPKPUOGfZWrw7k")</f>
        <v>https://lh5.googleusercontent.com/d/1T9SNZalVBRJ2pgusCyKPKPUOGfZWrw7k</v>
      </c>
      <c r="O680" s="14" t="str">
        <f>IFERROR(__xludf.DUMMYFUNCTION("""COMPUTED_VALUE"""),"https://drive.google.com/file/d/1p7CUSQBD5buRZYkE93AE5OnuAfVfRYkZ/view?usp=drivesdk")</f>
        <v>https://drive.google.com/file/d/1p7CUSQBD5buRZYkE93AE5OnuAfVfRYkZ/view?usp=drivesdk</v>
      </c>
    </row>
    <row r="681">
      <c r="A681" s="3">
        <f>IFERROR(__xludf.DUMMYFUNCTION("""COMPUTED_VALUE"""),2887.0)</f>
        <v>2887</v>
      </c>
      <c r="B681" s="11">
        <f>IFERROR(__xludf.DUMMYFUNCTION("""COMPUTED_VALUE"""),46177.46137877315)</f>
        <v>46177.46138</v>
      </c>
      <c r="C681" s="3" t="str">
        <f>IFERROR(__xludf.DUMMYFUNCTION("""COMPUTED_VALUE"""),"ชั้นปีที่ 3")</f>
        <v>ชั้นปีที่ 3</v>
      </c>
      <c r="D681" s="3" t="str">
        <f>IFERROR(__xludf.DUMMYFUNCTION("""COMPUTED_VALUE"""),"6603757")</f>
        <v>6603757</v>
      </c>
      <c r="E681" s="3" t="str">
        <f>IFERROR(__xludf.DUMMYFUNCTION("""COMPUTED_VALUE"""),"4")</f>
        <v>4</v>
      </c>
      <c r="F681" s="3" t="str">
        <f>IFERROR(__xludf.DUMMYFUNCTION("""COMPUTED_VALUE"""),"นพอ.กัลยาณี นารีพล")</f>
        <v>นพอ.กัลยาณี นารีพล</v>
      </c>
      <c r="G681" s="3" t="str">
        <f>IFERROR(__xludf.DUMMYFUNCTION("""COMPUTED_VALUE"""),"ช่วยเหลืองานภายใน วพอ.")</f>
        <v>ช่วยเหลืองานภายใน วพอ.</v>
      </c>
      <c r="H681" s="3" t="str">
        <f>IFERROR(__xludf.DUMMYFUNCTION("""COMPUTED_VALUE"""),"ทกท.")</f>
        <v>ทกท.</v>
      </c>
      <c r="I681" s="3" t="str">
        <f>IFERROR(__xludf.DUMMYFUNCTION("""COMPUTED_VALUE"""),"วพอ.พอ")</f>
        <v>วพอ.พอ</v>
      </c>
      <c r="J681" s="12">
        <f>IFERROR(__xludf.DUMMYFUNCTION("""COMPUTED_VALUE"""),46097.0)</f>
        <v>46097</v>
      </c>
      <c r="K681" s="3" t="str">
        <f>IFERROR(__xludf.DUMMYFUNCTION("""COMPUTED_VALUE"""),"0800-1600")</f>
        <v>0800-1600</v>
      </c>
      <c r="L681" s="3">
        <f>IFERROR(__xludf.DUMMYFUNCTION("""COMPUTED_VALUE"""),8.0)</f>
        <v>8</v>
      </c>
      <c r="M681" s="3" t="str">
        <f>IFERROR(__xludf.DUMMYFUNCTION("""COMPUTED_VALUE"""),"ร.อ. อนุชิต ทำจะดี")</f>
        <v>ร.อ. อนุชิต ทำจะดี</v>
      </c>
      <c r="N681" s="14" t="str">
        <f>IFERROR(__xludf.DUMMYFUNCTION("""COMPUTED_VALUE"""),"https://lh5.googleusercontent.com/d/1ko4h-qsHeC_0K3xY2SCRejH_p3Ci_M1m")</f>
        <v>https://lh5.googleusercontent.com/d/1ko4h-qsHeC_0K3xY2SCRejH_p3Ci_M1m</v>
      </c>
      <c r="O681" s="14" t="str">
        <f>IFERROR(__xludf.DUMMYFUNCTION("""COMPUTED_VALUE"""),"https://drive.google.com/file/d/1iWBtaNMg3kY1IpbAMdCx4m8oofRJlrUT/view?usp=drivesdk")</f>
        <v>https://drive.google.com/file/d/1iWBtaNMg3kY1IpbAMdCx4m8oofRJlrUT/view?usp=drivesdk</v>
      </c>
    </row>
    <row r="682">
      <c r="A682" s="3">
        <f>IFERROR(__xludf.DUMMYFUNCTION("""COMPUTED_VALUE"""),2888.0)</f>
        <v>2888</v>
      </c>
      <c r="B682" s="11">
        <f>IFERROR(__xludf.DUMMYFUNCTION("""COMPUTED_VALUE"""),46177.463143900466)</f>
        <v>46177.46314</v>
      </c>
      <c r="C682" s="3" t="str">
        <f>IFERROR(__xludf.DUMMYFUNCTION("""COMPUTED_VALUE"""),"ชั้นปีที่ 3")</f>
        <v>ชั้นปีที่ 3</v>
      </c>
      <c r="D682" s="3" t="str">
        <f>IFERROR(__xludf.DUMMYFUNCTION("""COMPUTED_VALUE"""),"6603757")</f>
        <v>6603757</v>
      </c>
      <c r="E682" s="3" t="str">
        <f>IFERROR(__xludf.DUMMYFUNCTION("""COMPUTED_VALUE"""),"4")</f>
        <v>4</v>
      </c>
      <c r="F682" s="3" t="str">
        <f>IFERROR(__xludf.DUMMYFUNCTION("""COMPUTED_VALUE"""),"นพอ.กัลยาณี นารีพล")</f>
        <v>นพอ.กัลยาณี นารีพล</v>
      </c>
      <c r="G682" s="3" t="str">
        <f>IFERROR(__xludf.DUMMYFUNCTION("""COMPUTED_VALUE"""),"ช่วยเหลืองานภายใน วพอ.")</f>
        <v>ช่วยเหลืองานภายใน วพอ.</v>
      </c>
      <c r="H682" s="3" t="str">
        <f>IFERROR(__xludf.DUMMYFUNCTION("""COMPUTED_VALUE"""),"ทกท.")</f>
        <v>ทกท.</v>
      </c>
      <c r="I682" s="3" t="str">
        <f>IFERROR(__xludf.DUMMYFUNCTION("""COMPUTED_VALUE"""),"วพอ.พอ.")</f>
        <v>วพอ.พอ.</v>
      </c>
      <c r="J682" s="12">
        <f>IFERROR(__xludf.DUMMYFUNCTION("""COMPUTED_VALUE"""),46133.0)</f>
        <v>46133</v>
      </c>
      <c r="K682" s="3" t="str">
        <f>IFERROR(__xludf.DUMMYFUNCTION("""COMPUTED_VALUE"""),"0800-1200")</f>
        <v>0800-1200</v>
      </c>
      <c r="L682" s="3">
        <f>IFERROR(__xludf.DUMMYFUNCTION("""COMPUTED_VALUE"""),4.0)</f>
        <v>4</v>
      </c>
      <c r="M682" s="3" t="str">
        <f>IFERROR(__xludf.DUMMYFUNCTION("""COMPUTED_VALUE"""),"ร.อ. อนุชิต ทำจะดี")</f>
        <v>ร.อ. อนุชิต ทำจะดี</v>
      </c>
      <c r="N682" s="14" t="str">
        <f>IFERROR(__xludf.DUMMYFUNCTION("""COMPUTED_VALUE"""),"https://lh5.googleusercontent.com/d/1AV4Wiv-1d4kh3l2GR9z47dTfociXPoiK")</f>
        <v>https://lh5.googleusercontent.com/d/1AV4Wiv-1d4kh3l2GR9z47dTfociXPoiK</v>
      </c>
      <c r="O682" s="14" t="str">
        <f>IFERROR(__xludf.DUMMYFUNCTION("""COMPUTED_VALUE"""),"https://drive.google.com/file/d/1J13uibAIOJyAeORcscYjIF-a1TE2sAyO/view?usp=drivesdk")</f>
        <v>https://drive.google.com/file/d/1J13uibAIOJyAeORcscYjIF-a1TE2sAyO/view?usp=drivesdk</v>
      </c>
    </row>
    <row r="683">
      <c r="A683" s="3">
        <f>IFERROR(__xludf.DUMMYFUNCTION("""COMPUTED_VALUE"""),2889.0)</f>
        <v>2889</v>
      </c>
      <c r="B683" s="11">
        <f>IFERROR(__xludf.DUMMYFUNCTION("""COMPUTED_VALUE"""),46177.46426333333)</f>
        <v>46177.46426</v>
      </c>
      <c r="C683" s="3" t="str">
        <f>IFERROR(__xludf.DUMMYFUNCTION("""COMPUTED_VALUE"""),"ชั้นปีที่ 3")</f>
        <v>ชั้นปีที่ 3</v>
      </c>
      <c r="D683" s="3" t="str">
        <f>IFERROR(__xludf.DUMMYFUNCTION("""COMPUTED_VALUE"""),"6603757")</f>
        <v>6603757</v>
      </c>
      <c r="E683" s="3" t="str">
        <f>IFERROR(__xludf.DUMMYFUNCTION("""COMPUTED_VALUE"""),"4")</f>
        <v>4</v>
      </c>
      <c r="F683" s="3" t="str">
        <f>IFERROR(__xludf.DUMMYFUNCTION("""COMPUTED_VALUE"""),"นพอ.กัลยาณี นารีพล")</f>
        <v>นพอ.กัลยาณี นารีพล</v>
      </c>
      <c r="G683" s="3" t="str">
        <f>IFERROR(__xludf.DUMMYFUNCTION("""COMPUTED_VALUE"""),"ช่วยเหลืองานภายใน วพอ.")</f>
        <v>ช่วยเหลืองานภายใน วพอ.</v>
      </c>
      <c r="H683" s="3" t="str">
        <f>IFERROR(__xludf.DUMMYFUNCTION("""COMPUTED_VALUE"""),"ทกท.")</f>
        <v>ทกท.</v>
      </c>
      <c r="I683" s="3" t="str">
        <f>IFERROR(__xludf.DUMMYFUNCTION("""COMPUTED_VALUE"""),"วพอ.พอ.")</f>
        <v>วพอ.พอ.</v>
      </c>
      <c r="J683" s="12">
        <f>IFERROR(__xludf.DUMMYFUNCTION("""COMPUTED_VALUE"""),46121.0)</f>
        <v>46121</v>
      </c>
      <c r="K683" s="3" t="str">
        <f>IFERROR(__xludf.DUMMYFUNCTION("""COMPUTED_VALUE"""),"0800-1600")</f>
        <v>0800-1600</v>
      </c>
      <c r="L683" s="3">
        <f>IFERROR(__xludf.DUMMYFUNCTION("""COMPUTED_VALUE"""),8.0)</f>
        <v>8</v>
      </c>
      <c r="M683" s="3" t="str">
        <f>IFERROR(__xludf.DUMMYFUNCTION("""COMPUTED_VALUE"""),"ร.อ.อนุชิต ทำจะดี")</f>
        <v>ร.อ.อนุชิต ทำจะดี</v>
      </c>
      <c r="N683" s="14" t="str">
        <f>IFERROR(__xludf.DUMMYFUNCTION("""COMPUTED_VALUE"""),"https://lh5.googleusercontent.com/d/1Z3Xx8am_law_IfcNzqX17Mf1Z5PwQU9j")</f>
        <v>https://lh5.googleusercontent.com/d/1Z3Xx8am_law_IfcNzqX17Mf1Z5PwQU9j</v>
      </c>
      <c r="O683" s="14" t="str">
        <f>IFERROR(__xludf.DUMMYFUNCTION("""COMPUTED_VALUE"""),"https://drive.google.com/file/d/1FBcqgO_20I7IGihNOZDbXPsKIaulrl0z/view?usp=drivesdk")</f>
        <v>https://drive.google.com/file/d/1FBcqgO_20I7IGihNOZDbXPsKIaulrl0z/view?usp=drivesdk</v>
      </c>
    </row>
    <row r="684">
      <c r="A684" s="3">
        <f>IFERROR(__xludf.DUMMYFUNCTION("""COMPUTED_VALUE"""),2890.0)</f>
        <v>2890</v>
      </c>
      <c r="B684" s="11">
        <f>IFERROR(__xludf.DUMMYFUNCTION("""COMPUTED_VALUE"""),46177.466838645836)</f>
        <v>46177.46684</v>
      </c>
      <c r="C684" s="3" t="str">
        <f>IFERROR(__xludf.DUMMYFUNCTION("""COMPUTED_VALUE"""),"ชั้นปีที่ 3")</f>
        <v>ชั้นปีที่ 3</v>
      </c>
      <c r="D684" s="3" t="str">
        <f>IFERROR(__xludf.DUMMYFUNCTION("""COMPUTED_VALUE"""),"6603757")</f>
        <v>6603757</v>
      </c>
      <c r="E684" s="3" t="str">
        <f>IFERROR(__xludf.DUMMYFUNCTION("""COMPUTED_VALUE"""),"4")</f>
        <v>4</v>
      </c>
      <c r="F684" s="3" t="str">
        <f>IFERROR(__xludf.DUMMYFUNCTION("""COMPUTED_VALUE"""),"นพอ.กัลยาณี นารีพล")</f>
        <v>นพอ.กัลยาณี นารีพล</v>
      </c>
      <c r="G684" s="3" t="str">
        <f>IFERROR(__xludf.DUMMYFUNCTION("""COMPUTED_VALUE"""),"ช่วยเหลืองานภายใน วพอ.")</f>
        <v>ช่วยเหลืองานภายใน วพอ.</v>
      </c>
      <c r="H684" s="3" t="str">
        <f>IFERROR(__xludf.DUMMYFUNCTION("""COMPUTED_VALUE"""),"ช่วยเหลืองานรับสมัคร นพอ.69")</f>
        <v>ช่วยเหลืองานรับสมัคร นพอ.69</v>
      </c>
      <c r="I684" s="3" t="str">
        <f>IFERROR(__xludf.DUMMYFUNCTION("""COMPUTED_VALUE"""),"วพอ.พอ")</f>
        <v>วพอ.พอ</v>
      </c>
      <c r="J684" s="12">
        <f>IFERROR(__xludf.DUMMYFUNCTION("""COMPUTED_VALUE"""),46147.0)</f>
        <v>46147</v>
      </c>
      <c r="K684" s="3" t="str">
        <f>IFERROR(__xludf.DUMMYFUNCTION("""COMPUTED_VALUE"""),"0800-1600")</f>
        <v>0800-1600</v>
      </c>
      <c r="L684" s="3">
        <f>IFERROR(__xludf.DUMMYFUNCTION("""COMPUTED_VALUE"""),8.0)</f>
        <v>8</v>
      </c>
      <c r="M684" s="3" t="str">
        <f>IFERROR(__xludf.DUMMYFUNCTION("""COMPUTED_VALUE"""),"น.ท. หญิง ลักษ์ขณา พานิชสรรค์")</f>
        <v>น.ท. หญิง ลักษ์ขณา พานิชสรรค์</v>
      </c>
      <c r="N684" s="14" t="str">
        <f>IFERROR(__xludf.DUMMYFUNCTION("""COMPUTED_VALUE"""),"https://lh5.googleusercontent.com/d/1WyT_TW4C82pOyDtWvgyhB3sdM9fWrP4G")</f>
        <v>https://lh5.googleusercontent.com/d/1WyT_TW4C82pOyDtWvgyhB3sdM9fWrP4G</v>
      </c>
      <c r="O684" s="14" t="str">
        <f>IFERROR(__xludf.DUMMYFUNCTION("""COMPUTED_VALUE"""),"https://drive.google.com/file/d/1bf5tumiag3H1PNdIaS1spVsiTor5hzny/view?usp=drivesdk")</f>
        <v>https://drive.google.com/file/d/1bf5tumiag3H1PNdIaS1spVsiTor5hzny/view?usp=drivesdk</v>
      </c>
    </row>
    <row r="685">
      <c r="A685" s="3">
        <f>IFERROR(__xludf.DUMMYFUNCTION("""COMPUTED_VALUE"""),2891.0)</f>
        <v>2891</v>
      </c>
      <c r="B685" s="11">
        <f>IFERROR(__xludf.DUMMYFUNCTION("""COMPUTED_VALUE"""),46177.536996423616)</f>
        <v>46177.537</v>
      </c>
      <c r="C685" s="3" t="str">
        <f>IFERROR(__xludf.DUMMYFUNCTION("""COMPUTED_VALUE"""),"ชั้นปีที่ 3")</f>
        <v>ชั้นปีที่ 3</v>
      </c>
      <c r="D685" s="3" t="str">
        <f>IFERROR(__xludf.DUMMYFUNCTION("""COMPUTED_VALUE"""),"6603780")</f>
        <v>6603780</v>
      </c>
      <c r="E685" s="3" t="str">
        <f>IFERROR(__xludf.DUMMYFUNCTION("""COMPUTED_VALUE"""),"26")</f>
        <v>26</v>
      </c>
      <c r="F685" s="3" t="str">
        <f>IFERROR(__xludf.DUMMYFUNCTION("""COMPUTED_VALUE"""),"นพอ.นิศาชล ชุมจันทร์")</f>
        <v>นพอ.นิศาชล ชุมจันทร์</v>
      </c>
      <c r="G685" s="3" t="str">
        <f>IFERROR(__xludf.DUMMYFUNCTION("""COMPUTED_VALUE"""),"ช่วยเหลืองานภายใน วพอ.")</f>
        <v>ช่วยเหลืองานภายใน วพอ.</v>
      </c>
      <c r="H685" s="3" t="str">
        <f>IFERROR(__xludf.DUMMYFUNCTION("""COMPUTED_VALUE"""),"ช่วยงานทดสอบพิเศษนพอ.69")</f>
        <v>ช่วยงานทดสอบพิเศษนพอ.69</v>
      </c>
      <c r="I685" s="3" t="str">
        <f>IFERROR(__xludf.DUMMYFUNCTION("""COMPUTED_VALUE"""),"วพอ.พอ.")</f>
        <v>วพอ.พอ.</v>
      </c>
      <c r="J685" s="12">
        <f>IFERROR(__xludf.DUMMYFUNCTION("""COMPUTED_VALUE"""),46147.0)</f>
        <v>46147</v>
      </c>
      <c r="K685" s="3" t="str">
        <f>IFERROR(__xludf.DUMMYFUNCTION("""COMPUTED_VALUE"""),"0700-1500")</f>
        <v>0700-1500</v>
      </c>
      <c r="L685" s="3">
        <f>IFERROR(__xludf.DUMMYFUNCTION("""COMPUTED_VALUE"""),8.0)</f>
        <v>8</v>
      </c>
      <c r="M685" s="3" t="str">
        <f>IFERROR(__xludf.DUMMYFUNCTION("""COMPUTED_VALUE"""),"น.ท.หญิงลักษณ์ขณา พานิชสรรค์")</f>
        <v>น.ท.หญิงลักษณ์ขณา พานิชสรรค์</v>
      </c>
      <c r="N685" s="14" t="str">
        <f>IFERROR(__xludf.DUMMYFUNCTION("""COMPUTED_VALUE"""),"https://lh5.googleusercontent.com/d/1cQp0HQbhUefpKVtybyVvyDiLnhZxnDMa")</f>
        <v>https://lh5.googleusercontent.com/d/1cQp0HQbhUefpKVtybyVvyDiLnhZxnDMa</v>
      </c>
      <c r="O685" s="14" t="str">
        <f>IFERROR(__xludf.DUMMYFUNCTION("""COMPUTED_VALUE"""),"https://drive.google.com/file/d/1_GQ7t-AztYEVlMrscGeV82eK9oW0rxx2/view?usp=drivesdk")</f>
        <v>https://drive.google.com/file/d/1_GQ7t-AztYEVlMrscGeV82eK9oW0rxx2/view?usp=drivesdk</v>
      </c>
    </row>
    <row r="686">
      <c r="A686" s="3">
        <f>IFERROR(__xludf.DUMMYFUNCTION("""COMPUTED_VALUE"""),2896.0)</f>
        <v>2896</v>
      </c>
      <c r="B686" s="11">
        <f>IFERROR(__xludf.DUMMYFUNCTION("""COMPUTED_VALUE"""),46177.59010653935)</f>
        <v>46177.59011</v>
      </c>
      <c r="C686" s="3" t="str">
        <f>IFERROR(__xludf.DUMMYFUNCTION("""COMPUTED_VALUE"""),"ชั้นปีที่ 3")</f>
        <v>ชั้นปีที่ 3</v>
      </c>
      <c r="D686" s="3" t="str">
        <f>IFERROR(__xludf.DUMMYFUNCTION("""COMPUTED_VALUE"""),"6603763")</f>
        <v>6603763</v>
      </c>
      <c r="E686" s="3" t="str">
        <f>IFERROR(__xludf.DUMMYFUNCTION("""COMPUTED_VALUE"""),"10")</f>
        <v>10</v>
      </c>
      <c r="F686" s="3" t="str">
        <f>IFERROR(__xludf.DUMMYFUNCTION("""COMPUTED_VALUE"""),"นพอ.ชนาภา บุญแสน")</f>
        <v>นพอ.ชนาภา บุญแสน</v>
      </c>
      <c r="G686" s="3" t="str">
        <f>IFERROR(__xludf.DUMMYFUNCTION("""COMPUTED_VALUE"""),"ช่วยเหลืองานภายใน วพอ.")</f>
        <v>ช่วยเหลืองานภายใน วพอ.</v>
      </c>
      <c r="H686" s="3" t="str">
        <f>IFERROR(__xludf.DUMMYFUNCTION("""COMPUTED_VALUE"""),"จัดโต๊ะสอบนพอ.รุ่นที่69")</f>
        <v>จัดโต๊ะสอบนพอ.รุ่นที่69</v>
      </c>
      <c r="I686" s="3" t="str">
        <f>IFERROR(__xludf.DUMMYFUNCTION("""COMPUTED_VALUE"""),"วพอ.พอ.")</f>
        <v>วพอ.พอ.</v>
      </c>
      <c r="J686" s="12">
        <f>IFERROR(__xludf.DUMMYFUNCTION("""COMPUTED_VALUE"""),46147.0)</f>
        <v>46147</v>
      </c>
      <c r="K686" s="3" t="str">
        <f>IFERROR(__xludf.DUMMYFUNCTION("""COMPUTED_VALUE"""),"0800-1200")</f>
        <v>0800-1200</v>
      </c>
      <c r="L686" s="3">
        <f>IFERROR(__xludf.DUMMYFUNCTION("""COMPUTED_VALUE"""),4.0)</f>
        <v>4</v>
      </c>
      <c r="M686" s="3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686" s="14" t="str">
        <f>IFERROR(__xludf.DUMMYFUNCTION("""COMPUTED_VALUE"""),"https://lh5.googleusercontent.com/d/1734ti4DE0OQuqUqVWPIe-HakBseuTndd")</f>
        <v>https://lh5.googleusercontent.com/d/1734ti4DE0OQuqUqVWPIe-HakBseuTndd</v>
      </c>
      <c r="O686" s="14" t="str">
        <f>IFERROR(__xludf.DUMMYFUNCTION("""COMPUTED_VALUE"""),"https://drive.google.com/file/d/1CTbEOmIUf-60xebln_Ba7W0FIaG3oG5k/view?usp=drivesdk")</f>
        <v>https://drive.google.com/file/d/1CTbEOmIUf-60xebln_Ba7W0FIaG3oG5k/view?usp=drivesdk</v>
      </c>
    </row>
    <row r="687">
      <c r="A687" s="3">
        <f>IFERROR(__xludf.DUMMYFUNCTION("""COMPUTED_VALUE"""),2897.0)</f>
        <v>2897</v>
      </c>
      <c r="B687" s="11">
        <f>IFERROR(__xludf.DUMMYFUNCTION("""COMPUTED_VALUE"""),46177.597585902775)</f>
        <v>46177.59759</v>
      </c>
      <c r="C687" s="3" t="str">
        <f>IFERROR(__xludf.DUMMYFUNCTION("""COMPUTED_VALUE"""),"ชั้นปีที่ 3")</f>
        <v>ชั้นปีที่ 3</v>
      </c>
      <c r="D687" s="3" t="str">
        <f>IFERROR(__xludf.DUMMYFUNCTION("""COMPUTED_VALUE"""),"6603763")</f>
        <v>6603763</v>
      </c>
      <c r="E687" s="3" t="str">
        <f>IFERROR(__xludf.DUMMYFUNCTION("""COMPUTED_VALUE"""),"10")</f>
        <v>10</v>
      </c>
      <c r="F687" s="3" t="str">
        <f>IFERROR(__xludf.DUMMYFUNCTION("""COMPUTED_VALUE"""),"นพอ.ชนาภา บุญแสน")</f>
        <v>นพอ.ชนาภา บุญแสน</v>
      </c>
      <c r="G6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7" s="3" t="str">
        <f>IFERROR(__xludf.DUMMYFUNCTION("""COMPUTED_VALUE"""),"ดูแลการสอบนพอ.ปี69")</f>
        <v>ดูแลการสอบนพอ.ปี69</v>
      </c>
      <c r="I687" s="3" t="str">
        <f>IFERROR(__xludf.DUMMYFUNCTION("""COMPUTED_VALUE"""),"วพอ.พอ.")</f>
        <v>วพอ.พอ.</v>
      </c>
      <c r="J687" s="12">
        <f>IFERROR(__xludf.DUMMYFUNCTION("""COMPUTED_VALUE"""),46147.0)</f>
        <v>46147</v>
      </c>
      <c r="K687" s="3" t="str">
        <f>IFERROR(__xludf.DUMMYFUNCTION("""COMPUTED_VALUE"""),"0800-1600")</f>
        <v>0800-1600</v>
      </c>
      <c r="L687" s="3">
        <f>IFERROR(__xludf.DUMMYFUNCTION("""COMPUTED_VALUE"""),8.0)</f>
        <v>8</v>
      </c>
      <c r="M687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687" s="14" t="str">
        <f>IFERROR(__xludf.DUMMYFUNCTION("""COMPUTED_VALUE"""),"https://lh5.googleusercontent.com/d/12Hd2dK3oVBabAMH7_q4Z7CC8_stb7Xqj")</f>
        <v>https://lh5.googleusercontent.com/d/12Hd2dK3oVBabAMH7_q4Z7CC8_stb7Xqj</v>
      </c>
      <c r="O687" s="14" t="str">
        <f>IFERROR(__xludf.DUMMYFUNCTION("""COMPUTED_VALUE"""),"https://drive.google.com/file/d/1HBsJKl5hXEguRNQeb21cx0lIf7fTpBxp/view?usp=drivesdk")</f>
        <v>https://drive.google.com/file/d/1HBsJKl5hXEguRNQeb21cx0lIf7fTpBxp/view?usp=drivesdk</v>
      </c>
    </row>
    <row r="688">
      <c r="A688" s="3">
        <f>IFERROR(__xludf.DUMMYFUNCTION("""COMPUTED_VALUE"""),2965.0)</f>
        <v>2965</v>
      </c>
      <c r="B688" s="11">
        <f>IFERROR(__xludf.DUMMYFUNCTION("""COMPUTED_VALUE"""),46177.965023136574)</f>
        <v>46177.96502</v>
      </c>
      <c r="C688" s="3" t="str">
        <f>IFERROR(__xludf.DUMMYFUNCTION("""COMPUTED_VALUE"""),"ชั้นปีที่ 3")</f>
        <v>ชั้นปีที่ 3</v>
      </c>
      <c r="D688" s="3" t="str">
        <f>IFERROR(__xludf.DUMMYFUNCTION("""COMPUTED_VALUE"""),"6603791")</f>
        <v>6603791</v>
      </c>
      <c r="E688" s="3" t="str">
        <f>IFERROR(__xludf.DUMMYFUNCTION("""COMPUTED_VALUE"""),"37")</f>
        <v>37</v>
      </c>
      <c r="F688" s="3" t="str">
        <f>IFERROR(__xludf.DUMMYFUNCTION("""COMPUTED_VALUE"""),"นพอ.พรทิพย์ หงษ์มณี")</f>
        <v>นพอ.พรทิพย์ หงษ์มณี</v>
      </c>
      <c r="G68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88" s="3" t="str">
        <f>IFERROR(__xludf.DUMMYFUNCTION("""COMPUTED_VALUE"""),"“Give Blood New – ให้เลือด ให้ได้ ให้เลย”")</f>
        <v>“Give Blood New – ให้เลือด ให้ได้ ให้เลย”</v>
      </c>
      <c r="I688" s="3" t="str">
        <f>IFERROR(__xludf.DUMMYFUNCTION("""COMPUTED_VALUE"""),"โรงพยาบาลพุทธโสธร")</f>
        <v>โรงพยาบาลพุทธโสธร</v>
      </c>
      <c r="J688" s="12">
        <f>IFERROR(__xludf.DUMMYFUNCTION("""COMPUTED_VALUE"""),46060.0)</f>
        <v>46060</v>
      </c>
      <c r="K688" s="3" t="str">
        <f>IFERROR(__xludf.DUMMYFUNCTION("""COMPUTED_VALUE"""),"1000-1200")</f>
        <v>1000-1200</v>
      </c>
      <c r="L688" s="3">
        <f>IFERROR(__xludf.DUMMYFUNCTION("""COMPUTED_VALUE"""),8.0)</f>
        <v>8</v>
      </c>
      <c r="M688" s="3" t="str">
        <f>IFERROR(__xludf.DUMMYFUNCTION("""COMPUTED_VALUE"""),"ร.อ. อนุชิต  ทำจะดี")</f>
        <v>ร.อ. อนุชิต  ทำจะดี</v>
      </c>
      <c r="N688" s="14" t="str">
        <f>IFERROR(__xludf.DUMMYFUNCTION("""COMPUTED_VALUE"""),"https://lh5.googleusercontent.com/d/1LFEnYfaRkViYyNtcgtkJBYgR92k7eMhZ")</f>
        <v>https://lh5.googleusercontent.com/d/1LFEnYfaRkViYyNtcgtkJBYgR92k7eMhZ</v>
      </c>
      <c r="O688" s="14" t="str">
        <f>IFERROR(__xludf.DUMMYFUNCTION("""COMPUTED_VALUE"""),"https://drive.google.com/file/d/1A-q7SoVRA6gZpAoa4ZTW0gXYoOFrv_kL/view?usp=drivesdk")</f>
        <v>https://drive.google.com/file/d/1A-q7SoVRA6gZpAoa4ZTW0gXYoOFrv_kL/view?usp=drivesdk</v>
      </c>
    </row>
    <row r="689">
      <c r="A689" s="3">
        <f>IFERROR(__xludf.DUMMYFUNCTION("""COMPUTED_VALUE"""),2969.0)</f>
        <v>2969</v>
      </c>
      <c r="B689" s="11">
        <f>IFERROR(__xludf.DUMMYFUNCTION("""COMPUTED_VALUE"""),46177.968664340275)</f>
        <v>46177.96866</v>
      </c>
      <c r="C689" s="3" t="str">
        <f>IFERROR(__xludf.DUMMYFUNCTION("""COMPUTED_VALUE"""),"ชั้นปีที่ 3")</f>
        <v>ชั้นปีที่ 3</v>
      </c>
      <c r="D689" s="3" t="str">
        <f>IFERROR(__xludf.DUMMYFUNCTION("""COMPUTED_VALUE"""),"6603791")</f>
        <v>6603791</v>
      </c>
      <c r="E689" s="3" t="str">
        <f>IFERROR(__xludf.DUMMYFUNCTION("""COMPUTED_VALUE"""),"37")</f>
        <v>37</v>
      </c>
      <c r="F689" s="3" t="str">
        <f>IFERROR(__xludf.DUMMYFUNCTION("""COMPUTED_VALUE"""),"นพอ.พรทิพย์  หงษ์มณี")</f>
        <v>นพอ.พรทิพย์  หงษ์มณี</v>
      </c>
      <c r="G689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689" s="3" t="str">
        <f>IFERROR(__xludf.DUMMYFUNCTION("""COMPUTED_VALUE"""),"สวดมนต์ถวายพระพรชัยมงคล")</f>
        <v>สวดมนต์ถวายพระพรชัยมงคล</v>
      </c>
      <c r="I689" s="3" t="str">
        <f>IFERROR(__xludf.DUMMYFUNCTION("""COMPUTED_VALUE"""),"วัดต้นตาล")</f>
        <v>วัดต้นตาล</v>
      </c>
      <c r="J689" s="12">
        <f>IFERROR(__xludf.DUMMYFUNCTION("""COMPUTED_VALUE"""),46023.0)</f>
        <v>46023</v>
      </c>
      <c r="K689" s="3" t="str">
        <f>IFERROR(__xludf.DUMMYFUNCTION("""COMPUTED_VALUE"""),"2000-0000")</f>
        <v>2000-0000</v>
      </c>
      <c r="L689" s="3">
        <f>IFERROR(__xludf.DUMMYFUNCTION("""COMPUTED_VALUE"""),4.0)</f>
        <v>4</v>
      </c>
      <c r="M689" s="3" t="str">
        <f>IFERROR(__xludf.DUMMYFUNCTION("""COMPUTED_VALUE"""),"ร.อ.อนุชิต  ทำจะดี")</f>
        <v>ร.อ.อนุชิต  ทำจะดี</v>
      </c>
      <c r="N689" s="14" t="str">
        <f>IFERROR(__xludf.DUMMYFUNCTION("""COMPUTED_VALUE"""),"https://lh5.googleusercontent.com/d/1mwBrYqmOdYOn98e04OZcmrnCDgVF9j2y")</f>
        <v>https://lh5.googleusercontent.com/d/1mwBrYqmOdYOn98e04OZcmrnCDgVF9j2y</v>
      </c>
      <c r="O689" s="14" t="str">
        <f>IFERROR(__xludf.DUMMYFUNCTION("""COMPUTED_VALUE"""),"https://drive.google.com/file/d/1w-dP2KU2HdDE3dJuNCQCTX2XIyz8cJBx/view?usp=drivesdk")</f>
        <v>https://drive.google.com/file/d/1w-dP2KU2HdDE3dJuNCQCTX2XIyz8cJBx/view?usp=drivesdk</v>
      </c>
    </row>
    <row r="690">
      <c r="A690" s="3">
        <f>IFERROR(__xludf.DUMMYFUNCTION("""COMPUTED_VALUE"""),2971.0)</f>
        <v>2971</v>
      </c>
      <c r="B690" s="11">
        <f>IFERROR(__xludf.DUMMYFUNCTION("""COMPUTED_VALUE"""),46177.97167040509)</f>
        <v>46177.97167</v>
      </c>
      <c r="C690" s="3" t="str">
        <f>IFERROR(__xludf.DUMMYFUNCTION("""COMPUTED_VALUE"""),"ชั้นปีที่ 3")</f>
        <v>ชั้นปีที่ 3</v>
      </c>
      <c r="D690" s="3" t="str">
        <f>IFERROR(__xludf.DUMMYFUNCTION("""COMPUTED_VALUE"""),"6603791")</f>
        <v>6603791</v>
      </c>
      <c r="E690" s="3" t="str">
        <f>IFERROR(__xludf.DUMMYFUNCTION("""COMPUTED_VALUE"""),"37")</f>
        <v>37</v>
      </c>
      <c r="F690" s="3" t="str">
        <f>IFERROR(__xludf.DUMMYFUNCTION("""COMPUTED_VALUE"""),"นพอ.พรทิพย์  หงษ์มณี")</f>
        <v>นพอ.พรทิพย์  หงษ์มณี</v>
      </c>
      <c r="G690" s="3" t="str">
        <f>IFERROR(__xludf.DUMMYFUNCTION("""COMPUTED_VALUE"""),"ทำนุบำรุงศาสนสถาน")</f>
        <v>ทำนุบำรุงศาสนสถาน</v>
      </c>
      <c r="H690" s="3" t="str">
        <f>IFERROR(__xludf.DUMMYFUNCTION("""COMPUTED_VALUE"""),"ตักบาตรวันสงกรานต์")</f>
        <v>ตักบาตรวันสงกรานต์</v>
      </c>
      <c r="I690" s="3" t="str">
        <f>IFERROR(__xludf.DUMMYFUNCTION("""COMPUTED_VALUE"""),"หมู่บ้านต้นนา")</f>
        <v>หมู่บ้านต้นนา</v>
      </c>
      <c r="J690" s="12">
        <f>IFERROR(__xludf.DUMMYFUNCTION("""COMPUTED_VALUE"""),46126.0)</f>
        <v>46126</v>
      </c>
      <c r="K690" s="3" t="str">
        <f>IFERROR(__xludf.DUMMYFUNCTION("""COMPUTED_VALUE"""),"0900-1100")</f>
        <v>0900-1100</v>
      </c>
      <c r="L690" s="3">
        <f>IFERROR(__xludf.DUMMYFUNCTION("""COMPUTED_VALUE"""),2.0)</f>
        <v>2</v>
      </c>
      <c r="M690" s="3" t="str">
        <f>IFERROR(__xludf.DUMMYFUNCTION("""COMPUTED_VALUE"""),"ร.อ. อนุชิต  ทำจะดี")</f>
        <v>ร.อ. อนุชิต  ทำจะดี</v>
      </c>
      <c r="N690" s="14" t="str">
        <f>IFERROR(__xludf.DUMMYFUNCTION("""COMPUTED_VALUE"""),"https://lh5.googleusercontent.com/d/1OmzgqVzOrXOD9W0T3u6YbsDuuL1ztphv")</f>
        <v>https://lh5.googleusercontent.com/d/1OmzgqVzOrXOD9W0T3u6YbsDuuL1ztphv</v>
      </c>
      <c r="O690" s="14" t="str">
        <f>IFERROR(__xludf.DUMMYFUNCTION("""COMPUTED_VALUE"""),"https://drive.google.com/file/d/12uZfkrlmhE2iN2w3ChlNL8Hrt-XYkqwY/view?usp=drivesdk")</f>
        <v>https://drive.google.com/file/d/12uZfkrlmhE2iN2w3ChlNL8Hrt-XYkqwY/view?usp=drivesdk</v>
      </c>
    </row>
    <row r="691">
      <c r="A691" s="3">
        <f>IFERROR(__xludf.DUMMYFUNCTION("""COMPUTED_VALUE"""),3033.0)</f>
        <v>3033</v>
      </c>
      <c r="B691" s="11">
        <f>IFERROR(__xludf.DUMMYFUNCTION("""COMPUTED_VALUE"""),46178.35804849537)</f>
        <v>46178.35805</v>
      </c>
      <c r="C691" s="3" t="str">
        <f>IFERROR(__xludf.DUMMYFUNCTION("""COMPUTED_VALUE"""),"ชั้นปีที่ 3")</f>
        <v>ชั้นปีที่ 3</v>
      </c>
      <c r="D691" s="3" t="str">
        <f>IFERROR(__xludf.DUMMYFUNCTION("""COMPUTED_VALUE"""),"6603769")</f>
        <v>6603769</v>
      </c>
      <c r="E691" s="3" t="str">
        <f>IFERROR(__xludf.DUMMYFUNCTION("""COMPUTED_VALUE"""),"16")</f>
        <v>16</v>
      </c>
      <c r="F691" s="3" t="str">
        <f>IFERROR(__xludf.DUMMYFUNCTION("""COMPUTED_VALUE"""),"นพอ.ณิชนันท์ ศิรประภารัตน์")</f>
        <v>นพอ.ณิชนันท์ ศิรประภารัตน์</v>
      </c>
      <c r="G69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1" s="3" t="str">
        <f>IFERROR(__xludf.DUMMYFUNCTION("""COMPUTED_VALUE"""),"สงกรานต์เบิกบานจิต")</f>
        <v>สงกรานต์เบิกบานจิต</v>
      </c>
      <c r="I691" s="3" t="str">
        <f>IFERROR(__xludf.DUMMYFUNCTION("""COMPUTED_VALUE"""),"โรงพยาบาลศรีธัญญา")</f>
        <v>โรงพยาบาลศรีธัญญา</v>
      </c>
      <c r="J691" s="12">
        <f>IFERROR(__xludf.DUMMYFUNCTION("""COMPUTED_VALUE"""),46121.0)</f>
        <v>46121</v>
      </c>
      <c r="K691" s="3" t="str">
        <f>IFERROR(__xludf.DUMMYFUNCTION("""COMPUTED_VALUE"""),"0800-1600")</f>
        <v>0800-1600</v>
      </c>
      <c r="L691" s="3">
        <f>IFERROR(__xludf.DUMMYFUNCTION("""COMPUTED_VALUE"""),8.0)</f>
        <v>8</v>
      </c>
      <c r="M691" s="3" t="str">
        <f>IFERROR(__xludf.DUMMYFUNCTION("""COMPUTED_VALUE"""),"น.ต.หญิง รฐานุช ถิ่นสอน")</f>
        <v>น.ต.หญิง รฐานุช ถิ่นสอน</v>
      </c>
      <c r="N691" s="14" t="str">
        <f>IFERROR(__xludf.DUMMYFUNCTION("""COMPUTED_VALUE"""),"https://lh5.googleusercontent.com/d/1DFi4s5_k06ho39RCVkEqanKwhOhAuvMQ")</f>
        <v>https://lh5.googleusercontent.com/d/1DFi4s5_k06ho39RCVkEqanKwhOhAuvMQ</v>
      </c>
      <c r="O691" s="14" t="str">
        <f>IFERROR(__xludf.DUMMYFUNCTION("""COMPUTED_VALUE"""),"https://drive.google.com/file/d/1DqeAtuDx4Iqkt0eCCyRmG1TBkahnKgxK/view?usp=drivesdk")</f>
        <v>https://drive.google.com/file/d/1DqeAtuDx4Iqkt0eCCyRmG1TBkahnKgxK/view?usp=drivesdk</v>
      </c>
    </row>
    <row r="692">
      <c r="A692" s="3">
        <f>IFERROR(__xludf.DUMMYFUNCTION("""COMPUTED_VALUE"""),3035.0)</f>
        <v>3035</v>
      </c>
      <c r="B692" s="11">
        <f>IFERROR(__xludf.DUMMYFUNCTION("""COMPUTED_VALUE"""),46178.359785532404)</f>
        <v>46178.35979</v>
      </c>
      <c r="C692" s="3" t="str">
        <f>IFERROR(__xludf.DUMMYFUNCTION("""COMPUTED_VALUE"""),"ชั้นปีที่ 3")</f>
        <v>ชั้นปีที่ 3</v>
      </c>
      <c r="D692" s="3" t="str">
        <f>IFERROR(__xludf.DUMMYFUNCTION("""COMPUTED_VALUE"""),"6603769")</f>
        <v>6603769</v>
      </c>
      <c r="E692" s="3" t="str">
        <f>IFERROR(__xludf.DUMMYFUNCTION("""COMPUTED_VALUE"""),"16")</f>
        <v>16</v>
      </c>
      <c r="F692" s="3" t="str">
        <f>IFERROR(__xludf.DUMMYFUNCTION("""COMPUTED_VALUE"""),"นพอ.ณิชนันท์ ศิรประภารัตน์")</f>
        <v>นพอ.ณิชนันท์ ศิรประภารัตน์</v>
      </c>
      <c r="G692" s="3" t="str">
        <f>IFERROR(__xludf.DUMMYFUNCTION("""COMPUTED_VALUE"""),"ช่วยเหลืองานภายใน วพอ.")</f>
        <v>ช่วยเหลืองานภายใน วพอ.</v>
      </c>
      <c r="H692" s="3" t="str">
        <f>IFERROR(__xludf.DUMMYFUNCTION("""COMPUTED_VALUE"""),"การทดสอบความถนัด วิภาววิสัย และทดสอบร่างกาย")</f>
        <v>การทดสอบความถนัด วิภาววิสัย และทดสอบร่างกาย</v>
      </c>
      <c r="I692" s="3" t="str">
        <f>IFERROR(__xludf.DUMMYFUNCTION("""COMPUTED_VALUE"""),"วพอ.พอ.")</f>
        <v>วพอ.พอ.</v>
      </c>
      <c r="J692" s="12">
        <f>IFERROR(__xludf.DUMMYFUNCTION("""COMPUTED_VALUE"""),46147.0)</f>
        <v>46147</v>
      </c>
      <c r="K692" s="3" t="str">
        <f>IFERROR(__xludf.DUMMYFUNCTION("""COMPUTED_VALUE"""),"0800-1600")</f>
        <v>0800-1600</v>
      </c>
      <c r="L692" s="3">
        <f>IFERROR(__xludf.DUMMYFUNCTION("""COMPUTED_VALUE"""),8.0)</f>
        <v>8</v>
      </c>
      <c r="M692" s="3" t="str">
        <f>IFERROR(__xludf.DUMMYFUNCTION("""COMPUTED_VALUE"""),"น.ท.หญิง ลักษขณา พานิชสรรค์")</f>
        <v>น.ท.หญิง ลักษขณา พานิชสรรค์</v>
      </c>
      <c r="N692" s="14" t="str">
        <f>IFERROR(__xludf.DUMMYFUNCTION("""COMPUTED_VALUE"""),"https://lh5.googleusercontent.com/d/1dGn3xC8Rl9PF2r4ullhYudvomK4c6JzX")</f>
        <v>https://lh5.googleusercontent.com/d/1dGn3xC8Rl9PF2r4ullhYudvomK4c6JzX</v>
      </c>
      <c r="O692" s="14" t="str">
        <f>IFERROR(__xludf.DUMMYFUNCTION("""COMPUTED_VALUE"""),"https://drive.google.com/file/d/1EMFmxb4iL_TtvOm7THMaIjJFuD_FzihB/view?usp=drivesdk")</f>
        <v>https://drive.google.com/file/d/1EMFmxb4iL_TtvOm7THMaIjJFuD_FzihB/view?usp=drivesdk</v>
      </c>
    </row>
    <row r="693">
      <c r="A693" s="3">
        <f>IFERROR(__xludf.DUMMYFUNCTION("""COMPUTED_VALUE"""),3094.0)</f>
        <v>3094</v>
      </c>
      <c r="B693" s="11">
        <f>IFERROR(__xludf.DUMMYFUNCTION("""COMPUTED_VALUE"""),46178.445215821754)</f>
        <v>46178.44522</v>
      </c>
      <c r="C693" s="3" t="str">
        <f>IFERROR(__xludf.DUMMYFUNCTION("""COMPUTED_VALUE"""),"ชั้นปีที่ 3")</f>
        <v>ชั้นปีที่ 3</v>
      </c>
      <c r="D693" s="3" t="str">
        <f>IFERROR(__xludf.DUMMYFUNCTION("""COMPUTED_VALUE"""),"6603796")</f>
        <v>6603796</v>
      </c>
      <c r="E693" s="3" t="str">
        <f>IFERROR(__xludf.DUMMYFUNCTION("""COMPUTED_VALUE"""),"42")</f>
        <v>42</v>
      </c>
      <c r="F693" s="3" t="str">
        <f>IFERROR(__xludf.DUMMYFUNCTION("""COMPUTED_VALUE"""),"นพอ.พิมพ์พิศา ไพศาลมรกต")</f>
        <v>นพอ.พิมพ์พิศา ไพศาลมรกต</v>
      </c>
      <c r="G693" s="3" t="str">
        <f>IFERROR(__xludf.DUMMYFUNCTION("""COMPUTED_VALUE"""),"ทำนุบำรุงศาสนสถาน")</f>
        <v>ทำนุบำรุงศาสนสถาน</v>
      </c>
      <c r="H693" s="3" t="str">
        <f>IFERROR(__xludf.DUMMYFUNCTION("""COMPUTED_VALUE"""),"กวาดลานวัด")</f>
        <v>กวาดลานวัด</v>
      </c>
      <c r="I693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693" s="12">
        <f>IFERROR(__xludf.DUMMYFUNCTION("""COMPUTED_VALUE"""),46151.0)</f>
        <v>46151</v>
      </c>
      <c r="K693" s="3" t="str">
        <f>IFERROR(__xludf.DUMMYFUNCTION("""COMPUTED_VALUE"""),"0900-1000")</f>
        <v>0900-1000</v>
      </c>
      <c r="L693" s="3">
        <f>IFERROR(__xludf.DUMMYFUNCTION("""COMPUTED_VALUE"""),1.0)</f>
        <v>1</v>
      </c>
      <c r="M69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93" s="14" t="str">
        <f>IFERROR(__xludf.DUMMYFUNCTION("""COMPUTED_VALUE"""),"https://lh5.googleusercontent.com/d/10QCxJ-zMY99sjcvDvqRbMJ-_rvBmP15m")</f>
        <v>https://lh5.googleusercontent.com/d/10QCxJ-zMY99sjcvDvqRbMJ-_rvBmP15m</v>
      </c>
      <c r="O693" s="14" t="str">
        <f>IFERROR(__xludf.DUMMYFUNCTION("""COMPUTED_VALUE"""),"https://drive.google.com/file/d/1Nli5FwzVjakN8RBhnis22c0QjARWLg4C/view?usp=drivesdk")</f>
        <v>https://drive.google.com/file/d/1Nli5FwzVjakN8RBhnis22c0QjARWLg4C/view?usp=drivesdk</v>
      </c>
    </row>
    <row r="694">
      <c r="A694" s="3">
        <f>IFERROR(__xludf.DUMMYFUNCTION("""COMPUTED_VALUE"""),3096.0)</f>
        <v>3096</v>
      </c>
      <c r="B694" s="11">
        <f>IFERROR(__xludf.DUMMYFUNCTION("""COMPUTED_VALUE"""),46178.4470119676)</f>
        <v>46178.44701</v>
      </c>
      <c r="C694" s="3" t="str">
        <f>IFERROR(__xludf.DUMMYFUNCTION("""COMPUTED_VALUE"""),"ชั้นปีที่ 3")</f>
        <v>ชั้นปีที่ 3</v>
      </c>
      <c r="D694" s="3" t="str">
        <f>IFERROR(__xludf.DUMMYFUNCTION("""COMPUTED_VALUE"""),"6603796")</f>
        <v>6603796</v>
      </c>
      <c r="E694" s="3" t="str">
        <f>IFERROR(__xludf.DUMMYFUNCTION("""COMPUTED_VALUE"""),"42")</f>
        <v>42</v>
      </c>
      <c r="F694" s="3" t="str">
        <f>IFERROR(__xludf.DUMMYFUNCTION("""COMPUTED_VALUE"""),"นพอ.พิมพ์พิศา ไพศาลมรกต")</f>
        <v>นพอ.พิมพ์พิศา ไพศาลมรกต</v>
      </c>
      <c r="G694" s="3" t="str">
        <f>IFERROR(__xludf.DUMMYFUNCTION("""COMPUTED_VALUE"""),"ทำนุบำรุงศาสนสถาน")</f>
        <v>ทำนุบำรุงศาสนสถาน</v>
      </c>
      <c r="H694" s="3" t="str">
        <f>IFERROR(__xludf.DUMMYFUNCTION("""COMPUTED_VALUE"""),"กวาดลานวัด")</f>
        <v>กวาดลานวัด</v>
      </c>
      <c r="I694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694" s="12">
        <f>IFERROR(__xludf.DUMMYFUNCTION("""COMPUTED_VALUE"""),46152.0)</f>
        <v>46152</v>
      </c>
      <c r="K694" s="3" t="str">
        <f>IFERROR(__xludf.DUMMYFUNCTION("""COMPUTED_VALUE"""),"0800-0900")</f>
        <v>0800-0900</v>
      </c>
      <c r="L694" s="3">
        <f>IFERROR(__xludf.DUMMYFUNCTION("""COMPUTED_VALUE"""),1.0)</f>
        <v>1</v>
      </c>
      <c r="M69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94" s="14" t="str">
        <f>IFERROR(__xludf.DUMMYFUNCTION("""COMPUTED_VALUE"""),"https://lh5.googleusercontent.com/d/17-NRiis_9HAIqrdSiQ8jxa2w3oagIU2d")</f>
        <v>https://lh5.googleusercontent.com/d/17-NRiis_9HAIqrdSiQ8jxa2w3oagIU2d</v>
      </c>
      <c r="O694" s="14" t="str">
        <f>IFERROR(__xludf.DUMMYFUNCTION("""COMPUTED_VALUE"""),"https://drive.google.com/file/d/1tqWfNrdnu5S2DwnyTP3Ze1Ck-WOhurcp/view?usp=drivesdk")</f>
        <v>https://drive.google.com/file/d/1tqWfNrdnu5S2DwnyTP3Ze1Ck-WOhurcp/view?usp=drivesdk</v>
      </c>
    </row>
    <row r="695">
      <c r="A695" s="3">
        <f>IFERROR(__xludf.DUMMYFUNCTION("""COMPUTED_VALUE"""),3100.0)</f>
        <v>3100</v>
      </c>
      <c r="B695" s="11">
        <f>IFERROR(__xludf.DUMMYFUNCTION("""COMPUTED_VALUE"""),46178.45089108796)</f>
        <v>46178.45089</v>
      </c>
      <c r="C695" s="3" t="str">
        <f>IFERROR(__xludf.DUMMYFUNCTION("""COMPUTED_VALUE"""),"ชั้นปีที่ 3")</f>
        <v>ชั้นปีที่ 3</v>
      </c>
      <c r="D695" s="3" t="str">
        <f>IFERROR(__xludf.DUMMYFUNCTION("""COMPUTED_VALUE"""),"6603791")</f>
        <v>6603791</v>
      </c>
      <c r="E695" s="3" t="str">
        <f>IFERROR(__xludf.DUMMYFUNCTION("""COMPUTED_VALUE"""),"37")</f>
        <v>37</v>
      </c>
      <c r="F695" s="3" t="str">
        <f>IFERROR(__xludf.DUMMYFUNCTION("""COMPUTED_VALUE"""),"นพอ.พรทิพย์  หงษ์มณี")</f>
        <v>นพอ.พรทิพย์  หงษ์มณี</v>
      </c>
      <c r="G695" s="3" t="str">
        <f>IFERROR(__xludf.DUMMYFUNCTION("""COMPUTED_VALUE"""),"ทำนุบำรุงศาสนสถาน")</f>
        <v>ทำนุบำรุงศาสนสถาน</v>
      </c>
      <c r="H695" s="3" t="str">
        <f>IFERROR(__xludf.DUMMYFUNCTION("""COMPUTED_VALUE"""),"ตักบาตรวันสงกรานต์")</f>
        <v>ตักบาตรวันสงกรานต์</v>
      </c>
      <c r="I695" s="3" t="str">
        <f>IFERROR(__xludf.DUMMYFUNCTION("""COMPUTED_VALUE"""),"หมู่บ้านต้นนา")</f>
        <v>หมู่บ้านต้นนา</v>
      </c>
      <c r="J695" s="12">
        <f>IFERROR(__xludf.DUMMYFUNCTION("""COMPUTED_VALUE"""),46126.0)</f>
        <v>46126</v>
      </c>
      <c r="K695" s="3" t="str">
        <f>IFERROR(__xludf.DUMMYFUNCTION("""COMPUTED_VALUE"""),"0900-1100")</f>
        <v>0900-1100</v>
      </c>
      <c r="L695" s="3">
        <f>IFERROR(__xludf.DUMMYFUNCTION("""COMPUTED_VALUE"""),2.0)</f>
        <v>2</v>
      </c>
      <c r="M695" s="3" t="str">
        <f>IFERROR(__xludf.DUMMYFUNCTION("""COMPUTED_VALUE"""),"ร.อ. อนุชิต  ทำจะดี")</f>
        <v>ร.อ. อนุชิต  ทำจะดี</v>
      </c>
      <c r="N695" s="14" t="str">
        <f>IFERROR(__xludf.DUMMYFUNCTION("""COMPUTED_VALUE"""),"https://lh5.googleusercontent.com/d/1OlJ00iepbKkDeNjnGNAiL6c_gfZ1zgve")</f>
        <v>https://lh5.googleusercontent.com/d/1OlJ00iepbKkDeNjnGNAiL6c_gfZ1zgve</v>
      </c>
      <c r="O695" s="14" t="str">
        <f>IFERROR(__xludf.DUMMYFUNCTION("""COMPUTED_VALUE"""),"https://drive.google.com/file/d/17qZZ-d31WJIhe8_XC3KQDgEvBruMwN9-/view?usp=drivesdk")</f>
        <v>https://drive.google.com/file/d/17qZZ-d31WJIhe8_XC3KQDgEvBruMwN9-/view?usp=drivesdk</v>
      </c>
    </row>
    <row r="696">
      <c r="A696" s="3">
        <f>IFERROR(__xludf.DUMMYFUNCTION("""COMPUTED_VALUE"""),3101.0)</f>
        <v>3101</v>
      </c>
      <c r="B696" s="11">
        <f>IFERROR(__xludf.DUMMYFUNCTION("""COMPUTED_VALUE"""),46178.45241)</f>
        <v>46178.45241</v>
      </c>
      <c r="C696" s="3" t="str">
        <f>IFERROR(__xludf.DUMMYFUNCTION("""COMPUTED_VALUE"""),"ชั้นปีที่ 3")</f>
        <v>ชั้นปีที่ 3</v>
      </c>
      <c r="D696" s="3" t="str">
        <f>IFERROR(__xludf.DUMMYFUNCTION("""COMPUTED_VALUE"""),"6603796")</f>
        <v>6603796</v>
      </c>
      <c r="E696" s="3" t="str">
        <f>IFERROR(__xludf.DUMMYFUNCTION("""COMPUTED_VALUE"""),"42")</f>
        <v>42</v>
      </c>
      <c r="F696" s="3" t="str">
        <f>IFERROR(__xludf.DUMMYFUNCTION("""COMPUTED_VALUE"""),"นพอ.พิมพ์พิศา ไพศาลมรกต")</f>
        <v>นพอ.พิมพ์พิศา ไพศาลมรกต</v>
      </c>
      <c r="G696" s="3" t="str">
        <f>IFERROR(__xludf.DUMMYFUNCTION("""COMPUTED_VALUE"""),"ช่วยเหลืองานภายใน วพอ.")</f>
        <v>ช่วยเหลืองานภายใน วพอ.</v>
      </c>
      <c r="H696" s="3" t="str">
        <f>IFERROR(__xludf.DUMMYFUNCTION("""COMPUTED_VALUE"""),"ตรวจสอบเอกสารของการรับสมัครนักเรียนใหม่")</f>
        <v>ตรวจสอบเอกสารของการรับสมัครนักเรียนใหม่</v>
      </c>
      <c r="I696" s="3" t="str">
        <f>IFERROR(__xludf.DUMMYFUNCTION("""COMPUTED_VALUE"""),"วิทยาลัยพยาบาลทหารอากาศ")</f>
        <v>วิทยาลัยพยาบาลทหารอากาศ</v>
      </c>
      <c r="J696" s="12">
        <f>IFERROR(__xludf.DUMMYFUNCTION("""COMPUTED_VALUE"""),46150.0)</f>
        <v>46150</v>
      </c>
      <c r="K696" s="3" t="str">
        <f>IFERROR(__xludf.DUMMYFUNCTION("""COMPUTED_VALUE"""),"1300-1500")</f>
        <v>1300-1500</v>
      </c>
      <c r="L696" s="3">
        <f>IFERROR(__xludf.DUMMYFUNCTION("""COMPUTED_VALUE"""),2.0)</f>
        <v>2</v>
      </c>
      <c r="M696" s="3" t="str">
        <f>IFERROR(__xludf.DUMMYFUNCTION("""COMPUTED_VALUE"""),"น.ต.ศักดิ์ชัย บุญประสิทธิ์")</f>
        <v>น.ต.ศักดิ์ชัย บุญประสิทธิ์</v>
      </c>
      <c r="N696" s="14" t="str">
        <f>IFERROR(__xludf.DUMMYFUNCTION("""COMPUTED_VALUE"""),"https://lh5.googleusercontent.com/d/1vX6-SVrv3GdHAoXdMrREjPnDxIvz7wK4")</f>
        <v>https://lh5.googleusercontent.com/d/1vX6-SVrv3GdHAoXdMrREjPnDxIvz7wK4</v>
      </c>
      <c r="O696" s="14" t="str">
        <f>IFERROR(__xludf.DUMMYFUNCTION("""COMPUTED_VALUE"""),"https://drive.google.com/file/d/1zlLltWiyMX7ubTg0EMHN5TEX2Hbgazxm/view?usp=drivesdk")</f>
        <v>https://drive.google.com/file/d/1zlLltWiyMX7ubTg0EMHN5TEX2Hbgazxm/view?usp=drivesdk</v>
      </c>
    </row>
    <row r="697">
      <c r="A697" s="3">
        <f>IFERROR(__xludf.DUMMYFUNCTION("""COMPUTED_VALUE"""),3102.0)</f>
        <v>3102</v>
      </c>
      <c r="B697" s="11">
        <f>IFERROR(__xludf.DUMMYFUNCTION("""COMPUTED_VALUE"""),46178.45271131945)</f>
        <v>46178.45271</v>
      </c>
      <c r="C697" s="3" t="str">
        <f>IFERROR(__xludf.DUMMYFUNCTION("""COMPUTED_VALUE"""),"ชั้นปีที่ 3")</f>
        <v>ชั้นปีที่ 3</v>
      </c>
      <c r="D697" s="3" t="str">
        <f>IFERROR(__xludf.DUMMYFUNCTION("""COMPUTED_VALUE"""),"6603767")</f>
        <v>6603767</v>
      </c>
      <c r="E697" s="3" t="str">
        <f>IFERROR(__xludf.DUMMYFUNCTION("""COMPUTED_VALUE"""),"14")</f>
        <v>14</v>
      </c>
      <c r="F697" s="3" t="str">
        <f>IFERROR(__xludf.DUMMYFUNCTION("""COMPUTED_VALUE"""),"นพอ.ณัฐนรินทร์ เต่าไธสง")</f>
        <v>นพอ.ณัฐนรินทร์ เต่าไธสง</v>
      </c>
      <c r="G697" s="3" t="str">
        <f>IFERROR(__xludf.DUMMYFUNCTION("""COMPUTED_VALUE"""),"ช่วยเหลืองานภายใน วพอ.")</f>
        <v>ช่วยเหลืองานภายใน วพอ.</v>
      </c>
      <c r="H697" s="3" t="str">
        <f>IFERROR(__xludf.DUMMYFUNCTION("""COMPUTED_VALUE"""),"จัดสวนหินบริเวณวิทยาลัย")</f>
        <v>จัดสวนหินบริเวณวิทยาลัย</v>
      </c>
      <c r="I697" s="3" t="str">
        <f>IFERROR(__xludf.DUMMYFUNCTION("""COMPUTED_VALUE"""),"วพอ.พอ.")</f>
        <v>วพอ.พอ.</v>
      </c>
      <c r="J697" s="12">
        <f>IFERROR(__xludf.DUMMYFUNCTION("""COMPUTED_VALUE"""),46177.0)</f>
        <v>46177</v>
      </c>
      <c r="K697" s="3" t="str">
        <f>IFERROR(__xludf.DUMMYFUNCTION("""COMPUTED_VALUE"""),"1300-1600")</f>
        <v>1300-1600</v>
      </c>
      <c r="L697" s="3">
        <f>IFERROR(__xludf.DUMMYFUNCTION("""COMPUTED_VALUE"""),3.0)</f>
        <v>3</v>
      </c>
      <c r="M697" s="3" t="str">
        <f>IFERROR(__xludf.DUMMYFUNCTION("""COMPUTED_VALUE"""),"น.อ.หญิง.ผศ.นิตยา สุขแสน")</f>
        <v>น.อ.หญิง.ผศ.นิตยา สุขแสน</v>
      </c>
      <c r="N697" s="14" t="str">
        <f>IFERROR(__xludf.DUMMYFUNCTION("""COMPUTED_VALUE"""),"https://lh5.googleusercontent.com/d/1JCgj5EK7A1Qt8VlHwpjZXL_jdM0aaRXo")</f>
        <v>https://lh5.googleusercontent.com/d/1JCgj5EK7A1Qt8VlHwpjZXL_jdM0aaRXo</v>
      </c>
      <c r="O697" s="14" t="str">
        <f>IFERROR(__xludf.DUMMYFUNCTION("""COMPUTED_VALUE"""),"https://drive.google.com/file/d/1YrUn-BgPFU3CB0IOsBAKURrzsKTgu2Yl/view?usp=drivesdk")</f>
        <v>https://drive.google.com/file/d/1YrUn-BgPFU3CB0IOsBAKURrzsKTgu2Yl/view?usp=drivesdk</v>
      </c>
    </row>
    <row r="698">
      <c r="A698" s="3">
        <f>IFERROR(__xludf.DUMMYFUNCTION("""COMPUTED_VALUE"""),3104.0)</f>
        <v>3104</v>
      </c>
      <c r="B698" s="11">
        <f>IFERROR(__xludf.DUMMYFUNCTION("""COMPUTED_VALUE"""),46178.452838032405)</f>
        <v>46178.45284</v>
      </c>
      <c r="C698" s="3" t="str">
        <f>IFERROR(__xludf.DUMMYFUNCTION("""COMPUTED_VALUE"""),"ชั้นปีที่ 3")</f>
        <v>ชั้นปีที่ 3</v>
      </c>
      <c r="D698" s="3" t="str">
        <f>IFERROR(__xludf.DUMMYFUNCTION("""COMPUTED_VALUE"""),"6603791")</f>
        <v>6603791</v>
      </c>
      <c r="E698" s="3" t="str">
        <f>IFERROR(__xludf.DUMMYFUNCTION("""COMPUTED_VALUE"""),"37")</f>
        <v>37</v>
      </c>
      <c r="F698" s="3" t="str">
        <f>IFERROR(__xludf.DUMMYFUNCTION("""COMPUTED_VALUE"""),"นพอ.พรทิพย์  หงษ์มณี")</f>
        <v>นพอ.พรทิพย์  หงษ์มณี</v>
      </c>
      <c r="G698" s="3" t="str">
        <f>IFERROR(__xludf.DUMMYFUNCTION("""COMPUTED_VALUE"""),"ช่วยเหลืองานภายใน วพอ.")</f>
        <v>ช่วยเหลืองานภายใน วพอ.</v>
      </c>
      <c r="H698" s="3" t="str">
        <f>IFERROR(__xludf.DUMMYFUNCTION("""COMPUTED_VALUE"""),"ขนหินตกแต่งสวน")</f>
        <v>ขนหินตกแต่งสวน</v>
      </c>
      <c r="I698" s="3" t="str">
        <f>IFERROR(__xludf.DUMMYFUNCTION("""COMPUTED_VALUE"""),"วพอ.พอ")</f>
        <v>วพอ.พอ</v>
      </c>
      <c r="J698" s="12">
        <f>IFERROR(__xludf.DUMMYFUNCTION("""COMPUTED_VALUE"""),46177.0)</f>
        <v>46177</v>
      </c>
      <c r="K698" s="3" t="str">
        <f>IFERROR(__xludf.DUMMYFUNCTION("""COMPUTED_VALUE"""),"1600-1700")</f>
        <v>1600-1700</v>
      </c>
      <c r="L698" s="3">
        <f>IFERROR(__xludf.DUMMYFUNCTION("""COMPUTED_VALUE"""),3.0)</f>
        <v>3</v>
      </c>
      <c r="M698" s="3" t="str">
        <f>IFERROR(__xludf.DUMMYFUNCTION("""COMPUTED_VALUE"""),"น.อ.หญิง นิตยา สุขแสน")</f>
        <v>น.อ.หญิง นิตยา สุขแสน</v>
      </c>
      <c r="N698" s="14" t="str">
        <f>IFERROR(__xludf.DUMMYFUNCTION("""COMPUTED_VALUE"""),"https://lh5.googleusercontent.com/d/1rF16tusWhGqmm4l4o9XcCqQ9YU1Fkqhx")</f>
        <v>https://lh5.googleusercontent.com/d/1rF16tusWhGqmm4l4o9XcCqQ9YU1Fkqhx</v>
      </c>
      <c r="O698" s="14" t="str">
        <f>IFERROR(__xludf.DUMMYFUNCTION("""COMPUTED_VALUE"""),"https://drive.google.com/file/d/1cHgBnV9jeo79J-KfA18pTYYsO8EOSjGq/view?usp=drivesdk")</f>
        <v>https://drive.google.com/file/d/1cHgBnV9jeo79J-KfA18pTYYsO8EOSjGq/view?usp=drivesdk</v>
      </c>
    </row>
    <row r="699">
      <c r="A699" s="3">
        <f>IFERROR(__xludf.DUMMYFUNCTION("""COMPUTED_VALUE"""),3113.0)</f>
        <v>3113</v>
      </c>
      <c r="B699" s="11">
        <f>IFERROR(__xludf.DUMMYFUNCTION("""COMPUTED_VALUE"""),46178.45813056713)</f>
        <v>46178.45813</v>
      </c>
      <c r="C699" s="3" t="str">
        <f>IFERROR(__xludf.DUMMYFUNCTION("""COMPUTED_VALUE"""),"ชั้นปีที่ 3")</f>
        <v>ชั้นปีที่ 3</v>
      </c>
      <c r="D699" s="3" t="str">
        <f>IFERROR(__xludf.DUMMYFUNCTION("""COMPUTED_VALUE"""),"6603767")</f>
        <v>6603767</v>
      </c>
      <c r="E699" s="3" t="str">
        <f>IFERROR(__xludf.DUMMYFUNCTION("""COMPUTED_VALUE"""),"14")</f>
        <v>14</v>
      </c>
      <c r="F699" s="3" t="str">
        <f>IFERROR(__xludf.DUMMYFUNCTION("""COMPUTED_VALUE"""),"นพอ.ณัฐนรินทร์ เต่าไธสง")</f>
        <v>นพอ.ณัฐนรินทร์ เต่าไธสง</v>
      </c>
      <c r="G699" s="3" t="str">
        <f>IFERROR(__xludf.DUMMYFUNCTION("""COMPUTED_VALUE"""),"ช่วยเหลืองานภายใน วพอ.")</f>
        <v>ช่วยเหลืองานภายใน วพอ.</v>
      </c>
      <c r="H699" s="3" t="str">
        <f>IFERROR(__xludf.DUMMYFUNCTION("""COMPUTED_VALUE"""),"ทกท.")</f>
        <v>ทกท.</v>
      </c>
      <c r="I699" s="3" t="str">
        <f>IFERROR(__xludf.DUMMYFUNCTION("""COMPUTED_VALUE"""),"วพอ.พอ.")</f>
        <v>วพอ.พอ.</v>
      </c>
      <c r="J699" s="12">
        <f>IFERROR(__xludf.DUMMYFUNCTION("""COMPUTED_VALUE"""),46133.0)</f>
        <v>46133</v>
      </c>
      <c r="K699" s="3" t="str">
        <f>IFERROR(__xludf.DUMMYFUNCTION("""COMPUTED_VALUE"""),"1200-1600")</f>
        <v>1200-1600</v>
      </c>
      <c r="L699" s="3">
        <f>IFERROR(__xludf.DUMMYFUNCTION("""COMPUTED_VALUE"""),4.0)</f>
        <v>4</v>
      </c>
      <c r="M699" s="3" t="str">
        <f>IFERROR(__xludf.DUMMYFUNCTION("""COMPUTED_VALUE"""),"ร.อ.อนุชิต ทำจะดี")</f>
        <v>ร.อ.อนุชิต ทำจะดี</v>
      </c>
      <c r="N699" s="14" t="str">
        <f>IFERROR(__xludf.DUMMYFUNCTION("""COMPUTED_VALUE"""),"https://lh5.googleusercontent.com/d/159aIcQGhv8-AnRmLZ-98Iy7sWElukAvi")</f>
        <v>https://lh5.googleusercontent.com/d/159aIcQGhv8-AnRmLZ-98Iy7sWElukAvi</v>
      </c>
      <c r="O699" s="14" t="str">
        <f>IFERROR(__xludf.DUMMYFUNCTION("""COMPUTED_VALUE"""),"https://drive.google.com/file/d/1UDUMd81GBsUyvBz1sKk_4n1x2nDMKvRR/view?usp=drivesdk")</f>
        <v>https://drive.google.com/file/d/1UDUMd81GBsUyvBz1sKk_4n1x2nDMKvRR/view?usp=drivesdk</v>
      </c>
    </row>
    <row r="700">
      <c r="A700" s="3">
        <f>IFERROR(__xludf.DUMMYFUNCTION("""COMPUTED_VALUE"""),3118.0)</f>
        <v>3118</v>
      </c>
      <c r="B700" s="11">
        <f>IFERROR(__xludf.DUMMYFUNCTION("""COMPUTED_VALUE"""),46178.46005574075)</f>
        <v>46178.46006</v>
      </c>
      <c r="C700" s="3" t="str">
        <f>IFERROR(__xludf.DUMMYFUNCTION("""COMPUTED_VALUE"""),"ชั้นปีที่ 3")</f>
        <v>ชั้นปีที่ 3</v>
      </c>
      <c r="D700" s="3" t="str">
        <f>IFERROR(__xludf.DUMMYFUNCTION("""COMPUTED_VALUE"""),"6603810")</f>
        <v>6603810</v>
      </c>
      <c r="E700" s="3" t="str">
        <f>IFERROR(__xludf.DUMMYFUNCTION("""COMPUTED_VALUE"""),"56")</f>
        <v>56</v>
      </c>
      <c r="F700" s="3" t="str">
        <f>IFERROR(__xludf.DUMMYFUNCTION("""COMPUTED_VALUE"""),"นพอ.สุพิชชา โคตวงค์")</f>
        <v>นพอ.สุพิชชา โคตวงค์</v>
      </c>
      <c r="G700" s="3" t="str">
        <f>IFERROR(__xludf.DUMMYFUNCTION("""COMPUTED_VALUE"""),"ช่วยเหลืองานภายใน วพอ.")</f>
        <v>ช่วยเหลืองานภายใน วพอ.</v>
      </c>
      <c r="H700" s="3" t="str">
        <f>IFERROR(__xludf.DUMMYFUNCTION("""COMPUTED_VALUE"""),"ซ้อมเต้นเพลงความสุข")</f>
        <v>ซ้อมเต้นเพลงความสุข</v>
      </c>
      <c r="I700" s="3" t="str">
        <f>IFERROR(__xludf.DUMMYFUNCTION("""COMPUTED_VALUE"""),"วพอ.พอ.")</f>
        <v>วพอ.พอ.</v>
      </c>
      <c r="J700" s="12">
        <f>IFERROR(__xludf.DUMMYFUNCTION("""COMPUTED_VALUE"""),46176.0)</f>
        <v>46176</v>
      </c>
      <c r="K700" s="3" t="str">
        <f>IFERROR(__xludf.DUMMYFUNCTION("""COMPUTED_VALUE"""),"1800-1900")</f>
        <v>1800-1900</v>
      </c>
      <c r="L700" s="3">
        <f>IFERROR(__xludf.DUMMYFUNCTION("""COMPUTED_VALUE"""),1.0)</f>
        <v>1</v>
      </c>
      <c r="M700" s="3" t="str">
        <f>IFERROR(__xludf.DUMMYFUNCTION("""COMPUTED_VALUE"""),"ร.อ.หญิง เบญญาดา บุรีรัตน์")</f>
        <v>ร.อ.หญิง เบญญาดา บุรีรัตน์</v>
      </c>
      <c r="N700" s="14" t="str">
        <f>IFERROR(__xludf.DUMMYFUNCTION("""COMPUTED_VALUE"""),"https://lh5.googleusercontent.com/d/12b2OgxzvylcZI94l3fWzemDso4RLckXb")</f>
        <v>https://lh5.googleusercontent.com/d/12b2OgxzvylcZI94l3fWzemDso4RLckXb</v>
      </c>
      <c r="O700" s="14" t="str">
        <f>IFERROR(__xludf.DUMMYFUNCTION("""COMPUTED_VALUE"""),"https://drive.google.com/file/d/1GB720k7rPsRTJzNEWLNxzKIkmJK5HCyX/view?usp=drivesdk")</f>
        <v>https://drive.google.com/file/d/1GB720k7rPsRTJzNEWLNxzKIkmJK5HCyX/view?usp=drivesdk</v>
      </c>
    </row>
    <row r="701">
      <c r="A701" s="3">
        <f>IFERROR(__xludf.DUMMYFUNCTION("""COMPUTED_VALUE"""),3124.0)</f>
        <v>3124</v>
      </c>
      <c r="B701" s="11">
        <f>IFERROR(__xludf.DUMMYFUNCTION("""COMPUTED_VALUE"""),46178.46288866898)</f>
        <v>46178.46289</v>
      </c>
      <c r="C701" s="3" t="str">
        <f>IFERROR(__xludf.DUMMYFUNCTION("""COMPUTED_VALUE"""),"ชั้นปีที่ 3")</f>
        <v>ชั้นปีที่ 3</v>
      </c>
      <c r="D701" s="3" t="str">
        <f>IFERROR(__xludf.DUMMYFUNCTION("""COMPUTED_VALUE"""),"6603796")</f>
        <v>6603796</v>
      </c>
      <c r="E701" s="3" t="str">
        <f>IFERROR(__xludf.DUMMYFUNCTION("""COMPUTED_VALUE"""),"42")</f>
        <v>42</v>
      </c>
      <c r="F701" s="3" t="str">
        <f>IFERROR(__xludf.DUMMYFUNCTION("""COMPUTED_VALUE"""),"นพอ.พิมพ์พิศา ไพศาลมรกต")</f>
        <v>นพอ.พิมพ์พิศา ไพศาลมรกต</v>
      </c>
      <c r="G701" s="3" t="str">
        <f>IFERROR(__xludf.DUMMYFUNCTION("""COMPUTED_VALUE"""),"ช่วยเหลืองานภายใน วพอ.")</f>
        <v>ช่วยเหลืองานภายใน วพอ.</v>
      </c>
      <c r="H701" s="3" t="str">
        <f>IFERROR(__xludf.DUMMYFUNCTION("""COMPUTED_VALUE"""),"ขนหินตกแต่งวิทยาลัย")</f>
        <v>ขนหินตกแต่งวิทยาลัย</v>
      </c>
      <c r="I701" s="3" t="str">
        <f>IFERROR(__xludf.DUMMYFUNCTION("""COMPUTED_VALUE"""),"วิทยาลัยพยาบาลทหารอากาศ")</f>
        <v>วิทยาลัยพยาบาลทหารอากาศ</v>
      </c>
      <c r="J701" s="12">
        <f>IFERROR(__xludf.DUMMYFUNCTION("""COMPUTED_VALUE"""),46177.0)</f>
        <v>46177</v>
      </c>
      <c r="K701" s="3" t="str">
        <f>IFERROR(__xludf.DUMMYFUNCTION("""COMPUTED_VALUE"""),"1500-1800")</f>
        <v>1500-1800</v>
      </c>
      <c r="L701" s="3">
        <f>IFERROR(__xludf.DUMMYFUNCTION("""COMPUTED_VALUE"""),3.0)</f>
        <v>3</v>
      </c>
      <c r="M701" s="3" t="str">
        <f>IFERROR(__xludf.DUMMYFUNCTION("""COMPUTED_VALUE"""),"น.อ.หญิง.ผศ.นิตยา สุขแสน")</f>
        <v>น.อ.หญิง.ผศ.นิตยา สุขแสน</v>
      </c>
      <c r="N701" s="14" t="str">
        <f>IFERROR(__xludf.DUMMYFUNCTION("""COMPUTED_VALUE"""),"https://lh5.googleusercontent.com/d/1q5nchticQJLyWGbavkNk7HCDrl1U-d97")</f>
        <v>https://lh5.googleusercontent.com/d/1q5nchticQJLyWGbavkNk7HCDrl1U-d97</v>
      </c>
      <c r="O701" s="14" t="str">
        <f>IFERROR(__xludf.DUMMYFUNCTION("""COMPUTED_VALUE"""),"https://drive.google.com/file/d/10mJkE7Dd2vyhbs_zZLPvtYmHEBvE4rGt/view?usp=drivesdk")</f>
        <v>https://drive.google.com/file/d/10mJkE7Dd2vyhbs_zZLPvtYmHEBvE4rGt/view?usp=drivesdk</v>
      </c>
    </row>
    <row r="702">
      <c r="A702" s="3">
        <f>IFERROR(__xludf.DUMMYFUNCTION("""COMPUTED_VALUE"""),3125.0)</f>
        <v>3125</v>
      </c>
      <c r="B702" s="11">
        <f>IFERROR(__xludf.DUMMYFUNCTION("""COMPUTED_VALUE"""),46178.463753425924)</f>
        <v>46178.46375</v>
      </c>
      <c r="C702" s="3" t="str">
        <f>IFERROR(__xludf.DUMMYFUNCTION("""COMPUTED_VALUE"""),"ชั้นปีที่ 3")</f>
        <v>ชั้นปีที่ 3</v>
      </c>
      <c r="D702" s="3" t="str">
        <f>IFERROR(__xludf.DUMMYFUNCTION("""COMPUTED_VALUE"""),"6603810")</f>
        <v>6603810</v>
      </c>
      <c r="E702" s="3" t="str">
        <f>IFERROR(__xludf.DUMMYFUNCTION("""COMPUTED_VALUE"""),"56")</f>
        <v>56</v>
      </c>
      <c r="F702" s="3" t="str">
        <f>IFERROR(__xludf.DUMMYFUNCTION("""COMPUTED_VALUE"""),"นพอ.สุพิชชา โคตวงค์")</f>
        <v>นพอ.สุพิชชา โคตวงค์</v>
      </c>
      <c r="G702" s="3" t="str">
        <f>IFERROR(__xludf.DUMMYFUNCTION("""COMPUTED_VALUE"""),"ช่วยเหลืองานภายใน วพอ.")</f>
        <v>ช่วยเหลืองานภายใน วพอ.</v>
      </c>
      <c r="H702" s="3" t="str">
        <f>IFERROR(__xludf.DUMMYFUNCTION("""COMPUTED_VALUE"""),"ซ้อมเต้นเพลง ความสุข")</f>
        <v>ซ้อมเต้นเพลง ความสุข</v>
      </c>
      <c r="I702" s="3" t="str">
        <f>IFERROR(__xludf.DUMMYFUNCTION("""COMPUTED_VALUE"""),"วพอ.พอ.")</f>
        <v>วพอ.พอ.</v>
      </c>
      <c r="J702" s="12">
        <f>IFERROR(__xludf.DUMMYFUNCTION("""COMPUTED_VALUE"""),46177.0)</f>
        <v>46177</v>
      </c>
      <c r="K702" s="3" t="str">
        <f>IFERROR(__xludf.DUMMYFUNCTION("""COMPUTED_VALUE"""),"1800-1900")</f>
        <v>1800-1900</v>
      </c>
      <c r="L702" s="3">
        <f>IFERROR(__xludf.DUMMYFUNCTION("""COMPUTED_VALUE"""),1.0)</f>
        <v>1</v>
      </c>
      <c r="M702" s="3" t="str">
        <f>IFERROR(__xludf.DUMMYFUNCTION("""COMPUTED_VALUE"""),"ร.อ.หญิง เบญญาดา บุรีรัตน์")</f>
        <v>ร.อ.หญิง เบญญาดา บุรีรัตน์</v>
      </c>
      <c r="N702" s="14" t="str">
        <f>IFERROR(__xludf.DUMMYFUNCTION("""COMPUTED_VALUE"""),"https://lh5.googleusercontent.com/d/1ZEvcm5ZKfnaXcdkEzwjwMu7pSwtgXHDc")</f>
        <v>https://lh5.googleusercontent.com/d/1ZEvcm5ZKfnaXcdkEzwjwMu7pSwtgXHDc</v>
      </c>
      <c r="O702" s="14" t="str">
        <f>IFERROR(__xludf.DUMMYFUNCTION("""COMPUTED_VALUE"""),"https://drive.google.com/file/d/1Welx-Jz8kiA7s_hJU7l92ypCVMh1pQbZ/view?usp=drivesdk")</f>
        <v>https://drive.google.com/file/d/1Welx-Jz8kiA7s_hJU7l92ypCVMh1pQbZ/view?usp=drivesdk</v>
      </c>
    </row>
    <row r="703">
      <c r="A703" s="3">
        <f>IFERROR(__xludf.DUMMYFUNCTION("""COMPUTED_VALUE"""),3131.0)</f>
        <v>3131</v>
      </c>
      <c r="B703" s="11">
        <f>IFERROR(__xludf.DUMMYFUNCTION("""COMPUTED_VALUE"""),46178.46902560185)</f>
        <v>46178.46903</v>
      </c>
      <c r="C703" s="3" t="str">
        <f>IFERROR(__xludf.DUMMYFUNCTION("""COMPUTED_VALUE"""),"ชั้นปีที่ 3")</f>
        <v>ชั้นปีที่ 3</v>
      </c>
      <c r="D703" s="3" t="str">
        <f>IFERROR(__xludf.DUMMYFUNCTION("""COMPUTED_VALUE"""),"6603810")</f>
        <v>6603810</v>
      </c>
      <c r="E703" s="3" t="str">
        <f>IFERROR(__xludf.DUMMYFUNCTION("""COMPUTED_VALUE"""),"56")</f>
        <v>56</v>
      </c>
      <c r="F703" s="3" t="str">
        <f>IFERROR(__xludf.DUMMYFUNCTION("""COMPUTED_VALUE"""),"นพอ.สุพิชชา โคตวงค์")</f>
        <v>นพอ.สุพิชชา โคตวงค์</v>
      </c>
      <c r="G70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3" s="3" t="str">
        <f>IFERROR(__xludf.DUMMYFUNCTION("""COMPUTED_VALUE"""),"การแข่งขันกอล์ฟการกุศล ครั้งที่ 17 ")</f>
        <v>การแข่งขันกอล์ฟการกุศล ครั้งที่ 17 </v>
      </c>
      <c r="I703" s="3" t="str">
        <f>IFERROR(__xludf.DUMMYFUNCTION("""COMPUTED_VALUE"""),"สนามกอล์ฟธูปเตมีย์")</f>
        <v>สนามกอล์ฟธูปเตมีย์</v>
      </c>
      <c r="J703" s="12">
        <f>IFERROR(__xludf.DUMMYFUNCTION("""COMPUTED_VALUE"""),46066.0)</f>
        <v>46066</v>
      </c>
      <c r="K703" s="3" t="str">
        <f>IFERROR(__xludf.DUMMYFUNCTION("""COMPUTED_VALUE"""),"0800-1200")</f>
        <v>0800-1200</v>
      </c>
      <c r="L703" s="3">
        <f>IFERROR(__xludf.DUMMYFUNCTION("""COMPUTED_VALUE"""),4.0)</f>
        <v>4</v>
      </c>
      <c r="M703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703" s="14" t="str">
        <f>IFERROR(__xludf.DUMMYFUNCTION("""COMPUTED_VALUE"""),"https://lh5.googleusercontent.com/d/1GI-wBxcORqI0O3p9l3ePs1nyY0RLZLjp")</f>
        <v>https://lh5.googleusercontent.com/d/1GI-wBxcORqI0O3p9l3ePs1nyY0RLZLjp</v>
      </c>
      <c r="O703" s="14" t="str">
        <f>IFERROR(__xludf.DUMMYFUNCTION("""COMPUTED_VALUE"""),"https://drive.google.com/file/d/15QxgAInu8ex6RfltMCMWt89Y2Aa9vnv_/view?usp=drivesdk")</f>
        <v>https://drive.google.com/file/d/15QxgAInu8ex6RfltMCMWt89Y2Aa9vnv_/view?usp=drivesdk</v>
      </c>
    </row>
    <row r="704">
      <c r="A704" s="3">
        <f>IFERROR(__xludf.DUMMYFUNCTION("""COMPUTED_VALUE"""),3134.0)</f>
        <v>3134</v>
      </c>
      <c r="B704" s="11">
        <f>IFERROR(__xludf.DUMMYFUNCTION("""COMPUTED_VALUE"""),46178.473138113426)</f>
        <v>46178.47314</v>
      </c>
      <c r="C704" s="3" t="str">
        <f>IFERROR(__xludf.DUMMYFUNCTION("""COMPUTED_VALUE"""),"ชั้นปีที่ 3")</f>
        <v>ชั้นปีที่ 3</v>
      </c>
      <c r="D704" s="3" t="str">
        <f>IFERROR(__xludf.DUMMYFUNCTION("""COMPUTED_VALUE"""),"6603757")</f>
        <v>6603757</v>
      </c>
      <c r="E704" s="3" t="str">
        <f>IFERROR(__xludf.DUMMYFUNCTION("""COMPUTED_VALUE"""),"4")</f>
        <v>4</v>
      </c>
      <c r="F704" s="3" t="str">
        <f>IFERROR(__xludf.DUMMYFUNCTION("""COMPUTED_VALUE"""),"นพอ.กัลยาณี นารีพล")</f>
        <v>นพอ.กัลยาณี นารีพล</v>
      </c>
      <c r="G704" s="3" t="str">
        <f>IFERROR(__xludf.DUMMYFUNCTION("""COMPUTED_VALUE"""),"ช่วยเหลืองานภายใน วพอ.")</f>
        <v>ช่วยเหลืองานภายใน วพอ.</v>
      </c>
      <c r="H704" s="3" t="str">
        <f>IFERROR(__xludf.DUMMYFUNCTION("""COMPUTED_VALUE"""),"จัดสวนวพอ.")</f>
        <v>จัดสวนวพอ.</v>
      </c>
      <c r="I704" s="3" t="str">
        <f>IFERROR(__xludf.DUMMYFUNCTION("""COMPUTED_VALUE"""),"วพอ.พอ.")</f>
        <v>วพอ.พอ.</v>
      </c>
      <c r="J704" s="12">
        <f>IFERROR(__xludf.DUMMYFUNCTION("""COMPUTED_VALUE"""),46177.0)</f>
        <v>46177</v>
      </c>
      <c r="K704" s="3" t="str">
        <f>IFERROR(__xludf.DUMMYFUNCTION("""COMPUTED_VALUE"""),"1400-1700")</f>
        <v>1400-1700</v>
      </c>
      <c r="L704" s="3">
        <f>IFERROR(__xludf.DUMMYFUNCTION("""COMPUTED_VALUE"""),3.0)</f>
        <v>3</v>
      </c>
      <c r="M704" s="3" t="str">
        <f>IFERROR(__xludf.DUMMYFUNCTION("""COMPUTED_VALUE"""),"น.อ.หญิง ผศ. นิตยา สุขแสน")</f>
        <v>น.อ.หญิง ผศ. นิตยา สุขแสน</v>
      </c>
      <c r="N704" s="14" t="str">
        <f>IFERROR(__xludf.DUMMYFUNCTION("""COMPUTED_VALUE"""),"https://lh5.googleusercontent.com/d/1hmnpYia5SLRjbTDSCNPCI_bLejvMzyec")</f>
        <v>https://lh5.googleusercontent.com/d/1hmnpYia5SLRjbTDSCNPCI_bLejvMzyec</v>
      </c>
      <c r="O704" s="14" t="str">
        <f>IFERROR(__xludf.DUMMYFUNCTION("""COMPUTED_VALUE"""),"https://drive.google.com/file/d/1T2DvIsLMSAV4U3Liv3p_QUbobY84QZtg/view?usp=drivesdk")</f>
        <v>https://drive.google.com/file/d/1T2DvIsLMSAV4U3Liv3p_QUbobY84QZtg/view?usp=drivesdk</v>
      </c>
    </row>
    <row r="705">
      <c r="A705" s="3">
        <f>IFERROR(__xludf.DUMMYFUNCTION("""COMPUTED_VALUE"""),3135.0)</f>
        <v>3135</v>
      </c>
      <c r="B705" s="11">
        <f>IFERROR(__xludf.DUMMYFUNCTION("""COMPUTED_VALUE"""),46178.473595509255)</f>
        <v>46178.4736</v>
      </c>
      <c r="C705" s="3" t="str">
        <f>IFERROR(__xludf.DUMMYFUNCTION("""COMPUTED_VALUE"""),"ชั้นปีที่ 3")</f>
        <v>ชั้นปีที่ 3</v>
      </c>
      <c r="D705" s="3" t="str">
        <f>IFERROR(__xludf.DUMMYFUNCTION("""COMPUTED_VALUE"""),"6603810")</f>
        <v>6603810</v>
      </c>
      <c r="E705" s="3" t="str">
        <f>IFERROR(__xludf.DUMMYFUNCTION("""COMPUTED_VALUE"""),"56")</f>
        <v>56</v>
      </c>
      <c r="F705" s="3" t="str">
        <f>IFERROR(__xludf.DUMMYFUNCTION("""COMPUTED_VALUE"""),"นพอ.สุพิชชา โคตวงค์")</f>
        <v>นพอ.สุพิชชา โคตวงค์</v>
      </c>
      <c r="G705" s="3" t="str">
        <f>IFERROR(__xludf.DUMMYFUNCTION("""COMPUTED_VALUE"""),"ช่วยเหลืองานภายใน วพอ.")</f>
        <v>ช่วยเหลืองานภายใน วพอ.</v>
      </c>
      <c r="H705" s="3" t="str">
        <f>IFERROR(__xludf.DUMMYFUNCTION("""COMPUTED_VALUE"""),"ขนหินอ่อนตกแต่ง")</f>
        <v>ขนหินอ่อนตกแต่ง</v>
      </c>
      <c r="I705" s="3" t="str">
        <f>IFERROR(__xludf.DUMMYFUNCTION("""COMPUTED_VALUE"""),"วพอ.พอ.")</f>
        <v>วพอ.พอ.</v>
      </c>
      <c r="J705" s="12">
        <f>IFERROR(__xludf.DUMMYFUNCTION("""COMPUTED_VALUE"""),46177.0)</f>
        <v>46177</v>
      </c>
      <c r="K705" s="3" t="str">
        <f>IFERROR(__xludf.DUMMYFUNCTION("""COMPUTED_VALUE"""),"1300-1600")</f>
        <v>1300-1600</v>
      </c>
      <c r="L705" s="3">
        <f>IFERROR(__xludf.DUMMYFUNCTION("""COMPUTED_VALUE"""),3.0)</f>
        <v>3</v>
      </c>
      <c r="M705" s="3" t="str">
        <f>IFERROR(__xludf.DUMMYFUNCTION("""COMPUTED_VALUE"""),"น.อ.หญิง ผศ. นิตยา สุขแสน")</f>
        <v>น.อ.หญิง ผศ. นิตยา สุขแสน</v>
      </c>
      <c r="N705" s="14" t="str">
        <f>IFERROR(__xludf.DUMMYFUNCTION("""COMPUTED_VALUE"""),"https://lh5.googleusercontent.com/d/1KsqyzAaAsStK3iC6A3cqhkOLQYtqJgqI")</f>
        <v>https://lh5.googleusercontent.com/d/1KsqyzAaAsStK3iC6A3cqhkOLQYtqJgqI</v>
      </c>
      <c r="O705" s="14" t="str">
        <f>IFERROR(__xludf.DUMMYFUNCTION("""COMPUTED_VALUE"""),"https://drive.google.com/file/d/15_0xJzFloyX0qHGEcGzjvJQJtoH6U1gg/view?usp=drivesdk")</f>
        <v>https://drive.google.com/file/d/15_0xJzFloyX0qHGEcGzjvJQJtoH6U1gg/view?usp=drivesdk</v>
      </c>
    </row>
    <row r="706">
      <c r="A706" s="3">
        <f>IFERROR(__xludf.DUMMYFUNCTION("""COMPUTED_VALUE"""),3139.0)</f>
        <v>3139</v>
      </c>
      <c r="B706" s="11">
        <f>IFERROR(__xludf.DUMMYFUNCTION("""COMPUTED_VALUE"""),46178.48848130787)</f>
        <v>46178.48848</v>
      </c>
      <c r="C706" s="3" t="str">
        <f>IFERROR(__xludf.DUMMYFUNCTION("""COMPUTED_VALUE"""),"ชั้นปีที่ 3")</f>
        <v>ชั้นปีที่ 3</v>
      </c>
      <c r="D706" s="3" t="str">
        <f>IFERROR(__xludf.DUMMYFUNCTION("""COMPUTED_VALUE"""),"6603795")</f>
        <v>6603795</v>
      </c>
      <c r="E706" s="3" t="str">
        <f>IFERROR(__xludf.DUMMYFUNCTION("""COMPUTED_VALUE"""),"41")</f>
        <v>41</v>
      </c>
      <c r="F706" s="3" t="str">
        <f>IFERROR(__xludf.DUMMYFUNCTION("""COMPUTED_VALUE"""),"นพอ.พิทยาภรณ์ คำลือ")</f>
        <v>นพอ.พิทยาภรณ์ คำลือ</v>
      </c>
      <c r="G706" s="3" t="str">
        <f>IFERROR(__xludf.DUMMYFUNCTION("""COMPUTED_VALUE"""),"ช่วยเหลืองานภายใน วพอ.")</f>
        <v>ช่วยเหลืองานภายใน วพอ.</v>
      </c>
      <c r="H706" s="3" t="str">
        <f>IFERROR(__xludf.DUMMYFUNCTION("""COMPUTED_VALUE"""),"ขนหิน ตกแต่งวพอ.")</f>
        <v>ขนหิน ตกแต่งวพอ.</v>
      </c>
      <c r="I706" s="3" t="str">
        <f>IFERROR(__xludf.DUMMYFUNCTION("""COMPUTED_VALUE"""),"วพอ.พอ.")</f>
        <v>วพอ.พอ.</v>
      </c>
      <c r="J706" s="12">
        <f>IFERROR(__xludf.DUMMYFUNCTION("""COMPUTED_VALUE"""),46177.0)</f>
        <v>46177</v>
      </c>
      <c r="K706" s="3" t="str">
        <f>IFERROR(__xludf.DUMMYFUNCTION("""COMPUTED_VALUE"""),"1600")</f>
        <v>1600</v>
      </c>
      <c r="L706" s="3">
        <f>IFERROR(__xludf.DUMMYFUNCTION("""COMPUTED_VALUE"""),3.0)</f>
        <v>3</v>
      </c>
      <c r="M706" s="3" t="str">
        <f>IFERROR(__xludf.DUMMYFUNCTION("""COMPUTED_VALUE"""),"น.อ.หญิง.ผศ.นิตยา สุขแสน")</f>
        <v>น.อ.หญิง.ผศ.นิตยา สุขแสน</v>
      </c>
      <c r="N706" s="14" t="str">
        <f>IFERROR(__xludf.DUMMYFUNCTION("""COMPUTED_VALUE"""),"https://lh5.googleusercontent.com/d/19RxmIQ_TpL0LsETsvKO5i6GvX3KRSRWu")</f>
        <v>https://lh5.googleusercontent.com/d/19RxmIQ_TpL0LsETsvKO5i6GvX3KRSRWu</v>
      </c>
      <c r="O706" s="14" t="str">
        <f>IFERROR(__xludf.DUMMYFUNCTION("""COMPUTED_VALUE"""),"https://drive.google.com/file/d/1gV1xAtve6I9cvI6jEiudCgGBmoKRO4je/view?usp=drivesdk")</f>
        <v>https://drive.google.com/file/d/1gV1xAtve6I9cvI6jEiudCgGBmoKRO4je/view?usp=drivesdk</v>
      </c>
    </row>
    <row r="707">
      <c r="A707" s="3">
        <f>IFERROR(__xludf.DUMMYFUNCTION("""COMPUTED_VALUE"""),3140.0)</f>
        <v>3140</v>
      </c>
      <c r="B707" s="11">
        <f>IFERROR(__xludf.DUMMYFUNCTION("""COMPUTED_VALUE"""),46178.4923911574)</f>
        <v>46178.49239</v>
      </c>
      <c r="C707" s="3" t="str">
        <f>IFERROR(__xludf.DUMMYFUNCTION("""COMPUTED_VALUE"""),"ชั้นปีที่ 3")</f>
        <v>ชั้นปีที่ 3</v>
      </c>
      <c r="D707" s="3" t="str">
        <f>IFERROR(__xludf.DUMMYFUNCTION("""COMPUTED_VALUE"""),"6603795")</f>
        <v>6603795</v>
      </c>
      <c r="E707" s="3" t="str">
        <f>IFERROR(__xludf.DUMMYFUNCTION("""COMPUTED_VALUE"""),"41")</f>
        <v>41</v>
      </c>
      <c r="F707" s="3" t="str">
        <f>IFERROR(__xludf.DUMMYFUNCTION("""COMPUTED_VALUE"""),"นพอ.พิทยาภรณ์ คำลือ")</f>
        <v>นพอ.พิทยาภรณ์ คำลือ</v>
      </c>
      <c r="G7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7" s="3" t="str">
        <f>IFERROR(__xludf.DUMMYFUNCTION("""COMPUTED_VALUE"""),"พร้อมพิธีมอบหมวกพยาบาลวิชาชีพ ปีการศึกษา 2568")</f>
        <v>พร้อมพิธีมอบหมวกพยาบาลวิชาชีพ ปีการศึกษา 2568</v>
      </c>
      <c r="I707" s="3" t="str">
        <f>IFERROR(__xludf.DUMMYFUNCTION("""COMPUTED_VALUE"""),"วพอ.พอ.")</f>
        <v>วพอ.พอ.</v>
      </c>
      <c r="J707" s="12">
        <f>IFERROR(__xludf.DUMMYFUNCTION("""COMPUTED_VALUE"""),46135.0)</f>
        <v>46135</v>
      </c>
      <c r="K707" s="3" t="str">
        <f>IFERROR(__xludf.DUMMYFUNCTION("""COMPUTED_VALUE"""),"1700")</f>
        <v>1700</v>
      </c>
      <c r="L707" s="3">
        <f>IFERROR(__xludf.DUMMYFUNCTION("""COMPUTED_VALUE"""),4.0)</f>
        <v>4</v>
      </c>
      <c r="M707" s="3" t="str">
        <f>IFERROR(__xludf.DUMMYFUNCTION("""COMPUTED_VALUE"""),"ร.อ.อนุชิต ทำจะดี")</f>
        <v>ร.อ.อนุชิต ทำจะดี</v>
      </c>
      <c r="N707" s="14" t="str">
        <f>IFERROR(__xludf.DUMMYFUNCTION("""COMPUTED_VALUE"""),"https://lh5.googleusercontent.com/d/189GBgDRX-8-XSluVq6NKuVSgImMfQyRY")</f>
        <v>https://lh5.googleusercontent.com/d/189GBgDRX-8-XSluVq6NKuVSgImMfQyRY</v>
      </c>
      <c r="O707" s="14" t="str">
        <f>IFERROR(__xludf.DUMMYFUNCTION("""COMPUTED_VALUE"""),"https://drive.google.com/file/d/1WhBK6N37ncDaVpZU2C-emG395eSuVw_e/view?usp=drivesdk")</f>
        <v>https://drive.google.com/file/d/1WhBK6N37ncDaVpZU2C-emG395eSuVw_e/view?usp=drivesdk</v>
      </c>
    </row>
    <row r="708">
      <c r="A708" s="3">
        <f>IFERROR(__xludf.DUMMYFUNCTION("""COMPUTED_VALUE"""),3144.0)</f>
        <v>3144</v>
      </c>
      <c r="B708" s="11">
        <f>IFERROR(__xludf.DUMMYFUNCTION("""COMPUTED_VALUE"""),46178.49429184028)</f>
        <v>46178.49429</v>
      </c>
      <c r="C708" s="3" t="str">
        <f>IFERROR(__xludf.DUMMYFUNCTION("""COMPUTED_VALUE"""),"ชั้นปีที่ 3")</f>
        <v>ชั้นปีที่ 3</v>
      </c>
      <c r="D708" s="3" t="str">
        <f>IFERROR(__xludf.DUMMYFUNCTION("""COMPUTED_VALUE"""),"6603795")</f>
        <v>6603795</v>
      </c>
      <c r="E708" s="3" t="str">
        <f>IFERROR(__xludf.DUMMYFUNCTION("""COMPUTED_VALUE"""),"41")</f>
        <v>41</v>
      </c>
      <c r="F708" s="3" t="str">
        <f>IFERROR(__xludf.DUMMYFUNCTION("""COMPUTED_VALUE"""),"นพอ.พิทยาภรณ์ คำลือ")</f>
        <v>นพอ.พิทยาภรณ์ คำลือ</v>
      </c>
      <c r="G70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8" s="3" t="str">
        <f>IFERROR(__xludf.DUMMYFUNCTION("""COMPUTED_VALUE"""),"ซ้อมพิธีมอบหมวกพยาบาลวิชาชีพ ปีการศึกษา 2568")</f>
        <v>ซ้อมพิธีมอบหมวกพยาบาลวิชาชีพ ปีการศึกษา 2568</v>
      </c>
      <c r="I708" s="3" t="str">
        <f>IFERROR(__xludf.DUMMYFUNCTION("""COMPUTED_VALUE"""),"วพอ.พอ.")</f>
        <v>วพอ.พอ.</v>
      </c>
      <c r="J708" s="12">
        <f>IFERROR(__xludf.DUMMYFUNCTION("""COMPUTED_VALUE"""),46138.0)</f>
        <v>46138</v>
      </c>
      <c r="K708" s="3" t="str">
        <f>IFERROR(__xludf.DUMMYFUNCTION("""COMPUTED_VALUE"""),"1700")</f>
        <v>1700</v>
      </c>
      <c r="L708" s="3">
        <f>IFERROR(__xludf.DUMMYFUNCTION("""COMPUTED_VALUE"""),6.0)</f>
        <v>6</v>
      </c>
      <c r="M708" s="3" t="str">
        <f>IFERROR(__xludf.DUMMYFUNCTION("""COMPUTED_VALUE"""),"ร.อ.อนุชิต ทำจะดี")</f>
        <v>ร.อ.อนุชิต ทำจะดี</v>
      </c>
      <c r="N708" s="14" t="str">
        <f>IFERROR(__xludf.DUMMYFUNCTION("""COMPUTED_VALUE"""),"https://lh5.googleusercontent.com/d/1vgkrSyLhXejxhWLjUrYKnP-tIEXQgVlL")</f>
        <v>https://lh5.googleusercontent.com/d/1vgkrSyLhXejxhWLjUrYKnP-tIEXQgVlL</v>
      </c>
      <c r="O708" s="14" t="str">
        <f>IFERROR(__xludf.DUMMYFUNCTION("""COMPUTED_VALUE"""),"https://drive.google.com/file/d/1EePSuqzkh7uHxSnJOlHYzSFWAttowgsq/view?usp=drivesdk")</f>
        <v>https://drive.google.com/file/d/1EePSuqzkh7uHxSnJOlHYzSFWAttowgsq/view?usp=drivesdk</v>
      </c>
    </row>
    <row r="709">
      <c r="A709" s="3">
        <f>IFERROR(__xludf.DUMMYFUNCTION("""COMPUTED_VALUE"""),3148.0)</f>
        <v>3148</v>
      </c>
      <c r="B709" s="11">
        <f>IFERROR(__xludf.DUMMYFUNCTION("""COMPUTED_VALUE"""),46178.49704023148)</f>
        <v>46178.49704</v>
      </c>
      <c r="C709" s="3" t="str">
        <f>IFERROR(__xludf.DUMMYFUNCTION("""COMPUTED_VALUE"""),"ชั้นปีที่ 3")</f>
        <v>ชั้นปีที่ 3</v>
      </c>
      <c r="D709" s="3" t="str">
        <f>IFERROR(__xludf.DUMMYFUNCTION("""COMPUTED_VALUE"""),"6603795")</f>
        <v>6603795</v>
      </c>
      <c r="E709" s="3" t="str">
        <f>IFERROR(__xludf.DUMMYFUNCTION("""COMPUTED_VALUE"""),"41")</f>
        <v>41</v>
      </c>
      <c r="F709" s="3" t="str">
        <f>IFERROR(__xludf.DUMMYFUNCTION("""COMPUTED_VALUE"""),"นพอ.พิทยาภรณ์ คำลือ")</f>
        <v>นพอ.พิทยาภรณ์ คำลือ</v>
      </c>
      <c r="G70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9" s="3" t="str">
        <f>IFERROR(__xludf.DUMMYFUNCTION("""COMPUTED_VALUE"""),"ซ้อมพิธีมอบหมวกพยาบาลวิชาชีพ ปีการศึกษา 2568")</f>
        <v>ซ้อมพิธีมอบหมวกพยาบาลวิชาชีพ ปีการศึกษา 2568</v>
      </c>
      <c r="I709" s="3" t="str">
        <f>IFERROR(__xludf.DUMMYFUNCTION("""COMPUTED_VALUE"""),"วพอ.พอ.")</f>
        <v>วพอ.พอ.</v>
      </c>
      <c r="J709" s="12">
        <f>IFERROR(__xludf.DUMMYFUNCTION("""COMPUTED_VALUE"""),46139.0)</f>
        <v>46139</v>
      </c>
      <c r="K709" s="3" t="str">
        <f>IFERROR(__xludf.DUMMYFUNCTION("""COMPUTED_VALUE"""),"1700")</f>
        <v>1700</v>
      </c>
      <c r="L709" s="3">
        <f>IFERROR(__xludf.DUMMYFUNCTION("""COMPUTED_VALUE"""),4.0)</f>
        <v>4</v>
      </c>
      <c r="M709" s="3" t="str">
        <f>IFERROR(__xludf.DUMMYFUNCTION("""COMPUTED_VALUE"""),"ร.อ.อนุชิต ทำจะดี")</f>
        <v>ร.อ.อนุชิต ทำจะดี</v>
      </c>
      <c r="N709" s="14" t="str">
        <f>IFERROR(__xludf.DUMMYFUNCTION("""COMPUTED_VALUE"""),"https://lh5.googleusercontent.com/d/1f-bYiBdg5cn4hA6jIr9YnwjGNk3_E8f7")</f>
        <v>https://lh5.googleusercontent.com/d/1f-bYiBdg5cn4hA6jIr9YnwjGNk3_E8f7</v>
      </c>
      <c r="O709" s="14" t="str">
        <f>IFERROR(__xludf.DUMMYFUNCTION("""COMPUTED_VALUE"""),"https://drive.google.com/file/d/1Ta2G3iQSI9FaXZ5yDjNx8-x2w6gKa8g8/view?usp=drivesdk")</f>
        <v>https://drive.google.com/file/d/1Ta2G3iQSI9FaXZ5yDjNx8-x2w6gKa8g8/view?usp=drivesdk</v>
      </c>
    </row>
    <row r="710">
      <c r="A710" s="3">
        <f>IFERROR(__xludf.DUMMYFUNCTION("""COMPUTED_VALUE"""),3168.0)</f>
        <v>3168</v>
      </c>
      <c r="B710" s="11">
        <f>IFERROR(__xludf.DUMMYFUNCTION("""COMPUTED_VALUE"""),46179.73174427084)</f>
        <v>46179.73174</v>
      </c>
      <c r="C710" s="3" t="str">
        <f>IFERROR(__xludf.DUMMYFUNCTION("""COMPUTED_VALUE"""),"ชั้นปีที่ 3")</f>
        <v>ชั้นปีที่ 3</v>
      </c>
      <c r="D710" s="3" t="str">
        <f>IFERROR(__xludf.DUMMYFUNCTION("""COMPUTED_VALUE"""),"6603768")</f>
        <v>6603768</v>
      </c>
      <c r="E710" s="3" t="str">
        <f>IFERROR(__xludf.DUMMYFUNCTION("""COMPUTED_VALUE"""),"15")</f>
        <v>15</v>
      </c>
      <c r="F710" s="3" t="str">
        <f>IFERROR(__xludf.DUMMYFUNCTION("""COMPUTED_VALUE"""),"นพอ.ณัฐวุฒิ แสงคร้าม")</f>
        <v>นพอ.ณัฐวุฒิ แสงคร้าม</v>
      </c>
      <c r="G710" s="3" t="str">
        <f>IFERROR(__xludf.DUMMYFUNCTION("""COMPUTED_VALUE"""),"ช่วยเหลืองานภายใน วพอ.")</f>
        <v>ช่วยเหลืองานภายใน วพอ.</v>
      </c>
      <c r="H710" s="3" t="str">
        <f>IFERROR(__xludf.DUMMYFUNCTION("""COMPUTED_VALUE"""),"ช่วยจัดเก็บห้องปฏิบัติการมารดาทารกและการผดุงครรภ์ ")</f>
        <v>ช่วยจัดเก็บห้องปฏิบัติการมารดาทารกและการผดุงครรภ์ </v>
      </c>
      <c r="I710" s="3" t="str">
        <f>IFERROR(__xludf.DUMMYFUNCTION("""COMPUTED_VALUE"""),"ห้องปฏิบัติการมารดาทารกและการผดุงครรภ์ อาคารศูนย์การเรียนรู้")</f>
        <v>ห้องปฏิบัติการมารดาทารกและการผดุงครรภ์ อาคารศูนย์การเรียนรู้</v>
      </c>
      <c r="J710" s="12">
        <f>IFERROR(__xludf.DUMMYFUNCTION("""COMPUTED_VALUE"""),46094.0)</f>
        <v>46094</v>
      </c>
      <c r="K710" s="3" t="str">
        <f>IFERROR(__xludf.DUMMYFUNCTION("""COMPUTED_VALUE"""),"1100-1200")</f>
        <v>1100-1200</v>
      </c>
      <c r="L710" s="3">
        <f>IFERROR(__xludf.DUMMYFUNCTION("""COMPUTED_VALUE"""),1.0)</f>
        <v>1</v>
      </c>
      <c r="M710" s="3" t="str">
        <f>IFERROR(__xludf.DUMMYFUNCTION("""COMPUTED_VALUE"""),"น.ต. หญิง จิรปรียา โรจนเกียรติปรีดา")</f>
        <v>น.ต. หญิง จิรปรียา โรจนเกียรติปรีดา</v>
      </c>
      <c r="N710" s="14" t="str">
        <f>IFERROR(__xludf.DUMMYFUNCTION("""COMPUTED_VALUE"""),"https://lh5.googleusercontent.com/d/1StJkwogYd3Y3h4lBBqOokG4Q9KD6oVhe")</f>
        <v>https://lh5.googleusercontent.com/d/1StJkwogYd3Y3h4lBBqOokG4Q9KD6oVhe</v>
      </c>
      <c r="O710" s="14" t="str">
        <f>IFERROR(__xludf.DUMMYFUNCTION("""COMPUTED_VALUE"""),"https://drive.google.com/file/d/19F2SNh3qUsR9p2XydjRgsnCTLs33whgN/view?usp=drivesdk")</f>
        <v>https://drive.google.com/file/d/19F2SNh3qUsR9p2XydjRgsnCTLs33whgN/view?usp=drivesdk</v>
      </c>
    </row>
    <row r="711">
      <c r="A711" s="3">
        <f>IFERROR(__xludf.DUMMYFUNCTION("""COMPUTED_VALUE"""),3169.0)</f>
        <v>3169</v>
      </c>
      <c r="B711" s="11">
        <f>IFERROR(__xludf.DUMMYFUNCTION("""COMPUTED_VALUE"""),46179.73554649306)</f>
        <v>46179.73555</v>
      </c>
      <c r="C711" s="3" t="str">
        <f>IFERROR(__xludf.DUMMYFUNCTION("""COMPUTED_VALUE"""),"ชั้นปีที่ 3")</f>
        <v>ชั้นปีที่ 3</v>
      </c>
      <c r="D711" s="3" t="str">
        <f>IFERROR(__xludf.DUMMYFUNCTION("""COMPUTED_VALUE"""),"6603768")</f>
        <v>6603768</v>
      </c>
      <c r="E711" s="3" t="str">
        <f>IFERROR(__xludf.DUMMYFUNCTION("""COMPUTED_VALUE"""),"15")</f>
        <v>15</v>
      </c>
      <c r="F711" s="3" t="str">
        <f>IFERROR(__xludf.DUMMYFUNCTION("""COMPUTED_VALUE"""),"นพอ.ณัฐวุฒิ แสงคร้าม")</f>
        <v>นพอ.ณัฐวุฒิ แสงคร้าม</v>
      </c>
      <c r="G711" s="3" t="str">
        <f>IFERROR(__xludf.DUMMYFUNCTION("""COMPUTED_VALUE"""),"ช่วยเหลืองานภายใน วพอ.")</f>
        <v>ช่วยเหลืองานภายใน วพอ.</v>
      </c>
      <c r="H711" s="3" t="str">
        <f>IFERROR(__xludf.DUMMYFUNCTION("""COMPUTED_VALUE"""),"ขนหินอ่อนตกแต่งวิลัย")</f>
        <v>ขนหินอ่อนตกแต่งวิลัย</v>
      </c>
      <c r="I711" s="3" t="str">
        <f>IFERROR(__xludf.DUMMYFUNCTION("""COMPUTED_VALUE"""),"วพอ.พอ.")</f>
        <v>วพอ.พอ.</v>
      </c>
      <c r="J711" s="12">
        <f>IFERROR(__xludf.DUMMYFUNCTION("""COMPUTED_VALUE"""),46177.0)</f>
        <v>46177</v>
      </c>
      <c r="K711" s="3" t="str">
        <f>IFERROR(__xludf.DUMMYFUNCTION("""COMPUTED_VALUE"""),"1300-1600")</f>
        <v>1300-1600</v>
      </c>
      <c r="L711" s="3">
        <f>IFERROR(__xludf.DUMMYFUNCTION("""COMPUTED_VALUE"""),3.0)</f>
        <v>3</v>
      </c>
      <c r="M711" s="3" t="str">
        <f>IFERROR(__xludf.DUMMYFUNCTION("""COMPUTED_VALUE"""),"น.อ.หญิง ผศ. นิตยา สุขแสน")</f>
        <v>น.อ.หญิง ผศ. นิตยา สุขแสน</v>
      </c>
      <c r="N711" s="14" t="str">
        <f>IFERROR(__xludf.DUMMYFUNCTION("""COMPUTED_VALUE"""),"https://lh5.googleusercontent.com/d/1AGgoGrASrluedmULONTXcUuldT3gtOEg")</f>
        <v>https://lh5.googleusercontent.com/d/1AGgoGrASrluedmULONTXcUuldT3gtOEg</v>
      </c>
      <c r="O711" s="14" t="str">
        <f>IFERROR(__xludf.DUMMYFUNCTION("""COMPUTED_VALUE"""),"https://drive.google.com/file/d/180tBelvEFeE5eMHmfkgFw5rKPZ3J9tqP/view?usp=drivesdk")</f>
        <v>https://drive.google.com/file/d/180tBelvEFeE5eMHmfkgFw5rKPZ3J9tqP/view?usp=drivesdk</v>
      </c>
    </row>
    <row r="712">
      <c r="A712" s="3">
        <f>IFERROR(__xludf.DUMMYFUNCTION("""COMPUTED_VALUE"""),3170.0)</f>
        <v>3170</v>
      </c>
      <c r="B712" s="11">
        <f>IFERROR(__xludf.DUMMYFUNCTION("""COMPUTED_VALUE"""),46179.73762424769)</f>
        <v>46179.73762</v>
      </c>
      <c r="C712" s="3" t="str">
        <f>IFERROR(__xludf.DUMMYFUNCTION("""COMPUTED_VALUE"""),"ชั้นปีที่ 3")</f>
        <v>ชั้นปีที่ 3</v>
      </c>
      <c r="D712" s="3" t="str">
        <f>IFERROR(__xludf.DUMMYFUNCTION("""COMPUTED_VALUE"""),"6603768")</f>
        <v>6603768</v>
      </c>
      <c r="E712" s="3" t="str">
        <f>IFERROR(__xludf.DUMMYFUNCTION("""COMPUTED_VALUE"""),"15")</f>
        <v>15</v>
      </c>
      <c r="F712" s="3" t="str">
        <f>IFERROR(__xludf.DUMMYFUNCTION("""COMPUTED_VALUE"""),"นพอ.ณัฐวุฒิ แสงคร้าม")</f>
        <v>นพอ.ณัฐวุฒิ แสงคร้าม</v>
      </c>
      <c r="G7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12" s="3" t="str">
        <f>IFERROR(__xludf.DUMMYFUNCTION("""COMPUTED_VALUE"""),"งานสงกรานต์ เบิกบานจิต")</f>
        <v>งานสงกรานต์ เบิกบานจิต</v>
      </c>
      <c r="I712" s="3" t="str">
        <f>IFERROR(__xludf.DUMMYFUNCTION("""COMPUTED_VALUE"""),"โรงพยาบาลศรีธัญญา")</f>
        <v>โรงพยาบาลศรีธัญญา</v>
      </c>
      <c r="J712" s="12">
        <f>IFERROR(__xludf.DUMMYFUNCTION("""COMPUTED_VALUE"""),46121.0)</f>
        <v>46121</v>
      </c>
      <c r="K712" s="3" t="str">
        <f>IFERROR(__xludf.DUMMYFUNCTION("""COMPUTED_VALUE"""),"0800-1600")</f>
        <v>0800-1600</v>
      </c>
      <c r="L712" s="3">
        <f>IFERROR(__xludf.DUMMYFUNCTION("""COMPUTED_VALUE"""),8.0)</f>
        <v>8</v>
      </c>
      <c r="M712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712" s="14" t="str">
        <f>IFERROR(__xludf.DUMMYFUNCTION("""COMPUTED_VALUE"""),"https://lh5.googleusercontent.com/d/1aAXknAceAzmwczh_B-u2t3HCg5N3KaAF")</f>
        <v>https://lh5.googleusercontent.com/d/1aAXknAceAzmwczh_B-u2t3HCg5N3KaAF</v>
      </c>
      <c r="O712" s="14" t="str">
        <f>IFERROR(__xludf.DUMMYFUNCTION("""COMPUTED_VALUE"""),"https://drive.google.com/file/d/1FzR0lhrWFl0Z8SYvIsHOOEsdku6_Y_zs/view?usp=drivesdk")</f>
        <v>https://drive.google.com/file/d/1FzR0lhrWFl0Z8SYvIsHOOEsdku6_Y_zs/view?usp=drivesdk</v>
      </c>
    </row>
    <row r="713">
      <c r="A713" s="3">
        <f>IFERROR(__xludf.DUMMYFUNCTION("""COMPUTED_VALUE"""),3171.0)</f>
        <v>3171</v>
      </c>
      <c r="B713" s="11">
        <f>IFERROR(__xludf.DUMMYFUNCTION("""COMPUTED_VALUE"""),46179.740302708335)</f>
        <v>46179.7403</v>
      </c>
      <c r="C713" s="3" t="str">
        <f>IFERROR(__xludf.DUMMYFUNCTION("""COMPUTED_VALUE"""),"ชั้นปีที่ 3")</f>
        <v>ชั้นปีที่ 3</v>
      </c>
      <c r="D713" s="3" t="str">
        <f>IFERROR(__xludf.DUMMYFUNCTION("""COMPUTED_VALUE"""),"6603768")</f>
        <v>6603768</v>
      </c>
      <c r="E713" s="3" t="str">
        <f>IFERROR(__xludf.DUMMYFUNCTION("""COMPUTED_VALUE"""),"15")</f>
        <v>15</v>
      </c>
      <c r="F713" s="3" t="str">
        <f>IFERROR(__xludf.DUMMYFUNCTION("""COMPUTED_VALUE"""),"นพอ.ณัฐวุฒิ แสงคร้าม")</f>
        <v>นพอ.ณัฐวุฒิ แสงคร้าม</v>
      </c>
      <c r="G713" s="3" t="str">
        <f>IFERROR(__xludf.DUMMYFUNCTION("""COMPUTED_VALUE"""),"ช่วยเหลืองานภายใน วพอ.")</f>
        <v>ช่วยเหลืองานภายใน วพอ.</v>
      </c>
      <c r="H713" s="3" t="str">
        <f>IFERROR(__xludf.DUMMYFUNCTION("""COMPUTED_VALUE"""),"จัดโต๊ะสอบนพอ.รุ่นที่69")</f>
        <v>จัดโต๊ะสอบนพอ.รุ่นที่69</v>
      </c>
      <c r="I713" s="3" t="str">
        <f>IFERROR(__xludf.DUMMYFUNCTION("""COMPUTED_VALUE"""),"ห้องประชุมชั้น4 อาคารสำนักงาน")</f>
        <v>ห้องประชุมชั้น4 อาคารสำนักงาน</v>
      </c>
      <c r="J713" s="12">
        <f>IFERROR(__xludf.DUMMYFUNCTION("""COMPUTED_VALUE"""),46143.0)</f>
        <v>46143</v>
      </c>
      <c r="K713" s="3" t="str">
        <f>IFERROR(__xludf.DUMMYFUNCTION("""COMPUTED_VALUE"""),"0800-1200")</f>
        <v>0800-1200</v>
      </c>
      <c r="L713" s="3">
        <f>IFERROR(__xludf.DUMMYFUNCTION("""COMPUTED_VALUE"""),4.0)</f>
        <v>4</v>
      </c>
      <c r="M713" s="3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713" s="14" t="str">
        <f>IFERROR(__xludf.DUMMYFUNCTION("""COMPUTED_VALUE"""),"https://lh5.googleusercontent.com/d/1ZFVZzDyIgdVAyMucWyGG4Bu8F6zkTTO7")</f>
        <v>https://lh5.googleusercontent.com/d/1ZFVZzDyIgdVAyMucWyGG4Bu8F6zkTTO7</v>
      </c>
      <c r="O713" s="14" t="str">
        <f>IFERROR(__xludf.DUMMYFUNCTION("""COMPUTED_VALUE"""),"https://drive.google.com/file/d/159t1PVODRCvFyRg249nNRTew47zkptLu/view?usp=drivesdk")</f>
        <v>https://drive.google.com/file/d/159t1PVODRCvFyRg249nNRTew47zkptLu/view?usp=drivesdk</v>
      </c>
    </row>
    <row r="714">
      <c r="A714" s="3">
        <f>IFERROR(__xludf.DUMMYFUNCTION("""COMPUTED_VALUE"""),3172.0)</f>
        <v>3172</v>
      </c>
      <c r="B714" s="11">
        <f>IFERROR(__xludf.DUMMYFUNCTION("""COMPUTED_VALUE"""),46179.74314731482)</f>
        <v>46179.74315</v>
      </c>
      <c r="C714" s="3" t="str">
        <f>IFERROR(__xludf.DUMMYFUNCTION("""COMPUTED_VALUE"""),"ชั้นปีที่ 3")</f>
        <v>ชั้นปีที่ 3</v>
      </c>
      <c r="D714" s="3" t="str">
        <f>IFERROR(__xludf.DUMMYFUNCTION("""COMPUTED_VALUE"""),"6603768")</f>
        <v>6603768</v>
      </c>
      <c r="E714" s="3" t="str">
        <f>IFERROR(__xludf.DUMMYFUNCTION("""COMPUTED_VALUE"""),"15")</f>
        <v>15</v>
      </c>
      <c r="F714" s="3" t="str">
        <f>IFERROR(__xludf.DUMMYFUNCTION("""COMPUTED_VALUE"""),"นพอ.ณัฐวุฒิ แสงคร้าม")</f>
        <v>นพอ.ณัฐวุฒิ แสงคร้าม</v>
      </c>
      <c r="G714" s="3" t="str">
        <f>IFERROR(__xludf.DUMMYFUNCTION("""COMPUTED_VALUE"""),"ช่วยเหลืองานภายใน วพอ.")</f>
        <v>ช่วยเหลืองานภายใน วพอ.</v>
      </c>
      <c r="H714" s="3" t="str">
        <f>IFERROR(__xludf.DUMMYFUNCTION("""COMPUTED_VALUE"""),"ช่วยงานจัดการทดสอบความถนัด วิภาวิสัยและจิตวิทยา ประจำปีการศึกษา 2569")</f>
        <v>ช่วยงานจัดการทดสอบความถนัด วิภาวิสัยและจิตวิทยา ประจำปีการศึกษา 2569</v>
      </c>
      <c r="I714" s="3" t="str">
        <f>IFERROR(__xludf.DUMMYFUNCTION("""COMPUTED_VALUE"""),"ห้องประชุมชั้น4")</f>
        <v>ห้องประชุมชั้น4</v>
      </c>
      <c r="J714" s="12">
        <f>IFERROR(__xludf.DUMMYFUNCTION("""COMPUTED_VALUE"""),46147.0)</f>
        <v>46147</v>
      </c>
      <c r="K714" s="3" t="str">
        <f>IFERROR(__xludf.DUMMYFUNCTION("""COMPUTED_VALUE"""),"0700-1500")</f>
        <v>0700-1500</v>
      </c>
      <c r="L714" s="3">
        <f>IFERROR(__xludf.DUMMYFUNCTION("""COMPUTED_VALUE"""),8.0)</f>
        <v>8</v>
      </c>
      <c r="M714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714" s="14" t="str">
        <f>IFERROR(__xludf.DUMMYFUNCTION("""COMPUTED_VALUE"""),"https://lh5.googleusercontent.com/d/11Y-_47JmPotFJ57jsH4ARw6w5g7La-qK")</f>
        <v>https://lh5.googleusercontent.com/d/11Y-_47JmPotFJ57jsH4ARw6w5g7La-qK</v>
      </c>
      <c r="O714" s="14" t="str">
        <f>IFERROR(__xludf.DUMMYFUNCTION("""COMPUTED_VALUE"""),"https://drive.google.com/file/d/1mmXQ63Ghu8QSP_f_ux7WZSahHPmKyb2v/view?usp=drivesdk")</f>
        <v>https://drive.google.com/file/d/1mmXQ63Ghu8QSP_f_ux7WZSahHPmKyb2v/view?usp=drivesdk</v>
      </c>
    </row>
    <row r="715">
      <c r="A715" s="3">
        <f>IFERROR(__xludf.DUMMYFUNCTION("""COMPUTED_VALUE"""),3183.0)</f>
        <v>3183</v>
      </c>
      <c r="B715" s="11">
        <f>IFERROR(__xludf.DUMMYFUNCTION("""COMPUTED_VALUE"""),46179.87428740741)</f>
        <v>46179.87429</v>
      </c>
      <c r="C715" s="3" t="str">
        <f>IFERROR(__xludf.DUMMYFUNCTION("""COMPUTED_VALUE"""),"ชั้นปีที่ 3")</f>
        <v>ชั้นปีที่ 3</v>
      </c>
      <c r="D715" s="3" t="str">
        <f>IFERROR(__xludf.DUMMYFUNCTION("""COMPUTED_VALUE"""),"6603773")</f>
        <v>6603773</v>
      </c>
      <c r="E715" s="3" t="str">
        <f>IFERROR(__xludf.DUMMYFUNCTION("""COMPUTED_VALUE"""),"20")</f>
        <v>20</v>
      </c>
      <c r="F715" s="3" t="str">
        <f>IFERROR(__xludf.DUMMYFUNCTION("""COMPUTED_VALUE"""),"นพอ.ธัญชนก ไชยปรุง")</f>
        <v>นพอ.ธัญชนก ไชยปรุง</v>
      </c>
      <c r="G715" s="3" t="str">
        <f>IFERROR(__xludf.DUMMYFUNCTION("""COMPUTED_VALUE"""),"ช่วยเหลืองานภายใน วพอ.")</f>
        <v>ช่วยเหลืองานภายใน วพอ.</v>
      </c>
      <c r="H715" s="3" t="str">
        <f>IFERROR(__xludf.DUMMYFUNCTION("""COMPUTED_VALUE"""),"จัดสภาพเเวดล้อม วพอ.")</f>
        <v>จัดสภาพเเวดล้อม วพอ.</v>
      </c>
      <c r="I715" s="3" t="str">
        <f>IFERROR(__xludf.DUMMYFUNCTION("""COMPUTED_VALUE"""),"วพอ.พอ.")</f>
        <v>วพอ.พอ.</v>
      </c>
      <c r="J715" s="12">
        <f>IFERROR(__xludf.DUMMYFUNCTION("""COMPUTED_VALUE"""),46177.0)</f>
        <v>46177</v>
      </c>
      <c r="K715" s="3" t="str">
        <f>IFERROR(__xludf.DUMMYFUNCTION("""COMPUTED_VALUE"""),"1400-1700")</f>
        <v>1400-1700</v>
      </c>
      <c r="L715" s="3">
        <f>IFERROR(__xludf.DUMMYFUNCTION("""COMPUTED_VALUE"""),3.0)</f>
        <v>3</v>
      </c>
      <c r="M715" s="3" t="str">
        <f>IFERROR(__xludf.DUMMYFUNCTION("""COMPUTED_VALUE"""),"น.อ.หญิง ผศ.นิตยา สุขเเสน")</f>
        <v>น.อ.หญิง ผศ.นิตยา สุขเเสน</v>
      </c>
      <c r="N715" s="14" t="str">
        <f>IFERROR(__xludf.DUMMYFUNCTION("""COMPUTED_VALUE"""),"https://lh5.googleusercontent.com/d/1fkkqZFJmgwIxezOuZqJ7Y_viRtu8z2dp")</f>
        <v>https://lh5.googleusercontent.com/d/1fkkqZFJmgwIxezOuZqJ7Y_viRtu8z2dp</v>
      </c>
      <c r="O715" s="14" t="str">
        <f>IFERROR(__xludf.DUMMYFUNCTION("""COMPUTED_VALUE"""),"https://drive.google.com/file/d/1YBNhyFsEIvR6eQSh_U-PSu0NQauRN8YZ/view?usp=drivesdk")</f>
        <v>https://drive.google.com/file/d/1YBNhyFsEIvR6eQSh_U-PSu0NQauRN8YZ/view?usp=drivesdk</v>
      </c>
    </row>
    <row r="716">
      <c r="A716" s="3">
        <f>IFERROR(__xludf.DUMMYFUNCTION("""COMPUTED_VALUE"""),3188.0)</f>
        <v>3188</v>
      </c>
      <c r="B716" s="11">
        <f>IFERROR(__xludf.DUMMYFUNCTION("""COMPUTED_VALUE"""),46179.896954386575)</f>
        <v>46179.89695</v>
      </c>
      <c r="C716" s="3" t="str">
        <f>IFERROR(__xludf.DUMMYFUNCTION("""COMPUTED_VALUE"""),"ชั้นปีที่ 3")</f>
        <v>ชั้นปีที่ 3</v>
      </c>
      <c r="D716" s="3" t="str">
        <f>IFERROR(__xludf.DUMMYFUNCTION("""COMPUTED_VALUE"""),"6603791")</f>
        <v>6603791</v>
      </c>
      <c r="E716" s="3" t="str">
        <f>IFERROR(__xludf.DUMMYFUNCTION("""COMPUTED_VALUE"""),"37")</f>
        <v>37</v>
      </c>
      <c r="F716" s="3" t="str">
        <f>IFERROR(__xludf.DUMMYFUNCTION("""COMPUTED_VALUE"""),"นพอ.พรทิพย์ หงษ์มณี")</f>
        <v>นพอ.พรทิพย์ หงษ์มณี</v>
      </c>
      <c r="G716" s="3" t="str">
        <f>IFERROR(__xludf.DUMMYFUNCTION("""COMPUTED_VALUE"""),"ทำนุบำรุงศาสนสถาน")</f>
        <v>ทำนุบำรุงศาสนสถาน</v>
      </c>
      <c r="H716" s="3" t="str">
        <f>IFERROR(__xludf.DUMMYFUNCTION("""COMPUTED_VALUE"""),"ตักบาตรวันสงกรานต์")</f>
        <v>ตักบาตรวันสงกรานต์</v>
      </c>
      <c r="I716" s="3" t="str">
        <f>IFERROR(__xludf.DUMMYFUNCTION("""COMPUTED_VALUE"""),"หมู่บ้านต้นนา")</f>
        <v>หมู่บ้านต้นนา</v>
      </c>
      <c r="J716" s="12">
        <f>IFERROR(__xludf.DUMMYFUNCTION("""COMPUTED_VALUE"""),46127.0)</f>
        <v>46127</v>
      </c>
      <c r="K716" s="3" t="str">
        <f>IFERROR(__xludf.DUMMYFUNCTION("""COMPUTED_VALUE"""),"0800-1000")</f>
        <v>0800-1000</v>
      </c>
      <c r="L716" s="3">
        <f>IFERROR(__xludf.DUMMYFUNCTION("""COMPUTED_VALUE"""),2.0)</f>
        <v>2</v>
      </c>
      <c r="M716" s="3" t="str">
        <f>IFERROR(__xludf.DUMMYFUNCTION("""COMPUTED_VALUE"""),"ร.อ. อนุชิต ทำจะดี")</f>
        <v>ร.อ. อนุชิต ทำจะดี</v>
      </c>
      <c r="N716" s="14" t="str">
        <f>IFERROR(__xludf.DUMMYFUNCTION("""COMPUTED_VALUE"""),"https://lh5.googleusercontent.com/d/16RQR1qVc69zzmww77l93G7hq0lAU1MHg")</f>
        <v>https://lh5.googleusercontent.com/d/16RQR1qVc69zzmww77l93G7hq0lAU1MHg</v>
      </c>
      <c r="O716" s="14" t="str">
        <f>IFERROR(__xludf.DUMMYFUNCTION("""COMPUTED_VALUE"""),"https://drive.google.com/file/d/1Rdo8BiG2vS-DGzxco5q1VaLgdbLEUoYd/view?usp=drivesdk")</f>
        <v>https://drive.google.com/file/d/1Rdo8BiG2vS-DGzxco5q1VaLgdbLEUoYd/view?usp=drivesdk</v>
      </c>
    </row>
    <row r="717">
      <c r="A717" s="3">
        <f>IFERROR(__xludf.DUMMYFUNCTION("""COMPUTED_VALUE"""),3189.0)</f>
        <v>3189</v>
      </c>
      <c r="B717" s="11">
        <f>IFERROR(__xludf.DUMMYFUNCTION("""COMPUTED_VALUE"""),46179.90049008102)</f>
        <v>46179.90049</v>
      </c>
      <c r="C717" s="3" t="str">
        <f>IFERROR(__xludf.DUMMYFUNCTION("""COMPUTED_VALUE"""),"ชั้นปีที่ 3")</f>
        <v>ชั้นปีที่ 3</v>
      </c>
      <c r="D717" s="3" t="str">
        <f>IFERROR(__xludf.DUMMYFUNCTION("""COMPUTED_VALUE"""),"6603791")</f>
        <v>6603791</v>
      </c>
      <c r="E717" s="3" t="str">
        <f>IFERROR(__xludf.DUMMYFUNCTION("""COMPUTED_VALUE"""),"37")</f>
        <v>37</v>
      </c>
      <c r="F717" s="3" t="str">
        <f>IFERROR(__xludf.DUMMYFUNCTION("""COMPUTED_VALUE"""),"นพอ.พรทิพย์ หงษ์มณี")</f>
        <v>นพอ.พรทิพย์ หงษ์มณี</v>
      </c>
      <c r="G717" s="3" t="str">
        <f>IFERROR(__xludf.DUMMYFUNCTION("""COMPUTED_VALUE"""),"ช่วยเหลืองานภายใน วพอ.")</f>
        <v>ช่วยเหลืองานภายใน วพอ.</v>
      </c>
      <c r="H717" s="3" t="str">
        <f>IFERROR(__xludf.DUMMYFUNCTION("""COMPUTED_VALUE"""),"ซ้อมเต้น")</f>
        <v>ซ้อมเต้น</v>
      </c>
      <c r="I717" s="3" t="str">
        <f>IFERROR(__xludf.DUMMYFUNCTION("""COMPUTED_VALUE"""),"วพอ.พอ")</f>
        <v>วพอ.พอ</v>
      </c>
      <c r="J717" s="12">
        <f>IFERROR(__xludf.DUMMYFUNCTION("""COMPUTED_VALUE"""),46176.0)</f>
        <v>46176</v>
      </c>
      <c r="K717" s="3" t="str">
        <f>IFERROR(__xludf.DUMMYFUNCTION("""COMPUTED_VALUE"""),"1800-1900")</f>
        <v>1800-1900</v>
      </c>
      <c r="L717" s="3">
        <f>IFERROR(__xludf.DUMMYFUNCTION("""COMPUTED_VALUE"""),1.0)</f>
        <v>1</v>
      </c>
      <c r="M717" s="3" t="str">
        <f>IFERROR(__xludf.DUMMYFUNCTION("""COMPUTED_VALUE"""),"ร.อ.หญิง เบญญาดา บุรีรัตน์")</f>
        <v>ร.อ.หญิง เบญญาดา บุรีรัตน์</v>
      </c>
      <c r="N717" s="14" t="str">
        <f>IFERROR(__xludf.DUMMYFUNCTION("""COMPUTED_VALUE"""),"https://lh5.googleusercontent.com/d/1oOTG9WQPC9HpLmPQSU9BsvPKIo6r3yh_")</f>
        <v>https://lh5.googleusercontent.com/d/1oOTG9WQPC9HpLmPQSU9BsvPKIo6r3yh_</v>
      </c>
      <c r="O717" s="14" t="str">
        <f>IFERROR(__xludf.DUMMYFUNCTION("""COMPUTED_VALUE"""),"https://drive.google.com/file/d/19SgYpWmXc3YbYp4ekpCC4PSIu6KSqPxz/view?usp=drivesdk")</f>
        <v>https://drive.google.com/file/d/19SgYpWmXc3YbYp4ekpCC4PSIu6KSqPxz/view?usp=drivesdk</v>
      </c>
    </row>
    <row r="718">
      <c r="A718" s="3">
        <f>IFERROR(__xludf.DUMMYFUNCTION("""COMPUTED_VALUE"""),3190.0)</f>
        <v>3190</v>
      </c>
      <c r="B718" s="11">
        <f>IFERROR(__xludf.DUMMYFUNCTION("""COMPUTED_VALUE"""),46179.90183849537)</f>
        <v>46179.90184</v>
      </c>
      <c r="C718" s="3" t="str">
        <f>IFERROR(__xludf.DUMMYFUNCTION("""COMPUTED_VALUE"""),"ชั้นปีที่ 3")</f>
        <v>ชั้นปีที่ 3</v>
      </c>
      <c r="D718" s="3" t="str">
        <f>IFERROR(__xludf.DUMMYFUNCTION("""COMPUTED_VALUE"""),"6603791")</f>
        <v>6603791</v>
      </c>
      <c r="E718" s="3" t="str">
        <f>IFERROR(__xludf.DUMMYFUNCTION("""COMPUTED_VALUE"""),"37")</f>
        <v>37</v>
      </c>
      <c r="F718" s="3" t="str">
        <f>IFERROR(__xludf.DUMMYFUNCTION("""COMPUTED_VALUE"""),"นพอ.พรทิพย์ หงษ์มณี")</f>
        <v>นพอ.พรทิพย์ หงษ์มณี</v>
      </c>
      <c r="G718" s="3" t="str">
        <f>IFERROR(__xludf.DUMMYFUNCTION("""COMPUTED_VALUE"""),"ช่วยเหลืองานภายใน วพอ.")</f>
        <v>ช่วยเหลืองานภายใน วพอ.</v>
      </c>
      <c r="H718" s="3" t="str">
        <f>IFERROR(__xludf.DUMMYFUNCTION("""COMPUTED_VALUE"""),"ซ้อมเต้น")</f>
        <v>ซ้อมเต้น</v>
      </c>
      <c r="I718" s="3" t="str">
        <f>IFERROR(__xludf.DUMMYFUNCTION("""COMPUTED_VALUE"""),"วพอ.พอ")</f>
        <v>วพอ.พอ</v>
      </c>
      <c r="J718" s="12">
        <f>IFERROR(__xludf.DUMMYFUNCTION("""COMPUTED_VALUE"""),46177.0)</f>
        <v>46177</v>
      </c>
      <c r="K718" s="3" t="str">
        <f>IFERROR(__xludf.DUMMYFUNCTION("""COMPUTED_VALUE"""),"1900-2000")</f>
        <v>1900-2000</v>
      </c>
      <c r="L718" s="3">
        <f>IFERROR(__xludf.DUMMYFUNCTION("""COMPUTED_VALUE"""),1.0)</f>
        <v>1</v>
      </c>
      <c r="M718" s="3" t="str">
        <f>IFERROR(__xludf.DUMMYFUNCTION("""COMPUTED_VALUE"""),"ร.อ.หญิง เบญญาดา บุรีรัตน์")</f>
        <v>ร.อ.หญิง เบญญาดา บุรีรัตน์</v>
      </c>
      <c r="N718" s="14" t="str">
        <f>IFERROR(__xludf.DUMMYFUNCTION("""COMPUTED_VALUE"""),"https://lh5.googleusercontent.com/d/1bs94eYSKxCPl36MOHP1nqgiUqhPQ1qTN")</f>
        <v>https://lh5.googleusercontent.com/d/1bs94eYSKxCPl36MOHP1nqgiUqhPQ1qTN</v>
      </c>
      <c r="O718" s="14" t="str">
        <f>IFERROR(__xludf.DUMMYFUNCTION("""COMPUTED_VALUE"""),"https://drive.google.com/file/d/1aQkDI0u27ZFvQZCKwDp1kWaLu-EJOZSp/view?usp=drivesdk")</f>
        <v>https://drive.google.com/file/d/1aQkDI0u27ZFvQZCKwDp1kWaLu-EJOZSp/view?usp=drivesdk</v>
      </c>
    </row>
    <row r="719">
      <c r="A719" s="3">
        <f>IFERROR(__xludf.DUMMYFUNCTION("""COMPUTED_VALUE"""),3191.0)</f>
        <v>3191</v>
      </c>
      <c r="B719" s="11">
        <f>IFERROR(__xludf.DUMMYFUNCTION("""COMPUTED_VALUE"""),46179.91300305555)</f>
        <v>46179.913</v>
      </c>
      <c r="C719" s="3" t="str">
        <f>IFERROR(__xludf.DUMMYFUNCTION("""COMPUTED_VALUE"""),"ชั้นปีที่ 3")</f>
        <v>ชั้นปีที่ 3</v>
      </c>
      <c r="D719" s="3" t="str">
        <f>IFERROR(__xludf.DUMMYFUNCTION("""COMPUTED_VALUE"""),"6603791")</f>
        <v>6603791</v>
      </c>
      <c r="E719" s="3" t="str">
        <f>IFERROR(__xludf.DUMMYFUNCTION("""COMPUTED_VALUE"""),"37")</f>
        <v>37</v>
      </c>
      <c r="F719" s="3" t="str">
        <f>IFERROR(__xludf.DUMMYFUNCTION("""COMPUTED_VALUE"""),"นพอ.พรทิพย์ หงษ์มณี")</f>
        <v>นพอ.พรทิพย์ หงษ์มณี</v>
      </c>
      <c r="G719" s="3" t="str">
        <f>IFERROR(__xludf.DUMMYFUNCTION("""COMPUTED_VALUE"""),"งานฟรีทั่วไป")</f>
        <v>งานฟรีทั่วไป</v>
      </c>
      <c r="H719" s="3" t="str">
        <f>IFERROR(__xludf.DUMMYFUNCTION("""COMPUTED_VALUE"""),"นำเที่ยวปราสาทบ้านเบญจ์")</f>
        <v>นำเที่ยวปราสาทบ้านเบญจ์</v>
      </c>
      <c r="I719" s="3" t="str">
        <f>IFERROR(__xludf.DUMMYFUNCTION("""COMPUTED_VALUE"""),"ปราสาทบ้านเบญจ์ จ.อุบลราชธานี")</f>
        <v>ปราสาทบ้านเบญจ์ จ.อุบลราชธานี</v>
      </c>
      <c r="J719" s="12">
        <f>IFERROR(__xludf.DUMMYFUNCTION("""COMPUTED_VALUE"""),46032.0)</f>
        <v>46032</v>
      </c>
      <c r="K719" s="3" t="str">
        <f>IFERROR(__xludf.DUMMYFUNCTION("""COMPUTED_VALUE"""),"1300-1500")</f>
        <v>1300-1500</v>
      </c>
      <c r="L719" s="3">
        <f>IFERROR(__xludf.DUMMYFUNCTION("""COMPUTED_VALUE"""),2.0)</f>
        <v>2</v>
      </c>
      <c r="M719" s="3" t="str">
        <f>IFERROR(__xludf.DUMMYFUNCTION("""COMPUTED_VALUE"""),"ร.อ. อนุชิต  ทำจะดี")</f>
        <v>ร.อ. อนุชิต  ทำจะดี</v>
      </c>
      <c r="N719" s="14" t="str">
        <f>IFERROR(__xludf.DUMMYFUNCTION("""COMPUTED_VALUE"""),"https://lh5.googleusercontent.com/d/1E-1SV1XwyvfkG9vo-5f_NJ7szKWzt2Jt")</f>
        <v>https://lh5.googleusercontent.com/d/1E-1SV1XwyvfkG9vo-5f_NJ7szKWzt2Jt</v>
      </c>
      <c r="O719" s="14" t="str">
        <f>IFERROR(__xludf.DUMMYFUNCTION("""COMPUTED_VALUE"""),"https://drive.google.com/file/d/1ieKRET3eipOGAHxK2eCQKsDIHzhkr_1m/view?usp=drivesdk")</f>
        <v>https://drive.google.com/file/d/1ieKRET3eipOGAHxK2eCQKsDIHzhkr_1m/view?usp=drivesdk</v>
      </c>
    </row>
    <row r="720">
      <c r="A720" s="3">
        <f>IFERROR(__xludf.DUMMYFUNCTION("""COMPUTED_VALUE"""),3208.0)</f>
        <v>3208</v>
      </c>
      <c r="B720" s="11">
        <f>IFERROR(__xludf.DUMMYFUNCTION("""COMPUTED_VALUE"""),46180.52334482639)</f>
        <v>46180.52334</v>
      </c>
      <c r="C720" s="3" t="str">
        <f>IFERROR(__xludf.DUMMYFUNCTION("""COMPUTED_VALUE"""),"ชั้นปีที่ 3")</f>
        <v>ชั้นปีที่ 3</v>
      </c>
      <c r="D720" s="3" t="str">
        <f>IFERROR(__xludf.DUMMYFUNCTION("""COMPUTED_VALUE"""),"6603761")</f>
        <v>6603761</v>
      </c>
      <c r="E720" s="3" t="str">
        <f>IFERROR(__xludf.DUMMYFUNCTION("""COMPUTED_VALUE"""),"8")</f>
        <v>8</v>
      </c>
      <c r="F720" s="3" t="str">
        <f>IFERROR(__xludf.DUMMYFUNCTION("""COMPUTED_VALUE"""),"นพอ.ชญานิศ ทองแสงแก้ว")</f>
        <v>นพอ.ชญานิศ ทองแสงแก้ว</v>
      </c>
      <c r="G720" s="3" t="str">
        <f>IFERROR(__xludf.DUMMYFUNCTION("""COMPUTED_VALUE"""),"ช่วยเหลืองานภายใน วพอ.")</f>
        <v>ช่วยเหลืองานภายใน วพอ.</v>
      </c>
      <c r="H720" s="3" t="str">
        <f>IFERROR(__xludf.DUMMYFUNCTION("""COMPUTED_VALUE"""),"การทดสอบความถนัด วิภาววิสัย และทดสอบร่างกาย")</f>
        <v>การทดสอบความถนัด วิภาววิสัย และทดสอบร่างกาย</v>
      </c>
      <c r="I720" s="3" t="str">
        <f>IFERROR(__xludf.DUMMYFUNCTION("""COMPUTED_VALUE"""),"วพอ.พอ.")</f>
        <v>วพอ.พอ.</v>
      </c>
      <c r="J720" s="12">
        <f>IFERROR(__xludf.DUMMYFUNCTION("""COMPUTED_VALUE"""),46147.0)</f>
        <v>46147</v>
      </c>
      <c r="K720" s="3" t="str">
        <f>IFERROR(__xludf.DUMMYFUNCTION("""COMPUTED_VALUE"""),"0800-1600")</f>
        <v>0800-1600</v>
      </c>
      <c r="L720" s="3">
        <f>IFERROR(__xludf.DUMMYFUNCTION("""COMPUTED_VALUE"""),8.0)</f>
        <v>8</v>
      </c>
      <c r="M720" s="3" t="str">
        <f>IFERROR(__xludf.DUMMYFUNCTION("""COMPUTED_VALUE"""),"น.ท.หญิง ลักขณา พานิชสรรค์")</f>
        <v>น.ท.หญิง ลักขณา พานิชสรรค์</v>
      </c>
      <c r="N720" s="14" t="str">
        <f>IFERROR(__xludf.DUMMYFUNCTION("""COMPUTED_VALUE"""),"https://lh5.googleusercontent.com/d/17jtoqCbTlGGHzV7Wl_31ZQg3B2MgWj16")</f>
        <v>https://lh5.googleusercontent.com/d/17jtoqCbTlGGHzV7Wl_31ZQg3B2MgWj16</v>
      </c>
      <c r="O720" s="14" t="str">
        <f>IFERROR(__xludf.DUMMYFUNCTION("""COMPUTED_VALUE"""),"https://drive.google.com/file/d/1tBH5dftsQS7OcoKsfKWJz_vWfbf0PDTF/view?usp=drivesdk")</f>
        <v>https://drive.google.com/file/d/1tBH5dftsQS7OcoKsfKWJz_vWfbf0PDTF/view?usp=drivesdk</v>
      </c>
    </row>
    <row r="721">
      <c r="A721" s="3">
        <f>IFERROR(__xludf.DUMMYFUNCTION("""COMPUTED_VALUE"""),3209.0)</f>
        <v>3209</v>
      </c>
      <c r="B721" s="11">
        <f>IFERROR(__xludf.DUMMYFUNCTION("""COMPUTED_VALUE"""),46180.52979972222)</f>
        <v>46180.5298</v>
      </c>
      <c r="C721" s="3" t="str">
        <f>IFERROR(__xludf.DUMMYFUNCTION("""COMPUTED_VALUE"""),"ชั้นปีที่ 3")</f>
        <v>ชั้นปีที่ 3</v>
      </c>
      <c r="D721" s="3" t="str">
        <f>IFERROR(__xludf.DUMMYFUNCTION("""COMPUTED_VALUE"""),"6603790")</f>
        <v>6603790</v>
      </c>
      <c r="E721" s="3" t="str">
        <f>IFERROR(__xludf.DUMMYFUNCTION("""COMPUTED_VALUE"""),"36")</f>
        <v>36</v>
      </c>
      <c r="F721" s="3" t="str">
        <f>IFERROR(__xludf.DUMMYFUNCTION("""COMPUTED_VALUE"""),"นพอ.ปิยะนันท์ ตุนก")</f>
        <v>นพอ.ปิยะนันท์ ตุนก</v>
      </c>
      <c r="G721" s="3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72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21" s="3" t="str">
        <f>IFERROR(__xludf.DUMMYFUNCTION("""COMPUTED_VALUE"""),"วพอ.พอ.")</f>
        <v>วพอ.พอ.</v>
      </c>
      <c r="J721" s="12">
        <f>IFERROR(__xludf.DUMMYFUNCTION("""COMPUTED_VALUE"""),46138.0)</f>
        <v>46138</v>
      </c>
      <c r="K721" s="3" t="str">
        <f>IFERROR(__xludf.DUMMYFUNCTION("""COMPUTED_VALUE"""),"1500-2100")</f>
        <v>1500-2100</v>
      </c>
      <c r="L721" s="3">
        <f>IFERROR(__xludf.DUMMYFUNCTION("""COMPUTED_VALUE"""),6.0)</f>
        <v>6</v>
      </c>
      <c r="M721" s="3" t="str">
        <f>IFERROR(__xludf.DUMMYFUNCTION("""COMPUTED_VALUE"""),"ร.อ.อนุชิต ทำจะดี")</f>
        <v>ร.อ.อนุชิต ทำจะดี</v>
      </c>
      <c r="N721" s="14" t="str">
        <f>IFERROR(__xludf.DUMMYFUNCTION("""COMPUTED_VALUE"""),"https://lh5.googleusercontent.com/d/1CHUs8wgjWrW-Ph1myI13OSk87Q3X5gwt")</f>
        <v>https://lh5.googleusercontent.com/d/1CHUs8wgjWrW-Ph1myI13OSk87Q3X5gwt</v>
      </c>
      <c r="O721" s="14" t="str">
        <f>IFERROR(__xludf.DUMMYFUNCTION("""COMPUTED_VALUE"""),"https://drive.google.com/file/d/1ouqO-3Mq55QsBsFmwB9w2NCJmFrqp_TZ/view?usp=drivesdk")</f>
        <v>https://drive.google.com/file/d/1ouqO-3Mq55QsBsFmwB9w2NCJmFrqp_TZ/view?usp=drivesdk</v>
      </c>
    </row>
    <row r="722">
      <c r="A722" s="3">
        <f>IFERROR(__xludf.DUMMYFUNCTION("""COMPUTED_VALUE"""),3210.0)</f>
        <v>3210</v>
      </c>
      <c r="B722" s="11">
        <f>IFERROR(__xludf.DUMMYFUNCTION("""COMPUTED_VALUE"""),46180.536440208336)</f>
        <v>46180.53644</v>
      </c>
      <c r="C722" s="3" t="str">
        <f>IFERROR(__xludf.DUMMYFUNCTION("""COMPUTED_VALUE"""),"ชั้นปีที่ 3")</f>
        <v>ชั้นปีที่ 3</v>
      </c>
      <c r="D722" s="3" t="str">
        <f>IFERROR(__xludf.DUMMYFUNCTION("""COMPUTED_VALUE"""),"6603761")</f>
        <v>6603761</v>
      </c>
      <c r="E722" s="3" t="str">
        <f>IFERROR(__xludf.DUMMYFUNCTION("""COMPUTED_VALUE"""),"8")</f>
        <v>8</v>
      </c>
      <c r="F722" s="3" t="str">
        <f>IFERROR(__xludf.DUMMYFUNCTION("""COMPUTED_VALUE"""),"นพอ.ชญานิศ ทองแสง")</f>
        <v>นพอ.ชญานิศ ทองแสง</v>
      </c>
      <c r="G722" s="3" t="str">
        <f>IFERROR(__xludf.DUMMYFUNCTION("""COMPUTED_VALUE"""),"ช่วยเหลืองานภายใน วพอ.")</f>
        <v>ช่วยเหลืองานภายใน วพอ.</v>
      </c>
      <c r="H722" s="3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722" s="3" t="str">
        <f>IFERROR(__xludf.DUMMYFUNCTION("""COMPUTED_VALUE"""),"วพอ.พอ.")</f>
        <v>วพอ.พอ.</v>
      </c>
      <c r="J722" s="12">
        <f>IFERROR(__xludf.DUMMYFUNCTION("""COMPUTED_VALUE"""),46177.0)</f>
        <v>46177</v>
      </c>
      <c r="K722" s="3" t="str">
        <f>IFERROR(__xludf.DUMMYFUNCTION("""COMPUTED_VALUE"""),"1500-1800")</f>
        <v>1500-1800</v>
      </c>
      <c r="L722" s="3">
        <f>IFERROR(__xludf.DUMMYFUNCTION("""COMPUTED_VALUE"""),3.0)</f>
        <v>3</v>
      </c>
      <c r="M722" s="3" t="str">
        <f>IFERROR(__xludf.DUMMYFUNCTION("""COMPUTED_VALUE"""),"น.อ.หญิง.ผศ. นิตยา สุขแสน")</f>
        <v>น.อ.หญิง.ผศ. นิตยา สุขแสน</v>
      </c>
      <c r="N722" s="14" t="str">
        <f>IFERROR(__xludf.DUMMYFUNCTION("""COMPUTED_VALUE"""),"https://lh5.googleusercontent.com/d/1u_6huERRaqCxN1fUcDErjuZODbJEp6np")</f>
        <v>https://lh5.googleusercontent.com/d/1u_6huERRaqCxN1fUcDErjuZODbJEp6np</v>
      </c>
      <c r="O722" s="14" t="str">
        <f>IFERROR(__xludf.DUMMYFUNCTION("""COMPUTED_VALUE"""),"https://drive.google.com/file/d/1wL2XDWEeEiW55K4lSklFt1l2z9fPsIGt/view?usp=drivesdk")</f>
        <v>https://drive.google.com/file/d/1wL2XDWEeEiW55K4lSklFt1l2z9fPsIGt/view?usp=drivesdk</v>
      </c>
    </row>
    <row r="723">
      <c r="A723" s="3">
        <f>IFERROR(__xludf.DUMMYFUNCTION("""COMPUTED_VALUE"""),3211.0)</f>
        <v>3211</v>
      </c>
      <c r="B723" s="11">
        <f>IFERROR(__xludf.DUMMYFUNCTION("""COMPUTED_VALUE"""),46180.53672859954)</f>
        <v>46180.53673</v>
      </c>
      <c r="C723" s="3" t="str">
        <f>IFERROR(__xludf.DUMMYFUNCTION("""COMPUTED_VALUE"""),"ชั้นปีที่ 3")</f>
        <v>ชั้นปีที่ 3</v>
      </c>
      <c r="D723" s="3" t="str">
        <f>IFERROR(__xludf.DUMMYFUNCTION("""COMPUTED_VALUE"""),"6603810")</f>
        <v>6603810</v>
      </c>
      <c r="E723" s="3" t="str">
        <f>IFERROR(__xludf.DUMMYFUNCTION("""COMPUTED_VALUE"""),"56")</f>
        <v>56</v>
      </c>
      <c r="F723" s="3" t="str">
        <f>IFERROR(__xludf.DUMMYFUNCTION("""COMPUTED_VALUE"""),"นพอ.สุพิชชา โคตวงค์")</f>
        <v>นพอ.สุพิชชา โคตวงค์</v>
      </c>
      <c r="G72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23" s="3" t="str">
        <f>IFERROR(__xludf.DUMMYFUNCTION("""COMPUTED_VALUE"""),"บริจาคโลหิต")</f>
        <v>บริจาคโลหิต</v>
      </c>
      <c r="I723" s="3" t="str">
        <f>IFERROR(__xludf.DUMMYFUNCTION("""COMPUTED_VALUE"""),"รพ.ภูมิพลอดุลยเดช")</f>
        <v>รพ.ภูมิพลอดุลยเดช</v>
      </c>
      <c r="J723" s="12">
        <f>IFERROR(__xludf.DUMMYFUNCTION("""COMPUTED_VALUE"""),46175.0)</f>
        <v>46175</v>
      </c>
      <c r="K723" s="3" t="str">
        <f>IFERROR(__xludf.DUMMYFUNCTION("""COMPUTED_VALUE"""),"1300-1400")</f>
        <v>1300-1400</v>
      </c>
      <c r="L723" s="3">
        <f>IFERROR(__xludf.DUMMYFUNCTION("""COMPUTED_VALUE"""),8.0)</f>
        <v>8</v>
      </c>
      <c r="M72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23" s="14" t="str">
        <f>IFERROR(__xludf.DUMMYFUNCTION("""COMPUTED_VALUE"""),"https://lh5.googleusercontent.com/d/1yyIXoaRsDAuA7eo0PPNag_FTLX_oZK4p")</f>
        <v>https://lh5.googleusercontent.com/d/1yyIXoaRsDAuA7eo0PPNag_FTLX_oZK4p</v>
      </c>
      <c r="O723" s="14" t="str">
        <f>IFERROR(__xludf.DUMMYFUNCTION("""COMPUTED_VALUE"""),"https://drive.google.com/file/d/1izoeoEIoSQv5UxmYLy2pKX-YXghdl_1S/view?usp=drivesdk")</f>
        <v>https://drive.google.com/file/d/1izoeoEIoSQv5UxmYLy2pKX-YXghdl_1S/view?usp=drivesdk</v>
      </c>
    </row>
    <row r="724">
      <c r="A724" s="3">
        <f>IFERROR(__xludf.DUMMYFUNCTION("""COMPUTED_VALUE"""),3212.0)</f>
        <v>3212</v>
      </c>
      <c r="B724" s="11">
        <f>IFERROR(__xludf.DUMMYFUNCTION("""COMPUTED_VALUE"""),46180.53853719907)</f>
        <v>46180.53854</v>
      </c>
      <c r="C724" s="3" t="str">
        <f>IFERROR(__xludf.DUMMYFUNCTION("""COMPUTED_VALUE"""),"ชั้นปีที่ 3")</f>
        <v>ชั้นปีที่ 3</v>
      </c>
      <c r="D724" s="3" t="str">
        <f>IFERROR(__xludf.DUMMYFUNCTION("""COMPUTED_VALUE"""),"6603790")</f>
        <v>6603790</v>
      </c>
      <c r="E724" s="3" t="str">
        <f>IFERROR(__xludf.DUMMYFUNCTION("""COMPUTED_VALUE"""),"36")</f>
        <v>36</v>
      </c>
      <c r="F724" s="3" t="str">
        <f>IFERROR(__xludf.DUMMYFUNCTION("""COMPUTED_VALUE"""),"นพอ.ปิยะนันท์ ตุนก")</f>
        <v>นพอ.ปิยะนันท์ ตุนก</v>
      </c>
      <c r="G72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4" s="3" t="str">
        <f>IFERROR(__xludf.DUMMYFUNCTION("""COMPUTED_VALUE"""),"งานกอล์ฟการกุศล ทอ.2569")</f>
        <v>งานกอล์ฟการกุศล ทอ.2569</v>
      </c>
      <c r="I724" s="3" t="str">
        <f>IFERROR(__xludf.DUMMYFUNCTION("""COMPUTED_VALUE"""),"สนามกอล์ฟธูปะเตมีย์")</f>
        <v>สนามกอล์ฟธูปะเตมีย์</v>
      </c>
      <c r="J724" s="12">
        <f>IFERROR(__xludf.DUMMYFUNCTION("""COMPUTED_VALUE"""),46066.0)</f>
        <v>46066</v>
      </c>
      <c r="K724" s="3" t="str">
        <f>IFERROR(__xludf.DUMMYFUNCTION("""COMPUTED_VALUE"""),"1500-1900")</f>
        <v>1500-1900</v>
      </c>
      <c r="L724" s="3">
        <f>IFERROR(__xludf.DUMMYFUNCTION("""COMPUTED_VALUE"""),4.0)</f>
        <v>4</v>
      </c>
      <c r="M724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724" s="14" t="str">
        <f>IFERROR(__xludf.DUMMYFUNCTION("""COMPUTED_VALUE"""),"https://lh5.googleusercontent.com/d/1arb7kZ5XfzMCTv6GXNmEtcbmofy-vvDc")</f>
        <v>https://lh5.googleusercontent.com/d/1arb7kZ5XfzMCTv6GXNmEtcbmofy-vvDc</v>
      </c>
      <c r="O724" s="14" t="str">
        <f>IFERROR(__xludf.DUMMYFUNCTION("""COMPUTED_VALUE"""),"https://drive.google.com/file/d/1kaw0uqhLyOExiFLYJCwDoOYLpXrSL1R2/view?usp=drivesdk")</f>
        <v>https://drive.google.com/file/d/1kaw0uqhLyOExiFLYJCwDoOYLpXrSL1R2/view?usp=drivesdk</v>
      </c>
    </row>
    <row r="725">
      <c r="A725" s="3">
        <f>IFERROR(__xludf.DUMMYFUNCTION("""COMPUTED_VALUE"""),3213.0)</f>
        <v>3213</v>
      </c>
      <c r="B725" s="11">
        <f>IFERROR(__xludf.DUMMYFUNCTION("""COMPUTED_VALUE"""),46180.54022592593)</f>
        <v>46180.54023</v>
      </c>
      <c r="C725" s="3" t="str">
        <f>IFERROR(__xludf.DUMMYFUNCTION("""COMPUTED_VALUE"""),"ชั้นปีที่ 3")</f>
        <v>ชั้นปีที่ 3</v>
      </c>
      <c r="D725" s="3" t="str">
        <f>IFERROR(__xludf.DUMMYFUNCTION("""COMPUTED_VALUE"""),"6603756")</f>
        <v>6603756</v>
      </c>
      <c r="E725" s="3" t="str">
        <f>IFERROR(__xludf.DUMMYFUNCTION("""COMPUTED_VALUE"""),"3")</f>
        <v>3</v>
      </c>
      <c r="F725" s="3" t="str">
        <f>IFERROR(__xludf.DUMMYFUNCTION("""COMPUTED_VALUE"""),"นพอ.กันต์ฤทัย อินทรเทศ")</f>
        <v>นพอ.กันต์ฤทัย อินทรเทศ</v>
      </c>
      <c r="G725" s="3" t="str">
        <f>IFERROR(__xludf.DUMMYFUNCTION("""COMPUTED_VALUE"""),"ช่วยเหลืองานภายใน วพอ.")</f>
        <v>ช่วยเหลืองานภายใน วพอ.</v>
      </c>
      <c r="H72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25" s="3" t="str">
        <f>IFERROR(__xludf.DUMMYFUNCTION("""COMPUTED_VALUE"""),"วพอ.พอ.")</f>
        <v>วพอ.พอ.</v>
      </c>
      <c r="J725" s="12">
        <f>IFERROR(__xludf.DUMMYFUNCTION("""COMPUTED_VALUE"""),46134.0)</f>
        <v>46134</v>
      </c>
      <c r="K725" s="3" t="str">
        <f>IFERROR(__xludf.DUMMYFUNCTION("""COMPUTED_VALUE"""),"17:00-21:00")</f>
        <v>17:00-21:00</v>
      </c>
      <c r="L725" s="3">
        <f>IFERROR(__xludf.DUMMYFUNCTION("""COMPUTED_VALUE"""),4.0)</f>
        <v>4</v>
      </c>
      <c r="M725" s="3" t="str">
        <f>IFERROR(__xludf.DUMMYFUNCTION("""COMPUTED_VALUE"""),"ร.อ.อนุชิต ทำจะดี")</f>
        <v>ร.อ.อนุชิต ทำจะดี</v>
      </c>
      <c r="N725" s="14" t="str">
        <f>IFERROR(__xludf.DUMMYFUNCTION("""COMPUTED_VALUE"""),"https://lh5.googleusercontent.com/d/1CiSi4isflCwwjHgNvAj_LXkWZO2TQGwD")</f>
        <v>https://lh5.googleusercontent.com/d/1CiSi4isflCwwjHgNvAj_LXkWZO2TQGwD</v>
      </c>
      <c r="O725" s="14" t="str">
        <f>IFERROR(__xludf.DUMMYFUNCTION("""COMPUTED_VALUE"""),"https://drive.google.com/file/d/1dR6IAb7CBj9hUeItrh73J1he4Bz3AlAf/view?usp=drivesdk")</f>
        <v>https://drive.google.com/file/d/1dR6IAb7CBj9hUeItrh73J1he4Bz3AlAf/view?usp=drivesdk</v>
      </c>
    </row>
    <row r="726">
      <c r="A726" s="3">
        <f>IFERROR(__xludf.DUMMYFUNCTION("""COMPUTED_VALUE"""),3214.0)</f>
        <v>3214</v>
      </c>
      <c r="B726" s="11">
        <f>IFERROR(__xludf.DUMMYFUNCTION("""COMPUTED_VALUE"""),46180.54147768518)</f>
        <v>46180.54148</v>
      </c>
      <c r="C726" s="3" t="str">
        <f>IFERROR(__xludf.DUMMYFUNCTION("""COMPUTED_VALUE"""),"ชั้นปีที่ 3")</f>
        <v>ชั้นปีที่ 3</v>
      </c>
      <c r="D726" s="3" t="str">
        <f>IFERROR(__xludf.DUMMYFUNCTION("""COMPUTED_VALUE"""),"6603756")</f>
        <v>6603756</v>
      </c>
      <c r="E726" s="3" t="str">
        <f>IFERROR(__xludf.DUMMYFUNCTION("""COMPUTED_VALUE"""),"3")</f>
        <v>3</v>
      </c>
      <c r="F726" s="3" t="str">
        <f>IFERROR(__xludf.DUMMYFUNCTION("""COMPUTED_VALUE"""),"นพอ.กันต์ฤทัย อินทรเทศ")</f>
        <v>นพอ.กันต์ฤทัย อินทรเทศ</v>
      </c>
      <c r="G726" s="3" t="str">
        <f>IFERROR(__xludf.DUMMYFUNCTION("""COMPUTED_VALUE"""),"ช่วยเหลืองานภายใน วพอ.")</f>
        <v>ช่วยเหลืองานภายใน วพอ.</v>
      </c>
      <c r="H72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26" s="3" t="str">
        <f>IFERROR(__xludf.DUMMYFUNCTION("""COMPUTED_VALUE"""),"วพอ.พอ.")</f>
        <v>วพอ.พอ.</v>
      </c>
      <c r="J726" s="12">
        <f>IFERROR(__xludf.DUMMYFUNCTION("""COMPUTED_VALUE"""),46135.0)</f>
        <v>46135</v>
      </c>
      <c r="K726" s="3" t="str">
        <f>IFERROR(__xludf.DUMMYFUNCTION("""COMPUTED_VALUE"""),"17:00-21:00")</f>
        <v>17:00-21:00</v>
      </c>
      <c r="L726" s="3">
        <f>IFERROR(__xludf.DUMMYFUNCTION("""COMPUTED_VALUE"""),4.0)</f>
        <v>4</v>
      </c>
      <c r="M726" s="3" t="str">
        <f>IFERROR(__xludf.DUMMYFUNCTION("""COMPUTED_VALUE"""),"ร.อ.อนุชิต ทำจะดี")</f>
        <v>ร.อ.อนุชิต ทำจะดี</v>
      </c>
      <c r="N726" s="14" t="str">
        <f>IFERROR(__xludf.DUMMYFUNCTION("""COMPUTED_VALUE"""),"https://lh5.googleusercontent.com/d/14ubF5nQHdQFhz0BsZDgFaSvFIlx6kVIE")</f>
        <v>https://lh5.googleusercontent.com/d/14ubF5nQHdQFhz0BsZDgFaSvFIlx6kVIE</v>
      </c>
      <c r="O726" s="14" t="str">
        <f>IFERROR(__xludf.DUMMYFUNCTION("""COMPUTED_VALUE"""),"https://drive.google.com/file/d/1sAIY8UOlQm3uUsL_zTKr7Lvra8RsY0Mu/view?usp=drivesdk")</f>
        <v>https://drive.google.com/file/d/1sAIY8UOlQm3uUsL_zTKr7Lvra8RsY0Mu/view?usp=drivesdk</v>
      </c>
    </row>
    <row r="727">
      <c r="A727" s="3">
        <f>IFERROR(__xludf.DUMMYFUNCTION("""COMPUTED_VALUE"""),3215.0)</f>
        <v>3215</v>
      </c>
      <c r="B727" s="11">
        <f>IFERROR(__xludf.DUMMYFUNCTION("""COMPUTED_VALUE"""),46180.54292641204)</f>
        <v>46180.54293</v>
      </c>
      <c r="C727" s="3" t="str">
        <f>IFERROR(__xludf.DUMMYFUNCTION("""COMPUTED_VALUE"""),"ชั้นปีที่ 3")</f>
        <v>ชั้นปีที่ 3</v>
      </c>
      <c r="D727" s="3" t="str">
        <f>IFERROR(__xludf.DUMMYFUNCTION("""COMPUTED_VALUE"""),"6603756")</f>
        <v>6603756</v>
      </c>
      <c r="E727" s="3" t="str">
        <f>IFERROR(__xludf.DUMMYFUNCTION("""COMPUTED_VALUE"""),"3")</f>
        <v>3</v>
      </c>
      <c r="F727" s="3" t="str">
        <f>IFERROR(__xludf.DUMMYFUNCTION("""COMPUTED_VALUE"""),"นพอ.กันต์ฤทัย อินทรเทศ")</f>
        <v>นพอ.กันต์ฤทัย อินทรเทศ</v>
      </c>
      <c r="G727" s="3" t="str">
        <f>IFERROR(__xludf.DUMMYFUNCTION("""COMPUTED_VALUE"""),"ช่วยเหลืองานภายใน วพอ.")</f>
        <v>ช่วยเหลืองานภายใน วพอ.</v>
      </c>
      <c r="H72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27" s="3" t="str">
        <f>IFERROR(__xludf.DUMMYFUNCTION("""COMPUTED_VALUE"""),"วพอ.พอ.")</f>
        <v>วพอ.พอ.</v>
      </c>
      <c r="J727" s="12">
        <f>IFERROR(__xludf.DUMMYFUNCTION("""COMPUTED_VALUE"""),46138.0)</f>
        <v>46138</v>
      </c>
      <c r="K727" s="3" t="str">
        <f>IFERROR(__xludf.DUMMYFUNCTION("""COMPUTED_VALUE"""),"15:00-21:00")</f>
        <v>15:00-21:00</v>
      </c>
      <c r="L727" s="3">
        <f>IFERROR(__xludf.DUMMYFUNCTION("""COMPUTED_VALUE"""),6.0)</f>
        <v>6</v>
      </c>
      <c r="M727" s="3" t="str">
        <f>IFERROR(__xludf.DUMMYFUNCTION("""COMPUTED_VALUE"""),"ร.อ.อนุชิต ทำจะดี")</f>
        <v>ร.อ.อนุชิต ทำจะดี</v>
      </c>
      <c r="N727" s="14" t="str">
        <f>IFERROR(__xludf.DUMMYFUNCTION("""COMPUTED_VALUE"""),"https://lh5.googleusercontent.com/d/1wMVK0jnJkf9PX53wOCqdzrqUfEOWXfpW")</f>
        <v>https://lh5.googleusercontent.com/d/1wMVK0jnJkf9PX53wOCqdzrqUfEOWXfpW</v>
      </c>
      <c r="O727" s="14" t="str">
        <f>IFERROR(__xludf.DUMMYFUNCTION("""COMPUTED_VALUE"""),"https://drive.google.com/file/d/1BdPWVzkH6CaAAC1a0jftT-0QXgHyQ3W7/view?usp=drivesdk")</f>
        <v>https://drive.google.com/file/d/1BdPWVzkH6CaAAC1a0jftT-0QXgHyQ3W7/view?usp=drivesdk</v>
      </c>
    </row>
    <row r="728">
      <c r="A728" s="3">
        <f>IFERROR(__xludf.DUMMYFUNCTION("""COMPUTED_VALUE"""),3216.0)</f>
        <v>3216</v>
      </c>
      <c r="B728" s="11">
        <f>IFERROR(__xludf.DUMMYFUNCTION("""COMPUTED_VALUE"""),46180.545241990745)</f>
        <v>46180.54524</v>
      </c>
      <c r="C728" s="3" t="str">
        <f>IFERROR(__xludf.DUMMYFUNCTION("""COMPUTED_VALUE"""),"ชั้นปีที่ 3")</f>
        <v>ชั้นปีที่ 3</v>
      </c>
      <c r="D728" s="3" t="str">
        <f>IFERROR(__xludf.DUMMYFUNCTION("""COMPUTED_VALUE"""),"6603756")</f>
        <v>6603756</v>
      </c>
      <c r="E728" s="3" t="str">
        <f>IFERROR(__xludf.DUMMYFUNCTION("""COMPUTED_VALUE"""),"3")</f>
        <v>3</v>
      </c>
      <c r="F728" s="3" t="str">
        <f>IFERROR(__xludf.DUMMYFUNCTION("""COMPUTED_VALUE"""),"นพอ.กันต์ฤทัย อินทรเทศ")</f>
        <v>นพอ.กันต์ฤทัย อินทรเทศ</v>
      </c>
      <c r="G728" s="3" t="str">
        <f>IFERROR(__xludf.DUMMYFUNCTION("""COMPUTED_VALUE"""),"ช่วยเหลืองานภายใน วพอ.")</f>
        <v>ช่วยเหลืองานภายใน วพอ.</v>
      </c>
      <c r="H728" s="3" t="str">
        <f>IFERROR(__xludf.DUMMYFUNCTION("""COMPUTED_VALUE"""),"งานพิธีมอบหมวกพยาบาลวิชาชีพ ปีการศึกษา 2568")</f>
        <v>งานพิธีมอบหมวกพยาบาลวิชาชีพ ปีการศึกษา 2568</v>
      </c>
      <c r="I728" s="3" t="str">
        <f>IFERROR(__xludf.DUMMYFUNCTION("""COMPUTED_VALUE"""),"หอประชุมธูปะเตมีย์ รพ.ภูมิพลอดุลยเดช")</f>
        <v>หอประชุมธูปะเตมีย์ รพ.ภูมิพลอดุลยเดช</v>
      </c>
      <c r="J728" s="12">
        <f>IFERROR(__xludf.DUMMYFUNCTION("""COMPUTED_VALUE"""),46139.0)</f>
        <v>46139</v>
      </c>
      <c r="K728" s="3" t="str">
        <f>IFERROR(__xludf.DUMMYFUNCTION("""COMPUTED_VALUE"""),"17:00-21:00")</f>
        <v>17:00-21:00</v>
      </c>
      <c r="L728" s="3">
        <f>IFERROR(__xludf.DUMMYFUNCTION("""COMPUTED_VALUE"""),4.0)</f>
        <v>4</v>
      </c>
      <c r="M728" s="3" t="str">
        <f>IFERROR(__xludf.DUMMYFUNCTION("""COMPUTED_VALUE"""),"ร.อ.อนุชิต ทำจะดี")</f>
        <v>ร.อ.อนุชิต ทำจะดี</v>
      </c>
      <c r="N728" s="14" t="str">
        <f>IFERROR(__xludf.DUMMYFUNCTION("""COMPUTED_VALUE"""),"https://lh5.googleusercontent.com/d/1Rq7-1HEyP7yIhlzjK4o0OvOJX1HhgbYL")</f>
        <v>https://lh5.googleusercontent.com/d/1Rq7-1HEyP7yIhlzjK4o0OvOJX1HhgbYL</v>
      </c>
      <c r="O728" s="14" t="str">
        <f>IFERROR(__xludf.DUMMYFUNCTION("""COMPUTED_VALUE"""),"https://drive.google.com/file/d/1ZLuEBer-DpZe-hC81PBmt0OcJqO-fyqI/view?usp=drivesdk")</f>
        <v>https://drive.google.com/file/d/1ZLuEBer-DpZe-hC81PBmt0OcJqO-fyqI/view?usp=drivesdk</v>
      </c>
    </row>
    <row r="729">
      <c r="A729" s="3">
        <f>IFERROR(__xludf.DUMMYFUNCTION("""COMPUTED_VALUE"""),3217.0)</f>
        <v>3217</v>
      </c>
      <c r="B729" s="11">
        <f>IFERROR(__xludf.DUMMYFUNCTION("""COMPUTED_VALUE"""),46180.55664681713)</f>
        <v>46180.55665</v>
      </c>
      <c r="C729" s="3" t="str">
        <f>IFERROR(__xludf.DUMMYFUNCTION("""COMPUTED_VALUE"""),"ชั้นปีที่ 3")</f>
        <v>ชั้นปีที่ 3</v>
      </c>
      <c r="D729" s="3" t="str">
        <f>IFERROR(__xludf.DUMMYFUNCTION("""COMPUTED_VALUE"""),"6603754")</f>
        <v>6603754</v>
      </c>
      <c r="E729" s="3" t="str">
        <f>IFERROR(__xludf.DUMMYFUNCTION("""COMPUTED_VALUE"""),"1")</f>
        <v>1</v>
      </c>
      <c r="F729" s="3" t="str">
        <f>IFERROR(__xludf.DUMMYFUNCTION("""COMPUTED_VALUE"""),"นพอ.กรกนก วิไลลักษณ์")</f>
        <v>นพอ.กรกนก วิไลลักษณ์</v>
      </c>
      <c r="G729" s="3" t="str">
        <f>IFERROR(__xludf.DUMMYFUNCTION("""COMPUTED_VALUE"""),"ช่วยเหลืองานภายใน วพอ.")</f>
        <v>ช่วยเหลืองานภายใน วพอ.</v>
      </c>
      <c r="H729" s="3" t="str">
        <f>IFERROR(__xludf.DUMMYFUNCTION("""COMPUTED_VALUE"""),"ช่วยจัดห้อง มทด.")</f>
        <v>ช่วยจัดห้อง มทด.</v>
      </c>
      <c r="I729" s="3" t="str">
        <f>IFERROR(__xludf.DUMMYFUNCTION("""COMPUTED_VALUE"""),"วพอ.พอ.")</f>
        <v>วพอ.พอ.</v>
      </c>
      <c r="J729" s="12">
        <f>IFERROR(__xludf.DUMMYFUNCTION("""COMPUTED_VALUE"""),46153.0)</f>
        <v>46153</v>
      </c>
      <c r="K729" s="3" t="str">
        <f>IFERROR(__xludf.DUMMYFUNCTION("""COMPUTED_VALUE"""),"1100-1200")</f>
        <v>1100-1200</v>
      </c>
      <c r="L729" s="3">
        <f>IFERROR(__xludf.DUMMYFUNCTION("""COMPUTED_VALUE"""),1.0)</f>
        <v>1</v>
      </c>
      <c r="M729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729" s="14" t="str">
        <f>IFERROR(__xludf.DUMMYFUNCTION("""COMPUTED_VALUE"""),"https://lh5.googleusercontent.com/d/1J0wqRhl28CQNtuvmranpxnc6WwuOeYr7")</f>
        <v>https://lh5.googleusercontent.com/d/1J0wqRhl28CQNtuvmranpxnc6WwuOeYr7</v>
      </c>
      <c r="O729" s="14" t="str">
        <f>IFERROR(__xludf.DUMMYFUNCTION("""COMPUTED_VALUE"""),"https://drive.google.com/file/d/1YVgJA3ciRcS1LRAWLI_hwtyq-uamQUkI/view?usp=drivesdk")</f>
        <v>https://drive.google.com/file/d/1YVgJA3ciRcS1LRAWLI_hwtyq-uamQUkI/view?usp=drivesdk</v>
      </c>
    </row>
    <row r="730">
      <c r="A730" s="3">
        <f>IFERROR(__xludf.DUMMYFUNCTION("""COMPUTED_VALUE"""),3218.0)</f>
        <v>3218</v>
      </c>
      <c r="B730" s="11">
        <f>IFERROR(__xludf.DUMMYFUNCTION("""COMPUTED_VALUE"""),46180.559196180555)</f>
        <v>46180.5592</v>
      </c>
      <c r="C730" s="3" t="str">
        <f>IFERROR(__xludf.DUMMYFUNCTION("""COMPUTED_VALUE"""),"ชั้นปีที่ 3")</f>
        <v>ชั้นปีที่ 3</v>
      </c>
      <c r="D730" s="3" t="str">
        <f>IFERROR(__xludf.DUMMYFUNCTION("""COMPUTED_VALUE"""),"6603754")</f>
        <v>6603754</v>
      </c>
      <c r="E730" s="3" t="str">
        <f>IFERROR(__xludf.DUMMYFUNCTION("""COMPUTED_VALUE"""),"1")</f>
        <v>1</v>
      </c>
      <c r="F730" s="3" t="str">
        <f>IFERROR(__xludf.DUMMYFUNCTION("""COMPUTED_VALUE"""),"นพอ.กรกนก วิไลลักษณ์")</f>
        <v>นพอ.กรกนก วิไลลักษณ์</v>
      </c>
      <c r="G730" s="3" t="str">
        <f>IFERROR(__xludf.DUMMYFUNCTION("""COMPUTED_VALUE"""),"ช่วยเหลืองานภายใน วพอ.")</f>
        <v>ช่วยเหลืองานภายใน วพอ.</v>
      </c>
      <c r="H730" s="3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30" s="3" t="str">
        <f>IFERROR(__xludf.DUMMYFUNCTION("""COMPUTED_VALUE"""),"วพอ.พอ.")</f>
        <v>วพอ.พอ.</v>
      </c>
      <c r="J730" s="12">
        <f>IFERROR(__xludf.DUMMYFUNCTION("""COMPUTED_VALUE"""),46169.0)</f>
        <v>46169</v>
      </c>
      <c r="K730" s="3" t="str">
        <f>IFERROR(__xludf.DUMMYFUNCTION("""COMPUTED_VALUE"""),"1700-1900")</f>
        <v>1700-1900</v>
      </c>
      <c r="L730" s="3">
        <f>IFERROR(__xludf.DUMMYFUNCTION("""COMPUTED_VALUE"""),2.0)</f>
        <v>2</v>
      </c>
      <c r="M730" s="3" t="str">
        <f>IFERROR(__xludf.DUMMYFUNCTION("""COMPUTED_VALUE"""),"น.ต.หญิง เบญญาดา บุรีรัตน์")</f>
        <v>น.ต.หญิง เบญญาดา บุรีรัตน์</v>
      </c>
      <c r="N730" s="14" t="str">
        <f>IFERROR(__xludf.DUMMYFUNCTION("""COMPUTED_VALUE"""),"https://lh5.googleusercontent.com/d/1tpWXOEwpRBV7_MnQ2Ifx85GKjLgTMX0i")</f>
        <v>https://lh5.googleusercontent.com/d/1tpWXOEwpRBV7_MnQ2Ifx85GKjLgTMX0i</v>
      </c>
      <c r="O730" s="14" t="str">
        <f>IFERROR(__xludf.DUMMYFUNCTION("""COMPUTED_VALUE"""),"https://drive.google.com/file/d/1HoCfIyk8iDrHyqmcVC5PO28HNsLR_uc2/view?usp=drivesdk")</f>
        <v>https://drive.google.com/file/d/1HoCfIyk8iDrHyqmcVC5PO28HNsLR_uc2/view?usp=drivesdk</v>
      </c>
    </row>
    <row r="731">
      <c r="A731" s="3">
        <f>IFERROR(__xludf.DUMMYFUNCTION("""COMPUTED_VALUE"""),3219.0)</f>
        <v>3219</v>
      </c>
      <c r="B731" s="11">
        <f>IFERROR(__xludf.DUMMYFUNCTION("""COMPUTED_VALUE"""),46180.56247917823)</f>
        <v>46180.56248</v>
      </c>
      <c r="C731" s="3" t="str">
        <f>IFERROR(__xludf.DUMMYFUNCTION("""COMPUTED_VALUE"""),"ชั้นปีที่ 3")</f>
        <v>ชั้นปีที่ 3</v>
      </c>
      <c r="D731" s="3" t="str">
        <f>IFERROR(__xludf.DUMMYFUNCTION("""COMPUTED_VALUE"""),"6603754")</f>
        <v>6603754</v>
      </c>
      <c r="E731" s="3" t="str">
        <f>IFERROR(__xludf.DUMMYFUNCTION("""COMPUTED_VALUE"""),"1")</f>
        <v>1</v>
      </c>
      <c r="F731" s="3" t="str">
        <f>IFERROR(__xludf.DUMMYFUNCTION("""COMPUTED_VALUE"""),"นพอ.ดรกนก  วิไลลักษณ์")</f>
        <v>นพอ.ดรกนก  วิไลลักษณ์</v>
      </c>
      <c r="G731" s="3" t="str">
        <f>IFERROR(__xludf.DUMMYFUNCTION("""COMPUTED_VALUE"""),"ช่วยเหลืองานภายใน วพอ.")</f>
        <v>ช่วยเหลืองานภายใน วพอ.</v>
      </c>
      <c r="H731" s="3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31" s="3" t="str">
        <f>IFERROR(__xludf.DUMMYFUNCTION("""COMPUTED_VALUE"""),"วพอ.พอ.")</f>
        <v>วพอ.พอ.</v>
      </c>
      <c r="J731" s="12">
        <f>IFERROR(__xludf.DUMMYFUNCTION("""COMPUTED_VALUE"""),46176.0)</f>
        <v>46176</v>
      </c>
      <c r="K731" s="3" t="str">
        <f>IFERROR(__xludf.DUMMYFUNCTION("""COMPUTED_VALUE"""),"1700-1900")</f>
        <v>1700-1900</v>
      </c>
      <c r="L731" s="3">
        <f>IFERROR(__xludf.DUMMYFUNCTION("""COMPUTED_VALUE"""),2.0)</f>
        <v>2</v>
      </c>
      <c r="M731" s="3" t="str">
        <f>IFERROR(__xludf.DUMMYFUNCTION("""COMPUTED_VALUE"""),"น.ต.หญิง เบญญาดา บุรีรัตน์")</f>
        <v>น.ต.หญิง เบญญาดา บุรีรัตน์</v>
      </c>
      <c r="N731" s="14" t="str">
        <f>IFERROR(__xludf.DUMMYFUNCTION("""COMPUTED_VALUE"""),"https://lh5.googleusercontent.com/d/1kCIWYDBtH1ZrKKJQCk427c308Ye6nJIT")</f>
        <v>https://lh5.googleusercontent.com/d/1kCIWYDBtH1ZrKKJQCk427c308Ye6nJIT</v>
      </c>
      <c r="O731" s="14" t="str">
        <f>IFERROR(__xludf.DUMMYFUNCTION("""COMPUTED_VALUE"""),"https://drive.google.com/file/d/1kYdQalaaKloaP7q7DUPw-VfobiCb8suP/view?usp=drivesdk")</f>
        <v>https://drive.google.com/file/d/1kYdQalaaKloaP7q7DUPw-VfobiCb8suP/view?usp=drivesdk</v>
      </c>
    </row>
    <row r="732">
      <c r="A732" s="3">
        <f>IFERROR(__xludf.DUMMYFUNCTION("""COMPUTED_VALUE"""),3220.0)</f>
        <v>3220</v>
      </c>
      <c r="B732" s="11">
        <f>IFERROR(__xludf.DUMMYFUNCTION("""COMPUTED_VALUE"""),46180.56491800925)</f>
        <v>46180.56492</v>
      </c>
      <c r="C732" s="3" t="str">
        <f>IFERROR(__xludf.DUMMYFUNCTION("""COMPUTED_VALUE"""),"ชั้นปีที่ 3")</f>
        <v>ชั้นปีที่ 3</v>
      </c>
      <c r="D732" s="3" t="str">
        <f>IFERROR(__xludf.DUMMYFUNCTION("""COMPUTED_VALUE"""),"6603754")</f>
        <v>6603754</v>
      </c>
      <c r="E732" s="3" t="str">
        <f>IFERROR(__xludf.DUMMYFUNCTION("""COMPUTED_VALUE"""),"1")</f>
        <v>1</v>
      </c>
      <c r="F732" s="3" t="str">
        <f>IFERROR(__xludf.DUMMYFUNCTION("""COMPUTED_VALUE"""),"นพอ.กรกนก วิไลลักษณ์")</f>
        <v>นพอ.กรกนก วิไลลักษณ์</v>
      </c>
      <c r="G732" s="3" t="str">
        <f>IFERROR(__xludf.DUMMYFUNCTION("""COMPUTED_VALUE"""),"ช่วยเหลืองานภายใน วพอ.")</f>
        <v>ช่วยเหลืองานภายใน วพอ.</v>
      </c>
      <c r="H732" s="3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32" s="3" t="str">
        <f>IFERROR(__xludf.DUMMYFUNCTION("""COMPUTED_VALUE"""),"วพอ.พอ.")</f>
        <v>วพอ.พอ.</v>
      </c>
      <c r="J732" s="12">
        <f>IFERROR(__xludf.DUMMYFUNCTION("""COMPUTED_VALUE"""),46177.0)</f>
        <v>46177</v>
      </c>
      <c r="K732" s="3" t="str">
        <f>IFERROR(__xludf.DUMMYFUNCTION("""COMPUTED_VALUE"""),"1700-1900")</f>
        <v>1700-1900</v>
      </c>
      <c r="L732" s="3">
        <f>IFERROR(__xludf.DUMMYFUNCTION("""COMPUTED_VALUE"""),2.0)</f>
        <v>2</v>
      </c>
      <c r="M732" s="3" t="str">
        <f>IFERROR(__xludf.DUMMYFUNCTION("""COMPUTED_VALUE"""),"ร.อ.หญิง เบญญาดา บุรีรัตน์")</f>
        <v>ร.อ.หญิง เบญญาดา บุรีรัตน์</v>
      </c>
      <c r="N732" s="14" t="str">
        <f>IFERROR(__xludf.DUMMYFUNCTION("""COMPUTED_VALUE"""),"https://lh5.googleusercontent.com/d/1Jcvsx8HTEIU9AyaPf79IZXCHWCkkdt9g")</f>
        <v>https://lh5.googleusercontent.com/d/1Jcvsx8HTEIU9AyaPf79IZXCHWCkkdt9g</v>
      </c>
      <c r="O732" s="14" t="str">
        <f>IFERROR(__xludf.DUMMYFUNCTION("""COMPUTED_VALUE"""),"https://drive.google.com/file/d/1F9wpap_DbFTPNVKbURAjTNXwCmx0bJmF/view?usp=drivesdk")</f>
        <v>https://drive.google.com/file/d/1F9wpap_DbFTPNVKbURAjTNXwCmx0bJmF/view?usp=drivesdk</v>
      </c>
    </row>
    <row r="733">
      <c r="A733" s="3">
        <f>IFERROR(__xludf.DUMMYFUNCTION("""COMPUTED_VALUE"""),3221.0)</f>
        <v>3221</v>
      </c>
      <c r="B733" s="11">
        <f>IFERROR(__xludf.DUMMYFUNCTION("""COMPUTED_VALUE"""),46180.568668912034)</f>
        <v>46180.56867</v>
      </c>
      <c r="C733" s="3" t="str">
        <f>IFERROR(__xludf.DUMMYFUNCTION("""COMPUTED_VALUE"""),"ชั้นปีที่ 3")</f>
        <v>ชั้นปีที่ 3</v>
      </c>
      <c r="D733" s="3" t="str">
        <f>IFERROR(__xludf.DUMMYFUNCTION("""COMPUTED_VALUE"""),"6603754")</f>
        <v>6603754</v>
      </c>
      <c r="E733" s="3" t="str">
        <f>IFERROR(__xludf.DUMMYFUNCTION("""COMPUTED_VALUE"""),"1")</f>
        <v>1</v>
      </c>
      <c r="F733" s="3" t="str">
        <f>IFERROR(__xludf.DUMMYFUNCTION("""COMPUTED_VALUE"""),"นพอ.กรกนก  วิไลลักษณ์")</f>
        <v>นพอ.กรกนก  วิไลลักษณ์</v>
      </c>
      <c r="G733" s="3" t="str">
        <f>IFERROR(__xludf.DUMMYFUNCTION("""COMPUTED_VALUE"""),"ช่วยเหลืองานภายใน วพอ.")</f>
        <v>ช่วยเหลืองานภายใน วพอ.</v>
      </c>
      <c r="H733" s="3" t="str">
        <f>IFERROR(__xludf.DUMMYFUNCTION("""COMPUTED_VALUE"""),"จัดสภาพแวดล้อม วพอ.")</f>
        <v>จัดสภาพแวดล้อม วพอ.</v>
      </c>
      <c r="I733" s="3" t="str">
        <f>IFERROR(__xludf.DUMMYFUNCTION("""COMPUTED_VALUE"""),"วพอ.พอ.")</f>
        <v>วพอ.พอ.</v>
      </c>
      <c r="J733" s="12">
        <f>IFERROR(__xludf.DUMMYFUNCTION("""COMPUTED_VALUE"""),46177.0)</f>
        <v>46177</v>
      </c>
      <c r="K733" s="3" t="str">
        <f>IFERROR(__xludf.DUMMYFUNCTION("""COMPUTED_VALUE"""),"1300-1600")</f>
        <v>1300-1600</v>
      </c>
      <c r="L733" s="3">
        <f>IFERROR(__xludf.DUMMYFUNCTION("""COMPUTED_VALUE"""),3.0)</f>
        <v>3</v>
      </c>
      <c r="M733" s="3" t="str">
        <f>IFERROR(__xludf.DUMMYFUNCTION("""COMPUTED_VALUE"""),"น.อ.หญิง ผศ.นิตยา สุขแสน")</f>
        <v>น.อ.หญิง ผศ.นิตยา สุขแสน</v>
      </c>
      <c r="N733" s="14" t="str">
        <f>IFERROR(__xludf.DUMMYFUNCTION("""COMPUTED_VALUE"""),"https://lh5.googleusercontent.com/d/1DHjVkMBADJvDn_pxnILFwCgsr9QxhrKF")</f>
        <v>https://lh5.googleusercontent.com/d/1DHjVkMBADJvDn_pxnILFwCgsr9QxhrKF</v>
      </c>
      <c r="O733" s="14" t="str">
        <f>IFERROR(__xludf.DUMMYFUNCTION("""COMPUTED_VALUE"""),"https://drive.google.com/file/d/1GG_fz0ezf1Jr8Hxa3A_DmJ2Eg5DGBKdN/view?usp=drivesdk")</f>
        <v>https://drive.google.com/file/d/1GG_fz0ezf1Jr8Hxa3A_DmJ2Eg5DGBKdN/view?usp=drivesdk</v>
      </c>
    </row>
    <row r="734">
      <c r="A734" s="3">
        <f>IFERROR(__xludf.DUMMYFUNCTION("""COMPUTED_VALUE"""),3222.0)</f>
        <v>3222</v>
      </c>
      <c r="B734" s="11">
        <f>IFERROR(__xludf.DUMMYFUNCTION("""COMPUTED_VALUE"""),46180.57156165509)</f>
        <v>46180.57156</v>
      </c>
      <c r="C734" s="3" t="str">
        <f>IFERROR(__xludf.DUMMYFUNCTION("""COMPUTED_VALUE"""),"ชั้นปีที่ 3")</f>
        <v>ชั้นปีที่ 3</v>
      </c>
      <c r="D734" s="3" t="str">
        <f>IFERROR(__xludf.DUMMYFUNCTION("""COMPUTED_VALUE"""),"6603776")</f>
        <v>6603776</v>
      </c>
      <c r="E734" s="3" t="str">
        <f>IFERROR(__xludf.DUMMYFUNCTION("""COMPUTED_VALUE"""),"22")</f>
        <v>22</v>
      </c>
      <c r="F734" s="3" t="str">
        <f>IFERROR(__xludf.DUMMYFUNCTION("""COMPUTED_VALUE"""),"นพอ.นภชนก อัครวุฒิญาณ")</f>
        <v>นพอ.นภชนก อัครวุฒิญาณ</v>
      </c>
      <c r="G734" s="3" t="str">
        <f>IFERROR(__xludf.DUMMYFUNCTION("""COMPUTED_VALUE"""),"ช่วยเหลืองานภายใน วพอ.")</f>
        <v>ช่วยเหลืองานภายใน วพอ.</v>
      </c>
      <c r="H734" s="3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734" s="3" t="str">
        <f>IFERROR(__xludf.DUMMYFUNCTION("""COMPUTED_VALUE"""),"วิทยาลัยพยาบาลทหารอากาศ")</f>
        <v>วิทยาลัยพยาบาลทหารอากาศ</v>
      </c>
      <c r="J734" s="12">
        <f>IFERROR(__xludf.DUMMYFUNCTION("""COMPUTED_VALUE"""),46177.0)</f>
        <v>46177</v>
      </c>
      <c r="K734" s="3" t="str">
        <f>IFERROR(__xludf.DUMMYFUNCTION("""COMPUTED_VALUE"""),"1500")</f>
        <v>1500</v>
      </c>
      <c r="L734" s="3">
        <f>IFERROR(__xludf.DUMMYFUNCTION("""COMPUTED_VALUE"""),3.0)</f>
        <v>3</v>
      </c>
      <c r="M734" s="3" t="str">
        <f>IFERROR(__xludf.DUMMYFUNCTION("""COMPUTED_VALUE"""),"น.อ.หญิง.ผศ.นิตยา แสนสุข")</f>
        <v>น.อ.หญิง.ผศ.นิตยา แสนสุข</v>
      </c>
      <c r="N734" s="14" t="str">
        <f>IFERROR(__xludf.DUMMYFUNCTION("""COMPUTED_VALUE"""),"https://lh5.googleusercontent.com/d/1YB1Fo8Ac3HAufxavPCN1xmDLTEKplsG6")</f>
        <v>https://lh5.googleusercontent.com/d/1YB1Fo8Ac3HAufxavPCN1xmDLTEKplsG6</v>
      </c>
      <c r="O734" s="14" t="str">
        <f>IFERROR(__xludf.DUMMYFUNCTION("""COMPUTED_VALUE"""),"https://drive.google.com/file/d/11C4UH-0nf-EulmEEsxMXUQ-0nQUHM9yg/view?usp=drivesdk")</f>
        <v>https://drive.google.com/file/d/11C4UH-0nf-EulmEEsxMXUQ-0nQUHM9yg/view?usp=drivesdk</v>
      </c>
    </row>
    <row r="735">
      <c r="A735" s="3">
        <f>IFERROR(__xludf.DUMMYFUNCTION("""COMPUTED_VALUE"""),3223.0)</f>
        <v>3223</v>
      </c>
      <c r="B735" s="11">
        <f>IFERROR(__xludf.DUMMYFUNCTION("""COMPUTED_VALUE"""),46180.57301836805)</f>
        <v>46180.57302</v>
      </c>
      <c r="C735" s="3" t="str">
        <f>IFERROR(__xludf.DUMMYFUNCTION("""COMPUTED_VALUE"""),"ชั้นปีที่ 3")</f>
        <v>ชั้นปีที่ 3</v>
      </c>
      <c r="D735" s="3" t="str">
        <f>IFERROR(__xludf.DUMMYFUNCTION("""COMPUTED_VALUE"""),"6603779")</f>
        <v>6603779</v>
      </c>
      <c r="E735" s="3" t="str">
        <f>IFERROR(__xludf.DUMMYFUNCTION("""COMPUTED_VALUE"""),"25")</f>
        <v>25</v>
      </c>
      <c r="F735" s="3" t="str">
        <f>IFERROR(__xludf.DUMMYFUNCTION("""COMPUTED_VALUE"""),"นพอ.นันทิยา แก้วก่อง")</f>
        <v>นพอ.นันทิยา แก้วก่อง</v>
      </c>
      <c r="G73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35" s="3" t="str">
        <f>IFERROR(__xludf.DUMMYFUNCTION("""COMPUTED_VALUE"""),"บริจาคโลหิต")</f>
        <v>บริจาคโลหิต</v>
      </c>
      <c r="I735" s="3" t="str">
        <f>IFERROR(__xludf.DUMMYFUNCTION("""COMPUTED_VALUE"""),"ศูนย์บริจาคโลหิต จังหวัด ราชบุรี")</f>
        <v>ศูนย์บริจาคโลหิต จังหวัด ราชบุรี</v>
      </c>
      <c r="J735" s="12">
        <f>IFERROR(__xludf.DUMMYFUNCTION("""COMPUTED_VALUE"""),46024.0)</f>
        <v>46024</v>
      </c>
      <c r="K735" s="3" t="str">
        <f>IFERROR(__xludf.DUMMYFUNCTION("""COMPUTED_VALUE"""),"1300-1400")</f>
        <v>1300-1400</v>
      </c>
      <c r="L735" s="3">
        <f>IFERROR(__xludf.DUMMYFUNCTION("""COMPUTED_VALUE"""),8.0)</f>
        <v>8</v>
      </c>
      <c r="M735" s="3" t="str">
        <f>IFERROR(__xludf.DUMMYFUNCTION("""COMPUTED_VALUE"""),"นางจีรนันท์ แก้วก่อง")</f>
        <v>นางจีรนันท์ แก้วก่อง</v>
      </c>
      <c r="N735" s="14" t="str">
        <f>IFERROR(__xludf.DUMMYFUNCTION("""COMPUTED_VALUE"""),"https://lh5.googleusercontent.com/d/1VUdJBOCLDwLpCkat5kfEwhGgO_9l7H63")</f>
        <v>https://lh5.googleusercontent.com/d/1VUdJBOCLDwLpCkat5kfEwhGgO_9l7H63</v>
      </c>
      <c r="O735" s="14" t="str">
        <f>IFERROR(__xludf.DUMMYFUNCTION("""COMPUTED_VALUE"""),"https://drive.google.com/file/d/18hJzTuWMt6znRgIj6xB_eA4I1WmpxMWg/view?usp=drivesdk")</f>
        <v>https://drive.google.com/file/d/18hJzTuWMt6znRgIj6xB_eA4I1WmpxMWg/view?usp=drivesdk</v>
      </c>
    </row>
    <row r="736">
      <c r="A736" s="3">
        <f>IFERROR(__xludf.DUMMYFUNCTION("""COMPUTED_VALUE"""),3224.0)</f>
        <v>3224</v>
      </c>
      <c r="B736" s="11">
        <f>IFERROR(__xludf.DUMMYFUNCTION("""COMPUTED_VALUE"""),46180.598521851854)</f>
        <v>46180.59852</v>
      </c>
      <c r="C736" s="3" t="str">
        <f>IFERROR(__xludf.DUMMYFUNCTION("""COMPUTED_VALUE"""),"ชั้นปีที่ 3")</f>
        <v>ชั้นปีที่ 3</v>
      </c>
      <c r="D736" s="3" t="str">
        <f>IFERROR(__xludf.DUMMYFUNCTION("""COMPUTED_VALUE"""),"6603830")</f>
        <v>6603830</v>
      </c>
      <c r="E736" s="3" t="str">
        <f>IFERROR(__xludf.DUMMYFUNCTION("""COMPUTED_VALUE"""),"49")</f>
        <v>49</v>
      </c>
      <c r="F736" s="3" t="str">
        <f>IFERROR(__xludf.DUMMYFUNCTION("""COMPUTED_VALUE"""),"นพอ.ศิริพร คล้ายแก้ว")</f>
        <v>นพอ.ศิริพร คล้ายแก้ว</v>
      </c>
      <c r="G73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36" s="3" t="str">
        <f>IFERROR(__xludf.DUMMYFUNCTION("""COMPUTED_VALUE"""),"ช่วยทำแผล อุบัติเหตุรถจักรยานยนต์")</f>
        <v>ช่วยทำแผล อุบัติเหตุรถจักรยานยนต์</v>
      </c>
      <c r="I736" s="3" t="str">
        <f>IFERROR(__xludf.DUMMYFUNCTION("""COMPUTED_VALUE"""),"อ.นิคมพัฒนา จ.ระยอง")</f>
        <v>อ.นิคมพัฒนา จ.ระยอง</v>
      </c>
      <c r="J736" s="12">
        <f>IFERROR(__xludf.DUMMYFUNCTION("""COMPUTED_VALUE"""),46025.0)</f>
        <v>46025</v>
      </c>
      <c r="K736" s="3" t="str">
        <f>IFERROR(__xludf.DUMMYFUNCTION("""COMPUTED_VALUE"""),"1800-1900")</f>
        <v>1800-1900</v>
      </c>
      <c r="L736" s="3">
        <f>IFERROR(__xludf.DUMMYFUNCTION("""COMPUTED_VALUE"""),1.0)</f>
        <v>1</v>
      </c>
      <c r="M736" s="3" t="str">
        <f>IFERROR(__xludf.DUMMYFUNCTION("""COMPUTED_VALUE"""),"จ.ส.อ.ไพโรจน์ คล้ายแก้ว")</f>
        <v>จ.ส.อ.ไพโรจน์ คล้ายแก้ว</v>
      </c>
      <c r="N736" s="14" t="str">
        <f>IFERROR(__xludf.DUMMYFUNCTION("""COMPUTED_VALUE"""),"https://lh5.googleusercontent.com/d/1v4XZMPMJurEAAirDH1LUBBmefYfibrFM")</f>
        <v>https://lh5.googleusercontent.com/d/1v4XZMPMJurEAAirDH1LUBBmefYfibrFM</v>
      </c>
      <c r="O736" s="14" t="str">
        <f>IFERROR(__xludf.DUMMYFUNCTION("""COMPUTED_VALUE"""),"https://drive.google.com/file/d/1yFTUoxq47vpESKDjib-Y56M1S5CQ8P8M/view?usp=drivesdk")</f>
        <v>https://drive.google.com/file/d/1yFTUoxq47vpESKDjib-Y56M1S5CQ8P8M/view?usp=drivesdk</v>
      </c>
    </row>
    <row r="737">
      <c r="A737" s="3">
        <f>IFERROR(__xludf.DUMMYFUNCTION("""COMPUTED_VALUE"""),3225.0)</f>
        <v>3225</v>
      </c>
      <c r="B737" s="11">
        <f>IFERROR(__xludf.DUMMYFUNCTION("""COMPUTED_VALUE"""),46180.60188623842)</f>
        <v>46180.60189</v>
      </c>
      <c r="C737" s="3" t="str">
        <f>IFERROR(__xludf.DUMMYFUNCTION("""COMPUTED_VALUE"""),"ชั้นปีที่ 3")</f>
        <v>ชั้นปีที่ 3</v>
      </c>
      <c r="D737" s="3" t="str">
        <f>IFERROR(__xludf.DUMMYFUNCTION("""COMPUTED_VALUE"""),"6603803")</f>
        <v>6603803</v>
      </c>
      <c r="E737" s="3" t="str">
        <f>IFERROR(__xludf.DUMMYFUNCTION("""COMPUTED_VALUE"""),"49")</f>
        <v>49</v>
      </c>
      <c r="F737" s="3" t="str">
        <f>IFERROR(__xludf.DUMMYFUNCTION("""COMPUTED_VALUE"""),"นพอ.ศิริพร คล้ายแก้ว")</f>
        <v>นพอ.ศิริพร คล้ายแก้ว</v>
      </c>
      <c r="G737" s="3" t="str">
        <f>IFERROR(__xludf.DUMMYFUNCTION("""COMPUTED_VALUE"""),"งานฟรีทั่วไป")</f>
        <v>งานฟรีทั่วไป</v>
      </c>
      <c r="H737" s="3" t="str">
        <f>IFERROR(__xludf.DUMMYFUNCTION("""COMPUTED_VALUE"""),"เก็บขยะรอบอ่างเก็บน้ำระยะทาง 6 กิโลเมตร")</f>
        <v>เก็บขยะรอบอ่างเก็บน้ำระยะทาง 6 กิโลเมตร</v>
      </c>
      <c r="I737" s="3" t="str">
        <f>IFERROR(__xludf.DUMMYFUNCTION("""COMPUTED_VALUE"""),"อ่างเก็บน้ำดอกกราย จ.ระยอง")</f>
        <v>อ่างเก็บน้ำดอกกราย จ.ระยอง</v>
      </c>
      <c r="J737" s="12">
        <f>IFERROR(__xludf.DUMMYFUNCTION("""COMPUTED_VALUE"""),46025.0)</f>
        <v>46025</v>
      </c>
      <c r="K737" s="3" t="str">
        <f>IFERROR(__xludf.DUMMYFUNCTION("""COMPUTED_VALUE"""),"1500-1800")</f>
        <v>1500-1800</v>
      </c>
      <c r="L737" s="3">
        <f>IFERROR(__xludf.DUMMYFUNCTION("""COMPUTED_VALUE"""),3.0)</f>
        <v>3</v>
      </c>
      <c r="M737" s="3" t="str">
        <f>IFERROR(__xludf.DUMMYFUNCTION("""COMPUTED_VALUE"""),"นางจุรีรัช คล้ายแก้ว")</f>
        <v>นางจุรีรัช คล้ายแก้ว</v>
      </c>
      <c r="N737" s="14" t="str">
        <f>IFERROR(__xludf.DUMMYFUNCTION("""COMPUTED_VALUE"""),"https://lh5.googleusercontent.com/d/1HbjmUEQ4kLD-lZ0W_zlyKJkqb6CVuF7Q")</f>
        <v>https://lh5.googleusercontent.com/d/1HbjmUEQ4kLD-lZ0W_zlyKJkqb6CVuF7Q</v>
      </c>
      <c r="O737" s="14" t="str">
        <f>IFERROR(__xludf.DUMMYFUNCTION("""COMPUTED_VALUE"""),"https://drive.google.com/file/d/1Ht36vfhT336_c_FazUX1nSQ38s_9SCUq/view?usp=drivesdk")</f>
        <v>https://drive.google.com/file/d/1Ht36vfhT336_c_FazUX1nSQ38s_9SCUq/view?usp=drivesdk</v>
      </c>
    </row>
    <row r="738">
      <c r="A738" s="3">
        <f>IFERROR(__xludf.DUMMYFUNCTION("""COMPUTED_VALUE"""),3226.0)</f>
        <v>3226</v>
      </c>
      <c r="B738" s="11">
        <f>IFERROR(__xludf.DUMMYFUNCTION("""COMPUTED_VALUE"""),46180.60404900463)</f>
        <v>46180.60405</v>
      </c>
      <c r="C738" s="3" t="str">
        <f>IFERROR(__xludf.DUMMYFUNCTION("""COMPUTED_VALUE"""),"ชั้นปีที่ 3")</f>
        <v>ชั้นปีที่ 3</v>
      </c>
      <c r="D738" s="3" t="str">
        <f>IFERROR(__xludf.DUMMYFUNCTION("""COMPUTED_VALUE"""),"6603803")</f>
        <v>6603803</v>
      </c>
      <c r="E738" s="3" t="str">
        <f>IFERROR(__xludf.DUMMYFUNCTION("""COMPUTED_VALUE"""),"49")</f>
        <v>49</v>
      </c>
      <c r="F738" s="3" t="str">
        <f>IFERROR(__xludf.DUMMYFUNCTION("""COMPUTED_VALUE"""),"นพอ.ศิริพร คล้ายแก้ว")</f>
        <v>นพอ.ศิริพร คล้ายแก้ว</v>
      </c>
      <c r="G738" s="3" t="str">
        <f>IFERROR(__xludf.DUMMYFUNCTION("""COMPUTED_VALUE"""),"ทำนุบำรุงศาสนสถาน")</f>
        <v>ทำนุบำรุงศาสนสถาน</v>
      </c>
      <c r="H738" s="3" t="str">
        <f>IFERROR(__xludf.DUMMYFUNCTION("""COMPUTED_VALUE"""),"กวาดลานวัด")</f>
        <v>กวาดลานวัด</v>
      </c>
      <c r="I738" s="3" t="str">
        <f>IFERROR(__xludf.DUMMYFUNCTION("""COMPUTED_VALUE"""),"วัดมาบตอง จ.ระยอง")</f>
        <v>วัดมาบตอง จ.ระยอง</v>
      </c>
      <c r="J738" s="12">
        <f>IFERROR(__xludf.DUMMYFUNCTION("""COMPUTED_VALUE"""),46046.0)</f>
        <v>46046</v>
      </c>
      <c r="K738" s="3" t="str">
        <f>IFERROR(__xludf.DUMMYFUNCTION("""COMPUTED_VALUE"""),"0700-0800")</f>
        <v>0700-0800</v>
      </c>
      <c r="L738" s="3">
        <f>IFERROR(__xludf.DUMMYFUNCTION("""COMPUTED_VALUE"""),1.0)</f>
        <v>1</v>
      </c>
      <c r="M738" s="3" t="str">
        <f>IFERROR(__xludf.DUMMYFUNCTION("""COMPUTED_VALUE"""),"นางจุรีรัช คล้ายแก้ว")</f>
        <v>นางจุรีรัช คล้ายแก้ว</v>
      </c>
      <c r="N738" s="14" t="str">
        <f>IFERROR(__xludf.DUMMYFUNCTION("""COMPUTED_VALUE"""),"https://lh5.googleusercontent.com/d/14RxUPV4RZyGvzpFLNMfBLUw4ZWatu7YI")</f>
        <v>https://lh5.googleusercontent.com/d/14RxUPV4RZyGvzpFLNMfBLUw4ZWatu7YI</v>
      </c>
      <c r="O738" s="14" t="str">
        <f>IFERROR(__xludf.DUMMYFUNCTION("""COMPUTED_VALUE"""),"https://drive.google.com/file/d/12t_mccDxXheeaZkTYDToAa2EmO7b-qwI/view?usp=drivesdk")</f>
        <v>https://drive.google.com/file/d/12t_mccDxXheeaZkTYDToAa2EmO7b-qwI/view?usp=drivesdk</v>
      </c>
    </row>
    <row r="739">
      <c r="A739" s="3">
        <f>IFERROR(__xludf.DUMMYFUNCTION("""COMPUTED_VALUE"""),3227.0)</f>
        <v>3227</v>
      </c>
      <c r="B739" s="11">
        <f>IFERROR(__xludf.DUMMYFUNCTION("""COMPUTED_VALUE"""),46180.60613070602)</f>
        <v>46180.60613</v>
      </c>
      <c r="C739" s="3" t="str">
        <f>IFERROR(__xludf.DUMMYFUNCTION("""COMPUTED_VALUE"""),"ชั้นปีที่ 3")</f>
        <v>ชั้นปีที่ 3</v>
      </c>
      <c r="D739" s="3" t="str">
        <f>IFERROR(__xludf.DUMMYFUNCTION("""COMPUTED_VALUE"""),"6603803")</f>
        <v>6603803</v>
      </c>
      <c r="E739" s="3" t="str">
        <f>IFERROR(__xludf.DUMMYFUNCTION("""COMPUTED_VALUE"""),"49")</f>
        <v>49</v>
      </c>
      <c r="F739" s="3" t="str">
        <f>IFERROR(__xludf.DUMMYFUNCTION("""COMPUTED_VALUE"""),"นพอ.ศิริพร คล้ายแก้ว")</f>
        <v>นพอ.ศิริพร คล้ายแก้ว</v>
      </c>
      <c r="G739" s="3" t="str">
        <f>IFERROR(__xludf.DUMMYFUNCTION("""COMPUTED_VALUE"""),"ทำนุบำรุงศาสนสถาน")</f>
        <v>ทำนุบำรุงศาสนสถาน</v>
      </c>
      <c r="H739" s="3" t="str">
        <f>IFERROR(__xludf.DUMMYFUNCTION("""COMPUTED_VALUE"""),"กวาดลานวัด")</f>
        <v>กวาดลานวัด</v>
      </c>
      <c r="I739" s="3" t="str">
        <f>IFERROR(__xludf.DUMMYFUNCTION("""COMPUTED_VALUE"""),"วัดอัมพวนาราม จ.ชลบุรี")</f>
        <v>วัดอัมพวนาราม จ.ชลบุรี</v>
      </c>
      <c r="J739" s="12">
        <f>IFERROR(__xludf.DUMMYFUNCTION("""COMPUTED_VALUE"""),46125.0)</f>
        <v>46125</v>
      </c>
      <c r="K739" s="3" t="str">
        <f>IFERROR(__xludf.DUMMYFUNCTION("""COMPUTED_VALUE"""),"1000-1100")</f>
        <v>1000-1100</v>
      </c>
      <c r="L739" s="3">
        <f>IFERROR(__xludf.DUMMYFUNCTION("""COMPUTED_VALUE"""),1.0)</f>
        <v>1</v>
      </c>
      <c r="M739" s="3" t="str">
        <f>IFERROR(__xludf.DUMMYFUNCTION("""COMPUTED_VALUE"""),"นางจุรีรัช คล้ายแก้ว")</f>
        <v>นางจุรีรัช คล้ายแก้ว</v>
      </c>
      <c r="N739" s="14" t="str">
        <f>IFERROR(__xludf.DUMMYFUNCTION("""COMPUTED_VALUE"""),"https://lh5.googleusercontent.com/d/1ByBHdysIfUpBWtqHe5OdFti_DxRLgvPk")</f>
        <v>https://lh5.googleusercontent.com/d/1ByBHdysIfUpBWtqHe5OdFti_DxRLgvPk</v>
      </c>
      <c r="O739" s="14" t="str">
        <f>IFERROR(__xludf.DUMMYFUNCTION("""COMPUTED_VALUE"""),"https://drive.google.com/file/d/1XZOkkwn-vFpEUMtZg0qNgha8t_w0oxD9/view?usp=drivesdk")</f>
        <v>https://drive.google.com/file/d/1XZOkkwn-vFpEUMtZg0qNgha8t_w0oxD9/view?usp=drivesdk</v>
      </c>
    </row>
    <row r="740">
      <c r="A740" s="3">
        <f>IFERROR(__xludf.DUMMYFUNCTION("""COMPUTED_VALUE"""),3228.0)</f>
        <v>3228</v>
      </c>
      <c r="B740" s="11">
        <f>IFERROR(__xludf.DUMMYFUNCTION("""COMPUTED_VALUE"""),46180.6079334375)</f>
        <v>46180.60793</v>
      </c>
      <c r="C740" s="3" t="str">
        <f>IFERROR(__xludf.DUMMYFUNCTION("""COMPUTED_VALUE"""),"ชั้นปีที่ 3")</f>
        <v>ชั้นปีที่ 3</v>
      </c>
      <c r="D740" s="3" t="str">
        <f>IFERROR(__xludf.DUMMYFUNCTION("""COMPUTED_VALUE"""),"6603803")</f>
        <v>6603803</v>
      </c>
      <c r="E740" s="3" t="str">
        <f>IFERROR(__xludf.DUMMYFUNCTION("""COMPUTED_VALUE"""),"49")</f>
        <v>49</v>
      </c>
      <c r="F740" s="3" t="str">
        <f>IFERROR(__xludf.DUMMYFUNCTION("""COMPUTED_VALUE"""),"นพอ.ศิริพร คล้ายแก้ว")</f>
        <v>นพอ.ศิริพร คล้ายแก้ว</v>
      </c>
      <c r="G740" s="3" t="str">
        <f>IFERROR(__xludf.DUMMYFUNCTION("""COMPUTED_VALUE"""),"ทำนุบำรุงศาสนสถาน")</f>
        <v>ทำนุบำรุงศาสนสถาน</v>
      </c>
      <c r="H740" s="3" t="str">
        <f>IFERROR(__xludf.DUMMYFUNCTION("""COMPUTED_VALUE"""),"สรงน้ำพระพุทธรูป")</f>
        <v>สรงน้ำพระพุทธรูป</v>
      </c>
      <c r="I740" s="3" t="str">
        <f>IFERROR(__xludf.DUMMYFUNCTION("""COMPUTED_VALUE"""),"จ.ระยอง")</f>
        <v>จ.ระยอง</v>
      </c>
      <c r="J740" s="12">
        <f>IFERROR(__xludf.DUMMYFUNCTION("""COMPUTED_VALUE"""),46125.0)</f>
        <v>46125</v>
      </c>
      <c r="K740" s="3" t="str">
        <f>IFERROR(__xludf.DUMMYFUNCTION("""COMPUTED_VALUE"""),"0700-0800")</f>
        <v>0700-0800</v>
      </c>
      <c r="L740" s="3">
        <f>IFERROR(__xludf.DUMMYFUNCTION("""COMPUTED_VALUE"""),1.0)</f>
        <v>1</v>
      </c>
      <c r="M740" s="3" t="str">
        <f>IFERROR(__xludf.DUMMYFUNCTION("""COMPUTED_VALUE"""),"จ.ส.อ.ไพโรจน์ คล้ายแก้ว")</f>
        <v>จ.ส.อ.ไพโรจน์ คล้ายแก้ว</v>
      </c>
      <c r="N740" s="14" t="str">
        <f>IFERROR(__xludf.DUMMYFUNCTION("""COMPUTED_VALUE"""),"https://lh5.googleusercontent.com/d/1FmigK8S_9qp4xYV7FdF7DsBChJnt28_8")</f>
        <v>https://lh5.googleusercontent.com/d/1FmigK8S_9qp4xYV7FdF7DsBChJnt28_8</v>
      </c>
      <c r="O740" s="14" t="str">
        <f>IFERROR(__xludf.DUMMYFUNCTION("""COMPUTED_VALUE"""),"https://drive.google.com/file/d/1_93cE-Sd2RYQdEIMg6gV7ufbsRXqYn_G/view?usp=drivesdk")</f>
        <v>https://drive.google.com/file/d/1_93cE-Sd2RYQdEIMg6gV7ufbsRXqYn_G/view?usp=drivesdk</v>
      </c>
    </row>
    <row r="741">
      <c r="A741" s="3">
        <f>IFERROR(__xludf.DUMMYFUNCTION("""COMPUTED_VALUE"""),3229.0)</f>
        <v>3229</v>
      </c>
      <c r="B741" s="11">
        <f>IFERROR(__xludf.DUMMYFUNCTION("""COMPUTED_VALUE"""),46180.61474972223)</f>
        <v>46180.61475</v>
      </c>
      <c r="C741" s="3" t="str">
        <f>IFERROR(__xludf.DUMMYFUNCTION("""COMPUTED_VALUE"""),"ชั้นปีที่ 3")</f>
        <v>ชั้นปีที่ 3</v>
      </c>
      <c r="D741" s="3" t="str">
        <f>IFERROR(__xludf.DUMMYFUNCTION("""COMPUTED_VALUE"""),"6603803")</f>
        <v>6603803</v>
      </c>
      <c r="E741" s="3" t="str">
        <f>IFERROR(__xludf.DUMMYFUNCTION("""COMPUTED_VALUE"""),"49")</f>
        <v>49</v>
      </c>
      <c r="F741" s="3" t="str">
        <f>IFERROR(__xludf.DUMMYFUNCTION("""COMPUTED_VALUE"""),"นพอ.ศิริพร คล้ายแก้ว")</f>
        <v>นพอ.ศิริพร คล้ายแก้ว</v>
      </c>
      <c r="G741" s="3" t="str">
        <f>IFERROR(__xludf.DUMMYFUNCTION("""COMPUTED_VALUE"""),"ช่วยเหลืองานภายใน วพอ.")</f>
        <v>ช่วยเหลืองานภายใน วพอ.</v>
      </c>
      <c r="H741" s="3" t="str">
        <f>IFERROR(__xludf.DUMMYFUNCTION("""COMPUTED_VALUE"""),"ไถ่ชีวิตโคกระบือ ร่วมกับสโมสร Rotaract of Brgy Sta Cruz ของฟิลิปปินส์")</f>
        <v>ไถ่ชีวิตโคกระบือ ร่วมกับสโมสร Rotaract of Brgy Sta Cruz ของฟิลิปปินส์</v>
      </c>
      <c r="I741" s="3" t="str">
        <f>IFERROR(__xludf.DUMMYFUNCTION("""COMPUTED_VALUE"""),"โรงฆ่าสัตว์ เทศบาลเมืองปทุมธานี")</f>
        <v>โรงฆ่าสัตว์ เทศบาลเมืองปทุมธานี</v>
      </c>
      <c r="J741" s="12">
        <f>IFERROR(__xludf.DUMMYFUNCTION("""COMPUTED_VALUE"""),46159.0)</f>
        <v>46159</v>
      </c>
      <c r="K741" s="3" t="str">
        <f>IFERROR(__xludf.DUMMYFUNCTION("""COMPUTED_VALUE"""),"0800-1600")</f>
        <v>0800-1600</v>
      </c>
      <c r="L741" s="3">
        <f>IFERROR(__xludf.DUMMYFUNCTION("""COMPUTED_VALUE"""),8.0)</f>
        <v>8</v>
      </c>
      <c r="M74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41" s="14" t="str">
        <f>IFERROR(__xludf.DUMMYFUNCTION("""COMPUTED_VALUE"""),"https://lh5.googleusercontent.com/d/143cXZZjblTSksiIGGacG2loeUoB_9Hjr")</f>
        <v>https://lh5.googleusercontent.com/d/143cXZZjblTSksiIGGacG2loeUoB_9Hjr</v>
      </c>
      <c r="O741" s="14" t="str">
        <f>IFERROR(__xludf.DUMMYFUNCTION("""COMPUTED_VALUE"""),"https://drive.google.com/file/d/1fcYi47LhWb87o4GLUj3ovUet5kgQZXlQ/view?usp=drivesdk")</f>
        <v>https://drive.google.com/file/d/1fcYi47LhWb87o4GLUj3ovUet5kgQZXlQ/view?usp=drivesdk</v>
      </c>
    </row>
    <row r="742">
      <c r="A742" s="3">
        <f>IFERROR(__xludf.DUMMYFUNCTION("""COMPUTED_VALUE"""),3230.0)</f>
        <v>3230</v>
      </c>
      <c r="B742" s="11">
        <f>IFERROR(__xludf.DUMMYFUNCTION("""COMPUTED_VALUE"""),46180.61647366898)</f>
        <v>46180.61647</v>
      </c>
      <c r="C742" s="3" t="str">
        <f>IFERROR(__xludf.DUMMYFUNCTION("""COMPUTED_VALUE"""),"ชั้นปีที่ 3")</f>
        <v>ชั้นปีที่ 3</v>
      </c>
      <c r="D742" s="3" t="str">
        <f>IFERROR(__xludf.DUMMYFUNCTION("""COMPUTED_VALUE"""),"6603803")</f>
        <v>6603803</v>
      </c>
      <c r="E742" s="3" t="str">
        <f>IFERROR(__xludf.DUMMYFUNCTION("""COMPUTED_VALUE"""),"49")</f>
        <v>49</v>
      </c>
      <c r="F742" s="3" t="str">
        <f>IFERROR(__xludf.DUMMYFUNCTION("""COMPUTED_VALUE"""),"นพอ.ศิริพร คล้ายแก้ว")</f>
        <v>นพอ.ศิริพร คล้ายแก้ว</v>
      </c>
      <c r="G742" s="3" t="str">
        <f>IFERROR(__xludf.DUMMYFUNCTION("""COMPUTED_VALUE"""),"ช่วยเหลืองานภายใน วพอ.")</f>
        <v>ช่วยเหลืองานภายใน วพอ.</v>
      </c>
      <c r="H742" s="3" t="str">
        <f>IFERROR(__xludf.DUMMYFUNCTION("""COMPUTED_VALUE"""),"ขายเสื้อชมรมโรทาแรคท์")</f>
        <v>ขายเสื้อชมรมโรทาแรคท์</v>
      </c>
      <c r="I742" s="3" t="str">
        <f>IFERROR(__xludf.DUMMYFUNCTION("""COMPUTED_VALUE"""),"วพอ.พอ.")</f>
        <v>วพอ.พอ.</v>
      </c>
      <c r="J742" s="12">
        <f>IFERROR(__xludf.DUMMYFUNCTION("""COMPUTED_VALUE"""),46148.0)</f>
        <v>46148</v>
      </c>
      <c r="K742" s="3" t="str">
        <f>IFERROR(__xludf.DUMMYFUNCTION("""COMPUTED_VALUE"""),"0800-1200")</f>
        <v>0800-1200</v>
      </c>
      <c r="L742" s="3">
        <f>IFERROR(__xludf.DUMMYFUNCTION("""COMPUTED_VALUE"""),4.0)</f>
        <v>4</v>
      </c>
      <c r="M74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42" s="14" t="str">
        <f>IFERROR(__xludf.DUMMYFUNCTION("""COMPUTED_VALUE"""),"https://lh5.googleusercontent.com/d/1XaDaihtEjMO169i3A6jJCwBLAWOntUVl")</f>
        <v>https://lh5.googleusercontent.com/d/1XaDaihtEjMO169i3A6jJCwBLAWOntUVl</v>
      </c>
      <c r="O742" s="14" t="str">
        <f>IFERROR(__xludf.DUMMYFUNCTION("""COMPUTED_VALUE"""),"https://drive.google.com/file/d/1Afy-QaJCByaRgcfLXUUaVz0snYM_El9C/view?usp=drivesdk")</f>
        <v>https://drive.google.com/file/d/1Afy-QaJCByaRgcfLXUUaVz0snYM_El9C/view?usp=drivesdk</v>
      </c>
    </row>
    <row r="743">
      <c r="A743" s="3">
        <f>IFERROR(__xludf.DUMMYFUNCTION("""COMPUTED_VALUE"""),3231.0)</f>
        <v>3231</v>
      </c>
      <c r="B743" s="11">
        <f>IFERROR(__xludf.DUMMYFUNCTION("""COMPUTED_VALUE"""),46180.62010570602)</f>
        <v>46180.62011</v>
      </c>
      <c r="C743" s="3" t="str">
        <f>IFERROR(__xludf.DUMMYFUNCTION("""COMPUTED_VALUE"""),"ชั้นปีที่ 3")</f>
        <v>ชั้นปีที่ 3</v>
      </c>
      <c r="D743" s="3" t="str">
        <f>IFERROR(__xludf.DUMMYFUNCTION("""COMPUTED_VALUE"""),"6603803")</f>
        <v>6603803</v>
      </c>
      <c r="E743" s="3" t="str">
        <f>IFERROR(__xludf.DUMMYFUNCTION("""COMPUTED_VALUE"""),"49")</f>
        <v>49</v>
      </c>
      <c r="F743" s="3" t="str">
        <f>IFERROR(__xludf.DUMMYFUNCTION("""COMPUTED_VALUE"""),"นพอ.ศิริพร คล้ายแก้ว")</f>
        <v>นพอ.ศิริพร คล้ายแก้ว</v>
      </c>
      <c r="G74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43" s="3" t="str">
        <f>IFERROR(__xludf.DUMMYFUNCTION("""COMPUTED_VALUE"""),"ช่วยทำแผลอุบัติเหตุ")</f>
        <v>ช่วยทำแผลอุบัติเหตุ</v>
      </c>
      <c r="I743" s="3" t="str">
        <f>IFERROR(__xludf.DUMMYFUNCTION("""COMPUTED_VALUE"""),"อ.นิคมพัฒนา จ.ระยอง")</f>
        <v>อ.นิคมพัฒนา จ.ระยอง</v>
      </c>
      <c r="J743" s="12">
        <f>IFERROR(__xludf.DUMMYFUNCTION("""COMPUTED_VALUE"""),46025.0)</f>
        <v>46025</v>
      </c>
      <c r="K743" s="3" t="str">
        <f>IFERROR(__xludf.DUMMYFUNCTION("""COMPUTED_VALUE"""),"1800-2000")</f>
        <v>1800-2000</v>
      </c>
      <c r="L743" s="3">
        <f>IFERROR(__xludf.DUMMYFUNCTION("""COMPUTED_VALUE"""),2.0)</f>
        <v>2</v>
      </c>
      <c r="M743" s="3" t="str">
        <f>IFERROR(__xludf.DUMMYFUNCTION("""COMPUTED_VALUE"""),"จ.ส.อ.ไพโรจน์ คล้ายแก้ว")</f>
        <v>จ.ส.อ.ไพโรจน์ คล้ายแก้ว</v>
      </c>
      <c r="N743" s="14" t="str">
        <f>IFERROR(__xludf.DUMMYFUNCTION("""COMPUTED_VALUE"""),"https://lh5.googleusercontent.com/d/1FUcKBnSf5voqvm71GaCL_FzJfRuuiXfr")</f>
        <v>https://lh5.googleusercontent.com/d/1FUcKBnSf5voqvm71GaCL_FzJfRuuiXfr</v>
      </c>
      <c r="O743" s="14" t="str">
        <f>IFERROR(__xludf.DUMMYFUNCTION("""COMPUTED_VALUE"""),"https://drive.google.com/file/d/1NCR5lZ79amZEfU1OngROCh1JLOgLNkiX/view?usp=drivesdk")</f>
        <v>https://drive.google.com/file/d/1NCR5lZ79amZEfU1OngROCh1JLOgLNkiX/view?usp=drivesdk</v>
      </c>
    </row>
    <row r="744">
      <c r="A744" s="3">
        <f>IFERROR(__xludf.DUMMYFUNCTION("""COMPUTED_VALUE"""),3234.0)</f>
        <v>3234</v>
      </c>
      <c r="B744" s="11">
        <f>IFERROR(__xludf.DUMMYFUNCTION("""COMPUTED_VALUE"""),46180.69079194444)</f>
        <v>46180.69079</v>
      </c>
      <c r="C744" s="3" t="str">
        <f>IFERROR(__xludf.DUMMYFUNCTION("""COMPUTED_VALUE"""),"ชั้นปีที่ 3")</f>
        <v>ชั้นปีที่ 3</v>
      </c>
      <c r="D744" s="3" t="str">
        <f>IFERROR(__xludf.DUMMYFUNCTION("""COMPUTED_VALUE"""),"6603803")</f>
        <v>6603803</v>
      </c>
      <c r="E744" s="3" t="str">
        <f>IFERROR(__xludf.DUMMYFUNCTION("""COMPUTED_VALUE"""),"49")</f>
        <v>49</v>
      </c>
      <c r="F744" s="3" t="str">
        <f>IFERROR(__xludf.DUMMYFUNCTION("""COMPUTED_VALUE"""),"นพอ.ศิริพร คล้ายแก้ว")</f>
        <v>นพอ.ศิริพร คล้ายแก้ว</v>
      </c>
      <c r="G74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44" s="3" t="str">
        <f>IFERROR(__xludf.DUMMYFUNCTION("""COMPUTED_VALUE"""),"บริจาคเงินค่าอาหารช้าง")</f>
        <v>บริจาคเงินค่าอาหารช้าง</v>
      </c>
      <c r="I744" s="3" t="str">
        <f>IFERROR(__xludf.DUMMYFUNCTION("""COMPUTED_VALUE"""),"บ้านของช้าง จ.ชลบุรี")</f>
        <v>บ้านของช้าง จ.ชลบุรี</v>
      </c>
      <c r="J744" s="12">
        <f>IFERROR(__xludf.DUMMYFUNCTION("""COMPUTED_VALUE"""),46023.0)</f>
        <v>46023</v>
      </c>
      <c r="K744" s="3" t="str">
        <f>IFERROR(__xludf.DUMMYFUNCTION("""COMPUTED_VALUE"""),"1100-1200")</f>
        <v>1100-1200</v>
      </c>
      <c r="L744" s="3">
        <f>IFERROR(__xludf.DUMMYFUNCTION("""COMPUTED_VALUE"""),1.0)</f>
        <v>1</v>
      </c>
      <c r="M744" s="3" t="str">
        <f>IFERROR(__xludf.DUMMYFUNCTION("""COMPUTED_VALUE"""),"นางจุรีรัช คล้ายแก้ว")</f>
        <v>นางจุรีรัช คล้ายแก้ว</v>
      </c>
      <c r="N744" s="14" t="str">
        <f>IFERROR(__xludf.DUMMYFUNCTION("""COMPUTED_VALUE"""),"https://lh5.googleusercontent.com/d/1z-xNDLLC590QqJ5P7zdz4rYOA2ZhLthP")</f>
        <v>https://lh5.googleusercontent.com/d/1z-xNDLLC590QqJ5P7zdz4rYOA2ZhLthP</v>
      </c>
      <c r="O744" s="14" t="str">
        <f>IFERROR(__xludf.DUMMYFUNCTION("""COMPUTED_VALUE"""),"https://drive.google.com/file/d/1EEx0tC4XpBFeCiqzcXx5At-OtbLDHRbA/view?usp=drivesdk")</f>
        <v>https://drive.google.com/file/d/1EEx0tC4XpBFeCiqzcXx5At-OtbLDHRbA/view?usp=drivesdk</v>
      </c>
    </row>
    <row r="745">
      <c r="A745" s="3">
        <f>IFERROR(__xludf.DUMMYFUNCTION("""COMPUTED_VALUE"""),3238.0)</f>
        <v>3238</v>
      </c>
      <c r="B745" s="11">
        <f>IFERROR(__xludf.DUMMYFUNCTION("""COMPUTED_VALUE"""),46180.85804177083)</f>
        <v>46180.85804</v>
      </c>
      <c r="C745" s="3" t="str">
        <f>IFERROR(__xludf.DUMMYFUNCTION("""COMPUTED_VALUE"""),"ชั้นปีที่ 3")</f>
        <v>ชั้นปีที่ 3</v>
      </c>
      <c r="D745" s="3" t="str">
        <f>IFERROR(__xludf.DUMMYFUNCTION("""COMPUTED_VALUE"""),"6603785")</f>
        <v>6603785</v>
      </c>
      <c r="E745" s="3" t="str">
        <f>IFERROR(__xludf.DUMMYFUNCTION("""COMPUTED_VALUE"""),"31")</f>
        <v>31</v>
      </c>
      <c r="F745" s="3" t="str">
        <f>IFERROR(__xludf.DUMMYFUNCTION("""COMPUTED_VALUE"""),"นพอ.ประชาธิปไตย ปู่คาน")</f>
        <v>นพอ.ประชาธิปไตย ปู่คาน</v>
      </c>
      <c r="G7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45" s="3" t="str">
        <f>IFERROR(__xludf.DUMMYFUNCTION("""COMPUTED_VALUE"""),"ดูหนังการกุศล")</f>
        <v>ดูหนังการกุศล</v>
      </c>
      <c r="I745" s="3" t="str">
        <f>IFERROR(__xludf.DUMMYFUNCTION("""COMPUTED_VALUE"""),"เมเจอร์รัชโยธิน")</f>
        <v>เมเจอร์รัชโยธิน</v>
      </c>
      <c r="J745" s="12">
        <f>IFERROR(__xludf.DUMMYFUNCTION("""COMPUTED_VALUE"""),46011.0)</f>
        <v>46011</v>
      </c>
      <c r="K745" s="3" t="str">
        <f>IFERROR(__xludf.DUMMYFUNCTION("""COMPUTED_VALUE"""),"0800-1600")</f>
        <v>0800-1600</v>
      </c>
      <c r="L745" s="3">
        <f>IFERROR(__xludf.DUMMYFUNCTION("""COMPUTED_VALUE"""),8.0)</f>
        <v>8</v>
      </c>
      <c r="M74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45" s="14" t="str">
        <f>IFERROR(__xludf.DUMMYFUNCTION("""COMPUTED_VALUE"""),"https://lh5.googleusercontent.com/d/1IPw0Vzp9CFvTSkF6yiIub5lHL0LaIrdL")</f>
        <v>https://lh5.googleusercontent.com/d/1IPw0Vzp9CFvTSkF6yiIub5lHL0LaIrdL</v>
      </c>
      <c r="O745" s="14" t="str">
        <f>IFERROR(__xludf.DUMMYFUNCTION("""COMPUTED_VALUE"""),"https://drive.google.com/file/d/1F7JZDEb9Jy_yYFz9PbidE_un9Q74sYgA/view?usp=drivesdk")</f>
        <v>https://drive.google.com/file/d/1F7JZDEb9Jy_yYFz9PbidE_un9Q74sYgA/view?usp=drivesdk</v>
      </c>
    </row>
    <row r="746">
      <c r="A746" s="3">
        <f>IFERROR(__xludf.DUMMYFUNCTION("""COMPUTED_VALUE"""),3244.0)</f>
        <v>3244</v>
      </c>
      <c r="B746" s="11">
        <f>IFERROR(__xludf.DUMMYFUNCTION("""COMPUTED_VALUE"""),46180.88811295139)</f>
        <v>46180.88811</v>
      </c>
      <c r="C746" s="3" t="str">
        <f>IFERROR(__xludf.DUMMYFUNCTION("""COMPUTED_VALUE"""),"ชั้นปีที่ 3")</f>
        <v>ชั้นปีที่ 3</v>
      </c>
      <c r="D746" s="3" t="str">
        <f>IFERROR(__xludf.DUMMYFUNCTION("""COMPUTED_VALUE"""),"6603795")</f>
        <v>6603795</v>
      </c>
      <c r="E746" s="3" t="str">
        <f>IFERROR(__xludf.DUMMYFUNCTION("""COMPUTED_VALUE"""),"41")</f>
        <v>41</v>
      </c>
      <c r="F746" s="3" t="str">
        <f>IFERROR(__xludf.DUMMYFUNCTION("""COMPUTED_VALUE"""),"นพอ.พิทยาภรณ์ คำลือ")</f>
        <v>นพอ.พิทยาภรณ์ คำลือ</v>
      </c>
      <c r="G746" s="3" t="str">
        <f>IFERROR(__xludf.DUMMYFUNCTION("""COMPUTED_VALUE"""),"งานฟรีทั่วไป")</f>
        <v>งานฟรีทั่วไป</v>
      </c>
      <c r="H746" s="3" t="str">
        <f>IFERROR(__xludf.DUMMYFUNCTION("""COMPUTED_VALUE"""),"ถูบ้าน")</f>
        <v>ถูบ้าน</v>
      </c>
      <c r="I746" s="3" t="str">
        <f>IFERROR(__xludf.DUMMYFUNCTION("""COMPUTED_VALUE"""),"บ้าน")</f>
        <v>บ้าน</v>
      </c>
      <c r="J746" s="12">
        <f>IFERROR(__xludf.DUMMYFUNCTION("""COMPUTED_VALUE"""),46125.0)</f>
        <v>46125</v>
      </c>
      <c r="K746" s="3" t="str">
        <f>IFERROR(__xludf.DUMMYFUNCTION("""COMPUTED_VALUE"""),"0900")</f>
        <v>0900</v>
      </c>
      <c r="L746" s="3">
        <f>IFERROR(__xludf.DUMMYFUNCTION("""COMPUTED_VALUE"""),1.0)</f>
        <v>1</v>
      </c>
      <c r="M746" s="3" t="str">
        <f>IFERROR(__xludf.DUMMYFUNCTION("""COMPUTED_VALUE"""),"นางวิภารัตน์ คำลือ")</f>
        <v>นางวิภารัตน์ คำลือ</v>
      </c>
      <c r="N746" s="14" t="str">
        <f>IFERROR(__xludf.DUMMYFUNCTION("""COMPUTED_VALUE"""),"https://lh5.googleusercontent.com/d/17QgpKDm3dHXgC5YdJ2VG7lkkgYfd7sxy")</f>
        <v>https://lh5.googleusercontent.com/d/17QgpKDm3dHXgC5YdJ2VG7lkkgYfd7sxy</v>
      </c>
      <c r="O746" s="14" t="str">
        <f>IFERROR(__xludf.DUMMYFUNCTION("""COMPUTED_VALUE"""),"https://drive.google.com/file/d/1ndkEGdBCsNOB0yR7RL6KA8Yb8YH9fBwb/view?usp=drivesdk")</f>
        <v>https://drive.google.com/file/d/1ndkEGdBCsNOB0yR7RL6KA8Yb8YH9fBwb/view?usp=drivesdk</v>
      </c>
    </row>
    <row r="747">
      <c r="A747" s="3">
        <f>IFERROR(__xludf.DUMMYFUNCTION("""COMPUTED_VALUE"""),3245.0)</f>
        <v>3245</v>
      </c>
      <c r="B747" s="11">
        <f>IFERROR(__xludf.DUMMYFUNCTION("""COMPUTED_VALUE"""),46180.889127731476)</f>
        <v>46180.88913</v>
      </c>
      <c r="C747" s="3" t="str">
        <f>IFERROR(__xludf.DUMMYFUNCTION("""COMPUTED_VALUE"""),"ชั้นปีที่ 3")</f>
        <v>ชั้นปีที่ 3</v>
      </c>
      <c r="D747" s="3" t="str">
        <f>IFERROR(__xludf.DUMMYFUNCTION("""COMPUTED_VALUE"""),"6603810")</f>
        <v>6603810</v>
      </c>
      <c r="E747" s="3" t="str">
        <f>IFERROR(__xludf.DUMMYFUNCTION("""COMPUTED_VALUE"""),"56")</f>
        <v>56</v>
      </c>
      <c r="F747" s="3" t="str">
        <f>IFERROR(__xludf.DUMMYFUNCTION("""COMPUTED_VALUE"""),"นพอ.สุพิชชา โคตวงค์")</f>
        <v>นพอ.สุพิชชา โคตวงค์</v>
      </c>
      <c r="G747" s="3" t="str">
        <f>IFERROR(__xludf.DUMMYFUNCTION("""COMPUTED_VALUE"""),"ช่วยเหลืองานภายใน วพอ.")</f>
        <v>ช่วยเหลืองานภายใน วพอ.</v>
      </c>
      <c r="H74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47" s="3" t="str">
        <f>IFERROR(__xludf.DUMMYFUNCTION("""COMPUTED_VALUE"""),"วพอ.พอดี.")</f>
        <v>วพอ.พอดี.</v>
      </c>
      <c r="J747" s="12">
        <f>IFERROR(__xludf.DUMMYFUNCTION("""COMPUTED_VALUE"""),46133.0)</f>
        <v>46133</v>
      </c>
      <c r="K747" s="3" t="str">
        <f>IFERROR(__xludf.DUMMYFUNCTION("""COMPUTED_VALUE"""),"1700-2100")</f>
        <v>1700-2100</v>
      </c>
      <c r="L747" s="3">
        <f>IFERROR(__xludf.DUMMYFUNCTION("""COMPUTED_VALUE"""),4.0)</f>
        <v>4</v>
      </c>
      <c r="M747" s="3" t="str">
        <f>IFERROR(__xludf.DUMMYFUNCTION("""COMPUTED_VALUE"""),"ร.อ.อนุชิต ทำจะดี")</f>
        <v>ร.อ.อนุชิต ทำจะดี</v>
      </c>
      <c r="N747" s="14" t="str">
        <f>IFERROR(__xludf.DUMMYFUNCTION("""COMPUTED_VALUE"""),"https://lh5.googleusercontent.com/d/1V2cUPzTXU_SnLzr-ysBH3NzlxA28A7C4")</f>
        <v>https://lh5.googleusercontent.com/d/1V2cUPzTXU_SnLzr-ysBH3NzlxA28A7C4</v>
      </c>
      <c r="O747" s="14" t="str">
        <f>IFERROR(__xludf.DUMMYFUNCTION("""COMPUTED_VALUE"""),"https://drive.google.com/file/d/13cQ8ybeurI0nxSEmMYbwLhnMSH_f6lJT/view?usp=drivesdk")</f>
        <v>https://drive.google.com/file/d/13cQ8ybeurI0nxSEmMYbwLhnMSH_f6lJT/view?usp=drivesdk</v>
      </c>
    </row>
    <row r="748">
      <c r="A748" s="3">
        <f>IFERROR(__xludf.DUMMYFUNCTION("""COMPUTED_VALUE"""),3246.0)</f>
        <v>3246</v>
      </c>
      <c r="B748" s="11">
        <f>IFERROR(__xludf.DUMMYFUNCTION("""COMPUTED_VALUE"""),46180.89012369213)</f>
        <v>46180.89012</v>
      </c>
      <c r="C748" s="3" t="str">
        <f>IFERROR(__xludf.DUMMYFUNCTION("""COMPUTED_VALUE"""),"ชั้นปีที่ 3")</f>
        <v>ชั้นปีที่ 3</v>
      </c>
      <c r="D748" s="3" t="str">
        <f>IFERROR(__xludf.DUMMYFUNCTION("""COMPUTED_VALUE"""),"6603771")</f>
        <v>6603771</v>
      </c>
      <c r="E748" s="3" t="str">
        <f>IFERROR(__xludf.DUMMYFUNCTION("""COMPUTED_VALUE"""),"18")</f>
        <v>18</v>
      </c>
      <c r="F748" s="3" t="str">
        <f>IFERROR(__xludf.DUMMYFUNCTION("""COMPUTED_VALUE"""),"นพอ.ทวิกา สอิ้งแก้ว")</f>
        <v>นพอ.ทวิกา สอิ้งแก้ว</v>
      </c>
      <c r="G748" s="3" t="str">
        <f>IFERROR(__xludf.DUMMYFUNCTION("""COMPUTED_VALUE"""),"ช่วยเหลืองานภายใน วพอ.")</f>
        <v>ช่วยเหลืองานภายใน วพอ.</v>
      </c>
      <c r="H748" s="3" t="str">
        <f>IFERROR(__xludf.DUMMYFUNCTION("""COMPUTED_VALUE"""),"ไถ่ชีวิตโคกระบือ ร่วมกับสโมสร Rotaract of Brgy Sta Cruz ของฟิลิปปินส์")</f>
        <v>ไถ่ชีวิตโคกระบือ ร่วมกับสโมสร Rotaract of Brgy Sta Cruz ของฟิลิปปินส์</v>
      </c>
      <c r="I748" s="3" t="str">
        <f>IFERROR(__xludf.DUMMYFUNCTION("""COMPUTED_VALUE"""),"โรงฆ่าสัตว์ เทศบาลเมืองปทุมธานี")</f>
        <v>โรงฆ่าสัตว์ เทศบาลเมืองปทุมธานี</v>
      </c>
      <c r="J748" s="12">
        <f>IFERROR(__xludf.DUMMYFUNCTION("""COMPUTED_VALUE"""),46159.0)</f>
        <v>46159</v>
      </c>
      <c r="K748" s="3" t="str">
        <f>IFERROR(__xludf.DUMMYFUNCTION("""COMPUTED_VALUE"""),"0800-1600")</f>
        <v>0800-1600</v>
      </c>
      <c r="L748" s="3">
        <f>IFERROR(__xludf.DUMMYFUNCTION("""COMPUTED_VALUE"""),8.0)</f>
        <v>8</v>
      </c>
      <c r="M748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748" s="14" t="str">
        <f>IFERROR(__xludf.DUMMYFUNCTION("""COMPUTED_VALUE"""),"https://lh5.googleusercontent.com/d/1YJGCuZkHFZ5TDrPwwfp8zl2FGSCQp0rZ")</f>
        <v>https://lh5.googleusercontent.com/d/1YJGCuZkHFZ5TDrPwwfp8zl2FGSCQp0rZ</v>
      </c>
      <c r="O748" s="14" t="str">
        <f>IFERROR(__xludf.DUMMYFUNCTION("""COMPUTED_VALUE"""),"https://drive.google.com/file/d/1bPc_TqzUHyWcwVgJhyw17MIaOixOPhX7/view?usp=drivesdk")</f>
        <v>https://drive.google.com/file/d/1bPc_TqzUHyWcwVgJhyw17MIaOixOPhX7/view?usp=drivesdk</v>
      </c>
    </row>
    <row r="749">
      <c r="A749" s="3">
        <f>IFERROR(__xludf.DUMMYFUNCTION("""COMPUTED_VALUE"""),3248.0)</f>
        <v>3248</v>
      </c>
      <c r="B749" s="11">
        <f>IFERROR(__xludf.DUMMYFUNCTION("""COMPUTED_VALUE"""),46180.892363437495)</f>
        <v>46180.89236</v>
      </c>
      <c r="C749" s="3" t="str">
        <f>IFERROR(__xludf.DUMMYFUNCTION("""COMPUTED_VALUE"""),"ชั้นปีที่ 3")</f>
        <v>ชั้นปีที่ 3</v>
      </c>
      <c r="D749" s="3" t="str">
        <f>IFERROR(__xludf.DUMMYFUNCTION("""COMPUTED_VALUE"""),"6603771")</f>
        <v>6603771</v>
      </c>
      <c r="E749" s="3" t="str">
        <f>IFERROR(__xludf.DUMMYFUNCTION("""COMPUTED_VALUE"""),"18")</f>
        <v>18</v>
      </c>
      <c r="F749" s="3" t="str">
        <f>IFERROR(__xludf.DUMMYFUNCTION("""COMPUTED_VALUE"""),"นพอ.ทวิกา สอิ้งแก้ว")</f>
        <v>นพอ.ทวิกา สอิ้งแก้ว</v>
      </c>
      <c r="G749" s="3" t="str">
        <f>IFERROR(__xludf.DUMMYFUNCTION("""COMPUTED_VALUE"""),"ช่วยเหลืองานภายใน วพอ.")</f>
        <v>ช่วยเหลืองานภายใน วพอ.</v>
      </c>
      <c r="H749" s="3" t="str">
        <f>IFERROR(__xludf.DUMMYFUNCTION("""COMPUTED_VALUE"""),"ดูหนังการกุศล")</f>
        <v>ดูหนังการกุศล</v>
      </c>
      <c r="I749" s="3" t="str">
        <f>IFERROR(__xludf.DUMMYFUNCTION("""COMPUTED_VALUE"""),"โรงภาพยนตร์เมเจอร์รัชโยธิน")</f>
        <v>โรงภาพยนตร์เมเจอร์รัชโยธิน</v>
      </c>
      <c r="J749" s="12">
        <f>IFERROR(__xludf.DUMMYFUNCTION("""COMPUTED_VALUE"""),46011.0)</f>
        <v>46011</v>
      </c>
      <c r="K749" s="3" t="str">
        <f>IFERROR(__xludf.DUMMYFUNCTION("""COMPUTED_VALUE"""),"0800-1600")</f>
        <v>0800-1600</v>
      </c>
      <c r="L749" s="3">
        <f>IFERROR(__xludf.DUMMYFUNCTION("""COMPUTED_VALUE"""),8.0)</f>
        <v>8</v>
      </c>
      <c r="M74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49" s="14" t="str">
        <f>IFERROR(__xludf.DUMMYFUNCTION("""COMPUTED_VALUE"""),"https://lh5.googleusercontent.com/d/13-XCoFajQOiqkxOb5MtjNVSsXbTI39SW")</f>
        <v>https://lh5.googleusercontent.com/d/13-XCoFajQOiqkxOb5MtjNVSsXbTI39SW</v>
      </c>
      <c r="O749" s="14" t="str">
        <f>IFERROR(__xludf.DUMMYFUNCTION("""COMPUTED_VALUE"""),"https://drive.google.com/file/d/1MCU1qI7XcEqkNIAKtqIO3U_IvE3sp9SZ/view?usp=drivesdk")</f>
        <v>https://drive.google.com/file/d/1MCU1qI7XcEqkNIAKtqIO3U_IvE3sp9SZ/view?usp=drivesdk</v>
      </c>
    </row>
    <row r="750">
      <c r="A750" s="3">
        <f>IFERROR(__xludf.DUMMYFUNCTION("""COMPUTED_VALUE"""),3249.0)</f>
        <v>3249</v>
      </c>
      <c r="B750" s="11">
        <f>IFERROR(__xludf.DUMMYFUNCTION("""COMPUTED_VALUE"""),46180.90051332176)</f>
        <v>46180.90051</v>
      </c>
      <c r="C750" s="3" t="str">
        <f>IFERROR(__xludf.DUMMYFUNCTION("""COMPUTED_VALUE"""),"ชั้นปีที่ 3")</f>
        <v>ชั้นปีที่ 3</v>
      </c>
      <c r="D750" s="3" t="str">
        <f>IFERROR(__xludf.DUMMYFUNCTION("""COMPUTED_VALUE"""),"6603810")</f>
        <v>6603810</v>
      </c>
      <c r="E750" s="3" t="str">
        <f>IFERROR(__xludf.DUMMYFUNCTION("""COMPUTED_VALUE"""),"56")</f>
        <v>56</v>
      </c>
      <c r="F750" s="3" t="str">
        <f>IFERROR(__xludf.DUMMYFUNCTION("""COMPUTED_VALUE"""),"นพอ.สุพิชชา โคตวงค์")</f>
        <v>นพอ.สุพิชชา โคตวงค์</v>
      </c>
      <c r="G750" s="3" t="str">
        <f>IFERROR(__xludf.DUMMYFUNCTION("""COMPUTED_VALUE"""),"ช่วยเหลืองานภายใน วพอ.")</f>
        <v>ช่วยเหลืองานภายใน วพอ.</v>
      </c>
      <c r="H75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0" s="3" t="str">
        <f>IFERROR(__xludf.DUMMYFUNCTION("""COMPUTED_VALUE"""),"วพอ.พอ.")</f>
        <v>วพอ.พอ.</v>
      </c>
      <c r="J750" s="12">
        <f>IFERROR(__xludf.DUMMYFUNCTION("""COMPUTED_VALUE"""),46134.0)</f>
        <v>46134</v>
      </c>
      <c r="K750" s="3" t="str">
        <f>IFERROR(__xludf.DUMMYFUNCTION("""COMPUTED_VALUE"""),"1700-2100")</f>
        <v>1700-2100</v>
      </c>
      <c r="L750" s="3">
        <f>IFERROR(__xludf.DUMMYFUNCTION("""COMPUTED_VALUE"""),4.0)</f>
        <v>4</v>
      </c>
      <c r="M750" s="3" t="str">
        <f>IFERROR(__xludf.DUMMYFUNCTION("""COMPUTED_VALUE"""),"ร.อ.อนุชิต ทำจะดี")</f>
        <v>ร.อ.อนุชิต ทำจะดี</v>
      </c>
      <c r="N750" s="14" t="str">
        <f>IFERROR(__xludf.DUMMYFUNCTION("""COMPUTED_VALUE"""),"https://lh5.googleusercontent.com/d/1FT9EFdBQJo6dF3uaOGormYLjg11zmV1j")</f>
        <v>https://lh5.googleusercontent.com/d/1FT9EFdBQJo6dF3uaOGormYLjg11zmV1j</v>
      </c>
      <c r="O750" s="14" t="str">
        <f>IFERROR(__xludf.DUMMYFUNCTION("""COMPUTED_VALUE"""),"https://drive.google.com/file/d/1sj1ZLybk5VRD6CkzIV1MQL5tS6FtLL6y/view?usp=drivesdk")</f>
        <v>https://drive.google.com/file/d/1sj1ZLybk5VRD6CkzIV1MQL5tS6FtLL6y/view?usp=drivesdk</v>
      </c>
    </row>
    <row r="751">
      <c r="A751" s="3">
        <f>IFERROR(__xludf.DUMMYFUNCTION("""COMPUTED_VALUE"""),3250.0)</f>
        <v>3250</v>
      </c>
      <c r="B751" s="11">
        <f>IFERROR(__xludf.DUMMYFUNCTION("""COMPUTED_VALUE"""),46180.90200185185)</f>
        <v>46180.902</v>
      </c>
      <c r="C751" s="3" t="str">
        <f>IFERROR(__xludf.DUMMYFUNCTION("""COMPUTED_VALUE"""),"ชั้นปีที่ 3")</f>
        <v>ชั้นปีที่ 3</v>
      </c>
      <c r="D751" s="3" t="str">
        <f>IFERROR(__xludf.DUMMYFUNCTION("""COMPUTED_VALUE"""),"6603810")</f>
        <v>6603810</v>
      </c>
      <c r="E751" s="3" t="str">
        <f>IFERROR(__xludf.DUMMYFUNCTION("""COMPUTED_VALUE"""),"56")</f>
        <v>56</v>
      </c>
      <c r="F751" s="3" t="str">
        <f>IFERROR(__xludf.DUMMYFUNCTION("""COMPUTED_VALUE"""),"นพอ.สุพิชชา โคตวงค์")</f>
        <v>นพอ.สุพิชชา โคตวงค์</v>
      </c>
      <c r="G751" s="3" t="str">
        <f>IFERROR(__xludf.DUMMYFUNCTION("""COMPUTED_VALUE"""),"ช่วยเหลืองานภายใน วพอ.")</f>
        <v>ช่วยเหลืองานภายใน วพอ.</v>
      </c>
      <c r="H75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1" s="3" t="str">
        <f>IFERROR(__xludf.DUMMYFUNCTION("""COMPUTED_VALUE"""),"วพอ.พอ.")</f>
        <v>วพอ.พอ.</v>
      </c>
      <c r="J751" s="12">
        <f>IFERROR(__xludf.DUMMYFUNCTION("""COMPUTED_VALUE"""),46135.0)</f>
        <v>46135</v>
      </c>
      <c r="K751" s="3" t="str">
        <f>IFERROR(__xludf.DUMMYFUNCTION("""COMPUTED_VALUE"""),"1700-2100")</f>
        <v>1700-2100</v>
      </c>
      <c r="L751" s="3">
        <f>IFERROR(__xludf.DUMMYFUNCTION("""COMPUTED_VALUE"""),4.0)</f>
        <v>4</v>
      </c>
      <c r="M751" s="3" t="str">
        <f>IFERROR(__xludf.DUMMYFUNCTION("""COMPUTED_VALUE"""),"ร.อ.อนุชิต ทำจะดี")</f>
        <v>ร.อ.อนุชิต ทำจะดี</v>
      </c>
      <c r="N751" s="14" t="str">
        <f>IFERROR(__xludf.DUMMYFUNCTION("""COMPUTED_VALUE"""),"https://lh5.googleusercontent.com/d/19b3CGoIwyEG3Ll5fPITkvAEDBADQ5S2F")</f>
        <v>https://lh5.googleusercontent.com/d/19b3CGoIwyEG3Ll5fPITkvAEDBADQ5S2F</v>
      </c>
      <c r="O751" s="14" t="str">
        <f>IFERROR(__xludf.DUMMYFUNCTION("""COMPUTED_VALUE"""),"https://drive.google.com/file/d/1FpZOWMX6YflARDVVGGvPiL2EnZMFyINh/view?usp=drivesdk")</f>
        <v>https://drive.google.com/file/d/1FpZOWMX6YflARDVVGGvPiL2EnZMFyINh/view?usp=drivesdk</v>
      </c>
    </row>
    <row r="752">
      <c r="A752" s="3">
        <f>IFERROR(__xludf.DUMMYFUNCTION("""COMPUTED_VALUE"""),3252.0)</f>
        <v>3252</v>
      </c>
      <c r="B752" s="11">
        <f>IFERROR(__xludf.DUMMYFUNCTION("""COMPUTED_VALUE"""),46180.90495023148)</f>
        <v>46180.90495</v>
      </c>
      <c r="C752" s="3" t="str">
        <f>IFERROR(__xludf.DUMMYFUNCTION("""COMPUTED_VALUE"""),"ชั้นปีที่ 3")</f>
        <v>ชั้นปีที่ 3</v>
      </c>
      <c r="D752" s="3" t="str">
        <f>IFERROR(__xludf.DUMMYFUNCTION("""COMPUTED_VALUE"""),"6603810")</f>
        <v>6603810</v>
      </c>
      <c r="E752" s="3" t="str">
        <f>IFERROR(__xludf.DUMMYFUNCTION("""COMPUTED_VALUE"""),"56")</f>
        <v>56</v>
      </c>
      <c r="F752" s="3" t="str">
        <f>IFERROR(__xludf.DUMMYFUNCTION("""COMPUTED_VALUE"""),"นพอ.สุพิชชา โคตวงค์")</f>
        <v>นพอ.สุพิชชา โคตวงค์</v>
      </c>
      <c r="G752" s="3" t="str">
        <f>IFERROR(__xludf.DUMMYFUNCTION("""COMPUTED_VALUE"""),"ช่วยเหลืองานภายใน วพอ.")</f>
        <v>ช่วยเหลืองานภายใน วพอ.</v>
      </c>
      <c r="H75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2" s="3" t="str">
        <f>IFERROR(__xludf.DUMMYFUNCTION("""COMPUTED_VALUE"""),"วพอ.พอ.")</f>
        <v>วพอ.พอ.</v>
      </c>
      <c r="J752" s="12">
        <f>IFERROR(__xludf.DUMMYFUNCTION("""COMPUTED_VALUE"""),46138.0)</f>
        <v>46138</v>
      </c>
      <c r="K752" s="3" t="str">
        <f>IFERROR(__xludf.DUMMYFUNCTION("""COMPUTED_VALUE"""),"1500-2100")</f>
        <v>1500-2100</v>
      </c>
      <c r="L752" s="3">
        <f>IFERROR(__xludf.DUMMYFUNCTION("""COMPUTED_VALUE"""),6.0)</f>
        <v>6</v>
      </c>
      <c r="M752" s="3" t="str">
        <f>IFERROR(__xludf.DUMMYFUNCTION("""COMPUTED_VALUE"""),"ร.อ.อนุชิต ทำจะดี")</f>
        <v>ร.อ.อนุชิต ทำจะดี</v>
      </c>
      <c r="N752" s="14" t="str">
        <f>IFERROR(__xludf.DUMMYFUNCTION("""COMPUTED_VALUE"""),"https://lh5.googleusercontent.com/d/1O-lKknwJcUf8uIfqftApcaHwD5z_tGzt")</f>
        <v>https://lh5.googleusercontent.com/d/1O-lKknwJcUf8uIfqftApcaHwD5z_tGzt</v>
      </c>
      <c r="O752" s="14" t="str">
        <f>IFERROR(__xludf.DUMMYFUNCTION("""COMPUTED_VALUE"""),"https://drive.google.com/file/d/14lrEHE4sdHzS5o7KM4AX2jIfBbCUUWwG/view?usp=drivesdk")</f>
        <v>https://drive.google.com/file/d/14lrEHE4sdHzS5o7KM4AX2jIfBbCUUWwG/view?usp=drivesdk</v>
      </c>
    </row>
    <row r="753">
      <c r="A753" s="3">
        <f>IFERROR(__xludf.DUMMYFUNCTION("""COMPUTED_VALUE"""),3253.0)</f>
        <v>3253</v>
      </c>
      <c r="B753" s="11">
        <f>IFERROR(__xludf.DUMMYFUNCTION("""COMPUTED_VALUE"""),46180.90570400463)</f>
        <v>46180.9057</v>
      </c>
      <c r="C753" s="3" t="str">
        <f>IFERROR(__xludf.DUMMYFUNCTION("""COMPUTED_VALUE"""),"ชั้นปีที่ 3")</f>
        <v>ชั้นปีที่ 3</v>
      </c>
      <c r="D753" s="3" t="str">
        <f>IFERROR(__xludf.DUMMYFUNCTION("""COMPUTED_VALUE"""),"6603771")</f>
        <v>6603771</v>
      </c>
      <c r="E753" s="3" t="str">
        <f>IFERROR(__xludf.DUMMYFUNCTION("""COMPUTED_VALUE"""),"18")</f>
        <v>18</v>
      </c>
      <c r="F753" s="3" t="str">
        <f>IFERROR(__xludf.DUMMYFUNCTION("""COMPUTED_VALUE"""),"นพอ.ทวิกา สอิ้งแก้ว")</f>
        <v>นพอ.ทวิกา สอิ้งแก้ว</v>
      </c>
      <c r="G753" s="3" t="str">
        <f>IFERROR(__xludf.DUMMYFUNCTION("""COMPUTED_VALUE"""),"ช่วยเหลืองานภายใน วพอ.")</f>
        <v>ช่วยเหลืองานภายใน วพอ.</v>
      </c>
      <c r="H75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3" s="3" t="str">
        <f>IFERROR(__xludf.DUMMYFUNCTION("""COMPUTED_VALUE"""),"วพอ.พอ.")</f>
        <v>วพอ.พอ.</v>
      </c>
      <c r="J753" s="12">
        <f>IFERROR(__xludf.DUMMYFUNCTION("""COMPUTED_VALUE"""),46133.0)</f>
        <v>46133</v>
      </c>
      <c r="K753" s="3" t="str">
        <f>IFERROR(__xludf.DUMMYFUNCTION("""COMPUTED_VALUE"""),"1700-2100")</f>
        <v>1700-2100</v>
      </c>
      <c r="L753" s="3">
        <f>IFERROR(__xludf.DUMMYFUNCTION("""COMPUTED_VALUE"""),4.0)</f>
        <v>4</v>
      </c>
      <c r="M753" s="3" t="str">
        <f>IFERROR(__xludf.DUMMYFUNCTION("""COMPUTED_VALUE"""),"ร.อ.อนุชิต ทำจะดี")</f>
        <v>ร.อ.อนุชิต ทำจะดี</v>
      </c>
      <c r="N753" s="14" t="str">
        <f>IFERROR(__xludf.DUMMYFUNCTION("""COMPUTED_VALUE"""),"https://lh5.googleusercontent.com/d/12_r8MouoLAz39GrUa9XoBsKdTrOz2lrt")</f>
        <v>https://lh5.googleusercontent.com/d/12_r8MouoLAz39GrUa9XoBsKdTrOz2lrt</v>
      </c>
      <c r="O753" s="14" t="str">
        <f>IFERROR(__xludf.DUMMYFUNCTION("""COMPUTED_VALUE"""),"https://drive.google.com/file/d/1EMnS4Ok8JPD4dEUN2bz2y_ooIXqpQS9B/view?usp=drivesdk")</f>
        <v>https://drive.google.com/file/d/1EMnS4Ok8JPD4dEUN2bz2y_ooIXqpQS9B/view?usp=drivesdk</v>
      </c>
    </row>
    <row r="754">
      <c r="A754" s="3">
        <f>IFERROR(__xludf.DUMMYFUNCTION("""COMPUTED_VALUE"""),3254.0)</f>
        <v>3254</v>
      </c>
      <c r="B754" s="11">
        <f>IFERROR(__xludf.DUMMYFUNCTION("""COMPUTED_VALUE"""),46180.90647488426)</f>
        <v>46180.90647</v>
      </c>
      <c r="C754" s="3" t="str">
        <f>IFERROR(__xludf.DUMMYFUNCTION("""COMPUTED_VALUE"""),"ชั้นปีที่ 3")</f>
        <v>ชั้นปีที่ 3</v>
      </c>
      <c r="D754" s="3" t="str">
        <f>IFERROR(__xludf.DUMMYFUNCTION("""COMPUTED_VALUE"""),"6603810")</f>
        <v>6603810</v>
      </c>
      <c r="E754" s="3" t="str">
        <f>IFERROR(__xludf.DUMMYFUNCTION("""COMPUTED_VALUE"""),"56")</f>
        <v>56</v>
      </c>
      <c r="F754" s="3" t="str">
        <f>IFERROR(__xludf.DUMMYFUNCTION("""COMPUTED_VALUE"""),"นพอ.สุพิชชา โคตวงค์")</f>
        <v>นพอ.สุพิชชา โคตวงค์</v>
      </c>
      <c r="G754" s="3" t="str">
        <f>IFERROR(__xludf.DUMMYFUNCTION("""COMPUTED_VALUE"""),"ช่วยเหลืองานภายใน วพอ.")</f>
        <v>ช่วยเหลืองานภายใน วพอ.</v>
      </c>
      <c r="H75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4" s="3" t="str">
        <f>IFERROR(__xludf.DUMMYFUNCTION("""COMPUTED_VALUE"""),"หอประชุมธูปะเตมีย์")</f>
        <v>หอประชุมธูปะเตมีย์</v>
      </c>
      <c r="J754" s="12">
        <f>IFERROR(__xludf.DUMMYFUNCTION("""COMPUTED_VALUE"""),46139.0)</f>
        <v>46139</v>
      </c>
      <c r="K754" s="3" t="str">
        <f>IFERROR(__xludf.DUMMYFUNCTION("""COMPUTED_VALUE"""),"1700-2100")</f>
        <v>1700-2100</v>
      </c>
      <c r="L754" s="3">
        <f>IFERROR(__xludf.DUMMYFUNCTION("""COMPUTED_VALUE"""),4.0)</f>
        <v>4</v>
      </c>
      <c r="M754" s="3" t="str">
        <f>IFERROR(__xludf.DUMMYFUNCTION("""COMPUTED_VALUE"""),"ร.อ.อนุชิต ทำจะดี")</f>
        <v>ร.อ.อนุชิต ทำจะดี</v>
      </c>
      <c r="N754" s="14" t="str">
        <f>IFERROR(__xludf.DUMMYFUNCTION("""COMPUTED_VALUE"""),"https://lh5.googleusercontent.com/d/1LZ5SEZ9CqJvOQlm271sGX-bhKVlNboNh")</f>
        <v>https://lh5.googleusercontent.com/d/1LZ5SEZ9CqJvOQlm271sGX-bhKVlNboNh</v>
      </c>
      <c r="O754" s="14" t="str">
        <f>IFERROR(__xludf.DUMMYFUNCTION("""COMPUTED_VALUE"""),"https://drive.google.com/file/d/19FDcrW-64E_DU1PVzFh56D-wWB81KRxU/view?usp=drivesdk")</f>
        <v>https://drive.google.com/file/d/19FDcrW-64E_DU1PVzFh56D-wWB81KRxU/view?usp=drivesdk</v>
      </c>
    </row>
    <row r="755">
      <c r="A755" s="3">
        <f>IFERROR(__xludf.DUMMYFUNCTION("""COMPUTED_VALUE"""),3257.0)</f>
        <v>3257</v>
      </c>
      <c r="B755" s="11">
        <f>IFERROR(__xludf.DUMMYFUNCTION("""COMPUTED_VALUE"""),46180.93456148148)</f>
        <v>46180.93456</v>
      </c>
      <c r="C755" s="3" t="str">
        <f>IFERROR(__xludf.DUMMYFUNCTION("""COMPUTED_VALUE"""),"ชั้นปีที่ 3")</f>
        <v>ชั้นปีที่ 3</v>
      </c>
      <c r="D755" s="3" t="str">
        <f>IFERROR(__xludf.DUMMYFUNCTION("""COMPUTED_VALUE"""),"6603811")</f>
        <v>6603811</v>
      </c>
      <c r="E755" s="3" t="str">
        <f>IFERROR(__xludf.DUMMYFUNCTION("""COMPUTED_VALUE"""),"57")</f>
        <v>57</v>
      </c>
      <c r="F755" s="3" t="str">
        <f>IFERROR(__xludf.DUMMYFUNCTION("""COMPUTED_VALUE"""),"นพอ.สุภานัน ธรรมรักษา")</f>
        <v>นพอ.สุภานัน ธรรมรักษา</v>
      </c>
      <c r="G755" s="3" t="str">
        <f>IFERROR(__xludf.DUMMYFUNCTION("""COMPUTED_VALUE"""),"ช่วยเหลืองานภายใน วพอ.")</f>
        <v>ช่วยเหลืองานภายใน วพอ.</v>
      </c>
      <c r="H755" s="3" t="str">
        <f>IFERROR(__xludf.DUMMYFUNCTION("""COMPUTED_VALUE"""),"ทกท.")</f>
        <v>ทกท.</v>
      </c>
      <c r="I755" s="3" t="str">
        <f>IFERROR(__xludf.DUMMYFUNCTION("""COMPUTED_VALUE"""),"วพอ.พอ.")</f>
        <v>วพอ.พอ.</v>
      </c>
      <c r="J755" s="12">
        <f>IFERROR(__xludf.DUMMYFUNCTION("""COMPUTED_VALUE"""),46097.0)</f>
        <v>46097</v>
      </c>
      <c r="K755" s="3" t="str">
        <f>IFERROR(__xludf.DUMMYFUNCTION("""COMPUTED_VALUE"""),"0800-1600")</f>
        <v>0800-1600</v>
      </c>
      <c r="L755" s="3">
        <f>IFERROR(__xludf.DUMMYFUNCTION("""COMPUTED_VALUE"""),8.0)</f>
        <v>8</v>
      </c>
      <c r="M755" s="3" t="str">
        <f>IFERROR(__xludf.DUMMYFUNCTION("""COMPUTED_VALUE"""),"ร.อ.อนุชิต ทำจะดี")</f>
        <v>ร.อ.อนุชิต ทำจะดี</v>
      </c>
      <c r="N755" s="14" t="str">
        <f>IFERROR(__xludf.DUMMYFUNCTION("""COMPUTED_VALUE"""),"https://lh5.googleusercontent.com/d/1FNsO6oDyHWRoUJEcKR-S4BS40BF6jl6_")</f>
        <v>https://lh5.googleusercontent.com/d/1FNsO6oDyHWRoUJEcKR-S4BS40BF6jl6_</v>
      </c>
      <c r="O755" s="14" t="str">
        <f>IFERROR(__xludf.DUMMYFUNCTION("""COMPUTED_VALUE"""),"https://drive.google.com/file/d/19NRE2_spCCK0BJMkz2xAVaVDXD9W0MiZ/view?usp=drivesdk")</f>
        <v>https://drive.google.com/file/d/19NRE2_spCCK0BJMkz2xAVaVDXD9W0MiZ/view?usp=drivesdk</v>
      </c>
    </row>
    <row r="756">
      <c r="A756" s="3">
        <f>IFERROR(__xludf.DUMMYFUNCTION("""COMPUTED_VALUE"""),3260.0)</f>
        <v>3260</v>
      </c>
      <c r="B756" s="11">
        <f>IFERROR(__xludf.DUMMYFUNCTION("""COMPUTED_VALUE"""),46180.93687521991)</f>
        <v>46180.93688</v>
      </c>
      <c r="C756" s="3" t="str">
        <f>IFERROR(__xludf.DUMMYFUNCTION("""COMPUTED_VALUE"""),"ชั้นปีที่ 3")</f>
        <v>ชั้นปีที่ 3</v>
      </c>
      <c r="D756" s="3" t="str">
        <f>IFERROR(__xludf.DUMMYFUNCTION("""COMPUTED_VALUE"""),"6603811")</f>
        <v>6603811</v>
      </c>
      <c r="E756" s="3" t="str">
        <f>IFERROR(__xludf.DUMMYFUNCTION("""COMPUTED_VALUE"""),"57")</f>
        <v>57</v>
      </c>
      <c r="F756" s="3" t="str">
        <f>IFERROR(__xludf.DUMMYFUNCTION("""COMPUTED_VALUE"""),"นพอ.สุภานัน ธรรมรักษา")</f>
        <v>นพอ.สุภานัน ธรรมรักษา</v>
      </c>
      <c r="G756" s="3" t="str">
        <f>IFERROR(__xludf.DUMMYFUNCTION("""COMPUTED_VALUE"""),"ช่วยเหลืองานภายใน วพอ.")</f>
        <v>ช่วยเหลืองานภายใน วพอ.</v>
      </c>
      <c r="H756" s="3" t="str">
        <f>IFERROR(__xludf.DUMMYFUNCTION("""COMPUTED_VALUE"""),"ทกท.")</f>
        <v>ทกท.</v>
      </c>
      <c r="I756" s="3" t="str">
        <f>IFERROR(__xludf.DUMMYFUNCTION("""COMPUTED_VALUE"""),"วพอ.พอ.")</f>
        <v>วพอ.พอ.</v>
      </c>
      <c r="J756" s="12">
        <f>IFERROR(__xludf.DUMMYFUNCTION("""COMPUTED_VALUE"""),46133.0)</f>
        <v>46133</v>
      </c>
      <c r="K756" s="3" t="str">
        <f>IFERROR(__xludf.DUMMYFUNCTION("""COMPUTED_VALUE"""),"0800-1200")</f>
        <v>0800-1200</v>
      </c>
      <c r="L756" s="3">
        <f>IFERROR(__xludf.DUMMYFUNCTION("""COMPUTED_VALUE"""),4.0)</f>
        <v>4</v>
      </c>
      <c r="M756" s="3" t="str">
        <f>IFERROR(__xludf.DUMMYFUNCTION("""COMPUTED_VALUE"""),"ร.อ.อนุชิต ทำจะดี")</f>
        <v>ร.อ.อนุชิต ทำจะดี</v>
      </c>
      <c r="N756" s="14" t="str">
        <f>IFERROR(__xludf.DUMMYFUNCTION("""COMPUTED_VALUE"""),"https://lh5.googleusercontent.com/d/1jhEjxKcKu5b7eWN6G5QhNmbfU1ToynzW")</f>
        <v>https://lh5.googleusercontent.com/d/1jhEjxKcKu5b7eWN6G5QhNmbfU1ToynzW</v>
      </c>
      <c r="O756" s="14" t="str">
        <f>IFERROR(__xludf.DUMMYFUNCTION("""COMPUTED_VALUE"""),"https://drive.google.com/file/d/1ET4HkuoWZ37zxiRxxrA1kyFI-5a-vtPN/view?usp=drivesdk")</f>
        <v>https://drive.google.com/file/d/1ET4HkuoWZ37zxiRxxrA1kyFI-5a-vtPN/view?usp=drivesdk</v>
      </c>
    </row>
    <row r="757">
      <c r="A757" s="3">
        <f>IFERROR(__xludf.DUMMYFUNCTION("""COMPUTED_VALUE"""),3261.0)</f>
        <v>3261</v>
      </c>
      <c r="B757" s="11">
        <f>IFERROR(__xludf.DUMMYFUNCTION("""COMPUTED_VALUE"""),46180.93780118055)</f>
        <v>46180.9378</v>
      </c>
      <c r="C757" s="3" t="str">
        <f>IFERROR(__xludf.DUMMYFUNCTION("""COMPUTED_VALUE"""),"ชั้นปีที่ 3")</f>
        <v>ชั้นปีที่ 3</v>
      </c>
      <c r="D757" s="3" t="str">
        <f>IFERROR(__xludf.DUMMYFUNCTION("""COMPUTED_VALUE"""),"6603811")</f>
        <v>6603811</v>
      </c>
      <c r="E757" s="3" t="str">
        <f>IFERROR(__xludf.DUMMYFUNCTION("""COMPUTED_VALUE"""),"57")</f>
        <v>57</v>
      </c>
      <c r="F757" s="3" t="str">
        <f>IFERROR(__xludf.DUMMYFUNCTION("""COMPUTED_VALUE"""),"นพอ.สุภานัน ธรรมรักษา")</f>
        <v>นพอ.สุภานัน ธรรมรักษา</v>
      </c>
      <c r="G757" s="3" t="str">
        <f>IFERROR(__xludf.DUMMYFUNCTION("""COMPUTED_VALUE"""),"ช่วยเหลืองานภายใน วพอ.")</f>
        <v>ช่วยเหลืองานภายใน วพอ.</v>
      </c>
      <c r="H757" s="3" t="str">
        <f>IFERROR(__xludf.DUMMYFUNCTION("""COMPUTED_VALUE"""),"ทกท.")</f>
        <v>ทกท.</v>
      </c>
      <c r="I757" s="3" t="str">
        <f>IFERROR(__xludf.DUMMYFUNCTION("""COMPUTED_VALUE"""),"วพอ.พอ.")</f>
        <v>วพอ.พอ.</v>
      </c>
      <c r="J757" s="12">
        <f>IFERROR(__xludf.DUMMYFUNCTION("""COMPUTED_VALUE"""),46122.0)</f>
        <v>46122</v>
      </c>
      <c r="K757" s="3" t="str">
        <f>IFERROR(__xludf.DUMMYFUNCTION("""COMPUTED_VALUE"""),"0800-1200")</f>
        <v>0800-1200</v>
      </c>
      <c r="L757" s="3">
        <f>IFERROR(__xludf.DUMMYFUNCTION("""COMPUTED_VALUE"""),8.0)</f>
        <v>8</v>
      </c>
      <c r="M757" s="3" t="str">
        <f>IFERROR(__xludf.DUMMYFUNCTION("""COMPUTED_VALUE"""),"ร.อ.อนุชิต ทำจะดี")</f>
        <v>ร.อ.อนุชิต ทำจะดี</v>
      </c>
      <c r="N757" s="14" t="str">
        <f>IFERROR(__xludf.DUMMYFUNCTION("""COMPUTED_VALUE"""),"https://lh5.googleusercontent.com/d/1xmgKLSAZ6Ha5T6iyAVuk2rPt8ryNEuEg")</f>
        <v>https://lh5.googleusercontent.com/d/1xmgKLSAZ6Ha5T6iyAVuk2rPt8ryNEuEg</v>
      </c>
      <c r="O757" s="14" t="str">
        <f>IFERROR(__xludf.DUMMYFUNCTION("""COMPUTED_VALUE"""),"https://drive.google.com/file/d/1BhR5S8eXQPO7yDsw-DS7zx2P_SIe8oke/view?usp=drivesdk")</f>
        <v>https://drive.google.com/file/d/1BhR5S8eXQPO7yDsw-DS7zx2P_SIe8oke/view?usp=drivesdk</v>
      </c>
    </row>
    <row r="758">
      <c r="A758" s="3">
        <f>IFERROR(__xludf.DUMMYFUNCTION("""COMPUTED_VALUE"""),3264.0)</f>
        <v>3264</v>
      </c>
      <c r="B758" s="11">
        <f>IFERROR(__xludf.DUMMYFUNCTION("""COMPUTED_VALUE"""),46180.96679832176)</f>
        <v>46180.9668</v>
      </c>
      <c r="C758" s="3" t="str">
        <f>IFERROR(__xludf.DUMMYFUNCTION("""COMPUTED_VALUE"""),"ชั้นปีที่ 3")</f>
        <v>ชั้นปีที่ 3</v>
      </c>
      <c r="D758" s="3" t="str">
        <f>IFERROR(__xludf.DUMMYFUNCTION("""COMPUTED_VALUE"""),"6603783")</f>
        <v>6603783</v>
      </c>
      <c r="E758" s="3" t="str">
        <f>IFERROR(__xludf.DUMMYFUNCTION("""COMPUTED_VALUE"""),"29")</f>
        <v>29</v>
      </c>
      <c r="F758" s="3" t="str">
        <f>IFERROR(__xludf.DUMMYFUNCTION("""COMPUTED_VALUE"""),"นพอ.บูรพา สิริอุดมสิน")</f>
        <v>นพอ.บูรพา สิริอุดมสิน</v>
      </c>
      <c r="G758" s="3" t="str">
        <f>IFERROR(__xludf.DUMMYFUNCTION("""COMPUTED_VALUE"""),"ช่วยเหลืองานภายใน วพอ.")</f>
        <v>ช่วยเหลืองานภายใน วพอ.</v>
      </c>
      <c r="H758" s="3" t="str">
        <f>IFERROR(__xludf.DUMMYFUNCTION("""COMPUTED_VALUE"""),"จัดสิ่งแวดล้อมภายใน วพอ.พอ.")</f>
        <v>จัดสิ่งแวดล้อมภายใน วพอ.พอ.</v>
      </c>
      <c r="I758" s="3" t="str">
        <f>IFERROR(__xludf.DUMMYFUNCTION("""COMPUTED_VALUE"""),"วพอ.พอ.")</f>
        <v>วพอ.พอ.</v>
      </c>
      <c r="J758" s="12">
        <f>IFERROR(__xludf.DUMMYFUNCTION("""COMPUTED_VALUE"""),46177.0)</f>
        <v>46177</v>
      </c>
      <c r="K758" s="3" t="str">
        <f>IFERROR(__xludf.DUMMYFUNCTION("""COMPUTED_VALUE"""),"1300 - 1600")</f>
        <v>1300 - 1600</v>
      </c>
      <c r="L758" s="3">
        <f>IFERROR(__xludf.DUMMYFUNCTION("""COMPUTED_VALUE"""),3.0)</f>
        <v>3</v>
      </c>
      <c r="M758" s="3" t="str">
        <f>IFERROR(__xludf.DUMMYFUNCTION("""COMPUTED_VALUE"""),"น.อ.หญิง ผศ. นิตยา สุขแสน")</f>
        <v>น.อ.หญิง ผศ. นิตยา สุขแสน</v>
      </c>
      <c r="N758" s="14" t="str">
        <f>IFERROR(__xludf.DUMMYFUNCTION("""COMPUTED_VALUE"""),"https://lh5.googleusercontent.com/d/1lPS2VkORip8e6aw4GjnqzvLq_DtK_5pD")</f>
        <v>https://lh5.googleusercontent.com/d/1lPS2VkORip8e6aw4GjnqzvLq_DtK_5pD</v>
      </c>
      <c r="O758" s="14" t="str">
        <f>IFERROR(__xludf.DUMMYFUNCTION("""COMPUTED_VALUE"""),"https://drive.google.com/file/d/1yMj5emZgujmzSD8Y6wvZQR7lgi6HMKeB/view?usp=drivesdk")</f>
        <v>https://drive.google.com/file/d/1yMj5emZgujmzSD8Y6wvZQR7lgi6HMKeB/view?usp=drivesdk</v>
      </c>
    </row>
    <row r="759">
      <c r="A759" s="3">
        <f>IFERROR(__xludf.DUMMYFUNCTION("""COMPUTED_VALUE"""),3267.0)</f>
        <v>3267</v>
      </c>
      <c r="B759" s="11">
        <f>IFERROR(__xludf.DUMMYFUNCTION("""COMPUTED_VALUE"""),46180.9911831713)</f>
        <v>46180.99118</v>
      </c>
      <c r="C759" s="3" t="str">
        <f>IFERROR(__xludf.DUMMYFUNCTION("""COMPUTED_VALUE"""),"ชั้นปีที่ 3")</f>
        <v>ชั้นปีที่ 3</v>
      </c>
      <c r="D759" s="3" t="str">
        <f>IFERROR(__xludf.DUMMYFUNCTION("""COMPUTED_VALUE"""),"6603801")</f>
        <v>6603801</v>
      </c>
      <c r="E759" s="3" t="str">
        <f>IFERROR(__xludf.DUMMYFUNCTION("""COMPUTED_VALUE"""),"47")</f>
        <v>47</v>
      </c>
      <c r="F759" s="3" t="str">
        <f>IFERROR(__xludf.DUMMYFUNCTION("""COMPUTED_VALUE"""),"นพอ.วาสิตา ไทรทอง")</f>
        <v>นพอ.วาสิตา ไทรทอง</v>
      </c>
      <c r="G759" s="3" t="str">
        <f>IFERROR(__xludf.DUMMYFUNCTION("""COMPUTED_VALUE"""),"ช่วยเหลืองานภายใน วพอ.")</f>
        <v>ช่วยเหลืองานภายใน วพอ.</v>
      </c>
      <c r="H759" s="3" t="str">
        <f>IFERROR(__xludf.DUMMYFUNCTION("""COMPUTED_VALUE"""),"ซ้อมพิธีมอบหมวกวิชาชีพ ปีการศึกษา 2568")</f>
        <v>ซ้อมพิธีมอบหมวกวิชาชีพ ปีการศึกษา 2568</v>
      </c>
      <c r="I759" s="3" t="str">
        <f>IFERROR(__xludf.DUMMYFUNCTION("""COMPUTED_VALUE"""),"วพอ.พอ.")</f>
        <v>วพอ.พอ.</v>
      </c>
      <c r="J759" s="12">
        <f>IFERROR(__xludf.DUMMYFUNCTION("""COMPUTED_VALUE"""),46133.0)</f>
        <v>46133</v>
      </c>
      <c r="K759" s="3" t="str">
        <f>IFERROR(__xludf.DUMMYFUNCTION("""COMPUTED_VALUE"""),"1700-2100")</f>
        <v>1700-2100</v>
      </c>
      <c r="L759" s="3">
        <f>IFERROR(__xludf.DUMMYFUNCTION("""COMPUTED_VALUE"""),4.0)</f>
        <v>4</v>
      </c>
      <c r="M759" s="3" t="str">
        <f>IFERROR(__xludf.DUMMYFUNCTION("""COMPUTED_VALUE"""),"ร.อ.อนุชิต ทำจะดี")</f>
        <v>ร.อ.อนุชิต ทำจะดี</v>
      </c>
      <c r="N759" s="14" t="str">
        <f>IFERROR(__xludf.DUMMYFUNCTION("""COMPUTED_VALUE"""),"https://lh5.googleusercontent.com/d/133J-wQap_gohiC-kBZ8fd0ILDKJF2LkG")</f>
        <v>https://lh5.googleusercontent.com/d/133J-wQap_gohiC-kBZ8fd0ILDKJF2LkG</v>
      </c>
      <c r="O759" s="14" t="str">
        <f>IFERROR(__xludf.DUMMYFUNCTION("""COMPUTED_VALUE"""),"https://drive.google.com/file/d/15ewiDcxI_6ykV-YjaADyjqzC7VrltbNX/view?usp=drivesdk")</f>
        <v>https://drive.google.com/file/d/15ewiDcxI_6ykV-YjaADyjqzC7VrltbNX/view?usp=drivesdk</v>
      </c>
    </row>
    <row r="760">
      <c r="A760" s="3">
        <f>IFERROR(__xludf.DUMMYFUNCTION("""COMPUTED_VALUE"""),3268.0)</f>
        <v>3268</v>
      </c>
      <c r="B760" s="11">
        <f>IFERROR(__xludf.DUMMYFUNCTION("""COMPUTED_VALUE"""),46180.99244103009)</f>
        <v>46180.99244</v>
      </c>
      <c r="C760" s="3" t="str">
        <f>IFERROR(__xludf.DUMMYFUNCTION("""COMPUTED_VALUE"""),"ชั้นปีที่ 3")</f>
        <v>ชั้นปีที่ 3</v>
      </c>
      <c r="D760" s="3" t="str">
        <f>IFERROR(__xludf.DUMMYFUNCTION("""COMPUTED_VALUE"""),"6603801")</f>
        <v>6603801</v>
      </c>
      <c r="E760" s="3" t="str">
        <f>IFERROR(__xludf.DUMMYFUNCTION("""COMPUTED_VALUE"""),"47")</f>
        <v>47</v>
      </c>
      <c r="F760" s="3" t="str">
        <f>IFERROR(__xludf.DUMMYFUNCTION("""COMPUTED_VALUE"""),"นพอ.วาสิตา ไทรทอง")</f>
        <v>นพอ.วาสิตา ไทรทอง</v>
      </c>
      <c r="G760" s="3" t="str">
        <f>IFERROR(__xludf.DUMMYFUNCTION("""COMPUTED_VALUE"""),"ช่วยเหลืองานภายใน วพอ.")</f>
        <v>ช่วยเหลืองานภายใน วพอ.</v>
      </c>
      <c r="H760" s="3" t="str">
        <f>IFERROR(__xludf.DUMMYFUNCTION("""COMPUTED_VALUE"""),"ขายเสื้อโรทาแรคท์")</f>
        <v>ขายเสื้อโรทาแรคท์</v>
      </c>
      <c r="I760" s="3" t="str">
        <f>IFERROR(__xludf.DUMMYFUNCTION("""COMPUTED_VALUE"""),"วพอ.พอ")</f>
        <v>วพอ.พอ</v>
      </c>
      <c r="J760" s="12">
        <f>IFERROR(__xludf.DUMMYFUNCTION("""COMPUTED_VALUE"""),46148.0)</f>
        <v>46148</v>
      </c>
      <c r="K760" s="3" t="str">
        <f>IFERROR(__xludf.DUMMYFUNCTION("""COMPUTED_VALUE"""),"0800-1200")</f>
        <v>0800-1200</v>
      </c>
      <c r="L760" s="3">
        <f>IFERROR(__xludf.DUMMYFUNCTION("""COMPUTED_VALUE"""),4.0)</f>
        <v>4</v>
      </c>
      <c r="M76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0" s="14" t="str">
        <f>IFERROR(__xludf.DUMMYFUNCTION("""COMPUTED_VALUE"""),"https://lh5.googleusercontent.com/d/1_ZpTEeM8zoRQAW-nhxj7xPmORlAw_Hnm")</f>
        <v>https://lh5.googleusercontent.com/d/1_ZpTEeM8zoRQAW-nhxj7xPmORlAw_Hnm</v>
      </c>
      <c r="O760" s="14" t="str">
        <f>IFERROR(__xludf.DUMMYFUNCTION("""COMPUTED_VALUE"""),"https://drive.google.com/file/d/1Z46_nmEl4gxz4poLROwFMtCF5ogE23Ui/view?usp=drivesdk")</f>
        <v>https://drive.google.com/file/d/1Z46_nmEl4gxz4poLROwFMtCF5ogE23Ui/view?usp=drivesdk</v>
      </c>
    </row>
    <row r="761">
      <c r="A761" s="3">
        <f>IFERROR(__xludf.DUMMYFUNCTION("""COMPUTED_VALUE"""),3269.0)</f>
        <v>3269</v>
      </c>
      <c r="B761" s="11">
        <f>IFERROR(__xludf.DUMMYFUNCTION("""COMPUTED_VALUE"""),46181.32944836806)</f>
        <v>46181.32945</v>
      </c>
      <c r="C761" s="3" t="str">
        <f>IFERROR(__xludf.DUMMYFUNCTION("""COMPUTED_VALUE"""),"ชั้นปีที่ 3")</f>
        <v>ชั้นปีที่ 3</v>
      </c>
      <c r="D761" s="3" t="str">
        <f>IFERROR(__xludf.DUMMYFUNCTION("""COMPUTED_VALUE"""),"6603764")</f>
        <v>6603764</v>
      </c>
      <c r="E761" s="3" t="str">
        <f>IFERROR(__xludf.DUMMYFUNCTION("""COMPUTED_VALUE"""),"11")</f>
        <v>11</v>
      </c>
      <c r="F761" s="3" t="str">
        <f>IFERROR(__xludf.DUMMYFUNCTION("""COMPUTED_VALUE"""),"นพอ.ชวัลลักษณ์ อินทะชุบ")</f>
        <v>นพอ.ชวัลลักษณ์ อินทะชุบ</v>
      </c>
      <c r="G761" s="3" t="str">
        <f>IFERROR(__xludf.DUMMYFUNCTION("""COMPUTED_VALUE"""),"ช่วยเหลืองานภายใน วพอ.")</f>
        <v>ช่วยเหลืองานภายใน วพอ.</v>
      </c>
      <c r="H761" s="3" t="str">
        <f>IFERROR(__xludf.DUMMYFUNCTION("""COMPUTED_VALUE"""),"การทดสอบความถนัดวิภาววิสัยและการทดสอบร่างกาย")</f>
        <v>การทดสอบความถนัดวิภาววิสัยและการทดสอบร่างกาย</v>
      </c>
      <c r="I761" s="3" t="str">
        <f>IFERROR(__xludf.DUMMYFUNCTION("""COMPUTED_VALUE"""),"วพอ.พอ.")</f>
        <v>วพอ.พอ.</v>
      </c>
      <c r="J761" s="12">
        <f>IFERROR(__xludf.DUMMYFUNCTION("""COMPUTED_VALUE"""),46147.0)</f>
        <v>46147</v>
      </c>
      <c r="K761" s="3" t="str">
        <f>IFERROR(__xludf.DUMMYFUNCTION("""COMPUTED_VALUE"""),"0700-1600")</f>
        <v>0700-1600</v>
      </c>
      <c r="L761" s="3">
        <f>IFERROR(__xludf.DUMMYFUNCTION("""COMPUTED_VALUE"""),8.0)</f>
        <v>8</v>
      </c>
      <c r="M761" s="3" t="str">
        <f>IFERROR(__xludf.DUMMYFUNCTION("""COMPUTED_VALUE"""),"น.ท.ลักษ์ขณา พานิชสรรค์")</f>
        <v>น.ท.ลักษ์ขณา พานิชสรรค์</v>
      </c>
      <c r="N761" s="14" t="str">
        <f>IFERROR(__xludf.DUMMYFUNCTION("""COMPUTED_VALUE"""),"https://lh5.googleusercontent.com/d/1MPK3J1eyZG1mru4FmTUux-t8gnrjns_4")</f>
        <v>https://lh5.googleusercontent.com/d/1MPK3J1eyZG1mru4FmTUux-t8gnrjns_4</v>
      </c>
      <c r="O761" s="14" t="str">
        <f>IFERROR(__xludf.DUMMYFUNCTION("""COMPUTED_VALUE"""),"https://drive.google.com/file/d/1VYe9BCgJKDJTZT7mpuJwIXuaJvXvrjXU/view?usp=drivesdk")</f>
        <v>https://drive.google.com/file/d/1VYe9BCgJKDJTZT7mpuJwIXuaJvXvrjXU/view?usp=drivesdk</v>
      </c>
    </row>
    <row r="762">
      <c r="A762" s="3">
        <f>IFERROR(__xludf.DUMMYFUNCTION("""COMPUTED_VALUE"""),3310.0)</f>
        <v>3310</v>
      </c>
      <c r="B762" s="11">
        <f>IFERROR(__xludf.DUMMYFUNCTION("""COMPUTED_VALUE"""),46181.447412245376)</f>
        <v>46181.44741</v>
      </c>
      <c r="C762" s="3" t="str">
        <f>IFERROR(__xludf.DUMMYFUNCTION("""COMPUTED_VALUE"""),"ชั้นปีที่ 3")</f>
        <v>ชั้นปีที่ 3</v>
      </c>
      <c r="D762" s="3" t="str">
        <f>IFERROR(__xludf.DUMMYFUNCTION("""COMPUTED_VALUE"""),"6603779")</f>
        <v>6603779</v>
      </c>
      <c r="E762" s="3" t="str">
        <f>IFERROR(__xludf.DUMMYFUNCTION("""COMPUTED_VALUE"""),"25")</f>
        <v>25</v>
      </c>
      <c r="F762" s="3" t="str">
        <f>IFERROR(__xludf.DUMMYFUNCTION("""COMPUTED_VALUE"""),"นพอ.นันทิยา แก้วก่อง")</f>
        <v>นพอ.นันทิยา แก้วก่อง</v>
      </c>
      <c r="G7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2" s="3" t="str">
        <f>IFERROR(__xludf.DUMMYFUNCTION("""COMPUTED_VALUE"""),"งานสงกรานต์ เบิกบานจิต")</f>
        <v>งานสงกรานต์ เบิกบานจิต</v>
      </c>
      <c r="I762" s="3" t="str">
        <f>IFERROR(__xludf.DUMMYFUNCTION("""COMPUTED_VALUE"""),"โรงพยาบาลศรีธัญญา")</f>
        <v>โรงพยาบาลศรีธัญญา</v>
      </c>
      <c r="J762" s="12">
        <f>IFERROR(__xludf.DUMMYFUNCTION("""COMPUTED_VALUE"""),46121.0)</f>
        <v>46121</v>
      </c>
      <c r="K762" s="3" t="str">
        <f>IFERROR(__xludf.DUMMYFUNCTION("""COMPUTED_VALUE"""),"0700-1500")</f>
        <v>0700-1500</v>
      </c>
      <c r="L762" s="3">
        <f>IFERROR(__xludf.DUMMYFUNCTION("""COMPUTED_VALUE"""),8.0)</f>
        <v>8</v>
      </c>
      <c r="M762" s="3" t="str">
        <f>IFERROR(__xludf.DUMMYFUNCTION("""COMPUTED_VALUE"""),"น.ท.หญิง ลักษณ์ขณา พานิชสรรค์")</f>
        <v>น.ท.หญิง ลักษณ์ขณา พานิชสรรค์</v>
      </c>
      <c r="N762" s="14" t="str">
        <f>IFERROR(__xludf.DUMMYFUNCTION("""COMPUTED_VALUE"""),"https://lh5.googleusercontent.com/d/1uOcbMB-YPYV7SI1WntQLet_M1DeFOoM_")</f>
        <v>https://lh5.googleusercontent.com/d/1uOcbMB-YPYV7SI1WntQLet_M1DeFOoM_</v>
      </c>
      <c r="O762" s="14" t="str">
        <f>IFERROR(__xludf.DUMMYFUNCTION("""COMPUTED_VALUE"""),"https://drive.google.com/file/d/1VgPsdWWn93ESzeS5Mibhwug28S1gz2rk/view?usp=drivesdk")</f>
        <v>https://drive.google.com/file/d/1VgPsdWWn93ESzeS5Mibhwug28S1gz2rk/view?usp=drivesdk</v>
      </c>
    </row>
    <row r="763">
      <c r="A763" s="3">
        <f>IFERROR(__xludf.DUMMYFUNCTION("""COMPUTED_VALUE"""),3311.0)</f>
        <v>3311</v>
      </c>
      <c r="B763" s="11">
        <f>IFERROR(__xludf.DUMMYFUNCTION("""COMPUTED_VALUE"""),46181.44753453704)</f>
        <v>46181.44753</v>
      </c>
      <c r="C763" s="3" t="str">
        <f>IFERROR(__xludf.DUMMYFUNCTION("""COMPUTED_VALUE"""),"ชั้นปีที่ 3")</f>
        <v>ชั้นปีที่ 3</v>
      </c>
      <c r="D763" s="3" t="str">
        <f>IFERROR(__xludf.DUMMYFUNCTION("""COMPUTED_VALUE"""),"6603764")</f>
        <v>6603764</v>
      </c>
      <c r="E763" s="3" t="str">
        <f>IFERROR(__xludf.DUMMYFUNCTION("""COMPUTED_VALUE"""),"11")</f>
        <v>11</v>
      </c>
      <c r="F763" s="3" t="str">
        <f>IFERROR(__xludf.DUMMYFUNCTION("""COMPUTED_VALUE"""),"นพอ.ชวัลลักษณ์ อินทะชุบ")</f>
        <v>นพอ.ชวัลลักษณ์ อินทะชุบ</v>
      </c>
      <c r="G76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63" s="3" t="str">
        <f>IFERROR(__xludf.DUMMYFUNCTION("""COMPUTED_VALUE"""),"บริจาคเลือด")</f>
        <v>บริจาคเลือด</v>
      </c>
      <c r="I763" s="3" t="str">
        <f>IFERROR(__xludf.DUMMYFUNCTION("""COMPUTED_VALUE"""),"ห้องประชุมสโมสร กำนัน ผู้ใหญ่บ้าน ที่ว่าอำเภอลานกระบือ จ.กำแพงเพชร")</f>
        <v>ห้องประชุมสโมสร กำนัน ผู้ใหญ่บ้าน ที่ว่าอำเภอลานกระบือ จ.กำแพงเพชร</v>
      </c>
      <c r="J763" s="12">
        <f>IFERROR(__xludf.DUMMYFUNCTION("""COMPUTED_VALUE"""),46165.0)</f>
        <v>46165</v>
      </c>
      <c r="K763" s="3" t="str">
        <f>IFERROR(__xludf.DUMMYFUNCTION("""COMPUTED_VALUE"""),"09.00-17.00 น.")</f>
        <v>09.00-17.00 น.</v>
      </c>
      <c r="L763" s="3">
        <f>IFERROR(__xludf.DUMMYFUNCTION("""COMPUTED_VALUE"""),8.0)</f>
        <v>8</v>
      </c>
      <c r="M763" s="3" t="str">
        <f>IFERROR(__xludf.DUMMYFUNCTION("""COMPUTED_VALUE"""),"นายสืบศักดิ์ ศรีสุวรรณ์")</f>
        <v>นายสืบศักดิ์ ศรีสุวรรณ์</v>
      </c>
      <c r="N763" s="14" t="str">
        <f>IFERROR(__xludf.DUMMYFUNCTION("""COMPUTED_VALUE"""),"https://lh5.googleusercontent.com/d/1Yky3bHUzStg6ArdpA0XPE1AX8QRYJXAA")</f>
        <v>https://lh5.googleusercontent.com/d/1Yky3bHUzStg6ArdpA0XPE1AX8QRYJXAA</v>
      </c>
      <c r="O763" s="14" t="str">
        <f>IFERROR(__xludf.DUMMYFUNCTION("""COMPUTED_VALUE"""),"https://drive.google.com/file/d/1hgA1IRNlm9XXqHj3PlhccyJU4nXweAeK/view?usp=drivesdk")</f>
        <v>https://drive.google.com/file/d/1hgA1IRNlm9XXqHj3PlhccyJU4nXweAeK/view?usp=drivesdk</v>
      </c>
    </row>
    <row r="764">
      <c r="A764" s="3">
        <f>IFERROR(__xludf.DUMMYFUNCTION("""COMPUTED_VALUE"""),3312.0)</f>
        <v>3312</v>
      </c>
      <c r="B764" s="11">
        <f>IFERROR(__xludf.DUMMYFUNCTION("""COMPUTED_VALUE"""),46181.48578708333)</f>
        <v>46181.48579</v>
      </c>
      <c r="C764" s="3" t="str">
        <f>IFERROR(__xludf.DUMMYFUNCTION("""COMPUTED_VALUE"""),"ชั้นปีที่ 3")</f>
        <v>ชั้นปีที่ 3</v>
      </c>
      <c r="D764" s="3" t="str">
        <f>IFERROR(__xludf.DUMMYFUNCTION("""COMPUTED_VALUE"""),"6603764")</f>
        <v>6603764</v>
      </c>
      <c r="E764" s="3" t="str">
        <f>IFERROR(__xludf.DUMMYFUNCTION("""COMPUTED_VALUE"""),"11")</f>
        <v>11</v>
      </c>
      <c r="F764" s="3" t="str">
        <f>IFERROR(__xludf.DUMMYFUNCTION("""COMPUTED_VALUE"""),"นพอ.ชวัลลักษณ์ อินทะชุบ")</f>
        <v>นพอ.ชวัลลักษณ์ อินทะชุบ</v>
      </c>
      <c r="G764" s="3" t="str">
        <f>IFERROR(__xludf.DUMMYFUNCTION("""COMPUTED_VALUE"""),"ช่วยเหลืองานภายใน วพอ.")</f>
        <v>ช่วยเหลืองานภายใน วพอ.</v>
      </c>
      <c r="H764" s="3" t="str">
        <f>IFERROR(__xludf.DUMMYFUNCTION("""COMPUTED_VALUE"""),"ซ้อมเต้นเพลงฉันมีความสุข")</f>
        <v>ซ้อมเต้นเพลงฉันมีความสุข</v>
      </c>
      <c r="I764" s="3" t="str">
        <f>IFERROR(__xludf.DUMMYFUNCTION("""COMPUTED_VALUE"""),"วพอ.พอ.")</f>
        <v>วพอ.พอ.</v>
      </c>
      <c r="J764" s="12">
        <f>IFERROR(__xludf.DUMMYFUNCTION("""COMPUTED_VALUE"""),46176.0)</f>
        <v>46176</v>
      </c>
      <c r="K764" s="3" t="str">
        <f>IFERROR(__xludf.DUMMYFUNCTION("""COMPUTED_VALUE"""),"16.00-18.00")</f>
        <v>16.00-18.00</v>
      </c>
      <c r="L764" s="3">
        <f>IFERROR(__xludf.DUMMYFUNCTION("""COMPUTED_VALUE"""),2.0)</f>
        <v>2</v>
      </c>
      <c r="M764" s="3" t="str">
        <f>IFERROR(__xludf.DUMMYFUNCTION("""COMPUTED_VALUE"""),"ร.อ.หญิง เบญญาดา บุรีรัตน์")</f>
        <v>ร.อ.หญิง เบญญาดา บุรีรัตน์</v>
      </c>
      <c r="N764" s="14" t="str">
        <f>IFERROR(__xludf.DUMMYFUNCTION("""COMPUTED_VALUE"""),"https://lh5.googleusercontent.com/d/1foXA0g0xDYrhKJbjOy7qWp62TYARevfJ")</f>
        <v>https://lh5.googleusercontent.com/d/1foXA0g0xDYrhKJbjOy7qWp62TYARevfJ</v>
      </c>
      <c r="O764" s="14" t="str">
        <f>IFERROR(__xludf.DUMMYFUNCTION("""COMPUTED_VALUE"""),"https://drive.google.com/file/d/1hn6JKZbNTM2oTqOSm258suNUCbIB3K-W/view?usp=drivesdk")</f>
        <v>https://drive.google.com/file/d/1hn6JKZbNTM2oTqOSm258suNUCbIB3K-W/view?usp=drivesdk</v>
      </c>
    </row>
    <row r="765">
      <c r="A765" s="3">
        <f>IFERROR(__xludf.DUMMYFUNCTION("""COMPUTED_VALUE"""),3313.0)</f>
        <v>3313</v>
      </c>
      <c r="B765" s="11">
        <f>IFERROR(__xludf.DUMMYFUNCTION("""COMPUTED_VALUE"""),46181.48807591435)</f>
        <v>46181.48808</v>
      </c>
      <c r="C765" s="3" t="str">
        <f>IFERROR(__xludf.DUMMYFUNCTION("""COMPUTED_VALUE"""),"ชั้นปีที่ 3")</f>
        <v>ชั้นปีที่ 3</v>
      </c>
      <c r="D765" s="3" t="str">
        <f>IFERROR(__xludf.DUMMYFUNCTION("""COMPUTED_VALUE"""),"6603803")</f>
        <v>6603803</v>
      </c>
      <c r="E765" s="3" t="str">
        <f>IFERROR(__xludf.DUMMYFUNCTION("""COMPUTED_VALUE"""),"49")</f>
        <v>49</v>
      </c>
      <c r="F765" s="3" t="str">
        <f>IFERROR(__xludf.DUMMYFUNCTION("""COMPUTED_VALUE"""),"นพอ.ศิริพร คล้ายแก้ว")</f>
        <v>นพอ.ศิริพร คล้ายแก้ว</v>
      </c>
      <c r="G7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5" s="3" t="str">
        <f>IFERROR(__xludf.DUMMYFUNCTION("""COMPUTED_VALUE"""),"ดูหนังการกุศล")</f>
        <v>ดูหนังการกุศล</v>
      </c>
      <c r="I765" s="3" t="str">
        <f>IFERROR(__xludf.DUMMYFUNCTION("""COMPUTED_VALUE"""),"เมเจอร์รัชโยธิน")</f>
        <v>เมเจอร์รัชโยธิน</v>
      </c>
      <c r="J765" s="12">
        <f>IFERROR(__xludf.DUMMYFUNCTION("""COMPUTED_VALUE"""),46011.0)</f>
        <v>46011</v>
      </c>
      <c r="K765" s="3" t="str">
        <f>IFERROR(__xludf.DUMMYFUNCTION("""COMPUTED_VALUE"""),"0800-1600")</f>
        <v>0800-1600</v>
      </c>
      <c r="L765" s="3">
        <f>IFERROR(__xludf.DUMMYFUNCTION("""COMPUTED_VALUE"""),8.0)</f>
        <v>8</v>
      </c>
      <c r="M76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5" s="14" t="str">
        <f>IFERROR(__xludf.DUMMYFUNCTION("""COMPUTED_VALUE"""),"https://lh5.googleusercontent.com/d/1ziypGe_MJzoWS-w0qrmyxHDfaOGe_gjr")</f>
        <v>https://lh5.googleusercontent.com/d/1ziypGe_MJzoWS-w0qrmyxHDfaOGe_gjr</v>
      </c>
      <c r="O765" s="14" t="str">
        <f>IFERROR(__xludf.DUMMYFUNCTION("""COMPUTED_VALUE"""),"https://drive.google.com/file/d/1k9pyUga9yVwJwGEBy636uH_b_44p_ydh/view?usp=drivesdk")</f>
        <v>https://drive.google.com/file/d/1k9pyUga9yVwJwGEBy636uH_b_44p_ydh/view?usp=drivesdk</v>
      </c>
    </row>
    <row r="766">
      <c r="A766" s="3">
        <f>IFERROR(__xludf.DUMMYFUNCTION("""COMPUTED_VALUE"""),3314.0)</f>
        <v>3314</v>
      </c>
      <c r="B766" s="11">
        <f>IFERROR(__xludf.DUMMYFUNCTION("""COMPUTED_VALUE"""),46181.48993921297)</f>
        <v>46181.48994</v>
      </c>
      <c r="C766" s="3" t="str">
        <f>IFERROR(__xludf.DUMMYFUNCTION("""COMPUTED_VALUE"""),"ชั้นปีที่ 3")</f>
        <v>ชั้นปีที่ 3</v>
      </c>
      <c r="D766" s="3" t="str">
        <f>IFERROR(__xludf.DUMMYFUNCTION("""COMPUTED_VALUE"""),"6603764")</f>
        <v>6603764</v>
      </c>
      <c r="E766" s="3" t="str">
        <f>IFERROR(__xludf.DUMMYFUNCTION("""COMPUTED_VALUE"""),"11")</f>
        <v>11</v>
      </c>
      <c r="F766" s="3" t="str">
        <f>IFERROR(__xludf.DUMMYFUNCTION("""COMPUTED_VALUE"""),"นพอ.ชวัลลักษณ์ อินทะชุบ")</f>
        <v>นพอ.ชวัลลักษณ์ อินทะชุบ</v>
      </c>
      <c r="G766" s="3" t="str">
        <f>IFERROR(__xludf.DUMMYFUNCTION("""COMPUTED_VALUE"""),"ช่วยเหลืองานภายใน วพอ.")</f>
        <v>ช่วยเหลืองานภายใน วพอ.</v>
      </c>
      <c r="H766" s="3" t="str">
        <f>IFERROR(__xludf.DUMMYFUNCTION("""COMPUTED_VALUE"""),"ซ้อมเต้นเพลงฉันมีความสุข")</f>
        <v>ซ้อมเต้นเพลงฉันมีความสุข</v>
      </c>
      <c r="I766" s="3" t="str">
        <f>IFERROR(__xludf.DUMMYFUNCTION("""COMPUTED_VALUE"""),"วพอ.พอ.")</f>
        <v>วพอ.พอ.</v>
      </c>
      <c r="J766" s="12">
        <f>IFERROR(__xludf.DUMMYFUNCTION("""COMPUTED_VALUE"""),46169.0)</f>
        <v>46169</v>
      </c>
      <c r="K766" s="3" t="str">
        <f>IFERROR(__xludf.DUMMYFUNCTION("""COMPUTED_VALUE"""),"17.00–19.00")</f>
        <v>17.00–19.00</v>
      </c>
      <c r="L766" s="3">
        <f>IFERROR(__xludf.DUMMYFUNCTION("""COMPUTED_VALUE"""),2.0)</f>
        <v>2</v>
      </c>
      <c r="M766" s="3" t="str">
        <f>IFERROR(__xludf.DUMMYFUNCTION("""COMPUTED_VALUE"""),"ร.อ.หญิง เบญญาดา บุรีรัตน์")</f>
        <v>ร.อ.หญิง เบญญาดา บุรีรัตน์</v>
      </c>
      <c r="N766" s="14" t="str">
        <f>IFERROR(__xludf.DUMMYFUNCTION("""COMPUTED_VALUE"""),"https://lh5.googleusercontent.com/d/1saTCK3H0zKduuZXCGWVk32aua-2uWnal")</f>
        <v>https://lh5.googleusercontent.com/d/1saTCK3H0zKduuZXCGWVk32aua-2uWnal</v>
      </c>
      <c r="O766" s="14" t="str">
        <f>IFERROR(__xludf.DUMMYFUNCTION("""COMPUTED_VALUE"""),"https://drive.google.com/file/d/17D4sHLLjyAwKLuWMQFkgndpuihBmnO83/view?usp=drivesdk")</f>
        <v>https://drive.google.com/file/d/17D4sHLLjyAwKLuWMQFkgndpuihBmnO83/view?usp=drivesdk</v>
      </c>
    </row>
    <row r="767">
      <c r="A767" s="3">
        <f>IFERROR(__xludf.DUMMYFUNCTION("""COMPUTED_VALUE"""),3316.0)</f>
        <v>3316</v>
      </c>
      <c r="B767" s="11">
        <f>IFERROR(__xludf.DUMMYFUNCTION("""COMPUTED_VALUE"""),46181.49124949074)</f>
        <v>46181.49125</v>
      </c>
      <c r="C767" s="3" t="str">
        <f>IFERROR(__xludf.DUMMYFUNCTION("""COMPUTED_VALUE"""),"ชั้นปีที่ 3")</f>
        <v>ชั้นปีที่ 3</v>
      </c>
      <c r="D767" s="3" t="str">
        <f>IFERROR(__xludf.DUMMYFUNCTION("""COMPUTED_VALUE"""),"6603803")</f>
        <v>6603803</v>
      </c>
      <c r="E767" s="3" t="str">
        <f>IFERROR(__xludf.DUMMYFUNCTION("""COMPUTED_VALUE"""),"49")</f>
        <v>49</v>
      </c>
      <c r="F767" s="3" t="str">
        <f>IFERROR(__xludf.DUMMYFUNCTION("""COMPUTED_VALUE"""),"นพอ.ศิริพร คล้ายแก้ว")</f>
        <v>นพอ.ศิริพร คล้ายแก้ว</v>
      </c>
      <c r="G767" s="3" t="str">
        <f>IFERROR(__xludf.DUMMYFUNCTION("""COMPUTED_VALUE"""),"ช่วยเหลืองานภายใน วพอ.")</f>
        <v>ช่วยเหลืองานภายใน วพอ.</v>
      </c>
      <c r="H767" s="3" t="str">
        <f>IFERROR(__xludf.DUMMYFUNCTION("""COMPUTED_VALUE"""),"เก็บหิน ตกแต่งสถานที่")</f>
        <v>เก็บหิน ตกแต่งสถานที่</v>
      </c>
      <c r="I767" s="3" t="str">
        <f>IFERROR(__xludf.DUMMYFUNCTION("""COMPUTED_VALUE"""),"วพอ.พอ.")</f>
        <v>วพอ.พอ.</v>
      </c>
      <c r="J767" s="12">
        <f>IFERROR(__xludf.DUMMYFUNCTION("""COMPUTED_VALUE"""),46177.0)</f>
        <v>46177</v>
      </c>
      <c r="K767" s="3" t="str">
        <f>IFERROR(__xludf.DUMMYFUNCTION("""COMPUTED_VALUE"""),"1500-1600")</f>
        <v>1500-1600</v>
      </c>
      <c r="L767" s="3">
        <f>IFERROR(__xludf.DUMMYFUNCTION("""COMPUTED_VALUE"""),3.0)</f>
        <v>3</v>
      </c>
      <c r="M767" s="3" t="str">
        <f>IFERROR(__xludf.DUMMYFUNCTION("""COMPUTED_VALUE"""),"น.อ.หญิง ผศ. นิตยา สุขแสน")</f>
        <v>น.อ.หญิง ผศ. นิตยา สุขแสน</v>
      </c>
      <c r="N767" s="14" t="str">
        <f>IFERROR(__xludf.DUMMYFUNCTION("""COMPUTED_VALUE"""),"https://lh5.googleusercontent.com/d/1nVQ3eXdRnpLw9ssQ0BhcJlJTdEfwrxwX")</f>
        <v>https://lh5.googleusercontent.com/d/1nVQ3eXdRnpLw9ssQ0BhcJlJTdEfwrxwX</v>
      </c>
      <c r="O767" s="14" t="str">
        <f>IFERROR(__xludf.DUMMYFUNCTION("""COMPUTED_VALUE"""),"https://drive.google.com/file/d/1HJSKOUjhD4oSu6pK2BW4NPSsWRNpZM7D/view?usp=drivesdk")</f>
        <v>https://drive.google.com/file/d/1HJSKOUjhD4oSu6pK2BW4NPSsWRNpZM7D/view?usp=drivesdk</v>
      </c>
    </row>
    <row r="768">
      <c r="A768" s="3">
        <f>IFERROR(__xludf.DUMMYFUNCTION("""COMPUTED_VALUE"""),3317.0)</f>
        <v>3317</v>
      </c>
      <c r="B768" s="11">
        <f>IFERROR(__xludf.DUMMYFUNCTION("""COMPUTED_VALUE"""),46181.493896782405)</f>
        <v>46181.4939</v>
      </c>
      <c r="C768" s="3" t="str">
        <f>IFERROR(__xludf.DUMMYFUNCTION("""COMPUTED_VALUE"""),"ชั้นปีที่ 3")</f>
        <v>ชั้นปีที่ 3</v>
      </c>
      <c r="D768" s="3" t="str">
        <f>IFERROR(__xludf.DUMMYFUNCTION("""COMPUTED_VALUE"""),"6603764")</f>
        <v>6603764</v>
      </c>
      <c r="E768" s="3" t="str">
        <f>IFERROR(__xludf.DUMMYFUNCTION("""COMPUTED_VALUE"""),"11")</f>
        <v>11</v>
      </c>
      <c r="F768" s="3" t="str">
        <f>IFERROR(__xludf.DUMMYFUNCTION("""COMPUTED_VALUE"""),"นพอ.ชวัลลักษณ์ อินทะชุบ")</f>
        <v>นพอ.ชวัลลักษณ์ อินทะชุบ</v>
      </c>
      <c r="G768" s="3" t="str">
        <f>IFERROR(__xludf.DUMMYFUNCTION("""COMPUTED_VALUE"""),"ช่วยเหลืองานภายใน วพอ.")</f>
        <v>ช่วยเหลืองานภายใน วพอ.</v>
      </c>
      <c r="H768" s="3" t="str">
        <f>IFERROR(__xludf.DUMMYFUNCTION("""COMPUTED_VALUE"""),"ซ้อมเต้นเพลงฉันมีความสุข")</f>
        <v>ซ้อมเต้นเพลงฉันมีความสุข</v>
      </c>
      <c r="I768" s="3" t="str">
        <f>IFERROR(__xludf.DUMMYFUNCTION("""COMPUTED_VALUE"""),"วพอ.พอ.")</f>
        <v>วพอ.พอ.</v>
      </c>
      <c r="J768" s="12">
        <f>IFERROR(__xludf.DUMMYFUNCTION("""COMPUTED_VALUE"""),46177.0)</f>
        <v>46177</v>
      </c>
      <c r="K768" s="3" t="str">
        <f>IFERROR(__xludf.DUMMYFUNCTION("""COMPUTED_VALUE"""),"17.00-19.00")</f>
        <v>17.00-19.00</v>
      </c>
      <c r="L768" s="3">
        <f>IFERROR(__xludf.DUMMYFUNCTION("""COMPUTED_VALUE"""),2.0)</f>
        <v>2</v>
      </c>
      <c r="M768" s="3" t="str">
        <f>IFERROR(__xludf.DUMMYFUNCTION("""COMPUTED_VALUE"""),"ร.อ.หญิง เบญญาดา บุรีรัตน์")</f>
        <v>ร.อ.หญิง เบญญาดา บุรีรัตน์</v>
      </c>
      <c r="N768" s="14" t="str">
        <f>IFERROR(__xludf.DUMMYFUNCTION("""COMPUTED_VALUE"""),"https://lh5.googleusercontent.com/d/1-BOkYxxoZQsYd358NPaR7Q1eBy79akOo")</f>
        <v>https://lh5.googleusercontent.com/d/1-BOkYxxoZQsYd358NPaR7Q1eBy79akOo</v>
      </c>
      <c r="O768" s="14" t="str">
        <f>IFERROR(__xludf.DUMMYFUNCTION("""COMPUTED_VALUE"""),"https://drive.google.com/file/d/1o_sPNnEM5jiodIEGMVxh_h46r23SWje_/view?usp=drivesdk")</f>
        <v>https://drive.google.com/file/d/1o_sPNnEM5jiodIEGMVxh_h46r23SWje_/view?usp=drivesdk</v>
      </c>
    </row>
    <row r="769">
      <c r="A769" s="3">
        <f>IFERROR(__xludf.DUMMYFUNCTION("""COMPUTED_VALUE"""),3318.0)</f>
        <v>3318</v>
      </c>
      <c r="B769" s="11">
        <f>IFERROR(__xludf.DUMMYFUNCTION("""COMPUTED_VALUE"""),46181.498532453705)</f>
        <v>46181.49853</v>
      </c>
      <c r="C769" s="3" t="str">
        <f>IFERROR(__xludf.DUMMYFUNCTION("""COMPUTED_VALUE"""),"ชั้นปีที่ 3")</f>
        <v>ชั้นปีที่ 3</v>
      </c>
      <c r="D769" s="3" t="str">
        <f>IFERROR(__xludf.DUMMYFUNCTION("""COMPUTED_VALUE"""),"6603803")</f>
        <v>6603803</v>
      </c>
      <c r="E769" s="3" t="str">
        <f>IFERROR(__xludf.DUMMYFUNCTION("""COMPUTED_VALUE"""),"49")</f>
        <v>49</v>
      </c>
      <c r="F769" s="3" t="str">
        <f>IFERROR(__xludf.DUMMYFUNCTION("""COMPUTED_VALUE"""),"นพอ.ศิริพร คล้ายแก้ว")</f>
        <v>นพอ.ศิริพร คล้ายแก้ว</v>
      </c>
      <c r="G769" s="3" t="str">
        <f>IFERROR(__xludf.DUMMYFUNCTION("""COMPUTED_VALUE"""),"ช่วยเหลืองานภายใน วพอ.")</f>
        <v>ช่วยเหลืองานภายใน วพอ.</v>
      </c>
      <c r="H769" s="3" t="str">
        <f>IFERROR(__xludf.DUMMYFUNCTION("""COMPUTED_VALUE"""),"ทกท.")</f>
        <v>ทกท.</v>
      </c>
      <c r="I769" s="3" t="str">
        <f>IFERROR(__xludf.DUMMYFUNCTION("""COMPUTED_VALUE"""),"วพอ.พอ.")</f>
        <v>วพอ.พอ.</v>
      </c>
      <c r="J769" s="12">
        <f>IFERROR(__xludf.DUMMYFUNCTION("""COMPUTED_VALUE"""),46133.0)</f>
        <v>46133</v>
      </c>
      <c r="K769" s="3" t="str">
        <f>IFERROR(__xludf.DUMMYFUNCTION("""COMPUTED_VALUE"""),"0800-1600")</f>
        <v>0800-1600</v>
      </c>
      <c r="L769" s="3">
        <f>IFERROR(__xludf.DUMMYFUNCTION("""COMPUTED_VALUE"""),8.0)</f>
        <v>8</v>
      </c>
      <c r="M769" s="3" t="str">
        <f>IFERROR(__xludf.DUMMYFUNCTION("""COMPUTED_VALUE"""),"ร.อ.อนุชิต ทำจะดี")</f>
        <v>ร.อ.อนุชิต ทำจะดี</v>
      </c>
      <c r="N769" s="14" t="str">
        <f>IFERROR(__xludf.DUMMYFUNCTION("""COMPUTED_VALUE"""),"https://lh5.googleusercontent.com/d/1jXYTUvDXgqBKvkJv5r66aeYs-rFdUyPF")</f>
        <v>https://lh5.googleusercontent.com/d/1jXYTUvDXgqBKvkJv5r66aeYs-rFdUyPF</v>
      </c>
      <c r="O769" s="14" t="str">
        <f>IFERROR(__xludf.DUMMYFUNCTION("""COMPUTED_VALUE"""),"https://drive.google.com/file/d/1w3zDDFAVAKjKXptUe9T62RsbBXUjBadc/view?usp=drivesdk")</f>
        <v>https://drive.google.com/file/d/1w3zDDFAVAKjKXptUe9T62RsbBXUjBadc/view?usp=drivesdk</v>
      </c>
    </row>
    <row r="770">
      <c r="A770" s="3">
        <f>IFERROR(__xludf.DUMMYFUNCTION("""COMPUTED_VALUE"""),3319.0)</f>
        <v>3319</v>
      </c>
      <c r="B770" s="11">
        <f>IFERROR(__xludf.DUMMYFUNCTION("""COMPUTED_VALUE"""),46181.498808958335)</f>
        <v>46181.49881</v>
      </c>
      <c r="C770" s="3" t="str">
        <f>IFERROR(__xludf.DUMMYFUNCTION("""COMPUTED_VALUE"""),"ชั้นปีที่ 3")</f>
        <v>ชั้นปีที่ 3</v>
      </c>
      <c r="D770" s="3" t="str">
        <f>IFERROR(__xludf.DUMMYFUNCTION("""COMPUTED_VALUE"""),"6603780")</f>
        <v>6603780</v>
      </c>
      <c r="E770" s="3" t="str">
        <f>IFERROR(__xludf.DUMMYFUNCTION("""COMPUTED_VALUE"""),"26")</f>
        <v>26</v>
      </c>
      <c r="F770" s="3" t="str">
        <f>IFERROR(__xludf.DUMMYFUNCTION("""COMPUTED_VALUE"""),"นพอ.นิศาชล ชุมจันทร์")</f>
        <v>นพอ.นิศาชล ชุมจันทร์</v>
      </c>
      <c r="G770" s="3" t="str">
        <f>IFERROR(__xludf.DUMMYFUNCTION("""COMPUTED_VALUE"""),"ช่วยเหลืองานภายใน วพอ.")</f>
        <v>ช่วยเหลืองานภายใน วพอ.</v>
      </c>
      <c r="H770" s="3" t="str">
        <f>IFERROR(__xludf.DUMMYFUNCTION("""COMPUTED_VALUE"""),"ทำหน้าที่แทนนักเรียนปกครอง")</f>
        <v>ทำหน้าที่แทนนักเรียนปกครอง</v>
      </c>
      <c r="I770" s="3" t="str">
        <f>IFERROR(__xludf.DUMMYFUNCTION("""COMPUTED_VALUE"""),"วพอ.พอ.")</f>
        <v>วพอ.พอ.</v>
      </c>
      <c r="J770" s="12">
        <f>IFERROR(__xludf.DUMMYFUNCTION("""COMPUTED_VALUE"""),46133.0)</f>
        <v>46133</v>
      </c>
      <c r="K770" s="3" t="str">
        <f>IFERROR(__xludf.DUMMYFUNCTION("""COMPUTED_VALUE"""),"0800-1600")</f>
        <v>0800-1600</v>
      </c>
      <c r="L770" s="3">
        <f>IFERROR(__xludf.DUMMYFUNCTION("""COMPUTED_VALUE"""),8.0)</f>
        <v>8</v>
      </c>
      <c r="M770" s="3" t="str">
        <f>IFERROR(__xludf.DUMMYFUNCTION("""COMPUTED_VALUE"""),"ร.อ.อนุชิต ทำจะดี")</f>
        <v>ร.อ.อนุชิต ทำจะดี</v>
      </c>
      <c r="N770" s="14" t="str">
        <f>IFERROR(__xludf.DUMMYFUNCTION("""COMPUTED_VALUE"""),"https://lh5.googleusercontent.com/d/1BIbhRuKnykm2tMwyIFwoBtoCWw0gDAcm")</f>
        <v>https://lh5.googleusercontent.com/d/1BIbhRuKnykm2tMwyIFwoBtoCWw0gDAcm</v>
      </c>
      <c r="O770" s="14" t="str">
        <f>IFERROR(__xludf.DUMMYFUNCTION("""COMPUTED_VALUE"""),"https://drive.google.com/file/d/165GErTD6epHDuIRZEPF8vmufAzbY4oJ_/view?usp=drivesdk")</f>
        <v>https://drive.google.com/file/d/165GErTD6epHDuIRZEPF8vmufAzbY4oJ_/view?usp=drivesdk</v>
      </c>
    </row>
    <row r="771">
      <c r="A771" s="3">
        <f>IFERROR(__xludf.DUMMYFUNCTION("""COMPUTED_VALUE"""),3320.0)</f>
        <v>3320</v>
      </c>
      <c r="B771" s="11">
        <f>IFERROR(__xludf.DUMMYFUNCTION("""COMPUTED_VALUE"""),46181.49952706019)</f>
        <v>46181.49953</v>
      </c>
      <c r="C771" s="3" t="str">
        <f>IFERROR(__xludf.DUMMYFUNCTION("""COMPUTED_VALUE"""),"ชั้นปีที่ 3")</f>
        <v>ชั้นปีที่ 3</v>
      </c>
      <c r="D771" s="3" t="str">
        <f>IFERROR(__xludf.DUMMYFUNCTION("""COMPUTED_VALUE"""),"6603764")</f>
        <v>6603764</v>
      </c>
      <c r="E771" s="3" t="str">
        <f>IFERROR(__xludf.DUMMYFUNCTION("""COMPUTED_VALUE"""),"11")</f>
        <v>11</v>
      </c>
      <c r="F771" s="3" t="str">
        <f>IFERROR(__xludf.DUMMYFUNCTION("""COMPUTED_VALUE"""),"นพอ.ชวัลลักษณ์ อินทะชุบ")</f>
        <v>นพอ.ชวัลลักษณ์ อินทะชุบ</v>
      </c>
      <c r="G771" s="3" t="str">
        <f>IFERROR(__xludf.DUMMYFUNCTION("""COMPUTED_VALUE"""),"ช่วยเหลืองานภายใน วพอ.")</f>
        <v>ช่วยเหลืองานภายใน วพอ.</v>
      </c>
      <c r="H771" s="3" t="str">
        <f>IFERROR(__xludf.DUMMYFUNCTION("""COMPUTED_VALUE"""),"จัดห้องปฏิบัติการ ทำความสะอาดหุ่นและอุปกรณ์ต่างๆ")</f>
        <v>จัดห้องปฏิบัติการ ทำความสะอาดหุ่นและอุปกรณ์ต่างๆ</v>
      </c>
      <c r="I771" s="3" t="str">
        <f>IFERROR(__xludf.DUMMYFUNCTION("""COMPUTED_VALUE"""),"วพอ.พอ.")</f>
        <v>วพอ.พอ.</v>
      </c>
      <c r="J771" s="12">
        <f>IFERROR(__xludf.DUMMYFUNCTION("""COMPUTED_VALUE"""),46094.0)</f>
        <v>46094</v>
      </c>
      <c r="K771" s="3" t="str">
        <f>IFERROR(__xludf.DUMMYFUNCTION("""COMPUTED_VALUE"""),"15.00-16.00")</f>
        <v>15.00-16.00</v>
      </c>
      <c r="L771" s="3">
        <f>IFERROR(__xludf.DUMMYFUNCTION("""COMPUTED_VALUE"""),1.0)</f>
        <v>1</v>
      </c>
      <c r="M771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771" s="14" t="str">
        <f>IFERROR(__xludf.DUMMYFUNCTION("""COMPUTED_VALUE"""),"https://lh5.googleusercontent.com/d/1GVzc4L5DIskNgJGnLeMxBCKtd2bS5OeM")</f>
        <v>https://lh5.googleusercontent.com/d/1GVzc4L5DIskNgJGnLeMxBCKtd2bS5OeM</v>
      </c>
      <c r="O771" s="14" t="str">
        <f>IFERROR(__xludf.DUMMYFUNCTION("""COMPUTED_VALUE"""),"https://drive.google.com/file/d/1CGadJVxl_Yiqblu2_pvI3yJFgA6gfsqV/view?usp=drivesdk")</f>
        <v>https://drive.google.com/file/d/1CGadJVxl_Yiqblu2_pvI3yJFgA6gfsqV/view?usp=drivesdk</v>
      </c>
    </row>
    <row r="772">
      <c r="A772" s="3">
        <f>IFERROR(__xludf.DUMMYFUNCTION("""COMPUTED_VALUE"""),3321.0)</f>
        <v>3321</v>
      </c>
      <c r="B772" s="11">
        <f>IFERROR(__xludf.DUMMYFUNCTION("""COMPUTED_VALUE"""),46181.51888653935)</f>
        <v>46181.51889</v>
      </c>
      <c r="C772" s="3" t="str">
        <f>IFERROR(__xludf.DUMMYFUNCTION("""COMPUTED_VALUE"""),"ชั้นปีที่ 3")</f>
        <v>ชั้นปีที่ 3</v>
      </c>
      <c r="D772" s="3" t="str">
        <f>IFERROR(__xludf.DUMMYFUNCTION("""COMPUTED_VALUE"""),"6603803")</f>
        <v>6603803</v>
      </c>
      <c r="E772" s="3" t="str">
        <f>IFERROR(__xludf.DUMMYFUNCTION("""COMPUTED_VALUE"""),"49")</f>
        <v>49</v>
      </c>
      <c r="F772" s="3" t="str">
        <f>IFERROR(__xludf.DUMMYFUNCTION("""COMPUTED_VALUE"""),"นพอ.ศิริพร คล้ายแก้ว")</f>
        <v>นพอ.ศิริพร คล้ายแก้ว</v>
      </c>
      <c r="G772" s="3" t="str">
        <f>IFERROR(__xludf.DUMMYFUNCTION("""COMPUTED_VALUE"""),"ช่วยเหลืองานภายใน วพอ.")</f>
        <v>ช่วยเหลืองานภายใน วพอ.</v>
      </c>
      <c r="H772" s="3" t="str">
        <f>IFERROR(__xludf.DUMMYFUNCTION("""COMPUTED_VALUE"""),"ทกท.")</f>
        <v>ทกท.</v>
      </c>
      <c r="I772" s="3" t="str">
        <f>IFERROR(__xludf.DUMMYFUNCTION("""COMPUTED_VALUE"""),"วพอ.พอ.")</f>
        <v>วพอ.พอ.</v>
      </c>
      <c r="J772" s="12">
        <f>IFERROR(__xludf.DUMMYFUNCTION("""COMPUTED_VALUE"""),46147.0)</f>
        <v>46147</v>
      </c>
      <c r="K772" s="3" t="str">
        <f>IFERROR(__xludf.DUMMYFUNCTION("""COMPUTED_VALUE"""),"0800-1600")</f>
        <v>0800-1600</v>
      </c>
      <c r="L772" s="3">
        <f>IFERROR(__xludf.DUMMYFUNCTION("""COMPUTED_VALUE"""),8.0)</f>
        <v>8</v>
      </c>
      <c r="M772" s="3" t="str">
        <f>IFERROR(__xludf.DUMMYFUNCTION("""COMPUTED_VALUE"""),"ร.อ.อนุชิต ทำจะดี")</f>
        <v>ร.อ.อนุชิต ทำจะดี</v>
      </c>
      <c r="N772" s="14" t="str">
        <f>IFERROR(__xludf.DUMMYFUNCTION("""COMPUTED_VALUE"""),"https://lh5.googleusercontent.com/d/1X2B8fUslirzI2SEeFsA0Eo0qxFTHlPmG")</f>
        <v>https://lh5.googleusercontent.com/d/1X2B8fUslirzI2SEeFsA0Eo0qxFTHlPmG</v>
      </c>
      <c r="O772" s="14" t="str">
        <f>IFERROR(__xludf.DUMMYFUNCTION("""COMPUTED_VALUE"""),"https://drive.google.com/file/d/1uHkqzCQoIaazODEzjdbp8h9qewgm3qBe/view?usp=drivesdk")</f>
        <v>https://drive.google.com/file/d/1uHkqzCQoIaazODEzjdbp8h9qewgm3qBe/view?usp=drivesdk</v>
      </c>
    </row>
    <row r="773">
      <c r="A773" s="3">
        <f>IFERROR(__xludf.DUMMYFUNCTION("""COMPUTED_VALUE"""),3322.0)</f>
        <v>3322</v>
      </c>
      <c r="B773" s="11">
        <f>IFERROR(__xludf.DUMMYFUNCTION("""COMPUTED_VALUE"""),46181.520401967595)</f>
        <v>46181.5204</v>
      </c>
      <c r="C773" s="3" t="str">
        <f>IFERROR(__xludf.DUMMYFUNCTION("""COMPUTED_VALUE"""),"ชั้นปีที่ 3")</f>
        <v>ชั้นปีที่ 3</v>
      </c>
      <c r="D773" s="3" t="str">
        <f>IFERROR(__xludf.DUMMYFUNCTION("""COMPUTED_VALUE"""),"6603803")</f>
        <v>6603803</v>
      </c>
      <c r="E773" s="3" t="str">
        <f>IFERROR(__xludf.DUMMYFUNCTION("""COMPUTED_VALUE"""),"49")</f>
        <v>49</v>
      </c>
      <c r="F773" s="3" t="str">
        <f>IFERROR(__xludf.DUMMYFUNCTION("""COMPUTED_VALUE"""),"นพอ.ศิริพร คล้ายแก้ว")</f>
        <v>นพอ.ศิริพร คล้ายแก้ว</v>
      </c>
      <c r="G773" s="3" t="str">
        <f>IFERROR(__xludf.DUMMYFUNCTION("""COMPUTED_VALUE"""),"ช่วยเหลืองานภายใน วพอ.")</f>
        <v>ช่วยเหลืองานภายใน วพอ.</v>
      </c>
      <c r="H773" s="3" t="str">
        <f>IFERROR(__xludf.DUMMYFUNCTION("""COMPUTED_VALUE"""),"ทกท.")</f>
        <v>ทกท.</v>
      </c>
      <c r="I773" s="3" t="str">
        <f>IFERROR(__xludf.DUMMYFUNCTION("""COMPUTED_VALUE"""),"วพอ.พอ.")</f>
        <v>วพอ.พอ.</v>
      </c>
      <c r="J773" s="12">
        <f>IFERROR(__xludf.DUMMYFUNCTION("""COMPUTED_VALUE"""),46122.0)</f>
        <v>46122</v>
      </c>
      <c r="K773" s="3" t="str">
        <f>IFERROR(__xludf.DUMMYFUNCTION("""COMPUTED_VALUE"""),"0800-1200")</f>
        <v>0800-1200</v>
      </c>
      <c r="L773" s="3">
        <f>IFERROR(__xludf.DUMMYFUNCTION("""COMPUTED_VALUE"""),4.0)</f>
        <v>4</v>
      </c>
      <c r="M773" s="3" t="str">
        <f>IFERROR(__xludf.DUMMYFUNCTION("""COMPUTED_VALUE"""),"ร.อ.อนุชิต ทำจะดี")</f>
        <v>ร.อ.อนุชิต ทำจะดี</v>
      </c>
      <c r="N773" s="14" t="str">
        <f>IFERROR(__xludf.DUMMYFUNCTION("""COMPUTED_VALUE"""),"https://lh5.googleusercontent.com/d/1tZJknu6OAZ00Pp14o9gaOf20JmTyKYo5")</f>
        <v>https://lh5.googleusercontent.com/d/1tZJknu6OAZ00Pp14o9gaOf20JmTyKYo5</v>
      </c>
      <c r="O773" s="14" t="str">
        <f>IFERROR(__xludf.DUMMYFUNCTION("""COMPUTED_VALUE"""),"https://drive.google.com/file/d/1S5h-B5Tje7NFlgRkwlf9-SDyIW-fzK5L/view?usp=drivesdk")</f>
        <v>https://drive.google.com/file/d/1S5h-B5Tje7NFlgRkwlf9-SDyIW-fzK5L/view?usp=drivesdk</v>
      </c>
    </row>
    <row r="774">
      <c r="A774" s="3">
        <f>IFERROR(__xludf.DUMMYFUNCTION("""COMPUTED_VALUE"""),3323.0)</f>
        <v>3323</v>
      </c>
      <c r="B774" s="11">
        <f>IFERROR(__xludf.DUMMYFUNCTION("""COMPUTED_VALUE"""),46181.5233806713)</f>
        <v>46181.52338</v>
      </c>
      <c r="C774" s="3" t="str">
        <f>IFERROR(__xludf.DUMMYFUNCTION("""COMPUTED_VALUE"""),"ชั้นปีที่ 3")</f>
        <v>ชั้นปีที่ 3</v>
      </c>
      <c r="D774" s="3" t="str">
        <f>IFERROR(__xludf.DUMMYFUNCTION("""COMPUTED_VALUE"""),"6603796")</f>
        <v>6603796</v>
      </c>
      <c r="E774" s="3" t="str">
        <f>IFERROR(__xludf.DUMMYFUNCTION("""COMPUTED_VALUE"""),"42")</f>
        <v>42</v>
      </c>
      <c r="F774" s="3" t="str">
        <f>IFERROR(__xludf.DUMMYFUNCTION("""COMPUTED_VALUE"""),"นพอ.พิมพ์พิศา ไพศาลมรกต")</f>
        <v>นพอ.พิมพ์พิศา ไพศาลมรกต</v>
      </c>
      <c r="G774" s="3" t="str">
        <f>IFERROR(__xludf.DUMMYFUNCTION("""COMPUTED_VALUE"""),"งานฟรีทั่วไป")</f>
        <v>งานฟรีทั่วไป</v>
      </c>
      <c r="H774" s="3" t="str">
        <f>IFERROR(__xludf.DUMMYFUNCTION("""COMPUTED_VALUE"""),"กวาดบ้าน")</f>
        <v>กวาดบ้าน</v>
      </c>
      <c r="I774" s="3" t="str">
        <f>IFERROR(__xludf.DUMMYFUNCTION("""COMPUTED_VALUE"""),"บ้านปิ่น")</f>
        <v>บ้านปิ่น</v>
      </c>
      <c r="J774" s="12">
        <f>IFERROR(__xludf.DUMMYFUNCTION("""COMPUTED_VALUE"""),46180.0)</f>
        <v>46180</v>
      </c>
      <c r="K774" s="3" t="str">
        <f>IFERROR(__xludf.DUMMYFUNCTION("""COMPUTED_VALUE"""),"1000-1100")</f>
        <v>1000-1100</v>
      </c>
      <c r="L774" s="3">
        <f>IFERROR(__xludf.DUMMYFUNCTION("""COMPUTED_VALUE"""),1.0)</f>
        <v>1</v>
      </c>
      <c r="M77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74" s="14" t="str">
        <f>IFERROR(__xludf.DUMMYFUNCTION("""COMPUTED_VALUE"""),"https://lh5.googleusercontent.com/d/10FaiJ6z1njV9HXuHmUyeED5mfE63ojfN")</f>
        <v>https://lh5.googleusercontent.com/d/10FaiJ6z1njV9HXuHmUyeED5mfE63ojfN</v>
      </c>
      <c r="O774" s="14" t="str">
        <f>IFERROR(__xludf.DUMMYFUNCTION("""COMPUTED_VALUE"""),"https://drive.google.com/file/d/1yAfBgKh4L9RiADrieXyaUBgFEBOsz0hT/view?usp=drivesdk")</f>
        <v>https://drive.google.com/file/d/1yAfBgKh4L9RiADrieXyaUBgFEBOsz0hT/view?usp=drivesdk</v>
      </c>
    </row>
    <row r="775">
      <c r="A775" s="3">
        <f>IFERROR(__xludf.DUMMYFUNCTION("""COMPUTED_VALUE"""),3324.0)</f>
        <v>3324</v>
      </c>
      <c r="B775" s="11">
        <f>IFERROR(__xludf.DUMMYFUNCTION("""COMPUTED_VALUE"""),46181.52750430555)</f>
        <v>46181.5275</v>
      </c>
      <c r="C775" s="3" t="str">
        <f>IFERROR(__xludf.DUMMYFUNCTION("""COMPUTED_VALUE"""),"ชั้นปีที่ 3")</f>
        <v>ชั้นปีที่ 3</v>
      </c>
      <c r="D775" s="3" t="str">
        <f>IFERROR(__xludf.DUMMYFUNCTION("""COMPUTED_VALUE"""),"6603801")</f>
        <v>6603801</v>
      </c>
      <c r="E775" s="3" t="str">
        <f>IFERROR(__xludf.DUMMYFUNCTION("""COMPUTED_VALUE"""),"47")</f>
        <v>47</v>
      </c>
      <c r="F775" s="3" t="str">
        <f>IFERROR(__xludf.DUMMYFUNCTION("""COMPUTED_VALUE"""),"นพอ.วาสิตา ไทรทอง")</f>
        <v>นพอ.วาสิตา ไทรทอง</v>
      </c>
      <c r="G775" s="3" t="str">
        <f>IFERROR(__xludf.DUMMYFUNCTION("""COMPUTED_VALUE"""),"ช่วยเหลืองานภายใน วพอ.")</f>
        <v>ช่วยเหลืองานภายใน วพอ.</v>
      </c>
      <c r="H775" s="3" t="str">
        <f>IFERROR(__xludf.DUMMYFUNCTION("""COMPUTED_VALUE"""),"ขนหินตกแต่งวิทยาลัย")</f>
        <v>ขนหินตกแต่งวิทยาลัย</v>
      </c>
      <c r="I775" s="3" t="str">
        <f>IFERROR(__xludf.DUMMYFUNCTION("""COMPUTED_VALUE"""),"วพอ.พอ.")</f>
        <v>วพอ.พอ.</v>
      </c>
      <c r="J775" s="12">
        <f>IFERROR(__xludf.DUMMYFUNCTION("""COMPUTED_VALUE"""),46177.0)</f>
        <v>46177</v>
      </c>
      <c r="K775" s="3" t="str">
        <f>IFERROR(__xludf.DUMMYFUNCTION("""COMPUTED_VALUE"""),"1400-1700")</f>
        <v>1400-1700</v>
      </c>
      <c r="L775" s="3">
        <f>IFERROR(__xludf.DUMMYFUNCTION("""COMPUTED_VALUE"""),3.0)</f>
        <v>3</v>
      </c>
      <c r="M775" s="3" t="str">
        <f>IFERROR(__xludf.DUMMYFUNCTION("""COMPUTED_VALUE"""),"น.อ.หญิง ผศ.นิตยา สุขแสน")</f>
        <v>น.อ.หญิง ผศ.นิตยา สุขแสน</v>
      </c>
      <c r="N775" s="14" t="str">
        <f>IFERROR(__xludf.DUMMYFUNCTION("""COMPUTED_VALUE"""),"https://lh5.googleusercontent.com/d/15OiuoMvjsB9sPhBhuWbJ-R7bSBRFyjQ7")</f>
        <v>https://lh5.googleusercontent.com/d/15OiuoMvjsB9sPhBhuWbJ-R7bSBRFyjQ7</v>
      </c>
      <c r="O775" s="14" t="str">
        <f>IFERROR(__xludf.DUMMYFUNCTION("""COMPUTED_VALUE"""),"https://drive.google.com/file/d/14_t3Q7eHQ67rGzc6NQCXB2xn70WYP34E/view?usp=drivesdk")</f>
        <v>https://drive.google.com/file/d/14_t3Q7eHQ67rGzc6NQCXB2xn70WYP34E/view?usp=drivesdk</v>
      </c>
    </row>
    <row r="776">
      <c r="A776" s="3">
        <f>IFERROR(__xludf.DUMMYFUNCTION("""COMPUTED_VALUE"""),3325.0)</f>
        <v>3325</v>
      </c>
      <c r="B776" s="11">
        <f>IFERROR(__xludf.DUMMYFUNCTION("""COMPUTED_VALUE"""),46181.528861018516)</f>
        <v>46181.52886</v>
      </c>
      <c r="C776" s="3" t="str">
        <f>IFERROR(__xludf.DUMMYFUNCTION("""COMPUTED_VALUE"""),"ชั้นปีที่ 3")</f>
        <v>ชั้นปีที่ 3</v>
      </c>
      <c r="D776" s="3" t="str">
        <f>IFERROR(__xludf.DUMMYFUNCTION("""COMPUTED_VALUE"""),"6603806")</f>
        <v>6603806</v>
      </c>
      <c r="E776" s="3" t="str">
        <f>IFERROR(__xludf.DUMMYFUNCTION("""COMPUTED_VALUE"""),"52")</f>
        <v>52</v>
      </c>
      <c r="F776" s="3" t="str">
        <f>IFERROR(__xludf.DUMMYFUNCTION("""COMPUTED_VALUE"""),"นพอ.ศุภิสรา หอมหวล")</f>
        <v>นพอ.ศุภิสรา หอมหวล</v>
      </c>
      <c r="G776" s="3" t="str">
        <f>IFERROR(__xludf.DUMMYFUNCTION("""COMPUTED_VALUE"""),"ช่วยเหลืองานภายใน วพอ.")</f>
        <v>ช่วยเหลืองานภายใน วพอ.</v>
      </c>
      <c r="H776" s="3" t="str">
        <f>IFERROR(__xludf.DUMMYFUNCTION("""COMPUTED_VALUE"""),"ซ้อมงานพิธีมอบ หมวกพยาบาลวิชาชีพ ปีการศึกษา 2568")</f>
        <v>ซ้อมงานพิธีมอบ หมวกพยาบาลวิชาชีพ ปีการศึกษา 2568</v>
      </c>
      <c r="I776" s="3" t="str">
        <f>IFERROR(__xludf.DUMMYFUNCTION("""COMPUTED_VALUE"""),"วพอ.พอ.")</f>
        <v>วพอ.พอ.</v>
      </c>
      <c r="J776" s="12">
        <f>IFERROR(__xludf.DUMMYFUNCTION("""COMPUTED_VALUE"""),46133.0)</f>
        <v>46133</v>
      </c>
      <c r="K776" s="3" t="str">
        <f>IFERROR(__xludf.DUMMYFUNCTION("""COMPUTED_VALUE"""),"1700-2100")</f>
        <v>1700-2100</v>
      </c>
      <c r="L776" s="3">
        <f>IFERROR(__xludf.DUMMYFUNCTION("""COMPUTED_VALUE"""),4.0)</f>
        <v>4</v>
      </c>
      <c r="M776" s="3" t="str">
        <f>IFERROR(__xludf.DUMMYFUNCTION("""COMPUTED_VALUE"""),"ร.อ.อนุชิต ทำจะดี")</f>
        <v>ร.อ.อนุชิต ทำจะดี</v>
      </c>
      <c r="N776" s="14" t="str">
        <f>IFERROR(__xludf.DUMMYFUNCTION("""COMPUTED_VALUE"""),"https://lh5.googleusercontent.com/d/1WYOJ56RR-AJ5xOYfqEUXdKXBi-6dtvME")</f>
        <v>https://lh5.googleusercontent.com/d/1WYOJ56RR-AJ5xOYfqEUXdKXBi-6dtvME</v>
      </c>
      <c r="O776" s="14" t="str">
        <f>IFERROR(__xludf.DUMMYFUNCTION("""COMPUTED_VALUE"""),"https://drive.google.com/file/d/1a4TtmncoylglkibdXn-zFkrR6gv6Hk4i/view?usp=drivesdk")</f>
        <v>https://drive.google.com/file/d/1a4TtmncoylglkibdXn-zFkrR6gv6Hk4i/view?usp=drivesdk</v>
      </c>
    </row>
    <row r="777">
      <c r="A777" s="3">
        <f>IFERROR(__xludf.DUMMYFUNCTION("""COMPUTED_VALUE"""),3326.0)</f>
        <v>3326</v>
      </c>
      <c r="B777" s="11">
        <f>IFERROR(__xludf.DUMMYFUNCTION("""COMPUTED_VALUE"""),46181.52980842593)</f>
        <v>46181.52981</v>
      </c>
      <c r="C777" s="3" t="str">
        <f>IFERROR(__xludf.DUMMYFUNCTION("""COMPUTED_VALUE"""),"ชั้นปีที่ 3")</f>
        <v>ชั้นปีที่ 3</v>
      </c>
      <c r="D777" s="3" t="str">
        <f>IFERROR(__xludf.DUMMYFUNCTION("""COMPUTED_VALUE"""),"6603771")</f>
        <v>6603771</v>
      </c>
      <c r="E777" s="3" t="str">
        <f>IFERROR(__xludf.DUMMYFUNCTION("""COMPUTED_VALUE"""),"18")</f>
        <v>18</v>
      </c>
      <c r="F777" s="3" t="str">
        <f>IFERROR(__xludf.DUMMYFUNCTION("""COMPUTED_VALUE"""),"นพอ.ทวิกา สอิ้งแก้ว")</f>
        <v>นพอ.ทวิกา สอิ้งแก้ว</v>
      </c>
      <c r="G777" s="3" t="str">
        <f>IFERROR(__xludf.DUMMYFUNCTION("""COMPUTED_VALUE"""),"ช่วยเหลืองานภายใน วพอ.")</f>
        <v>ช่วยเหลืองานภายใน วพอ.</v>
      </c>
      <c r="H77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77" s="3" t="str">
        <f>IFERROR(__xludf.DUMMYFUNCTION("""COMPUTED_VALUE"""),"วพอ.พอ.")</f>
        <v>วพอ.พอ.</v>
      </c>
      <c r="J777" s="12">
        <f>IFERROR(__xludf.DUMMYFUNCTION("""COMPUTED_VALUE"""),46134.0)</f>
        <v>46134</v>
      </c>
      <c r="K777" s="3" t="str">
        <f>IFERROR(__xludf.DUMMYFUNCTION("""COMPUTED_VALUE"""),"1700-2100")</f>
        <v>1700-2100</v>
      </c>
      <c r="L777" s="3">
        <f>IFERROR(__xludf.DUMMYFUNCTION("""COMPUTED_VALUE"""),4.0)</f>
        <v>4</v>
      </c>
      <c r="M777" s="3" t="str">
        <f>IFERROR(__xludf.DUMMYFUNCTION("""COMPUTED_VALUE"""),"ร.อ.อนุชิต ทำจะดี")</f>
        <v>ร.อ.อนุชิต ทำจะดี</v>
      </c>
      <c r="N777" s="14" t="str">
        <f>IFERROR(__xludf.DUMMYFUNCTION("""COMPUTED_VALUE"""),"https://lh5.googleusercontent.com/d/1Y4rh-LCnRo4Lwbbrups7qImJ48rw-Cm3")</f>
        <v>https://lh5.googleusercontent.com/d/1Y4rh-LCnRo4Lwbbrups7qImJ48rw-Cm3</v>
      </c>
      <c r="O777" s="14" t="str">
        <f>IFERROR(__xludf.DUMMYFUNCTION("""COMPUTED_VALUE"""),"https://drive.google.com/file/d/1G2VeaUb9ehU0tOu8dQLy8-7hbewvhIl8/view?usp=drivesdk")</f>
        <v>https://drive.google.com/file/d/1G2VeaUb9ehU0tOu8dQLy8-7hbewvhIl8/view?usp=drivesdk</v>
      </c>
    </row>
    <row r="778">
      <c r="A778" s="3">
        <f>IFERROR(__xludf.DUMMYFUNCTION("""COMPUTED_VALUE"""),3327.0)</f>
        <v>3327</v>
      </c>
      <c r="B778" s="11">
        <f>IFERROR(__xludf.DUMMYFUNCTION("""COMPUTED_VALUE"""),46181.53071238426)</f>
        <v>46181.53071</v>
      </c>
      <c r="C778" s="3" t="str">
        <f>IFERROR(__xludf.DUMMYFUNCTION("""COMPUTED_VALUE"""),"ชั้นปีที่ 3")</f>
        <v>ชั้นปีที่ 3</v>
      </c>
      <c r="D778" s="3" t="str">
        <f>IFERROR(__xludf.DUMMYFUNCTION("""COMPUTED_VALUE"""),"6603806")</f>
        <v>6603806</v>
      </c>
      <c r="E778" s="3" t="str">
        <f>IFERROR(__xludf.DUMMYFUNCTION("""COMPUTED_VALUE"""),"52")</f>
        <v>52</v>
      </c>
      <c r="F778" s="3" t="str">
        <f>IFERROR(__xludf.DUMMYFUNCTION("""COMPUTED_VALUE"""),"นพอ.ศุภิสรา หอมหวล")</f>
        <v>นพอ.ศุภิสรา หอมหวล</v>
      </c>
      <c r="G778" s="3" t="str">
        <f>IFERROR(__xludf.DUMMYFUNCTION("""COMPUTED_VALUE"""),"ช่วยเหลืองานภายใน วพอ.")</f>
        <v>ช่วยเหลืองานภายใน วพอ.</v>
      </c>
      <c r="H778" s="3" t="str">
        <f>IFERROR(__xludf.DUMMYFUNCTION("""COMPUTED_VALUE"""),"ซ้อมงานพิธีมอบ หมวกพยาบาลวิชาชีพ ปีการศึกษา 2568")</f>
        <v>ซ้อมงานพิธีมอบ หมวกพยาบาลวิชาชีพ ปีการศึกษา 2568</v>
      </c>
      <c r="I778" s="3" t="str">
        <f>IFERROR(__xludf.DUMMYFUNCTION("""COMPUTED_VALUE"""),"วพอ.พอ.")</f>
        <v>วพอ.พอ.</v>
      </c>
      <c r="J778" s="12">
        <f>IFERROR(__xludf.DUMMYFUNCTION("""COMPUTED_VALUE"""),46134.0)</f>
        <v>46134</v>
      </c>
      <c r="K778" s="3" t="str">
        <f>IFERROR(__xludf.DUMMYFUNCTION("""COMPUTED_VALUE"""),"1700-2100")</f>
        <v>1700-2100</v>
      </c>
      <c r="L778" s="3">
        <f>IFERROR(__xludf.DUMMYFUNCTION("""COMPUTED_VALUE"""),4.0)</f>
        <v>4</v>
      </c>
      <c r="M778" s="3" t="str">
        <f>IFERROR(__xludf.DUMMYFUNCTION("""COMPUTED_VALUE"""),"ร.อ.อนุชิต ทำจะดี")</f>
        <v>ร.อ.อนุชิต ทำจะดี</v>
      </c>
      <c r="N778" s="14" t="str">
        <f>IFERROR(__xludf.DUMMYFUNCTION("""COMPUTED_VALUE"""),"https://lh5.googleusercontent.com/d/1eeyowrzxTg1NBFXpyIPWByIuLtyIxQea")</f>
        <v>https://lh5.googleusercontent.com/d/1eeyowrzxTg1NBFXpyIPWByIuLtyIxQea</v>
      </c>
      <c r="O778" s="14" t="str">
        <f>IFERROR(__xludf.DUMMYFUNCTION("""COMPUTED_VALUE"""),"https://drive.google.com/file/d/1_hUW2KfcmWYitybgv8gFGc8m_21O8uWy/view?usp=drivesdk")</f>
        <v>https://drive.google.com/file/d/1_hUW2KfcmWYitybgv8gFGc8m_21O8uWy/view?usp=drivesdk</v>
      </c>
    </row>
    <row r="779">
      <c r="A779" s="3">
        <f>IFERROR(__xludf.DUMMYFUNCTION("""COMPUTED_VALUE"""),3328.0)</f>
        <v>3328</v>
      </c>
      <c r="B779" s="11">
        <f>IFERROR(__xludf.DUMMYFUNCTION("""COMPUTED_VALUE"""),46181.53078807871)</f>
        <v>46181.53079</v>
      </c>
      <c r="C779" s="3" t="str">
        <f>IFERROR(__xludf.DUMMYFUNCTION("""COMPUTED_VALUE"""),"ชั้นปีที่ 3")</f>
        <v>ชั้นปีที่ 3</v>
      </c>
      <c r="D779" s="3" t="str">
        <f>IFERROR(__xludf.DUMMYFUNCTION("""COMPUTED_VALUE"""),"6603755")</f>
        <v>6603755</v>
      </c>
      <c r="E779" s="3" t="str">
        <f>IFERROR(__xludf.DUMMYFUNCTION("""COMPUTED_VALUE"""),"2")</f>
        <v>2</v>
      </c>
      <c r="F779" s="3" t="str">
        <f>IFERROR(__xludf.DUMMYFUNCTION("""COMPUTED_VALUE"""),"นพอ.กฤตินันท์ ฉิมพาลี ")</f>
        <v>นพอ.กฤตินันท์ ฉิมพาลี </v>
      </c>
      <c r="G779" s="3" t="str">
        <f>IFERROR(__xludf.DUMMYFUNCTION("""COMPUTED_VALUE"""),"ช่วยเหลืองานภายใน วพอ.")</f>
        <v>ช่วยเหลืองานภายใน วพอ.</v>
      </c>
      <c r="H779" s="3" t="str">
        <f>IFERROR(__xludf.DUMMYFUNCTION("""COMPUTED_VALUE"""),"ทดสอบพิเศษนพอ.รุ่นที่ 69")</f>
        <v>ทดสอบพิเศษนพอ.รุ่นที่ 69</v>
      </c>
      <c r="I779" s="3" t="str">
        <f>IFERROR(__xludf.DUMMYFUNCTION("""COMPUTED_VALUE"""),"วพอ.พอ.")</f>
        <v>วพอ.พอ.</v>
      </c>
      <c r="J779" s="12">
        <f>IFERROR(__xludf.DUMMYFUNCTION("""COMPUTED_VALUE"""),46147.0)</f>
        <v>46147</v>
      </c>
      <c r="K779" s="3" t="str">
        <f>IFERROR(__xludf.DUMMYFUNCTION("""COMPUTED_VALUE"""),"0800-1600")</f>
        <v>0800-1600</v>
      </c>
      <c r="L779" s="3">
        <f>IFERROR(__xludf.DUMMYFUNCTION("""COMPUTED_VALUE"""),8.0)</f>
        <v>8</v>
      </c>
      <c r="M779" s="3" t="str">
        <f>IFERROR(__xludf.DUMMYFUNCTION("""COMPUTED_VALUE"""),"น.อ.หญิงลักษ์ขณา พานิชสรรค์ ")</f>
        <v>น.อ.หญิงลักษ์ขณา พานิชสรรค์ </v>
      </c>
      <c r="N779" s="14" t="str">
        <f>IFERROR(__xludf.DUMMYFUNCTION("""COMPUTED_VALUE"""),"https://lh5.googleusercontent.com/d/1enFWmHk7hM9Ry-Wj7eh82hcA8iqHFMu4")</f>
        <v>https://lh5.googleusercontent.com/d/1enFWmHk7hM9Ry-Wj7eh82hcA8iqHFMu4</v>
      </c>
      <c r="O779" s="14" t="str">
        <f>IFERROR(__xludf.DUMMYFUNCTION("""COMPUTED_VALUE"""),"https://drive.google.com/file/d/1L5Of5zOVLEDaz9ZztQ5uWN254LJ9tzqH/view?usp=drivesdk")</f>
        <v>https://drive.google.com/file/d/1L5Of5zOVLEDaz9ZztQ5uWN254LJ9tzqH/view?usp=drivesdk</v>
      </c>
    </row>
    <row r="780">
      <c r="A780" s="3">
        <f>IFERROR(__xludf.DUMMYFUNCTION("""COMPUTED_VALUE"""),3329.0)</f>
        <v>3329</v>
      </c>
      <c r="B780" s="11">
        <f>IFERROR(__xludf.DUMMYFUNCTION("""COMPUTED_VALUE"""),46181.53129615741)</f>
        <v>46181.5313</v>
      </c>
      <c r="C780" s="3" t="str">
        <f>IFERROR(__xludf.DUMMYFUNCTION("""COMPUTED_VALUE"""),"ชั้นปีที่ 3")</f>
        <v>ชั้นปีที่ 3</v>
      </c>
      <c r="D780" s="3" t="str">
        <f>IFERROR(__xludf.DUMMYFUNCTION("""COMPUTED_VALUE"""),"6603771")</f>
        <v>6603771</v>
      </c>
      <c r="E780" s="3" t="str">
        <f>IFERROR(__xludf.DUMMYFUNCTION("""COMPUTED_VALUE"""),"18")</f>
        <v>18</v>
      </c>
      <c r="F780" s="3" t="str">
        <f>IFERROR(__xludf.DUMMYFUNCTION("""COMPUTED_VALUE"""),"นพอ.ทวิกา สอิ้งแก้ว")</f>
        <v>นพอ.ทวิกา สอิ้งแก้ว</v>
      </c>
      <c r="G780" s="3" t="str">
        <f>IFERROR(__xludf.DUMMYFUNCTION("""COMPUTED_VALUE"""),"ช่วยเหลืองานภายใน วพอ.")</f>
        <v>ช่วยเหลืองานภายใน วพอ.</v>
      </c>
      <c r="H78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0" s="3" t="str">
        <f>IFERROR(__xludf.DUMMYFUNCTION("""COMPUTED_VALUE"""),"วพอ.พอ.")</f>
        <v>วพอ.พอ.</v>
      </c>
      <c r="J780" s="12">
        <f>IFERROR(__xludf.DUMMYFUNCTION("""COMPUTED_VALUE"""),46135.0)</f>
        <v>46135</v>
      </c>
      <c r="K780" s="3" t="str">
        <f>IFERROR(__xludf.DUMMYFUNCTION("""COMPUTED_VALUE"""),"1700-2100")</f>
        <v>1700-2100</v>
      </c>
      <c r="L780" s="3">
        <f>IFERROR(__xludf.DUMMYFUNCTION("""COMPUTED_VALUE"""),4.0)</f>
        <v>4</v>
      </c>
      <c r="M780" s="3" t="str">
        <f>IFERROR(__xludf.DUMMYFUNCTION("""COMPUTED_VALUE"""),"ร.อ.อนุชิต ทำจะดี")</f>
        <v>ร.อ.อนุชิต ทำจะดี</v>
      </c>
      <c r="N780" s="14" t="str">
        <f>IFERROR(__xludf.DUMMYFUNCTION("""COMPUTED_VALUE"""),"https://lh5.googleusercontent.com/d/1TWxmgt6nLPPhNoCH0hfPssGFk1DDBQzn")</f>
        <v>https://lh5.googleusercontent.com/d/1TWxmgt6nLPPhNoCH0hfPssGFk1DDBQzn</v>
      </c>
      <c r="O780" s="14" t="str">
        <f>IFERROR(__xludf.DUMMYFUNCTION("""COMPUTED_VALUE"""),"https://drive.google.com/file/d/1cl85HRG1HXqiCUrVa_vk3AZenHUstoUp/view?usp=drivesdk")</f>
        <v>https://drive.google.com/file/d/1cl85HRG1HXqiCUrVa_vk3AZenHUstoUp/view?usp=drivesdk</v>
      </c>
    </row>
    <row r="781">
      <c r="A781" s="3">
        <f>IFERROR(__xludf.DUMMYFUNCTION("""COMPUTED_VALUE"""),3330.0)</f>
        <v>3330</v>
      </c>
      <c r="B781" s="11">
        <f>IFERROR(__xludf.DUMMYFUNCTION("""COMPUTED_VALUE"""),46181.53284871527)</f>
        <v>46181.53285</v>
      </c>
      <c r="C781" s="3" t="str">
        <f>IFERROR(__xludf.DUMMYFUNCTION("""COMPUTED_VALUE"""),"ชั้นปีที่ 3")</f>
        <v>ชั้นปีที่ 3</v>
      </c>
      <c r="D781" s="3" t="str">
        <f>IFERROR(__xludf.DUMMYFUNCTION("""COMPUTED_VALUE"""),"6603796")</f>
        <v>6603796</v>
      </c>
      <c r="E781" s="3" t="str">
        <f>IFERROR(__xludf.DUMMYFUNCTION("""COMPUTED_VALUE"""),"42")</f>
        <v>42</v>
      </c>
      <c r="F781" s="3" t="str">
        <f>IFERROR(__xludf.DUMMYFUNCTION("""COMPUTED_VALUE"""),"นพอ.พิมพ์พิศา ไพศาลมรกต")</f>
        <v>นพอ.พิมพ์พิศา ไพศาลมรกต</v>
      </c>
      <c r="G781" s="3" t="str">
        <f>IFERROR(__xludf.DUMMYFUNCTION("""COMPUTED_VALUE"""),"ช่วยเหลืองานภายใน วพอ.")</f>
        <v>ช่วยเหลืองานภายใน วพอ.</v>
      </c>
      <c r="H781" s="3" t="str">
        <f>IFERROR(__xludf.DUMMYFUNCTION("""COMPUTED_VALUE"""),"ซ้อมเต้นเพลงฉันมีความสุข")</f>
        <v>ซ้อมเต้นเพลงฉันมีความสุข</v>
      </c>
      <c r="I781" s="3" t="str">
        <f>IFERROR(__xludf.DUMMYFUNCTION("""COMPUTED_VALUE"""),"หอพักนพอ.")</f>
        <v>หอพักนพอ.</v>
      </c>
      <c r="J781" s="12">
        <f>IFERROR(__xludf.DUMMYFUNCTION("""COMPUTED_VALUE"""),46180.0)</f>
        <v>46180</v>
      </c>
      <c r="K781" s="3" t="str">
        <f>IFERROR(__xludf.DUMMYFUNCTION("""COMPUTED_VALUE"""),"1500-1600")</f>
        <v>1500-1600</v>
      </c>
      <c r="L781" s="3">
        <f>IFERROR(__xludf.DUMMYFUNCTION("""COMPUTED_VALUE"""),1.0)</f>
        <v>1</v>
      </c>
      <c r="M781" s="3" t="str">
        <f>IFERROR(__xludf.DUMMYFUNCTION("""COMPUTED_VALUE"""),"ร.อ.หญิง เบญญาดา บุรีรัตน์")</f>
        <v>ร.อ.หญิง เบญญาดา บุรีรัตน์</v>
      </c>
      <c r="N781" s="14" t="str">
        <f>IFERROR(__xludf.DUMMYFUNCTION("""COMPUTED_VALUE"""),"https://lh5.googleusercontent.com/d/1n1iPSgLowXZqONzi9N1Eu9N8SvVCeICY")</f>
        <v>https://lh5.googleusercontent.com/d/1n1iPSgLowXZqONzi9N1Eu9N8SvVCeICY</v>
      </c>
      <c r="O781" s="14" t="str">
        <f>IFERROR(__xludf.DUMMYFUNCTION("""COMPUTED_VALUE"""),"https://drive.google.com/file/d/13D54MhcB8IkewrhgByXjP-T8lKeAZuMw/view?usp=drivesdk")</f>
        <v>https://drive.google.com/file/d/13D54MhcB8IkewrhgByXjP-T8lKeAZuMw/view?usp=drivesdk</v>
      </c>
    </row>
    <row r="782">
      <c r="A782" s="3">
        <f>IFERROR(__xludf.DUMMYFUNCTION("""COMPUTED_VALUE"""),3332.0)</f>
        <v>3332</v>
      </c>
      <c r="B782" s="11">
        <f>IFERROR(__xludf.DUMMYFUNCTION("""COMPUTED_VALUE"""),46181.56424225694)</f>
        <v>46181.56424</v>
      </c>
      <c r="C782" s="3" t="str">
        <f>IFERROR(__xludf.DUMMYFUNCTION("""COMPUTED_VALUE"""),"ชั้นปีที่ 3")</f>
        <v>ชั้นปีที่ 3</v>
      </c>
      <c r="D782" s="3" t="str">
        <f>IFERROR(__xludf.DUMMYFUNCTION("""COMPUTED_VALUE"""),"6603771")</f>
        <v>6603771</v>
      </c>
      <c r="E782" s="3" t="str">
        <f>IFERROR(__xludf.DUMMYFUNCTION("""COMPUTED_VALUE"""),"18")</f>
        <v>18</v>
      </c>
      <c r="F782" s="3" t="str">
        <f>IFERROR(__xludf.DUMMYFUNCTION("""COMPUTED_VALUE"""),"นพอ.ทวิกา สอิ้งแก้ว")</f>
        <v>นพอ.ทวิกา สอิ้งแก้ว</v>
      </c>
      <c r="G782" s="3" t="str">
        <f>IFERROR(__xludf.DUMMYFUNCTION("""COMPUTED_VALUE"""),"ช่วยเหลืองานภายใน วพอ.")</f>
        <v>ช่วยเหลืองานภายใน วพอ.</v>
      </c>
      <c r="H78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2" s="3" t="str">
        <f>IFERROR(__xludf.DUMMYFUNCTION("""COMPUTED_VALUE"""),"วพอ.พอ.")</f>
        <v>วพอ.พอ.</v>
      </c>
      <c r="J782" s="12">
        <f>IFERROR(__xludf.DUMMYFUNCTION("""COMPUTED_VALUE"""),46138.0)</f>
        <v>46138</v>
      </c>
      <c r="K782" s="3" t="str">
        <f>IFERROR(__xludf.DUMMYFUNCTION("""COMPUTED_VALUE"""),"1500-2100")</f>
        <v>1500-2100</v>
      </c>
      <c r="L782" s="3">
        <f>IFERROR(__xludf.DUMMYFUNCTION("""COMPUTED_VALUE"""),6.0)</f>
        <v>6</v>
      </c>
      <c r="M782" s="3" t="str">
        <f>IFERROR(__xludf.DUMMYFUNCTION("""COMPUTED_VALUE"""),"ร.อ.อนุชิต ทำจะดี")</f>
        <v>ร.อ.อนุชิต ทำจะดี</v>
      </c>
      <c r="N782" s="14" t="str">
        <f>IFERROR(__xludf.DUMMYFUNCTION("""COMPUTED_VALUE"""),"https://lh5.googleusercontent.com/d/1FEitf3mVXK9pqA8Rv7uPHJxTjWPQ7Aec")</f>
        <v>https://lh5.googleusercontent.com/d/1FEitf3mVXK9pqA8Rv7uPHJxTjWPQ7Aec</v>
      </c>
      <c r="O782" s="14" t="str">
        <f>IFERROR(__xludf.DUMMYFUNCTION("""COMPUTED_VALUE"""),"https://drive.google.com/file/d/1qENIhlJRQCOh2aG8I7NCZEKpnPFg1HWw/view?usp=drivesdk")</f>
        <v>https://drive.google.com/file/d/1qENIhlJRQCOh2aG8I7NCZEKpnPFg1HWw/view?usp=drivesdk</v>
      </c>
    </row>
    <row r="783">
      <c r="A783" s="3">
        <f>IFERROR(__xludf.DUMMYFUNCTION("""COMPUTED_VALUE"""),3334.0)</f>
        <v>3334</v>
      </c>
      <c r="B783" s="11">
        <f>IFERROR(__xludf.DUMMYFUNCTION("""COMPUTED_VALUE"""),46181.56542392361)</f>
        <v>46181.56542</v>
      </c>
      <c r="C783" s="3" t="str">
        <f>IFERROR(__xludf.DUMMYFUNCTION("""COMPUTED_VALUE"""),"ชั้นปีที่ 3")</f>
        <v>ชั้นปีที่ 3</v>
      </c>
      <c r="D783" s="3" t="str">
        <f>IFERROR(__xludf.DUMMYFUNCTION("""COMPUTED_VALUE"""),"6603770")</f>
        <v>6603770</v>
      </c>
      <c r="E783" s="3" t="str">
        <f>IFERROR(__xludf.DUMMYFUNCTION("""COMPUTED_VALUE"""),"17")</f>
        <v>17</v>
      </c>
      <c r="F783" s="3" t="str">
        <f>IFERROR(__xludf.DUMMYFUNCTION("""COMPUTED_VALUE"""),"นพอ.ตรีสุคนธ์ ยศแก้ว")</f>
        <v>นพอ.ตรีสุคนธ์ ยศแก้ว</v>
      </c>
      <c r="G783" s="3" t="str">
        <f>IFERROR(__xludf.DUMMYFUNCTION("""COMPUTED_VALUE"""),"ช่วยเหลืองานภายใน วพอ.")</f>
        <v>ช่วยเหลืองานภายใน วพอ.</v>
      </c>
      <c r="H783" s="3" t="str">
        <f>IFERROR(__xludf.DUMMYFUNCTION("""COMPUTED_VALUE"""),"ขนหินตกแต่งวิทยาลัย")</f>
        <v>ขนหินตกแต่งวิทยาลัย</v>
      </c>
      <c r="I783" s="3" t="str">
        <f>IFERROR(__xludf.DUMMYFUNCTION("""COMPUTED_VALUE"""),"วพอ.พอ.")</f>
        <v>วพอ.พอ.</v>
      </c>
      <c r="J783" s="12">
        <f>IFERROR(__xludf.DUMMYFUNCTION("""COMPUTED_VALUE"""),46177.0)</f>
        <v>46177</v>
      </c>
      <c r="K783" s="3" t="str">
        <f>IFERROR(__xludf.DUMMYFUNCTION("""COMPUTED_VALUE"""),"1500-1800")</f>
        <v>1500-1800</v>
      </c>
      <c r="L783" s="3">
        <f>IFERROR(__xludf.DUMMYFUNCTION("""COMPUTED_VALUE"""),3.0)</f>
        <v>3</v>
      </c>
      <c r="M783" s="3" t="str">
        <f>IFERROR(__xludf.DUMMYFUNCTION("""COMPUTED_VALUE"""),"น.อ.หญิง ผศ.นิตยา สุขแสน")</f>
        <v>น.อ.หญิง ผศ.นิตยา สุขแสน</v>
      </c>
      <c r="N783" s="14" t="str">
        <f>IFERROR(__xludf.DUMMYFUNCTION("""COMPUTED_VALUE"""),"https://lh5.googleusercontent.com/d/1Qu_PwUsGy8sxeVHMAgWuZVk9bvBdjWEv")</f>
        <v>https://lh5.googleusercontent.com/d/1Qu_PwUsGy8sxeVHMAgWuZVk9bvBdjWEv</v>
      </c>
      <c r="O783" s="14" t="str">
        <f>IFERROR(__xludf.DUMMYFUNCTION("""COMPUTED_VALUE"""),"https://drive.google.com/file/d/11cn0WXE0kI4j8wxiyPLu6LaCIbe1eOgv/view?usp=drivesdk")</f>
        <v>https://drive.google.com/file/d/11cn0WXE0kI4j8wxiyPLu6LaCIbe1eOgv/view?usp=drivesdk</v>
      </c>
    </row>
    <row r="784">
      <c r="A784" s="3">
        <f>IFERROR(__xludf.DUMMYFUNCTION("""COMPUTED_VALUE"""),3335.0)</f>
        <v>3335</v>
      </c>
      <c r="B784" s="11">
        <f>IFERROR(__xludf.DUMMYFUNCTION("""COMPUTED_VALUE"""),46181.565824618054)</f>
        <v>46181.56582</v>
      </c>
      <c r="C784" s="3" t="str">
        <f>IFERROR(__xludf.DUMMYFUNCTION("""COMPUTED_VALUE"""),"ชั้นปีที่ 3")</f>
        <v>ชั้นปีที่ 3</v>
      </c>
      <c r="D784" s="3" t="str">
        <f>IFERROR(__xludf.DUMMYFUNCTION("""COMPUTED_VALUE"""),"6603755")</f>
        <v>6603755</v>
      </c>
      <c r="E784" s="3" t="str">
        <f>IFERROR(__xludf.DUMMYFUNCTION("""COMPUTED_VALUE"""),"2")</f>
        <v>2</v>
      </c>
      <c r="F784" s="3" t="str">
        <f>IFERROR(__xludf.DUMMYFUNCTION("""COMPUTED_VALUE"""),"นพอ.กฤตินันท์ ฉิมพาลี ")</f>
        <v>นพอ.กฤตินันท์ ฉิมพาลี </v>
      </c>
      <c r="G784" s="3" t="str">
        <f>IFERROR(__xludf.DUMMYFUNCTION("""COMPUTED_VALUE"""),"ช่วยเหลืองานภายใน วพอ.")</f>
        <v>ช่วยเหลืองานภายใน วพอ.</v>
      </c>
      <c r="H784" s="3" t="str">
        <f>IFERROR(__xludf.DUMMYFUNCTION("""COMPUTED_VALUE"""),"งานกาชาด ปี 2568 ")</f>
        <v>งานกาชาด ปี 2568 </v>
      </c>
      <c r="I784" s="3" t="str">
        <f>IFERROR(__xludf.DUMMYFUNCTION("""COMPUTED_VALUE"""),"สวนลุมพินี")</f>
        <v>สวนลุมพินี</v>
      </c>
      <c r="J784" s="12">
        <f>IFERROR(__xludf.DUMMYFUNCTION("""COMPUTED_VALUE"""),46012.0)</f>
        <v>46012</v>
      </c>
      <c r="K784" s="3" t="str">
        <f>IFERROR(__xludf.DUMMYFUNCTION("""COMPUTED_VALUE"""),"0800-1600")</f>
        <v>0800-1600</v>
      </c>
      <c r="L784" s="3">
        <f>IFERROR(__xludf.DUMMYFUNCTION("""COMPUTED_VALUE"""),8.0)</f>
        <v>8</v>
      </c>
      <c r="M784" s="3" t="str">
        <f>IFERROR(__xludf.DUMMYFUNCTION("""COMPUTED_VALUE"""),"น.อ.หญิง ผศ.วัลลภา อันดารา ")</f>
        <v>น.อ.หญิง ผศ.วัลลภา อันดารา </v>
      </c>
      <c r="N784" s="14" t="str">
        <f>IFERROR(__xludf.DUMMYFUNCTION("""COMPUTED_VALUE"""),"https://lh5.googleusercontent.com/d/1wGNToNZsTGQuGbF1kX0prEW_VKHrUcPu")</f>
        <v>https://lh5.googleusercontent.com/d/1wGNToNZsTGQuGbF1kX0prEW_VKHrUcPu</v>
      </c>
      <c r="O784" s="14" t="str">
        <f>IFERROR(__xludf.DUMMYFUNCTION("""COMPUTED_VALUE"""),"https://drive.google.com/file/d/1EUBogCq8hMW62Y7NpXZFoHN5nnLWDFNn/view?usp=drivesdk")</f>
        <v>https://drive.google.com/file/d/1EUBogCq8hMW62Y7NpXZFoHN5nnLWDFNn/view?usp=drivesdk</v>
      </c>
    </row>
    <row r="785">
      <c r="A785" s="3">
        <f>IFERROR(__xludf.DUMMYFUNCTION("""COMPUTED_VALUE"""),3336.0)</f>
        <v>3336</v>
      </c>
      <c r="B785" s="11">
        <f>IFERROR(__xludf.DUMMYFUNCTION("""COMPUTED_VALUE"""),46181.565976122685)</f>
        <v>46181.56598</v>
      </c>
      <c r="C785" s="3" t="str">
        <f>IFERROR(__xludf.DUMMYFUNCTION("""COMPUTED_VALUE"""),"ชั้นปีที่ 3")</f>
        <v>ชั้นปีที่ 3</v>
      </c>
      <c r="D785" s="3" t="str">
        <f>IFERROR(__xludf.DUMMYFUNCTION("""COMPUTED_VALUE"""),"6603771")</f>
        <v>6603771</v>
      </c>
      <c r="E785" s="3" t="str">
        <f>IFERROR(__xludf.DUMMYFUNCTION("""COMPUTED_VALUE"""),"18")</f>
        <v>18</v>
      </c>
      <c r="F785" s="3" t="str">
        <f>IFERROR(__xludf.DUMMYFUNCTION("""COMPUTED_VALUE"""),"นพอ.ทวิกา สอิ้งแก้ว")</f>
        <v>นพอ.ทวิกา สอิ้งแก้ว</v>
      </c>
      <c r="G785" s="3" t="str">
        <f>IFERROR(__xludf.DUMMYFUNCTION("""COMPUTED_VALUE"""),"ช่วยเหลืองานภายใน วพอ.")</f>
        <v>ช่วยเหลืองานภายใน วพอ.</v>
      </c>
      <c r="H78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5" s="3" t="str">
        <f>IFERROR(__xludf.DUMMYFUNCTION("""COMPUTED_VALUE"""),"หอประชุมธุปะเตมีย์ รพ.ภูมิพล")</f>
        <v>หอประชุมธุปะเตมีย์ รพ.ภูมิพล</v>
      </c>
      <c r="J785" s="12">
        <f>IFERROR(__xludf.DUMMYFUNCTION("""COMPUTED_VALUE"""),46139.0)</f>
        <v>46139</v>
      </c>
      <c r="K785" s="3" t="str">
        <f>IFERROR(__xludf.DUMMYFUNCTION("""COMPUTED_VALUE"""),"1700-2100")</f>
        <v>1700-2100</v>
      </c>
      <c r="L785" s="3">
        <f>IFERROR(__xludf.DUMMYFUNCTION("""COMPUTED_VALUE"""),4.0)</f>
        <v>4</v>
      </c>
      <c r="M785" s="3" t="str">
        <f>IFERROR(__xludf.DUMMYFUNCTION("""COMPUTED_VALUE"""),"ร.อ.อนุชิต ทำจะดี")</f>
        <v>ร.อ.อนุชิต ทำจะดี</v>
      </c>
      <c r="N785" s="14" t="str">
        <f>IFERROR(__xludf.DUMMYFUNCTION("""COMPUTED_VALUE"""),"https://lh5.googleusercontent.com/d/10BnMoLIANeJy0WI6CjGzPAWLUp1dNMB8")</f>
        <v>https://lh5.googleusercontent.com/d/10BnMoLIANeJy0WI6CjGzPAWLUp1dNMB8</v>
      </c>
      <c r="O785" s="14" t="str">
        <f>IFERROR(__xludf.DUMMYFUNCTION("""COMPUTED_VALUE"""),"https://drive.google.com/file/d/124aCZvE5o5srqjK6eSVY-1IMtP8PScOy/view?usp=drivesdk")</f>
        <v>https://drive.google.com/file/d/124aCZvE5o5srqjK6eSVY-1IMtP8PScOy/view?usp=drivesdk</v>
      </c>
    </row>
    <row r="786">
      <c r="A786" s="3">
        <f>IFERROR(__xludf.DUMMYFUNCTION("""COMPUTED_VALUE"""),3337.0)</f>
        <v>3337</v>
      </c>
      <c r="B786" s="11">
        <f>IFERROR(__xludf.DUMMYFUNCTION("""COMPUTED_VALUE"""),46181.56746771991)</f>
        <v>46181.56747</v>
      </c>
      <c r="C786" s="3" t="str">
        <f>IFERROR(__xludf.DUMMYFUNCTION("""COMPUTED_VALUE"""),"ชั้นปีที่ 3")</f>
        <v>ชั้นปีที่ 3</v>
      </c>
      <c r="D786" s="3" t="str">
        <f>IFERROR(__xludf.DUMMYFUNCTION("""COMPUTED_VALUE"""),"6603807")</f>
        <v>6603807</v>
      </c>
      <c r="E786" s="3" t="str">
        <f>IFERROR(__xludf.DUMMYFUNCTION("""COMPUTED_VALUE"""),"53")</f>
        <v>53</v>
      </c>
      <c r="F786" s="3" t="str">
        <f>IFERROR(__xludf.DUMMYFUNCTION("""COMPUTED_VALUE"""),"นพอ.สถิตย์ภรณ์ นวลขวัญ")</f>
        <v>นพอ.สถิตย์ภรณ์ นวลขวัญ</v>
      </c>
      <c r="G78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86" s="3" t="str">
        <f>IFERROR(__xludf.DUMMYFUNCTION("""COMPUTED_VALUE"""),"ซ้อมเต้นงานกอล์ฟ ทอ.")</f>
        <v>ซ้อมเต้นงานกอล์ฟ ทอ.</v>
      </c>
      <c r="I786" s="3" t="str">
        <f>IFERROR(__xludf.DUMMYFUNCTION("""COMPUTED_VALUE"""),"วพอ.พอ")</f>
        <v>วพอ.พอ</v>
      </c>
      <c r="J786" s="12">
        <f>IFERROR(__xludf.DUMMYFUNCTION("""COMPUTED_VALUE"""),46064.0)</f>
        <v>46064</v>
      </c>
      <c r="K786" s="3" t="str">
        <f>IFERROR(__xludf.DUMMYFUNCTION("""COMPUTED_VALUE"""),"1800-1900")</f>
        <v>1800-1900</v>
      </c>
      <c r="L786" s="3">
        <f>IFERROR(__xludf.DUMMYFUNCTION("""COMPUTED_VALUE"""),2.0)</f>
        <v>2</v>
      </c>
      <c r="M786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786" s="14" t="str">
        <f>IFERROR(__xludf.DUMMYFUNCTION("""COMPUTED_VALUE"""),"https://lh5.googleusercontent.com/d/1dNB4RdTsPXWtaqYwuw4eLsggBnrC5WAn")</f>
        <v>https://lh5.googleusercontent.com/d/1dNB4RdTsPXWtaqYwuw4eLsggBnrC5WAn</v>
      </c>
      <c r="O786" s="14" t="str">
        <f>IFERROR(__xludf.DUMMYFUNCTION("""COMPUTED_VALUE"""),"https://drive.google.com/file/d/19ySFH0nxLAPs90EoR15QwXvLzck2HmXt/view?usp=drivesdk")</f>
        <v>https://drive.google.com/file/d/19ySFH0nxLAPs90EoR15QwXvLzck2HmXt/view?usp=drivesdk</v>
      </c>
    </row>
    <row r="787">
      <c r="A787" s="3">
        <f>IFERROR(__xludf.DUMMYFUNCTION("""COMPUTED_VALUE"""),3338.0)</f>
        <v>3338</v>
      </c>
      <c r="B787" s="11">
        <f>IFERROR(__xludf.DUMMYFUNCTION("""COMPUTED_VALUE"""),46181.568904791675)</f>
        <v>46181.5689</v>
      </c>
      <c r="C787" s="3" t="str">
        <f>IFERROR(__xludf.DUMMYFUNCTION("""COMPUTED_VALUE"""),"ชั้นปีที่ 3")</f>
        <v>ชั้นปีที่ 3</v>
      </c>
      <c r="D787" s="3" t="str">
        <f>IFERROR(__xludf.DUMMYFUNCTION("""COMPUTED_VALUE"""),"6603807")</f>
        <v>6603807</v>
      </c>
      <c r="E787" s="3" t="str">
        <f>IFERROR(__xludf.DUMMYFUNCTION("""COMPUTED_VALUE"""),"53")</f>
        <v>53</v>
      </c>
      <c r="F787" s="3" t="str">
        <f>IFERROR(__xludf.DUMMYFUNCTION("""COMPUTED_VALUE"""),"นพอ.สถิตย์ภรณ์ นวลขวัญ")</f>
        <v>นพอ.สถิตย์ภรณ์ นวลขวัญ</v>
      </c>
      <c r="G7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87" s="3" t="str">
        <f>IFERROR(__xludf.DUMMYFUNCTION("""COMPUTED_VALUE"""),"ซ้อมเต้นงานกอล์ฟ ทอ.")</f>
        <v>ซ้อมเต้นงานกอล์ฟ ทอ.</v>
      </c>
      <c r="I787" s="3" t="str">
        <f>IFERROR(__xludf.DUMMYFUNCTION("""COMPUTED_VALUE"""),"วพอ.พอ")</f>
        <v>วพอ.พอ</v>
      </c>
      <c r="J787" s="12">
        <f>IFERROR(__xludf.DUMMYFUNCTION("""COMPUTED_VALUE"""),46065.0)</f>
        <v>46065</v>
      </c>
      <c r="K787" s="3" t="str">
        <f>IFERROR(__xludf.DUMMYFUNCTION("""COMPUTED_VALUE"""),"1800-1900")</f>
        <v>1800-1900</v>
      </c>
      <c r="L787" s="3">
        <f>IFERROR(__xludf.DUMMYFUNCTION("""COMPUTED_VALUE"""),2.0)</f>
        <v>2</v>
      </c>
      <c r="M787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787" s="14" t="str">
        <f>IFERROR(__xludf.DUMMYFUNCTION("""COMPUTED_VALUE"""),"https://lh5.googleusercontent.com/d/1-jwj9h563XcrgC1hc8sCUYVS_uLWcTep")</f>
        <v>https://lh5.googleusercontent.com/d/1-jwj9h563XcrgC1hc8sCUYVS_uLWcTep</v>
      </c>
      <c r="O787" s="14" t="str">
        <f>IFERROR(__xludf.DUMMYFUNCTION("""COMPUTED_VALUE"""),"https://drive.google.com/file/d/1nm_DUyKqUjdLkX86AOkyaEjixdAc4SHh/view?usp=drivesdk")</f>
        <v>https://drive.google.com/file/d/1nm_DUyKqUjdLkX86AOkyaEjixdAc4SHh/view?usp=drivesdk</v>
      </c>
    </row>
    <row r="788">
      <c r="A788" s="3">
        <f>IFERROR(__xludf.DUMMYFUNCTION("""COMPUTED_VALUE"""),3339.0)</f>
        <v>3339</v>
      </c>
      <c r="B788" s="11">
        <f>IFERROR(__xludf.DUMMYFUNCTION("""COMPUTED_VALUE"""),46181.57031299768)</f>
        <v>46181.57031</v>
      </c>
      <c r="C788" s="3" t="str">
        <f>IFERROR(__xludf.DUMMYFUNCTION("""COMPUTED_VALUE"""),"ชั้นปีที่ 3")</f>
        <v>ชั้นปีที่ 3</v>
      </c>
      <c r="D788" s="3" t="str">
        <f>IFERROR(__xludf.DUMMYFUNCTION("""COMPUTED_VALUE"""),"6603780")</f>
        <v>6603780</v>
      </c>
      <c r="E788" s="3" t="str">
        <f>IFERROR(__xludf.DUMMYFUNCTION("""COMPUTED_VALUE"""),"26")</f>
        <v>26</v>
      </c>
      <c r="F788" s="3" t="str">
        <f>IFERROR(__xludf.DUMMYFUNCTION("""COMPUTED_VALUE"""),"นพอ.นิศาชล ชุมจันทร์")</f>
        <v>นพอ.นิศาชล ชุมจันทร์</v>
      </c>
      <c r="G788" s="3" t="str">
        <f>IFERROR(__xludf.DUMMYFUNCTION("""COMPUTED_VALUE"""),"ช่วยเหลืองานภายใน วพอ.")</f>
        <v>ช่วยเหลืองานภายใน วพอ.</v>
      </c>
      <c r="H788" s="3" t="str">
        <f>IFERROR(__xludf.DUMMYFUNCTION("""COMPUTED_VALUE"""),"ทำการแทนนักเรียนปกครอง")</f>
        <v>ทำการแทนนักเรียนปกครอง</v>
      </c>
      <c r="I788" s="3" t="str">
        <f>IFERROR(__xludf.DUMMYFUNCTION("""COMPUTED_VALUE"""),"วพอ.พอ.")</f>
        <v>วพอ.พอ.</v>
      </c>
      <c r="J788" s="12">
        <f>IFERROR(__xludf.DUMMYFUNCTION("""COMPUTED_VALUE"""),46134.0)</f>
        <v>46134</v>
      </c>
      <c r="K788" s="3" t="str">
        <f>IFERROR(__xludf.DUMMYFUNCTION("""COMPUTED_VALUE"""),"0800-1600")</f>
        <v>0800-1600</v>
      </c>
      <c r="L788" s="3">
        <f>IFERROR(__xludf.DUMMYFUNCTION("""COMPUTED_VALUE"""),8.0)</f>
        <v>8</v>
      </c>
      <c r="M788" s="3" t="str">
        <f>IFERROR(__xludf.DUMMYFUNCTION("""COMPUTED_VALUE"""),"ร.อ.อนุชิต  ทำจะดี")</f>
        <v>ร.อ.อนุชิต  ทำจะดี</v>
      </c>
      <c r="N788" s="14" t="str">
        <f>IFERROR(__xludf.DUMMYFUNCTION("""COMPUTED_VALUE"""),"https://lh5.googleusercontent.com/d/1RQolqh9ttOp4Ric3L6yPcXaZDxgP8aHb")</f>
        <v>https://lh5.googleusercontent.com/d/1RQolqh9ttOp4Ric3L6yPcXaZDxgP8aHb</v>
      </c>
      <c r="O788" s="14" t="str">
        <f>IFERROR(__xludf.DUMMYFUNCTION("""COMPUTED_VALUE"""),"https://drive.google.com/file/d/1xp4FldFms6waaxLfKb5inpLIb7yBAOMB/view?usp=drivesdk")</f>
        <v>https://drive.google.com/file/d/1xp4FldFms6waaxLfKb5inpLIb7yBAOMB/view?usp=drivesdk</v>
      </c>
    </row>
    <row r="789">
      <c r="A789" s="3">
        <f>IFERROR(__xludf.DUMMYFUNCTION("""COMPUTED_VALUE"""),3341.0)</f>
        <v>3341</v>
      </c>
      <c r="B789" s="11">
        <f>IFERROR(__xludf.DUMMYFUNCTION("""COMPUTED_VALUE"""),46181.57122027778)</f>
        <v>46181.57122</v>
      </c>
      <c r="C789" s="3" t="str">
        <f>IFERROR(__xludf.DUMMYFUNCTION("""COMPUTED_VALUE"""),"ชั้นปีที่ 3")</f>
        <v>ชั้นปีที่ 3</v>
      </c>
      <c r="D789" s="3" t="str">
        <f>IFERROR(__xludf.DUMMYFUNCTION("""COMPUTED_VALUE"""),"6603760")</f>
        <v>6603760</v>
      </c>
      <c r="E789" s="3" t="str">
        <f>IFERROR(__xludf.DUMMYFUNCTION("""COMPUTED_VALUE"""),"7")</f>
        <v>7</v>
      </c>
      <c r="F789" s="3" t="str">
        <f>IFERROR(__xludf.DUMMYFUNCTION("""COMPUTED_VALUE"""),"นพอ.ฉัตรชนก กันสาตร")</f>
        <v>นพอ.ฉัตรชนก กันสาตร</v>
      </c>
      <c r="G789" s="3" t="str">
        <f>IFERROR(__xludf.DUMMYFUNCTION("""COMPUTED_VALUE"""),"ช่วยเหลืองานภายใน วพอ.")</f>
        <v>ช่วยเหลืองานภายใน วพอ.</v>
      </c>
      <c r="H789" s="3" t="str">
        <f>IFERROR(__xludf.DUMMYFUNCTION("""COMPUTED_VALUE"""),"ผู้นำซ้อมเต้นเพลงฉันมีความสุข")</f>
        <v>ผู้นำซ้อมเต้นเพลงฉันมีความสุข</v>
      </c>
      <c r="I789" s="3" t="str">
        <f>IFERROR(__xludf.DUMMYFUNCTION("""COMPUTED_VALUE"""),"วพอ.พอ.")</f>
        <v>วพอ.พอ.</v>
      </c>
      <c r="J789" s="12">
        <f>IFERROR(__xludf.DUMMYFUNCTION("""COMPUTED_VALUE"""),46169.0)</f>
        <v>46169</v>
      </c>
      <c r="K789" s="3" t="str">
        <f>IFERROR(__xludf.DUMMYFUNCTION("""COMPUTED_VALUE"""),"1700-1900")</f>
        <v>1700-1900</v>
      </c>
      <c r="L789" s="3">
        <f>IFERROR(__xludf.DUMMYFUNCTION("""COMPUTED_VALUE"""),2.0)</f>
        <v>2</v>
      </c>
      <c r="M789" s="3" t="str">
        <f>IFERROR(__xludf.DUMMYFUNCTION("""COMPUTED_VALUE"""),"ร.อ.หญิง เบญญาดา บุรีรัตน์")</f>
        <v>ร.อ.หญิง เบญญาดา บุรีรัตน์</v>
      </c>
      <c r="N789" s="14" t="str">
        <f>IFERROR(__xludf.DUMMYFUNCTION("""COMPUTED_VALUE"""),"https://lh5.googleusercontent.com/d/1NihbDRUE9uWMzz9UQaAfu4wBZi1zQHsg")</f>
        <v>https://lh5.googleusercontent.com/d/1NihbDRUE9uWMzz9UQaAfu4wBZi1zQHsg</v>
      </c>
      <c r="O789" s="14" t="str">
        <f>IFERROR(__xludf.DUMMYFUNCTION("""COMPUTED_VALUE"""),"https://drive.google.com/file/d/1dKLpBUBP3vyt_nyIwePGtPU95em2J6Dv/view?usp=drivesdk")</f>
        <v>https://drive.google.com/file/d/1dKLpBUBP3vyt_nyIwePGtPU95em2J6Dv/view?usp=drivesdk</v>
      </c>
    </row>
    <row r="790">
      <c r="A790" s="3">
        <f>IFERROR(__xludf.DUMMYFUNCTION("""COMPUTED_VALUE"""),3342.0)</f>
        <v>3342</v>
      </c>
      <c r="B790" s="11">
        <f>IFERROR(__xludf.DUMMYFUNCTION("""COMPUTED_VALUE"""),46181.57126901621)</f>
        <v>46181.57127</v>
      </c>
      <c r="C790" s="3" t="str">
        <f>IFERROR(__xludf.DUMMYFUNCTION("""COMPUTED_VALUE"""),"ชั้นปีที่ 3")</f>
        <v>ชั้นปีที่ 3</v>
      </c>
      <c r="D790" s="3" t="str">
        <f>IFERROR(__xludf.DUMMYFUNCTION("""COMPUTED_VALUE"""),"6603771")</f>
        <v>6603771</v>
      </c>
      <c r="E790" s="3" t="str">
        <f>IFERROR(__xludf.DUMMYFUNCTION("""COMPUTED_VALUE"""),"18")</f>
        <v>18</v>
      </c>
      <c r="F790" s="3" t="str">
        <f>IFERROR(__xludf.DUMMYFUNCTION("""COMPUTED_VALUE"""),"นพอ.ทวิกา สอิ้งแก้ว")</f>
        <v>นพอ.ทวิกา สอิ้งแก้ว</v>
      </c>
      <c r="G790" s="3" t="str">
        <f>IFERROR(__xludf.DUMMYFUNCTION("""COMPUTED_VALUE"""),"ช่วยเหลืองานภายใน วพอ.")</f>
        <v>ช่วยเหลืองานภายใน วพอ.</v>
      </c>
      <c r="H790" s="3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90" s="3" t="str">
        <f>IFERROR(__xludf.DUMMYFUNCTION("""COMPUTED_VALUE"""),"วพอ.พอ.")</f>
        <v>วพอ.พอ.</v>
      </c>
      <c r="J790" s="12">
        <f>IFERROR(__xludf.DUMMYFUNCTION("""COMPUTED_VALUE"""),46169.0)</f>
        <v>46169</v>
      </c>
      <c r="K790" s="3" t="str">
        <f>IFERROR(__xludf.DUMMYFUNCTION("""COMPUTED_VALUE"""),"1800-2000")</f>
        <v>1800-2000</v>
      </c>
      <c r="L790" s="3">
        <f>IFERROR(__xludf.DUMMYFUNCTION("""COMPUTED_VALUE"""),2.0)</f>
        <v>2</v>
      </c>
      <c r="M790" s="3" t="str">
        <f>IFERROR(__xludf.DUMMYFUNCTION("""COMPUTED_VALUE"""),"น.ต.หญิงเบญญาดา บุรีรัตน์")</f>
        <v>น.ต.หญิงเบญญาดา บุรีรัตน์</v>
      </c>
      <c r="N790" s="14" t="str">
        <f>IFERROR(__xludf.DUMMYFUNCTION("""COMPUTED_VALUE"""),"https://lh5.googleusercontent.com/d/1j0cNCSJS4_Vtd2O6FOF05b6s6tzrY32D")</f>
        <v>https://lh5.googleusercontent.com/d/1j0cNCSJS4_Vtd2O6FOF05b6s6tzrY32D</v>
      </c>
      <c r="O790" s="14" t="str">
        <f>IFERROR(__xludf.DUMMYFUNCTION("""COMPUTED_VALUE"""),"https://drive.google.com/file/d/1UQGO-UYe0Udor3HqWb8i-Mf-KdL0o_Xw/view?usp=drivesdk")</f>
        <v>https://drive.google.com/file/d/1UQGO-UYe0Udor3HqWb8i-Mf-KdL0o_Xw/view?usp=drivesdk</v>
      </c>
    </row>
    <row r="791">
      <c r="A791" s="3">
        <f>IFERROR(__xludf.DUMMYFUNCTION("""COMPUTED_VALUE"""),3343.0)</f>
        <v>3343</v>
      </c>
      <c r="B791" s="11">
        <f>IFERROR(__xludf.DUMMYFUNCTION("""COMPUTED_VALUE"""),46181.57252024306)</f>
        <v>46181.57252</v>
      </c>
      <c r="C791" s="3" t="str">
        <f>IFERROR(__xludf.DUMMYFUNCTION("""COMPUTED_VALUE"""),"ชั้นปีที่ 3")</f>
        <v>ชั้นปีที่ 3</v>
      </c>
      <c r="D791" s="3" t="str">
        <f>IFERROR(__xludf.DUMMYFUNCTION("""COMPUTED_VALUE"""),"6603800")</f>
        <v>6603800</v>
      </c>
      <c r="E791" s="3" t="str">
        <f>IFERROR(__xludf.DUMMYFUNCTION("""COMPUTED_VALUE"""),"46")</f>
        <v>46</v>
      </c>
      <c r="F791" s="3" t="str">
        <f>IFERROR(__xludf.DUMMYFUNCTION("""COMPUTED_VALUE"""),"นพอ.วารีริน ปิมปา")</f>
        <v>นพอ.วารีริน ปิมปา</v>
      </c>
      <c r="G79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1" s="3" t="str">
        <f>IFERROR(__xludf.DUMMYFUNCTION("""COMPUTED_VALUE"""),"ซ้อมการแสดงงานกอล์ฟทอ.")</f>
        <v>ซ้อมการแสดงงานกอล์ฟทอ.</v>
      </c>
      <c r="I791" s="3" t="str">
        <f>IFERROR(__xludf.DUMMYFUNCTION("""COMPUTED_VALUE"""),"วพอ.")</f>
        <v>วพอ.</v>
      </c>
      <c r="J791" s="12">
        <f>IFERROR(__xludf.DUMMYFUNCTION("""COMPUTED_VALUE"""),46064.0)</f>
        <v>46064</v>
      </c>
      <c r="K791" s="3" t="str">
        <f>IFERROR(__xludf.DUMMYFUNCTION("""COMPUTED_VALUE"""),"1830-2030")</f>
        <v>1830-2030</v>
      </c>
      <c r="L791" s="3">
        <f>IFERROR(__xludf.DUMMYFUNCTION("""COMPUTED_VALUE"""),2.0)</f>
        <v>2</v>
      </c>
      <c r="M791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791" s="14" t="str">
        <f>IFERROR(__xludf.DUMMYFUNCTION("""COMPUTED_VALUE"""),"https://lh5.googleusercontent.com/d/1P3dxongsFvR6x9Mq6RRvJT1NgDIw9vIS")</f>
        <v>https://lh5.googleusercontent.com/d/1P3dxongsFvR6x9Mq6RRvJT1NgDIw9vIS</v>
      </c>
      <c r="O791" s="14" t="str">
        <f>IFERROR(__xludf.DUMMYFUNCTION("""COMPUTED_VALUE"""),"https://drive.google.com/file/d/1jsBG5wC1fjMKZI6FoXmRXa4EHirw1ILk/view?usp=drivesdk")</f>
        <v>https://drive.google.com/file/d/1jsBG5wC1fjMKZI6FoXmRXa4EHirw1ILk/view?usp=drivesdk</v>
      </c>
    </row>
    <row r="792">
      <c r="A792" s="3">
        <f>IFERROR(__xludf.DUMMYFUNCTION("""COMPUTED_VALUE"""),3345.0)</f>
        <v>3345</v>
      </c>
      <c r="B792" s="11">
        <f>IFERROR(__xludf.DUMMYFUNCTION("""COMPUTED_VALUE"""),46181.57318539352)</f>
        <v>46181.57319</v>
      </c>
      <c r="C792" s="3" t="str">
        <f>IFERROR(__xludf.DUMMYFUNCTION("""COMPUTED_VALUE"""),"ชั้นปีที่ 3")</f>
        <v>ชั้นปีที่ 3</v>
      </c>
      <c r="D792" s="3" t="str">
        <f>IFERROR(__xludf.DUMMYFUNCTION("""COMPUTED_VALUE"""),"6603760")</f>
        <v>6603760</v>
      </c>
      <c r="E792" s="3" t="str">
        <f>IFERROR(__xludf.DUMMYFUNCTION("""COMPUTED_VALUE"""),"7")</f>
        <v>7</v>
      </c>
      <c r="F792" s="3" t="str">
        <f>IFERROR(__xludf.DUMMYFUNCTION("""COMPUTED_VALUE"""),"นพอ.ฉัตรชนก กันสาตร")</f>
        <v>นพอ.ฉัตรชนก กันสาตร</v>
      </c>
      <c r="G79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2" s="3" t="str">
        <f>IFERROR(__xludf.DUMMYFUNCTION("""COMPUTED_VALUE"""),"งานกาชาด ประจำปี 2568")</f>
        <v>งานกาชาด ประจำปี 2568</v>
      </c>
      <c r="I792" s="3" t="str">
        <f>IFERROR(__xludf.DUMMYFUNCTION("""COMPUTED_VALUE"""),"สวนลุมพินี")</f>
        <v>สวนลุมพินี</v>
      </c>
      <c r="J792" s="12">
        <f>IFERROR(__xludf.DUMMYFUNCTION("""COMPUTED_VALUE"""),46012.0)</f>
        <v>46012</v>
      </c>
      <c r="K792" s="3" t="str">
        <f>IFERROR(__xludf.DUMMYFUNCTION("""COMPUTED_VALUE"""),"1000-1800")</f>
        <v>1000-1800</v>
      </c>
      <c r="L792" s="3">
        <f>IFERROR(__xludf.DUMMYFUNCTION("""COMPUTED_VALUE"""),8.0)</f>
        <v>8</v>
      </c>
      <c r="M792" s="3" t="str">
        <f>IFERROR(__xludf.DUMMYFUNCTION("""COMPUTED_VALUE"""),"น.อ.หญิง ผศ.วัลลภา อันดารา")</f>
        <v>น.อ.หญิง ผศ.วัลลภา อันดารา</v>
      </c>
      <c r="N792" s="14" t="str">
        <f>IFERROR(__xludf.DUMMYFUNCTION("""COMPUTED_VALUE"""),"https://lh5.googleusercontent.com/d/1B4C4cknsTZdupoXnGImFiJ8Q3hI4XkfP")</f>
        <v>https://lh5.googleusercontent.com/d/1B4C4cknsTZdupoXnGImFiJ8Q3hI4XkfP</v>
      </c>
      <c r="O792" s="14" t="str">
        <f>IFERROR(__xludf.DUMMYFUNCTION("""COMPUTED_VALUE"""),"https://drive.google.com/file/d/1w4CXWudjUCDjr6phfweNYwTr2w-Ga9lu/view?usp=drivesdk")</f>
        <v>https://drive.google.com/file/d/1w4CXWudjUCDjr6phfweNYwTr2w-Ga9lu/view?usp=drivesdk</v>
      </c>
    </row>
    <row r="793">
      <c r="A793" s="3">
        <f>IFERROR(__xludf.DUMMYFUNCTION("""COMPUTED_VALUE"""),3346.0)</f>
        <v>3346</v>
      </c>
      <c r="B793" s="11">
        <f>IFERROR(__xludf.DUMMYFUNCTION("""COMPUTED_VALUE"""),46181.57415261574)</f>
        <v>46181.57415</v>
      </c>
      <c r="C793" s="3" t="str">
        <f>IFERROR(__xludf.DUMMYFUNCTION("""COMPUTED_VALUE"""),"ชั้นปีที่ 3")</f>
        <v>ชั้นปีที่ 3</v>
      </c>
      <c r="D793" s="3" t="str">
        <f>IFERROR(__xludf.DUMMYFUNCTION("""COMPUTED_VALUE"""),"6603771")</f>
        <v>6603771</v>
      </c>
      <c r="E793" s="3" t="str">
        <f>IFERROR(__xludf.DUMMYFUNCTION("""COMPUTED_VALUE"""),"18")</f>
        <v>18</v>
      </c>
      <c r="F793" s="3" t="str">
        <f>IFERROR(__xludf.DUMMYFUNCTION("""COMPUTED_VALUE"""),"นพอ.ทวิกา สอิ้งแก้ว")</f>
        <v>นพอ.ทวิกา สอิ้งแก้ว</v>
      </c>
      <c r="G793" s="3" t="str">
        <f>IFERROR(__xludf.DUMMYFUNCTION("""COMPUTED_VALUE"""),"ช่วยเหลืองานภายใน วพอ.")</f>
        <v>ช่วยเหลืองานภายใน วพอ.</v>
      </c>
      <c r="H793" s="3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93" s="3" t="str">
        <f>IFERROR(__xludf.DUMMYFUNCTION("""COMPUTED_VALUE"""),"วพอ.พอ.")</f>
        <v>วพอ.พอ.</v>
      </c>
      <c r="J793" s="12">
        <f>IFERROR(__xludf.DUMMYFUNCTION("""COMPUTED_VALUE"""),46177.0)</f>
        <v>46177</v>
      </c>
      <c r="K793" s="3" t="str">
        <f>IFERROR(__xludf.DUMMYFUNCTION("""COMPUTED_VALUE"""),"1700-1900")</f>
        <v>1700-1900</v>
      </c>
      <c r="L793" s="3">
        <f>IFERROR(__xludf.DUMMYFUNCTION("""COMPUTED_VALUE"""),2.0)</f>
        <v>2</v>
      </c>
      <c r="M793" s="3" t="str">
        <f>IFERROR(__xludf.DUMMYFUNCTION("""COMPUTED_VALUE"""),"น.ต.หญิงเบญญาดา บุรีรัตน์")</f>
        <v>น.ต.หญิงเบญญาดา บุรีรัตน์</v>
      </c>
      <c r="N793" s="14" t="str">
        <f>IFERROR(__xludf.DUMMYFUNCTION("""COMPUTED_VALUE"""),"https://lh5.googleusercontent.com/d/1IYjH9nmnJVthHMwcD2N6YHE2rabMryhM")</f>
        <v>https://lh5.googleusercontent.com/d/1IYjH9nmnJVthHMwcD2N6YHE2rabMryhM</v>
      </c>
      <c r="O793" s="14" t="str">
        <f>IFERROR(__xludf.DUMMYFUNCTION("""COMPUTED_VALUE"""),"https://drive.google.com/file/d/1EwqPW7lUvgwYGfjrbXvNMVBR9PJZVLk8/view?usp=drivesdk")</f>
        <v>https://drive.google.com/file/d/1EwqPW7lUvgwYGfjrbXvNMVBR9PJZVLk8/view?usp=drivesdk</v>
      </c>
    </row>
    <row r="794">
      <c r="A794" s="3">
        <f>IFERROR(__xludf.DUMMYFUNCTION("""COMPUTED_VALUE"""),3347.0)</f>
        <v>3347</v>
      </c>
      <c r="B794" s="11">
        <f>IFERROR(__xludf.DUMMYFUNCTION("""COMPUTED_VALUE"""),46181.57442128472)</f>
        <v>46181.57442</v>
      </c>
      <c r="C794" s="3" t="str">
        <f>IFERROR(__xludf.DUMMYFUNCTION("""COMPUTED_VALUE"""),"ชั้นปีที่ 3")</f>
        <v>ชั้นปีที่ 3</v>
      </c>
      <c r="D794" s="3" t="str">
        <f>IFERROR(__xludf.DUMMYFUNCTION("""COMPUTED_VALUE"""),"6603780")</f>
        <v>6603780</v>
      </c>
      <c r="E794" s="3" t="str">
        <f>IFERROR(__xludf.DUMMYFUNCTION("""COMPUTED_VALUE"""),"26")</f>
        <v>26</v>
      </c>
      <c r="F794" s="3" t="str">
        <f>IFERROR(__xludf.DUMMYFUNCTION("""COMPUTED_VALUE"""),"นพอ.นิศาชล ชุมจันทร์")</f>
        <v>นพอ.นิศาชล ชุมจันทร์</v>
      </c>
      <c r="G794" s="3" t="str">
        <f>IFERROR(__xludf.DUMMYFUNCTION("""COMPUTED_VALUE"""),"ช่วยเหลืองานภายใน วพอ.")</f>
        <v>ช่วยเหลืองานภายใน วพอ.</v>
      </c>
      <c r="H794" s="3" t="str">
        <f>IFERROR(__xludf.DUMMYFUNCTION("""COMPUTED_VALUE"""),"ทำหน้าที่แทนนักเรียนปกครอง")</f>
        <v>ทำหน้าที่แทนนักเรียนปกครอง</v>
      </c>
      <c r="I794" s="3" t="str">
        <f>IFERROR(__xludf.DUMMYFUNCTION("""COMPUTED_VALUE"""),"วพอ.พอ.")</f>
        <v>วพอ.พอ.</v>
      </c>
      <c r="J794" s="12">
        <f>IFERROR(__xludf.DUMMYFUNCTION("""COMPUTED_VALUE"""),46135.0)</f>
        <v>46135</v>
      </c>
      <c r="K794" s="3" t="str">
        <f>IFERROR(__xludf.DUMMYFUNCTION("""COMPUTED_VALUE"""),"0800-1600")</f>
        <v>0800-1600</v>
      </c>
      <c r="L794" s="3">
        <f>IFERROR(__xludf.DUMMYFUNCTION("""COMPUTED_VALUE"""),4.0)</f>
        <v>4</v>
      </c>
      <c r="M794" s="3" t="str">
        <f>IFERROR(__xludf.DUMMYFUNCTION("""COMPUTED_VALUE"""),"ร.อ.อนุชิต ทำจะดี")</f>
        <v>ร.อ.อนุชิต ทำจะดี</v>
      </c>
      <c r="N794" s="14" t="str">
        <f>IFERROR(__xludf.DUMMYFUNCTION("""COMPUTED_VALUE"""),"https://lh5.googleusercontent.com/d/1ZwwcC7SPcsL9k69TnLmJVgoDOfCCcH1g")</f>
        <v>https://lh5.googleusercontent.com/d/1ZwwcC7SPcsL9k69TnLmJVgoDOfCCcH1g</v>
      </c>
      <c r="O794" s="14" t="str">
        <f>IFERROR(__xludf.DUMMYFUNCTION("""COMPUTED_VALUE"""),"https://drive.google.com/file/d/1RYmksBzCDKdQ5ruqPFXzheIZC9xZ82Wt/view?usp=drivesdk")</f>
        <v>https://drive.google.com/file/d/1RYmksBzCDKdQ5ruqPFXzheIZC9xZ82Wt/view?usp=drivesdk</v>
      </c>
    </row>
    <row r="795">
      <c r="A795" s="3">
        <f>IFERROR(__xludf.DUMMYFUNCTION("""COMPUTED_VALUE"""),3349.0)</f>
        <v>3349</v>
      </c>
      <c r="B795" s="11">
        <f>IFERROR(__xludf.DUMMYFUNCTION("""COMPUTED_VALUE"""),46181.575474907404)</f>
        <v>46181.57547</v>
      </c>
      <c r="C795" s="3" t="str">
        <f>IFERROR(__xludf.DUMMYFUNCTION("""COMPUTED_VALUE"""),"ชั้นปีที่ 3")</f>
        <v>ชั้นปีที่ 3</v>
      </c>
      <c r="D795" s="3" t="str">
        <f>IFERROR(__xludf.DUMMYFUNCTION("""COMPUTED_VALUE"""),"6603771")</f>
        <v>6603771</v>
      </c>
      <c r="E795" s="3" t="str">
        <f>IFERROR(__xludf.DUMMYFUNCTION("""COMPUTED_VALUE"""),"18")</f>
        <v>18</v>
      </c>
      <c r="F795" s="3" t="str">
        <f>IFERROR(__xludf.DUMMYFUNCTION("""COMPUTED_VALUE"""),"นพอ.ทวิกา สอิ้งแก้ว")</f>
        <v>นพอ.ทวิกา สอิ้งแก้ว</v>
      </c>
      <c r="G795" s="3" t="str">
        <f>IFERROR(__xludf.DUMMYFUNCTION("""COMPUTED_VALUE"""),"ช่วยเหลืองานภายใน วพอ.")</f>
        <v>ช่วยเหลืองานภายใน วพอ.</v>
      </c>
      <c r="H795" s="3" t="str">
        <f>IFERROR(__xludf.DUMMYFUNCTION("""COMPUTED_VALUE"""),"ซ้อมเต้นเพื่อนำเสนออัตลักษณ์วิทยาลัย")</f>
        <v>ซ้อมเต้นเพื่อนำเสนออัตลักษณ์วิทยาลัย</v>
      </c>
      <c r="I795" s="3" t="str">
        <f>IFERROR(__xludf.DUMMYFUNCTION("""COMPUTED_VALUE"""),"วพอ.พอ.")</f>
        <v>วพอ.พอ.</v>
      </c>
      <c r="J795" s="12">
        <f>IFERROR(__xludf.DUMMYFUNCTION("""COMPUTED_VALUE"""),46180.0)</f>
        <v>46180</v>
      </c>
      <c r="K795" s="3" t="str">
        <f>IFERROR(__xludf.DUMMYFUNCTION("""COMPUTED_VALUE"""),"1700-1900")</f>
        <v>1700-1900</v>
      </c>
      <c r="L795" s="3">
        <f>IFERROR(__xludf.DUMMYFUNCTION("""COMPUTED_VALUE"""),2.0)</f>
        <v>2</v>
      </c>
      <c r="M795" s="3" t="str">
        <f>IFERROR(__xludf.DUMMYFUNCTION("""COMPUTED_VALUE"""),"น.ต.หญิงเบญญาดา บุรีรัตน์")</f>
        <v>น.ต.หญิงเบญญาดา บุรีรัตน์</v>
      </c>
      <c r="N795" s="14" t="str">
        <f>IFERROR(__xludf.DUMMYFUNCTION("""COMPUTED_VALUE"""),"https://lh5.googleusercontent.com/d/1oz5vEWlCBiNFYSBWSjxloHDeuqerpmLk")</f>
        <v>https://lh5.googleusercontent.com/d/1oz5vEWlCBiNFYSBWSjxloHDeuqerpmLk</v>
      </c>
      <c r="O795" s="14" t="str">
        <f>IFERROR(__xludf.DUMMYFUNCTION("""COMPUTED_VALUE"""),"https://drive.google.com/file/d/1aNlQt5ERQAbpWZojbg5tpEHZxZA6O1Lv/view?usp=drivesdk")</f>
        <v>https://drive.google.com/file/d/1aNlQt5ERQAbpWZojbg5tpEHZxZA6O1Lv/view?usp=drivesdk</v>
      </c>
    </row>
    <row r="796">
      <c r="A796" s="3">
        <f>IFERROR(__xludf.DUMMYFUNCTION("""COMPUTED_VALUE"""),3350.0)</f>
        <v>3350</v>
      </c>
      <c r="B796" s="11">
        <f>IFERROR(__xludf.DUMMYFUNCTION("""COMPUTED_VALUE"""),46181.575547002314)</f>
        <v>46181.57555</v>
      </c>
      <c r="C796" s="3" t="str">
        <f>IFERROR(__xludf.DUMMYFUNCTION("""COMPUTED_VALUE"""),"ชั้นปีที่ 3")</f>
        <v>ชั้นปีที่ 3</v>
      </c>
      <c r="D796" s="3" t="str">
        <f>IFERROR(__xludf.DUMMYFUNCTION("""COMPUTED_VALUE"""),"6603800")</f>
        <v>6603800</v>
      </c>
      <c r="E796" s="3" t="str">
        <f>IFERROR(__xludf.DUMMYFUNCTION("""COMPUTED_VALUE"""),"46")</f>
        <v>46</v>
      </c>
      <c r="F796" s="3" t="str">
        <f>IFERROR(__xludf.DUMMYFUNCTION("""COMPUTED_VALUE"""),"นพอ.วารีริน ปิมปา")</f>
        <v>นพอ.วารีริน ปิมปา</v>
      </c>
      <c r="G79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6" s="3" t="str">
        <f>IFERROR(__xludf.DUMMYFUNCTION("""COMPUTED_VALUE"""),"ซ้อมการแสดงงานกอล์ฟทอ.")</f>
        <v>ซ้อมการแสดงงานกอล์ฟทอ.</v>
      </c>
      <c r="I796" s="3" t="str">
        <f>IFERROR(__xludf.DUMMYFUNCTION("""COMPUTED_VALUE"""),"วพอ.")</f>
        <v>วพอ.</v>
      </c>
      <c r="J796" s="12">
        <f>IFERROR(__xludf.DUMMYFUNCTION("""COMPUTED_VALUE"""),46065.0)</f>
        <v>46065</v>
      </c>
      <c r="K796" s="3" t="str">
        <f>IFERROR(__xludf.DUMMYFUNCTION("""COMPUTED_VALUE"""),"1830-2030")</f>
        <v>1830-2030</v>
      </c>
      <c r="L796" s="3">
        <f>IFERROR(__xludf.DUMMYFUNCTION("""COMPUTED_VALUE"""),2.0)</f>
        <v>2</v>
      </c>
      <c r="M796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796" s="14" t="str">
        <f>IFERROR(__xludf.DUMMYFUNCTION("""COMPUTED_VALUE"""),"https://lh5.googleusercontent.com/d/1pAtsb78eHNrTQ2T3VQ0rLugGLpbxsY5O")</f>
        <v>https://lh5.googleusercontent.com/d/1pAtsb78eHNrTQ2T3VQ0rLugGLpbxsY5O</v>
      </c>
      <c r="O796" s="14" t="str">
        <f>IFERROR(__xludf.DUMMYFUNCTION("""COMPUTED_VALUE"""),"https://drive.google.com/file/d/1qZwiEjnATYkjJjq1vmFVWFwWC6uBHuch/view?usp=drivesdk")</f>
        <v>https://drive.google.com/file/d/1qZwiEjnATYkjJjq1vmFVWFwWC6uBHuch/view?usp=drivesdk</v>
      </c>
    </row>
    <row r="797">
      <c r="A797" s="3">
        <f>IFERROR(__xludf.DUMMYFUNCTION("""COMPUTED_VALUE"""),3351.0)</f>
        <v>3351</v>
      </c>
      <c r="B797" s="11">
        <f>IFERROR(__xludf.DUMMYFUNCTION("""COMPUTED_VALUE"""),46181.576219386574)</f>
        <v>46181.57622</v>
      </c>
      <c r="C797" s="3" t="str">
        <f>IFERROR(__xludf.DUMMYFUNCTION("""COMPUTED_VALUE"""),"ชั้นปีที่ 3")</f>
        <v>ชั้นปีที่ 3</v>
      </c>
      <c r="D797" s="3" t="str">
        <f>IFERROR(__xludf.DUMMYFUNCTION("""COMPUTED_VALUE"""),"6603788")</f>
        <v>6603788</v>
      </c>
      <c r="E797" s="3" t="str">
        <f>IFERROR(__xludf.DUMMYFUNCTION("""COMPUTED_VALUE"""),"34")</f>
        <v>34</v>
      </c>
      <c r="F797" s="3" t="str">
        <f>IFERROR(__xludf.DUMMYFUNCTION("""COMPUTED_VALUE"""),"นพอ.ปาจีรนันท์ ปิงขุนทด")</f>
        <v>นพอ.ปาจีรนันท์ ปิงขุนทด</v>
      </c>
      <c r="G797" s="3" t="str">
        <f>IFERROR(__xludf.DUMMYFUNCTION("""COMPUTED_VALUE"""),"ช่วยเหลืองานภายใน วพอ.")</f>
        <v>ช่วยเหลืองานภายใน วพอ.</v>
      </c>
      <c r="H797" s="3" t="str">
        <f>IFERROR(__xludf.DUMMYFUNCTION("""COMPUTED_VALUE"""),"จัดสิ่งแวดล้อม วพอ.")</f>
        <v>จัดสิ่งแวดล้อม วพอ.</v>
      </c>
      <c r="I797" s="3" t="str">
        <f>IFERROR(__xludf.DUMMYFUNCTION("""COMPUTED_VALUE"""),"วพอ.พอ.")</f>
        <v>วพอ.พอ.</v>
      </c>
      <c r="J797" s="12">
        <f>IFERROR(__xludf.DUMMYFUNCTION("""COMPUTED_VALUE"""),46177.0)</f>
        <v>46177</v>
      </c>
      <c r="K797" s="3" t="str">
        <f>IFERROR(__xludf.DUMMYFUNCTION("""COMPUTED_VALUE"""),"1400-1700")</f>
        <v>1400-1700</v>
      </c>
      <c r="L797" s="3">
        <f>IFERROR(__xludf.DUMMYFUNCTION("""COMPUTED_VALUE"""),3.0)</f>
        <v>3</v>
      </c>
      <c r="M797" s="3" t="str">
        <f>IFERROR(__xludf.DUMMYFUNCTION("""COMPUTED_VALUE"""),"น.อ.หญิง ผศ.นิตยา สุขแสน")</f>
        <v>น.อ.หญิง ผศ.นิตยา สุขแสน</v>
      </c>
      <c r="N797" s="14" t="str">
        <f>IFERROR(__xludf.DUMMYFUNCTION("""COMPUTED_VALUE"""),"https://lh5.googleusercontent.com/d/1jZ-gCjxlDCJdrYPmD5k9HFUOHTVN3SaD")</f>
        <v>https://lh5.googleusercontent.com/d/1jZ-gCjxlDCJdrYPmD5k9HFUOHTVN3SaD</v>
      </c>
      <c r="O797" s="14" t="str">
        <f>IFERROR(__xludf.DUMMYFUNCTION("""COMPUTED_VALUE"""),"https://drive.google.com/file/d/1oSr7rO9xVbqU1Jm_Fo2ZgFozikJ790QN/view?usp=drivesdk")</f>
        <v>https://drive.google.com/file/d/1oSr7rO9xVbqU1Jm_Fo2ZgFozikJ790QN/view?usp=drivesdk</v>
      </c>
    </row>
    <row r="798">
      <c r="A798" s="3">
        <f>IFERROR(__xludf.DUMMYFUNCTION("""COMPUTED_VALUE"""),3352.0)</f>
        <v>3352</v>
      </c>
      <c r="B798" s="11">
        <f>IFERROR(__xludf.DUMMYFUNCTION("""COMPUTED_VALUE"""),46181.57631505787)</f>
        <v>46181.57632</v>
      </c>
      <c r="C798" s="3" t="str">
        <f>IFERROR(__xludf.DUMMYFUNCTION("""COMPUTED_VALUE"""),"ชั้นปีที่ 3")</f>
        <v>ชั้นปีที่ 3</v>
      </c>
      <c r="D798" s="3" t="str">
        <f>IFERROR(__xludf.DUMMYFUNCTION("""COMPUTED_VALUE"""),"6603760")</f>
        <v>6603760</v>
      </c>
      <c r="E798" s="3" t="str">
        <f>IFERROR(__xludf.DUMMYFUNCTION("""COMPUTED_VALUE"""),"7")</f>
        <v>7</v>
      </c>
      <c r="F798" s="3" t="str">
        <f>IFERROR(__xludf.DUMMYFUNCTION("""COMPUTED_VALUE"""),"นพอ.ฉัตรชนก กันสาตร")</f>
        <v>นพอ.ฉัตรชนก กันสาตร</v>
      </c>
      <c r="G798" s="3" t="str">
        <f>IFERROR(__xludf.DUMMYFUNCTION("""COMPUTED_VALUE"""),"ช่วยเหลืองานภายใน วพอ.")</f>
        <v>ช่วยเหลืองานภายใน วพอ.</v>
      </c>
      <c r="H798" s="3" t="str">
        <f>IFERROR(__xludf.DUMMYFUNCTION("""COMPUTED_VALUE"""),"ผู้นำซ้อมเต้นเพลงฉันมีความสุข")</f>
        <v>ผู้นำซ้อมเต้นเพลงฉันมีความสุข</v>
      </c>
      <c r="I798" s="3" t="str">
        <f>IFERROR(__xludf.DUMMYFUNCTION("""COMPUTED_VALUE"""),"วพอ.พอ.")</f>
        <v>วพอ.พอ.</v>
      </c>
      <c r="J798" s="12">
        <f>IFERROR(__xludf.DUMMYFUNCTION("""COMPUTED_VALUE"""),46177.0)</f>
        <v>46177</v>
      </c>
      <c r="K798" s="3" t="str">
        <f>IFERROR(__xludf.DUMMYFUNCTION("""COMPUTED_VALUE"""),"1700-1900")</f>
        <v>1700-1900</v>
      </c>
      <c r="L798" s="3">
        <f>IFERROR(__xludf.DUMMYFUNCTION("""COMPUTED_VALUE"""),2.0)</f>
        <v>2</v>
      </c>
      <c r="M798" s="3" t="str">
        <f>IFERROR(__xludf.DUMMYFUNCTION("""COMPUTED_VALUE"""),"ร.อ.หญิง เบญญาดา บุรีรัตน์")</f>
        <v>ร.อ.หญิง เบญญาดา บุรีรัตน์</v>
      </c>
      <c r="N798" s="14" t="str">
        <f>IFERROR(__xludf.DUMMYFUNCTION("""COMPUTED_VALUE"""),"https://lh5.googleusercontent.com/d/1YiHcad_9nyMJhWrPmOxhw9-M13X6at8E")</f>
        <v>https://lh5.googleusercontent.com/d/1YiHcad_9nyMJhWrPmOxhw9-M13X6at8E</v>
      </c>
      <c r="O798" s="14" t="str">
        <f>IFERROR(__xludf.DUMMYFUNCTION("""COMPUTED_VALUE"""),"https://drive.google.com/file/d/1BiJXgWEF508r-bAlaSu04zdDTUmsapXN/view?usp=drivesdk")</f>
        <v>https://drive.google.com/file/d/1BiJXgWEF508r-bAlaSu04zdDTUmsapXN/view?usp=drivesdk</v>
      </c>
    </row>
    <row r="799">
      <c r="A799" s="3">
        <f>IFERROR(__xludf.DUMMYFUNCTION("""COMPUTED_VALUE"""),3355.0)</f>
        <v>3355</v>
      </c>
      <c r="B799" s="11">
        <f>IFERROR(__xludf.DUMMYFUNCTION("""COMPUTED_VALUE"""),46181.57826832176)</f>
        <v>46181.57827</v>
      </c>
      <c r="C799" s="3" t="str">
        <f>IFERROR(__xludf.DUMMYFUNCTION("""COMPUTED_VALUE"""),"ชั้นปีที่ 3")</f>
        <v>ชั้นปีที่ 3</v>
      </c>
      <c r="D799" s="3" t="str">
        <f>IFERROR(__xludf.DUMMYFUNCTION("""COMPUTED_VALUE"""),"6603807")</f>
        <v>6603807</v>
      </c>
      <c r="E799" s="3" t="str">
        <f>IFERROR(__xludf.DUMMYFUNCTION("""COMPUTED_VALUE"""),"53")</f>
        <v>53</v>
      </c>
      <c r="F799" s="3" t="str">
        <f>IFERROR(__xludf.DUMMYFUNCTION("""COMPUTED_VALUE"""),"นพอ.สถิตย์ภรณ์ นวลขวัญ")</f>
        <v>นพอ.สถิตย์ภรณ์ นวลขวัญ</v>
      </c>
      <c r="G7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9" s="3" t="str">
        <f>IFERROR(__xludf.DUMMYFUNCTION("""COMPUTED_VALUE"""),"งานกอล์ฟ ทอ.")</f>
        <v>งานกอล์ฟ ทอ.</v>
      </c>
      <c r="I799" s="3" t="str">
        <f>IFERROR(__xludf.DUMMYFUNCTION("""COMPUTED_VALUE"""),"สนามกอล์ฟธูปะเตมีย์")</f>
        <v>สนามกอล์ฟธูปะเตมีย์</v>
      </c>
      <c r="J799" s="12">
        <f>IFERROR(__xludf.DUMMYFUNCTION("""COMPUTED_VALUE"""),46066.0)</f>
        <v>46066</v>
      </c>
      <c r="K799" s="3" t="str">
        <f>IFERROR(__xludf.DUMMYFUNCTION("""COMPUTED_VALUE"""),"1500-1900")</f>
        <v>1500-1900</v>
      </c>
      <c r="L799" s="3">
        <f>IFERROR(__xludf.DUMMYFUNCTION("""COMPUTED_VALUE"""),4.0)</f>
        <v>4</v>
      </c>
      <c r="M799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799" s="14" t="str">
        <f>IFERROR(__xludf.DUMMYFUNCTION("""COMPUTED_VALUE"""),"https://lh5.googleusercontent.com/d/1ebsYPICFJZ-q8LGRLZn2E-Rsgcrs9msA")</f>
        <v>https://lh5.googleusercontent.com/d/1ebsYPICFJZ-q8LGRLZn2E-Rsgcrs9msA</v>
      </c>
      <c r="O799" s="14" t="str">
        <f>IFERROR(__xludf.DUMMYFUNCTION("""COMPUTED_VALUE"""),"https://drive.google.com/file/d/1ne9iKb0wJuwimwa6oM-kQv6NP0DUncW4/view?usp=drivesdk")</f>
        <v>https://drive.google.com/file/d/1ne9iKb0wJuwimwa6oM-kQv6NP0DUncW4/view?usp=drivesdk</v>
      </c>
    </row>
    <row r="800">
      <c r="A800" s="3">
        <f>IFERROR(__xludf.DUMMYFUNCTION("""COMPUTED_VALUE"""),3356.0)</f>
        <v>3356</v>
      </c>
      <c r="B800" s="11">
        <f>IFERROR(__xludf.DUMMYFUNCTION("""COMPUTED_VALUE"""),46181.578667650465)</f>
        <v>46181.57867</v>
      </c>
      <c r="C800" s="3" t="str">
        <f>IFERROR(__xludf.DUMMYFUNCTION("""COMPUTED_VALUE"""),"ชั้นปีที่ 3")</f>
        <v>ชั้นปีที่ 3</v>
      </c>
      <c r="D800" s="3" t="str">
        <f>IFERROR(__xludf.DUMMYFUNCTION("""COMPUTED_VALUE"""),"6603760")</f>
        <v>6603760</v>
      </c>
      <c r="E800" s="3" t="str">
        <f>IFERROR(__xludf.DUMMYFUNCTION("""COMPUTED_VALUE"""),"7")</f>
        <v>7</v>
      </c>
      <c r="F800" s="3" t="str">
        <f>IFERROR(__xludf.DUMMYFUNCTION("""COMPUTED_VALUE"""),"นพอ.ฉัตรชนก กันสาตร")</f>
        <v>นพอ.ฉัตรชนก กันสาตร</v>
      </c>
      <c r="G800" s="3" t="str">
        <f>IFERROR(__xludf.DUMMYFUNCTION("""COMPUTED_VALUE"""),"ช่วยเหลืองานภายใน วพอ.")</f>
        <v>ช่วยเหลืองานภายใน วพอ.</v>
      </c>
      <c r="H800" s="3" t="str">
        <f>IFERROR(__xludf.DUMMYFUNCTION("""COMPUTED_VALUE"""),"ขนหิน จัดสิ่งแวดล้อม วพอ.พอ.")</f>
        <v>ขนหิน จัดสิ่งแวดล้อม วพอ.พอ.</v>
      </c>
      <c r="I800" s="3" t="str">
        <f>IFERROR(__xludf.DUMMYFUNCTION("""COMPUTED_VALUE"""),"วพอ.พอ.")</f>
        <v>วพอ.พอ.</v>
      </c>
      <c r="J800" s="12">
        <f>IFERROR(__xludf.DUMMYFUNCTION("""COMPUTED_VALUE"""),46177.0)</f>
        <v>46177</v>
      </c>
      <c r="K800" s="3" t="str">
        <f>IFERROR(__xludf.DUMMYFUNCTION("""COMPUTED_VALUE"""),"1600-1800")</f>
        <v>1600-1800</v>
      </c>
      <c r="L800" s="3">
        <f>IFERROR(__xludf.DUMMYFUNCTION("""COMPUTED_VALUE"""),3.0)</f>
        <v>3</v>
      </c>
      <c r="M800" s="3" t="str">
        <f>IFERROR(__xludf.DUMMYFUNCTION("""COMPUTED_VALUE"""),"น.อ.หญิง ผศ.นิตยา สุขแสน")</f>
        <v>น.อ.หญิง ผศ.นิตยา สุขแสน</v>
      </c>
      <c r="N800" s="14" t="str">
        <f>IFERROR(__xludf.DUMMYFUNCTION("""COMPUTED_VALUE"""),"https://lh5.googleusercontent.com/d/1DP-YVVDbbRg-VW438mhsDooVoSkV-AF3")</f>
        <v>https://lh5.googleusercontent.com/d/1DP-YVVDbbRg-VW438mhsDooVoSkV-AF3</v>
      </c>
      <c r="O800" s="14" t="str">
        <f>IFERROR(__xludf.DUMMYFUNCTION("""COMPUTED_VALUE"""),"https://drive.google.com/file/d/1J_lHIjLVScnvbnlFes38W1UkOAaQmUcp/view?usp=drivesdk")</f>
        <v>https://drive.google.com/file/d/1J_lHIjLVScnvbnlFes38W1UkOAaQmUcp/view?usp=drivesdk</v>
      </c>
    </row>
    <row r="801">
      <c r="A801" s="3">
        <f>IFERROR(__xludf.DUMMYFUNCTION("""COMPUTED_VALUE"""),3358.0)</f>
        <v>3358</v>
      </c>
      <c r="B801" s="11">
        <f>IFERROR(__xludf.DUMMYFUNCTION("""COMPUTED_VALUE"""),46181.58212166666)</f>
        <v>46181.58212</v>
      </c>
      <c r="C801" s="3" t="str">
        <f>IFERROR(__xludf.DUMMYFUNCTION("""COMPUTED_VALUE"""),"ชั้นปีที่ 3")</f>
        <v>ชั้นปีที่ 3</v>
      </c>
      <c r="D801" s="3" t="str">
        <f>IFERROR(__xludf.DUMMYFUNCTION("""COMPUTED_VALUE"""),"6603771")</f>
        <v>6603771</v>
      </c>
      <c r="E801" s="3" t="str">
        <f>IFERROR(__xludf.DUMMYFUNCTION("""COMPUTED_VALUE"""),"18")</f>
        <v>18</v>
      </c>
      <c r="F801" s="3" t="str">
        <f>IFERROR(__xludf.DUMMYFUNCTION("""COMPUTED_VALUE"""),"นพอ.ทวิกา สอิ้งแก้ว")</f>
        <v>นพอ.ทวิกา สอิ้งแก้ว</v>
      </c>
      <c r="G801" s="3" t="str">
        <f>IFERROR(__xludf.DUMMYFUNCTION("""COMPUTED_VALUE"""),"ช่วยเหลืองานภายใน วพอ.")</f>
        <v>ช่วยเหลืองานภายใน วพอ.</v>
      </c>
      <c r="H801" s="3" t="str">
        <f>IFERROR(__xludf.DUMMYFUNCTION("""COMPUTED_VALUE"""),"ปรับปรุงสถานที่ วเอ.พอ.")</f>
        <v>ปรับปรุงสถานที่ วเอ.พอ.</v>
      </c>
      <c r="I801" s="3" t="str">
        <f>IFERROR(__xludf.DUMMYFUNCTION("""COMPUTED_VALUE"""),"วพอ.พอ.")</f>
        <v>วพอ.พอ.</v>
      </c>
      <c r="J801" s="12">
        <f>IFERROR(__xludf.DUMMYFUNCTION("""COMPUTED_VALUE"""),46177.0)</f>
        <v>46177</v>
      </c>
      <c r="K801" s="3" t="str">
        <f>IFERROR(__xludf.DUMMYFUNCTION("""COMPUTED_VALUE"""),"1300-1600")</f>
        <v>1300-1600</v>
      </c>
      <c r="L801" s="3">
        <f>IFERROR(__xludf.DUMMYFUNCTION("""COMPUTED_VALUE"""),3.0)</f>
        <v>3</v>
      </c>
      <c r="M801" s="3" t="str">
        <f>IFERROR(__xludf.DUMMYFUNCTION("""COMPUTED_VALUE"""),"น.อ.หญิง ผศ. นิตยา สุขแสน")</f>
        <v>น.อ.หญิง ผศ. นิตยา สุขแสน</v>
      </c>
      <c r="N801" s="14" t="str">
        <f>IFERROR(__xludf.DUMMYFUNCTION("""COMPUTED_VALUE"""),"https://lh5.googleusercontent.com/d/1KcZ-1OajRVD1WMXOmtHAtO4a0JERXrvf")</f>
        <v>https://lh5.googleusercontent.com/d/1KcZ-1OajRVD1WMXOmtHAtO4a0JERXrvf</v>
      </c>
      <c r="O801" s="14" t="str">
        <f>IFERROR(__xludf.DUMMYFUNCTION("""COMPUTED_VALUE"""),"https://drive.google.com/file/d/1_V1858Tq5QhiEjfQofktCJt-VSlD_siP/view?usp=drivesdk")</f>
        <v>https://drive.google.com/file/d/1_V1858Tq5QhiEjfQofktCJt-VSlD_siP/view?usp=drivesdk</v>
      </c>
    </row>
    <row r="802">
      <c r="A802" s="3">
        <f>IFERROR(__xludf.DUMMYFUNCTION("""COMPUTED_VALUE"""),3361.0)</f>
        <v>3361</v>
      </c>
      <c r="B802" s="11">
        <f>IFERROR(__xludf.DUMMYFUNCTION("""COMPUTED_VALUE"""),46181.59117199074)</f>
        <v>46181.59117</v>
      </c>
      <c r="C802" s="3" t="str">
        <f>IFERROR(__xludf.DUMMYFUNCTION("""COMPUTED_VALUE"""),"ชั้นปีที่ 3")</f>
        <v>ชั้นปีที่ 3</v>
      </c>
      <c r="D802" s="3" t="str">
        <f>IFERROR(__xludf.DUMMYFUNCTION("""COMPUTED_VALUE"""),"6603808")</f>
        <v>6603808</v>
      </c>
      <c r="E802" s="3" t="str">
        <f>IFERROR(__xludf.DUMMYFUNCTION("""COMPUTED_VALUE"""),"54")</f>
        <v>54</v>
      </c>
      <c r="F802" s="3" t="str">
        <f>IFERROR(__xludf.DUMMYFUNCTION("""COMPUTED_VALUE"""),"นพอ.สุชานันท์ ดิสระมุณี")</f>
        <v>นพอ.สุชานันท์ ดิสระมุณี</v>
      </c>
      <c r="G802" s="3" t="str">
        <f>IFERROR(__xludf.DUMMYFUNCTION("""COMPUTED_VALUE"""),"ช่วยเหลืองานภายใน วพอ.")</f>
        <v>ช่วยเหลืองานภายใน วพอ.</v>
      </c>
      <c r="H802" s="3" t="str">
        <f>IFERROR(__xludf.DUMMYFUNCTION("""COMPUTED_VALUE"""),"งานกอล์ฟวพอ.")</f>
        <v>งานกอล์ฟวพอ.</v>
      </c>
      <c r="I802" s="3" t="str">
        <f>IFERROR(__xludf.DUMMYFUNCTION("""COMPUTED_VALUE"""),"สนามกอล์ฟธูปะเตมีย์")</f>
        <v>สนามกอล์ฟธูปะเตมีย์</v>
      </c>
      <c r="J802" s="12">
        <f>IFERROR(__xludf.DUMMYFUNCTION("""COMPUTED_VALUE"""),46066.0)</f>
        <v>46066</v>
      </c>
      <c r="K802" s="3" t="str">
        <f>IFERROR(__xludf.DUMMYFUNCTION("""COMPUTED_VALUE"""),"0800-1200")</f>
        <v>0800-1200</v>
      </c>
      <c r="L802" s="3">
        <f>IFERROR(__xludf.DUMMYFUNCTION("""COMPUTED_VALUE"""),4.0)</f>
        <v>4</v>
      </c>
      <c r="M802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802" s="14" t="str">
        <f>IFERROR(__xludf.DUMMYFUNCTION("""COMPUTED_VALUE"""),"https://lh5.googleusercontent.com/d/1Zb015rEBTb7zPGUKeFv2L7e2de02u9dz")</f>
        <v>https://lh5.googleusercontent.com/d/1Zb015rEBTb7zPGUKeFv2L7e2de02u9dz</v>
      </c>
      <c r="O802" s="14" t="str">
        <f>IFERROR(__xludf.DUMMYFUNCTION("""COMPUTED_VALUE"""),"https://drive.google.com/file/d/10cEeGmt5n7G0RD-TwFc-uTUSBuFmAjXv/view?usp=drivesdk")</f>
        <v>https://drive.google.com/file/d/10cEeGmt5n7G0RD-TwFc-uTUSBuFmAjXv/view?usp=drivesdk</v>
      </c>
    </row>
    <row r="803">
      <c r="A803" s="3">
        <f>IFERROR(__xludf.DUMMYFUNCTION("""COMPUTED_VALUE"""),3368.0)</f>
        <v>3368</v>
      </c>
      <c r="B803" s="11">
        <f>IFERROR(__xludf.DUMMYFUNCTION("""COMPUTED_VALUE"""),46181.60926885417)</f>
        <v>46181.60927</v>
      </c>
      <c r="C803" s="3" t="str">
        <f>IFERROR(__xludf.DUMMYFUNCTION("""COMPUTED_VALUE"""),"ชั้นปีที่ 3")</f>
        <v>ชั้นปีที่ 3</v>
      </c>
      <c r="D803" s="3" t="str">
        <f>IFERROR(__xludf.DUMMYFUNCTION("""COMPUTED_VALUE"""),"6603800")</f>
        <v>6603800</v>
      </c>
      <c r="E803" s="3" t="str">
        <f>IFERROR(__xludf.DUMMYFUNCTION("""COMPUTED_VALUE"""),"46")</f>
        <v>46</v>
      </c>
      <c r="F803" s="3" t="str">
        <f>IFERROR(__xludf.DUMMYFUNCTION("""COMPUTED_VALUE"""),"นพอ.วารีริน ปิมปา")</f>
        <v>นพอ.วารีริน ปิมปา</v>
      </c>
      <c r="G80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3" s="3" t="str">
        <f>IFERROR(__xludf.DUMMYFUNCTION("""COMPUTED_VALUE"""),"แสดงงานกอล์ฟทอ.")</f>
        <v>แสดงงานกอล์ฟทอ.</v>
      </c>
      <c r="I803" s="3" t="str">
        <f>IFERROR(__xludf.DUMMYFUNCTION("""COMPUTED_VALUE"""),"สนามกอล์ฟธูปเตมีย์")</f>
        <v>สนามกอล์ฟธูปเตมีย์</v>
      </c>
      <c r="J803" s="12">
        <f>IFERROR(__xludf.DUMMYFUNCTION("""COMPUTED_VALUE"""),46066.0)</f>
        <v>46066</v>
      </c>
      <c r="K803" s="3" t="str">
        <f>IFERROR(__xludf.DUMMYFUNCTION("""COMPUTED_VALUE"""),"1600-2000")</f>
        <v>1600-2000</v>
      </c>
      <c r="L803" s="3">
        <f>IFERROR(__xludf.DUMMYFUNCTION("""COMPUTED_VALUE"""),4.0)</f>
        <v>4</v>
      </c>
      <c r="M803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803" s="14" t="str">
        <f>IFERROR(__xludf.DUMMYFUNCTION("""COMPUTED_VALUE"""),"https://lh5.googleusercontent.com/d/1TrWS5Yyrr_V-nHKXVyAYitFCn_HSLVhU")</f>
        <v>https://lh5.googleusercontent.com/d/1TrWS5Yyrr_V-nHKXVyAYitFCn_HSLVhU</v>
      </c>
      <c r="O803" s="14" t="str">
        <f>IFERROR(__xludf.DUMMYFUNCTION("""COMPUTED_VALUE"""),"https://drive.google.com/file/d/1p3klAYn4RA1DQ9Eb4zjJ8o6VpdK6M0r0/view?usp=drivesdk")</f>
        <v>https://drive.google.com/file/d/1p3klAYn4RA1DQ9Eb4zjJ8o6VpdK6M0r0/view?usp=drivesdk</v>
      </c>
    </row>
    <row r="804">
      <c r="A804" s="3">
        <f>IFERROR(__xludf.DUMMYFUNCTION("""COMPUTED_VALUE"""),3370.0)</f>
        <v>3370</v>
      </c>
      <c r="B804" s="11">
        <f>IFERROR(__xludf.DUMMYFUNCTION("""COMPUTED_VALUE"""),46181.61568634259)</f>
        <v>46181.61569</v>
      </c>
      <c r="C804" s="3" t="str">
        <f>IFERROR(__xludf.DUMMYFUNCTION("""COMPUTED_VALUE"""),"ชั้นปีที่ 3")</f>
        <v>ชั้นปีที่ 3</v>
      </c>
      <c r="D804" s="3" t="str">
        <f>IFERROR(__xludf.DUMMYFUNCTION("""COMPUTED_VALUE"""),"6603800")</f>
        <v>6603800</v>
      </c>
      <c r="E804" s="3" t="str">
        <f>IFERROR(__xludf.DUMMYFUNCTION("""COMPUTED_VALUE"""),"46")</f>
        <v>46</v>
      </c>
      <c r="F804" s="3" t="str">
        <f>IFERROR(__xludf.DUMMYFUNCTION("""COMPUTED_VALUE"""),"นพอ.วารีริน ปิมปา")</f>
        <v>นพอ.วารีริน ปิมปา</v>
      </c>
      <c r="G80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04" s="3" t="str">
        <f>IFERROR(__xludf.DUMMYFUNCTION("""COMPUTED_VALUE"""),"บริจาคโลหิต")</f>
        <v>บริจาคโลหิต</v>
      </c>
      <c r="I804" s="3" t="str">
        <f>IFERROR(__xludf.DUMMYFUNCTION("""COMPUTED_VALUE"""),"สภากาชาติ")</f>
        <v>สภากาชาติ</v>
      </c>
      <c r="J804" s="12">
        <f>IFERROR(__xludf.DUMMYFUNCTION("""COMPUTED_VALUE"""),46081.0)</f>
        <v>46081</v>
      </c>
      <c r="K804" s="3" t="str">
        <f>IFERROR(__xludf.DUMMYFUNCTION("""COMPUTED_VALUE"""),"1300-1400")</f>
        <v>1300-1400</v>
      </c>
      <c r="L804" s="3">
        <f>IFERROR(__xludf.DUMMYFUNCTION("""COMPUTED_VALUE"""),8.0)</f>
        <v>8</v>
      </c>
      <c r="M804" s="3" t="str">
        <f>IFERROR(__xludf.DUMMYFUNCTION("""COMPUTED_VALUE"""),"ร.อ.อนุชิต ทำจะดี")</f>
        <v>ร.อ.อนุชิต ทำจะดี</v>
      </c>
      <c r="N804" s="14" t="str">
        <f>IFERROR(__xludf.DUMMYFUNCTION("""COMPUTED_VALUE"""),"https://lh5.googleusercontent.com/d/1PuCDnxEArvuIObr3ZqIAqs4cyljr8TkV")</f>
        <v>https://lh5.googleusercontent.com/d/1PuCDnxEArvuIObr3ZqIAqs4cyljr8TkV</v>
      </c>
      <c r="O804" s="14" t="str">
        <f>IFERROR(__xludf.DUMMYFUNCTION("""COMPUTED_VALUE"""),"https://drive.google.com/file/d/1a4GN4QuVOP9aiUOl64LPfARmDr2PZ2tm/view?usp=drivesdk")</f>
        <v>https://drive.google.com/file/d/1a4GN4QuVOP9aiUOl64LPfARmDr2PZ2tm/view?usp=drivesdk</v>
      </c>
    </row>
    <row r="805">
      <c r="A805" s="3">
        <f>IFERROR(__xludf.DUMMYFUNCTION("""COMPUTED_VALUE"""),3371.0)</f>
        <v>3371</v>
      </c>
      <c r="B805" s="11">
        <f>IFERROR(__xludf.DUMMYFUNCTION("""COMPUTED_VALUE"""),46181.62718451389)</f>
        <v>46181.62718</v>
      </c>
      <c r="C805" s="3" t="str">
        <f>IFERROR(__xludf.DUMMYFUNCTION("""COMPUTED_VALUE"""),"ชั้นปีที่ 3")</f>
        <v>ชั้นปีที่ 3</v>
      </c>
      <c r="D805" s="3" t="str">
        <f>IFERROR(__xludf.DUMMYFUNCTION("""COMPUTED_VALUE"""),"6603800")</f>
        <v>6603800</v>
      </c>
      <c r="E805" s="3" t="str">
        <f>IFERROR(__xludf.DUMMYFUNCTION("""COMPUTED_VALUE"""),"46")</f>
        <v>46</v>
      </c>
      <c r="F805" s="3" t="str">
        <f>IFERROR(__xludf.DUMMYFUNCTION("""COMPUTED_VALUE"""),"นพอ.วารีริน ปิมปา")</f>
        <v>นพอ.วารีริน ปิมปา</v>
      </c>
      <c r="G80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05" s="3" t="str">
        <f>IFERROR(__xludf.DUMMYFUNCTION("""COMPUTED_VALUE"""),"บริจาคโลหิต")</f>
        <v>บริจาคโลหิต</v>
      </c>
      <c r="I805" s="3" t="str">
        <f>IFERROR(__xludf.DUMMYFUNCTION("""COMPUTED_VALUE"""),"เดอะมอลล์งามวงค์วาน")</f>
        <v>เดอะมอลล์งามวงค์วาน</v>
      </c>
      <c r="J805" s="12">
        <f>IFERROR(__xludf.DUMMYFUNCTION("""COMPUTED_VALUE"""),46145.0)</f>
        <v>46145</v>
      </c>
      <c r="K805" s="3" t="str">
        <f>IFERROR(__xludf.DUMMYFUNCTION("""COMPUTED_VALUE"""),"1300-1400")</f>
        <v>1300-1400</v>
      </c>
      <c r="L805" s="3">
        <f>IFERROR(__xludf.DUMMYFUNCTION("""COMPUTED_VALUE"""),8.0)</f>
        <v>8</v>
      </c>
      <c r="M805" s="3" t="str">
        <f>IFERROR(__xludf.DUMMYFUNCTION("""COMPUTED_VALUE"""),"ร.อ.อนุชิต ทำจะดี")</f>
        <v>ร.อ.อนุชิต ทำจะดี</v>
      </c>
      <c r="N805" s="14" t="str">
        <f>IFERROR(__xludf.DUMMYFUNCTION("""COMPUTED_VALUE"""),"https://lh5.googleusercontent.com/d/1zdhBJN6t13VbJhz_jqj7lnEwWiLZjC5Q")</f>
        <v>https://lh5.googleusercontent.com/d/1zdhBJN6t13VbJhz_jqj7lnEwWiLZjC5Q</v>
      </c>
      <c r="O805" s="14" t="str">
        <f>IFERROR(__xludf.DUMMYFUNCTION("""COMPUTED_VALUE"""),"https://drive.google.com/file/d/18qM9Nn0UtFrD2-LKDRcaKNU6AkddkMn2/view?usp=drivesdk")</f>
        <v>https://drive.google.com/file/d/18qM9Nn0UtFrD2-LKDRcaKNU6AkddkMn2/view?usp=drivesdk</v>
      </c>
    </row>
    <row r="806">
      <c r="A806" s="3">
        <f>IFERROR(__xludf.DUMMYFUNCTION("""COMPUTED_VALUE"""),3374.0)</f>
        <v>3374</v>
      </c>
      <c r="B806" s="11">
        <f>IFERROR(__xludf.DUMMYFUNCTION("""COMPUTED_VALUE"""),46181.63296043982)</f>
        <v>46181.63296</v>
      </c>
      <c r="C806" s="3" t="str">
        <f>IFERROR(__xludf.DUMMYFUNCTION("""COMPUTED_VALUE"""),"ชั้นปีที่ 3")</f>
        <v>ชั้นปีที่ 3</v>
      </c>
      <c r="D806" s="3" t="str">
        <f>IFERROR(__xludf.DUMMYFUNCTION("""COMPUTED_VALUE"""),"6603800")</f>
        <v>6603800</v>
      </c>
      <c r="E806" s="3" t="str">
        <f>IFERROR(__xludf.DUMMYFUNCTION("""COMPUTED_VALUE"""),"46")</f>
        <v>46</v>
      </c>
      <c r="F806" s="3" t="str">
        <f>IFERROR(__xludf.DUMMYFUNCTION("""COMPUTED_VALUE"""),"นพอ.วารีริน ปิมปา")</f>
        <v>นพอ.วารีริน ปิมปา</v>
      </c>
      <c r="G806" s="3" t="str">
        <f>IFERROR(__xludf.DUMMYFUNCTION("""COMPUTED_VALUE"""),"ช่วยเหลืองานภายใน วพอ.")</f>
        <v>ช่วยเหลืองานภายใน วพอ.</v>
      </c>
      <c r="H806" s="3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806" s="3" t="str">
        <f>IFERROR(__xludf.DUMMYFUNCTION("""COMPUTED_VALUE"""),"วพอ.")</f>
        <v>วพอ.</v>
      </c>
      <c r="J806" s="12">
        <f>IFERROR(__xludf.DUMMYFUNCTION("""COMPUTED_VALUE"""),46177.0)</f>
        <v>46177</v>
      </c>
      <c r="K806" s="3" t="str">
        <f>IFERROR(__xludf.DUMMYFUNCTION("""COMPUTED_VALUE"""),"1330-1630")</f>
        <v>1330-1630</v>
      </c>
      <c r="L806" s="3">
        <f>IFERROR(__xludf.DUMMYFUNCTION("""COMPUTED_VALUE"""),3.0)</f>
        <v>3</v>
      </c>
      <c r="M806" s="3" t="str">
        <f>IFERROR(__xludf.DUMMYFUNCTION("""COMPUTED_VALUE"""),"น.อ.หญิง ผศ. นิตยา สุขแสน")</f>
        <v>น.อ.หญิง ผศ. นิตยา สุขแสน</v>
      </c>
      <c r="N806" s="14" t="str">
        <f>IFERROR(__xludf.DUMMYFUNCTION("""COMPUTED_VALUE"""),"https://lh5.googleusercontent.com/d/1Ql4MSRUCdsatHZTx7NxiOyvzbOy501TX")</f>
        <v>https://lh5.googleusercontent.com/d/1Ql4MSRUCdsatHZTx7NxiOyvzbOy501TX</v>
      </c>
      <c r="O806" s="14" t="str">
        <f>IFERROR(__xludf.DUMMYFUNCTION("""COMPUTED_VALUE"""),"https://drive.google.com/file/d/1WWoZfBLeKNk9sOgMWFuu-MJ67TIgA99f/view?usp=drivesdk")</f>
        <v>https://drive.google.com/file/d/1WWoZfBLeKNk9sOgMWFuu-MJ67TIgA99f/view?usp=drivesdk</v>
      </c>
    </row>
    <row r="807">
      <c r="A807" s="3">
        <f>IFERROR(__xludf.DUMMYFUNCTION("""COMPUTED_VALUE"""),3378.0)</f>
        <v>3378</v>
      </c>
      <c r="B807" s="11">
        <f>IFERROR(__xludf.DUMMYFUNCTION("""COMPUTED_VALUE"""),46181.70547674769)</f>
        <v>46181.70548</v>
      </c>
      <c r="C807" s="3" t="str">
        <f>IFERROR(__xludf.DUMMYFUNCTION("""COMPUTED_VALUE"""),"ชั้นปีที่ 3")</f>
        <v>ชั้นปีที่ 3</v>
      </c>
      <c r="D807" s="3" t="str">
        <f>IFERROR(__xludf.DUMMYFUNCTION("""COMPUTED_VALUE"""),"6603764")</f>
        <v>6603764</v>
      </c>
      <c r="E807" s="3" t="str">
        <f>IFERROR(__xludf.DUMMYFUNCTION("""COMPUTED_VALUE"""),"11")</f>
        <v>11</v>
      </c>
      <c r="F807" s="3" t="str">
        <f>IFERROR(__xludf.DUMMYFUNCTION("""COMPUTED_VALUE"""),"นพอ.ชวัลลักษณ์ อินทะชุบ")</f>
        <v>นพอ.ชวัลลักษณ์ อินทะชุบ</v>
      </c>
      <c r="G807" s="3" t="str">
        <f>IFERROR(__xludf.DUMMYFUNCTION("""COMPUTED_VALUE"""),"ช่วยเหลืองานภายใน วพอ.")</f>
        <v>ช่วยเหลืองานภายใน วพอ.</v>
      </c>
      <c r="H807" s="3" t="str">
        <f>IFERROR(__xludf.DUMMYFUNCTION("""COMPUTED_VALUE"""),"ขนหิน จัดสิ่งแวดล้อมภายในวิทยาลัย")</f>
        <v>ขนหิน จัดสิ่งแวดล้อมภายในวิทยาลัย</v>
      </c>
      <c r="I807" s="3" t="str">
        <f>IFERROR(__xludf.DUMMYFUNCTION("""COMPUTED_VALUE"""),"วพอ.พอ.")</f>
        <v>วพอ.พอ.</v>
      </c>
      <c r="J807" s="12">
        <f>IFERROR(__xludf.DUMMYFUNCTION("""COMPUTED_VALUE"""),46177.0)</f>
        <v>46177</v>
      </c>
      <c r="K807" s="3" t="str">
        <f>IFERROR(__xludf.DUMMYFUNCTION("""COMPUTED_VALUE"""),"14.00-17.00")</f>
        <v>14.00-17.00</v>
      </c>
      <c r="L807" s="3">
        <f>IFERROR(__xludf.DUMMYFUNCTION("""COMPUTED_VALUE"""),3.0)</f>
        <v>3</v>
      </c>
      <c r="M807" s="3" t="str">
        <f>IFERROR(__xludf.DUMMYFUNCTION("""COMPUTED_VALUE"""),"น.อ.หญิง.ผศ.นิตยา สุขแสน")</f>
        <v>น.อ.หญิง.ผศ.นิตยา สุขแสน</v>
      </c>
      <c r="N807" s="14" t="str">
        <f>IFERROR(__xludf.DUMMYFUNCTION("""COMPUTED_VALUE"""),"https://lh5.googleusercontent.com/d/1wxR4lsJ7_C9eB2hpbTJrUpK0jgzmVJJN")</f>
        <v>https://lh5.googleusercontent.com/d/1wxR4lsJ7_C9eB2hpbTJrUpK0jgzmVJJN</v>
      </c>
      <c r="O807" s="14" t="str">
        <f>IFERROR(__xludf.DUMMYFUNCTION("""COMPUTED_VALUE"""),"https://drive.google.com/file/d/1w005a788Mb4KQ-LSfkejSVgfMY9muahZ/view?usp=drivesdk")</f>
        <v>https://drive.google.com/file/d/1w005a788Mb4KQ-LSfkejSVgfMY9muahZ/view?usp=drivesdk</v>
      </c>
    </row>
    <row r="808">
      <c r="A808" s="3">
        <f>IFERROR(__xludf.DUMMYFUNCTION("""COMPUTED_VALUE"""),3379.0)</f>
        <v>3379</v>
      </c>
      <c r="B808" s="11">
        <f>IFERROR(__xludf.DUMMYFUNCTION("""COMPUTED_VALUE"""),46181.70756986111)</f>
        <v>46181.70757</v>
      </c>
      <c r="C808" s="3" t="str">
        <f>IFERROR(__xludf.DUMMYFUNCTION("""COMPUTED_VALUE"""),"ชั้นปีที่ 3")</f>
        <v>ชั้นปีที่ 3</v>
      </c>
      <c r="D808" s="3" t="str">
        <f>IFERROR(__xludf.DUMMYFUNCTION("""COMPUTED_VALUE"""),"6603780")</f>
        <v>6603780</v>
      </c>
      <c r="E808" s="3" t="str">
        <f>IFERROR(__xludf.DUMMYFUNCTION("""COMPUTED_VALUE"""),"26")</f>
        <v>26</v>
      </c>
      <c r="F808" s="3" t="str">
        <f>IFERROR(__xludf.DUMMYFUNCTION("""COMPUTED_VALUE"""),"นพอ.นิศาชล ชุมจันทร์")</f>
        <v>นพอ.นิศาชล ชุมจันทร์</v>
      </c>
      <c r="G808" s="3" t="str">
        <f>IFERROR(__xludf.DUMMYFUNCTION("""COMPUTED_VALUE"""),"ช่วยเหลืองานภายใน วพอ.")</f>
        <v>ช่วยเหลืองานภายใน วพอ.</v>
      </c>
      <c r="H808" s="3" t="str">
        <f>IFERROR(__xludf.DUMMYFUNCTION("""COMPUTED_VALUE"""),"จัดสิ่งแวดล้อมภายในวพอ.")</f>
        <v>จัดสิ่งแวดล้อมภายในวพอ.</v>
      </c>
      <c r="I808" s="3" t="str">
        <f>IFERROR(__xludf.DUMMYFUNCTION("""COMPUTED_VALUE"""),"วพอ.พอ.")</f>
        <v>วพอ.พอ.</v>
      </c>
      <c r="J808" s="12">
        <f>IFERROR(__xludf.DUMMYFUNCTION("""COMPUTED_VALUE"""),46177.0)</f>
        <v>46177</v>
      </c>
      <c r="K808" s="3" t="str">
        <f>IFERROR(__xludf.DUMMYFUNCTION("""COMPUTED_VALUE"""),"1400-1700")</f>
        <v>1400-1700</v>
      </c>
      <c r="L808" s="3">
        <f>IFERROR(__xludf.DUMMYFUNCTION("""COMPUTED_VALUE"""),3.0)</f>
        <v>3</v>
      </c>
      <c r="M808" s="3" t="str">
        <f>IFERROR(__xludf.DUMMYFUNCTION("""COMPUTED_VALUE"""),"น.อ.หญิงผศ.นิตยา สุขแสน")</f>
        <v>น.อ.หญิงผศ.นิตยา สุขแสน</v>
      </c>
      <c r="N808" s="14" t="str">
        <f>IFERROR(__xludf.DUMMYFUNCTION("""COMPUTED_VALUE"""),"https://lh5.googleusercontent.com/d/1ahtKA1aarM6VSq2N5N234h61Jli87Xof")</f>
        <v>https://lh5.googleusercontent.com/d/1ahtKA1aarM6VSq2N5N234h61Jli87Xof</v>
      </c>
      <c r="O808" s="14" t="str">
        <f>IFERROR(__xludf.DUMMYFUNCTION("""COMPUTED_VALUE"""),"https://drive.google.com/file/d/11WoPIA9D4fA-9YHkbHm2Q4Qy-4nNbcGP/view?usp=drivesdk")</f>
        <v>https://drive.google.com/file/d/11WoPIA9D4fA-9YHkbHm2Q4Qy-4nNbcGP/view?usp=drivesdk</v>
      </c>
    </row>
    <row r="809">
      <c r="A809" s="3">
        <f>IFERROR(__xludf.DUMMYFUNCTION("""COMPUTED_VALUE"""),3380.0)</f>
        <v>3380</v>
      </c>
      <c r="B809" s="11">
        <f>IFERROR(__xludf.DUMMYFUNCTION("""COMPUTED_VALUE"""),46181.70892395833)</f>
        <v>46181.70892</v>
      </c>
      <c r="C809" s="3" t="str">
        <f>IFERROR(__xludf.DUMMYFUNCTION("""COMPUTED_VALUE"""),"ชั้นปีที่ 3")</f>
        <v>ชั้นปีที่ 3</v>
      </c>
      <c r="D809" s="3" t="str">
        <f>IFERROR(__xludf.DUMMYFUNCTION("""COMPUTED_VALUE"""),"6603764")</f>
        <v>6603764</v>
      </c>
      <c r="E809" s="3" t="str">
        <f>IFERROR(__xludf.DUMMYFUNCTION("""COMPUTED_VALUE"""),"11")</f>
        <v>11</v>
      </c>
      <c r="F809" s="3" t="str">
        <f>IFERROR(__xludf.DUMMYFUNCTION("""COMPUTED_VALUE"""),"นพอ.ชวัลลักษณ์ อินทะชุบ")</f>
        <v>นพอ.ชวัลลักษณ์ อินทะชุบ</v>
      </c>
      <c r="G809" s="3" t="str">
        <f>IFERROR(__xludf.DUMMYFUNCTION("""COMPUTED_VALUE"""),"งานฟรีทั่วไป")</f>
        <v>งานฟรีทั่วไป</v>
      </c>
      <c r="H809" s="3" t="str">
        <f>IFERROR(__xludf.DUMMYFUNCTION("""COMPUTED_VALUE"""),"ช่วยแม่ทำงานบ้าน")</f>
        <v>ช่วยแม่ทำงานบ้าน</v>
      </c>
      <c r="I809" s="3" t="str">
        <f>IFERROR(__xludf.DUMMYFUNCTION("""COMPUTED_VALUE"""),"บ้านที่จังหวัดพิษณุโลก")</f>
        <v>บ้านที่จังหวัดพิษณุโลก</v>
      </c>
      <c r="J809" s="12">
        <f>IFERROR(__xludf.DUMMYFUNCTION("""COMPUTED_VALUE"""),46172.0)</f>
        <v>46172</v>
      </c>
      <c r="K809" s="3" t="str">
        <f>IFERROR(__xludf.DUMMYFUNCTION("""COMPUTED_VALUE"""),"10.00-12.00")</f>
        <v>10.00-12.00</v>
      </c>
      <c r="L809" s="3">
        <f>IFERROR(__xludf.DUMMYFUNCTION("""COMPUTED_VALUE"""),2.0)</f>
        <v>2</v>
      </c>
      <c r="M809" s="3" t="str">
        <f>IFERROR(__xludf.DUMMYFUNCTION("""COMPUTED_VALUE"""),"นางรัชนิดา อินทะชุบ")</f>
        <v>นางรัชนิดา อินทะชุบ</v>
      </c>
      <c r="N809" s="14" t="str">
        <f>IFERROR(__xludf.DUMMYFUNCTION("""COMPUTED_VALUE"""),"https://lh5.googleusercontent.com/d/1SHgvF6LV4ZtN2JuielUmLRyArMJ8OPTC")</f>
        <v>https://lh5.googleusercontent.com/d/1SHgvF6LV4ZtN2JuielUmLRyArMJ8OPTC</v>
      </c>
      <c r="O809" s="14" t="str">
        <f>IFERROR(__xludf.DUMMYFUNCTION("""COMPUTED_VALUE"""),"https://drive.google.com/file/d/1Mc4FC90VYGuz5DJJ7RuV5LX0VwUDfA4y/view?usp=drivesdk")</f>
        <v>https://drive.google.com/file/d/1Mc4FC90VYGuz5DJJ7RuV5LX0VwUDfA4y/view?usp=drivesdk</v>
      </c>
    </row>
    <row r="810">
      <c r="A810" s="3">
        <f>IFERROR(__xludf.DUMMYFUNCTION("""COMPUTED_VALUE"""),3381.0)</f>
        <v>3381</v>
      </c>
      <c r="B810" s="11">
        <f>IFERROR(__xludf.DUMMYFUNCTION("""COMPUTED_VALUE"""),46181.712633043986)</f>
        <v>46181.71263</v>
      </c>
      <c r="C810" s="3" t="str">
        <f>IFERROR(__xludf.DUMMYFUNCTION("""COMPUTED_VALUE"""),"ชั้นปีที่ 3")</f>
        <v>ชั้นปีที่ 3</v>
      </c>
      <c r="D810" s="3" t="str">
        <f>IFERROR(__xludf.DUMMYFUNCTION("""COMPUTED_VALUE"""),"6603764")</f>
        <v>6603764</v>
      </c>
      <c r="E810" s="3" t="str">
        <f>IFERROR(__xludf.DUMMYFUNCTION("""COMPUTED_VALUE"""),"11")</f>
        <v>11</v>
      </c>
      <c r="F810" s="3" t="str">
        <f>IFERROR(__xludf.DUMMYFUNCTION("""COMPUTED_VALUE"""),"นพอ.ชวัลลักษณ์ อินทะชุบ")</f>
        <v>นพอ.ชวัลลักษณ์ อินทะชุบ</v>
      </c>
      <c r="G810" s="3" t="str">
        <f>IFERROR(__xludf.DUMMYFUNCTION("""COMPUTED_VALUE"""),"งานฟรีทั่วไป")</f>
        <v>งานฟรีทั่วไป</v>
      </c>
      <c r="H810" s="3" t="str">
        <f>IFERROR(__xludf.DUMMYFUNCTION("""COMPUTED_VALUE"""),"ช่วยพ่อปลูกต้นไม้")</f>
        <v>ช่วยพ่อปลูกต้นไม้</v>
      </c>
      <c r="I810" s="3" t="str">
        <f>IFERROR(__xludf.DUMMYFUNCTION("""COMPUTED_VALUE"""),"บ้านที่จังหวัดพิษณุโลก")</f>
        <v>บ้านที่จังหวัดพิษณุโลก</v>
      </c>
      <c r="J810" s="12">
        <f>IFERROR(__xludf.DUMMYFUNCTION("""COMPUTED_VALUE"""),46151.0)</f>
        <v>46151</v>
      </c>
      <c r="K810" s="3" t="str">
        <f>IFERROR(__xludf.DUMMYFUNCTION("""COMPUTED_VALUE"""),"09.00-11.00")</f>
        <v>09.00-11.00</v>
      </c>
      <c r="L810" s="3">
        <f>IFERROR(__xludf.DUMMYFUNCTION("""COMPUTED_VALUE"""),2.0)</f>
        <v>2</v>
      </c>
      <c r="M810" s="3" t="str">
        <f>IFERROR(__xludf.DUMMYFUNCTION("""COMPUTED_VALUE"""),"นายชาคริต อินทะชุบ")</f>
        <v>นายชาคริต อินทะชุบ</v>
      </c>
      <c r="N810" s="14" t="str">
        <f>IFERROR(__xludf.DUMMYFUNCTION("""COMPUTED_VALUE"""),"https://lh5.googleusercontent.com/d/1z1qdWp9MEBbyeLs3C7BjaQKe0wl-koMZ")</f>
        <v>https://lh5.googleusercontent.com/d/1z1qdWp9MEBbyeLs3C7BjaQKe0wl-koMZ</v>
      </c>
      <c r="O810" s="14" t="str">
        <f>IFERROR(__xludf.DUMMYFUNCTION("""COMPUTED_VALUE"""),"https://drive.google.com/file/d/1f93pwkvDkCk0dXNWCHhBVvuRUk4ExQyi/view?usp=drivesdk")</f>
        <v>https://drive.google.com/file/d/1f93pwkvDkCk0dXNWCHhBVvuRUk4ExQyi/view?usp=drivesdk</v>
      </c>
    </row>
    <row r="811">
      <c r="A811" s="3">
        <f>IFERROR(__xludf.DUMMYFUNCTION("""COMPUTED_VALUE"""),3382.0)</f>
        <v>3382</v>
      </c>
      <c r="B811" s="11">
        <f>IFERROR(__xludf.DUMMYFUNCTION("""COMPUTED_VALUE"""),46181.82906923611)</f>
        <v>46181.82907</v>
      </c>
      <c r="C811" s="3" t="str">
        <f>IFERROR(__xludf.DUMMYFUNCTION("""COMPUTED_VALUE"""),"ชั้นปีที่ 3")</f>
        <v>ชั้นปีที่ 3</v>
      </c>
      <c r="D811" s="3" t="str">
        <f>IFERROR(__xludf.DUMMYFUNCTION("""COMPUTED_VALUE"""),"6603790")</f>
        <v>6603790</v>
      </c>
      <c r="E811" s="3" t="str">
        <f>IFERROR(__xludf.DUMMYFUNCTION("""COMPUTED_VALUE"""),"36")</f>
        <v>36</v>
      </c>
      <c r="F811" s="3" t="str">
        <f>IFERROR(__xludf.DUMMYFUNCTION("""COMPUTED_VALUE"""),"นพอ.ปิยะนันท์ ตุนก")</f>
        <v>นพอ.ปิยะนันท์ ตุนก</v>
      </c>
      <c r="G811" s="3" t="str">
        <f>IFERROR(__xludf.DUMMYFUNCTION("""COMPUTED_VALUE"""),"ช่วยเหลืองานภายใน วพอ.")</f>
        <v>ช่วยเหลืองานภายใน วพอ.</v>
      </c>
      <c r="H811" s="3" t="str">
        <f>IFERROR(__xludf.DUMMYFUNCTION("""COMPUTED_VALUE"""),"จัดสิ่งแวดล้อมใน วพอ.")</f>
        <v>จัดสิ่งแวดล้อมใน วพอ.</v>
      </c>
      <c r="I811" s="3" t="str">
        <f>IFERROR(__xludf.DUMMYFUNCTION("""COMPUTED_VALUE"""),"วพอ.พอ.")</f>
        <v>วพอ.พอ.</v>
      </c>
      <c r="J811" s="12">
        <f>IFERROR(__xludf.DUMMYFUNCTION("""COMPUTED_VALUE"""),46177.0)</f>
        <v>46177</v>
      </c>
      <c r="K811" s="3" t="str">
        <f>IFERROR(__xludf.DUMMYFUNCTION("""COMPUTED_VALUE"""),"1300-1600")</f>
        <v>1300-1600</v>
      </c>
      <c r="L811" s="3">
        <f>IFERROR(__xludf.DUMMYFUNCTION("""COMPUTED_VALUE"""),3.0)</f>
        <v>3</v>
      </c>
      <c r="M811" s="3" t="str">
        <f>IFERROR(__xludf.DUMMYFUNCTION("""COMPUTED_VALUE"""),"น.อ.หญิง.ผศ.นิตยา สุขแสน")</f>
        <v>น.อ.หญิง.ผศ.นิตยา สุขแสน</v>
      </c>
      <c r="N811" s="14" t="str">
        <f>IFERROR(__xludf.DUMMYFUNCTION("""COMPUTED_VALUE"""),"https://lh5.googleusercontent.com/d/1tg94moAd1WI_FzIWF7ftf9011VTqb4Je")</f>
        <v>https://lh5.googleusercontent.com/d/1tg94moAd1WI_FzIWF7ftf9011VTqb4Je</v>
      </c>
      <c r="O811" s="14" t="str">
        <f>IFERROR(__xludf.DUMMYFUNCTION("""COMPUTED_VALUE"""),"https://drive.google.com/file/d/1TZZ0IRd20jq-qad1gKXNQmMEUSHyQF94/view?usp=drivesdk")</f>
        <v>https://drive.google.com/file/d/1TZZ0IRd20jq-qad1gKXNQmMEUSHyQF94/view?usp=drivesdk</v>
      </c>
    </row>
    <row r="812">
      <c r="A812" s="3">
        <f>IFERROR(__xludf.DUMMYFUNCTION("""COMPUTED_VALUE"""),3383.0)</f>
        <v>3383</v>
      </c>
      <c r="B812" s="11">
        <f>IFERROR(__xludf.DUMMYFUNCTION("""COMPUTED_VALUE"""),46181.842511331015)</f>
        <v>46181.84251</v>
      </c>
      <c r="C812" s="3" t="str">
        <f>IFERROR(__xludf.DUMMYFUNCTION("""COMPUTED_VALUE"""),"ชั้นปีที่ 3")</f>
        <v>ชั้นปีที่ 3</v>
      </c>
      <c r="D812" s="3" t="str">
        <f>IFERROR(__xludf.DUMMYFUNCTION("""COMPUTED_VALUE"""),"6603764")</f>
        <v>6603764</v>
      </c>
      <c r="E812" s="3" t="str">
        <f>IFERROR(__xludf.DUMMYFUNCTION("""COMPUTED_VALUE"""),"11")</f>
        <v>11</v>
      </c>
      <c r="F812" s="3" t="str">
        <f>IFERROR(__xludf.DUMMYFUNCTION("""COMPUTED_VALUE"""),"นพอ.ชวัลลักษณ์ อินทะชุบ")</f>
        <v>นพอ.ชวัลลักษณ์ อินทะชุบ</v>
      </c>
      <c r="G812" s="3" t="str">
        <f>IFERROR(__xludf.DUMMYFUNCTION("""COMPUTED_VALUE"""),"งานฟรีทั่วไป")</f>
        <v>งานฟรีทั่วไป</v>
      </c>
      <c r="H812" s="3" t="str">
        <f>IFERROR(__xludf.DUMMYFUNCTION("""COMPUTED_VALUE"""),"ทำความสะอาดใต้ถุนบ้าน")</f>
        <v>ทำความสะอาดใต้ถุนบ้าน</v>
      </c>
      <c r="I812" s="3" t="str">
        <f>IFERROR(__xludf.DUMMYFUNCTION("""COMPUTED_VALUE"""),"บ้านที่จังหวัดพิษณุโลก")</f>
        <v>บ้านที่จังหวัดพิษณุโลก</v>
      </c>
      <c r="J812" s="12">
        <f>IFERROR(__xludf.DUMMYFUNCTION("""COMPUTED_VALUE"""),46165.0)</f>
        <v>46165</v>
      </c>
      <c r="K812" s="3" t="str">
        <f>IFERROR(__xludf.DUMMYFUNCTION("""COMPUTED_VALUE"""),"08.00-10.00")</f>
        <v>08.00-10.00</v>
      </c>
      <c r="L812" s="3">
        <f>IFERROR(__xludf.DUMMYFUNCTION("""COMPUTED_VALUE"""),2.0)</f>
        <v>2</v>
      </c>
      <c r="M812" s="3" t="str">
        <f>IFERROR(__xludf.DUMMYFUNCTION("""COMPUTED_VALUE"""),"นายชาคริต อินทะชุบ")</f>
        <v>นายชาคริต อินทะชุบ</v>
      </c>
      <c r="N812" s="14" t="str">
        <f>IFERROR(__xludf.DUMMYFUNCTION("""COMPUTED_VALUE"""),"https://lh5.googleusercontent.com/d/1US14LLowPMDtTnEIMh368X2O0T7YlB7T")</f>
        <v>https://lh5.googleusercontent.com/d/1US14LLowPMDtTnEIMh368X2O0T7YlB7T</v>
      </c>
      <c r="O812" s="14" t="str">
        <f>IFERROR(__xludf.DUMMYFUNCTION("""COMPUTED_VALUE"""),"https://drive.google.com/file/d/1AYPbP-oQxWVqe3_HH1UCY7Ei9fFDgAJv/view?usp=drivesdk")</f>
        <v>https://drive.google.com/file/d/1AYPbP-oQxWVqe3_HH1UCY7Ei9fFDgAJv/view?usp=drivesdk</v>
      </c>
    </row>
    <row r="813">
      <c r="A813" s="3">
        <f>IFERROR(__xludf.DUMMYFUNCTION("""COMPUTED_VALUE"""),3385.0)</f>
        <v>3385</v>
      </c>
      <c r="B813" s="11">
        <f>IFERROR(__xludf.DUMMYFUNCTION("""COMPUTED_VALUE"""),46181.88288438658)</f>
        <v>46181.88288</v>
      </c>
      <c r="C813" s="3" t="str">
        <f>IFERROR(__xludf.DUMMYFUNCTION("""COMPUTED_VALUE"""),"ชั้นปีที่ 3")</f>
        <v>ชั้นปีที่ 3</v>
      </c>
      <c r="D813" s="3" t="str">
        <f>IFERROR(__xludf.DUMMYFUNCTION("""COMPUTED_VALUE"""),"6603777")</f>
        <v>6603777</v>
      </c>
      <c r="E813" s="3" t="str">
        <f>IFERROR(__xludf.DUMMYFUNCTION("""COMPUTED_VALUE"""),"23")</f>
        <v>23</v>
      </c>
      <c r="F813" s="3" t="str">
        <f>IFERROR(__xludf.DUMMYFUNCTION("""COMPUTED_VALUE"""),"นพอ.นัชธิดา ไกรทองสุข")</f>
        <v>นพอ.นัชธิดา ไกรทองสุข</v>
      </c>
      <c r="G813" s="3" t="str">
        <f>IFERROR(__xludf.DUMMYFUNCTION("""COMPUTED_VALUE"""),"ช่วยเหลืองานภายใน วพอ.")</f>
        <v>ช่วยเหลืองานภายใน วพอ.</v>
      </c>
      <c r="H813" s="3" t="str">
        <f>IFERROR(__xludf.DUMMYFUNCTION("""COMPUTED_VALUE"""),"จัดสิ่งแวดล้อมภายในวิทยาลัยให้น่าอยู่")</f>
        <v>จัดสิ่งแวดล้อมภายในวิทยาลัยให้น่าอยู่</v>
      </c>
      <c r="I813" s="3" t="str">
        <f>IFERROR(__xludf.DUMMYFUNCTION("""COMPUTED_VALUE"""),"วพอ.พอ.")</f>
        <v>วพอ.พอ.</v>
      </c>
      <c r="J813" s="12">
        <f>IFERROR(__xludf.DUMMYFUNCTION("""COMPUTED_VALUE"""),46177.0)</f>
        <v>46177</v>
      </c>
      <c r="K813" s="3" t="str">
        <f>IFERROR(__xludf.DUMMYFUNCTION("""COMPUTED_VALUE"""),"1400-1700")</f>
        <v>1400-1700</v>
      </c>
      <c r="L813" s="3">
        <f>IFERROR(__xludf.DUMMYFUNCTION("""COMPUTED_VALUE"""),3.0)</f>
        <v>3</v>
      </c>
      <c r="M813" s="3" t="str">
        <f>IFERROR(__xludf.DUMMYFUNCTION("""COMPUTED_VALUE"""),"น.อ.หญิง ผศ.นิตยา สุขแสน")</f>
        <v>น.อ.หญิง ผศ.นิตยา สุขแสน</v>
      </c>
      <c r="N813" s="14" t="str">
        <f>IFERROR(__xludf.DUMMYFUNCTION("""COMPUTED_VALUE"""),"https://lh5.googleusercontent.com/d/1F5XWs1C9jh3hXhM-Y5_5BamJDzAhnFsy")</f>
        <v>https://lh5.googleusercontent.com/d/1F5XWs1C9jh3hXhM-Y5_5BamJDzAhnFsy</v>
      </c>
      <c r="O813" s="3"/>
    </row>
    <row r="814">
      <c r="A814" s="3">
        <f>IFERROR(__xludf.DUMMYFUNCTION("""COMPUTED_VALUE"""),3392.0)</f>
        <v>3392</v>
      </c>
      <c r="B814" s="11">
        <f>IFERROR(__xludf.DUMMYFUNCTION("""COMPUTED_VALUE"""),46181.902333171296)</f>
        <v>46181.90233</v>
      </c>
      <c r="C814" s="3" t="str">
        <f>IFERROR(__xludf.DUMMYFUNCTION("""COMPUTED_VALUE"""),"ชั้นปีที่ 3")</f>
        <v>ชั้นปีที่ 3</v>
      </c>
      <c r="D814" s="3" t="str">
        <f>IFERROR(__xludf.DUMMYFUNCTION("""COMPUTED_VALUE"""),"6603809")</f>
        <v>6603809</v>
      </c>
      <c r="E814" s="3" t="str">
        <f>IFERROR(__xludf.DUMMYFUNCTION("""COMPUTED_VALUE"""),"55")</f>
        <v>55</v>
      </c>
      <c r="F814" s="3" t="str">
        <f>IFERROR(__xludf.DUMMYFUNCTION("""COMPUTED_VALUE"""),"นพอ.สุณัญญา แก้วเจริญ")</f>
        <v>นพอ.สุณัญญา แก้วเจริญ</v>
      </c>
      <c r="G814" s="3" t="str">
        <f>IFERROR(__xludf.DUMMYFUNCTION("""COMPUTED_VALUE"""),"ช่วยเหลืองานภายใน วพอ.")</f>
        <v>ช่วยเหลืองานภายใน วพอ.</v>
      </c>
      <c r="H81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14" s="3" t="str">
        <f>IFERROR(__xludf.DUMMYFUNCTION("""COMPUTED_VALUE"""),"วพอ.พอ.")</f>
        <v>วพอ.พอ.</v>
      </c>
      <c r="J814" s="12">
        <f>IFERROR(__xludf.DUMMYFUNCTION("""COMPUTED_VALUE"""),46133.0)</f>
        <v>46133</v>
      </c>
      <c r="K814" s="3" t="str">
        <f>IFERROR(__xludf.DUMMYFUNCTION("""COMPUTED_VALUE"""),"1700-2100")</f>
        <v>1700-2100</v>
      </c>
      <c r="L814" s="3">
        <f>IFERROR(__xludf.DUMMYFUNCTION("""COMPUTED_VALUE"""),4.0)</f>
        <v>4</v>
      </c>
      <c r="M814" s="3" t="str">
        <f>IFERROR(__xludf.DUMMYFUNCTION("""COMPUTED_VALUE"""),"ร.อ.อนุชิต ทำจะดี")</f>
        <v>ร.อ.อนุชิต ทำจะดี</v>
      </c>
      <c r="N814" s="14" t="str">
        <f>IFERROR(__xludf.DUMMYFUNCTION("""COMPUTED_VALUE"""),"https://lh5.googleusercontent.com/d/1_RxKZN4lLT6Fp9HsuGeb7no25NDEsxz_")</f>
        <v>https://lh5.googleusercontent.com/d/1_RxKZN4lLT6Fp9HsuGeb7no25NDEsxz_</v>
      </c>
      <c r="O814" s="14" t="str">
        <f>IFERROR(__xludf.DUMMYFUNCTION("""COMPUTED_VALUE"""),"https://drive.google.com/file/d/1W8CE5_mSSbwzY1r6KAHZN3pMiWFyclHX/view?usp=drivesdk")</f>
        <v>https://drive.google.com/file/d/1W8CE5_mSSbwzY1r6KAHZN3pMiWFyclHX/view?usp=drivesdk</v>
      </c>
    </row>
    <row r="815">
      <c r="A815" s="3">
        <f>IFERROR(__xludf.DUMMYFUNCTION("""COMPUTED_VALUE"""),3393.0)</f>
        <v>3393</v>
      </c>
      <c r="B815" s="11">
        <f>IFERROR(__xludf.DUMMYFUNCTION("""COMPUTED_VALUE"""),46181.904449166665)</f>
        <v>46181.90445</v>
      </c>
      <c r="C815" s="3" t="str">
        <f>IFERROR(__xludf.DUMMYFUNCTION("""COMPUTED_VALUE"""),"ชั้นปีที่ 3")</f>
        <v>ชั้นปีที่ 3</v>
      </c>
      <c r="D815" s="3" t="str">
        <f>IFERROR(__xludf.DUMMYFUNCTION("""COMPUTED_VALUE"""),"6603809")</f>
        <v>6603809</v>
      </c>
      <c r="E815" s="3" t="str">
        <f>IFERROR(__xludf.DUMMYFUNCTION("""COMPUTED_VALUE"""),"55")</f>
        <v>55</v>
      </c>
      <c r="F815" s="3" t="str">
        <f>IFERROR(__xludf.DUMMYFUNCTION("""COMPUTED_VALUE"""),"นพอ.สุณัญญา แก้วเจริญ")</f>
        <v>นพอ.สุณัญญา แก้วเจริญ</v>
      </c>
      <c r="G815" s="3" t="str">
        <f>IFERROR(__xludf.DUMMYFUNCTION("""COMPUTED_VALUE"""),"ช่วยเหลืองานภายใน วพอ.")</f>
        <v>ช่วยเหลืองานภายใน วพอ.</v>
      </c>
      <c r="H81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15" s="3" t="str">
        <f>IFERROR(__xludf.DUMMYFUNCTION("""COMPUTED_VALUE"""),"วพอ.พอ.")</f>
        <v>วพอ.พอ.</v>
      </c>
      <c r="J815" s="12">
        <f>IFERROR(__xludf.DUMMYFUNCTION("""COMPUTED_VALUE"""),46134.0)</f>
        <v>46134</v>
      </c>
      <c r="K815" s="3" t="str">
        <f>IFERROR(__xludf.DUMMYFUNCTION("""COMPUTED_VALUE"""),"1700-2100")</f>
        <v>1700-2100</v>
      </c>
      <c r="L815" s="3">
        <f>IFERROR(__xludf.DUMMYFUNCTION("""COMPUTED_VALUE"""),4.0)</f>
        <v>4</v>
      </c>
      <c r="M815" s="3" t="str">
        <f>IFERROR(__xludf.DUMMYFUNCTION("""COMPUTED_VALUE"""),"ร.อ.อนุชิต ทำจะดี")</f>
        <v>ร.อ.อนุชิต ทำจะดี</v>
      </c>
      <c r="N815" s="14" t="str">
        <f>IFERROR(__xludf.DUMMYFUNCTION("""COMPUTED_VALUE"""),"https://lh5.googleusercontent.com/d/1nKZFs7yIWwF1m870tikWfC2bnKAA3v14")</f>
        <v>https://lh5.googleusercontent.com/d/1nKZFs7yIWwF1m870tikWfC2bnKAA3v14</v>
      </c>
      <c r="O815" s="14" t="str">
        <f>IFERROR(__xludf.DUMMYFUNCTION("""COMPUTED_VALUE"""),"https://drive.google.com/file/d/12rDydYGWMKrMQ0k9nyeQDPs0tlTWW_En/view?usp=drivesdk")</f>
        <v>https://drive.google.com/file/d/12rDydYGWMKrMQ0k9nyeQDPs0tlTWW_En/view?usp=drivesdk</v>
      </c>
    </row>
    <row r="816">
      <c r="A816" s="3">
        <f>IFERROR(__xludf.DUMMYFUNCTION("""COMPUTED_VALUE"""),3394.0)</f>
        <v>3394</v>
      </c>
      <c r="B816" s="11">
        <f>IFERROR(__xludf.DUMMYFUNCTION("""COMPUTED_VALUE"""),46181.906937962965)</f>
        <v>46181.90694</v>
      </c>
      <c r="C816" s="3" t="str">
        <f>IFERROR(__xludf.DUMMYFUNCTION("""COMPUTED_VALUE"""),"ชั้นปีที่ 3")</f>
        <v>ชั้นปีที่ 3</v>
      </c>
      <c r="D816" s="3" t="str">
        <f>IFERROR(__xludf.DUMMYFUNCTION("""COMPUTED_VALUE"""),"6603809")</f>
        <v>6603809</v>
      </c>
      <c r="E816" s="3" t="str">
        <f>IFERROR(__xludf.DUMMYFUNCTION("""COMPUTED_VALUE"""),"55")</f>
        <v>55</v>
      </c>
      <c r="F816" s="3" t="str">
        <f>IFERROR(__xludf.DUMMYFUNCTION("""COMPUTED_VALUE"""),"นพอ.สุณัญญา แก้วเจริญ")</f>
        <v>นพอ.สุณัญญา แก้วเจริญ</v>
      </c>
      <c r="G816" s="3" t="str">
        <f>IFERROR(__xludf.DUMMYFUNCTION("""COMPUTED_VALUE"""),"ช่วยเหลืองานภายใน วพอ.")</f>
        <v>ช่วยเหลืองานภายใน วพอ.</v>
      </c>
      <c r="H81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16" s="3" t="str">
        <f>IFERROR(__xludf.DUMMYFUNCTION("""COMPUTED_VALUE"""),"หอประชุมธูปะเตมีย์ รพ.ภูมิพลฯ")</f>
        <v>หอประชุมธูปะเตมีย์ รพ.ภูมิพลฯ</v>
      </c>
      <c r="J816" s="12">
        <f>IFERROR(__xludf.DUMMYFUNCTION("""COMPUTED_VALUE"""),46139.0)</f>
        <v>46139</v>
      </c>
      <c r="K816" s="3" t="str">
        <f>IFERROR(__xludf.DUMMYFUNCTION("""COMPUTED_VALUE"""),"1700-2100")</f>
        <v>1700-2100</v>
      </c>
      <c r="L816" s="3">
        <f>IFERROR(__xludf.DUMMYFUNCTION("""COMPUTED_VALUE"""),4.0)</f>
        <v>4</v>
      </c>
      <c r="M816" s="3" t="str">
        <f>IFERROR(__xludf.DUMMYFUNCTION("""COMPUTED_VALUE"""),"ร.อ.อนุชิต ทำจะดี")</f>
        <v>ร.อ.อนุชิต ทำจะดี</v>
      </c>
      <c r="N816" s="14" t="str">
        <f>IFERROR(__xludf.DUMMYFUNCTION("""COMPUTED_VALUE"""),"https://lh5.googleusercontent.com/d/1VBeLbZrrRVLoRnY-l0BxO_iERPAhCjh2")</f>
        <v>https://lh5.googleusercontent.com/d/1VBeLbZrrRVLoRnY-l0BxO_iERPAhCjh2</v>
      </c>
      <c r="O816" s="14" t="str">
        <f>IFERROR(__xludf.DUMMYFUNCTION("""COMPUTED_VALUE"""),"https://drive.google.com/file/d/1LLfmtreeSXA--N66FNRSWVCn3b7hFgC1/view?usp=drivesdk")</f>
        <v>https://drive.google.com/file/d/1LLfmtreeSXA--N66FNRSWVCn3b7hFgC1/view?usp=drivesdk</v>
      </c>
    </row>
    <row r="817">
      <c r="A817" s="3">
        <f>IFERROR(__xludf.DUMMYFUNCTION("""COMPUTED_VALUE"""),3395.0)</f>
        <v>3395</v>
      </c>
      <c r="B817" s="11">
        <f>IFERROR(__xludf.DUMMYFUNCTION("""COMPUTED_VALUE"""),46181.90850805555)</f>
        <v>46181.90851</v>
      </c>
      <c r="C817" s="3" t="str">
        <f>IFERROR(__xludf.DUMMYFUNCTION("""COMPUTED_VALUE"""),"ชั้นปีที่ 3")</f>
        <v>ชั้นปีที่ 3</v>
      </c>
      <c r="D817" s="3" t="str">
        <f>IFERROR(__xludf.DUMMYFUNCTION("""COMPUTED_VALUE"""),"6603809")</f>
        <v>6603809</v>
      </c>
      <c r="E817" s="3" t="str">
        <f>IFERROR(__xludf.DUMMYFUNCTION("""COMPUTED_VALUE"""),"55")</f>
        <v>55</v>
      </c>
      <c r="F817" s="3" t="str">
        <f>IFERROR(__xludf.DUMMYFUNCTION("""COMPUTED_VALUE"""),"นพอ.สุณัญญา แก้วเจริญ")</f>
        <v>นพอ.สุณัญญา แก้วเจริญ</v>
      </c>
      <c r="G817" s="3" t="str">
        <f>IFERROR(__xludf.DUMMYFUNCTION("""COMPUTED_VALUE"""),"ช่วยเหลืองานภายใน วพอ.")</f>
        <v>ช่วยเหลืองานภายใน วพอ.</v>
      </c>
      <c r="H81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17" s="3" t="str">
        <f>IFERROR(__xludf.DUMMYFUNCTION("""COMPUTED_VALUE"""),"วพอ.พอ.")</f>
        <v>วพอ.พอ.</v>
      </c>
      <c r="J817" s="12">
        <f>IFERROR(__xludf.DUMMYFUNCTION("""COMPUTED_VALUE"""),46138.0)</f>
        <v>46138</v>
      </c>
      <c r="K817" s="3" t="str">
        <f>IFERROR(__xludf.DUMMYFUNCTION("""COMPUTED_VALUE"""),"1500-2100")</f>
        <v>1500-2100</v>
      </c>
      <c r="L817" s="3">
        <f>IFERROR(__xludf.DUMMYFUNCTION("""COMPUTED_VALUE"""),6.0)</f>
        <v>6</v>
      </c>
      <c r="M817" s="3" t="str">
        <f>IFERROR(__xludf.DUMMYFUNCTION("""COMPUTED_VALUE"""),"ร.อ.อนุชิต ทำจะดี")</f>
        <v>ร.อ.อนุชิต ทำจะดี</v>
      </c>
      <c r="N817" s="14" t="str">
        <f>IFERROR(__xludf.DUMMYFUNCTION("""COMPUTED_VALUE"""),"https://lh5.googleusercontent.com/d/1ZcXH7kwPuE2sgyk6WdZTp4-VnvsUeVcz")</f>
        <v>https://lh5.googleusercontent.com/d/1ZcXH7kwPuE2sgyk6WdZTp4-VnvsUeVcz</v>
      </c>
      <c r="O817" s="14" t="str">
        <f>IFERROR(__xludf.DUMMYFUNCTION("""COMPUTED_VALUE"""),"https://drive.google.com/file/d/1TKau83cf8m3MdOE2F_-XLtkuZyqqucwJ/view?usp=drivesdk")</f>
        <v>https://drive.google.com/file/d/1TKau83cf8m3MdOE2F_-XLtkuZyqqucwJ/view?usp=drivesdk</v>
      </c>
    </row>
    <row r="818">
      <c r="A818" s="3">
        <f>IFERROR(__xludf.DUMMYFUNCTION("""COMPUTED_VALUE"""),3396.0)</f>
        <v>3396</v>
      </c>
      <c r="B818" s="11">
        <f>IFERROR(__xludf.DUMMYFUNCTION("""COMPUTED_VALUE"""),46181.913880405096)</f>
        <v>46181.91388</v>
      </c>
      <c r="C818" s="3" t="str">
        <f>IFERROR(__xludf.DUMMYFUNCTION("""COMPUTED_VALUE"""),"ชั้นปีที่ 3")</f>
        <v>ชั้นปีที่ 3</v>
      </c>
      <c r="D818" s="3" t="str">
        <f>IFERROR(__xludf.DUMMYFUNCTION("""COMPUTED_VALUE"""),"6603809")</f>
        <v>6603809</v>
      </c>
      <c r="E818" s="3" t="str">
        <f>IFERROR(__xludf.DUMMYFUNCTION("""COMPUTED_VALUE"""),"55")</f>
        <v>55</v>
      </c>
      <c r="F818" s="3" t="str">
        <f>IFERROR(__xludf.DUMMYFUNCTION("""COMPUTED_VALUE"""),"นพอ.สุณัญญา แก้วเจริญ")</f>
        <v>นพอ.สุณัญญา แก้วเจริญ</v>
      </c>
      <c r="G818" s="3" t="str">
        <f>IFERROR(__xludf.DUMMYFUNCTION("""COMPUTED_VALUE"""),"ช่วยเหลืองานภายใน วพอ.")</f>
        <v>ช่วยเหลืองานภายใน วพอ.</v>
      </c>
      <c r="H818" s="3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818" s="3" t="str">
        <f>IFERROR(__xludf.DUMMYFUNCTION("""COMPUTED_VALUE"""),"หน้าหอพัก นพอ.")</f>
        <v>หน้าหอพัก นพอ.</v>
      </c>
      <c r="J818" s="12">
        <f>IFERROR(__xludf.DUMMYFUNCTION("""COMPUTED_VALUE"""),46177.0)</f>
        <v>46177</v>
      </c>
      <c r="K818" s="3" t="str">
        <f>IFERROR(__xludf.DUMMYFUNCTION("""COMPUTED_VALUE"""),"1200-1500")</f>
        <v>1200-1500</v>
      </c>
      <c r="L818" s="3">
        <f>IFERROR(__xludf.DUMMYFUNCTION("""COMPUTED_VALUE"""),3.0)</f>
        <v>3</v>
      </c>
      <c r="M818" s="3" t="str">
        <f>IFERROR(__xludf.DUMMYFUNCTION("""COMPUTED_VALUE"""),"น.อ.หญิง.ผศ.นิตยา สุขแสน")</f>
        <v>น.อ.หญิง.ผศ.นิตยา สุขแสน</v>
      </c>
      <c r="N818" s="14" t="str">
        <f>IFERROR(__xludf.DUMMYFUNCTION("""COMPUTED_VALUE"""),"https://lh5.googleusercontent.com/d/1Xr8YNPirpeIcyMwm_qK6js-wm5wTqqSv")</f>
        <v>https://lh5.googleusercontent.com/d/1Xr8YNPirpeIcyMwm_qK6js-wm5wTqqSv</v>
      </c>
      <c r="O818" s="14" t="str">
        <f>IFERROR(__xludf.DUMMYFUNCTION("""COMPUTED_VALUE"""),"https://drive.google.com/file/d/1D6xmzThRCwQwXNaSIUHu8lZLWyEu8HBz/view?usp=drivesdk")</f>
        <v>https://drive.google.com/file/d/1D6xmzThRCwQwXNaSIUHu8lZLWyEu8HBz/view?usp=drivesdk</v>
      </c>
    </row>
    <row r="819">
      <c r="A819" s="3">
        <f>IFERROR(__xludf.DUMMYFUNCTION("""COMPUTED_VALUE"""),3397.0)</f>
        <v>3397</v>
      </c>
      <c r="B819" s="11">
        <f>IFERROR(__xludf.DUMMYFUNCTION("""COMPUTED_VALUE"""),46181.91583131945)</f>
        <v>46181.91583</v>
      </c>
      <c r="C819" s="3" t="str">
        <f>IFERROR(__xludf.DUMMYFUNCTION("""COMPUTED_VALUE"""),"ชั้นปีที่ 3")</f>
        <v>ชั้นปีที่ 3</v>
      </c>
      <c r="D819" s="3" t="str">
        <f>IFERROR(__xludf.DUMMYFUNCTION("""COMPUTED_VALUE"""),"6603755")</f>
        <v>6603755</v>
      </c>
      <c r="E819" s="3" t="str">
        <f>IFERROR(__xludf.DUMMYFUNCTION("""COMPUTED_VALUE"""),"2")</f>
        <v>2</v>
      </c>
      <c r="F819" s="3" t="str">
        <f>IFERROR(__xludf.DUMMYFUNCTION("""COMPUTED_VALUE"""),"นพอ.กฤตินันท์ ฉิมพาลี ")</f>
        <v>นพอ.กฤตินันท์ ฉิมพาลี </v>
      </c>
      <c r="G819" s="3" t="str">
        <f>IFERROR(__xludf.DUMMYFUNCTION("""COMPUTED_VALUE"""),"ช่วยเหลืองานภายใน วพอ.")</f>
        <v>ช่วยเหลืองานภายใน วพอ.</v>
      </c>
      <c r="H819" s="3" t="str">
        <f>IFERROR(__xludf.DUMMYFUNCTION("""COMPUTED_VALUE"""),"ช่วยจัดสิ่งแวดล้อมภายในวพอ.")</f>
        <v>ช่วยจัดสิ่งแวดล้อมภายในวพอ.</v>
      </c>
      <c r="I819" s="3" t="str">
        <f>IFERROR(__xludf.DUMMYFUNCTION("""COMPUTED_VALUE"""),"วพอ.พอ.")</f>
        <v>วพอ.พอ.</v>
      </c>
      <c r="J819" s="12">
        <f>IFERROR(__xludf.DUMMYFUNCTION("""COMPUTED_VALUE"""),46177.0)</f>
        <v>46177</v>
      </c>
      <c r="K819" s="3" t="str">
        <f>IFERROR(__xludf.DUMMYFUNCTION("""COMPUTED_VALUE"""),"1300-1600")</f>
        <v>1300-1600</v>
      </c>
      <c r="L819" s="3">
        <f>IFERROR(__xludf.DUMMYFUNCTION("""COMPUTED_VALUE"""),3.0)</f>
        <v>3</v>
      </c>
      <c r="M819" s="3" t="str">
        <f>IFERROR(__xludf.DUMMYFUNCTION("""COMPUTED_VALUE"""),"น.อ.ผศ.นิตยา สุขแสน")</f>
        <v>น.อ.ผศ.นิตยา สุขแสน</v>
      </c>
      <c r="N819" s="14" t="str">
        <f>IFERROR(__xludf.DUMMYFUNCTION("""COMPUTED_VALUE"""),"https://lh5.googleusercontent.com/d/1IgUaXjhpbt7ijvUhg5KmIQjT0Qn32znX")</f>
        <v>https://lh5.googleusercontent.com/d/1IgUaXjhpbt7ijvUhg5KmIQjT0Qn32znX</v>
      </c>
      <c r="O819" s="14" t="str">
        <f>IFERROR(__xludf.DUMMYFUNCTION("""COMPUTED_VALUE"""),"https://drive.google.com/file/d/1uDvjGqY9c_4N5_DEZvIf_-_GZsP8PHg4/view?usp=drivesdk")</f>
        <v>https://drive.google.com/file/d/1uDvjGqY9c_4N5_DEZvIf_-_GZsP8PHg4/view?usp=drivesdk</v>
      </c>
    </row>
    <row r="820">
      <c r="A820" s="27">
        <f>IFERROR(__xludf.DUMMYFUNCTION("""COMPUTED_VALUE"""),3399.0)</f>
        <v>3399</v>
      </c>
      <c r="B820" s="28">
        <f>IFERROR(__xludf.DUMMYFUNCTION("""COMPUTED_VALUE"""),46181.91944556713)</f>
        <v>46181.91945</v>
      </c>
      <c r="C820" s="27" t="str">
        <f>IFERROR(__xludf.DUMMYFUNCTION("""COMPUTED_VALUE"""),"ชั้นปีที่ 3")</f>
        <v>ชั้นปีที่ 3</v>
      </c>
      <c r="D820" s="27" t="str">
        <f>IFERROR(__xludf.DUMMYFUNCTION("""COMPUTED_VALUE"""),"6603787")</f>
        <v>6603787</v>
      </c>
      <c r="E820" s="27" t="str">
        <f>IFERROR(__xludf.DUMMYFUNCTION("""COMPUTED_VALUE"""),"33")</f>
        <v>33</v>
      </c>
      <c r="F820" s="27" t="str">
        <f>IFERROR(__xludf.DUMMYFUNCTION("""COMPUTED_VALUE"""),"นพอ.ปรียาภรณ์ ทองอำพันธ์")</f>
        <v>นพอ.ปรียาภรณ์ ทองอำพันธ์</v>
      </c>
      <c r="G820" s="27" t="str">
        <f>IFERROR(__xludf.DUMMYFUNCTION("""COMPUTED_VALUE"""),"ช่วยเหลืองานภายใน วพอ.")</f>
        <v>ช่วยเหลืองานภายใน วพอ.</v>
      </c>
      <c r="H820" s="27" t="str">
        <f>IFERROR(__xludf.DUMMYFUNCTION("""COMPUTED_VALUE"""),"ขนหินปรับปรุงภูมิทัศน์")</f>
        <v>ขนหินปรับปรุงภูมิทัศน์</v>
      </c>
      <c r="I820" s="27" t="str">
        <f>IFERROR(__xludf.DUMMYFUNCTION("""COMPUTED_VALUE"""),"วพอ.พอ.")</f>
        <v>วพอ.พอ.</v>
      </c>
      <c r="J820" s="29">
        <f>IFERROR(__xludf.DUMMYFUNCTION("""COMPUTED_VALUE"""),46177.0)</f>
        <v>46177</v>
      </c>
      <c r="K820" s="27" t="str">
        <f>IFERROR(__xludf.DUMMYFUNCTION("""COMPUTED_VALUE"""),"1500-1800")</f>
        <v>1500-1800</v>
      </c>
      <c r="L820" s="27">
        <f>IFERROR(__xludf.DUMMYFUNCTION("""COMPUTED_VALUE"""),3.0)</f>
        <v>3</v>
      </c>
      <c r="M820" s="27" t="str">
        <f>IFERROR(__xludf.DUMMYFUNCTION("""COMPUTED_VALUE"""),"น.อ.หญิง ผศ.นิตยา สุขแสน")</f>
        <v>น.อ.หญิง ผศ.นิตยา สุขแสน</v>
      </c>
      <c r="N820" s="30" t="str">
        <f>IFERROR(__xludf.DUMMYFUNCTION("""COMPUTED_VALUE"""),"https://lh5.googleusercontent.com/d/15GlJJEyiVq-ZrRgA68_fCtqiREO14JhR")</f>
        <v>https://lh5.googleusercontent.com/d/15GlJJEyiVq-ZrRgA68_fCtqiREO14JhR</v>
      </c>
      <c r="O820" s="30" t="str">
        <f>IFERROR(__xludf.DUMMYFUNCTION("""COMPUTED_VALUE"""),"https://drive.google.com/file/d/1i-81NPXEBB-93SQNsrfkLonMgYnC1J0q/view?usp=drivesdk")</f>
        <v>https://drive.google.com/file/d/1i-81NPXEBB-93SQNsrfkLonMgYnC1J0q/view?usp=drivesdk</v>
      </c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">
        <f>IFERROR(__xludf.DUMMYFUNCTION("""COMPUTED_VALUE"""),3400.0)</f>
        <v>3400</v>
      </c>
      <c r="B821" s="11">
        <f>IFERROR(__xludf.DUMMYFUNCTION("""COMPUTED_VALUE"""),46181.932123125)</f>
        <v>46181.93212</v>
      </c>
      <c r="C821" s="3" t="str">
        <f>IFERROR(__xludf.DUMMYFUNCTION("""COMPUTED_VALUE"""),"ชั้นปีที่ 3")</f>
        <v>ชั้นปีที่ 3</v>
      </c>
      <c r="D821" s="3" t="str">
        <f>IFERROR(__xludf.DUMMYFUNCTION("""COMPUTED_VALUE"""),"6603765")</f>
        <v>6603765</v>
      </c>
      <c r="E821" s="3" t="str">
        <f>IFERROR(__xludf.DUMMYFUNCTION("""COMPUTED_VALUE"""),"12")</f>
        <v>12</v>
      </c>
      <c r="F821" s="3" t="str">
        <f>IFERROR(__xludf.DUMMYFUNCTION("""COMPUTED_VALUE"""),"นพอ.ชายชาญ ไทยรินทร์")</f>
        <v>นพอ.ชายชาญ ไทยรินทร์</v>
      </c>
      <c r="G821" s="3" t="str">
        <f>IFERROR(__xludf.DUMMYFUNCTION("""COMPUTED_VALUE"""),"ช่วยเหลืองานภายใน วพอ.")</f>
        <v>ช่วยเหลืองานภายใน วพอ.</v>
      </c>
      <c r="H821" s="3" t="str">
        <f>IFERROR(__xludf.DUMMYFUNCTION("""COMPUTED_VALUE"""),"ทดสอบพิเศษนพอ.รุ่นที่ 69")</f>
        <v>ทดสอบพิเศษนพอ.รุ่นที่ 69</v>
      </c>
      <c r="I821" s="3" t="str">
        <f>IFERROR(__xludf.DUMMYFUNCTION("""COMPUTED_VALUE"""),"วพอ.พอ.")</f>
        <v>วพอ.พอ.</v>
      </c>
      <c r="J821" s="12">
        <f>IFERROR(__xludf.DUMMYFUNCTION("""COMPUTED_VALUE"""),46147.0)</f>
        <v>46147</v>
      </c>
      <c r="K821" s="3" t="str">
        <f>IFERROR(__xludf.DUMMYFUNCTION("""COMPUTED_VALUE"""),"0800-1600")</f>
        <v>0800-1600</v>
      </c>
      <c r="L821" s="3">
        <f>IFERROR(__xludf.DUMMYFUNCTION("""COMPUTED_VALUE"""),8.0)</f>
        <v>8</v>
      </c>
      <c r="M821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821" s="14" t="str">
        <f>IFERROR(__xludf.DUMMYFUNCTION("""COMPUTED_VALUE"""),"https://lh5.googleusercontent.com/d/1PrwU482QZenyTgjQ-S7LoYu6Sx_qd5Rc")</f>
        <v>https://lh5.googleusercontent.com/d/1PrwU482QZenyTgjQ-S7LoYu6Sx_qd5Rc</v>
      </c>
      <c r="O821" s="14" t="str">
        <f>IFERROR(__xludf.DUMMYFUNCTION("""COMPUTED_VALUE"""),"https://drive.google.com/file/d/1JB8oFVFlAJtxetdSHxDM_ADCOPF-ltOS/view?usp=drivesdk")</f>
        <v>https://drive.google.com/file/d/1JB8oFVFlAJtxetdSHxDM_ADCOPF-ltOS/view?usp=drivesdk</v>
      </c>
    </row>
    <row r="822">
      <c r="A822" s="3">
        <f>IFERROR(__xludf.DUMMYFUNCTION("""COMPUTED_VALUE"""),3401.0)</f>
        <v>3401</v>
      </c>
      <c r="B822" s="11">
        <f>IFERROR(__xludf.DUMMYFUNCTION("""COMPUTED_VALUE"""),46181.93894883101)</f>
        <v>46181.93895</v>
      </c>
      <c r="C822" s="3" t="str">
        <f>IFERROR(__xludf.DUMMYFUNCTION("""COMPUTED_VALUE"""),"ชั้นปีที่ 3")</f>
        <v>ชั้นปีที่ 3</v>
      </c>
      <c r="D822" s="3" t="str">
        <f>IFERROR(__xludf.DUMMYFUNCTION("""COMPUTED_VALUE"""),"6603809")</f>
        <v>6603809</v>
      </c>
      <c r="E822" s="3" t="str">
        <f>IFERROR(__xludf.DUMMYFUNCTION("""COMPUTED_VALUE"""),"55")</f>
        <v>55</v>
      </c>
      <c r="F822" s="3" t="str">
        <f>IFERROR(__xludf.DUMMYFUNCTION("""COMPUTED_VALUE"""),"นพอ.สุณัญญา แก้วเจริญ")</f>
        <v>นพอ.สุณัญญา แก้วเจริญ</v>
      </c>
      <c r="G822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22" s="3" t="str">
        <f>IFERROR(__xludf.DUMMYFUNCTION("""COMPUTED_VALUE"""),"บริจาคเลือด")</f>
        <v>บริจาคเลือด</v>
      </c>
      <c r="I822" s="3" t="str">
        <f>IFERROR(__xludf.DUMMYFUNCTION("""COMPUTED_VALUE"""),"รพ.ภูมิพลฯ")</f>
        <v>รพ.ภูมิพลฯ</v>
      </c>
      <c r="J822" s="12">
        <f>IFERROR(__xludf.DUMMYFUNCTION("""COMPUTED_VALUE"""),46175.0)</f>
        <v>46175</v>
      </c>
      <c r="K822" s="3" t="str">
        <f>IFERROR(__xludf.DUMMYFUNCTION("""COMPUTED_VALUE"""),"0800-1600")</f>
        <v>0800-1600</v>
      </c>
      <c r="L822" s="3">
        <f>IFERROR(__xludf.DUMMYFUNCTION("""COMPUTED_VALUE"""),8.0)</f>
        <v>8</v>
      </c>
      <c r="M82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22" s="14" t="str">
        <f>IFERROR(__xludf.DUMMYFUNCTION("""COMPUTED_VALUE"""),"https://lh5.googleusercontent.com/d/1MWZFEMKRlnT3akdR0DOACs8pl4j1QrBi")</f>
        <v>https://lh5.googleusercontent.com/d/1MWZFEMKRlnT3akdR0DOACs8pl4j1QrBi</v>
      </c>
      <c r="O822" s="14" t="str">
        <f>IFERROR(__xludf.DUMMYFUNCTION("""COMPUTED_VALUE"""),"https://drive.google.com/file/d/1_6OOlNSz18z3NHV5qHs9x1IoGSSyJ9K_/view?usp=drivesdk")</f>
        <v>https://drive.google.com/file/d/1_6OOlNSz18z3NHV5qHs9x1IoGSSyJ9K_/view?usp=drivesdk</v>
      </c>
    </row>
    <row r="823">
      <c r="A823" s="3">
        <f>IFERROR(__xludf.DUMMYFUNCTION("""COMPUTED_VALUE"""),3402.0)</f>
        <v>3402</v>
      </c>
      <c r="B823" s="11">
        <f>IFERROR(__xludf.DUMMYFUNCTION("""COMPUTED_VALUE"""),46181.94574554398)</f>
        <v>46181.94575</v>
      </c>
      <c r="C823" s="3" t="str">
        <f>IFERROR(__xludf.DUMMYFUNCTION("""COMPUTED_VALUE"""),"ชั้นปีที่ 3")</f>
        <v>ชั้นปีที่ 3</v>
      </c>
      <c r="D823" s="3" t="str">
        <f>IFERROR(__xludf.DUMMYFUNCTION("""COMPUTED_VALUE"""),"6603816")</f>
        <v>6603816</v>
      </c>
      <c r="E823" s="3" t="str">
        <f>IFERROR(__xludf.DUMMYFUNCTION("""COMPUTED_VALUE"""),"62")</f>
        <v>62</v>
      </c>
      <c r="F823" s="3" t="str">
        <f>IFERROR(__xludf.DUMMYFUNCTION("""COMPUTED_VALUE"""),"นพอ.อมฤทธิ์ สุทธิวิลัย")</f>
        <v>นพอ.อมฤทธิ์ สุทธิวิลัย</v>
      </c>
      <c r="G823" s="3" t="str">
        <f>IFERROR(__xludf.DUMMYFUNCTION("""COMPUTED_VALUE"""),"ช่วยเหลืองานภายใน วพอ.")</f>
        <v>ช่วยเหลืองานภายใน วพอ.</v>
      </c>
      <c r="H823" s="3" t="str">
        <f>IFERROR(__xludf.DUMMYFUNCTION("""COMPUTED_VALUE"""),"ทดสอบวิภาววิสัย")</f>
        <v>ทดสอบวิภาววิสัย</v>
      </c>
      <c r="I823" s="3" t="str">
        <f>IFERROR(__xludf.DUMMYFUNCTION("""COMPUTED_VALUE"""),"วพอ.พอ.")</f>
        <v>วพอ.พอ.</v>
      </c>
      <c r="J823" s="12">
        <f>IFERROR(__xludf.DUMMYFUNCTION("""COMPUTED_VALUE"""),46147.0)</f>
        <v>46147</v>
      </c>
      <c r="K823" s="3" t="str">
        <f>IFERROR(__xludf.DUMMYFUNCTION("""COMPUTED_VALUE"""),"0800-1600")</f>
        <v>0800-1600</v>
      </c>
      <c r="L823" s="3">
        <f>IFERROR(__xludf.DUMMYFUNCTION("""COMPUTED_VALUE"""),8.0)</f>
        <v>8</v>
      </c>
      <c r="M823" s="3" t="str">
        <f>IFERROR(__xludf.DUMMYFUNCTION("""COMPUTED_VALUE"""),"น.ท.หญิง ลักขณา พานิชสรรค์")</f>
        <v>น.ท.หญิง ลักขณา พานิชสรรค์</v>
      </c>
      <c r="N823" s="14" t="str">
        <f>IFERROR(__xludf.DUMMYFUNCTION("""COMPUTED_VALUE"""),"https://lh5.googleusercontent.com/d/16zKGFe7EjjSlqi7aNo9_g5qFDFvceoWp")</f>
        <v>https://lh5.googleusercontent.com/d/16zKGFe7EjjSlqi7aNo9_g5qFDFvceoWp</v>
      </c>
      <c r="O823" s="14" t="str">
        <f>IFERROR(__xludf.DUMMYFUNCTION("""COMPUTED_VALUE"""),"https://drive.google.com/file/d/1EiYk6zXpqDg4JNHTtgS1xez3lH26SplY/view?usp=drivesdk")</f>
        <v>https://drive.google.com/file/d/1EiYk6zXpqDg4JNHTtgS1xez3lH26SplY/view?usp=drivesdk</v>
      </c>
    </row>
    <row r="824">
      <c r="A824" s="3">
        <f>IFERROR(__xludf.DUMMYFUNCTION("""COMPUTED_VALUE"""),3403.0)</f>
        <v>3403</v>
      </c>
      <c r="B824" s="11">
        <f>IFERROR(__xludf.DUMMYFUNCTION("""COMPUTED_VALUE"""),46181.94838753472)</f>
        <v>46181.94839</v>
      </c>
      <c r="C824" s="3" t="str">
        <f>IFERROR(__xludf.DUMMYFUNCTION("""COMPUTED_VALUE"""),"ชั้นปีที่ 3")</f>
        <v>ชั้นปีที่ 3</v>
      </c>
      <c r="D824" s="3" t="str">
        <f>IFERROR(__xludf.DUMMYFUNCTION("""COMPUTED_VALUE"""),"6603808")</f>
        <v>6603808</v>
      </c>
      <c r="E824" s="3" t="str">
        <f>IFERROR(__xludf.DUMMYFUNCTION("""COMPUTED_VALUE"""),"54")</f>
        <v>54</v>
      </c>
      <c r="F824" s="3" t="str">
        <f>IFERROR(__xludf.DUMMYFUNCTION("""COMPUTED_VALUE"""),"นพอ.สุชานันท์ ดิสระมุณี")</f>
        <v>นพอ.สุชานันท์ ดิสระมุณี</v>
      </c>
      <c r="G824" s="3" t="str">
        <f>IFERROR(__xludf.DUMMYFUNCTION("""COMPUTED_VALUE"""),"ช่วยเหลืองานภายใน วพอ.")</f>
        <v>ช่วยเหลืองานภายใน วพอ.</v>
      </c>
      <c r="H824" s="3" t="str">
        <f>IFERROR(__xludf.DUMMYFUNCTION("""COMPUTED_VALUE"""),"จัดสวนวพอ.")</f>
        <v>จัดสวนวพอ.</v>
      </c>
      <c r="I824" s="3" t="str">
        <f>IFERROR(__xludf.DUMMYFUNCTION("""COMPUTED_VALUE"""),"วิทยาลัยพยาบาลทหารอากาศ")</f>
        <v>วิทยาลัยพยาบาลทหารอากาศ</v>
      </c>
      <c r="J824" s="12">
        <f>IFERROR(__xludf.DUMMYFUNCTION("""COMPUTED_VALUE"""),46149.0)</f>
        <v>46149</v>
      </c>
      <c r="K824" s="3" t="str">
        <f>IFERROR(__xludf.DUMMYFUNCTION("""COMPUTED_VALUE"""),"1300-1600")</f>
        <v>1300-1600</v>
      </c>
      <c r="L824" s="3">
        <f>IFERROR(__xludf.DUMMYFUNCTION("""COMPUTED_VALUE"""),3.0)</f>
        <v>3</v>
      </c>
      <c r="M824" s="3" t="str">
        <f>IFERROR(__xludf.DUMMYFUNCTION("""COMPUTED_VALUE"""),"น.อ.หญิง ผศ.นิตยา สุขแสน")</f>
        <v>น.อ.หญิง ผศ.นิตยา สุขแสน</v>
      </c>
      <c r="N824" s="14" t="str">
        <f>IFERROR(__xludf.DUMMYFUNCTION("""COMPUTED_VALUE"""),"https://lh5.googleusercontent.com/d/1MjIO5V4ISycV2VLUelSgROnHQMKLpqoQ")</f>
        <v>https://lh5.googleusercontent.com/d/1MjIO5V4ISycV2VLUelSgROnHQMKLpqoQ</v>
      </c>
      <c r="O824" s="14" t="str">
        <f>IFERROR(__xludf.DUMMYFUNCTION("""COMPUTED_VALUE"""),"https://drive.google.com/file/d/11nFj13lzAax305yNimmrxv9g2J73tvmd/view?usp=drivesdk")</f>
        <v>https://drive.google.com/file/d/11nFj13lzAax305yNimmrxv9g2J73tvmd/view?usp=drivesdk</v>
      </c>
    </row>
    <row r="825">
      <c r="A825" s="3">
        <f>IFERROR(__xludf.DUMMYFUNCTION("""COMPUTED_VALUE"""),3404.0)</f>
        <v>3404</v>
      </c>
      <c r="B825" s="11">
        <f>IFERROR(__xludf.DUMMYFUNCTION("""COMPUTED_VALUE"""),46181.95037923611)</f>
        <v>46181.95038</v>
      </c>
      <c r="C825" s="3" t="str">
        <f>IFERROR(__xludf.DUMMYFUNCTION("""COMPUTED_VALUE"""),"ชั้นปีที่ 3")</f>
        <v>ชั้นปีที่ 3</v>
      </c>
      <c r="D825" s="3" t="str">
        <f>IFERROR(__xludf.DUMMYFUNCTION("""COMPUTED_VALUE"""),"6603779")</f>
        <v>6603779</v>
      </c>
      <c r="E825" s="3" t="str">
        <f>IFERROR(__xludf.DUMMYFUNCTION("""COMPUTED_VALUE"""),"25")</f>
        <v>25</v>
      </c>
      <c r="F825" s="3" t="str">
        <f>IFERROR(__xludf.DUMMYFUNCTION("""COMPUTED_VALUE"""),"นพอ.นันทิยา แก้วก่อง")</f>
        <v>นพอ.นันทิยา แก้วก่อง</v>
      </c>
      <c r="G825" s="3" t="str">
        <f>IFERROR(__xludf.DUMMYFUNCTION("""COMPUTED_VALUE"""),"ช่วยเหลืองานภายใน วพอ.")</f>
        <v>ช่วยเหลืองานภายใน วพอ.</v>
      </c>
      <c r="H825" s="3" t="str">
        <f>IFERROR(__xludf.DUMMYFUNCTION("""COMPUTED_VALUE"""),"ช่วยทดสอบวิภาววิสัย")</f>
        <v>ช่วยทดสอบวิภาววิสัย</v>
      </c>
      <c r="I825" s="3" t="str">
        <f>IFERROR(__xludf.DUMMYFUNCTION("""COMPUTED_VALUE"""),"ห้องประชุมชั้น 4 อาคารสำนักงาน วพอ.")</f>
        <v>ห้องประชุมชั้น 4 อาคารสำนักงาน วพอ.</v>
      </c>
      <c r="J825" s="12">
        <f>IFERROR(__xludf.DUMMYFUNCTION("""COMPUTED_VALUE"""),46147.0)</f>
        <v>46147</v>
      </c>
      <c r="K825" s="3" t="str">
        <f>IFERROR(__xludf.DUMMYFUNCTION("""COMPUTED_VALUE"""),"0700-1500")</f>
        <v>0700-1500</v>
      </c>
      <c r="L825" s="3">
        <f>IFERROR(__xludf.DUMMYFUNCTION("""COMPUTED_VALUE"""),8.0)</f>
        <v>8</v>
      </c>
      <c r="M825" s="3" t="str">
        <f>IFERROR(__xludf.DUMMYFUNCTION("""COMPUTED_VALUE"""),"น.ท.หญิง ลักษณ์ขณา พานิชสรรค์")</f>
        <v>น.ท.หญิง ลักษณ์ขณา พานิชสรรค์</v>
      </c>
      <c r="N825" s="14" t="str">
        <f>IFERROR(__xludf.DUMMYFUNCTION("""COMPUTED_VALUE"""),"https://lh5.googleusercontent.com/d/1HQs6uNVsIh5IGlB3kHQ2r1GjOJQfF1oV")</f>
        <v>https://lh5.googleusercontent.com/d/1HQs6uNVsIh5IGlB3kHQ2r1GjOJQfF1oV</v>
      </c>
      <c r="O825" s="14" t="str">
        <f>IFERROR(__xludf.DUMMYFUNCTION("""COMPUTED_VALUE"""),"https://drive.google.com/file/d/1Cg3DxxFTDHwF_TGkw3SlHi3CRQM-Ecae/view?usp=drivesdk")</f>
        <v>https://drive.google.com/file/d/1Cg3DxxFTDHwF_TGkw3SlHi3CRQM-Ecae/view?usp=drivesdk</v>
      </c>
    </row>
    <row r="826">
      <c r="A826" s="3">
        <f>IFERROR(__xludf.DUMMYFUNCTION("""COMPUTED_VALUE"""),3405.0)</f>
        <v>3405</v>
      </c>
      <c r="B826" s="11">
        <f>IFERROR(__xludf.DUMMYFUNCTION("""COMPUTED_VALUE"""),46181.950791331015)</f>
        <v>46181.95079</v>
      </c>
      <c r="C826" s="3" t="str">
        <f>IFERROR(__xludf.DUMMYFUNCTION("""COMPUTED_VALUE"""),"ชั้นปีที่ 3")</f>
        <v>ชั้นปีที่ 3</v>
      </c>
      <c r="D826" s="3" t="str">
        <f>IFERROR(__xludf.DUMMYFUNCTION("""COMPUTED_VALUE"""),"6603816")</f>
        <v>6603816</v>
      </c>
      <c r="E826" s="3" t="str">
        <f>IFERROR(__xludf.DUMMYFUNCTION("""COMPUTED_VALUE"""),"62")</f>
        <v>62</v>
      </c>
      <c r="F826" s="3" t="str">
        <f>IFERROR(__xludf.DUMMYFUNCTION("""COMPUTED_VALUE"""),"นพอ.อมฤทธิ์ สุทธิวิลัย")</f>
        <v>นพอ.อมฤทธิ์ สุทธิวิลัย</v>
      </c>
      <c r="G826" s="3" t="str">
        <f>IFERROR(__xludf.DUMMYFUNCTION("""COMPUTED_VALUE"""),"ช่วยเหลืองานภายใน วพอ.")</f>
        <v>ช่วยเหลืองานภายใน วพอ.</v>
      </c>
      <c r="H826" s="3" t="str">
        <f>IFERROR(__xludf.DUMMYFUNCTION("""COMPUTED_VALUE"""),"จัดสถานที่ทดสอบวิภาววิสัย")</f>
        <v>จัดสถานที่ทดสอบวิภาววิสัย</v>
      </c>
      <c r="I826" s="3" t="str">
        <f>IFERROR(__xludf.DUMMYFUNCTION("""COMPUTED_VALUE"""),"วพอ.พอ.")</f>
        <v>วพอ.พอ.</v>
      </c>
      <c r="J826" s="12">
        <f>IFERROR(__xludf.DUMMYFUNCTION("""COMPUTED_VALUE"""),46143.0)</f>
        <v>46143</v>
      </c>
      <c r="K826" s="3" t="str">
        <f>IFERROR(__xludf.DUMMYFUNCTION("""COMPUTED_VALUE"""),"0800-1200")</f>
        <v>0800-1200</v>
      </c>
      <c r="L826" s="3">
        <f>IFERROR(__xludf.DUMMYFUNCTION("""COMPUTED_VALUE"""),4.0)</f>
        <v>4</v>
      </c>
      <c r="M826" s="3" t="str">
        <f>IFERROR(__xludf.DUMMYFUNCTION("""COMPUTED_VALUE"""),"น.ท.หญิงธนารัตน์ สุริยะพึ่งพระ")</f>
        <v>น.ท.หญิงธนารัตน์ สุริยะพึ่งพระ</v>
      </c>
      <c r="N826" s="14" t="str">
        <f>IFERROR(__xludf.DUMMYFUNCTION("""COMPUTED_VALUE"""),"https://lh5.googleusercontent.com/d/17sATn5X_O2NkXbkHnydczr1CfUp4R-zH")</f>
        <v>https://lh5.googleusercontent.com/d/17sATn5X_O2NkXbkHnydczr1CfUp4R-zH</v>
      </c>
      <c r="O826" s="14" t="str">
        <f>IFERROR(__xludf.DUMMYFUNCTION("""COMPUTED_VALUE"""),"https://drive.google.com/file/d/1EvBcu-ED0F-yGL4Kp60tRY11kED-QxcV/view?usp=drivesdk")</f>
        <v>https://drive.google.com/file/d/1EvBcu-ED0F-yGL4Kp60tRY11kED-QxcV/view?usp=drivesdk</v>
      </c>
    </row>
    <row r="827">
      <c r="A827" s="3">
        <f>IFERROR(__xludf.DUMMYFUNCTION("""COMPUTED_VALUE"""),3406.0)</f>
        <v>3406</v>
      </c>
      <c r="B827" s="11">
        <f>IFERROR(__xludf.DUMMYFUNCTION("""COMPUTED_VALUE"""),46181.95234423612)</f>
        <v>46181.95234</v>
      </c>
      <c r="C827" s="3" t="str">
        <f>IFERROR(__xludf.DUMMYFUNCTION("""COMPUTED_VALUE"""),"ชั้นปีที่ 3")</f>
        <v>ชั้นปีที่ 3</v>
      </c>
      <c r="D827" s="3" t="str">
        <f>IFERROR(__xludf.DUMMYFUNCTION("""COMPUTED_VALUE"""),"6603754")</f>
        <v>6603754</v>
      </c>
      <c r="E827" s="3" t="str">
        <f>IFERROR(__xludf.DUMMYFUNCTION("""COMPUTED_VALUE"""),"1")</f>
        <v>1</v>
      </c>
      <c r="F827" s="3" t="str">
        <f>IFERROR(__xludf.DUMMYFUNCTION("""COMPUTED_VALUE"""),"นพอ.กรกนก วิไลลักษณ์")</f>
        <v>นพอ.กรกนก วิไลลักษณ์</v>
      </c>
      <c r="G82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7" s="3" t="str">
        <f>IFERROR(__xludf.DUMMYFUNCTION("""COMPUTED_VALUE"""),"งานกาชาดประจำปี 2568")</f>
        <v>งานกาชาดประจำปี 2568</v>
      </c>
      <c r="I827" s="3" t="str">
        <f>IFERROR(__xludf.DUMMYFUNCTION("""COMPUTED_VALUE"""),"สวนลุมพินี")</f>
        <v>สวนลุมพินี</v>
      </c>
      <c r="J827" s="12">
        <f>IFERROR(__xludf.DUMMYFUNCTION("""COMPUTED_VALUE"""),46012.0)</f>
        <v>46012</v>
      </c>
      <c r="K827" s="3" t="str">
        <f>IFERROR(__xludf.DUMMYFUNCTION("""COMPUTED_VALUE"""),"0800-1600")</f>
        <v>0800-1600</v>
      </c>
      <c r="L827" s="3">
        <f>IFERROR(__xludf.DUMMYFUNCTION("""COMPUTED_VALUE"""),8.0)</f>
        <v>8</v>
      </c>
      <c r="M827" s="3" t="str">
        <f>IFERROR(__xludf.DUMMYFUNCTION("""COMPUTED_VALUE"""),"น.อ.หญิง ผ.ศ.วัลลภา อันดารา")</f>
        <v>น.อ.หญิง ผ.ศ.วัลลภา อันดารา</v>
      </c>
      <c r="N827" s="14" t="str">
        <f>IFERROR(__xludf.DUMMYFUNCTION("""COMPUTED_VALUE"""),"https://lh5.googleusercontent.com/d/14bZ_lpWB9QGhs4n_guMTJnuBKMiBt7qk")</f>
        <v>https://lh5.googleusercontent.com/d/14bZ_lpWB9QGhs4n_guMTJnuBKMiBt7qk</v>
      </c>
      <c r="O827" s="14" t="str">
        <f>IFERROR(__xludf.DUMMYFUNCTION("""COMPUTED_VALUE"""),"https://drive.google.com/file/d/1Lu9Zvj2Jn5Oj4PrgfIzgRdq6mOqydfJU/view?usp=drivesdk")</f>
        <v>https://drive.google.com/file/d/1Lu9Zvj2Jn5Oj4PrgfIzgRdq6mOqydfJU/view?usp=drivesdk</v>
      </c>
    </row>
    <row r="828">
      <c r="A828" s="3">
        <f>IFERROR(__xludf.DUMMYFUNCTION("""COMPUTED_VALUE"""),3407.0)</f>
        <v>3407</v>
      </c>
      <c r="B828" s="11">
        <f>IFERROR(__xludf.DUMMYFUNCTION("""COMPUTED_VALUE"""),46181.95287725695)</f>
        <v>46181.95288</v>
      </c>
      <c r="C828" s="3" t="str">
        <f>IFERROR(__xludf.DUMMYFUNCTION("""COMPUTED_VALUE"""),"ชั้นปีที่ 3")</f>
        <v>ชั้นปีที่ 3</v>
      </c>
      <c r="D828" s="3" t="str">
        <f>IFERROR(__xludf.DUMMYFUNCTION("""COMPUTED_VALUE"""),"6603807")</f>
        <v>6603807</v>
      </c>
      <c r="E828" s="3" t="str">
        <f>IFERROR(__xludf.DUMMYFUNCTION("""COMPUTED_VALUE"""),"53")</f>
        <v>53</v>
      </c>
      <c r="F828" s="3" t="str">
        <f>IFERROR(__xludf.DUMMYFUNCTION("""COMPUTED_VALUE"""),"นพอ.สถิตย์ภรณ์ นวลขวัญ")</f>
        <v>นพอ.สถิตย์ภรณ์ นวลขวัญ</v>
      </c>
      <c r="G8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8" s="3" t="str">
        <f>IFERROR(__xludf.DUMMYFUNCTION("""COMPUTED_VALUE"""),"เข้าร่วมงานกาชาด")</f>
        <v>เข้าร่วมงานกาชาด</v>
      </c>
      <c r="I828" s="3" t="str">
        <f>IFERROR(__xludf.DUMMYFUNCTION("""COMPUTED_VALUE"""),"สวนลุมพินี")</f>
        <v>สวนลุมพินี</v>
      </c>
      <c r="J828" s="12">
        <f>IFERROR(__xludf.DUMMYFUNCTION("""COMPUTED_VALUE"""),46004.0)</f>
        <v>46004</v>
      </c>
      <c r="K828" s="3" t="str">
        <f>IFERROR(__xludf.DUMMYFUNCTION("""COMPUTED_VALUE"""),"1400-2200")</f>
        <v>1400-2200</v>
      </c>
      <c r="L828" s="3">
        <f>IFERROR(__xludf.DUMMYFUNCTION("""COMPUTED_VALUE"""),8.0)</f>
        <v>8</v>
      </c>
      <c r="M828" s="3" t="str">
        <f>IFERROR(__xludf.DUMMYFUNCTION("""COMPUTED_VALUE"""),"น.อ.หญิง ผศ.ดร.วัลลภา อันดารา")</f>
        <v>น.อ.หญิง ผศ.ดร.วัลลภา อันดารา</v>
      </c>
      <c r="N828" s="14" t="str">
        <f>IFERROR(__xludf.DUMMYFUNCTION("""COMPUTED_VALUE"""),"https://lh5.googleusercontent.com/d/1H3OmJo5C1498EU_b5vbncy-O8NHcTzZn")</f>
        <v>https://lh5.googleusercontent.com/d/1H3OmJo5C1498EU_b5vbncy-O8NHcTzZn</v>
      </c>
      <c r="O828" s="14" t="str">
        <f>IFERROR(__xludf.DUMMYFUNCTION("""COMPUTED_VALUE"""),"https://drive.google.com/file/d/1BuhIFv_piBwn4_YIrRNN6CGetkfxsc0x/view?usp=drivesdk")</f>
        <v>https://drive.google.com/file/d/1BuhIFv_piBwn4_YIrRNN6CGetkfxsc0x/view?usp=drivesdk</v>
      </c>
    </row>
    <row r="829">
      <c r="A829" s="3">
        <f>IFERROR(__xludf.DUMMYFUNCTION("""COMPUTED_VALUE"""),3408.0)</f>
        <v>3408</v>
      </c>
      <c r="B829" s="11">
        <f>IFERROR(__xludf.DUMMYFUNCTION("""COMPUTED_VALUE"""),46181.952993043975)</f>
        <v>46181.95299</v>
      </c>
      <c r="C829" s="3" t="str">
        <f>IFERROR(__xludf.DUMMYFUNCTION("""COMPUTED_VALUE"""),"ชั้นปีที่ 3")</f>
        <v>ชั้นปีที่ 3</v>
      </c>
      <c r="D829" s="3" t="str">
        <f>IFERROR(__xludf.DUMMYFUNCTION("""COMPUTED_VALUE"""),"6603802")</f>
        <v>6603802</v>
      </c>
      <c r="E829" s="3" t="str">
        <f>IFERROR(__xludf.DUMMYFUNCTION("""COMPUTED_VALUE"""),"48")</f>
        <v>48</v>
      </c>
      <c r="F829" s="3" t="str">
        <f>IFERROR(__xludf.DUMMYFUNCTION("""COMPUTED_VALUE"""),"ศตพร คงศักดิ์")</f>
        <v>ศตพร คงศักดิ์</v>
      </c>
      <c r="G829" s="3" t="str">
        <f>IFERROR(__xludf.DUMMYFUNCTION("""COMPUTED_VALUE"""),"งานฟรีทั่วไป")</f>
        <v>งานฟรีทั่วไป</v>
      </c>
      <c r="H829" s="3" t="str">
        <f>IFERROR(__xludf.DUMMYFUNCTION("""COMPUTED_VALUE"""),"เก็บหิน")</f>
        <v>เก็บหิน</v>
      </c>
      <c r="I829" s="3" t="str">
        <f>IFERROR(__xludf.DUMMYFUNCTION("""COMPUTED_VALUE"""),"วพอ.พอ.")</f>
        <v>วพอ.พอ.</v>
      </c>
      <c r="J829" s="12">
        <f>IFERROR(__xludf.DUMMYFUNCTION("""COMPUTED_VALUE"""),46184.0)</f>
        <v>46184</v>
      </c>
      <c r="K829" s="3" t="str">
        <f>IFERROR(__xludf.DUMMYFUNCTION("""COMPUTED_VALUE"""),"1600-1700")</f>
        <v>1600-1700</v>
      </c>
      <c r="L829" s="3">
        <f>IFERROR(__xludf.DUMMYFUNCTION("""COMPUTED_VALUE"""),3.0)</f>
        <v>3</v>
      </c>
      <c r="M829" s="3" t="str">
        <f>IFERROR(__xludf.DUMMYFUNCTION("""COMPUTED_VALUE"""),"น.อ.หญิง.ผศ.นิตยา สุขแสน")</f>
        <v>น.อ.หญิง.ผศ.นิตยา สุขแสน</v>
      </c>
      <c r="N829" s="14" t="str">
        <f>IFERROR(__xludf.DUMMYFUNCTION("""COMPUTED_VALUE"""),"https://lh5.googleusercontent.com/d/1sWEk7vo-r3LVfq4w2MrTpEJUszs2YWRh")</f>
        <v>https://lh5.googleusercontent.com/d/1sWEk7vo-r3LVfq4w2MrTpEJUszs2YWRh</v>
      </c>
      <c r="O829" s="14" t="str">
        <f>IFERROR(__xludf.DUMMYFUNCTION("""COMPUTED_VALUE"""),"https://drive.google.com/file/d/1waYP_Q-nHaQyE6jgtIMv663RkEsqyUFA/view?usp=drivesdk")</f>
        <v>https://drive.google.com/file/d/1waYP_Q-nHaQyE6jgtIMv663RkEsqyUFA/view?usp=drivesdk</v>
      </c>
    </row>
    <row r="830">
      <c r="A830" s="3">
        <f>IFERROR(__xludf.DUMMYFUNCTION("""COMPUTED_VALUE"""),3410.0)</f>
        <v>3410</v>
      </c>
      <c r="B830" s="11">
        <f>IFERROR(__xludf.DUMMYFUNCTION("""COMPUTED_VALUE"""),46181.95418627315)</f>
        <v>46181.95419</v>
      </c>
      <c r="C830" s="3" t="str">
        <f>IFERROR(__xludf.DUMMYFUNCTION("""COMPUTED_VALUE"""),"ชั้นปีที่ 3")</f>
        <v>ชั้นปีที่ 3</v>
      </c>
      <c r="D830" s="3" t="str">
        <f>IFERROR(__xludf.DUMMYFUNCTION("""COMPUTED_VALUE"""),"6603807")</f>
        <v>6603807</v>
      </c>
      <c r="E830" s="3" t="str">
        <f>IFERROR(__xludf.DUMMYFUNCTION("""COMPUTED_VALUE"""),"53")</f>
        <v>53</v>
      </c>
      <c r="F830" s="3" t="str">
        <f>IFERROR(__xludf.DUMMYFUNCTION("""COMPUTED_VALUE"""),"นพอ.สถิตย์ภรณ์ นวลขวัญ")</f>
        <v>นพอ.สถิตย์ภรณ์ นวลขวัญ</v>
      </c>
      <c r="G83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0" s="3" t="str">
        <f>IFERROR(__xludf.DUMMYFUNCTION("""COMPUTED_VALUE"""),"เข้าร่วมงานกาชาด")</f>
        <v>เข้าร่วมงานกาชาด</v>
      </c>
      <c r="I830" s="3" t="str">
        <f>IFERROR(__xludf.DUMMYFUNCTION("""COMPUTED_VALUE"""),"สวนลุมพินี")</f>
        <v>สวนลุมพินี</v>
      </c>
      <c r="J830" s="12">
        <f>IFERROR(__xludf.DUMMYFUNCTION("""COMPUTED_VALUE"""),46011.0)</f>
        <v>46011</v>
      </c>
      <c r="K830" s="3" t="str">
        <f>IFERROR(__xludf.DUMMYFUNCTION("""COMPUTED_VALUE"""),"1400-2200")</f>
        <v>1400-2200</v>
      </c>
      <c r="L830" s="3">
        <f>IFERROR(__xludf.DUMMYFUNCTION("""COMPUTED_VALUE"""),8.0)</f>
        <v>8</v>
      </c>
      <c r="M830" s="3" t="str">
        <f>IFERROR(__xludf.DUMMYFUNCTION("""COMPUTED_VALUE"""),"น.อ.หญิง ผศ.ดร.วัลลภา อันดารา")</f>
        <v>น.อ.หญิง ผศ.ดร.วัลลภา อันดารา</v>
      </c>
      <c r="N830" s="14" t="str">
        <f>IFERROR(__xludf.DUMMYFUNCTION("""COMPUTED_VALUE"""),"https://lh5.googleusercontent.com/d/1m720GlVt-pxIWba1WefSU3N62W9PSXlU")</f>
        <v>https://lh5.googleusercontent.com/d/1m720GlVt-pxIWba1WefSU3N62W9PSXlU</v>
      </c>
      <c r="O830" s="14" t="str">
        <f>IFERROR(__xludf.DUMMYFUNCTION("""COMPUTED_VALUE"""),"https://drive.google.com/file/d/1S5bSbJhr8RTj6mw4TZTmotNl4lsKQ4X7/view?usp=drivesdk")</f>
        <v>https://drive.google.com/file/d/1S5bSbJhr8RTj6mw4TZTmotNl4lsKQ4X7/view?usp=drivesdk</v>
      </c>
    </row>
    <row r="831">
      <c r="A831" s="3">
        <f>IFERROR(__xludf.DUMMYFUNCTION("""COMPUTED_VALUE"""),3412.0)</f>
        <v>3412</v>
      </c>
      <c r="B831" s="11">
        <f>IFERROR(__xludf.DUMMYFUNCTION("""COMPUTED_VALUE"""),46181.95515434028)</f>
        <v>46181.95515</v>
      </c>
      <c r="C831" s="3" t="str">
        <f>IFERROR(__xludf.DUMMYFUNCTION("""COMPUTED_VALUE"""),"ชั้นปีที่ 3")</f>
        <v>ชั้นปีที่ 3</v>
      </c>
      <c r="D831" s="3" t="str">
        <f>IFERROR(__xludf.DUMMYFUNCTION("""COMPUTED_VALUE"""),"6603816")</f>
        <v>6603816</v>
      </c>
      <c r="E831" s="3" t="str">
        <f>IFERROR(__xludf.DUMMYFUNCTION("""COMPUTED_VALUE"""),"62")</f>
        <v>62</v>
      </c>
      <c r="F831" s="3" t="str">
        <f>IFERROR(__xludf.DUMMYFUNCTION("""COMPUTED_VALUE"""),"นพอ.อมฤทธิ์ สุทธิวิลัย")</f>
        <v>นพอ.อมฤทธิ์ สุทธิวิลัย</v>
      </c>
      <c r="G831" s="3" t="str">
        <f>IFERROR(__xludf.DUMMYFUNCTION("""COMPUTED_VALUE"""),"ช่วยเหลืองานภายใน วพอ.")</f>
        <v>ช่วยเหลืองานภายใน วพอ.</v>
      </c>
      <c r="H831" s="3" t="str">
        <f>IFERROR(__xludf.DUMMYFUNCTION("""COMPUTED_VALUE"""),"รับหมวกวิชาชีพพยาบาล")</f>
        <v>รับหมวกวิชาชีพพยาบาล</v>
      </c>
      <c r="I831" s="3" t="str">
        <f>IFERROR(__xludf.DUMMYFUNCTION("""COMPUTED_VALUE"""),"โรงพยาบาลภูมิพลฯ")</f>
        <v>โรงพยาบาลภูมิพลฯ</v>
      </c>
      <c r="J831" s="12">
        <f>IFERROR(__xludf.DUMMYFUNCTION("""COMPUTED_VALUE"""),46140.0)</f>
        <v>46140</v>
      </c>
      <c r="K831" s="3" t="str">
        <f>IFERROR(__xludf.DUMMYFUNCTION("""COMPUTED_VALUE"""),"0800-1200")</f>
        <v>0800-1200</v>
      </c>
      <c r="L831" s="3">
        <f>IFERROR(__xludf.DUMMYFUNCTION("""COMPUTED_VALUE"""),4.0)</f>
        <v>4</v>
      </c>
      <c r="M831" s="3" t="str">
        <f>IFERROR(__xludf.DUMMYFUNCTION("""COMPUTED_VALUE"""),"ร.อ.อนุชิต ทำจะดี")</f>
        <v>ร.อ.อนุชิต ทำจะดี</v>
      </c>
      <c r="N831" s="14" t="str">
        <f>IFERROR(__xludf.DUMMYFUNCTION("""COMPUTED_VALUE"""),"https://lh5.googleusercontent.com/d/1BGjZuw1eoMXyZZOpEoZjXHityaQgOT5b")</f>
        <v>https://lh5.googleusercontent.com/d/1BGjZuw1eoMXyZZOpEoZjXHityaQgOT5b</v>
      </c>
      <c r="O831" s="14" t="str">
        <f>IFERROR(__xludf.DUMMYFUNCTION("""COMPUTED_VALUE"""),"https://drive.google.com/file/d/1JpOvDtO6_uMHZm0XxSi_bHvlPB2XX8ik/view?usp=drivesdk")</f>
        <v>https://drive.google.com/file/d/1JpOvDtO6_uMHZm0XxSi_bHvlPB2XX8ik/view?usp=drivesdk</v>
      </c>
    </row>
    <row r="832">
      <c r="A832" s="3">
        <f>IFERROR(__xludf.DUMMYFUNCTION("""COMPUTED_VALUE"""),3413.0)</f>
        <v>3413</v>
      </c>
      <c r="B832" s="11">
        <f>IFERROR(__xludf.DUMMYFUNCTION("""COMPUTED_VALUE"""),46181.95554788195)</f>
        <v>46181.95555</v>
      </c>
      <c r="C832" s="3" t="str">
        <f>IFERROR(__xludf.DUMMYFUNCTION("""COMPUTED_VALUE"""),"ชั้นปีที่ 3")</f>
        <v>ชั้นปีที่ 3</v>
      </c>
      <c r="D832" s="3" t="str">
        <f>IFERROR(__xludf.DUMMYFUNCTION("""COMPUTED_VALUE"""),"6603754")</f>
        <v>6603754</v>
      </c>
      <c r="E832" s="3" t="str">
        <f>IFERROR(__xludf.DUMMYFUNCTION("""COMPUTED_VALUE"""),"1")</f>
        <v>1</v>
      </c>
      <c r="F832" s="3" t="str">
        <f>IFERROR(__xludf.DUMMYFUNCTION("""COMPUTED_VALUE"""),"นพอ.กรกนก วิไลลักษณ์")</f>
        <v>นพอ.กรกนก วิไลลักษณ์</v>
      </c>
      <c r="G832" s="3" t="str">
        <f>IFERROR(__xludf.DUMMYFUNCTION("""COMPUTED_VALUE"""),"ช่วยเหลืองานภายใน วพอ.")</f>
        <v>ช่วยเหลืองานภายใน วพอ.</v>
      </c>
      <c r="H832" s="3" t="str">
        <f>IFERROR(__xludf.DUMMYFUNCTION("""COMPUTED_VALUE"""),"ซ้อมเต้นนำเสนออัตลักษณ์วิทยาลัย")</f>
        <v>ซ้อมเต้นนำเสนออัตลักษณ์วิทยาลัย</v>
      </c>
      <c r="I832" s="3" t="str">
        <f>IFERROR(__xludf.DUMMYFUNCTION("""COMPUTED_VALUE"""),"วพอ.พอ.")</f>
        <v>วพอ.พอ.</v>
      </c>
      <c r="J832" s="12">
        <f>IFERROR(__xludf.DUMMYFUNCTION("""COMPUTED_VALUE"""),46180.0)</f>
        <v>46180</v>
      </c>
      <c r="K832" s="3" t="str">
        <f>IFERROR(__xludf.DUMMYFUNCTION("""COMPUTED_VALUE"""),"1700-1900")</f>
        <v>1700-1900</v>
      </c>
      <c r="L832" s="3">
        <f>IFERROR(__xludf.DUMMYFUNCTION("""COMPUTED_VALUE"""),2.0)</f>
        <v>2</v>
      </c>
      <c r="M832" s="3" t="str">
        <f>IFERROR(__xludf.DUMMYFUNCTION("""COMPUTED_VALUE"""),"ร.อ.หญิง เบญญาดา บุรีรัตน์")</f>
        <v>ร.อ.หญิง เบญญาดา บุรีรัตน์</v>
      </c>
      <c r="N832" s="14" t="str">
        <f>IFERROR(__xludf.DUMMYFUNCTION("""COMPUTED_VALUE"""),"https://lh5.googleusercontent.com/d/1UHcUeF3XUf11lPO5uHQ2Ao0jz9i78Sfe")</f>
        <v>https://lh5.googleusercontent.com/d/1UHcUeF3XUf11lPO5uHQ2Ao0jz9i78Sfe</v>
      </c>
      <c r="O832" s="14" t="str">
        <f>IFERROR(__xludf.DUMMYFUNCTION("""COMPUTED_VALUE"""),"https://drive.google.com/file/d/1UYu8qQwCMvMJfODU4rIkmsfG_VnSB8q-/view?usp=drivesdk")</f>
        <v>https://drive.google.com/file/d/1UYu8qQwCMvMJfODU4rIkmsfG_VnSB8q-/view?usp=drivesdk</v>
      </c>
    </row>
    <row r="833">
      <c r="A833" s="3">
        <f>IFERROR(__xludf.DUMMYFUNCTION("""COMPUTED_VALUE"""),3414.0)</f>
        <v>3414</v>
      </c>
      <c r="B833" s="11">
        <f>IFERROR(__xludf.DUMMYFUNCTION("""COMPUTED_VALUE"""),46181.95952844908)</f>
        <v>46181.95953</v>
      </c>
      <c r="C833" s="3" t="str">
        <f>IFERROR(__xludf.DUMMYFUNCTION("""COMPUTED_VALUE"""),"ชั้นปีที่ 3")</f>
        <v>ชั้นปีที่ 3</v>
      </c>
      <c r="D833" s="3" t="str">
        <f>IFERROR(__xludf.DUMMYFUNCTION("""COMPUTED_VALUE"""),"6603816")</f>
        <v>6603816</v>
      </c>
      <c r="E833" s="3" t="str">
        <f>IFERROR(__xludf.DUMMYFUNCTION("""COMPUTED_VALUE"""),"62")</f>
        <v>62</v>
      </c>
      <c r="F833" s="3" t="str">
        <f>IFERROR(__xludf.DUMMYFUNCTION("""COMPUTED_VALUE"""),"นพอ.อมฤทธิ์ สุทธิวิลัย")</f>
        <v>นพอ.อมฤทธิ์ สุทธิวิลัย</v>
      </c>
      <c r="G833" s="3" t="str">
        <f>IFERROR(__xludf.DUMMYFUNCTION("""COMPUTED_VALUE"""),"ช่วยเหลืองานภายใน วพอ.")</f>
        <v>ช่วยเหลืองานภายใน วพอ.</v>
      </c>
      <c r="H833" s="3" t="str">
        <f>IFERROR(__xludf.DUMMYFUNCTION("""COMPUTED_VALUE"""),"ทดสอบวิภาววิสัย")</f>
        <v>ทดสอบวิภาววิสัย</v>
      </c>
      <c r="I833" s="3" t="str">
        <f>IFERROR(__xludf.DUMMYFUNCTION("""COMPUTED_VALUE"""),"วพอ.พอ.")</f>
        <v>วพอ.พอ.</v>
      </c>
      <c r="J833" s="12">
        <f>IFERROR(__xludf.DUMMYFUNCTION("""COMPUTED_VALUE"""),46147.0)</f>
        <v>46147</v>
      </c>
      <c r="K833" s="3" t="str">
        <f>IFERROR(__xludf.DUMMYFUNCTION("""COMPUTED_VALUE"""),"0800-1600")</f>
        <v>0800-1600</v>
      </c>
      <c r="L833" s="3">
        <f>IFERROR(__xludf.DUMMYFUNCTION("""COMPUTED_VALUE"""),8.0)</f>
        <v>8</v>
      </c>
      <c r="M833" s="3" t="str">
        <f>IFERROR(__xludf.DUMMYFUNCTION("""COMPUTED_VALUE"""),"น.ท.หญิง ลักขณา พานิชสรรค์")</f>
        <v>น.ท.หญิง ลักขณา พานิชสรรค์</v>
      </c>
      <c r="N833" s="14" t="str">
        <f>IFERROR(__xludf.DUMMYFUNCTION("""COMPUTED_VALUE"""),"https://lh5.googleusercontent.com/d/1q3J_LJTl8XpDG-YxbzUNziaV7Q-w7xnI")</f>
        <v>https://lh5.googleusercontent.com/d/1q3J_LJTl8XpDG-YxbzUNziaV7Q-w7xnI</v>
      </c>
      <c r="O833" s="14" t="str">
        <f>IFERROR(__xludf.DUMMYFUNCTION("""COMPUTED_VALUE"""),"https://drive.google.com/file/d/1-pHHUyctHZC6DDD7_jnCuaH6H-I5amxq/view?usp=drivesdk")</f>
        <v>https://drive.google.com/file/d/1-pHHUyctHZC6DDD7_jnCuaH6H-I5amxq/view?usp=drivesdk</v>
      </c>
    </row>
    <row r="834">
      <c r="A834" s="3">
        <f>IFERROR(__xludf.DUMMYFUNCTION("""COMPUTED_VALUE"""),3415.0)</f>
        <v>3415</v>
      </c>
      <c r="B834" s="11">
        <f>IFERROR(__xludf.DUMMYFUNCTION("""COMPUTED_VALUE"""),46181.96147967593)</f>
        <v>46181.96148</v>
      </c>
      <c r="C834" s="3" t="str">
        <f>IFERROR(__xludf.DUMMYFUNCTION("""COMPUTED_VALUE"""),"ชั้นปีที่ 3")</f>
        <v>ชั้นปีที่ 3</v>
      </c>
      <c r="D834" s="3" t="str">
        <f>IFERROR(__xludf.DUMMYFUNCTION("""COMPUTED_VALUE"""),"6603779")</f>
        <v>6603779</v>
      </c>
      <c r="E834" s="3" t="str">
        <f>IFERROR(__xludf.DUMMYFUNCTION("""COMPUTED_VALUE"""),"25")</f>
        <v>25</v>
      </c>
      <c r="F834" s="3" t="str">
        <f>IFERROR(__xludf.DUMMYFUNCTION("""COMPUTED_VALUE"""),"นพอ.นันทิยา แก้วก่อง")</f>
        <v>นพอ.นันทิยา แก้วก่อง</v>
      </c>
      <c r="G834" s="3" t="str">
        <f>IFERROR(__xludf.DUMMYFUNCTION("""COMPUTED_VALUE"""),"ช่วยเหลืองานภายใน วพอ.")</f>
        <v>ช่วยเหลืองานภายใน วพอ.</v>
      </c>
      <c r="H834" s="3" t="str">
        <f>IFERROR(__xludf.DUMMYFUNCTION("""COMPUTED_VALUE"""),"จัดโต๊ะสอบนพอ.รุ่นที่ 69")</f>
        <v>จัดโต๊ะสอบนพอ.รุ่นที่ 69</v>
      </c>
      <c r="I834" s="3" t="str">
        <f>IFERROR(__xludf.DUMMYFUNCTION("""COMPUTED_VALUE"""),"ห้องประชุมชั้น 4 อาคารสำนักงาน วพอ.")</f>
        <v>ห้องประชุมชั้น 4 อาคารสำนักงาน วพอ.</v>
      </c>
      <c r="J834" s="12">
        <f>IFERROR(__xludf.DUMMYFUNCTION("""COMPUTED_VALUE"""),46174.0)</f>
        <v>46174</v>
      </c>
      <c r="K834" s="3" t="str">
        <f>IFERROR(__xludf.DUMMYFUNCTION("""COMPUTED_VALUE"""),"0800-1200")</f>
        <v>0800-1200</v>
      </c>
      <c r="L834" s="3">
        <f>IFERROR(__xludf.DUMMYFUNCTION("""COMPUTED_VALUE"""),4.0)</f>
        <v>4</v>
      </c>
      <c r="M834" s="3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834" s="14" t="str">
        <f>IFERROR(__xludf.DUMMYFUNCTION("""COMPUTED_VALUE"""),"https://lh5.googleusercontent.com/d/1uCiZ8QX7DMgOLAa8ynEzyNkMGPNaqLQr")</f>
        <v>https://lh5.googleusercontent.com/d/1uCiZ8QX7DMgOLAa8ynEzyNkMGPNaqLQr</v>
      </c>
      <c r="O834" s="14" t="str">
        <f>IFERROR(__xludf.DUMMYFUNCTION("""COMPUTED_VALUE"""),"https://drive.google.com/file/d/11ontYA8Dm9qwBQAl_h1koqWDYTEBtfHk/view?usp=drivesdk")</f>
        <v>https://drive.google.com/file/d/11ontYA8Dm9qwBQAl_h1koqWDYTEBtfHk/view?usp=drivesdk</v>
      </c>
    </row>
    <row r="835">
      <c r="A835" s="3">
        <f>IFERROR(__xludf.DUMMYFUNCTION("""COMPUTED_VALUE"""),3417.0)</f>
        <v>3417</v>
      </c>
      <c r="B835" s="11">
        <f>IFERROR(__xludf.DUMMYFUNCTION("""COMPUTED_VALUE"""),46181.96379591435)</f>
        <v>46181.9638</v>
      </c>
      <c r="C835" s="3" t="str">
        <f>IFERROR(__xludf.DUMMYFUNCTION("""COMPUTED_VALUE"""),"ชั้นปีที่ 3")</f>
        <v>ชั้นปีที่ 3</v>
      </c>
      <c r="D835" s="3" t="str">
        <f>IFERROR(__xludf.DUMMYFUNCTION("""COMPUTED_VALUE"""),"6603779")</f>
        <v>6603779</v>
      </c>
      <c r="E835" s="3" t="str">
        <f>IFERROR(__xludf.DUMMYFUNCTION("""COMPUTED_VALUE"""),"25")</f>
        <v>25</v>
      </c>
      <c r="F835" s="3" t="str">
        <f>IFERROR(__xludf.DUMMYFUNCTION("""COMPUTED_VALUE"""),"นพอ.นันทิยา แก้วก่อง")</f>
        <v>นพอ.นันทิยา แก้วก่อง</v>
      </c>
      <c r="G835" s="3" t="str">
        <f>IFERROR(__xludf.DUMMYFUNCTION("""COMPUTED_VALUE"""),"ช่วยเหลืองานภายใน วพอ.")</f>
        <v>ช่วยเหลืองานภายใน วพอ.</v>
      </c>
      <c r="H835" s="3" t="str">
        <f>IFERROR(__xludf.DUMMYFUNCTION("""COMPUTED_VALUE"""),"ขนหินอ่อนตกแต่งวิทยาลัย")</f>
        <v>ขนหินอ่อนตกแต่งวิทยาลัย</v>
      </c>
      <c r="I835" s="3" t="str">
        <f>IFERROR(__xludf.DUMMYFUNCTION("""COMPUTED_VALUE"""),"วพอ.พอ.")</f>
        <v>วพอ.พอ.</v>
      </c>
      <c r="J835" s="12">
        <f>IFERROR(__xludf.DUMMYFUNCTION("""COMPUTED_VALUE"""),46177.0)</f>
        <v>46177</v>
      </c>
      <c r="K835" s="3" t="str">
        <f>IFERROR(__xludf.DUMMYFUNCTION("""COMPUTED_VALUE"""),"1200-1500")</f>
        <v>1200-1500</v>
      </c>
      <c r="L835" s="3">
        <f>IFERROR(__xludf.DUMMYFUNCTION("""COMPUTED_VALUE"""),3.0)</f>
        <v>3</v>
      </c>
      <c r="M835" s="3" t="str">
        <f>IFERROR(__xludf.DUMMYFUNCTION("""COMPUTED_VALUE"""),"น.อ.หญิง ผศ. นิตยา สุขแสน")</f>
        <v>น.อ.หญิง ผศ. นิตยา สุขแสน</v>
      </c>
      <c r="N835" s="14" t="str">
        <f>IFERROR(__xludf.DUMMYFUNCTION("""COMPUTED_VALUE"""),"https://lh5.googleusercontent.com/d/1exBaCBXL0_e7IaD5kII2QNTZZTEZ1koR")</f>
        <v>https://lh5.googleusercontent.com/d/1exBaCBXL0_e7IaD5kII2QNTZZTEZ1koR</v>
      </c>
      <c r="O835" s="14" t="str">
        <f>IFERROR(__xludf.DUMMYFUNCTION("""COMPUTED_VALUE"""),"https://drive.google.com/file/d/1giHqMElKcJBGI2nnEhKkbSN_cqCXicgX/view?usp=drivesdk")</f>
        <v>https://drive.google.com/file/d/1giHqMElKcJBGI2nnEhKkbSN_cqCXicgX/view?usp=drivesdk</v>
      </c>
    </row>
    <row r="836">
      <c r="A836" s="3">
        <f>IFERROR(__xludf.DUMMYFUNCTION("""COMPUTED_VALUE"""),3418.0)</f>
        <v>3418</v>
      </c>
      <c r="B836" s="11">
        <f>IFERROR(__xludf.DUMMYFUNCTION("""COMPUTED_VALUE"""),46181.96429275463)</f>
        <v>46181.96429</v>
      </c>
      <c r="C836" s="3" t="str">
        <f>IFERROR(__xludf.DUMMYFUNCTION("""COMPUTED_VALUE"""),"ชั้นปีที่ 3")</f>
        <v>ชั้นปีที่ 3</v>
      </c>
      <c r="D836" s="3" t="str">
        <f>IFERROR(__xludf.DUMMYFUNCTION("""COMPUTED_VALUE"""),"6603807")</f>
        <v>6603807</v>
      </c>
      <c r="E836" s="3" t="str">
        <f>IFERROR(__xludf.DUMMYFUNCTION("""COMPUTED_VALUE"""),"53")</f>
        <v>53</v>
      </c>
      <c r="F836" s="3" t="str">
        <f>IFERROR(__xludf.DUMMYFUNCTION("""COMPUTED_VALUE"""),"นพอ.สถิตย์ภรณ์ นวลขวัญ")</f>
        <v>นพอ.สถิตย์ภรณ์ นวลขวัญ</v>
      </c>
      <c r="G83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36" s="3" t="str">
        <f>IFERROR(__xludf.DUMMYFUNCTION("""COMPUTED_VALUE"""),"บริจาคโลหิต")</f>
        <v>บริจาคโลหิต</v>
      </c>
      <c r="I836" s="3" t="str">
        <f>IFERROR(__xludf.DUMMYFUNCTION("""COMPUTED_VALUE"""),"รพ.ภูมิพลอดุลยเดช พอ")</f>
        <v>รพ.ภูมิพลอดุลยเดช พอ</v>
      </c>
      <c r="J836" s="12">
        <f>IFERROR(__xludf.DUMMYFUNCTION("""COMPUTED_VALUE"""),46091.0)</f>
        <v>46091</v>
      </c>
      <c r="K836" s="3" t="str">
        <f>IFERROR(__xludf.DUMMYFUNCTION("""COMPUTED_VALUE"""),"1100-1230")</f>
        <v>1100-1230</v>
      </c>
      <c r="L836" s="3">
        <f>IFERROR(__xludf.DUMMYFUNCTION("""COMPUTED_VALUE"""),8.0)</f>
        <v>8</v>
      </c>
      <c r="M836" s="3" t="str">
        <f>IFERROR(__xludf.DUMMYFUNCTION("""COMPUTED_VALUE"""),"ศูนย์บริจาคโลหิต รพ.ภูมิพลอดุลยเดช พอ")</f>
        <v>ศูนย์บริจาคโลหิต รพ.ภูมิพลอดุลยเดช พอ</v>
      </c>
      <c r="N836" s="14" t="str">
        <f>IFERROR(__xludf.DUMMYFUNCTION("""COMPUTED_VALUE"""),"https://lh5.googleusercontent.com/d/1UpU8pYB-5u4Gvem73UbOdebAK1Oo57jy")</f>
        <v>https://lh5.googleusercontent.com/d/1UpU8pYB-5u4Gvem73UbOdebAK1Oo57jy</v>
      </c>
      <c r="O836" s="14" t="str">
        <f>IFERROR(__xludf.DUMMYFUNCTION("""COMPUTED_VALUE"""),"https://drive.google.com/file/d/19PBCBCnXzKYOXOXdQmw62rTJgpUcK4Bi/view?usp=drivesdk")</f>
        <v>https://drive.google.com/file/d/19PBCBCnXzKYOXOXdQmw62rTJgpUcK4Bi/view?usp=drivesdk</v>
      </c>
    </row>
    <row r="837">
      <c r="A837" s="3">
        <f>IFERROR(__xludf.DUMMYFUNCTION("""COMPUTED_VALUE"""),3419.0)</f>
        <v>3419</v>
      </c>
      <c r="B837" s="11">
        <f>IFERROR(__xludf.DUMMYFUNCTION("""COMPUTED_VALUE"""),46181.96694943287)</f>
        <v>46181.96695</v>
      </c>
      <c r="C837" s="3" t="str">
        <f>IFERROR(__xludf.DUMMYFUNCTION("""COMPUTED_VALUE"""),"ชั้นปีที่ 3")</f>
        <v>ชั้นปีที่ 3</v>
      </c>
      <c r="D837" s="3" t="str">
        <f>IFERROR(__xludf.DUMMYFUNCTION("""COMPUTED_VALUE"""),"6603779")</f>
        <v>6603779</v>
      </c>
      <c r="E837" s="3" t="str">
        <f>IFERROR(__xludf.DUMMYFUNCTION("""COMPUTED_VALUE"""),"25")</f>
        <v>25</v>
      </c>
      <c r="F837" s="3" t="str">
        <f>IFERROR(__xludf.DUMMYFUNCTION("""COMPUTED_VALUE"""),"นพอ.นันทิยา แก้วก่อง")</f>
        <v>นพอ.นันทิยา แก้วก่อง</v>
      </c>
      <c r="G837" s="3" t="str">
        <f>IFERROR(__xludf.DUMMYFUNCTION("""COMPUTED_VALUE"""),"ช่วยเหลืองานภายใน วพอ.")</f>
        <v>ช่วยเหลืองานภายใน วพอ.</v>
      </c>
      <c r="H837" s="3" t="str">
        <f>IFERROR(__xludf.DUMMYFUNCTION("""COMPUTED_VALUE"""),"ช่วยจัดเก็บห้องปฏิบัติการมารดาทารกและการผดุงครรภ์")</f>
        <v>ช่วยจัดเก็บห้องปฏิบัติการมารดาทารกและการผดุงครรภ์</v>
      </c>
      <c r="I837" s="3" t="str">
        <f>IFERROR(__xludf.DUMMYFUNCTION("""COMPUTED_VALUE"""),"ห้องปฏิบัติการมารดาทารกและการผดุงครรภ์")</f>
        <v>ห้องปฏิบัติการมารดาทารกและการผดุงครรภ์</v>
      </c>
      <c r="J837" s="12">
        <f>IFERROR(__xludf.DUMMYFUNCTION("""COMPUTED_VALUE"""),46094.0)</f>
        <v>46094</v>
      </c>
      <c r="K837" s="3" t="str">
        <f>IFERROR(__xludf.DUMMYFUNCTION("""COMPUTED_VALUE"""),"1400-1500")</f>
        <v>1400-1500</v>
      </c>
      <c r="L837" s="3">
        <f>IFERROR(__xludf.DUMMYFUNCTION("""COMPUTED_VALUE"""),1.0)</f>
        <v>1</v>
      </c>
      <c r="M837" s="3" t="str">
        <f>IFERROR(__xludf.DUMMYFUNCTION("""COMPUTED_VALUE"""),"น.ต.หญิง จีรปรียา โรจนเกียรติปรีดา")</f>
        <v>น.ต.หญิง จีรปรียา โรจนเกียรติปรีดา</v>
      </c>
      <c r="N837" s="14" t="str">
        <f>IFERROR(__xludf.DUMMYFUNCTION("""COMPUTED_VALUE"""),"https://lh5.googleusercontent.com/d/1UlcTnAfpFtmj6Eoo7Z-ehhewbVYnBQL6")</f>
        <v>https://lh5.googleusercontent.com/d/1UlcTnAfpFtmj6Eoo7Z-ehhewbVYnBQL6</v>
      </c>
      <c r="O837" s="14" t="str">
        <f>IFERROR(__xludf.DUMMYFUNCTION("""COMPUTED_VALUE"""),"https://drive.google.com/file/d/1hHTBxCKVXfAA1VOxFP-8BkQRwJfc4mls/view?usp=drivesdk")</f>
        <v>https://drive.google.com/file/d/1hHTBxCKVXfAA1VOxFP-8BkQRwJfc4mls/view?usp=drivesdk</v>
      </c>
    </row>
    <row r="838">
      <c r="A838" s="3">
        <f>IFERROR(__xludf.DUMMYFUNCTION("""COMPUTED_VALUE"""),3420.0)</f>
        <v>3420</v>
      </c>
      <c r="B838" s="11">
        <f>IFERROR(__xludf.DUMMYFUNCTION("""COMPUTED_VALUE"""),46181.974196145835)</f>
        <v>46181.9742</v>
      </c>
      <c r="C838" s="3" t="str">
        <f>IFERROR(__xludf.DUMMYFUNCTION("""COMPUTED_VALUE"""),"ชั้นปีที่ 3")</f>
        <v>ชั้นปีที่ 3</v>
      </c>
      <c r="D838" s="3" t="str">
        <f>IFERROR(__xludf.DUMMYFUNCTION("""COMPUTED_VALUE"""),"6603766")</f>
        <v>6603766</v>
      </c>
      <c r="E838" s="3" t="str">
        <f>IFERROR(__xludf.DUMMYFUNCTION("""COMPUTED_VALUE"""),"13")</f>
        <v>13</v>
      </c>
      <c r="F838" s="3" t="str">
        <f>IFERROR(__xludf.DUMMYFUNCTION("""COMPUTED_VALUE"""),"นพอ.ชุติกาญจน์ ชูตินันท์")</f>
        <v>นพอ.ชุติกาญจน์ ชูตินันท์</v>
      </c>
      <c r="G838" s="3" t="str">
        <f>IFERROR(__xludf.DUMMYFUNCTION("""COMPUTED_VALUE"""),"ช่วยเหลืองานภายใน วพอ.")</f>
        <v>ช่วยเหลืองานภายใน วพอ.</v>
      </c>
      <c r="H838" s="3" t="str">
        <f>IFERROR(__xludf.DUMMYFUNCTION("""COMPUTED_VALUE"""),"จัดห้องปฏิบัติการ ทำความสะอาดหุ่นและอุปกรณ์ต่างๆ")</f>
        <v>จัดห้องปฏิบัติการ ทำความสะอาดหุ่นและอุปกรณ์ต่างๆ</v>
      </c>
      <c r="I838" s="3" t="str">
        <f>IFERROR(__xludf.DUMMYFUNCTION("""COMPUTED_VALUE"""),"วพอ.พอ.")</f>
        <v>วพอ.พอ.</v>
      </c>
      <c r="J838" s="12">
        <f>IFERROR(__xludf.DUMMYFUNCTION("""COMPUTED_VALUE"""),46094.0)</f>
        <v>46094</v>
      </c>
      <c r="K838" s="3" t="str">
        <f>IFERROR(__xludf.DUMMYFUNCTION("""COMPUTED_VALUE"""),"1100-1200")</f>
        <v>1100-1200</v>
      </c>
      <c r="L838" s="3">
        <f>IFERROR(__xludf.DUMMYFUNCTION("""COMPUTED_VALUE"""),1.0)</f>
        <v>1</v>
      </c>
      <c r="M838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838" s="14" t="str">
        <f>IFERROR(__xludf.DUMMYFUNCTION("""COMPUTED_VALUE"""),"https://lh5.googleusercontent.com/d/17y7vZXvDOcUP7suz3q4EkwmmN1SKXhVX")</f>
        <v>https://lh5.googleusercontent.com/d/17y7vZXvDOcUP7suz3q4EkwmmN1SKXhVX</v>
      </c>
      <c r="O838" s="14" t="str">
        <f>IFERROR(__xludf.DUMMYFUNCTION("""COMPUTED_VALUE"""),"https://drive.google.com/file/d/18Q_3Xev1jvt_UASjO5KjSw1xZQQtFZah/view?usp=drivesdk")</f>
        <v>https://drive.google.com/file/d/18Q_3Xev1jvt_UASjO5KjSw1xZQQtFZah/view?usp=drivesdk</v>
      </c>
    </row>
    <row r="839">
      <c r="A839" s="3">
        <f>IFERROR(__xludf.DUMMYFUNCTION("""COMPUTED_VALUE"""),3421.0)</f>
        <v>3421</v>
      </c>
      <c r="B839" s="11">
        <f>IFERROR(__xludf.DUMMYFUNCTION("""COMPUTED_VALUE"""),46181.9784283912)</f>
        <v>46181.97843</v>
      </c>
      <c r="C839" s="3" t="str">
        <f>IFERROR(__xludf.DUMMYFUNCTION("""COMPUTED_VALUE"""),"ชั้นปีที่ 3")</f>
        <v>ชั้นปีที่ 3</v>
      </c>
      <c r="D839" s="3" t="str">
        <f>IFERROR(__xludf.DUMMYFUNCTION("""COMPUTED_VALUE"""),"6603766")</f>
        <v>6603766</v>
      </c>
      <c r="E839" s="3" t="str">
        <f>IFERROR(__xludf.DUMMYFUNCTION("""COMPUTED_VALUE"""),"13")</f>
        <v>13</v>
      </c>
      <c r="F839" s="3" t="str">
        <f>IFERROR(__xludf.DUMMYFUNCTION("""COMPUTED_VALUE"""),"นพอ.ชุติกาญจน์ ชูตินันท์")</f>
        <v>นพอ.ชุติกาญจน์ ชูตินันท์</v>
      </c>
      <c r="G8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9" s="3" t="str">
        <f>IFERROR(__xludf.DUMMYFUNCTION("""COMPUTED_VALUE"""),"งานกาชาด")</f>
        <v>งานกาชาด</v>
      </c>
      <c r="I839" s="3" t="str">
        <f>IFERROR(__xludf.DUMMYFUNCTION("""COMPUTED_VALUE"""),"สวนลุมพินี")</f>
        <v>สวนลุมพินี</v>
      </c>
      <c r="J839" s="12">
        <f>IFERROR(__xludf.DUMMYFUNCTION("""COMPUTED_VALUE"""),46012.0)</f>
        <v>46012</v>
      </c>
      <c r="K839" s="3" t="str">
        <f>IFERROR(__xludf.DUMMYFUNCTION("""COMPUTED_VALUE"""),"1400-2200")</f>
        <v>1400-2200</v>
      </c>
      <c r="L839" s="3">
        <f>IFERROR(__xludf.DUMMYFUNCTION("""COMPUTED_VALUE"""),8.0)</f>
        <v>8</v>
      </c>
      <c r="M839" s="3" t="str">
        <f>IFERROR(__xludf.DUMMYFUNCTION("""COMPUTED_VALUE"""),"น.อ.หญิง ผศ.วัลลภา อันดารา")</f>
        <v>น.อ.หญิง ผศ.วัลลภา อันดารา</v>
      </c>
      <c r="N839" s="14" t="str">
        <f>IFERROR(__xludf.DUMMYFUNCTION("""COMPUTED_VALUE"""),"https://lh5.googleusercontent.com/d/196qCpuuI0_VGh4GqgPETsrdsOxe6JkAV")</f>
        <v>https://lh5.googleusercontent.com/d/196qCpuuI0_VGh4GqgPETsrdsOxe6JkAV</v>
      </c>
      <c r="O839" s="14" t="str">
        <f>IFERROR(__xludf.DUMMYFUNCTION("""COMPUTED_VALUE"""),"https://drive.google.com/file/d/17iPqTPjJ_LTKHuKvP_rSW4HdIAGa4Dlx/view?usp=drivesdk")</f>
        <v>https://drive.google.com/file/d/17iPqTPjJ_LTKHuKvP_rSW4HdIAGa4Dlx/view?usp=drivesdk</v>
      </c>
    </row>
    <row r="840">
      <c r="A840" s="3">
        <f>IFERROR(__xludf.DUMMYFUNCTION("""COMPUTED_VALUE"""),3422.0)</f>
        <v>3422</v>
      </c>
      <c r="B840" s="11">
        <f>IFERROR(__xludf.DUMMYFUNCTION("""COMPUTED_VALUE"""),46181.980766099536)</f>
        <v>46181.98077</v>
      </c>
      <c r="C840" s="3" t="str">
        <f>IFERROR(__xludf.DUMMYFUNCTION("""COMPUTED_VALUE"""),"ชั้นปีที่ 3")</f>
        <v>ชั้นปีที่ 3</v>
      </c>
      <c r="D840" s="3" t="str">
        <f>IFERROR(__xludf.DUMMYFUNCTION("""COMPUTED_VALUE"""),"6603766")</f>
        <v>6603766</v>
      </c>
      <c r="E840" s="3" t="str">
        <f>IFERROR(__xludf.DUMMYFUNCTION("""COMPUTED_VALUE"""),"13")</f>
        <v>13</v>
      </c>
      <c r="F840" s="3" t="str">
        <f>IFERROR(__xludf.DUMMYFUNCTION("""COMPUTED_VALUE"""),"นพอ.ชุติกาญจน์ ชูตินันท์")</f>
        <v>นพอ.ชุติกาญจน์ ชูตินันท์</v>
      </c>
      <c r="G84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0" s="3" t="str">
        <f>IFERROR(__xludf.DUMMYFUNCTION("""COMPUTED_VALUE"""),"งานสงกรานต์ เบิกบานจิต")</f>
        <v>งานสงกรานต์ เบิกบานจิต</v>
      </c>
      <c r="I840" s="3" t="str">
        <f>IFERROR(__xludf.DUMMYFUNCTION("""COMPUTED_VALUE"""),"โรงพยาบาลศรีธัญญา")</f>
        <v>โรงพยาบาลศรีธัญญา</v>
      </c>
      <c r="J840" s="12">
        <f>IFERROR(__xludf.DUMMYFUNCTION("""COMPUTED_VALUE"""),46121.0)</f>
        <v>46121</v>
      </c>
      <c r="K840" s="3" t="str">
        <f>IFERROR(__xludf.DUMMYFUNCTION("""COMPUTED_VALUE"""),"0700-1500")</f>
        <v>0700-1500</v>
      </c>
      <c r="L840" s="3">
        <f>IFERROR(__xludf.DUMMYFUNCTION("""COMPUTED_VALUE"""),8.0)</f>
        <v>8</v>
      </c>
      <c r="M840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840" s="14" t="str">
        <f>IFERROR(__xludf.DUMMYFUNCTION("""COMPUTED_VALUE"""),"https://lh5.googleusercontent.com/d/1MugJnfsTqAqAeRjbHnFelVFfblXeQzQz")</f>
        <v>https://lh5.googleusercontent.com/d/1MugJnfsTqAqAeRjbHnFelVFfblXeQzQz</v>
      </c>
      <c r="O840" s="14" t="str">
        <f>IFERROR(__xludf.DUMMYFUNCTION("""COMPUTED_VALUE"""),"https://drive.google.com/file/d/1mf94ECuk-dAjmZAl6CvS4ZOqcvRmf710/view?usp=drivesdk")</f>
        <v>https://drive.google.com/file/d/1mf94ECuk-dAjmZAl6CvS4ZOqcvRmf710/view?usp=drivesdk</v>
      </c>
    </row>
    <row r="841">
      <c r="A841" s="3">
        <f>IFERROR(__xludf.DUMMYFUNCTION("""COMPUTED_VALUE"""),3423.0)</f>
        <v>3423</v>
      </c>
      <c r="B841" s="11">
        <f>IFERROR(__xludf.DUMMYFUNCTION("""COMPUTED_VALUE"""),46181.985057673606)</f>
        <v>46181.98506</v>
      </c>
      <c r="C841" s="3" t="str">
        <f>IFERROR(__xludf.DUMMYFUNCTION("""COMPUTED_VALUE"""),"ชั้นปีที่ 3")</f>
        <v>ชั้นปีที่ 3</v>
      </c>
      <c r="D841" s="3" t="str">
        <f>IFERROR(__xludf.DUMMYFUNCTION("""COMPUTED_VALUE"""),"6603766")</f>
        <v>6603766</v>
      </c>
      <c r="E841" s="3" t="str">
        <f>IFERROR(__xludf.DUMMYFUNCTION("""COMPUTED_VALUE"""),"13")</f>
        <v>13</v>
      </c>
      <c r="F841" s="3" t="str">
        <f>IFERROR(__xludf.DUMMYFUNCTION("""COMPUTED_VALUE"""),"นพอ.ชุติกาญจน์ ชูตินันท์")</f>
        <v>นพอ.ชุติกาญจน์ ชูตินันท์</v>
      </c>
      <c r="G841" s="3" t="str">
        <f>IFERROR(__xludf.DUMMYFUNCTION("""COMPUTED_VALUE"""),"ช่วยเหลืองานภายใน วพอ.")</f>
        <v>ช่วยเหลืองานภายใน วพอ.</v>
      </c>
      <c r="H84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1" s="3" t="str">
        <f>IFERROR(__xludf.DUMMYFUNCTION("""COMPUTED_VALUE"""),"วพอ.พอ.")</f>
        <v>วพอ.พอ.</v>
      </c>
      <c r="J841" s="12">
        <f>IFERROR(__xludf.DUMMYFUNCTION("""COMPUTED_VALUE"""),46133.0)</f>
        <v>46133</v>
      </c>
      <c r="K841" s="3" t="str">
        <f>IFERROR(__xludf.DUMMYFUNCTION("""COMPUTED_VALUE"""),"1700-2100")</f>
        <v>1700-2100</v>
      </c>
      <c r="L841" s="3">
        <f>IFERROR(__xludf.DUMMYFUNCTION("""COMPUTED_VALUE"""),4.0)</f>
        <v>4</v>
      </c>
      <c r="M841" s="3" t="str">
        <f>IFERROR(__xludf.DUMMYFUNCTION("""COMPUTED_VALUE"""),"ร.อ.อนุชิต ทำจะดี")</f>
        <v>ร.อ.อนุชิต ทำจะดี</v>
      </c>
      <c r="N841" s="14" t="str">
        <f>IFERROR(__xludf.DUMMYFUNCTION("""COMPUTED_VALUE"""),"https://lh5.googleusercontent.com/d/1TCX6p78hnJV-bl9ML8jnJJcaQvonyGM4")</f>
        <v>https://lh5.googleusercontent.com/d/1TCX6p78hnJV-bl9ML8jnJJcaQvonyGM4</v>
      </c>
      <c r="O841" s="14" t="str">
        <f>IFERROR(__xludf.DUMMYFUNCTION("""COMPUTED_VALUE"""),"https://drive.google.com/file/d/1ULNFCYEyEen0gobO_fFXjZBQFSFx2PoN/view?usp=drivesdk")</f>
        <v>https://drive.google.com/file/d/1ULNFCYEyEen0gobO_fFXjZBQFSFx2PoN/view?usp=drivesdk</v>
      </c>
    </row>
    <row r="842">
      <c r="A842" s="3">
        <f>IFERROR(__xludf.DUMMYFUNCTION("""COMPUTED_VALUE"""),3424.0)</f>
        <v>3424</v>
      </c>
      <c r="B842" s="11">
        <f>IFERROR(__xludf.DUMMYFUNCTION("""COMPUTED_VALUE"""),46181.98672414352)</f>
        <v>46181.98672</v>
      </c>
      <c r="C842" s="3" t="str">
        <f>IFERROR(__xludf.DUMMYFUNCTION("""COMPUTED_VALUE"""),"ชั้นปีที่ 3")</f>
        <v>ชั้นปีที่ 3</v>
      </c>
      <c r="D842" s="3" t="str">
        <f>IFERROR(__xludf.DUMMYFUNCTION("""COMPUTED_VALUE"""),"6603766")</f>
        <v>6603766</v>
      </c>
      <c r="E842" s="3" t="str">
        <f>IFERROR(__xludf.DUMMYFUNCTION("""COMPUTED_VALUE"""),"13")</f>
        <v>13</v>
      </c>
      <c r="F842" s="3" t="str">
        <f>IFERROR(__xludf.DUMMYFUNCTION("""COMPUTED_VALUE"""),"นพอ.ชุติกาญจน์ ชูตินันท์")</f>
        <v>นพอ.ชุติกาญจน์ ชูตินันท์</v>
      </c>
      <c r="G842" s="3" t="str">
        <f>IFERROR(__xludf.DUMMYFUNCTION("""COMPUTED_VALUE"""),"ช่วยเหลืองานภายใน วพอ.")</f>
        <v>ช่วยเหลืองานภายใน วพอ.</v>
      </c>
      <c r="H84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2" s="3" t="str">
        <f>IFERROR(__xludf.DUMMYFUNCTION("""COMPUTED_VALUE"""),"วพอ.พอ.")</f>
        <v>วพอ.พอ.</v>
      </c>
      <c r="J842" s="12">
        <f>IFERROR(__xludf.DUMMYFUNCTION("""COMPUTED_VALUE"""),46134.0)</f>
        <v>46134</v>
      </c>
      <c r="K842" s="3" t="str">
        <f>IFERROR(__xludf.DUMMYFUNCTION("""COMPUTED_VALUE"""),"1700-2100")</f>
        <v>1700-2100</v>
      </c>
      <c r="L842" s="3">
        <f>IFERROR(__xludf.DUMMYFUNCTION("""COMPUTED_VALUE"""),4.0)</f>
        <v>4</v>
      </c>
      <c r="M842" s="3" t="str">
        <f>IFERROR(__xludf.DUMMYFUNCTION("""COMPUTED_VALUE"""),"ร.อ.อนุชิต ทำจะดี")</f>
        <v>ร.อ.อนุชิต ทำจะดี</v>
      </c>
      <c r="N842" s="14" t="str">
        <f>IFERROR(__xludf.DUMMYFUNCTION("""COMPUTED_VALUE"""),"https://lh5.googleusercontent.com/d/1acpv1rMBlwQh2iDfPuHa8bQzIPaJoriR")</f>
        <v>https://lh5.googleusercontent.com/d/1acpv1rMBlwQh2iDfPuHa8bQzIPaJoriR</v>
      </c>
      <c r="O842" s="14" t="str">
        <f>IFERROR(__xludf.DUMMYFUNCTION("""COMPUTED_VALUE"""),"https://drive.google.com/file/d/1BVQiqBEE5gfYRhFzY3rzjdCW9XYZBZu9/view?usp=drivesdk")</f>
        <v>https://drive.google.com/file/d/1BVQiqBEE5gfYRhFzY3rzjdCW9XYZBZu9/view?usp=drivesdk</v>
      </c>
    </row>
    <row r="843">
      <c r="A843" s="3">
        <f>IFERROR(__xludf.DUMMYFUNCTION("""COMPUTED_VALUE"""),3425.0)</f>
        <v>3425</v>
      </c>
      <c r="B843" s="11">
        <f>IFERROR(__xludf.DUMMYFUNCTION("""COMPUTED_VALUE"""),46181.9881421412)</f>
        <v>46181.98814</v>
      </c>
      <c r="C843" s="3" t="str">
        <f>IFERROR(__xludf.DUMMYFUNCTION("""COMPUTED_VALUE"""),"ชั้นปีที่ 3")</f>
        <v>ชั้นปีที่ 3</v>
      </c>
      <c r="D843" s="3" t="str">
        <f>IFERROR(__xludf.DUMMYFUNCTION("""COMPUTED_VALUE"""),"6603766")</f>
        <v>6603766</v>
      </c>
      <c r="E843" s="3" t="str">
        <f>IFERROR(__xludf.DUMMYFUNCTION("""COMPUTED_VALUE"""),"13")</f>
        <v>13</v>
      </c>
      <c r="F843" s="3" t="str">
        <f>IFERROR(__xludf.DUMMYFUNCTION("""COMPUTED_VALUE"""),"นพอ.ชุติกาญจน์ ชูตินันท์")</f>
        <v>นพอ.ชุติกาญจน์ ชูตินันท์</v>
      </c>
      <c r="G843" s="3" t="str">
        <f>IFERROR(__xludf.DUMMYFUNCTION("""COMPUTED_VALUE"""),"ช่วยเหลืองานภายใน วพอ.")</f>
        <v>ช่วยเหลืองานภายใน วพอ.</v>
      </c>
      <c r="H84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3" s="3" t="str">
        <f>IFERROR(__xludf.DUMMYFUNCTION("""COMPUTED_VALUE"""),"วพอ.พอ.")</f>
        <v>วพอ.พอ.</v>
      </c>
      <c r="J843" s="12">
        <f>IFERROR(__xludf.DUMMYFUNCTION("""COMPUTED_VALUE"""),46135.0)</f>
        <v>46135</v>
      </c>
      <c r="K843" s="3" t="str">
        <f>IFERROR(__xludf.DUMMYFUNCTION("""COMPUTED_VALUE"""),"1700-2100")</f>
        <v>1700-2100</v>
      </c>
      <c r="L843" s="3">
        <f>IFERROR(__xludf.DUMMYFUNCTION("""COMPUTED_VALUE"""),4.0)</f>
        <v>4</v>
      </c>
      <c r="M843" s="3" t="str">
        <f>IFERROR(__xludf.DUMMYFUNCTION("""COMPUTED_VALUE"""),"ร.อ.อนุชิต ทำจะดี")</f>
        <v>ร.อ.อนุชิต ทำจะดี</v>
      </c>
      <c r="N843" s="14" t="str">
        <f>IFERROR(__xludf.DUMMYFUNCTION("""COMPUTED_VALUE"""),"https://lh5.googleusercontent.com/d/1wblBa9sqZXK34jKYlLKIJey6F3C2uewx")</f>
        <v>https://lh5.googleusercontent.com/d/1wblBa9sqZXK34jKYlLKIJey6F3C2uewx</v>
      </c>
      <c r="O843" s="14" t="str">
        <f>IFERROR(__xludf.DUMMYFUNCTION("""COMPUTED_VALUE"""),"https://drive.google.com/file/d/1WM3ryQc6KjXxkwpzkDqMKei4WFANrfzw/view?usp=drivesdk")</f>
        <v>https://drive.google.com/file/d/1WM3ryQc6KjXxkwpzkDqMKei4WFANrfzw/view?usp=drivesdk</v>
      </c>
    </row>
    <row r="844">
      <c r="A844" s="3">
        <f>IFERROR(__xludf.DUMMYFUNCTION("""COMPUTED_VALUE"""),3426.0)</f>
        <v>3426</v>
      </c>
      <c r="B844" s="11">
        <f>IFERROR(__xludf.DUMMYFUNCTION("""COMPUTED_VALUE"""),46181.99146893518)</f>
        <v>46181.99147</v>
      </c>
      <c r="C844" s="3" t="str">
        <f>IFERROR(__xludf.DUMMYFUNCTION("""COMPUTED_VALUE"""),"ชั้นปีที่ 3")</f>
        <v>ชั้นปีที่ 3</v>
      </c>
      <c r="D844" s="3" t="str">
        <f>IFERROR(__xludf.DUMMYFUNCTION("""COMPUTED_VALUE"""),"6603766")</f>
        <v>6603766</v>
      </c>
      <c r="E844" s="3" t="str">
        <f>IFERROR(__xludf.DUMMYFUNCTION("""COMPUTED_VALUE"""),"13")</f>
        <v>13</v>
      </c>
      <c r="F844" s="3" t="str">
        <f>IFERROR(__xludf.DUMMYFUNCTION("""COMPUTED_VALUE"""),"นพอ.ชุติกาญจน์ ชูตินันท์")</f>
        <v>นพอ.ชุติกาญจน์ ชูตินันท์</v>
      </c>
      <c r="G844" s="3" t="str">
        <f>IFERROR(__xludf.DUMMYFUNCTION("""COMPUTED_VALUE"""),"ช่วยเหลืองานภายใน วพอ.")</f>
        <v>ช่วยเหลืองานภายใน วพอ.</v>
      </c>
      <c r="H84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4" s="3" t="str">
        <f>IFERROR(__xludf.DUMMYFUNCTION("""COMPUTED_VALUE"""),"วพอ.พอ.")</f>
        <v>วพอ.พอ.</v>
      </c>
      <c r="J844" s="12">
        <f>IFERROR(__xludf.DUMMYFUNCTION("""COMPUTED_VALUE"""),46138.0)</f>
        <v>46138</v>
      </c>
      <c r="K844" s="3" t="str">
        <f>IFERROR(__xludf.DUMMYFUNCTION("""COMPUTED_VALUE"""),"1500-2100")</f>
        <v>1500-2100</v>
      </c>
      <c r="L844" s="3">
        <f>IFERROR(__xludf.DUMMYFUNCTION("""COMPUTED_VALUE"""),6.0)</f>
        <v>6</v>
      </c>
      <c r="M844" s="3" t="str">
        <f>IFERROR(__xludf.DUMMYFUNCTION("""COMPUTED_VALUE"""),"ร.อ.อนุชิต ทำจะดี")</f>
        <v>ร.อ.อนุชิต ทำจะดี</v>
      </c>
      <c r="N844" s="14" t="str">
        <f>IFERROR(__xludf.DUMMYFUNCTION("""COMPUTED_VALUE"""),"https://lh5.googleusercontent.com/d/1EwM7x2_fHXrVSoeqv5-Qargn2ISkUUPU")</f>
        <v>https://lh5.googleusercontent.com/d/1EwM7x2_fHXrVSoeqv5-Qargn2ISkUUPU</v>
      </c>
      <c r="O844" s="14" t="str">
        <f>IFERROR(__xludf.DUMMYFUNCTION("""COMPUTED_VALUE"""),"https://drive.google.com/file/d/10Ftv0ts-zxCGd21_sX3wiBn7pGeieILK/view?usp=drivesdk")</f>
        <v>https://drive.google.com/file/d/10Ftv0ts-zxCGd21_sX3wiBn7pGeieILK/view?usp=drivesdk</v>
      </c>
    </row>
    <row r="845">
      <c r="A845" s="3">
        <f>IFERROR(__xludf.DUMMYFUNCTION("""COMPUTED_VALUE"""),3427.0)</f>
        <v>3427</v>
      </c>
      <c r="B845" s="11">
        <f>IFERROR(__xludf.DUMMYFUNCTION("""COMPUTED_VALUE"""),46181.993189594905)</f>
        <v>46181.99319</v>
      </c>
      <c r="C845" s="3" t="str">
        <f>IFERROR(__xludf.DUMMYFUNCTION("""COMPUTED_VALUE"""),"ชั้นปีที่ 3")</f>
        <v>ชั้นปีที่ 3</v>
      </c>
      <c r="D845" s="3" t="str">
        <f>IFERROR(__xludf.DUMMYFUNCTION("""COMPUTED_VALUE"""),"6603766")</f>
        <v>6603766</v>
      </c>
      <c r="E845" s="3" t="str">
        <f>IFERROR(__xludf.DUMMYFUNCTION("""COMPUTED_VALUE"""),"13")</f>
        <v>13</v>
      </c>
      <c r="F845" s="3" t="str">
        <f>IFERROR(__xludf.DUMMYFUNCTION("""COMPUTED_VALUE"""),"นพอ.ชุติกาญจน์ ชูตินันท์")</f>
        <v>นพอ.ชุติกาญจน์ ชูตินันท์</v>
      </c>
      <c r="G845" s="3" t="str">
        <f>IFERROR(__xludf.DUMMYFUNCTION("""COMPUTED_VALUE"""),"ช่วยเหลืองานภายใน วพอ.")</f>
        <v>ช่วยเหลืองานภายใน วพอ.</v>
      </c>
      <c r="H84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5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845" s="12">
        <f>IFERROR(__xludf.DUMMYFUNCTION("""COMPUTED_VALUE"""),46139.0)</f>
        <v>46139</v>
      </c>
      <c r="K845" s="3" t="str">
        <f>IFERROR(__xludf.DUMMYFUNCTION("""COMPUTED_VALUE"""),"1700-2100")</f>
        <v>1700-2100</v>
      </c>
      <c r="L845" s="3">
        <f>IFERROR(__xludf.DUMMYFUNCTION("""COMPUTED_VALUE"""),4.0)</f>
        <v>4</v>
      </c>
      <c r="M845" s="3" t="str">
        <f>IFERROR(__xludf.DUMMYFUNCTION("""COMPUTED_VALUE"""),"ร.อ.อนุชิต ทำจะดี")</f>
        <v>ร.อ.อนุชิต ทำจะดี</v>
      </c>
      <c r="N845" s="14" t="str">
        <f>IFERROR(__xludf.DUMMYFUNCTION("""COMPUTED_VALUE"""),"https://lh5.googleusercontent.com/d/1jiNF3kYW91uw9gkVkoPyvqPv5mFl8WiB")</f>
        <v>https://lh5.googleusercontent.com/d/1jiNF3kYW91uw9gkVkoPyvqPv5mFl8WiB</v>
      </c>
      <c r="O845" s="14" t="str">
        <f>IFERROR(__xludf.DUMMYFUNCTION("""COMPUTED_VALUE"""),"https://drive.google.com/file/d/1jUL48enp3yW4jE-PGkVulGzRKx7B-RQe/view?usp=drivesdk")</f>
        <v>https://drive.google.com/file/d/1jUL48enp3yW4jE-PGkVulGzRKx7B-RQe/view?usp=drivesdk</v>
      </c>
    </row>
    <row r="846">
      <c r="A846" s="3">
        <f>IFERROR(__xludf.DUMMYFUNCTION("""COMPUTED_VALUE"""),3428.0)</f>
        <v>3428</v>
      </c>
      <c r="B846" s="11">
        <f>IFERROR(__xludf.DUMMYFUNCTION("""COMPUTED_VALUE"""),46181.996813067126)</f>
        <v>46181.99681</v>
      </c>
      <c r="C846" s="3" t="str">
        <f>IFERROR(__xludf.DUMMYFUNCTION("""COMPUTED_VALUE"""),"ชั้นปีที่ 3")</f>
        <v>ชั้นปีที่ 3</v>
      </c>
      <c r="D846" s="3" t="str">
        <f>IFERROR(__xludf.DUMMYFUNCTION("""COMPUTED_VALUE"""),"6603766")</f>
        <v>6603766</v>
      </c>
      <c r="E846" s="3" t="str">
        <f>IFERROR(__xludf.DUMMYFUNCTION("""COMPUTED_VALUE"""),"13")</f>
        <v>13</v>
      </c>
      <c r="F846" s="3" t="str">
        <f>IFERROR(__xludf.DUMMYFUNCTION("""COMPUTED_VALUE"""),"นพอ.ชุติกาญจน์ ชูตินันท์")</f>
        <v>นพอ.ชุติกาญจน์ ชูตินันท์</v>
      </c>
      <c r="G846" s="3" t="str">
        <f>IFERROR(__xludf.DUMMYFUNCTION("""COMPUTED_VALUE"""),"ช่วยเหลืองานภายใน วพอ.")</f>
        <v>ช่วยเหลืองานภายใน วพอ.</v>
      </c>
      <c r="H846" s="3" t="str">
        <f>IFERROR(__xludf.DUMMYFUNCTION("""COMPUTED_VALUE"""),"จัดโต๊ะสอบวิภาววิสัยและจิตวิทยา ปีการศึกษา 2569")</f>
        <v>จัดโต๊ะสอบวิภาววิสัยและจิตวิทยา ปีการศึกษา 2569</v>
      </c>
      <c r="I846" s="3" t="str">
        <f>IFERROR(__xludf.DUMMYFUNCTION("""COMPUTED_VALUE"""),"ห้องประชุมชั้น 4 อาคารสำนักงาน")</f>
        <v>ห้องประชุมชั้น 4 อาคารสำนักงาน</v>
      </c>
      <c r="J846" s="12">
        <f>IFERROR(__xludf.DUMMYFUNCTION("""COMPUTED_VALUE"""),46143.0)</f>
        <v>46143</v>
      </c>
      <c r="K846" s="3" t="str">
        <f>IFERROR(__xludf.DUMMYFUNCTION("""COMPUTED_VALUE"""),"0800-1200")</f>
        <v>0800-1200</v>
      </c>
      <c r="L846" s="3">
        <f>IFERROR(__xludf.DUMMYFUNCTION("""COMPUTED_VALUE"""),4.0)</f>
        <v>4</v>
      </c>
      <c r="M846" s="3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846" s="14" t="str">
        <f>IFERROR(__xludf.DUMMYFUNCTION("""COMPUTED_VALUE"""),"https://lh5.googleusercontent.com/d/1kpDamePgsch9rb1y6mvNxyuuP2pLJdSh")</f>
        <v>https://lh5.googleusercontent.com/d/1kpDamePgsch9rb1y6mvNxyuuP2pLJdSh</v>
      </c>
      <c r="O846" s="14" t="str">
        <f>IFERROR(__xludf.DUMMYFUNCTION("""COMPUTED_VALUE"""),"https://drive.google.com/file/d/1i6pFF6hcHJ47sTRMprAJ8N5bAd6WmmuK/view?usp=drivesdk")</f>
        <v>https://drive.google.com/file/d/1i6pFF6hcHJ47sTRMprAJ8N5bAd6WmmuK/view?usp=drivesdk</v>
      </c>
    </row>
    <row r="847">
      <c r="A847" s="3">
        <f>IFERROR(__xludf.DUMMYFUNCTION("""COMPUTED_VALUE"""),3429.0)</f>
        <v>3429</v>
      </c>
      <c r="B847" s="11">
        <f>IFERROR(__xludf.DUMMYFUNCTION("""COMPUTED_VALUE"""),46181.99781799769)</f>
        <v>46181.99782</v>
      </c>
      <c r="C847" s="3" t="str">
        <f>IFERROR(__xludf.DUMMYFUNCTION("""COMPUTED_VALUE"""),"ชั้นปีที่ 3")</f>
        <v>ชั้นปีที่ 3</v>
      </c>
      <c r="D847" s="3" t="str">
        <f>IFERROR(__xludf.DUMMYFUNCTION("""COMPUTED_VALUE"""),"6603772")</f>
        <v>6603772</v>
      </c>
      <c r="E847" s="3" t="str">
        <f>IFERROR(__xludf.DUMMYFUNCTION("""COMPUTED_VALUE"""),"19")</f>
        <v>19</v>
      </c>
      <c r="F847" s="3" t="str">
        <f>IFERROR(__xludf.DUMMYFUNCTION("""COMPUTED_VALUE"""),"นพอ.ทักษพร สอนดี")</f>
        <v>นพอ.ทักษพร สอนดี</v>
      </c>
      <c r="G847" s="3" t="str">
        <f>IFERROR(__xludf.DUMMYFUNCTION("""COMPUTED_VALUE"""),"ช่วยเหลืองานภายใน วพอ.")</f>
        <v>ช่วยเหลืองานภายใน วพอ.</v>
      </c>
      <c r="H847" s="3" t="str">
        <f>IFERROR(__xludf.DUMMYFUNCTION("""COMPUTED_VALUE"""),"จัดโต๊ะสอบนพอ.รุ่น 69")</f>
        <v>จัดโต๊ะสอบนพอ.รุ่น 69</v>
      </c>
      <c r="I847" s="3" t="str">
        <f>IFERROR(__xludf.DUMMYFUNCTION("""COMPUTED_VALUE"""),"วพอ.พอ")</f>
        <v>วพอ.พอ</v>
      </c>
      <c r="J847" s="12">
        <f>IFERROR(__xludf.DUMMYFUNCTION("""COMPUTED_VALUE"""),46147.0)</f>
        <v>46147</v>
      </c>
      <c r="K847" s="3" t="str">
        <f>IFERROR(__xludf.DUMMYFUNCTION("""COMPUTED_VALUE"""),"0800-1200")</f>
        <v>0800-1200</v>
      </c>
      <c r="L847" s="3">
        <f>IFERROR(__xludf.DUMMYFUNCTION("""COMPUTED_VALUE"""),4.0)</f>
        <v>4</v>
      </c>
      <c r="M847" s="3" t="str">
        <f>IFERROR(__xludf.DUMMYFUNCTION("""COMPUTED_VALUE"""),"น.ท.หญิง ธนารัตน์ สุริยะพึ่งพระ")</f>
        <v>น.ท.หญิง ธนารัตน์ สุริยะพึ่งพระ</v>
      </c>
      <c r="N847" s="14" t="str">
        <f>IFERROR(__xludf.DUMMYFUNCTION("""COMPUTED_VALUE"""),"https://lh5.googleusercontent.com/d/1lFLekmVMitfarDRwu9Oz_u5MPxzR7ZpY")</f>
        <v>https://lh5.googleusercontent.com/d/1lFLekmVMitfarDRwu9Oz_u5MPxzR7ZpY</v>
      </c>
      <c r="O847" s="14" t="str">
        <f>IFERROR(__xludf.DUMMYFUNCTION("""COMPUTED_VALUE"""),"https://drive.google.com/file/d/1kAaqOtJq3Tl9daKabZKp5SOlpRYd93ko/view?usp=drivesdk")</f>
        <v>https://drive.google.com/file/d/1kAaqOtJq3Tl9daKabZKp5SOlpRYd93ko/view?usp=drivesdk</v>
      </c>
    </row>
    <row r="848">
      <c r="A848" s="3">
        <f>IFERROR(__xludf.DUMMYFUNCTION("""COMPUTED_VALUE"""),3430.0)</f>
        <v>3430</v>
      </c>
      <c r="B848" s="11">
        <f>IFERROR(__xludf.DUMMYFUNCTION("""COMPUTED_VALUE"""),46182.0020859838)</f>
        <v>46182.00209</v>
      </c>
      <c r="C848" s="3" t="str">
        <f>IFERROR(__xludf.DUMMYFUNCTION("""COMPUTED_VALUE"""),"ชั้นปีที่ 3")</f>
        <v>ชั้นปีที่ 3</v>
      </c>
      <c r="D848" s="3" t="str">
        <f>IFERROR(__xludf.DUMMYFUNCTION("""COMPUTED_VALUE"""),"6603766")</f>
        <v>6603766</v>
      </c>
      <c r="E848" s="3" t="str">
        <f>IFERROR(__xludf.DUMMYFUNCTION("""COMPUTED_VALUE"""),"13")</f>
        <v>13</v>
      </c>
      <c r="F848" s="3" t="str">
        <f>IFERROR(__xludf.DUMMYFUNCTION("""COMPUTED_VALUE"""),"นพอ.ชุติกาญจน์ ชูตินันท์")</f>
        <v>นพอ.ชุติกาญจน์ ชูตินันท์</v>
      </c>
      <c r="G848" s="3" t="str">
        <f>IFERROR(__xludf.DUMMYFUNCTION("""COMPUTED_VALUE"""),"ช่วยเหลืองานภายใน วพอ.")</f>
        <v>ช่วยเหลืองานภายใน วพอ.</v>
      </c>
      <c r="H848" s="3" t="str">
        <f>IFERROR(__xludf.DUMMYFUNCTION("""COMPUTED_VALUE"""),"ช่วยจัดงานทดสอบวิภาววิสัยและจิตวิทยา ปีการศึกษา 2569")</f>
        <v>ช่วยจัดงานทดสอบวิภาววิสัยและจิตวิทยา ปีการศึกษา 2569</v>
      </c>
      <c r="I848" s="3" t="str">
        <f>IFERROR(__xludf.DUMMYFUNCTION("""COMPUTED_VALUE"""),"วพอ.พอ")</f>
        <v>วพอ.พอ</v>
      </c>
      <c r="J848" s="12">
        <f>IFERROR(__xludf.DUMMYFUNCTION("""COMPUTED_VALUE"""),46147.0)</f>
        <v>46147</v>
      </c>
      <c r="K848" s="3" t="str">
        <f>IFERROR(__xludf.DUMMYFUNCTION("""COMPUTED_VALUE"""),"0800-1600")</f>
        <v>0800-1600</v>
      </c>
      <c r="L848" s="3">
        <f>IFERROR(__xludf.DUMMYFUNCTION("""COMPUTED_VALUE"""),8.0)</f>
        <v>8</v>
      </c>
      <c r="M848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848" s="14" t="str">
        <f>IFERROR(__xludf.DUMMYFUNCTION("""COMPUTED_VALUE"""),"https://lh5.googleusercontent.com/d/1vrIN9ZXgOL-isTeug2mTlgbp3irKk1yq")</f>
        <v>https://lh5.googleusercontent.com/d/1vrIN9ZXgOL-isTeug2mTlgbp3irKk1yq</v>
      </c>
      <c r="O848" s="14" t="str">
        <f>IFERROR(__xludf.DUMMYFUNCTION("""COMPUTED_VALUE"""),"https://drive.google.com/file/d/1tBnkGHes0sCHkzQSPhnPhN6ESbTamzUV/view?usp=drivesdk")</f>
        <v>https://drive.google.com/file/d/1tBnkGHes0sCHkzQSPhnPhN6ESbTamzUV/view?usp=drivesdk</v>
      </c>
    </row>
    <row r="849">
      <c r="A849" s="3">
        <f>IFERROR(__xludf.DUMMYFUNCTION("""COMPUTED_VALUE"""),3431.0)</f>
        <v>3431</v>
      </c>
      <c r="B849" s="11">
        <f>IFERROR(__xludf.DUMMYFUNCTION("""COMPUTED_VALUE"""),46182.00266866898)</f>
        <v>46182.00267</v>
      </c>
      <c r="C849" s="3" t="str">
        <f>IFERROR(__xludf.DUMMYFUNCTION("""COMPUTED_VALUE"""),"ชั้นปีที่ 3")</f>
        <v>ชั้นปีที่ 3</v>
      </c>
      <c r="D849" s="3" t="str">
        <f>IFERROR(__xludf.DUMMYFUNCTION("""COMPUTED_VALUE"""),"6603772")</f>
        <v>6603772</v>
      </c>
      <c r="E849" s="3" t="str">
        <f>IFERROR(__xludf.DUMMYFUNCTION("""COMPUTED_VALUE"""),"19")</f>
        <v>19</v>
      </c>
      <c r="F849" s="3" t="str">
        <f>IFERROR(__xludf.DUMMYFUNCTION("""COMPUTED_VALUE"""),"นพอ.ทักษพร สอนดี")</f>
        <v>นพอ.ทักษพร สอนดี</v>
      </c>
      <c r="G8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9" s="3" t="str">
        <f>IFERROR(__xludf.DUMMYFUNCTION("""COMPUTED_VALUE"""),"ดูแลการสอบนพอ.ปี 69")</f>
        <v>ดูแลการสอบนพอ.ปี 69</v>
      </c>
      <c r="I849" s="3" t="str">
        <f>IFERROR(__xludf.DUMMYFUNCTION("""COMPUTED_VALUE"""),"วพอ.พอ.")</f>
        <v>วพอ.พอ.</v>
      </c>
      <c r="J849" s="12">
        <f>IFERROR(__xludf.DUMMYFUNCTION("""COMPUTED_VALUE"""),46147.0)</f>
        <v>46147</v>
      </c>
      <c r="K849" s="3" t="str">
        <f>IFERROR(__xludf.DUMMYFUNCTION("""COMPUTED_VALUE"""),"0700-1500")</f>
        <v>0700-1500</v>
      </c>
      <c r="L849" s="3">
        <f>IFERROR(__xludf.DUMMYFUNCTION("""COMPUTED_VALUE"""),8.0)</f>
        <v>8</v>
      </c>
      <c r="M849" s="3" t="str">
        <f>IFERROR(__xludf.DUMMYFUNCTION("""COMPUTED_VALUE"""),"น.ท.หญิงลักษ์ขณา พานิชสรรค์")</f>
        <v>น.ท.หญิงลักษ์ขณา พานิชสรรค์</v>
      </c>
      <c r="N849" s="14" t="str">
        <f>IFERROR(__xludf.DUMMYFUNCTION("""COMPUTED_VALUE"""),"https://lh5.googleusercontent.com/d/1l9te9nhDUyaa2Qx3QyGeOpVZP6pETkUl")</f>
        <v>https://lh5.googleusercontent.com/d/1l9te9nhDUyaa2Qx3QyGeOpVZP6pETkUl</v>
      </c>
      <c r="O849" s="14" t="str">
        <f>IFERROR(__xludf.DUMMYFUNCTION("""COMPUTED_VALUE"""),"https://drive.google.com/file/d/1hphdNs--YPb-5u9TUvj7Vz9MtVgFqmhX/view?usp=drivesdk")</f>
        <v>https://drive.google.com/file/d/1hphdNs--YPb-5u9TUvj7Vz9MtVgFqmhX/view?usp=drivesdk</v>
      </c>
    </row>
    <row r="850">
      <c r="A850" s="3">
        <f>IFERROR(__xludf.DUMMYFUNCTION("""COMPUTED_VALUE"""),3432.0)</f>
        <v>3432</v>
      </c>
      <c r="B850" s="11">
        <f>IFERROR(__xludf.DUMMYFUNCTION("""COMPUTED_VALUE"""),46182.004718819444)</f>
        <v>46182.00472</v>
      </c>
      <c r="C850" s="3" t="str">
        <f>IFERROR(__xludf.DUMMYFUNCTION("""COMPUTED_VALUE"""),"ชั้นปีที่ 3")</f>
        <v>ชั้นปีที่ 3</v>
      </c>
      <c r="D850" s="3" t="str">
        <f>IFERROR(__xludf.DUMMYFUNCTION("""COMPUTED_VALUE"""),"6603766")</f>
        <v>6603766</v>
      </c>
      <c r="E850" s="3" t="str">
        <f>IFERROR(__xludf.DUMMYFUNCTION("""COMPUTED_VALUE"""),"13")</f>
        <v>13</v>
      </c>
      <c r="F850" s="3" t="str">
        <f>IFERROR(__xludf.DUMMYFUNCTION("""COMPUTED_VALUE"""),"นพอ.ชุติกาญจน์ ชูตินันท์")</f>
        <v>นพอ.ชุติกาญจน์ ชูตินันท์</v>
      </c>
      <c r="G850" s="3" t="str">
        <f>IFERROR(__xludf.DUMMYFUNCTION("""COMPUTED_VALUE"""),"ช่วยเหลืองานภายใน วพอ.")</f>
        <v>ช่วยเหลืองานภายใน วพอ.</v>
      </c>
      <c r="H850" s="3" t="str">
        <f>IFERROR(__xludf.DUMMYFUNCTION("""COMPUTED_VALUE"""),"ซ้อมเต้นเพลงฉันมีความสุข")</f>
        <v>ซ้อมเต้นเพลงฉันมีความสุข</v>
      </c>
      <c r="I850" s="3" t="str">
        <f>IFERROR(__xludf.DUMMYFUNCTION("""COMPUTED_VALUE"""),"วพอ.พอ.")</f>
        <v>วพอ.พอ.</v>
      </c>
      <c r="J850" s="12">
        <f>IFERROR(__xludf.DUMMYFUNCTION("""COMPUTED_VALUE"""),46169.0)</f>
        <v>46169</v>
      </c>
      <c r="K850" s="3" t="str">
        <f>IFERROR(__xludf.DUMMYFUNCTION("""COMPUTED_VALUE"""),"1600-1800")</f>
        <v>1600-1800</v>
      </c>
      <c r="L850" s="3">
        <f>IFERROR(__xludf.DUMMYFUNCTION("""COMPUTED_VALUE"""),2.0)</f>
        <v>2</v>
      </c>
      <c r="M850" s="3" t="str">
        <f>IFERROR(__xludf.DUMMYFUNCTION("""COMPUTED_VALUE"""),"ร.อ.หญิง เบญญาดา บุรีรัตน์")</f>
        <v>ร.อ.หญิง เบญญาดา บุรีรัตน์</v>
      </c>
      <c r="N850" s="14" t="str">
        <f>IFERROR(__xludf.DUMMYFUNCTION("""COMPUTED_VALUE"""),"https://lh5.googleusercontent.com/d/1ubVjrFpEUgzikRZzdVOAFA4C0qprKmvk")</f>
        <v>https://lh5.googleusercontent.com/d/1ubVjrFpEUgzikRZzdVOAFA4C0qprKmvk</v>
      </c>
      <c r="O850" s="14" t="str">
        <f>IFERROR(__xludf.DUMMYFUNCTION("""COMPUTED_VALUE"""),"https://drive.google.com/file/d/1wTw2M2OcVPbhIhbifhEfDHHfo6oaamRc/view?usp=drivesdk")</f>
        <v>https://drive.google.com/file/d/1wTw2M2OcVPbhIhbifhEfDHHfo6oaamRc/view?usp=drivesdk</v>
      </c>
    </row>
    <row r="851">
      <c r="A851" s="3">
        <f>IFERROR(__xludf.DUMMYFUNCTION("""COMPUTED_VALUE"""),3433.0)</f>
        <v>3433</v>
      </c>
      <c r="B851" s="11">
        <f>IFERROR(__xludf.DUMMYFUNCTION("""COMPUTED_VALUE"""),46182.00617112269)</f>
        <v>46182.00617</v>
      </c>
      <c r="C851" s="3" t="str">
        <f>IFERROR(__xludf.DUMMYFUNCTION("""COMPUTED_VALUE"""),"ชั้นปีที่ 3")</f>
        <v>ชั้นปีที่ 3</v>
      </c>
      <c r="D851" s="3" t="str">
        <f>IFERROR(__xludf.DUMMYFUNCTION("""COMPUTED_VALUE"""),"6603766")</f>
        <v>6603766</v>
      </c>
      <c r="E851" s="3" t="str">
        <f>IFERROR(__xludf.DUMMYFUNCTION("""COMPUTED_VALUE"""),"13")</f>
        <v>13</v>
      </c>
      <c r="F851" s="3" t="str">
        <f>IFERROR(__xludf.DUMMYFUNCTION("""COMPUTED_VALUE"""),"นพอ.ชุติกาญจน์ ชูตินันท์")</f>
        <v>นพอ.ชุติกาญจน์ ชูตินันท์</v>
      </c>
      <c r="G851" s="3" t="str">
        <f>IFERROR(__xludf.DUMMYFUNCTION("""COMPUTED_VALUE"""),"ช่วยเหลืองานภายใน วพอ.")</f>
        <v>ช่วยเหลืองานภายใน วพอ.</v>
      </c>
      <c r="H851" s="3" t="str">
        <f>IFERROR(__xludf.DUMMYFUNCTION("""COMPUTED_VALUE"""),"ซ้อมเต้นเพลงฉันมีความสุข")</f>
        <v>ซ้อมเต้นเพลงฉันมีความสุข</v>
      </c>
      <c r="I851" s="3" t="str">
        <f>IFERROR(__xludf.DUMMYFUNCTION("""COMPUTED_VALUE"""),"วพอ.พอ.")</f>
        <v>วพอ.พอ.</v>
      </c>
      <c r="J851" s="12">
        <f>IFERROR(__xludf.DUMMYFUNCTION("""COMPUTED_VALUE"""),46176.0)</f>
        <v>46176</v>
      </c>
      <c r="K851" s="3" t="str">
        <f>IFERROR(__xludf.DUMMYFUNCTION("""COMPUTED_VALUE"""),"1600-1700")</f>
        <v>1600-1700</v>
      </c>
      <c r="L851" s="3">
        <f>IFERROR(__xludf.DUMMYFUNCTION("""COMPUTED_VALUE"""),2.0)</f>
        <v>2</v>
      </c>
      <c r="M851" s="3" t="str">
        <f>IFERROR(__xludf.DUMMYFUNCTION("""COMPUTED_VALUE"""),"ร.อ.หญิง เบญญาดา บุรีรัตน์")</f>
        <v>ร.อ.หญิง เบญญาดา บุรีรัตน์</v>
      </c>
      <c r="N851" s="14" t="str">
        <f>IFERROR(__xludf.DUMMYFUNCTION("""COMPUTED_VALUE"""),"https://lh5.googleusercontent.com/d/1VsHwdb4GH73S9qqIQ_KDEC_rNsNxFQOH")</f>
        <v>https://lh5.googleusercontent.com/d/1VsHwdb4GH73S9qqIQ_KDEC_rNsNxFQOH</v>
      </c>
      <c r="O851" s="14" t="str">
        <f>IFERROR(__xludf.DUMMYFUNCTION("""COMPUTED_VALUE"""),"https://drive.google.com/file/d/1ryRVdTed29sPOoLXMlOj3Bw13GcNneKS/view?usp=drivesdk")</f>
        <v>https://drive.google.com/file/d/1ryRVdTed29sPOoLXMlOj3Bw13GcNneKS/view?usp=drivesdk</v>
      </c>
    </row>
    <row r="852">
      <c r="A852" s="3">
        <f>IFERROR(__xludf.DUMMYFUNCTION("""COMPUTED_VALUE"""),3434.0)</f>
        <v>3434</v>
      </c>
      <c r="B852" s="11">
        <f>IFERROR(__xludf.DUMMYFUNCTION("""COMPUTED_VALUE"""),46182.007372129636)</f>
        <v>46182.00737</v>
      </c>
      <c r="C852" s="3" t="str">
        <f>IFERROR(__xludf.DUMMYFUNCTION("""COMPUTED_VALUE"""),"ชั้นปีที่ 3")</f>
        <v>ชั้นปีที่ 3</v>
      </c>
      <c r="D852" s="3" t="str">
        <f>IFERROR(__xludf.DUMMYFUNCTION("""COMPUTED_VALUE"""),"6603772")</f>
        <v>6603772</v>
      </c>
      <c r="E852" s="3" t="str">
        <f>IFERROR(__xludf.DUMMYFUNCTION("""COMPUTED_VALUE"""),"19")</f>
        <v>19</v>
      </c>
      <c r="F852" s="3" t="str">
        <f>IFERROR(__xludf.DUMMYFUNCTION("""COMPUTED_VALUE"""),"นพอ.ทักษพร สอนดี")</f>
        <v>นพอ.ทักษพร สอนดี</v>
      </c>
      <c r="G8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2" s="3" t="str">
        <f>IFERROR(__xludf.DUMMYFUNCTION("""COMPUTED_VALUE"""),"งานสงกรานต์ เบิกบานจิต")</f>
        <v>งานสงกรานต์ เบิกบานจิต</v>
      </c>
      <c r="I852" s="3" t="str">
        <f>IFERROR(__xludf.DUMMYFUNCTION("""COMPUTED_VALUE"""),"โรงพยาบาลศรีธัญญา")</f>
        <v>โรงพยาบาลศรีธัญญา</v>
      </c>
      <c r="J852" s="12">
        <f>IFERROR(__xludf.DUMMYFUNCTION("""COMPUTED_VALUE"""),46121.0)</f>
        <v>46121</v>
      </c>
      <c r="K852" s="3" t="str">
        <f>IFERROR(__xludf.DUMMYFUNCTION("""COMPUTED_VALUE"""),"0700-1500")</f>
        <v>0700-1500</v>
      </c>
      <c r="L852" s="3">
        <f>IFERROR(__xludf.DUMMYFUNCTION("""COMPUTED_VALUE"""),8.0)</f>
        <v>8</v>
      </c>
      <c r="M852" s="3" t="str">
        <f>IFERROR(__xludf.DUMMYFUNCTION("""COMPUTED_VALUE"""),"น.ท.หญิงลักษ์ขณา พานิชสรรค์")</f>
        <v>น.ท.หญิงลักษ์ขณา พานิชสรรค์</v>
      </c>
      <c r="N852" s="14" t="str">
        <f>IFERROR(__xludf.DUMMYFUNCTION("""COMPUTED_VALUE"""),"https://lh5.googleusercontent.com/d/1hgO5YQJi-S--tBHvKzBDpU3jTmz0eNSp")</f>
        <v>https://lh5.googleusercontent.com/d/1hgO5YQJi-S--tBHvKzBDpU3jTmz0eNSp</v>
      </c>
      <c r="O852" s="14" t="str">
        <f>IFERROR(__xludf.DUMMYFUNCTION("""COMPUTED_VALUE"""),"https://drive.google.com/file/d/1if6XP-w4G0-9EJK4sNWeIAvfuqUQAWz8/view?usp=drivesdk")</f>
        <v>https://drive.google.com/file/d/1if6XP-w4G0-9EJK4sNWeIAvfuqUQAWz8/view?usp=drivesdk</v>
      </c>
    </row>
    <row r="853">
      <c r="A853" s="3">
        <f>IFERROR(__xludf.DUMMYFUNCTION("""COMPUTED_VALUE"""),3435.0)</f>
        <v>3435</v>
      </c>
      <c r="B853" s="11">
        <f>IFERROR(__xludf.DUMMYFUNCTION("""COMPUTED_VALUE"""),46182.008016249994)</f>
        <v>46182.00802</v>
      </c>
      <c r="C853" s="3" t="str">
        <f>IFERROR(__xludf.DUMMYFUNCTION("""COMPUTED_VALUE"""),"ชั้นปีที่ 3")</f>
        <v>ชั้นปีที่ 3</v>
      </c>
      <c r="D853" s="3" t="str">
        <f>IFERROR(__xludf.DUMMYFUNCTION("""COMPUTED_VALUE"""),"6603766")</f>
        <v>6603766</v>
      </c>
      <c r="E853" s="3" t="str">
        <f>IFERROR(__xludf.DUMMYFUNCTION("""COMPUTED_VALUE"""),"13")</f>
        <v>13</v>
      </c>
      <c r="F853" s="3" t="str">
        <f>IFERROR(__xludf.DUMMYFUNCTION("""COMPUTED_VALUE"""),"นพอ.ชุติกาญจน์ ชูตินันท์")</f>
        <v>นพอ.ชุติกาญจน์ ชูตินันท์</v>
      </c>
      <c r="G853" s="3" t="str">
        <f>IFERROR(__xludf.DUMMYFUNCTION("""COMPUTED_VALUE"""),"ช่วยเหลืองานภายใน วพอ.")</f>
        <v>ช่วยเหลืองานภายใน วพอ.</v>
      </c>
      <c r="H853" s="3" t="str">
        <f>IFERROR(__xludf.DUMMYFUNCTION("""COMPUTED_VALUE"""),"ซ้อมเต้นเพลงฉันมีความสุข")</f>
        <v>ซ้อมเต้นเพลงฉันมีความสุข</v>
      </c>
      <c r="I853" s="3" t="str">
        <f>IFERROR(__xludf.DUMMYFUNCTION("""COMPUTED_VALUE"""),"วพอ.พอ.")</f>
        <v>วพอ.พอ.</v>
      </c>
      <c r="J853" s="12">
        <f>IFERROR(__xludf.DUMMYFUNCTION("""COMPUTED_VALUE"""),46177.0)</f>
        <v>46177</v>
      </c>
      <c r="K853" s="3" t="str">
        <f>IFERROR(__xludf.DUMMYFUNCTION("""COMPUTED_VALUE"""),"1600-1800")</f>
        <v>1600-1800</v>
      </c>
      <c r="L853" s="3">
        <f>IFERROR(__xludf.DUMMYFUNCTION("""COMPUTED_VALUE"""),2.0)</f>
        <v>2</v>
      </c>
      <c r="M853" s="3" t="str">
        <f>IFERROR(__xludf.DUMMYFUNCTION("""COMPUTED_VALUE"""),"ร.อ.หญิง เบญญาดา บุรีรัตน์")</f>
        <v>ร.อ.หญิง เบญญาดา บุรีรัตน์</v>
      </c>
      <c r="N853" s="14" t="str">
        <f>IFERROR(__xludf.DUMMYFUNCTION("""COMPUTED_VALUE"""),"https://lh5.googleusercontent.com/d/1BzBBFadqCL57He2xWzBWc7ZfKor-RhXE")</f>
        <v>https://lh5.googleusercontent.com/d/1BzBBFadqCL57He2xWzBWc7ZfKor-RhXE</v>
      </c>
      <c r="O853" s="14" t="str">
        <f>IFERROR(__xludf.DUMMYFUNCTION("""COMPUTED_VALUE"""),"https://drive.google.com/file/d/1Iuqb-OFXFpnbfjKwdvtPowgxmMdWHPEp/view?usp=drivesdk")</f>
        <v>https://drive.google.com/file/d/1Iuqb-OFXFpnbfjKwdvtPowgxmMdWHPEp/view?usp=drivesdk</v>
      </c>
    </row>
    <row r="854">
      <c r="A854" s="3">
        <f>IFERROR(__xludf.DUMMYFUNCTION("""COMPUTED_VALUE"""),3436.0)</f>
        <v>3436</v>
      </c>
      <c r="B854" s="11">
        <f>IFERROR(__xludf.DUMMYFUNCTION("""COMPUTED_VALUE"""),46182.01004869213)</f>
        <v>46182.01005</v>
      </c>
      <c r="C854" s="3" t="str">
        <f>IFERROR(__xludf.DUMMYFUNCTION("""COMPUTED_VALUE"""),"ชั้นปีที่ 3")</f>
        <v>ชั้นปีที่ 3</v>
      </c>
      <c r="D854" s="3" t="str">
        <f>IFERROR(__xludf.DUMMYFUNCTION("""COMPUTED_VALUE"""),"6603766")</f>
        <v>6603766</v>
      </c>
      <c r="E854" s="3" t="str">
        <f>IFERROR(__xludf.DUMMYFUNCTION("""COMPUTED_VALUE"""),"13")</f>
        <v>13</v>
      </c>
      <c r="F854" s="3" t="str">
        <f>IFERROR(__xludf.DUMMYFUNCTION("""COMPUTED_VALUE"""),"นพอ.ชุติกาญจน์ ชูตินันท์")</f>
        <v>นพอ.ชุติกาญจน์ ชูตินันท์</v>
      </c>
      <c r="G854" s="3" t="str">
        <f>IFERROR(__xludf.DUMMYFUNCTION("""COMPUTED_VALUE"""),"ช่วยเหลืองานภายใน วพอ.")</f>
        <v>ช่วยเหลืองานภายใน วพอ.</v>
      </c>
      <c r="H854" s="3" t="str">
        <f>IFERROR(__xludf.DUMMYFUNCTION("""COMPUTED_VALUE"""),"ซ้อมเต้นเพลงฉันมีความสุข")</f>
        <v>ซ้อมเต้นเพลงฉันมีความสุข</v>
      </c>
      <c r="I854" s="3" t="str">
        <f>IFERROR(__xludf.DUMMYFUNCTION("""COMPUTED_VALUE"""),"วพอ.พอ.")</f>
        <v>วพอ.พอ.</v>
      </c>
      <c r="J854" s="12">
        <f>IFERROR(__xludf.DUMMYFUNCTION("""COMPUTED_VALUE"""),46180.0)</f>
        <v>46180</v>
      </c>
      <c r="K854" s="3" t="str">
        <f>IFERROR(__xludf.DUMMYFUNCTION("""COMPUTED_VALUE"""),"1600-1800")</f>
        <v>1600-1800</v>
      </c>
      <c r="L854" s="3">
        <f>IFERROR(__xludf.DUMMYFUNCTION("""COMPUTED_VALUE"""),2.0)</f>
        <v>2</v>
      </c>
      <c r="M854" s="3" t="str">
        <f>IFERROR(__xludf.DUMMYFUNCTION("""COMPUTED_VALUE"""),"ร.อ.หญิง เบญญาดา บุรีรัตน์")</f>
        <v>ร.อ.หญิง เบญญาดา บุรีรัตน์</v>
      </c>
      <c r="N854" s="14" t="str">
        <f>IFERROR(__xludf.DUMMYFUNCTION("""COMPUTED_VALUE"""),"https://lh5.googleusercontent.com/d/1pZQrQx95K8JpaiSR9Mc7Tf799yj-7iZw")</f>
        <v>https://lh5.googleusercontent.com/d/1pZQrQx95K8JpaiSR9Mc7Tf799yj-7iZw</v>
      </c>
      <c r="O854" s="14" t="str">
        <f>IFERROR(__xludf.DUMMYFUNCTION("""COMPUTED_VALUE"""),"https://drive.google.com/file/d/1oIpJ4JX6POr18exVlEsq_HrJ7ZUGAY8M/view?usp=drivesdk")</f>
        <v>https://drive.google.com/file/d/1oIpJ4JX6POr18exVlEsq_HrJ7ZUGAY8M/view?usp=drivesdk</v>
      </c>
    </row>
    <row r="855">
      <c r="A855" s="3">
        <f>IFERROR(__xludf.DUMMYFUNCTION("""COMPUTED_VALUE"""),3437.0)</f>
        <v>3437</v>
      </c>
      <c r="B855" s="11">
        <f>IFERROR(__xludf.DUMMYFUNCTION("""COMPUTED_VALUE"""),46182.01397925926)</f>
        <v>46182.01398</v>
      </c>
      <c r="C855" s="3" t="str">
        <f>IFERROR(__xludf.DUMMYFUNCTION("""COMPUTED_VALUE"""),"ชั้นปีที่ 3")</f>
        <v>ชั้นปีที่ 3</v>
      </c>
      <c r="D855" s="3" t="str">
        <f>IFERROR(__xludf.DUMMYFUNCTION("""COMPUTED_VALUE"""),"6603766")</f>
        <v>6603766</v>
      </c>
      <c r="E855" s="3" t="str">
        <f>IFERROR(__xludf.DUMMYFUNCTION("""COMPUTED_VALUE"""),"13")</f>
        <v>13</v>
      </c>
      <c r="F855" s="3" t="str">
        <f>IFERROR(__xludf.DUMMYFUNCTION("""COMPUTED_VALUE"""),"นพอ.ชุติกาญจน์ ชูตินันท์")</f>
        <v>นพอ.ชุติกาญจน์ ชูตินันท์</v>
      </c>
      <c r="G855" s="3" t="str">
        <f>IFERROR(__xludf.DUMMYFUNCTION("""COMPUTED_VALUE"""),"ช่วยเหลืองานภายใน วพอ.")</f>
        <v>ช่วยเหลืองานภายใน วพอ.</v>
      </c>
      <c r="H855" s="3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855" s="3" t="str">
        <f>IFERROR(__xludf.DUMMYFUNCTION("""COMPUTED_VALUE"""),"วพอ.พอ.")</f>
        <v>วพอ.พอ.</v>
      </c>
      <c r="J855" s="12">
        <f>IFERROR(__xludf.DUMMYFUNCTION("""COMPUTED_VALUE"""),46177.0)</f>
        <v>46177</v>
      </c>
      <c r="K855" s="3" t="str">
        <f>IFERROR(__xludf.DUMMYFUNCTION("""COMPUTED_VALUE"""),"1500-1800")</f>
        <v>1500-1800</v>
      </c>
      <c r="L855" s="3">
        <f>IFERROR(__xludf.DUMMYFUNCTION("""COMPUTED_VALUE"""),3.0)</f>
        <v>3</v>
      </c>
      <c r="M855" s="3" t="str">
        <f>IFERROR(__xludf.DUMMYFUNCTION("""COMPUTED_VALUE"""),"น.อ.หญิง ผศ.นิตยา สุขแสน")</f>
        <v>น.อ.หญิง ผศ.นิตยา สุขแสน</v>
      </c>
      <c r="N855" s="14" t="str">
        <f>IFERROR(__xludf.DUMMYFUNCTION("""COMPUTED_VALUE"""),"https://lh5.googleusercontent.com/d/1DJOPnw1oKsH-HjrIt1ghsPENcjhCOvkj")</f>
        <v>https://lh5.googleusercontent.com/d/1DJOPnw1oKsH-HjrIt1ghsPENcjhCOvkj</v>
      </c>
      <c r="O855" s="14" t="str">
        <f>IFERROR(__xludf.DUMMYFUNCTION("""COMPUTED_VALUE"""),"https://drive.google.com/file/d/1CzXHATb_RchxPUBjtbx0AWZjXgZ0HrL1/view?usp=drivesdk")</f>
        <v>https://drive.google.com/file/d/1CzXHATb_RchxPUBjtbx0AWZjXgZ0HrL1/view?usp=drivesdk</v>
      </c>
    </row>
    <row r="856">
      <c r="A856" s="3">
        <f>IFERROR(__xludf.DUMMYFUNCTION("""COMPUTED_VALUE"""),3440.0)</f>
        <v>3440</v>
      </c>
      <c r="B856" s="11">
        <f>IFERROR(__xludf.DUMMYFUNCTION("""COMPUTED_VALUE"""),46182.02079425926)</f>
        <v>46182.02079</v>
      </c>
      <c r="C856" s="3" t="str">
        <f>IFERROR(__xludf.DUMMYFUNCTION("""COMPUTED_VALUE"""),"ชั้นปีที่ 3")</f>
        <v>ชั้นปีที่ 3</v>
      </c>
      <c r="D856" s="3" t="str">
        <f>IFERROR(__xludf.DUMMYFUNCTION("""COMPUTED_VALUE"""),"6603772")</f>
        <v>6603772</v>
      </c>
      <c r="E856" s="3" t="str">
        <f>IFERROR(__xludf.DUMMYFUNCTION("""COMPUTED_VALUE"""),"19")</f>
        <v>19</v>
      </c>
      <c r="F856" s="3" t="str">
        <f>IFERROR(__xludf.DUMMYFUNCTION("""COMPUTED_VALUE"""),"นพอ.ทักษพร สอนดี")</f>
        <v>นพอ.ทักษพร สอนดี</v>
      </c>
      <c r="G8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6" s="3" t="str">
        <f>IFERROR(__xludf.DUMMYFUNCTION("""COMPUTED_VALUE"""),"เข้าร่วมงานกาชาด")</f>
        <v>เข้าร่วมงานกาชาด</v>
      </c>
      <c r="I856" s="3" t="str">
        <f>IFERROR(__xludf.DUMMYFUNCTION("""COMPUTED_VALUE"""),"สวนลุมพินี")</f>
        <v>สวนลุมพินี</v>
      </c>
      <c r="J856" s="12">
        <f>IFERROR(__xludf.DUMMYFUNCTION("""COMPUTED_VALUE"""),46004.0)</f>
        <v>46004</v>
      </c>
      <c r="K856" s="3" t="str">
        <f>IFERROR(__xludf.DUMMYFUNCTION("""COMPUTED_VALUE"""),"1100-1900")</f>
        <v>1100-1900</v>
      </c>
      <c r="L856" s="3">
        <f>IFERROR(__xludf.DUMMYFUNCTION("""COMPUTED_VALUE"""),8.0)</f>
        <v>8</v>
      </c>
      <c r="M856" s="3" t="str">
        <f>IFERROR(__xludf.DUMMYFUNCTION("""COMPUTED_VALUE"""),"น.อ.หญิง ผศ.ดร.วัลลภา อันดารา")</f>
        <v>น.อ.หญิง ผศ.ดร.วัลลภา อันดารา</v>
      </c>
      <c r="N856" s="14" t="str">
        <f>IFERROR(__xludf.DUMMYFUNCTION("""COMPUTED_VALUE"""),"https://lh5.googleusercontent.com/d/1AjE-4lu_yy8V9ATmW21qB7W-qDQ2445U")</f>
        <v>https://lh5.googleusercontent.com/d/1AjE-4lu_yy8V9ATmW21qB7W-qDQ2445U</v>
      </c>
      <c r="O856" s="14" t="str">
        <f>IFERROR(__xludf.DUMMYFUNCTION("""COMPUTED_VALUE"""),"https://drive.google.com/file/d/1lB4C0pQTYVG01dEZCGeK_OT3xwphjg-7/view?usp=drivesdk")</f>
        <v>https://drive.google.com/file/d/1lB4C0pQTYVG01dEZCGeK_OT3xwphjg-7/view?usp=drivesdk</v>
      </c>
    </row>
    <row r="857">
      <c r="A857" s="3">
        <f>IFERROR(__xludf.DUMMYFUNCTION("""COMPUTED_VALUE"""),3441.0)</f>
        <v>3441</v>
      </c>
      <c r="B857" s="11">
        <f>IFERROR(__xludf.DUMMYFUNCTION("""COMPUTED_VALUE"""),46182.02205003472)</f>
        <v>46182.02205</v>
      </c>
      <c r="C857" s="3" t="str">
        <f>IFERROR(__xludf.DUMMYFUNCTION("""COMPUTED_VALUE"""),"ชั้นปีที่ 3")</f>
        <v>ชั้นปีที่ 3</v>
      </c>
      <c r="D857" s="3" t="str">
        <f>IFERROR(__xludf.DUMMYFUNCTION("""COMPUTED_VALUE"""),"6603772")</f>
        <v>6603772</v>
      </c>
      <c r="E857" s="3" t="str">
        <f>IFERROR(__xludf.DUMMYFUNCTION("""COMPUTED_VALUE"""),"19")</f>
        <v>19</v>
      </c>
      <c r="F857" s="3" t="str">
        <f>IFERROR(__xludf.DUMMYFUNCTION("""COMPUTED_VALUE"""),"นพอ.ทักษพร สอนดี")</f>
        <v>นพอ.ทักษพร สอนดี</v>
      </c>
      <c r="G857" s="3" t="str">
        <f>IFERROR(__xludf.DUMMYFUNCTION("""COMPUTED_VALUE"""),"ช่วยเหลืองานภายใน วพอ.")</f>
        <v>ช่วยเหลืองานภายใน วพอ.</v>
      </c>
      <c r="H857" s="3" t="str">
        <f>IFERROR(__xludf.DUMMYFUNCTION("""COMPUTED_VALUE"""),"ขนหินอ่อน")</f>
        <v>ขนหินอ่อน</v>
      </c>
      <c r="I857" s="3" t="str">
        <f>IFERROR(__xludf.DUMMYFUNCTION("""COMPUTED_VALUE"""),"วพอ.พอ.")</f>
        <v>วพอ.พอ.</v>
      </c>
      <c r="J857" s="12">
        <f>IFERROR(__xludf.DUMMYFUNCTION("""COMPUTED_VALUE"""),46177.0)</f>
        <v>46177</v>
      </c>
      <c r="K857" s="3" t="str">
        <f>IFERROR(__xludf.DUMMYFUNCTION("""COMPUTED_VALUE"""),"1600-1800")</f>
        <v>1600-1800</v>
      </c>
      <c r="L857" s="3">
        <f>IFERROR(__xludf.DUMMYFUNCTION("""COMPUTED_VALUE"""),3.0)</f>
        <v>3</v>
      </c>
      <c r="M857" s="3" t="str">
        <f>IFERROR(__xludf.DUMMYFUNCTION("""COMPUTED_VALUE"""),"น.อ.หญิง ผศ.นิตยา สุขแสน")</f>
        <v>น.อ.หญิง ผศ.นิตยา สุขแสน</v>
      </c>
      <c r="N857" s="14" t="str">
        <f>IFERROR(__xludf.DUMMYFUNCTION("""COMPUTED_VALUE"""),"https://lh5.googleusercontent.com/d/16A2k1zbbomePHZ8sgRBW8malrV7UPZoZ")</f>
        <v>https://lh5.googleusercontent.com/d/16A2k1zbbomePHZ8sgRBW8malrV7UPZoZ</v>
      </c>
      <c r="O857" s="14" t="str">
        <f>IFERROR(__xludf.DUMMYFUNCTION("""COMPUTED_VALUE"""),"https://drive.google.com/file/d/1UF34_iPdY9blDEvBzSbJtZgvwW4UaAM5/view?usp=drivesdk")</f>
        <v>https://drive.google.com/file/d/1UF34_iPdY9blDEvBzSbJtZgvwW4UaAM5/view?usp=drivesdk</v>
      </c>
    </row>
    <row r="858">
      <c r="A858" s="3">
        <f>IFERROR(__xludf.DUMMYFUNCTION("""COMPUTED_VALUE"""),3442.0)</f>
        <v>3442</v>
      </c>
      <c r="B858" s="11">
        <f>IFERROR(__xludf.DUMMYFUNCTION("""COMPUTED_VALUE"""),46182.25649024306)</f>
        <v>46182.25649</v>
      </c>
      <c r="C858" s="3" t="str">
        <f>IFERROR(__xludf.DUMMYFUNCTION("""COMPUTED_VALUE"""),"ชั้นปีที่ 3")</f>
        <v>ชั้นปีที่ 3</v>
      </c>
      <c r="D858" s="3" t="str">
        <f>IFERROR(__xludf.DUMMYFUNCTION("""COMPUTED_VALUE"""),"6603805")</f>
        <v>6603805</v>
      </c>
      <c r="E858" s="3" t="str">
        <f>IFERROR(__xludf.DUMMYFUNCTION("""COMPUTED_VALUE"""),"51")</f>
        <v>51</v>
      </c>
      <c r="F858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858" s="3" t="str">
        <f>IFERROR(__xludf.DUMMYFUNCTION("""COMPUTED_VALUE"""),"ช่วยเหลืองานภายใน วพอ.")</f>
        <v>ช่วยเหลืองานภายใน วพอ.</v>
      </c>
      <c r="H85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58" s="3" t="str">
        <f>IFERROR(__xludf.DUMMYFUNCTION("""COMPUTED_VALUE"""),"วพอ.พอ.")</f>
        <v>วพอ.พอ.</v>
      </c>
      <c r="J858" s="12">
        <f>IFERROR(__xludf.DUMMYFUNCTION("""COMPUTED_VALUE"""),46133.0)</f>
        <v>46133</v>
      </c>
      <c r="K858" s="3" t="str">
        <f>IFERROR(__xludf.DUMMYFUNCTION("""COMPUTED_VALUE"""),"1700-2100")</f>
        <v>1700-2100</v>
      </c>
      <c r="L858" s="3">
        <f>IFERROR(__xludf.DUMMYFUNCTION("""COMPUTED_VALUE"""),4.0)</f>
        <v>4</v>
      </c>
      <c r="M858" s="3" t="str">
        <f>IFERROR(__xludf.DUMMYFUNCTION("""COMPUTED_VALUE"""),"ร.อ.อนุชิต ทำจะดี")</f>
        <v>ร.อ.อนุชิต ทำจะดี</v>
      </c>
      <c r="N858" s="14" t="str">
        <f>IFERROR(__xludf.DUMMYFUNCTION("""COMPUTED_VALUE"""),"https://lh5.googleusercontent.com/d/1ZBhwNkp0iwwvedvNkiJw6hmi5_WpmPIw")</f>
        <v>https://lh5.googleusercontent.com/d/1ZBhwNkp0iwwvedvNkiJw6hmi5_WpmPIw</v>
      </c>
      <c r="O858" s="14" t="str">
        <f>IFERROR(__xludf.DUMMYFUNCTION("""COMPUTED_VALUE"""),"https://drive.google.com/file/d/1FCYXbrCSfNXMs6BThx_-fBlxht0lTLjB/view?usp=drivesdk")</f>
        <v>https://drive.google.com/file/d/1FCYXbrCSfNXMs6BThx_-fBlxht0lTLjB/view?usp=drivesdk</v>
      </c>
    </row>
    <row r="859">
      <c r="A859" s="3">
        <f>IFERROR(__xludf.DUMMYFUNCTION("""COMPUTED_VALUE"""),3445.0)</f>
        <v>3445</v>
      </c>
      <c r="B859" s="11">
        <f>IFERROR(__xludf.DUMMYFUNCTION("""COMPUTED_VALUE"""),46182.2609672801)</f>
        <v>46182.26097</v>
      </c>
      <c r="C859" s="3" t="str">
        <f>IFERROR(__xludf.DUMMYFUNCTION("""COMPUTED_VALUE"""),"ชั้นปีที่ 3")</f>
        <v>ชั้นปีที่ 3</v>
      </c>
      <c r="D859" s="3" t="str">
        <f>IFERROR(__xludf.DUMMYFUNCTION("""COMPUTED_VALUE"""),"6603805")</f>
        <v>6603805</v>
      </c>
      <c r="E859" s="3" t="str">
        <f>IFERROR(__xludf.DUMMYFUNCTION("""COMPUTED_VALUE"""),"51")</f>
        <v>51</v>
      </c>
      <c r="F859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859" s="3" t="str">
        <f>IFERROR(__xludf.DUMMYFUNCTION("""COMPUTED_VALUE"""),"ช่วยเหลืองานภายใน วพอ.")</f>
        <v>ช่วยเหลืองานภายใน วพอ.</v>
      </c>
      <c r="H85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59" s="3" t="str">
        <f>IFERROR(__xludf.DUMMYFUNCTION("""COMPUTED_VALUE"""),"วพอ.พอ.")</f>
        <v>วพอ.พอ.</v>
      </c>
      <c r="J859" s="12">
        <f>IFERROR(__xludf.DUMMYFUNCTION("""COMPUTED_VALUE"""),46138.0)</f>
        <v>46138</v>
      </c>
      <c r="K859" s="3" t="str">
        <f>IFERROR(__xludf.DUMMYFUNCTION("""COMPUTED_VALUE"""),"1500-2100")</f>
        <v>1500-2100</v>
      </c>
      <c r="L859" s="3">
        <f>IFERROR(__xludf.DUMMYFUNCTION("""COMPUTED_VALUE"""),6.0)</f>
        <v>6</v>
      </c>
      <c r="M859" s="3" t="str">
        <f>IFERROR(__xludf.DUMMYFUNCTION("""COMPUTED_VALUE"""),"ร.อ.อนุชิต ทำจะดี")</f>
        <v>ร.อ.อนุชิต ทำจะดี</v>
      </c>
      <c r="N859" s="14" t="str">
        <f>IFERROR(__xludf.DUMMYFUNCTION("""COMPUTED_VALUE"""),"https://lh5.googleusercontent.com/d/1i6DTA_cdJR67VIg5wDWlbLORCKDRGENS")</f>
        <v>https://lh5.googleusercontent.com/d/1i6DTA_cdJR67VIg5wDWlbLORCKDRGENS</v>
      </c>
      <c r="O859" s="14" t="str">
        <f>IFERROR(__xludf.DUMMYFUNCTION("""COMPUTED_VALUE"""),"https://drive.google.com/file/d/1UhBXKvQaPj_a2XuxvwAEpX_tMFgqAvGQ/view?usp=drivesdk")</f>
        <v>https://drive.google.com/file/d/1UhBXKvQaPj_a2XuxvwAEpX_tMFgqAvGQ/view?usp=drivesdk</v>
      </c>
    </row>
    <row r="860">
      <c r="A860" s="3">
        <f>IFERROR(__xludf.DUMMYFUNCTION("""COMPUTED_VALUE"""),3446.0)</f>
        <v>3446</v>
      </c>
      <c r="B860" s="11">
        <f>IFERROR(__xludf.DUMMYFUNCTION("""COMPUTED_VALUE"""),46182.26278232639)</f>
        <v>46182.26278</v>
      </c>
      <c r="C860" s="3" t="str">
        <f>IFERROR(__xludf.DUMMYFUNCTION("""COMPUTED_VALUE"""),"ชั้นปีที่ 3")</f>
        <v>ชั้นปีที่ 3</v>
      </c>
      <c r="D860" s="3" t="str">
        <f>IFERROR(__xludf.DUMMYFUNCTION("""COMPUTED_VALUE"""),"6603805")</f>
        <v>6603805</v>
      </c>
      <c r="E860" s="3" t="str">
        <f>IFERROR(__xludf.DUMMYFUNCTION("""COMPUTED_VALUE"""),"51")</f>
        <v>51</v>
      </c>
      <c r="F860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860" s="3" t="str">
        <f>IFERROR(__xludf.DUMMYFUNCTION("""COMPUTED_VALUE"""),"ช่วยเหลืองานภายใน วพอ.")</f>
        <v>ช่วยเหลืองานภายใน วพอ.</v>
      </c>
      <c r="H86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60" s="3" t="str">
        <f>IFERROR(__xludf.DUMMYFUNCTION("""COMPUTED_VALUE"""),"วพอ.พอ.")</f>
        <v>วพอ.พอ.</v>
      </c>
      <c r="J860" s="12">
        <f>IFERROR(__xludf.DUMMYFUNCTION("""COMPUTED_VALUE"""),46134.0)</f>
        <v>46134</v>
      </c>
      <c r="K860" s="3" t="str">
        <f>IFERROR(__xludf.DUMMYFUNCTION("""COMPUTED_VALUE"""),"1700-2100")</f>
        <v>1700-2100</v>
      </c>
      <c r="L860" s="3">
        <f>IFERROR(__xludf.DUMMYFUNCTION("""COMPUTED_VALUE"""),4.0)</f>
        <v>4</v>
      </c>
      <c r="M860" s="3" t="str">
        <f>IFERROR(__xludf.DUMMYFUNCTION("""COMPUTED_VALUE"""),"ร.อ.อนุชิต ทำจะดี")</f>
        <v>ร.อ.อนุชิต ทำจะดี</v>
      </c>
      <c r="N860" s="14" t="str">
        <f>IFERROR(__xludf.DUMMYFUNCTION("""COMPUTED_VALUE"""),"https://lh5.googleusercontent.com/d/1kSH37P5YoBy_hrxUE-zHmDNvihIrQS3J")</f>
        <v>https://lh5.googleusercontent.com/d/1kSH37P5YoBy_hrxUE-zHmDNvihIrQS3J</v>
      </c>
      <c r="O860" s="14" t="str">
        <f>IFERROR(__xludf.DUMMYFUNCTION("""COMPUTED_VALUE"""),"https://drive.google.com/file/d/1Bh4aYLn_ErajoS-nPqQHFEvgIJpPCyke/view?usp=drivesdk")</f>
        <v>https://drive.google.com/file/d/1Bh4aYLn_ErajoS-nPqQHFEvgIJpPCyke/view?usp=drivesdk</v>
      </c>
    </row>
    <row r="861">
      <c r="A861" s="3">
        <f>IFERROR(__xludf.DUMMYFUNCTION("""COMPUTED_VALUE"""),3447.0)</f>
        <v>3447</v>
      </c>
      <c r="B861" s="11">
        <f>IFERROR(__xludf.DUMMYFUNCTION("""COMPUTED_VALUE"""),46182.26414267361)</f>
        <v>46182.26414</v>
      </c>
      <c r="C861" s="3" t="str">
        <f>IFERROR(__xludf.DUMMYFUNCTION("""COMPUTED_VALUE"""),"ชั้นปีที่ 3")</f>
        <v>ชั้นปีที่ 3</v>
      </c>
      <c r="D861" s="3" t="str">
        <f>IFERROR(__xludf.DUMMYFUNCTION("""COMPUTED_VALUE"""),"6603805")</f>
        <v>6603805</v>
      </c>
      <c r="E861" s="3" t="str">
        <f>IFERROR(__xludf.DUMMYFUNCTION("""COMPUTED_VALUE"""),"51")</f>
        <v>51</v>
      </c>
      <c r="F861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861" s="3" t="str">
        <f>IFERROR(__xludf.DUMMYFUNCTION("""COMPUTED_VALUE"""),"ช่วยเหลืองานภายใน วพอ.")</f>
        <v>ช่วยเหลืองานภายใน วพอ.</v>
      </c>
      <c r="H86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61" s="3" t="str">
        <f>IFERROR(__xludf.DUMMYFUNCTION("""COMPUTED_VALUE"""),"วพอ.พอ.")</f>
        <v>วพอ.พอ.</v>
      </c>
      <c r="J861" s="12">
        <f>IFERROR(__xludf.DUMMYFUNCTION("""COMPUTED_VALUE"""),46135.0)</f>
        <v>46135</v>
      </c>
      <c r="K861" s="3" t="str">
        <f>IFERROR(__xludf.DUMMYFUNCTION("""COMPUTED_VALUE"""),"1700-2100")</f>
        <v>1700-2100</v>
      </c>
      <c r="L861" s="3">
        <f>IFERROR(__xludf.DUMMYFUNCTION("""COMPUTED_VALUE"""),4.0)</f>
        <v>4</v>
      </c>
      <c r="M861" s="3" t="str">
        <f>IFERROR(__xludf.DUMMYFUNCTION("""COMPUTED_VALUE"""),"ร.อ.อนุชิต ทำจะดี")</f>
        <v>ร.อ.อนุชิต ทำจะดี</v>
      </c>
      <c r="N861" s="14" t="str">
        <f>IFERROR(__xludf.DUMMYFUNCTION("""COMPUTED_VALUE"""),"https://lh5.googleusercontent.com/d/1fztYxLCFrDUfFA7UtPT7Af3TsDQ5qwwp")</f>
        <v>https://lh5.googleusercontent.com/d/1fztYxLCFrDUfFA7UtPT7Af3TsDQ5qwwp</v>
      </c>
      <c r="O861" s="14" t="str">
        <f>IFERROR(__xludf.DUMMYFUNCTION("""COMPUTED_VALUE"""),"https://drive.google.com/file/d/1Kc-ngMjw4VRgNs45mDJepaqMVFgX3ScR/view?usp=drivesdk")</f>
        <v>https://drive.google.com/file/d/1Kc-ngMjw4VRgNs45mDJepaqMVFgX3ScR/view?usp=drivesdk</v>
      </c>
    </row>
    <row r="862">
      <c r="A862" s="3">
        <f>IFERROR(__xludf.DUMMYFUNCTION("""COMPUTED_VALUE"""),3448.0)</f>
        <v>3448</v>
      </c>
      <c r="B862" s="11">
        <f>IFERROR(__xludf.DUMMYFUNCTION("""COMPUTED_VALUE"""),46182.26769621528)</f>
        <v>46182.2677</v>
      </c>
      <c r="C862" s="3" t="str">
        <f>IFERROR(__xludf.DUMMYFUNCTION("""COMPUTED_VALUE"""),"ชั้นปีที่ 3")</f>
        <v>ชั้นปีที่ 3</v>
      </c>
      <c r="D862" s="3" t="str">
        <f>IFERROR(__xludf.DUMMYFUNCTION("""COMPUTED_VALUE"""),"6603805")</f>
        <v>6603805</v>
      </c>
      <c r="E862" s="3" t="str">
        <f>IFERROR(__xludf.DUMMYFUNCTION("""COMPUTED_VALUE"""),"51")</f>
        <v>51</v>
      </c>
      <c r="F862" s="3" t="str">
        <f>IFERROR(__xludf.DUMMYFUNCTION("""COMPUTED_VALUE"""),"นพอ.ศิวัชญา อยูชาติประเสริฐ")</f>
        <v>นพอ.ศิวัชญา อยูชาติประเสริฐ</v>
      </c>
      <c r="G862" s="3" t="str">
        <f>IFERROR(__xludf.DUMMYFUNCTION("""COMPUTED_VALUE"""),"ช่วยเหลืองานภายใน วพอ.")</f>
        <v>ช่วยเหลืองานภายใน วพอ.</v>
      </c>
      <c r="H86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62" s="3" t="str">
        <f>IFERROR(__xludf.DUMMYFUNCTION("""COMPUTED_VALUE"""),"หอประชุมธูปะเตมีย์ รพ.ภูมิพลอดุลยเดช")</f>
        <v>หอประชุมธูปะเตมีย์ รพ.ภูมิพลอดุลยเดช</v>
      </c>
      <c r="J862" s="12">
        <f>IFERROR(__xludf.DUMMYFUNCTION("""COMPUTED_VALUE"""),46139.0)</f>
        <v>46139</v>
      </c>
      <c r="K862" s="3" t="str">
        <f>IFERROR(__xludf.DUMMYFUNCTION("""COMPUTED_VALUE"""),"1700-2100")</f>
        <v>1700-2100</v>
      </c>
      <c r="L862" s="3">
        <f>IFERROR(__xludf.DUMMYFUNCTION("""COMPUTED_VALUE"""),4.0)</f>
        <v>4</v>
      </c>
      <c r="M862" s="3" t="str">
        <f>IFERROR(__xludf.DUMMYFUNCTION("""COMPUTED_VALUE"""),"ร.อ.อนุชิต ทำจะดี")</f>
        <v>ร.อ.อนุชิต ทำจะดี</v>
      </c>
      <c r="N862" s="14" t="str">
        <f>IFERROR(__xludf.DUMMYFUNCTION("""COMPUTED_VALUE"""),"https://lh5.googleusercontent.com/d/1PiEbplqt0SfPQlR7AzJvi3dEy2FoWyZU")</f>
        <v>https://lh5.googleusercontent.com/d/1PiEbplqt0SfPQlR7AzJvi3dEy2FoWyZU</v>
      </c>
      <c r="O862" s="14" t="str">
        <f>IFERROR(__xludf.DUMMYFUNCTION("""COMPUTED_VALUE"""),"https://drive.google.com/file/d/1yWCQgRn36V-ntv34Syv9P79P0PvPT2tN/view?usp=drivesdk")</f>
        <v>https://drive.google.com/file/d/1yWCQgRn36V-ntv34Syv9P79P0PvPT2tN/view?usp=drivesdk</v>
      </c>
    </row>
    <row r="863">
      <c r="A863" s="3">
        <f>IFERROR(__xludf.DUMMYFUNCTION("""COMPUTED_VALUE"""),3449.0)</f>
        <v>3449</v>
      </c>
      <c r="B863" s="11">
        <f>IFERROR(__xludf.DUMMYFUNCTION("""COMPUTED_VALUE"""),46182.30556487269)</f>
        <v>46182.30556</v>
      </c>
      <c r="C863" s="3" t="str">
        <f>IFERROR(__xludf.DUMMYFUNCTION("""COMPUTED_VALUE"""),"ชั้นปีที่ 3")</f>
        <v>ชั้นปีที่ 3</v>
      </c>
      <c r="D863" s="3" t="str">
        <f>IFERROR(__xludf.DUMMYFUNCTION("""COMPUTED_VALUE"""),"6603759")</f>
        <v>6603759</v>
      </c>
      <c r="E863" s="3" t="str">
        <f>IFERROR(__xludf.DUMMYFUNCTION("""COMPUTED_VALUE"""),"6")</f>
        <v>6</v>
      </c>
      <c r="F863" s="3" t="str">
        <f>IFERROR(__xludf.DUMMYFUNCTION("""COMPUTED_VALUE"""),"นพอ.เกรียงเดช รักถิ่นเดิม")</f>
        <v>นพอ.เกรียงเดช รักถิ่นเดิม</v>
      </c>
      <c r="G863" s="3" t="str">
        <f>IFERROR(__xludf.DUMMYFUNCTION("""COMPUTED_VALUE"""),"ช่วยเหลืองานภายใน วพอ.")</f>
        <v>ช่วยเหลืองานภายใน วพอ.</v>
      </c>
      <c r="H863" s="3" t="str">
        <f>IFERROR(__xludf.DUMMYFUNCTION("""COMPUTED_VALUE"""),"ทำนุบำรุง วพอ.")</f>
        <v>ทำนุบำรุง วพอ.</v>
      </c>
      <c r="I863" s="3" t="str">
        <f>IFERROR(__xludf.DUMMYFUNCTION("""COMPUTED_VALUE"""),"วพอ.พอ.")</f>
        <v>วพอ.พอ.</v>
      </c>
      <c r="J863" s="12">
        <f>IFERROR(__xludf.DUMMYFUNCTION("""COMPUTED_VALUE"""),46177.0)</f>
        <v>46177</v>
      </c>
      <c r="K863" s="3" t="str">
        <f>IFERROR(__xludf.DUMMYFUNCTION("""COMPUTED_VALUE"""),"1500-1800")</f>
        <v>1500-1800</v>
      </c>
      <c r="L863" s="3">
        <f>IFERROR(__xludf.DUMMYFUNCTION("""COMPUTED_VALUE"""),3.0)</f>
        <v>3</v>
      </c>
      <c r="M863" s="3" t="str">
        <f>IFERROR(__xludf.DUMMYFUNCTION("""COMPUTED_VALUE"""),"น.อ.หญิง ผศ.นิตยา สุขแสน")</f>
        <v>น.อ.หญิง ผศ.นิตยา สุขแสน</v>
      </c>
      <c r="N863" s="14" t="str">
        <f>IFERROR(__xludf.DUMMYFUNCTION("""COMPUTED_VALUE"""),"https://lh5.googleusercontent.com/d/1v5YrQsSgzm3rvjf7PRo2HoR99Ui-cq1d")</f>
        <v>https://lh5.googleusercontent.com/d/1v5YrQsSgzm3rvjf7PRo2HoR99Ui-cq1d</v>
      </c>
      <c r="O863" s="14" t="str">
        <f>IFERROR(__xludf.DUMMYFUNCTION("""COMPUTED_VALUE"""),"https://drive.google.com/file/d/18BvPBU2S4_ah_IKI8zldrlGPSTtu_0y4/view?usp=drivesdk")</f>
        <v>https://drive.google.com/file/d/18BvPBU2S4_ah_IKI8zldrlGPSTtu_0y4/view?usp=drivesdk</v>
      </c>
    </row>
    <row r="864">
      <c r="A864" s="3">
        <f>IFERROR(__xludf.DUMMYFUNCTION("""COMPUTED_VALUE"""),3479.0)</f>
        <v>3479</v>
      </c>
      <c r="B864" s="11">
        <f>IFERROR(__xludf.DUMMYFUNCTION("""COMPUTED_VALUE"""),46182.65907358796)</f>
        <v>46182.65907</v>
      </c>
      <c r="C864" s="3" t="str">
        <f>IFERROR(__xludf.DUMMYFUNCTION("""COMPUTED_VALUE"""),"ชั้นปีที่ 3")</f>
        <v>ชั้นปีที่ 3</v>
      </c>
      <c r="D864" s="3" t="str">
        <f>IFERROR(__xludf.DUMMYFUNCTION("""COMPUTED_VALUE"""),"6603794")</f>
        <v>6603794</v>
      </c>
      <c r="E864" s="3" t="str">
        <f>IFERROR(__xludf.DUMMYFUNCTION("""COMPUTED_VALUE"""),"40")</f>
        <v>40</v>
      </c>
      <c r="F864" s="3" t="str">
        <f>IFERROR(__xludf.DUMMYFUNCTION("""COMPUTED_VALUE"""),"นพอ.พิชามญชุ์ แก้วเมือง")</f>
        <v>นพอ.พิชามญชุ์ แก้วเมือง</v>
      </c>
      <c r="G86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64" s="3" t="str">
        <f>IFERROR(__xludf.DUMMYFUNCTION("""COMPUTED_VALUE"""),"บริจาคโลหิต")</f>
        <v>บริจาคโลหิต</v>
      </c>
      <c r="I864" s="3" t="str">
        <f>IFERROR(__xludf.DUMMYFUNCTION("""COMPUTED_VALUE"""),"รพ.ภูมิพล")</f>
        <v>รพ.ภูมิพล</v>
      </c>
      <c r="J864" s="12">
        <f>IFERROR(__xludf.DUMMYFUNCTION("""COMPUTED_VALUE"""),46113.0)</f>
        <v>46113</v>
      </c>
      <c r="K864" s="3" t="str">
        <f>IFERROR(__xludf.DUMMYFUNCTION("""COMPUTED_VALUE"""),"1000-1200")</f>
        <v>1000-1200</v>
      </c>
      <c r="L864" s="3">
        <f>IFERROR(__xludf.DUMMYFUNCTION("""COMPUTED_VALUE"""),8.0)</f>
        <v>8</v>
      </c>
      <c r="M864" s="3" t="str">
        <f>IFERROR(__xludf.DUMMYFUNCTION("""COMPUTED_VALUE"""),"ร.อ.อนุชิต ทำจะดี")</f>
        <v>ร.อ.อนุชิต ทำจะดี</v>
      </c>
      <c r="N864" s="14" t="str">
        <f>IFERROR(__xludf.DUMMYFUNCTION("""COMPUTED_VALUE"""),"https://lh5.googleusercontent.com/d/1CLDc2asXpXjEJNnvZTTikBdZk9hi91ME")</f>
        <v>https://lh5.googleusercontent.com/d/1CLDc2asXpXjEJNnvZTTikBdZk9hi91ME</v>
      </c>
      <c r="O864" s="14" t="str">
        <f>IFERROR(__xludf.DUMMYFUNCTION("""COMPUTED_VALUE"""),"https://drive.google.com/file/d/1m320_37FYLYLJ2bllU_Vv34xodAzNDd2/view?usp=drivesdk")</f>
        <v>https://drive.google.com/file/d/1m320_37FYLYLJ2bllU_Vv34xodAzNDd2/view?usp=drivesdk</v>
      </c>
    </row>
    <row r="865">
      <c r="A865" s="3">
        <f>IFERROR(__xludf.DUMMYFUNCTION("""COMPUTED_VALUE"""),3480.0)</f>
        <v>3480</v>
      </c>
      <c r="B865" s="11">
        <f>IFERROR(__xludf.DUMMYFUNCTION("""COMPUTED_VALUE"""),46182.663004699076)</f>
        <v>46182.663</v>
      </c>
      <c r="C865" s="3" t="str">
        <f>IFERROR(__xludf.DUMMYFUNCTION("""COMPUTED_VALUE"""),"ชั้นปีที่ 3")</f>
        <v>ชั้นปีที่ 3</v>
      </c>
      <c r="D865" s="3" t="str">
        <f>IFERROR(__xludf.DUMMYFUNCTION("""COMPUTED_VALUE"""),"6603794")</f>
        <v>6603794</v>
      </c>
      <c r="E865" s="3" t="str">
        <f>IFERROR(__xludf.DUMMYFUNCTION("""COMPUTED_VALUE"""),"40")</f>
        <v>40</v>
      </c>
      <c r="F865" s="3" t="str">
        <f>IFERROR(__xludf.DUMMYFUNCTION("""COMPUTED_VALUE"""),"นพอ.พิชามญชุ์ แก้วเมือง")</f>
        <v>นพอ.พิชามญชุ์ แก้วเมือง</v>
      </c>
      <c r="G865" s="3" t="str">
        <f>IFERROR(__xludf.DUMMYFUNCTION("""COMPUTED_VALUE"""),"ช่วยเหลืองานภายใน วพอ.")</f>
        <v>ช่วยเหลืองานภายใน วพอ.</v>
      </c>
      <c r="H865" s="3" t="str">
        <f>IFERROR(__xludf.DUMMYFUNCTION("""COMPUTED_VALUE"""),"ขนหิน")</f>
        <v>ขนหิน</v>
      </c>
      <c r="I865" s="3" t="str">
        <f>IFERROR(__xludf.DUMMYFUNCTION("""COMPUTED_VALUE"""),"วพอ.พอ.")</f>
        <v>วพอ.พอ.</v>
      </c>
      <c r="J865" s="12">
        <f>IFERROR(__xludf.DUMMYFUNCTION("""COMPUTED_VALUE"""),46177.0)</f>
        <v>46177</v>
      </c>
      <c r="K865" s="3" t="str">
        <f>IFERROR(__xludf.DUMMYFUNCTION("""COMPUTED_VALUE"""),"1500-1700")</f>
        <v>1500-1700</v>
      </c>
      <c r="L865" s="3">
        <f>IFERROR(__xludf.DUMMYFUNCTION("""COMPUTED_VALUE"""),3.0)</f>
        <v>3</v>
      </c>
      <c r="M865" s="3" t="str">
        <f>IFERROR(__xludf.DUMMYFUNCTION("""COMPUTED_VALUE"""),"น.อ.หญิง ผศ.นิตยา สุขแสน")</f>
        <v>น.อ.หญิง ผศ.นิตยา สุขแสน</v>
      </c>
      <c r="N865" s="14" t="str">
        <f>IFERROR(__xludf.DUMMYFUNCTION("""COMPUTED_VALUE"""),"https://lh5.googleusercontent.com/d/1U9fz-ZV3Rq2Kq-KkCtVjRCJQlQGGhYl0")</f>
        <v>https://lh5.googleusercontent.com/d/1U9fz-ZV3Rq2Kq-KkCtVjRCJQlQGGhYl0</v>
      </c>
      <c r="O865" s="14" t="str">
        <f>IFERROR(__xludf.DUMMYFUNCTION("""COMPUTED_VALUE"""),"https://drive.google.com/file/d/1IuaVSuJ1KRRI3XIaRrnePFZhqiZjCWqm/view?usp=drivesdk")</f>
        <v>https://drive.google.com/file/d/1IuaVSuJ1KRRI3XIaRrnePFZhqiZjCWqm/view?usp=drivesdk</v>
      </c>
    </row>
    <row r="866">
      <c r="A866" s="3">
        <f>IFERROR(__xludf.DUMMYFUNCTION("""COMPUTED_VALUE"""),3482.0)</f>
        <v>3482</v>
      </c>
      <c r="B866" s="11">
        <f>IFERROR(__xludf.DUMMYFUNCTION("""COMPUTED_VALUE"""),46182.8464266088)</f>
        <v>46182.84643</v>
      </c>
      <c r="C866" s="3" t="str">
        <f>IFERROR(__xludf.DUMMYFUNCTION("""COMPUTED_VALUE"""),"ชั้นปีที่ 3")</f>
        <v>ชั้นปีที่ 3</v>
      </c>
      <c r="D866" s="3" t="str">
        <f>IFERROR(__xludf.DUMMYFUNCTION("""COMPUTED_VALUE"""),"6603805")</f>
        <v>6603805</v>
      </c>
      <c r="E866" s="3" t="str">
        <f>IFERROR(__xludf.DUMMYFUNCTION("""COMPUTED_VALUE"""),"51")</f>
        <v>51</v>
      </c>
      <c r="F866" s="3" t="str">
        <f>IFERROR(__xludf.DUMMYFUNCTION("""COMPUTED_VALUE"""),"นพอ.ศิวัชญา อยู่ชาติประเสริฐ")</f>
        <v>นพอ.ศิวัชญา อยู่ชาติประเสริฐ</v>
      </c>
      <c r="G866" s="3" t="str">
        <f>IFERROR(__xludf.DUMMYFUNCTION("""COMPUTED_VALUE"""),"ช่วยเหลืองานภายใน วพอ.")</f>
        <v>ช่วยเหลืองานภายใน วพอ.</v>
      </c>
      <c r="H866" s="3" t="str">
        <f>IFERROR(__xludf.DUMMYFUNCTION("""COMPUTED_VALUE"""),"จัดสภาพแวดล้อมหลังอาคารเรียน")</f>
        <v>จัดสภาพแวดล้อมหลังอาคารเรียน</v>
      </c>
      <c r="I866" s="3" t="str">
        <f>IFERROR(__xludf.DUMMYFUNCTION("""COMPUTED_VALUE"""),"วพอ.พอ.")</f>
        <v>วพอ.พอ.</v>
      </c>
      <c r="J866" s="12">
        <f>IFERROR(__xludf.DUMMYFUNCTION("""COMPUTED_VALUE"""),46177.0)</f>
        <v>46177</v>
      </c>
      <c r="K866" s="3" t="str">
        <f>IFERROR(__xludf.DUMMYFUNCTION("""COMPUTED_VALUE"""),"1400-1700")</f>
        <v>1400-1700</v>
      </c>
      <c r="L866" s="3">
        <f>IFERROR(__xludf.DUMMYFUNCTION("""COMPUTED_VALUE"""),3.0)</f>
        <v>3</v>
      </c>
      <c r="M866" s="3" t="str">
        <f>IFERROR(__xludf.DUMMYFUNCTION("""COMPUTED_VALUE"""),"น.อ.หญิง ผศ.นิตยา สุขแสน")</f>
        <v>น.อ.หญิง ผศ.นิตยา สุขแสน</v>
      </c>
      <c r="N866" s="14" t="str">
        <f>IFERROR(__xludf.DUMMYFUNCTION("""COMPUTED_VALUE"""),"https://lh5.googleusercontent.com/d/14Zz3mAM9aN426GKlycKy1GmEu4xCn7rf")</f>
        <v>https://lh5.googleusercontent.com/d/14Zz3mAM9aN426GKlycKy1GmEu4xCn7rf</v>
      </c>
      <c r="O866" s="14" t="str">
        <f>IFERROR(__xludf.DUMMYFUNCTION("""COMPUTED_VALUE"""),"https://drive.google.com/file/d/1HZrRC9ESLNYEPqjAWG74BPrnqfmjw0xS/view?usp=drivesdk")</f>
        <v>https://drive.google.com/file/d/1HZrRC9ESLNYEPqjAWG74BPrnqfmjw0xS/view?usp=drivesdk</v>
      </c>
    </row>
    <row r="867">
      <c r="A867" s="3">
        <f>IFERROR(__xludf.DUMMYFUNCTION("""COMPUTED_VALUE"""),3484.0)</f>
        <v>3484</v>
      </c>
      <c r="B867" s="11">
        <f>IFERROR(__xludf.DUMMYFUNCTION("""COMPUTED_VALUE"""),46182.8509622801)</f>
        <v>46182.85096</v>
      </c>
      <c r="C867" s="3" t="str">
        <f>IFERROR(__xludf.DUMMYFUNCTION("""COMPUTED_VALUE"""),"ชั้นปีที่ 3")</f>
        <v>ชั้นปีที่ 3</v>
      </c>
      <c r="D867" s="3" t="str">
        <f>IFERROR(__xludf.DUMMYFUNCTION("""COMPUTED_VALUE"""),"6603759")</f>
        <v>6603759</v>
      </c>
      <c r="E867" s="3" t="str">
        <f>IFERROR(__xludf.DUMMYFUNCTION("""COMPUTED_VALUE"""),"6")</f>
        <v>6</v>
      </c>
      <c r="F867" s="3" t="str">
        <f>IFERROR(__xludf.DUMMYFUNCTION("""COMPUTED_VALUE"""),"นพอ.เกรียงเดช รักถิ่นเดิม")</f>
        <v>นพอ.เกรียงเดช รักถิ่นเดิม</v>
      </c>
      <c r="G86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67" s="3" t="str">
        <f>IFERROR(__xludf.DUMMYFUNCTION("""COMPUTED_VALUE"""),"สงกรานต์เบิกบานจิต")</f>
        <v>สงกรานต์เบิกบานจิต</v>
      </c>
      <c r="I867" s="3" t="str">
        <f>IFERROR(__xludf.DUMMYFUNCTION("""COMPUTED_VALUE"""),"รพ.ศรีธัญญา")</f>
        <v>รพ.ศรีธัญญา</v>
      </c>
      <c r="J867" s="12">
        <f>IFERROR(__xludf.DUMMYFUNCTION("""COMPUTED_VALUE"""),46121.0)</f>
        <v>46121</v>
      </c>
      <c r="K867" s="3" t="str">
        <f>IFERROR(__xludf.DUMMYFUNCTION("""COMPUTED_VALUE"""),"0800-1600")</f>
        <v>0800-1600</v>
      </c>
      <c r="L867" s="3">
        <f>IFERROR(__xludf.DUMMYFUNCTION("""COMPUTED_VALUE"""),8.0)</f>
        <v>8</v>
      </c>
      <c r="M867" s="3" t="str">
        <f>IFERROR(__xludf.DUMMYFUNCTION("""COMPUTED_VALUE"""),"น.ต.หญิง รฐานุช ถิ่นสอน")</f>
        <v>น.ต.หญิง รฐานุช ถิ่นสอน</v>
      </c>
      <c r="N867" s="14" t="str">
        <f>IFERROR(__xludf.DUMMYFUNCTION("""COMPUTED_VALUE"""),"https://lh5.googleusercontent.com/d/1AlS908S1HX94r3hnRV_eRez6Nu8TrTZG")</f>
        <v>https://lh5.googleusercontent.com/d/1AlS908S1HX94r3hnRV_eRez6Nu8TrTZG</v>
      </c>
      <c r="O867" s="14" t="str">
        <f>IFERROR(__xludf.DUMMYFUNCTION("""COMPUTED_VALUE"""),"https://drive.google.com/file/d/1vCtfqm1rHON5qoMGnMV74SLUvAb_wrJD/view?usp=drivesdk")</f>
        <v>https://drive.google.com/file/d/1vCtfqm1rHON5qoMGnMV74SLUvAb_wrJD/view?usp=drivesdk</v>
      </c>
    </row>
    <row r="868">
      <c r="A868" s="3">
        <f>IFERROR(__xludf.DUMMYFUNCTION("""COMPUTED_VALUE"""),3485.0)</f>
        <v>3485</v>
      </c>
      <c r="B868" s="11">
        <f>IFERROR(__xludf.DUMMYFUNCTION("""COMPUTED_VALUE"""),46182.851468877314)</f>
        <v>46182.85147</v>
      </c>
      <c r="C868" s="3" t="str">
        <f>IFERROR(__xludf.DUMMYFUNCTION("""COMPUTED_VALUE"""),"ชั้นปีที่ 3")</f>
        <v>ชั้นปีที่ 3</v>
      </c>
      <c r="D868" s="3" t="str">
        <f>IFERROR(__xludf.DUMMYFUNCTION("""COMPUTED_VALUE"""),"6603812")</f>
        <v>6603812</v>
      </c>
      <c r="E868" s="3" t="str">
        <f>IFERROR(__xludf.DUMMYFUNCTION("""COMPUTED_VALUE"""),"58")</f>
        <v>58</v>
      </c>
      <c r="F868" s="3" t="str">
        <f>IFERROR(__xludf.DUMMYFUNCTION("""COMPUTED_VALUE"""),"หัสฐากร หงษ์สุวรรณ")</f>
        <v>หัสฐากร หงษ์สุวรรณ</v>
      </c>
      <c r="G868" s="3" t="str">
        <f>IFERROR(__xludf.DUMMYFUNCTION("""COMPUTED_VALUE"""),"ช่วยเหลืองานภายใน วพอ.")</f>
        <v>ช่วยเหลืองานภายใน วพอ.</v>
      </c>
      <c r="H868" s="3" t="str">
        <f>IFERROR(__xludf.DUMMYFUNCTION("""COMPUTED_VALUE"""),"รับหมวกวิชาชีพ")</f>
        <v>รับหมวกวิชาชีพ</v>
      </c>
      <c r="I868" s="3" t="str">
        <f>IFERROR(__xludf.DUMMYFUNCTION("""COMPUTED_VALUE"""),"รพ.ภูมิพล")</f>
        <v>รพ.ภูมิพล</v>
      </c>
      <c r="J868" s="12">
        <f>IFERROR(__xludf.DUMMYFUNCTION("""COMPUTED_VALUE"""),46105.0)</f>
        <v>46105</v>
      </c>
      <c r="K868" s="3" t="str">
        <f>IFERROR(__xludf.DUMMYFUNCTION("""COMPUTED_VALUE"""),"0500-1300")</f>
        <v>0500-1300</v>
      </c>
      <c r="L868" s="3">
        <f>IFERROR(__xludf.DUMMYFUNCTION("""COMPUTED_VALUE"""),8.0)</f>
        <v>8</v>
      </c>
      <c r="M868" s="3" t="str">
        <f>IFERROR(__xludf.DUMMYFUNCTION("""COMPUTED_VALUE"""),"รอ.อนุชิต ทำจะดี")</f>
        <v>รอ.อนุชิต ทำจะดี</v>
      </c>
      <c r="N868" s="14" t="str">
        <f>IFERROR(__xludf.DUMMYFUNCTION("""COMPUTED_VALUE"""),"https://lh5.googleusercontent.com/d/1WY8vuaec9KC0-8vufr56n-9Uju4-tEE7")</f>
        <v>https://lh5.googleusercontent.com/d/1WY8vuaec9KC0-8vufr56n-9Uju4-tEE7</v>
      </c>
      <c r="O868" s="14" t="str">
        <f>IFERROR(__xludf.DUMMYFUNCTION("""COMPUTED_VALUE"""),"https://drive.google.com/file/d/1hjoJiBV-FoGoSwNo4pv5Dz5Bt4I8sEps/view?usp=drivesdk")</f>
        <v>https://drive.google.com/file/d/1hjoJiBV-FoGoSwNo4pv5Dz5Bt4I8sEps/view?usp=drivesdk</v>
      </c>
    </row>
    <row r="869">
      <c r="A869" s="3">
        <f>IFERROR(__xludf.DUMMYFUNCTION("""COMPUTED_VALUE"""),3487.0)</f>
        <v>3487</v>
      </c>
      <c r="B869" s="11">
        <f>IFERROR(__xludf.DUMMYFUNCTION("""COMPUTED_VALUE"""),46182.85744770833)</f>
        <v>46182.85745</v>
      </c>
      <c r="C869" s="3" t="str">
        <f>IFERROR(__xludf.DUMMYFUNCTION("""COMPUTED_VALUE"""),"ชั้นปีที่ 3")</f>
        <v>ชั้นปีที่ 3</v>
      </c>
      <c r="D869" s="3" t="str">
        <f>IFERROR(__xludf.DUMMYFUNCTION("""COMPUTED_VALUE"""),"6603779")</f>
        <v>6603779</v>
      </c>
      <c r="E869" s="3" t="str">
        <f>IFERROR(__xludf.DUMMYFUNCTION("""COMPUTED_VALUE"""),"25")</f>
        <v>25</v>
      </c>
      <c r="F869" s="3" t="str">
        <f>IFERROR(__xludf.DUMMYFUNCTION("""COMPUTED_VALUE"""),"นพอ.นันทิยา แก้วก่อง")</f>
        <v>นพอ.นันทิยา แก้วก่อง</v>
      </c>
      <c r="G86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69" s="3" t="str">
        <f>IFERROR(__xludf.DUMMYFUNCTION("""COMPUTED_VALUE"""),"โรทาแรกค์ ปลูกป่าบางปู")</f>
        <v>โรทาแรกค์ ปลูกป่าบางปู</v>
      </c>
      <c r="I869" s="3" t="str">
        <f>IFERROR(__xludf.DUMMYFUNCTION("""COMPUTED_VALUE"""),"ศูนย์ศึกษาธรรมชาติกองทัพบก บางปู")</f>
        <v>ศูนย์ศึกษาธรรมชาติกองทัพบก บางปู</v>
      </c>
      <c r="J869" s="12">
        <f>IFERROR(__xludf.DUMMYFUNCTION("""COMPUTED_VALUE"""),46060.0)</f>
        <v>46060</v>
      </c>
      <c r="K869" s="3" t="str">
        <f>IFERROR(__xludf.DUMMYFUNCTION("""COMPUTED_VALUE"""),"0800-1600")</f>
        <v>0800-1600</v>
      </c>
      <c r="L869" s="3">
        <f>IFERROR(__xludf.DUMMYFUNCTION("""COMPUTED_VALUE"""),8.0)</f>
        <v>8</v>
      </c>
      <c r="M86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69" s="14" t="str">
        <f>IFERROR(__xludf.DUMMYFUNCTION("""COMPUTED_VALUE"""),"https://lh5.googleusercontent.com/d/1afiryto6Uxpduqflt916wpy-mTTi_kZr")</f>
        <v>https://lh5.googleusercontent.com/d/1afiryto6Uxpduqflt916wpy-mTTi_kZr</v>
      </c>
      <c r="O869" s="14" t="str">
        <f>IFERROR(__xludf.DUMMYFUNCTION("""COMPUTED_VALUE"""),"https://drive.google.com/file/d/1q9ejhE3cgpr41fIwU8eAmVn3PBXaG0Ff/view?usp=drivesdk")</f>
        <v>https://drive.google.com/file/d/1q9ejhE3cgpr41fIwU8eAmVn3PBXaG0Ff/view?usp=drivesdk</v>
      </c>
    </row>
    <row r="870">
      <c r="A870" s="3">
        <f>IFERROR(__xludf.DUMMYFUNCTION("""COMPUTED_VALUE"""),3488.0)</f>
        <v>3488</v>
      </c>
      <c r="B870" s="11">
        <f>IFERROR(__xludf.DUMMYFUNCTION("""COMPUTED_VALUE"""),46182.86004722222)</f>
        <v>46182.86005</v>
      </c>
      <c r="C870" s="3" t="str">
        <f>IFERROR(__xludf.DUMMYFUNCTION("""COMPUTED_VALUE"""),"ชั้นปีที่ 3")</f>
        <v>ชั้นปีที่ 3</v>
      </c>
      <c r="D870" s="3" t="str">
        <f>IFERROR(__xludf.DUMMYFUNCTION("""COMPUTED_VALUE"""),"6603759")</f>
        <v>6603759</v>
      </c>
      <c r="E870" s="3" t="str">
        <f>IFERROR(__xludf.DUMMYFUNCTION("""COMPUTED_VALUE"""),"6")</f>
        <v>6</v>
      </c>
      <c r="F870" s="3" t="str">
        <f>IFERROR(__xludf.DUMMYFUNCTION("""COMPUTED_VALUE"""),"นพอ.เกรียงเดช รักถิ่นเดิม")</f>
        <v>นพอ.เกรียงเดช รักถิ่นเดิม</v>
      </c>
      <c r="G870" s="3" t="str">
        <f>IFERROR(__xludf.DUMMYFUNCTION("""COMPUTED_VALUE"""),"ช่วยเหลืองานภายใน วพอ.")</f>
        <v>ช่วยเหลืองานภายใน วพอ.</v>
      </c>
      <c r="H870" s="3" t="str">
        <f>IFERROR(__xludf.DUMMYFUNCTION("""COMPUTED_VALUE"""),"ทดสอบพิเศษ")</f>
        <v>ทดสอบพิเศษ</v>
      </c>
      <c r="I870" s="3" t="str">
        <f>IFERROR(__xludf.DUMMYFUNCTION("""COMPUTED_VALUE"""),"วพอ.พอ.")</f>
        <v>วพอ.พอ.</v>
      </c>
      <c r="J870" s="12">
        <f>IFERROR(__xludf.DUMMYFUNCTION("""COMPUTED_VALUE"""),46147.0)</f>
        <v>46147</v>
      </c>
      <c r="K870" s="3" t="str">
        <f>IFERROR(__xludf.DUMMYFUNCTION("""COMPUTED_VALUE"""),"0800-1600")</f>
        <v>0800-1600</v>
      </c>
      <c r="L870" s="3">
        <f>IFERROR(__xludf.DUMMYFUNCTION("""COMPUTED_VALUE"""),8.0)</f>
        <v>8</v>
      </c>
      <c r="M870" s="3" t="str">
        <f>IFERROR(__xludf.DUMMYFUNCTION("""COMPUTED_VALUE"""),"น.ท.หญิง ดร.ลักษ์ขณา พานิชสรรค์")</f>
        <v>น.ท.หญิง ดร.ลักษ์ขณา พานิชสรรค์</v>
      </c>
      <c r="N870" s="14" t="str">
        <f>IFERROR(__xludf.DUMMYFUNCTION("""COMPUTED_VALUE"""),"https://lh5.googleusercontent.com/d/1reh9gnEzsYMoDYoV4o5rz_VOff7yeH_V")</f>
        <v>https://lh5.googleusercontent.com/d/1reh9gnEzsYMoDYoV4o5rz_VOff7yeH_V</v>
      </c>
      <c r="O870" s="14" t="str">
        <f>IFERROR(__xludf.DUMMYFUNCTION("""COMPUTED_VALUE"""),"https://drive.google.com/file/d/1FODjd3x4b2HSbYtHj0dga7idNorwC315/view?usp=drivesdk")</f>
        <v>https://drive.google.com/file/d/1FODjd3x4b2HSbYtHj0dga7idNorwC315/view?usp=drivesdk</v>
      </c>
    </row>
    <row r="871">
      <c r="A871" s="3">
        <f>IFERROR(__xludf.DUMMYFUNCTION("""COMPUTED_VALUE"""),3489.0)</f>
        <v>3489</v>
      </c>
      <c r="B871" s="11">
        <f>IFERROR(__xludf.DUMMYFUNCTION("""COMPUTED_VALUE"""),46182.8626159375)</f>
        <v>46182.86262</v>
      </c>
      <c r="C871" s="3" t="str">
        <f>IFERROR(__xludf.DUMMYFUNCTION("""COMPUTED_VALUE"""),"ชั้นปีที่ 3")</f>
        <v>ชั้นปีที่ 3</v>
      </c>
      <c r="D871" s="3" t="str">
        <f>IFERROR(__xludf.DUMMYFUNCTION("""COMPUTED_VALUE"""),"6603759")</f>
        <v>6603759</v>
      </c>
      <c r="E871" s="3" t="str">
        <f>IFERROR(__xludf.DUMMYFUNCTION("""COMPUTED_VALUE"""),"6")</f>
        <v>6</v>
      </c>
      <c r="F871" s="3" t="str">
        <f>IFERROR(__xludf.DUMMYFUNCTION("""COMPUTED_VALUE"""),"นพอ.เกรียงเดช รักถิ่นเดิม")</f>
        <v>นพอ.เกรียงเดช รักถิ่นเดิม</v>
      </c>
      <c r="G871" s="3" t="str">
        <f>IFERROR(__xludf.DUMMYFUNCTION("""COMPUTED_VALUE"""),"ช่วยเหลืองานภายใน วพอ.")</f>
        <v>ช่วยเหลืองานภายใน วพอ.</v>
      </c>
      <c r="H871" s="3" t="str">
        <f>IFERROR(__xludf.DUMMYFUNCTION("""COMPUTED_VALUE"""),"อนุรักษ์สิ่งแวดล้อม")</f>
        <v>อนุรักษ์สิ่งแวดล้อม</v>
      </c>
      <c r="I871" s="3" t="str">
        <f>IFERROR(__xludf.DUMMYFUNCTION("""COMPUTED_VALUE"""),"วพอ.พอ.")</f>
        <v>วพอ.พอ.</v>
      </c>
      <c r="J871" s="12">
        <f>IFERROR(__xludf.DUMMYFUNCTION("""COMPUTED_VALUE"""),46129.0)</f>
        <v>46129</v>
      </c>
      <c r="K871" s="3" t="str">
        <f>IFERROR(__xludf.DUMMYFUNCTION("""COMPUTED_VALUE"""),"0800-1200")</f>
        <v>0800-1200</v>
      </c>
      <c r="L871" s="3">
        <f>IFERROR(__xludf.DUMMYFUNCTION("""COMPUTED_VALUE"""),4.0)</f>
        <v>4</v>
      </c>
      <c r="M871" s="3" t="str">
        <f>IFERROR(__xludf.DUMMYFUNCTION("""COMPUTED_VALUE"""),"น.ท.หญิง สุพัตรา ปิ่นแก้ว")</f>
        <v>น.ท.หญิง สุพัตรา ปิ่นแก้ว</v>
      </c>
      <c r="N871" s="14" t="str">
        <f>IFERROR(__xludf.DUMMYFUNCTION("""COMPUTED_VALUE"""),"https://lh5.googleusercontent.com/d/1SaJqwptR6e6zvkD46H4INlxmxHk5id_V")</f>
        <v>https://lh5.googleusercontent.com/d/1SaJqwptR6e6zvkD46H4INlxmxHk5id_V</v>
      </c>
      <c r="O871" s="14" t="str">
        <f>IFERROR(__xludf.DUMMYFUNCTION("""COMPUTED_VALUE"""),"https://drive.google.com/file/d/1aFIm2qL6vlpDwampXLJSiX7vBnQfI-Jo/view?usp=drivesdk")</f>
        <v>https://drive.google.com/file/d/1aFIm2qL6vlpDwampXLJSiX7vBnQfI-Jo/view?usp=drivesdk</v>
      </c>
    </row>
    <row r="872">
      <c r="A872" s="3">
        <f>IFERROR(__xludf.DUMMYFUNCTION("""COMPUTED_VALUE"""),3490.0)</f>
        <v>3490</v>
      </c>
      <c r="B872" s="11">
        <f>IFERROR(__xludf.DUMMYFUNCTION("""COMPUTED_VALUE"""),46182.865392025466)</f>
        <v>46182.86539</v>
      </c>
      <c r="C872" s="3" t="str">
        <f>IFERROR(__xludf.DUMMYFUNCTION("""COMPUTED_VALUE"""),"ชั้นปีที่ 3")</f>
        <v>ชั้นปีที่ 3</v>
      </c>
      <c r="D872" s="3" t="str">
        <f>IFERROR(__xludf.DUMMYFUNCTION("""COMPUTED_VALUE"""),"6603806")</f>
        <v>6603806</v>
      </c>
      <c r="E872" s="3" t="str">
        <f>IFERROR(__xludf.DUMMYFUNCTION("""COMPUTED_VALUE"""),"52")</f>
        <v>52</v>
      </c>
      <c r="F872" s="3" t="str">
        <f>IFERROR(__xludf.DUMMYFUNCTION("""COMPUTED_VALUE"""),"นพอ.ศุภิสรา หอมหวล")</f>
        <v>นพอ.ศุภิสรา หอมหวล</v>
      </c>
      <c r="G872" s="3" t="str">
        <f>IFERROR(__xludf.DUMMYFUNCTION("""COMPUTED_VALUE"""),"ช่วยเหลืองานภายใน วพอ.")</f>
        <v>ช่วยเหลืองานภายใน วพอ.</v>
      </c>
      <c r="H872" s="3" t="str">
        <f>IFERROR(__xludf.DUMMYFUNCTION("""COMPUTED_VALUE"""),"ซ้อมงานพิธีมอบ หมวกพยาบาลวิชาชีพ ปีการศึกษา 2568")</f>
        <v>ซ้อมงานพิธีมอบ หมวกพยาบาลวิชาชีพ ปีการศึกษา 2568</v>
      </c>
      <c r="I872" s="3" t="str">
        <f>IFERROR(__xludf.DUMMYFUNCTION("""COMPUTED_VALUE"""),"วพอ.พอ.")</f>
        <v>วพอ.พอ.</v>
      </c>
      <c r="J872" s="12">
        <f>IFERROR(__xludf.DUMMYFUNCTION("""COMPUTED_VALUE"""),46135.0)</f>
        <v>46135</v>
      </c>
      <c r="K872" s="3" t="str">
        <f>IFERROR(__xludf.DUMMYFUNCTION("""COMPUTED_VALUE"""),"1700-2100")</f>
        <v>1700-2100</v>
      </c>
      <c r="L872" s="3">
        <f>IFERROR(__xludf.DUMMYFUNCTION("""COMPUTED_VALUE"""),4.0)</f>
        <v>4</v>
      </c>
      <c r="M872" s="3" t="str">
        <f>IFERROR(__xludf.DUMMYFUNCTION("""COMPUTED_VALUE"""),"ร.อ.อนุชิต ทำจะดี")</f>
        <v>ร.อ.อนุชิต ทำจะดี</v>
      </c>
      <c r="N872" s="14" t="str">
        <f>IFERROR(__xludf.DUMMYFUNCTION("""COMPUTED_VALUE"""),"https://lh5.googleusercontent.com/d/1A84uZiFtl6vF6F2e89r-Nn-zXoUX7hmL")</f>
        <v>https://lh5.googleusercontent.com/d/1A84uZiFtl6vF6F2e89r-Nn-zXoUX7hmL</v>
      </c>
      <c r="O872" s="14" t="str">
        <f>IFERROR(__xludf.DUMMYFUNCTION("""COMPUTED_VALUE"""),"https://drive.google.com/file/d/1u8o-LiXrrQrs_AVhxHqEtVEvY7ihFk--/view?usp=drivesdk")</f>
        <v>https://drive.google.com/file/d/1u8o-LiXrrQrs_AVhxHqEtVEvY7ihFk--/view?usp=drivesdk</v>
      </c>
    </row>
    <row r="873">
      <c r="A873" s="3">
        <f>IFERROR(__xludf.DUMMYFUNCTION("""COMPUTED_VALUE"""),3492.0)</f>
        <v>3492</v>
      </c>
      <c r="B873" s="11">
        <f>IFERROR(__xludf.DUMMYFUNCTION("""COMPUTED_VALUE"""),46182.86780202547)</f>
        <v>46182.8678</v>
      </c>
      <c r="C873" s="3" t="str">
        <f>IFERROR(__xludf.DUMMYFUNCTION("""COMPUTED_VALUE"""),"ชั้นปีที่ 3")</f>
        <v>ชั้นปีที่ 3</v>
      </c>
      <c r="D873" s="3" t="str">
        <f>IFERROR(__xludf.DUMMYFUNCTION("""COMPUTED_VALUE"""),"6603806")</f>
        <v>6603806</v>
      </c>
      <c r="E873" s="3" t="str">
        <f>IFERROR(__xludf.DUMMYFUNCTION("""COMPUTED_VALUE"""),"52")</f>
        <v>52</v>
      </c>
      <c r="F873" s="3" t="str">
        <f>IFERROR(__xludf.DUMMYFUNCTION("""COMPUTED_VALUE"""),"นพอ.ศุภิสรา หอมหวล")</f>
        <v>นพอ.ศุภิสรา หอมหวล</v>
      </c>
      <c r="G873" s="3" t="str">
        <f>IFERROR(__xludf.DUMMYFUNCTION("""COMPUTED_VALUE"""),"ช่วยเหลืองานภายใน วพอ.")</f>
        <v>ช่วยเหลืองานภายใน วพอ.</v>
      </c>
      <c r="H873" s="3" t="str">
        <f>IFERROR(__xludf.DUMMYFUNCTION("""COMPUTED_VALUE"""),"ซ้อมงานพิธีมอบ หมวกพยาบาลวิชาชีพ ปีการศึกษา 2568")</f>
        <v>ซ้อมงานพิธีมอบ หมวกพยาบาลวิชาชีพ ปีการศึกษา 2568</v>
      </c>
      <c r="I873" s="3" t="str">
        <f>IFERROR(__xludf.DUMMYFUNCTION("""COMPUTED_VALUE"""),"วพอ.พอ.")</f>
        <v>วพอ.พอ.</v>
      </c>
      <c r="J873" s="12">
        <f>IFERROR(__xludf.DUMMYFUNCTION("""COMPUTED_VALUE"""),46138.0)</f>
        <v>46138</v>
      </c>
      <c r="K873" s="3" t="str">
        <f>IFERROR(__xludf.DUMMYFUNCTION("""COMPUTED_VALUE"""),"1500-2100")</f>
        <v>1500-2100</v>
      </c>
      <c r="L873" s="3">
        <f>IFERROR(__xludf.DUMMYFUNCTION("""COMPUTED_VALUE"""),6.0)</f>
        <v>6</v>
      </c>
      <c r="M873" s="3" t="str">
        <f>IFERROR(__xludf.DUMMYFUNCTION("""COMPUTED_VALUE"""),"ร.อ.อนุชิต ทำจะดี")</f>
        <v>ร.อ.อนุชิต ทำจะดี</v>
      </c>
      <c r="N873" s="14" t="str">
        <f>IFERROR(__xludf.DUMMYFUNCTION("""COMPUTED_VALUE"""),"https://lh5.googleusercontent.com/d/1IWx4FacjgS3SmyTRiKNgZr3Qqu54e5Kk")</f>
        <v>https://lh5.googleusercontent.com/d/1IWx4FacjgS3SmyTRiKNgZr3Qqu54e5Kk</v>
      </c>
      <c r="O873" s="14" t="str">
        <f>IFERROR(__xludf.DUMMYFUNCTION("""COMPUTED_VALUE"""),"https://drive.google.com/file/d/1t67VwOwE44YLsqdShr8OsW8dV-aaUVWT/view?usp=drivesdk")</f>
        <v>https://drive.google.com/file/d/1t67VwOwE44YLsqdShr8OsW8dV-aaUVWT/view?usp=drivesdk</v>
      </c>
    </row>
    <row r="874">
      <c r="A874" s="3">
        <f>IFERROR(__xludf.DUMMYFUNCTION("""COMPUTED_VALUE"""),3494.0)</f>
        <v>3494</v>
      </c>
      <c r="B874" s="11">
        <f>IFERROR(__xludf.DUMMYFUNCTION("""COMPUTED_VALUE"""),46182.86992736111)</f>
        <v>46182.86993</v>
      </c>
      <c r="C874" s="3" t="str">
        <f>IFERROR(__xludf.DUMMYFUNCTION("""COMPUTED_VALUE"""),"ชั้นปีที่ 3")</f>
        <v>ชั้นปีที่ 3</v>
      </c>
      <c r="D874" s="3" t="str">
        <f>IFERROR(__xludf.DUMMYFUNCTION("""COMPUTED_VALUE"""),"6603806")</f>
        <v>6603806</v>
      </c>
      <c r="E874" s="3" t="str">
        <f>IFERROR(__xludf.DUMMYFUNCTION("""COMPUTED_VALUE"""),"52")</f>
        <v>52</v>
      </c>
      <c r="F874" s="3" t="str">
        <f>IFERROR(__xludf.DUMMYFUNCTION("""COMPUTED_VALUE"""),"นพอ.ศุภิสรา หอมหวล")</f>
        <v>นพอ.ศุภิสรา หอมหวล</v>
      </c>
      <c r="G874" s="3" t="str">
        <f>IFERROR(__xludf.DUMMYFUNCTION("""COMPUTED_VALUE"""),"ช่วยเหลืองานภายใน วพอ.")</f>
        <v>ช่วยเหลืองานภายใน วพอ.</v>
      </c>
      <c r="H874" s="3" t="str">
        <f>IFERROR(__xludf.DUMMYFUNCTION("""COMPUTED_VALUE"""),"ซ้อมงานพิธีมอบ หมวกพยาบาลวิชาชีพ ปีการศึกษา 2568")</f>
        <v>ซ้อมงานพิธีมอบ หมวกพยาบาลวิชาชีพ ปีการศึกษา 2568</v>
      </c>
      <c r="I874" s="3" t="str">
        <f>IFERROR(__xludf.DUMMYFUNCTION("""COMPUTED_VALUE"""),"หอประชุมธูปะเตมีย์ รพ.ภูมิพลอดุลยเดช")</f>
        <v>หอประชุมธูปะเตมีย์ รพ.ภูมิพลอดุลยเดช</v>
      </c>
      <c r="J874" s="12">
        <f>IFERROR(__xludf.DUMMYFUNCTION("""COMPUTED_VALUE"""),46139.0)</f>
        <v>46139</v>
      </c>
      <c r="K874" s="3" t="str">
        <f>IFERROR(__xludf.DUMMYFUNCTION("""COMPUTED_VALUE"""),"1700-2100")</f>
        <v>1700-2100</v>
      </c>
      <c r="L874" s="3">
        <f>IFERROR(__xludf.DUMMYFUNCTION("""COMPUTED_VALUE"""),4.0)</f>
        <v>4</v>
      </c>
      <c r="M874" s="3" t="str">
        <f>IFERROR(__xludf.DUMMYFUNCTION("""COMPUTED_VALUE"""),"ร.อ.อนุชิต ทำจะดี")</f>
        <v>ร.อ.อนุชิต ทำจะดี</v>
      </c>
      <c r="N874" s="14" t="str">
        <f>IFERROR(__xludf.DUMMYFUNCTION("""COMPUTED_VALUE"""),"https://lh5.googleusercontent.com/d/1fCWV_aqDFYoF8iBiPZG0FBZrwZs0NBz_")</f>
        <v>https://lh5.googleusercontent.com/d/1fCWV_aqDFYoF8iBiPZG0FBZrwZs0NBz_</v>
      </c>
      <c r="O874" s="14" t="str">
        <f>IFERROR(__xludf.DUMMYFUNCTION("""COMPUTED_VALUE"""),"https://drive.google.com/file/d/1jr8RzUQB-jM1L3ET3fWy6Fmzpglnh3ji/view?usp=drivesdk")</f>
        <v>https://drive.google.com/file/d/1jr8RzUQB-jM1L3ET3fWy6Fmzpglnh3ji/view?usp=drivesdk</v>
      </c>
    </row>
    <row r="875">
      <c r="A875" s="3">
        <f>IFERROR(__xludf.DUMMYFUNCTION("""COMPUTED_VALUE"""),3496.0)</f>
        <v>3496</v>
      </c>
      <c r="B875" s="11">
        <f>IFERROR(__xludf.DUMMYFUNCTION("""COMPUTED_VALUE"""),46182.87192408565)</f>
        <v>46182.87192</v>
      </c>
      <c r="C875" s="3" t="str">
        <f>IFERROR(__xludf.DUMMYFUNCTION("""COMPUTED_VALUE"""),"ชั้นปีที่ 3")</f>
        <v>ชั้นปีที่ 3</v>
      </c>
      <c r="D875" s="3" t="str">
        <f>IFERROR(__xludf.DUMMYFUNCTION("""COMPUTED_VALUE"""),"6603759")</f>
        <v>6603759</v>
      </c>
      <c r="E875" s="3" t="str">
        <f>IFERROR(__xludf.DUMMYFUNCTION("""COMPUTED_VALUE"""),"6")</f>
        <v>6</v>
      </c>
      <c r="F875" s="3" t="str">
        <f>IFERROR(__xludf.DUMMYFUNCTION("""COMPUTED_VALUE"""),"นพอ.เกรียงเดช รักถิ่นเดิม")</f>
        <v>นพอ.เกรียงเดช รักถิ่นเดิม</v>
      </c>
      <c r="G875" s="3" t="str">
        <f>IFERROR(__xludf.DUMMYFUNCTION("""COMPUTED_VALUE"""),"ช่วยเหลืองานภายใน วพอ.")</f>
        <v>ช่วยเหลืองานภายใน วพอ.</v>
      </c>
      <c r="H875" s="3" t="str">
        <f>IFERROR(__xludf.DUMMYFUNCTION("""COMPUTED_VALUE"""),"จัดห้องสอบสูติฯ พี่ นทน.")</f>
        <v>จัดห้องสอบสูติฯ พี่ นทน.</v>
      </c>
      <c r="I875" s="3" t="str">
        <f>IFERROR(__xludf.DUMMYFUNCTION("""COMPUTED_VALUE"""),"วพอ.พอ.")</f>
        <v>วพอ.พอ.</v>
      </c>
      <c r="J875" s="12">
        <f>IFERROR(__xludf.DUMMYFUNCTION("""COMPUTED_VALUE"""),46029.0)</f>
        <v>46029</v>
      </c>
      <c r="K875" s="3" t="str">
        <f>IFERROR(__xludf.DUMMYFUNCTION("""COMPUTED_VALUE"""),"1200-1700")</f>
        <v>1200-1700</v>
      </c>
      <c r="L875" s="3">
        <f>IFERROR(__xludf.DUMMYFUNCTION("""COMPUTED_VALUE"""),5.0)</f>
        <v>5</v>
      </c>
      <c r="M875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875" s="14" t="str">
        <f>IFERROR(__xludf.DUMMYFUNCTION("""COMPUTED_VALUE"""),"https://lh5.googleusercontent.com/d/1hJurYHH3qTWXtxjh2CBQ3vLo-JG4VE3Z")</f>
        <v>https://lh5.googleusercontent.com/d/1hJurYHH3qTWXtxjh2CBQ3vLo-JG4VE3Z</v>
      </c>
      <c r="O875" s="14" t="str">
        <f>IFERROR(__xludf.DUMMYFUNCTION("""COMPUTED_VALUE"""),"https://drive.google.com/file/d/1yGnSuUnMQi30WmkHqoRWhA8b5hLnCFdj/view?usp=drivesdk")</f>
        <v>https://drive.google.com/file/d/1yGnSuUnMQi30WmkHqoRWhA8b5hLnCFdj/view?usp=drivesdk</v>
      </c>
    </row>
    <row r="876">
      <c r="A876" s="3">
        <f>IFERROR(__xludf.DUMMYFUNCTION("""COMPUTED_VALUE"""),3498.0)</f>
        <v>3498</v>
      </c>
      <c r="B876" s="11">
        <f>IFERROR(__xludf.DUMMYFUNCTION("""COMPUTED_VALUE"""),46182.876439224536)</f>
        <v>46182.87644</v>
      </c>
      <c r="C876" s="3" t="str">
        <f>IFERROR(__xludf.DUMMYFUNCTION("""COMPUTED_VALUE"""),"ชั้นปีที่ 3")</f>
        <v>ชั้นปีที่ 3</v>
      </c>
      <c r="D876" s="3" t="str">
        <f>IFERROR(__xludf.DUMMYFUNCTION("""COMPUTED_VALUE"""),"6603759")</f>
        <v>6603759</v>
      </c>
      <c r="E876" s="3" t="str">
        <f>IFERROR(__xludf.DUMMYFUNCTION("""COMPUTED_VALUE"""),"6")</f>
        <v>6</v>
      </c>
      <c r="F876" s="3" t="str">
        <f>IFERROR(__xludf.DUMMYFUNCTION("""COMPUTED_VALUE"""),"นพอ.เกรียงเดช รักถิ่นเดิม")</f>
        <v>นพอ.เกรียงเดช รักถิ่นเดิม</v>
      </c>
      <c r="G876" s="3" t="str">
        <f>IFERROR(__xludf.DUMMYFUNCTION("""COMPUTED_VALUE"""),"ช่วยเหลืองานภายใน วพอ.")</f>
        <v>ช่วยเหลืองานภายใน วพอ.</v>
      </c>
      <c r="H876" s="3" t="str">
        <f>IFERROR(__xludf.DUMMYFUNCTION("""COMPUTED_VALUE"""),"ซ้อมเกียรติยศสวีแด")</f>
        <v>ซ้อมเกียรติยศสวีแด</v>
      </c>
      <c r="I876" s="3" t="str">
        <f>IFERROR(__xludf.DUMMYFUNCTION("""COMPUTED_VALUE"""),"วพอ.พอ.")</f>
        <v>วพอ.พอ.</v>
      </c>
      <c r="J876" s="12">
        <f>IFERROR(__xludf.DUMMYFUNCTION("""COMPUTED_VALUE"""),46133.0)</f>
        <v>46133</v>
      </c>
      <c r="K876" s="3" t="str">
        <f>IFERROR(__xludf.DUMMYFUNCTION("""COMPUTED_VALUE"""),"1700-2100")</f>
        <v>1700-2100</v>
      </c>
      <c r="L876" s="3">
        <f>IFERROR(__xludf.DUMMYFUNCTION("""COMPUTED_VALUE"""),4.0)</f>
        <v>4</v>
      </c>
      <c r="M876" s="3" t="str">
        <f>IFERROR(__xludf.DUMMYFUNCTION("""COMPUTED_VALUE"""),"ร.อ.อนุชิต ทำจะดี")</f>
        <v>ร.อ.อนุชิต ทำจะดี</v>
      </c>
      <c r="N876" s="14" t="str">
        <f>IFERROR(__xludf.DUMMYFUNCTION("""COMPUTED_VALUE"""),"https://lh5.googleusercontent.com/d/10Z999r--oTU6TrqwIU0vRHTZs7m3ypLU")</f>
        <v>https://lh5.googleusercontent.com/d/10Z999r--oTU6TrqwIU0vRHTZs7m3ypLU</v>
      </c>
      <c r="O876" s="14" t="str">
        <f>IFERROR(__xludf.DUMMYFUNCTION("""COMPUTED_VALUE"""),"https://drive.google.com/file/d/1hLISLci1xtLIXnBlbVcCtPqzwc3hU_MZ/view?usp=drivesdk")</f>
        <v>https://drive.google.com/file/d/1hLISLci1xtLIXnBlbVcCtPqzwc3hU_MZ/view?usp=drivesdk</v>
      </c>
    </row>
    <row r="877">
      <c r="A877" s="3">
        <f>IFERROR(__xludf.DUMMYFUNCTION("""COMPUTED_VALUE"""),3501.0)</f>
        <v>3501</v>
      </c>
      <c r="B877" s="11">
        <f>IFERROR(__xludf.DUMMYFUNCTION("""COMPUTED_VALUE"""),46182.88004581018)</f>
        <v>46182.88005</v>
      </c>
      <c r="C877" s="3" t="str">
        <f>IFERROR(__xludf.DUMMYFUNCTION("""COMPUTED_VALUE"""),"ชั้นปีที่ 3")</f>
        <v>ชั้นปีที่ 3</v>
      </c>
      <c r="D877" s="3" t="str">
        <f>IFERROR(__xludf.DUMMYFUNCTION("""COMPUTED_VALUE"""),"6603759")</f>
        <v>6603759</v>
      </c>
      <c r="E877" s="3" t="str">
        <f>IFERROR(__xludf.DUMMYFUNCTION("""COMPUTED_VALUE"""),"6")</f>
        <v>6</v>
      </c>
      <c r="F877" s="3" t="str">
        <f>IFERROR(__xludf.DUMMYFUNCTION("""COMPUTED_VALUE"""),"นพอ.เกรียงเดช รักถิ่นเดิม")</f>
        <v>นพอ.เกรียงเดช รักถิ่นเดิม</v>
      </c>
      <c r="G877" s="3" t="str">
        <f>IFERROR(__xludf.DUMMYFUNCTION("""COMPUTED_VALUE"""),"ช่วยเหลืองานภายใน วพอ.")</f>
        <v>ช่วยเหลืองานภายใน วพอ.</v>
      </c>
      <c r="H877" s="3" t="str">
        <f>IFERROR(__xludf.DUMMYFUNCTION("""COMPUTED_VALUE"""),"ซ้อมงานพิธีรับหมวกพยาบาลวิชาชีพ ปีการศึกษา 2569")</f>
        <v>ซ้อมงานพิธีรับหมวกพยาบาลวิชาชีพ ปีการศึกษา 2569</v>
      </c>
      <c r="I877" s="3" t="str">
        <f>IFERROR(__xludf.DUMMYFUNCTION("""COMPUTED_VALUE"""),"วพอ.พอ.")</f>
        <v>วพอ.พอ.</v>
      </c>
      <c r="J877" s="12">
        <f>IFERROR(__xludf.DUMMYFUNCTION("""COMPUTED_VALUE"""),46134.0)</f>
        <v>46134</v>
      </c>
      <c r="K877" s="3" t="str">
        <f>IFERROR(__xludf.DUMMYFUNCTION("""COMPUTED_VALUE"""),"1700-2100")</f>
        <v>1700-2100</v>
      </c>
      <c r="L877" s="3">
        <f>IFERROR(__xludf.DUMMYFUNCTION("""COMPUTED_VALUE"""),4.0)</f>
        <v>4</v>
      </c>
      <c r="M877" s="3" t="str">
        <f>IFERROR(__xludf.DUMMYFUNCTION("""COMPUTED_VALUE"""),"ร.อ.อนุชิต ทำจะดี")</f>
        <v>ร.อ.อนุชิต ทำจะดี</v>
      </c>
      <c r="N877" s="14" t="str">
        <f>IFERROR(__xludf.DUMMYFUNCTION("""COMPUTED_VALUE"""),"https://lh5.googleusercontent.com/d/1z1FSVkN9p3k36bx4r3D3sswL9iX4d_Zd")</f>
        <v>https://lh5.googleusercontent.com/d/1z1FSVkN9p3k36bx4r3D3sswL9iX4d_Zd</v>
      </c>
      <c r="O877" s="14" t="str">
        <f>IFERROR(__xludf.DUMMYFUNCTION("""COMPUTED_VALUE"""),"https://drive.google.com/file/d/1yMGzhIbZS4TZwc2F4JHZJjIJVRhHtwuk/view?usp=drivesdk")</f>
        <v>https://drive.google.com/file/d/1yMGzhIbZS4TZwc2F4JHZJjIJVRhHtwuk/view?usp=drivesdk</v>
      </c>
    </row>
    <row r="878">
      <c r="A878" s="3">
        <f>IFERROR(__xludf.DUMMYFUNCTION("""COMPUTED_VALUE"""),3503.0)</f>
        <v>3503</v>
      </c>
      <c r="B878" s="11">
        <f>IFERROR(__xludf.DUMMYFUNCTION("""COMPUTED_VALUE"""),46182.881160868055)</f>
        <v>46182.88116</v>
      </c>
      <c r="C878" s="3" t="str">
        <f>IFERROR(__xludf.DUMMYFUNCTION("""COMPUTED_VALUE"""),"ชั้นปีที่ 3")</f>
        <v>ชั้นปีที่ 3</v>
      </c>
      <c r="D878" s="3" t="str">
        <f>IFERROR(__xludf.DUMMYFUNCTION("""COMPUTED_VALUE"""),"6603759")</f>
        <v>6603759</v>
      </c>
      <c r="E878" s="3" t="str">
        <f>IFERROR(__xludf.DUMMYFUNCTION("""COMPUTED_VALUE"""),"6")</f>
        <v>6</v>
      </c>
      <c r="F878" s="3" t="str">
        <f>IFERROR(__xludf.DUMMYFUNCTION("""COMPUTED_VALUE"""),"นพอ.เกรียงเดช รักถิ่นเดิม")</f>
        <v>นพอ.เกรียงเดช รักถิ่นเดิม</v>
      </c>
      <c r="G878" s="3" t="str">
        <f>IFERROR(__xludf.DUMMYFUNCTION("""COMPUTED_VALUE"""),"ช่วยเหลืองานภายใน วพอ.")</f>
        <v>ช่วยเหลืองานภายใน วพอ.</v>
      </c>
      <c r="H878" s="3" t="str">
        <f>IFERROR(__xludf.DUMMYFUNCTION("""COMPUTED_VALUE"""),"ซ้อมงานพิธีรับหมวกพยาบาลวิชาชีพ ปีการศึกษา 2569")</f>
        <v>ซ้อมงานพิธีรับหมวกพยาบาลวิชาชีพ ปีการศึกษา 2569</v>
      </c>
      <c r="I878" s="3" t="str">
        <f>IFERROR(__xludf.DUMMYFUNCTION("""COMPUTED_VALUE"""),"วพอ.พอ.")</f>
        <v>วพอ.พอ.</v>
      </c>
      <c r="J878" s="12">
        <f>IFERROR(__xludf.DUMMYFUNCTION("""COMPUTED_VALUE"""),46135.0)</f>
        <v>46135</v>
      </c>
      <c r="K878" s="3" t="str">
        <f>IFERROR(__xludf.DUMMYFUNCTION("""COMPUTED_VALUE"""),"1700-2100")</f>
        <v>1700-2100</v>
      </c>
      <c r="L878" s="3">
        <f>IFERROR(__xludf.DUMMYFUNCTION("""COMPUTED_VALUE"""),4.0)</f>
        <v>4</v>
      </c>
      <c r="M878" s="3" t="str">
        <f>IFERROR(__xludf.DUMMYFUNCTION("""COMPUTED_VALUE"""),"ร.อ.อนุชิต ทำจะดี")</f>
        <v>ร.อ.อนุชิต ทำจะดี</v>
      </c>
      <c r="N878" s="14" t="str">
        <f>IFERROR(__xludf.DUMMYFUNCTION("""COMPUTED_VALUE"""),"https://lh5.googleusercontent.com/d/1ovjGhVCXyLUlicGjvQ80bWrchw5lAo6J")</f>
        <v>https://lh5.googleusercontent.com/d/1ovjGhVCXyLUlicGjvQ80bWrchw5lAo6J</v>
      </c>
      <c r="O878" s="14" t="str">
        <f>IFERROR(__xludf.DUMMYFUNCTION("""COMPUTED_VALUE"""),"https://drive.google.com/file/d/1GQiKd3qimw4S8QrM_wv5puhXEbs4CMbg/view?usp=drivesdk")</f>
        <v>https://drive.google.com/file/d/1GQiKd3qimw4S8QrM_wv5puhXEbs4CMbg/view?usp=drivesdk</v>
      </c>
    </row>
    <row r="879">
      <c r="A879" s="3">
        <f>IFERROR(__xludf.DUMMYFUNCTION("""COMPUTED_VALUE"""),3504.0)</f>
        <v>3504</v>
      </c>
      <c r="B879" s="11">
        <f>IFERROR(__xludf.DUMMYFUNCTION("""COMPUTED_VALUE"""),46182.88172800926)</f>
        <v>46182.88173</v>
      </c>
      <c r="C879" s="3" t="str">
        <f>IFERROR(__xludf.DUMMYFUNCTION("""COMPUTED_VALUE"""),"ชั้นปีที่ 3")</f>
        <v>ชั้นปีที่ 3</v>
      </c>
      <c r="D879" s="3" t="str">
        <f>IFERROR(__xludf.DUMMYFUNCTION("""COMPUTED_VALUE"""),"6603762")</f>
        <v>6603762</v>
      </c>
      <c r="E879" s="3" t="str">
        <f>IFERROR(__xludf.DUMMYFUNCTION("""COMPUTED_VALUE"""),"9")</f>
        <v>9</v>
      </c>
      <c r="F879" s="3" t="str">
        <f>IFERROR(__xludf.DUMMYFUNCTION("""COMPUTED_VALUE"""),"นพอ.ชฎาภา บุตรวงษ์")</f>
        <v>นพอ.ชฎาภา บุตรวงษ์</v>
      </c>
      <c r="G8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79" s="3" t="str">
        <f>IFERROR(__xludf.DUMMYFUNCTION("""COMPUTED_VALUE"""),"งานกาชาด ปี2568")</f>
        <v>งานกาชาด ปี2568</v>
      </c>
      <c r="I879" s="3" t="str">
        <f>IFERROR(__xludf.DUMMYFUNCTION("""COMPUTED_VALUE"""),"สวนลุมพินี")</f>
        <v>สวนลุมพินี</v>
      </c>
      <c r="J879" s="12">
        <f>IFERROR(__xludf.DUMMYFUNCTION("""COMPUTED_VALUE"""),46011.0)</f>
        <v>46011</v>
      </c>
      <c r="K879" s="3" t="str">
        <f>IFERROR(__xludf.DUMMYFUNCTION("""COMPUTED_VALUE"""),"1200-2000")</f>
        <v>1200-2000</v>
      </c>
      <c r="L879" s="3">
        <f>IFERROR(__xludf.DUMMYFUNCTION("""COMPUTED_VALUE"""),8.0)</f>
        <v>8</v>
      </c>
      <c r="M879" s="3" t="str">
        <f>IFERROR(__xludf.DUMMYFUNCTION("""COMPUTED_VALUE"""),"น.อ.หญิง ผศ.วัลลภา อันดารา")</f>
        <v>น.อ.หญิง ผศ.วัลลภา อันดารา</v>
      </c>
      <c r="N879" s="14" t="str">
        <f>IFERROR(__xludf.DUMMYFUNCTION("""COMPUTED_VALUE"""),"https://lh5.googleusercontent.com/d/1kv_jc-2V9_6DqTRD8J7jCVlpFGqD5jCX")</f>
        <v>https://lh5.googleusercontent.com/d/1kv_jc-2V9_6DqTRD8J7jCVlpFGqD5jCX</v>
      </c>
      <c r="O879" s="14" t="str">
        <f>IFERROR(__xludf.DUMMYFUNCTION("""COMPUTED_VALUE"""),"https://drive.google.com/file/d/1MQQf3-0KF7jksAkgFhHpsaV6zOxtj80u/view?usp=drivesdk")</f>
        <v>https://drive.google.com/file/d/1MQQf3-0KF7jksAkgFhHpsaV6zOxtj80u/view?usp=drivesdk</v>
      </c>
    </row>
    <row r="880">
      <c r="A880" s="3">
        <f>IFERROR(__xludf.DUMMYFUNCTION("""COMPUTED_VALUE"""),3505.0)</f>
        <v>3505</v>
      </c>
      <c r="B880" s="11">
        <f>IFERROR(__xludf.DUMMYFUNCTION("""COMPUTED_VALUE"""),46182.882342523146)</f>
        <v>46182.88234</v>
      </c>
      <c r="C880" s="3" t="str">
        <f>IFERROR(__xludf.DUMMYFUNCTION("""COMPUTED_VALUE"""),"ชั้นปีที่ 3")</f>
        <v>ชั้นปีที่ 3</v>
      </c>
      <c r="D880" s="3" t="str">
        <f>IFERROR(__xludf.DUMMYFUNCTION("""COMPUTED_VALUE"""),"6603759")</f>
        <v>6603759</v>
      </c>
      <c r="E880" s="3" t="str">
        <f>IFERROR(__xludf.DUMMYFUNCTION("""COMPUTED_VALUE"""),"6")</f>
        <v>6</v>
      </c>
      <c r="F880" s="3" t="str">
        <f>IFERROR(__xludf.DUMMYFUNCTION("""COMPUTED_VALUE"""),"นพอ.เกรียงเดช รักถิ่นเดิม")</f>
        <v>นพอ.เกรียงเดช รักถิ่นเดิม</v>
      </c>
      <c r="G880" s="3" t="str">
        <f>IFERROR(__xludf.DUMMYFUNCTION("""COMPUTED_VALUE"""),"ช่วยเหลืองานภายใน วพอ.")</f>
        <v>ช่วยเหลืองานภายใน วพอ.</v>
      </c>
      <c r="H880" s="3" t="str">
        <f>IFERROR(__xludf.DUMMYFUNCTION("""COMPUTED_VALUE"""),"ซ้อมงานพิธีรับหมวกพยาบาลวิชาชีพ ปีการศึกษา 2569")</f>
        <v>ซ้อมงานพิธีรับหมวกพยาบาลวิชาชีพ ปีการศึกษา 2569</v>
      </c>
      <c r="I880" s="3" t="str">
        <f>IFERROR(__xludf.DUMMYFUNCTION("""COMPUTED_VALUE"""),"วพอ.พอ.")</f>
        <v>วพอ.พอ.</v>
      </c>
      <c r="J880" s="12">
        <f>IFERROR(__xludf.DUMMYFUNCTION("""COMPUTED_VALUE"""),46138.0)</f>
        <v>46138</v>
      </c>
      <c r="K880" s="3" t="str">
        <f>IFERROR(__xludf.DUMMYFUNCTION("""COMPUTED_VALUE"""),"1500-2100")</f>
        <v>1500-2100</v>
      </c>
      <c r="L880" s="3">
        <f>IFERROR(__xludf.DUMMYFUNCTION("""COMPUTED_VALUE"""),6.0)</f>
        <v>6</v>
      </c>
      <c r="M880" s="3" t="str">
        <f>IFERROR(__xludf.DUMMYFUNCTION("""COMPUTED_VALUE"""),"ร.อ.อนุชิต ทำจะดี")</f>
        <v>ร.อ.อนุชิต ทำจะดี</v>
      </c>
      <c r="N880" s="14" t="str">
        <f>IFERROR(__xludf.DUMMYFUNCTION("""COMPUTED_VALUE"""),"https://lh5.googleusercontent.com/d/16rEVU_VPDKgxjluQxpBPc7zZcNHKSP4t")</f>
        <v>https://lh5.googleusercontent.com/d/16rEVU_VPDKgxjluQxpBPc7zZcNHKSP4t</v>
      </c>
      <c r="O880" s="3"/>
    </row>
    <row r="881">
      <c r="A881" s="3">
        <f>IFERROR(__xludf.DUMMYFUNCTION("""COMPUTED_VALUE"""),3507.0)</f>
        <v>3507</v>
      </c>
      <c r="B881" s="11">
        <f>IFERROR(__xludf.DUMMYFUNCTION("""COMPUTED_VALUE"""),46182.88345969907)</f>
        <v>46182.88346</v>
      </c>
      <c r="C881" s="3" t="str">
        <f>IFERROR(__xludf.DUMMYFUNCTION("""COMPUTED_VALUE"""),"ชั้นปีที่ 3")</f>
        <v>ชั้นปีที่ 3</v>
      </c>
      <c r="D881" s="3" t="str">
        <f>IFERROR(__xludf.DUMMYFUNCTION("""COMPUTED_VALUE"""),"6603802")</f>
        <v>6603802</v>
      </c>
      <c r="E881" s="3" t="str">
        <f>IFERROR(__xludf.DUMMYFUNCTION("""COMPUTED_VALUE"""),"48")</f>
        <v>48</v>
      </c>
      <c r="F881" s="3" t="str">
        <f>IFERROR(__xludf.DUMMYFUNCTION("""COMPUTED_VALUE"""),"นพอ.ศตพร คงศักดิ์")</f>
        <v>นพอ.ศตพร คงศักดิ์</v>
      </c>
      <c r="G881" s="3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881" s="3" t="str">
        <f>IFERROR(__xludf.DUMMYFUNCTION("""COMPUTED_VALUE"""),"ซ้อมเต้นนำเสนออัตลักษณ์วิทยาลัย")</f>
        <v>ซ้อมเต้นนำเสนออัตลักษณ์วิทยาลัย</v>
      </c>
      <c r="I881" s="3" t="str">
        <f>IFERROR(__xludf.DUMMYFUNCTION("""COMPUTED_VALUE"""),"วพอ.พอ.")</f>
        <v>วพอ.พอ.</v>
      </c>
      <c r="J881" s="12">
        <f>IFERROR(__xludf.DUMMYFUNCTION("""COMPUTED_VALUE"""),46180.0)</f>
        <v>46180</v>
      </c>
      <c r="K881" s="3" t="str">
        <f>IFERROR(__xludf.DUMMYFUNCTION("""COMPUTED_VALUE"""),"1630-1800")</f>
        <v>1630-1800</v>
      </c>
      <c r="L881" s="3">
        <f>IFERROR(__xludf.DUMMYFUNCTION("""COMPUTED_VALUE"""),2.0)</f>
        <v>2</v>
      </c>
      <c r="M881" s="3" t="str">
        <f>IFERROR(__xludf.DUMMYFUNCTION("""COMPUTED_VALUE"""),"ร.อ.หญิง เบญญาดา บุรีรัตน์")</f>
        <v>ร.อ.หญิง เบญญาดา บุรีรัตน์</v>
      </c>
      <c r="N881" s="14" t="str">
        <f>IFERROR(__xludf.DUMMYFUNCTION("""COMPUTED_VALUE"""),"https://lh5.googleusercontent.com/d/1YaIdemWD9mvKCwNqGsDsgOzC-PDHV4fs")</f>
        <v>https://lh5.googleusercontent.com/d/1YaIdemWD9mvKCwNqGsDsgOzC-PDHV4fs</v>
      </c>
      <c r="O881" s="14" t="str">
        <f>IFERROR(__xludf.DUMMYFUNCTION("""COMPUTED_VALUE"""),"https://drive.google.com/file/d/1mkgK94GG4OZ_Ym00r_vOvJCg_h_au-5b/view?usp=drivesdk")</f>
        <v>https://drive.google.com/file/d/1mkgK94GG4OZ_Ym00r_vOvJCg_h_au-5b/view?usp=drivesdk</v>
      </c>
    </row>
    <row r="882">
      <c r="A882" s="3">
        <f>IFERROR(__xludf.DUMMYFUNCTION("""COMPUTED_VALUE"""),3508.0)</f>
        <v>3508</v>
      </c>
      <c r="B882" s="11">
        <f>IFERROR(__xludf.DUMMYFUNCTION("""COMPUTED_VALUE"""),46182.88368262731)</f>
        <v>46182.88368</v>
      </c>
      <c r="C882" s="3" t="str">
        <f>IFERROR(__xludf.DUMMYFUNCTION("""COMPUTED_VALUE"""),"ชั้นปีที่ 3")</f>
        <v>ชั้นปีที่ 3</v>
      </c>
      <c r="D882" s="3" t="str">
        <f>IFERROR(__xludf.DUMMYFUNCTION("""COMPUTED_VALUE"""),"6603759")</f>
        <v>6603759</v>
      </c>
      <c r="E882" s="3" t="str">
        <f>IFERROR(__xludf.DUMMYFUNCTION("""COMPUTED_VALUE"""),"6")</f>
        <v>6</v>
      </c>
      <c r="F882" s="3" t="str">
        <f>IFERROR(__xludf.DUMMYFUNCTION("""COMPUTED_VALUE"""),"นพอ.เกรียงเดช รักถิ่นเดิม")</f>
        <v>นพอ.เกรียงเดช รักถิ่นเดิม</v>
      </c>
      <c r="G882" s="3" t="str">
        <f>IFERROR(__xludf.DUMMYFUNCTION("""COMPUTED_VALUE"""),"ช่วยเหลืองานภายใน วพอ.")</f>
        <v>ช่วยเหลืองานภายใน วพอ.</v>
      </c>
      <c r="H882" s="3" t="str">
        <f>IFERROR(__xludf.DUMMYFUNCTION("""COMPUTED_VALUE"""),"ซ้อมงานพิธีรับหมวกพยาบาลวิชาชีพ ปีการศึกษา 2569")</f>
        <v>ซ้อมงานพิธีรับหมวกพยาบาลวิชาชีพ ปีการศึกษา 2569</v>
      </c>
      <c r="I882" s="3" t="str">
        <f>IFERROR(__xludf.DUMMYFUNCTION("""COMPUTED_VALUE"""),"หอประชุมธูปะเตมีย์ รพ.ภูมิพลฯ")</f>
        <v>หอประชุมธูปะเตมีย์ รพ.ภูมิพลฯ</v>
      </c>
      <c r="J882" s="12">
        <f>IFERROR(__xludf.DUMMYFUNCTION("""COMPUTED_VALUE"""),46139.0)</f>
        <v>46139</v>
      </c>
      <c r="K882" s="3" t="str">
        <f>IFERROR(__xludf.DUMMYFUNCTION("""COMPUTED_VALUE"""),"1700-2100")</f>
        <v>1700-2100</v>
      </c>
      <c r="L882" s="3">
        <f>IFERROR(__xludf.DUMMYFUNCTION("""COMPUTED_VALUE"""),4.0)</f>
        <v>4</v>
      </c>
      <c r="M882" s="3" t="str">
        <f>IFERROR(__xludf.DUMMYFUNCTION("""COMPUTED_VALUE"""),"ร.อ.อนุชิต ทำจะดี")</f>
        <v>ร.อ.อนุชิต ทำจะดี</v>
      </c>
      <c r="N882" s="14" t="str">
        <f>IFERROR(__xludf.DUMMYFUNCTION("""COMPUTED_VALUE"""),"https://lh5.googleusercontent.com/d/1RDdHwsGCQobaXKFdA8XIthPhtaPsgNwF")</f>
        <v>https://lh5.googleusercontent.com/d/1RDdHwsGCQobaXKFdA8XIthPhtaPsgNwF</v>
      </c>
      <c r="O882" s="14" t="str">
        <f>IFERROR(__xludf.DUMMYFUNCTION("""COMPUTED_VALUE"""),"https://drive.google.com/file/d/1vOQ_5YXoonibFYVkWCeeY-OCnbau5EC0/view?usp=drivesdk")</f>
        <v>https://drive.google.com/file/d/1vOQ_5YXoonibFYVkWCeeY-OCnbau5EC0/view?usp=drivesdk</v>
      </c>
    </row>
    <row r="883">
      <c r="A883" s="3">
        <f>IFERROR(__xludf.DUMMYFUNCTION("""COMPUTED_VALUE"""),3510.0)</f>
        <v>3510</v>
      </c>
      <c r="B883" s="11">
        <f>IFERROR(__xludf.DUMMYFUNCTION("""COMPUTED_VALUE"""),46182.88623322917)</f>
        <v>46182.88623</v>
      </c>
      <c r="C883" s="3" t="str">
        <f>IFERROR(__xludf.DUMMYFUNCTION("""COMPUTED_VALUE"""),"ชั้นปีที่ 3")</f>
        <v>ชั้นปีที่ 3</v>
      </c>
      <c r="D883" s="3" t="str">
        <f>IFERROR(__xludf.DUMMYFUNCTION("""COMPUTED_VALUE"""),"6603762")</f>
        <v>6603762</v>
      </c>
      <c r="E883" s="3" t="str">
        <f>IFERROR(__xludf.DUMMYFUNCTION("""COMPUTED_VALUE"""),"9")</f>
        <v>9</v>
      </c>
      <c r="F883" s="3" t="str">
        <f>IFERROR(__xludf.DUMMYFUNCTION("""COMPUTED_VALUE"""),"นพอ.ชฎาภา บุตรวงษ์")</f>
        <v>นพอ.ชฎาภา บุตรวงษ์</v>
      </c>
      <c r="G883" s="3" t="str">
        <f>IFERROR(__xludf.DUMMYFUNCTION("""COMPUTED_VALUE"""),"ช่วยเหลืองานภายใน วพอ.")</f>
        <v>ช่วยเหลืองานภายใน วพอ.</v>
      </c>
      <c r="H883" s="3" t="str">
        <f>IFERROR(__xludf.DUMMYFUNCTION("""COMPUTED_VALUE"""),"จัดสวนขนหินหลังอาคารเรียน")</f>
        <v>จัดสวนขนหินหลังอาคารเรียน</v>
      </c>
      <c r="I883" s="3" t="str">
        <f>IFERROR(__xludf.DUMMYFUNCTION("""COMPUTED_VALUE"""),"วพอ.พอ.")</f>
        <v>วพอ.พอ.</v>
      </c>
      <c r="J883" s="12">
        <f>IFERROR(__xludf.DUMMYFUNCTION("""COMPUTED_VALUE"""),46177.0)</f>
        <v>46177</v>
      </c>
      <c r="K883" s="3" t="str">
        <f>IFERROR(__xludf.DUMMYFUNCTION("""COMPUTED_VALUE"""),"1300-1500")</f>
        <v>1300-1500</v>
      </c>
      <c r="L883" s="3">
        <f>IFERROR(__xludf.DUMMYFUNCTION("""COMPUTED_VALUE"""),3.0)</f>
        <v>3</v>
      </c>
      <c r="M883" s="3" t="str">
        <f>IFERROR(__xludf.DUMMYFUNCTION("""COMPUTED_VALUE"""),"น.อ.หญิง ผศ.นิตยา สุขแสน")</f>
        <v>น.อ.หญิง ผศ.นิตยา สุขแสน</v>
      </c>
      <c r="N883" s="14" t="str">
        <f>IFERROR(__xludf.DUMMYFUNCTION("""COMPUTED_VALUE"""),"https://lh5.googleusercontent.com/d/11exl4cvIavNdNfC6ewrKvK7eK6e9uQJ6")</f>
        <v>https://lh5.googleusercontent.com/d/11exl4cvIavNdNfC6ewrKvK7eK6e9uQJ6</v>
      </c>
      <c r="O883" s="14" t="str">
        <f>IFERROR(__xludf.DUMMYFUNCTION("""COMPUTED_VALUE"""),"https://drive.google.com/file/d/1yMUtT7RIEH9bNmczUx_7h2_RTqapo37c/view?usp=drivesdk")</f>
        <v>https://drive.google.com/file/d/1yMUtT7RIEH9bNmczUx_7h2_RTqapo37c/view?usp=drivesdk</v>
      </c>
    </row>
    <row r="884">
      <c r="A884" s="3">
        <f>IFERROR(__xludf.DUMMYFUNCTION("""COMPUTED_VALUE"""),3511.0)</f>
        <v>3511</v>
      </c>
      <c r="B884" s="11">
        <f>IFERROR(__xludf.DUMMYFUNCTION("""COMPUTED_VALUE"""),46182.89070974537)</f>
        <v>46182.89071</v>
      </c>
      <c r="C884" s="3" t="str">
        <f>IFERROR(__xludf.DUMMYFUNCTION("""COMPUTED_VALUE"""),"ชั้นปีที่ 3")</f>
        <v>ชั้นปีที่ 3</v>
      </c>
      <c r="D884" s="3" t="str">
        <f>IFERROR(__xludf.DUMMYFUNCTION("""COMPUTED_VALUE"""),"6603762")</f>
        <v>6603762</v>
      </c>
      <c r="E884" s="3" t="str">
        <f>IFERROR(__xludf.DUMMYFUNCTION("""COMPUTED_VALUE"""),"9")</f>
        <v>9</v>
      </c>
      <c r="F884" s="3" t="str">
        <f>IFERROR(__xludf.DUMMYFUNCTION("""COMPUTED_VALUE"""),"นพอ.ชฎาภา บุตรวงษ์")</f>
        <v>นพอ.ชฎาภา บุตรวงษ์</v>
      </c>
      <c r="G884" s="3" t="str">
        <f>IFERROR(__xludf.DUMMYFUNCTION("""COMPUTED_VALUE"""),"ช่วยเหลืองานภายใน วพอ.")</f>
        <v>ช่วยเหลืองานภายใน วพอ.</v>
      </c>
      <c r="H88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84" s="3" t="str">
        <f>IFERROR(__xludf.DUMMYFUNCTION("""COMPUTED_VALUE"""),"วพอ.พอ.")</f>
        <v>วพอ.พอ.</v>
      </c>
      <c r="J884" s="12">
        <f>IFERROR(__xludf.DUMMYFUNCTION("""COMPUTED_VALUE"""),46135.0)</f>
        <v>46135</v>
      </c>
      <c r="K884" s="3" t="str">
        <f>IFERROR(__xludf.DUMMYFUNCTION("""COMPUTED_VALUE"""),"1700-2100")</f>
        <v>1700-2100</v>
      </c>
      <c r="L884" s="3">
        <f>IFERROR(__xludf.DUMMYFUNCTION("""COMPUTED_VALUE"""),4.0)</f>
        <v>4</v>
      </c>
      <c r="M884" s="3" t="str">
        <f>IFERROR(__xludf.DUMMYFUNCTION("""COMPUTED_VALUE"""),"ร.อ.อนุชิต ทำจะดี")</f>
        <v>ร.อ.อนุชิต ทำจะดี</v>
      </c>
      <c r="N884" s="14" t="str">
        <f>IFERROR(__xludf.DUMMYFUNCTION("""COMPUTED_VALUE"""),"https://lh5.googleusercontent.com/d/1q8QV2EEyZ_7WWa0Ze7a8OT84zp8HiqGT")</f>
        <v>https://lh5.googleusercontent.com/d/1q8QV2EEyZ_7WWa0Ze7a8OT84zp8HiqGT</v>
      </c>
      <c r="O884" s="14" t="str">
        <f>IFERROR(__xludf.DUMMYFUNCTION("""COMPUTED_VALUE"""),"https://drive.google.com/file/d/143Z78JgdcNfwD1ijq0BcSmRiEePnnz7g/view?usp=drivesdk")</f>
        <v>https://drive.google.com/file/d/143Z78JgdcNfwD1ijq0BcSmRiEePnnz7g/view?usp=drivesdk</v>
      </c>
    </row>
    <row r="885">
      <c r="A885" s="3">
        <f>IFERROR(__xludf.DUMMYFUNCTION("""COMPUTED_VALUE"""),3512.0)</f>
        <v>3512</v>
      </c>
      <c r="B885" s="11">
        <f>IFERROR(__xludf.DUMMYFUNCTION("""COMPUTED_VALUE"""),46182.89292803241)</f>
        <v>46182.89293</v>
      </c>
      <c r="C885" s="3" t="str">
        <f>IFERROR(__xludf.DUMMYFUNCTION("""COMPUTED_VALUE"""),"ชั้นปีที่ 3")</f>
        <v>ชั้นปีที่ 3</v>
      </c>
      <c r="D885" s="3" t="str">
        <f>IFERROR(__xludf.DUMMYFUNCTION("""COMPUTED_VALUE"""),"6603787")</f>
        <v>6603787</v>
      </c>
      <c r="E885" s="3" t="str">
        <f>IFERROR(__xludf.DUMMYFUNCTION("""COMPUTED_VALUE"""),"33")</f>
        <v>33</v>
      </c>
      <c r="F885" s="3" t="str">
        <f>IFERROR(__xludf.DUMMYFUNCTION("""COMPUTED_VALUE"""),"นพอ.ปรียาภรณ์ ทองอำพันธ์")</f>
        <v>นพอ.ปรียาภรณ์ ทองอำพันธ์</v>
      </c>
      <c r="G885" s="3" t="str">
        <f>IFERROR(__xludf.DUMMYFUNCTION("""COMPUTED_VALUE"""),"ช่วยเหลืองานภายใน วพอ.")</f>
        <v>ช่วยเหลืองานภายใน วพอ.</v>
      </c>
      <c r="H885" s="3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885" s="3" t="str">
        <f>IFERROR(__xludf.DUMMYFUNCTION("""COMPUTED_VALUE"""),"วพอ.พอ.")</f>
        <v>วพอ.พอ.</v>
      </c>
      <c r="J885" s="12">
        <f>IFERROR(__xludf.DUMMYFUNCTION("""COMPUTED_VALUE"""),46133.0)</f>
        <v>46133</v>
      </c>
      <c r="K885" s="3" t="str">
        <f>IFERROR(__xludf.DUMMYFUNCTION("""COMPUTED_VALUE"""),"1700-2100")</f>
        <v>1700-2100</v>
      </c>
      <c r="L885" s="3">
        <f>IFERROR(__xludf.DUMMYFUNCTION("""COMPUTED_VALUE"""),4.0)</f>
        <v>4</v>
      </c>
      <c r="M885" s="3" t="str">
        <f>IFERROR(__xludf.DUMMYFUNCTION("""COMPUTED_VALUE"""),"ร.อ.อนุชิต ทำจะดี")</f>
        <v>ร.อ.อนุชิต ทำจะดี</v>
      </c>
      <c r="N885" s="14" t="str">
        <f>IFERROR(__xludf.DUMMYFUNCTION("""COMPUTED_VALUE"""),"https://lh5.googleusercontent.com/d/1BVvaBSDXeBaZ2HdhwR4gZiTU7yN-qIyY")</f>
        <v>https://lh5.googleusercontent.com/d/1BVvaBSDXeBaZ2HdhwR4gZiTU7yN-qIyY</v>
      </c>
      <c r="O885" s="14" t="str">
        <f>IFERROR(__xludf.DUMMYFUNCTION("""COMPUTED_VALUE"""),"https://drive.google.com/file/d/1uZkAQOhGS6JkDjNUddoCKMCJZTbVb2Qj/view?usp=drivesdk")</f>
        <v>https://drive.google.com/file/d/1uZkAQOhGS6JkDjNUddoCKMCJZTbVb2Qj/view?usp=drivesdk</v>
      </c>
    </row>
    <row r="886">
      <c r="A886" s="3">
        <f>IFERROR(__xludf.DUMMYFUNCTION("""COMPUTED_VALUE"""),3513.0)</f>
        <v>3513</v>
      </c>
      <c r="B886" s="11">
        <f>IFERROR(__xludf.DUMMYFUNCTION("""COMPUTED_VALUE"""),46182.89535346065)</f>
        <v>46182.89535</v>
      </c>
      <c r="C886" s="3" t="str">
        <f>IFERROR(__xludf.DUMMYFUNCTION("""COMPUTED_VALUE"""),"ชั้นปีที่ 3")</f>
        <v>ชั้นปีที่ 3</v>
      </c>
      <c r="D886" s="3" t="str">
        <f>IFERROR(__xludf.DUMMYFUNCTION("""COMPUTED_VALUE"""),"6603787")</f>
        <v>6603787</v>
      </c>
      <c r="E886" s="3" t="str">
        <f>IFERROR(__xludf.DUMMYFUNCTION("""COMPUTED_VALUE"""),"33")</f>
        <v>33</v>
      </c>
      <c r="F886" s="3" t="str">
        <f>IFERROR(__xludf.DUMMYFUNCTION("""COMPUTED_VALUE"""),"นพอ.ปรียาภรณ์ ทองอำพันธ์")</f>
        <v>นพอ.ปรียาภรณ์ ทองอำพันธ์</v>
      </c>
      <c r="G886" s="3" t="str">
        <f>IFERROR(__xludf.DUMMYFUNCTION("""COMPUTED_VALUE"""),"ช่วยเหลืองานภายใน วพอ.")</f>
        <v>ช่วยเหลืองานภายใน วพอ.</v>
      </c>
      <c r="H886" s="3" t="str">
        <f>IFERROR(__xludf.DUMMYFUNCTION("""COMPUTED_VALUE"""),"ซ้อมงานพิธีมอบหมวกพยาบาลวิชาชีพ ")</f>
        <v>ซ้อมงานพิธีมอบหมวกพยาบาลวิชาชีพ </v>
      </c>
      <c r="I886" s="3" t="str">
        <f>IFERROR(__xludf.DUMMYFUNCTION("""COMPUTED_VALUE"""),"วพอ.พอ.")</f>
        <v>วพอ.พอ.</v>
      </c>
      <c r="J886" s="12">
        <f>IFERROR(__xludf.DUMMYFUNCTION("""COMPUTED_VALUE"""),46134.0)</f>
        <v>46134</v>
      </c>
      <c r="K886" s="3" t="str">
        <f>IFERROR(__xludf.DUMMYFUNCTION("""COMPUTED_VALUE"""),"1700-2100")</f>
        <v>1700-2100</v>
      </c>
      <c r="L886" s="3">
        <f>IFERROR(__xludf.DUMMYFUNCTION("""COMPUTED_VALUE"""),4.0)</f>
        <v>4</v>
      </c>
      <c r="M886" s="3" t="str">
        <f>IFERROR(__xludf.DUMMYFUNCTION("""COMPUTED_VALUE"""),"ร.อ.อนุชิต ทำจะดี")</f>
        <v>ร.อ.อนุชิต ทำจะดี</v>
      </c>
      <c r="N886" s="14" t="str">
        <f>IFERROR(__xludf.DUMMYFUNCTION("""COMPUTED_VALUE"""),"https://lh5.googleusercontent.com/d/1CMbd8ILRON-e9q1pkK1kqrAwj55KdlXt")</f>
        <v>https://lh5.googleusercontent.com/d/1CMbd8ILRON-e9q1pkK1kqrAwj55KdlXt</v>
      </c>
      <c r="O886" s="14" t="str">
        <f>IFERROR(__xludf.DUMMYFUNCTION("""COMPUTED_VALUE"""),"https://drive.google.com/file/d/1PDym0--6Z_E9HGzJYaFnFGGwRoeCrA9O/view?usp=drivesdk")</f>
        <v>https://drive.google.com/file/d/1PDym0--6Z_E9HGzJYaFnFGGwRoeCrA9O/view?usp=drivesdk</v>
      </c>
    </row>
    <row r="887">
      <c r="A887" s="3">
        <f>IFERROR(__xludf.DUMMYFUNCTION("""COMPUTED_VALUE"""),3514.0)</f>
        <v>3514</v>
      </c>
      <c r="B887" s="11">
        <f>IFERROR(__xludf.DUMMYFUNCTION("""COMPUTED_VALUE"""),46182.897897812494)</f>
        <v>46182.8979</v>
      </c>
      <c r="C887" s="3" t="str">
        <f>IFERROR(__xludf.DUMMYFUNCTION("""COMPUTED_VALUE"""),"ชั้นปีที่ 3")</f>
        <v>ชั้นปีที่ 3</v>
      </c>
      <c r="D887" s="3" t="str">
        <f>IFERROR(__xludf.DUMMYFUNCTION("""COMPUTED_VALUE"""),"6603787")</f>
        <v>6603787</v>
      </c>
      <c r="E887" s="3" t="str">
        <f>IFERROR(__xludf.DUMMYFUNCTION("""COMPUTED_VALUE"""),"33")</f>
        <v>33</v>
      </c>
      <c r="F887" s="3" t="str">
        <f>IFERROR(__xludf.DUMMYFUNCTION("""COMPUTED_VALUE"""),"นพอ.ปรียาภรณ์ ทองอำพันธ์")</f>
        <v>นพอ.ปรียาภรณ์ ทองอำพันธ์</v>
      </c>
      <c r="G887" s="3" t="str">
        <f>IFERROR(__xludf.DUMMYFUNCTION("""COMPUTED_VALUE"""),"ช่วยเหลืองานภายใน วพอ.")</f>
        <v>ช่วยเหลืองานภายใน วพอ.</v>
      </c>
      <c r="H887" s="3" t="str">
        <f>IFERROR(__xludf.DUMMYFUNCTION("""COMPUTED_VALUE"""),"ซ้อมงานพิธีมอบหมวกพยาบาลวิชาชีพ")</f>
        <v>ซ้อมงานพิธีมอบหมวกพยาบาลวิชาชีพ</v>
      </c>
      <c r="I887" s="3" t="str">
        <f>IFERROR(__xludf.DUMMYFUNCTION("""COMPUTED_VALUE"""),"วพอ.พอ.")</f>
        <v>วพอ.พอ.</v>
      </c>
      <c r="J887" s="12">
        <f>IFERROR(__xludf.DUMMYFUNCTION("""COMPUTED_VALUE"""),46135.0)</f>
        <v>46135</v>
      </c>
      <c r="K887" s="3" t="str">
        <f>IFERROR(__xludf.DUMMYFUNCTION("""COMPUTED_VALUE"""),"1700-2100")</f>
        <v>1700-2100</v>
      </c>
      <c r="L887" s="3">
        <f>IFERROR(__xludf.DUMMYFUNCTION("""COMPUTED_VALUE"""),3.0)</f>
        <v>3</v>
      </c>
      <c r="M887" s="3" t="str">
        <f>IFERROR(__xludf.DUMMYFUNCTION("""COMPUTED_VALUE"""),"ร.อ.อนุชิต ทำจะดี")</f>
        <v>ร.อ.อนุชิต ทำจะดี</v>
      </c>
      <c r="N887" s="14" t="str">
        <f>IFERROR(__xludf.DUMMYFUNCTION("""COMPUTED_VALUE"""),"https://lh5.googleusercontent.com/d/194eHGRpaBxSL1sg0HW5jFbDZDNWhAyBA")</f>
        <v>https://lh5.googleusercontent.com/d/194eHGRpaBxSL1sg0HW5jFbDZDNWhAyBA</v>
      </c>
      <c r="O887" s="14" t="str">
        <f>IFERROR(__xludf.DUMMYFUNCTION("""COMPUTED_VALUE"""),"https://drive.google.com/file/d/1sR6-L6pnENilOBZXOCUah7bRlmWCgOku/view?usp=drivesdk")</f>
        <v>https://drive.google.com/file/d/1sR6-L6pnENilOBZXOCUah7bRlmWCgOku/view?usp=drivesdk</v>
      </c>
    </row>
    <row r="888">
      <c r="A888" s="3">
        <f>IFERROR(__xludf.DUMMYFUNCTION("""COMPUTED_VALUE"""),3515.0)</f>
        <v>3515</v>
      </c>
      <c r="B888" s="11">
        <f>IFERROR(__xludf.DUMMYFUNCTION("""COMPUTED_VALUE"""),46182.90141902778)</f>
        <v>46182.90142</v>
      </c>
      <c r="C888" s="3" t="str">
        <f>IFERROR(__xludf.DUMMYFUNCTION("""COMPUTED_VALUE"""),"ชั้นปีที่ 3")</f>
        <v>ชั้นปีที่ 3</v>
      </c>
      <c r="D888" s="3" t="str">
        <f>IFERROR(__xludf.DUMMYFUNCTION("""COMPUTED_VALUE"""),"6603787")</f>
        <v>6603787</v>
      </c>
      <c r="E888" s="3" t="str">
        <f>IFERROR(__xludf.DUMMYFUNCTION("""COMPUTED_VALUE"""),"33")</f>
        <v>33</v>
      </c>
      <c r="F888" s="3" t="str">
        <f>IFERROR(__xludf.DUMMYFUNCTION("""COMPUTED_VALUE"""),"นพอ.ปรียาภรณ์ ทองอำพันธ์")</f>
        <v>นพอ.ปรียาภรณ์ ทองอำพันธ์</v>
      </c>
      <c r="G88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88" s="3" t="str">
        <f>IFERROR(__xludf.DUMMYFUNCTION("""COMPUTED_VALUE"""),"ซ้อมงานพิธีมอบหมวกพยาบาลวิชาชีพ")</f>
        <v>ซ้อมงานพิธีมอบหมวกพยาบาลวิชาชีพ</v>
      </c>
      <c r="I888" s="3" t="str">
        <f>IFERROR(__xludf.DUMMYFUNCTION("""COMPUTED_VALUE"""),"วพอ.พอ.")</f>
        <v>วพอ.พอ.</v>
      </c>
      <c r="J888" s="12">
        <f>IFERROR(__xludf.DUMMYFUNCTION("""COMPUTED_VALUE"""),46138.0)</f>
        <v>46138</v>
      </c>
      <c r="K888" s="3" t="str">
        <f>IFERROR(__xludf.DUMMYFUNCTION("""COMPUTED_VALUE"""),"1500-2100")</f>
        <v>1500-2100</v>
      </c>
      <c r="L888" s="3">
        <f>IFERROR(__xludf.DUMMYFUNCTION("""COMPUTED_VALUE"""),6.0)</f>
        <v>6</v>
      </c>
      <c r="M888" s="3" t="str">
        <f>IFERROR(__xludf.DUMMYFUNCTION("""COMPUTED_VALUE"""),"ร.อ.อนุชิต ทำจะดี")</f>
        <v>ร.อ.อนุชิต ทำจะดี</v>
      </c>
      <c r="N888" s="14" t="str">
        <f>IFERROR(__xludf.DUMMYFUNCTION("""COMPUTED_VALUE"""),"https://lh5.googleusercontent.com/d/1kyD731WXOuvgOVocp6jObkQGBz6cIfRX")</f>
        <v>https://lh5.googleusercontent.com/d/1kyD731WXOuvgOVocp6jObkQGBz6cIfRX</v>
      </c>
      <c r="O888" s="14" t="str">
        <f>IFERROR(__xludf.DUMMYFUNCTION("""COMPUTED_VALUE"""),"https://drive.google.com/file/d/13mVReueXHmET3r0kA08mzznAVbGjiIbL/view?usp=drivesdk")</f>
        <v>https://drive.google.com/file/d/13mVReueXHmET3r0kA08mzznAVbGjiIbL/view?usp=drivesdk</v>
      </c>
    </row>
    <row r="889">
      <c r="A889" s="3">
        <f>IFERROR(__xludf.DUMMYFUNCTION("""COMPUTED_VALUE"""),3516.0)</f>
        <v>3516</v>
      </c>
      <c r="B889" s="11">
        <f>IFERROR(__xludf.DUMMYFUNCTION("""COMPUTED_VALUE"""),46182.90266098379)</f>
        <v>46182.90266</v>
      </c>
      <c r="C889" s="3" t="str">
        <f>IFERROR(__xludf.DUMMYFUNCTION("""COMPUTED_VALUE"""),"ชั้นปีที่ 3")</f>
        <v>ชั้นปีที่ 3</v>
      </c>
      <c r="D889" s="3" t="str">
        <f>IFERROR(__xludf.DUMMYFUNCTION("""COMPUTED_VALUE"""),"6603759")</f>
        <v>6603759</v>
      </c>
      <c r="E889" s="3" t="str">
        <f>IFERROR(__xludf.DUMMYFUNCTION("""COMPUTED_VALUE"""),"6")</f>
        <v>6</v>
      </c>
      <c r="F889" s="3" t="str">
        <f>IFERROR(__xludf.DUMMYFUNCTION("""COMPUTED_VALUE"""),"นพอ.เกรียงเดช รักถิ่นเดิม")</f>
        <v>นพอ.เกรียงเดช รักถิ่นเดิม</v>
      </c>
      <c r="G889" s="3" t="str">
        <f>IFERROR(__xludf.DUMMYFUNCTION("""COMPUTED_VALUE"""),"ช่วยเหลืองานภายใน วพอ.")</f>
        <v>ช่วยเหลืองานภายใน วพอ.</v>
      </c>
      <c r="H889" s="3" t="str">
        <f>IFERROR(__xludf.DUMMYFUNCTION("""COMPUTED_VALUE"""),"ซ้อมงานพิธีรับหมวกพยาบาลวิชาชีพ ปีการศึกษา 2569")</f>
        <v>ซ้อมงานพิธีรับหมวกพยาบาลวิชาชีพ ปีการศึกษา 2569</v>
      </c>
      <c r="I889" s="3" t="str">
        <f>IFERROR(__xludf.DUMMYFUNCTION("""COMPUTED_VALUE"""),"วพอ.พอ.")</f>
        <v>วพอ.พอ.</v>
      </c>
      <c r="J889" s="12">
        <f>IFERROR(__xludf.DUMMYFUNCTION("""COMPUTED_VALUE"""),46138.0)</f>
        <v>46138</v>
      </c>
      <c r="K889" s="3" t="str">
        <f>IFERROR(__xludf.DUMMYFUNCTION("""COMPUTED_VALUE"""),"1500-2100")</f>
        <v>1500-2100</v>
      </c>
      <c r="L889" s="3">
        <f>IFERROR(__xludf.DUMMYFUNCTION("""COMPUTED_VALUE"""),6.0)</f>
        <v>6</v>
      </c>
      <c r="M889" s="3" t="str">
        <f>IFERROR(__xludf.DUMMYFUNCTION("""COMPUTED_VALUE"""),"ร.อ.อนุชิต ทำจะดี")</f>
        <v>ร.อ.อนุชิต ทำจะดี</v>
      </c>
      <c r="N889" s="14" t="str">
        <f>IFERROR(__xludf.DUMMYFUNCTION("""COMPUTED_VALUE"""),"https://lh5.googleusercontent.com/d/1G5nRBUIM2t5GTh2XInukBPTZDNO8ephd")</f>
        <v>https://lh5.googleusercontent.com/d/1G5nRBUIM2t5GTh2XInukBPTZDNO8ephd</v>
      </c>
      <c r="O889" s="14" t="str">
        <f>IFERROR(__xludf.DUMMYFUNCTION("""COMPUTED_VALUE"""),"https://drive.google.com/file/d/1qIlA1gib8TOQenSrLQ0v8zXMQ6AZKft2/view?usp=drivesdk")</f>
        <v>https://drive.google.com/file/d/1qIlA1gib8TOQenSrLQ0v8zXMQ6AZKft2/view?usp=drivesdk</v>
      </c>
    </row>
    <row r="890">
      <c r="A890" s="3">
        <f>IFERROR(__xludf.DUMMYFUNCTION("""COMPUTED_VALUE"""),3517.0)</f>
        <v>3517</v>
      </c>
      <c r="B890" s="11">
        <f>IFERROR(__xludf.DUMMYFUNCTION("""COMPUTED_VALUE"""),46182.90282642361)</f>
        <v>46182.90283</v>
      </c>
      <c r="C890" s="3" t="str">
        <f>IFERROR(__xludf.DUMMYFUNCTION("""COMPUTED_VALUE"""),"ชั้นปีที่ 3")</f>
        <v>ชั้นปีที่ 3</v>
      </c>
      <c r="D890" s="3" t="str">
        <f>IFERROR(__xludf.DUMMYFUNCTION("""COMPUTED_VALUE"""),"6603807")</f>
        <v>6603807</v>
      </c>
      <c r="E890" s="3" t="str">
        <f>IFERROR(__xludf.DUMMYFUNCTION("""COMPUTED_VALUE"""),"53")</f>
        <v>53</v>
      </c>
      <c r="F890" s="3" t="str">
        <f>IFERROR(__xludf.DUMMYFUNCTION("""COMPUTED_VALUE"""),"นพอ.สถิตย์ภรณ์ นวลขวัญ")</f>
        <v>นพอ.สถิตย์ภรณ์ นวลขวัญ</v>
      </c>
      <c r="G890" s="3" t="str">
        <f>IFERROR(__xludf.DUMMYFUNCTION("""COMPUTED_VALUE"""),"ช่วยเหลืองานภายใน วพอ.")</f>
        <v>ช่วยเหลืองานภายใน วพอ.</v>
      </c>
      <c r="H890" s="3" t="str">
        <f>IFERROR(__xludf.DUMMYFUNCTION("""COMPUTED_VALUE"""),"เก็บหิน")</f>
        <v>เก็บหิน</v>
      </c>
      <c r="I890" s="3" t="str">
        <f>IFERROR(__xludf.DUMMYFUNCTION("""COMPUTED_VALUE"""),"วพอ.พอ")</f>
        <v>วพอ.พอ</v>
      </c>
      <c r="J890" s="12">
        <f>IFERROR(__xludf.DUMMYFUNCTION("""COMPUTED_VALUE"""),46177.0)</f>
        <v>46177</v>
      </c>
      <c r="K890" s="3" t="str">
        <f>IFERROR(__xludf.DUMMYFUNCTION("""COMPUTED_VALUE"""),"1600-1700")</f>
        <v>1600-1700</v>
      </c>
      <c r="L890" s="3">
        <f>IFERROR(__xludf.DUMMYFUNCTION("""COMPUTED_VALUE"""),3.0)</f>
        <v>3</v>
      </c>
      <c r="M890" s="3" t="str">
        <f>IFERROR(__xludf.DUMMYFUNCTION("""COMPUTED_VALUE"""),"น.อ.หณิง.ผศ.นิตยา สุขแสน")</f>
        <v>น.อ.หณิง.ผศ.นิตยา สุขแสน</v>
      </c>
      <c r="N890" s="14" t="str">
        <f>IFERROR(__xludf.DUMMYFUNCTION("""COMPUTED_VALUE"""),"https://lh5.googleusercontent.com/d/15-bPqj2MVBmN7IOF2vOOwKUD03yVViV9")</f>
        <v>https://lh5.googleusercontent.com/d/15-bPqj2MVBmN7IOF2vOOwKUD03yVViV9</v>
      </c>
      <c r="O890" s="14" t="str">
        <f>IFERROR(__xludf.DUMMYFUNCTION("""COMPUTED_VALUE"""),"https://drive.google.com/file/d/1L2yQv0rEt12IGtlgVMmw4grkr5N54yMO/view?usp=drivesdk")</f>
        <v>https://drive.google.com/file/d/1L2yQv0rEt12IGtlgVMmw4grkr5N54yMO/view?usp=drivesdk</v>
      </c>
    </row>
    <row r="891">
      <c r="A891" s="3">
        <f>IFERROR(__xludf.DUMMYFUNCTION("""COMPUTED_VALUE"""),3518.0)</f>
        <v>3518</v>
      </c>
      <c r="B891" s="11">
        <f>IFERROR(__xludf.DUMMYFUNCTION("""COMPUTED_VALUE"""),46182.90399834491)</f>
        <v>46182.904</v>
      </c>
      <c r="C891" s="3" t="str">
        <f>IFERROR(__xludf.DUMMYFUNCTION("""COMPUTED_VALUE"""),"ชั้นปีที่ 3")</f>
        <v>ชั้นปีที่ 3</v>
      </c>
      <c r="D891" s="3" t="str">
        <f>IFERROR(__xludf.DUMMYFUNCTION("""COMPUTED_VALUE"""),"6603816")</f>
        <v>6603816</v>
      </c>
      <c r="E891" s="3" t="str">
        <f>IFERROR(__xludf.DUMMYFUNCTION("""COMPUTED_VALUE"""),"62")</f>
        <v>62</v>
      </c>
      <c r="F891" s="3" t="str">
        <f>IFERROR(__xludf.DUMMYFUNCTION("""COMPUTED_VALUE"""),"นพอ.อมฤทธิ์ สุทธิวิลัย")</f>
        <v>นพอ.อมฤทธิ์ สุทธิวิลัย</v>
      </c>
      <c r="G89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91" s="3" t="str">
        <f>IFERROR(__xludf.DUMMYFUNCTION("""COMPUTED_VALUE"""),"สงกรานต์เบิกบานจิต")</f>
        <v>สงกรานต์เบิกบานจิต</v>
      </c>
      <c r="I891" s="3" t="str">
        <f>IFERROR(__xludf.DUMMYFUNCTION("""COMPUTED_VALUE"""),"โรงพยาบาลศรีธัญญา")</f>
        <v>โรงพยาบาลศรีธัญญา</v>
      </c>
      <c r="J891" s="12">
        <f>IFERROR(__xludf.DUMMYFUNCTION("""COMPUTED_VALUE"""),46121.0)</f>
        <v>46121</v>
      </c>
      <c r="K891" s="3" t="str">
        <f>IFERROR(__xludf.DUMMYFUNCTION("""COMPUTED_VALUE"""),"0800-1600")</f>
        <v>0800-1600</v>
      </c>
      <c r="L891" s="3">
        <f>IFERROR(__xludf.DUMMYFUNCTION("""COMPUTED_VALUE"""),8.0)</f>
        <v>8</v>
      </c>
      <c r="M891" s="3" t="str">
        <f>IFERROR(__xludf.DUMMYFUNCTION("""COMPUTED_VALUE"""),"น.ท.หญิง ลักษ์ขณา พาณิชสรรค์")</f>
        <v>น.ท.หญิง ลักษ์ขณา พาณิชสรรค์</v>
      </c>
      <c r="N891" s="14" t="str">
        <f>IFERROR(__xludf.DUMMYFUNCTION("""COMPUTED_VALUE"""),"https://lh5.googleusercontent.com/d/1gFHfRk-sSdqycgC608WVeN9dob0JeYZc")</f>
        <v>https://lh5.googleusercontent.com/d/1gFHfRk-sSdqycgC608WVeN9dob0JeYZc</v>
      </c>
      <c r="O891" s="14" t="str">
        <f>IFERROR(__xludf.DUMMYFUNCTION("""COMPUTED_VALUE"""),"https://drive.google.com/file/d/1_Ctwy5M0Wud0wRYqfYCRL-0sBZSl0_4t/view?usp=drivesdk")</f>
        <v>https://drive.google.com/file/d/1_Ctwy5M0Wud0wRYqfYCRL-0sBZSl0_4t/view?usp=drivesdk</v>
      </c>
    </row>
    <row r="892">
      <c r="A892" s="3">
        <f>IFERROR(__xludf.DUMMYFUNCTION("""COMPUTED_VALUE"""),3519.0)</f>
        <v>3519</v>
      </c>
      <c r="B892" s="11">
        <f>IFERROR(__xludf.DUMMYFUNCTION("""COMPUTED_VALUE"""),46182.910587349535)</f>
        <v>46182.91059</v>
      </c>
      <c r="C892" s="3" t="str">
        <f>IFERROR(__xludf.DUMMYFUNCTION("""COMPUTED_VALUE"""),"ชั้นปีที่ 3")</f>
        <v>ชั้นปีที่ 3</v>
      </c>
      <c r="D892" s="3" t="str">
        <f>IFERROR(__xludf.DUMMYFUNCTION("""COMPUTED_VALUE"""),"6603759")</f>
        <v>6603759</v>
      </c>
      <c r="E892" s="3" t="str">
        <f>IFERROR(__xludf.DUMMYFUNCTION("""COMPUTED_VALUE"""),"6")</f>
        <v>6</v>
      </c>
      <c r="F892" s="3" t="str">
        <f>IFERROR(__xludf.DUMMYFUNCTION("""COMPUTED_VALUE"""),"นพอ.เกรียงเดช รักถิ่นเดิม")</f>
        <v>นพอ.เกรียงเดช รักถิ่นเดิม</v>
      </c>
      <c r="G892" s="3" t="str">
        <f>IFERROR(__xludf.DUMMYFUNCTION("""COMPUTED_VALUE"""),"ช่วยเหลืองานภายใน วพอ.")</f>
        <v>ช่วยเหลืองานภายใน วพอ.</v>
      </c>
      <c r="H892" s="3" t="str">
        <f>IFERROR(__xludf.DUMMYFUNCTION("""COMPUTED_VALUE"""),"ทกท.หมู่ 1 มว.2")</f>
        <v>ทกท.หมู่ 1 มว.2</v>
      </c>
      <c r="I892" s="3" t="str">
        <f>IFERROR(__xludf.DUMMYFUNCTION("""COMPUTED_VALUE"""),"วพอ.พอ.")</f>
        <v>วพอ.พอ.</v>
      </c>
      <c r="J892" s="12">
        <f>IFERROR(__xludf.DUMMYFUNCTION("""COMPUTED_VALUE"""),46090.0)</f>
        <v>46090</v>
      </c>
      <c r="K892" s="3" t="str">
        <f>IFERROR(__xludf.DUMMYFUNCTION("""COMPUTED_VALUE"""),"0800-1600")</f>
        <v>0800-1600</v>
      </c>
      <c r="L892" s="3">
        <f>IFERROR(__xludf.DUMMYFUNCTION("""COMPUTED_VALUE"""),8.0)</f>
        <v>8</v>
      </c>
      <c r="M892" s="3" t="str">
        <f>IFERROR(__xludf.DUMMYFUNCTION("""COMPUTED_VALUE"""),"ร.อ.อนุชิต ทำจะดี")</f>
        <v>ร.อ.อนุชิต ทำจะดี</v>
      </c>
      <c r="N892" s="14" t="str">
        <f>IFERROR(__xludf.DUMMYFUNCTION("""COMPUTED_VALUE"""),"https://lh5.googleusercontent.com/d/1AaamNSn9ekUcxouYfaez2Slm2YZ1AZ5I")</f>
        <v>https://lh5.googleusercontent.com/d/1AaamNSn9ekUcxouYfaez2Slm2YZ1AZ5I</v>
      </c>
      <c r="O892" s="14" t="str">
        <f>IFERROR(__xludf.DUMMYFUNCTION("""COMPUTED_VALUE"""),"https://drive.google.com/file/d/1OfGhnLNKA2jh73NoSUAarJUtHGr6zMv8/view?usp=drivesdk")</f>
        <v>https://drive.google.com/file/d/1OfGhnLNKA2jh73NoSUAarJUtHGr6zMv8/view?usp=drivesdk</v>
      </c>
    </row>
    <row r="893">
      <c r="A893" s="3">
        <f>IFERROR(__xludf.DUMMYFUNCTION("""COMPUTED_VALUE"""),3520.0)</f>
        <v>3520</v>
      </c>
      <c r="B893" s="11">
        <f>IFERROR(__xludf.DUMMYFUNCTION("""COMPUTED_VALUE"""),46182.91300862269)</f>
        <v>46182.91301</v>
      </c>
      <c r="C893" s="3" t="str">
        <f>IFERROR(__xludf.DUMMYFUNCTION("""COMPUTED_VALUE"""),"ชั้นปีที่ 3")</f>
        <v>ชั้นปีที่ 3</v>
      </c>
      <c r="D893" s="3" t="str">
        <f>IFERROR(__xludf.DUMMYFUNCTION("""COMPUTED_VALUE"""),"6603759")</f>
        <v>6603759</v>
      </c>
      <c r="E893" s="3" t="str">
        <f>IFERROR(__xludf.DUMMYFUNCTION("""COMPUTED_VALUE"""),"6")</f>
        <v>6</v>
      </c>
      <c r="F893" s="3" t="str">
        <f>IFERROR(__xludf.DUMMYFUNCTION("""COMPUTED_VALUE"""),"นพอ.เกรียงเดช รักถิ่นเดิม")</f>
        <v>นพอ.เกรียงเดช รักถิ่นเดิม</v>
      </c>
      <c r="G893" s="3" t="str">
        <f>IFERROR(__xludf.DUMMYFUNCTION("""COMPUTED_VALUE"""),"ช่วยเหลืองานภายใน วพอ.")</f>
        <v>ช่วยเหลืองานภายใน วพอ.</v>
      </c>
      <c r="H893" s="3" t="str">
        <f>IFERROR(__xludf.DUMMYFUNCTION("""COMPUTED_VALUE"""),"ทกท.หมู่ 1 มว.2")</f>
        <v>ทกท.หมู่ 1 มว.2</v>
      </c>
      <c r="I893" s="3" t="str">
        <f>IFERROR(__xludf.DUMMYFUNCTION("""COMPUTED_VALUE"""),"วพอ.พอ.")</f>
        <v>วพอ.พอ.</v>
      </c>
      <c r="J893" s="12">
        <f>IFERROR(__xludf.DUMMYFUNCTION("""COMPUTED_VALUE"""),46091.0)</f>
        <v>46091</v>
      </c>
      <c r="K893" s="3" t="str">
        <f>IFERROR(__xludf.DUMMYFUNCTION("""COMPUTED_VALUE"""),"0800-1600")</f>
        <v>0800-1600</v>
      </c>
      <c r="L893" s="3">
        <f>IFERROR(__xludf.DUMMYFUNCTION("""COMPUTED_VALUE"""),8.0)</f>
        <v>8</v>
      </c>
      <c r="M893" s="3" t="str">
        <f>IFERROR(__xludf.DUMMYFUNCTION("""COMPUTED_VALUE"""),"ร.อ.อนุชิต ทำจะดี")</f>
        <v>ร.อ.อนุชิต ทำจะดี</v>
      </c>
      <c r="N893" s="14" t="str">
        <f>IFERROR(__xludf.DUMMYFUNCTION("""COMPUTED_VALUE"""),"https://lh5.googleusercontent.com/d/1kFML0YnkCOGbCyaJFHWLiPSEJ74Wu3d2")</f>
        <v>https://lh5.googleusercontent.com/d/1kFML0YnkCOGbCyaJFHWLiPSEJ74Wu3d2</v>
      </c>
      <c r="O893" s="14" t="str">
        <f>IFERROR(__xludf.DUMMYFUNCTION("""COMPUTED_VALUE"""),"https://drive.google.com/file/d/1JyvyFHuVS1Jz6B2Ia02jZ9DO-6mFUhPM/view?usp=drivesdk")</f>
        <v>https://drive.google.com/file/d/1JyvyFHuVS1Jz6B2Ia02jZ9DO-6mFUhPM/view?usp=drivesdk</v>
      </c>
    </row>
    <row r="894">
      <c r="A894" s="3">
        <f>IFERROR(__xludf.DUMMYFUNCTION("""COMPUTED_VALUE"""),3521.0)</f>
        <v>3521</v>
      </c>
      <c r="B894" s="11">
        <f>IFERROR(__xludf.DUMMYFUNCTION("""COMPUTED_VALUE"""),46182.91530129629)</f>
        <v>46182.9153</v>
      </c>
      <c r="C894" s="3" t="str">
        <f>IFERROR(__xludf.DUMMYFUNCTION("""COMPUTED_VALUE"""),"ชั้นปีที่ 3")</f>
        <v>ชั้นปีที่ 3</v>
      </c>
      <c r="D894" s="3" t="str">
        <f>IFERROR(__xludf.DUMMYFUNCTION("""COMPUTED_VALUE"""),"6603759")</f>
        <v>6603759</v>
      </c>
      <c r="E894" s="3" t="str">
        <f>IFERROR(__xludf.DUMMYFUNCTION("""COMPUTED_VALUE"""),"6")</f>
        <v>6</v>
      </c>
      <c r="F894" s="3" t="str">
        <f>IFERROR(__xludf.DUMMYFUNCTION("""COMPUTED_VALUE"""),"นพอ.เกรียงเดช รักถิ่นเดิม")</f>
        <v>นพอ.เกรียงเดช รักถิ่นเดิม</v>
      </c>
      <c r="G894" s="3" t="str">
        <f>IFERROR(__xludf.DUMMYFUNCTION("""COMPUTED_VALUE"""),"ช่วยเหลืองานภายใน วพอ.")</f>
        <v>ช่วยเหลืองานภายใน วพอ.</v>
      </c>
      <c r="H894" s="3" t="str">
        <f>IFERROR(__xludf.DUMMYFUNCTION("""COMPUTED_VALUE"""),"ทกท.หมู่ 1 มว.2")</f>
        <v>ทกท.หมู่ 1 มว.2</v>
      </c>
      <c r="I894" s="3" t="str">
        <f>IFERROR(__xludf.DUMMYFUNCTION("""COMPUTED_VALUE"""),"วพอ.พอ.")</f>
        <v>วพอ.พอ.</v>
      </c>
      <c r="J894" s="12">
        <f>IFERROR(__xludf.DUMMYFUNCTION("""COMPUTED_VALUE"""),46093.0)</f>
        <v>46093</v>
      </c>
      <c r="K894" s="3" t="str">
        <f>IFERROR(__xludf.DUMMYFUNCTION("""COMPUTED_VALUE"""),"1200-1600")</f>
        <v>1200-1600</v>
      </c>
      <c r="L894" s="3">
        <f>IFERROR(__xludf.DUMMYFUNCTION("""COMPUTED_VALUE"""),4.0)</f>
        <v>4</v>
      </c>
      <c r="M894" s="3" t="str">
        <f>IFERROR(__xludf.DUMMYFUNCTION("""COMPUTED_VALUE"""),"ร.อ.อนุชิต ทำจะดี")</f>
        <v>ร.อ.อนุชิต ทำจะดี</v>
      </c>
      <c r="N894" s="14" t="str">
        <f>IFERROR(__xludf.DUMMYFUNCTION("""COMPUTED_VALUE"""),"https://lh5.googleusercontent.com/d/1A_7HqRuikBm2GPVnBOX4LeBQpl493Hjm")</f>
        <v>https://lh5.googleusercontent.com/d/1A_7HqRuikBm2GPVnBOX4LeBQpl493Hjm</v>
      </c>
      <c r="O894" s="14" t="str">
        <f>IFERROR(__xludf.DUMMYFUNCTION("""COMPUTED_VALUE"""),"https://drive.google.com/file/d/1GjiN3CaRj2cibEueqXqW9wzN6I8qyM1f/view?usp=drivesdk")</f>
        <v>https://drive.google.com/file/d/1GjiN3CaRj2cibEueqXqW9wzN6I8qyM1f/view?usp=drivesdk</v>
      </c>
    </row>
    <row r="895">
      <c r="A895" s="3">
        <f>IFERROR(__xludf.DUMMYFUNCTION("""COMPUTED_VALUE"""),3522.0)</f>
        <v>3522</v>
      </c>
      <c r="B895" s="11">
        <f>IFERROR(__xludf.DUMMYFUNCTION("""COMPUTED_VALUE"""),46182.91801548611)</f>
        <v>46182.91802</v>
      </c>
      <c r="C895" s="3" t="str">
        <f>IFERROR(__xludf.DUMMYFUNCTION("""COMPUTED_VALUE"""),"ชั้นปีที่ 3")</f>
        <v>ชั้นปีที่ 3</v>
      </c>
      <c r="D895" s="3" t="str">
        <f>IFERROR(__xludf.DUMMYFUNCTION("""COMPUTED_VALUE"""),"6603816")</f>
        <v>6603816</v>
      </c>
      <c r="E895" s="3" t="str">
        <f>IFERROR(__xludf.DUMMYFUNCTION("""COMPUTED_VALUE"""),"62")</f>
        <v>62</v>
      </c>
      <c r="F895" s="3" t="str">
        <f>IFERROR(__xludf.DUMMYFUNCTION("""COMPUTED_VALUE"""),"นพอ.อมฤทธิ์ สุทธิวิลัย")</f>
        <v>นพอ.อมฤทธิ์ สุทธิวิลัย</v>
      </c>
      <c r="G8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95" s="3" t="str">
        <f>IFERROR(__xludf.DUMMYFUNCTION("""COMPUTED_VALUE"""),"งานกาชาด ประจำปี 2568")</f>
        <v>งานกาชาด ประจำปี 2568</v>
      </c>
      <c r="I895" s="3" t="str">
        <f>IFERROR(__xludf.DUMMYFUNCTION("""COMPUTED_VALUE"""),"สวนลุมพินี")</f>
        <v>สวนลุมพินี</v>
      </c>
      <c r="J895" s="12">
        <f>IFERROR(__xludf.DUMMYFUNCTION("""COMPUTED_VALUE"""),46010.0)</f>
        <v>46010</v>
      </c>
      <c r="K895" s="3" t="str">
        <f>IFERROR(__xludf.DUMMYFUNCTION("""COMPUTED_VALUE"""),"1500-2300")</f>
        <v>1500-2300</v>
      </c>
      <c r="L895" s="3">
        <f>IFERROR(__xludf.DUMMYFUNCTION("""COMPUTED_VALUE"""),8.0)</f>
        <v>8</v>
      </c>
      <c r="M895" s="3" t="str">
        <f>IFERROR(__xludf.DUMMYFUNCTION("""COMPUTED_VALUE"""),"น.อ.หญิง ผศ.วัลลภา อันดารา")</f>
        <v>น.อ.หญิง ผศ.วัลลภา อันดารา</v>
      </c>
      <c r="N895" s="14" t="str">
        <f>IFERROR(__xludf.DUMMYFUNCTION("""COMPUTED_VALUE"""),"https://lh5.googleusercontent.com/d/1CuoFkMXhjtKtPdI37eUJuzr-3yPZ1oCl")</f>
        <v>https://lh5.googleusercontent.com/d/1CuoFkMXhjtKtPdI37eUJuzr-3yPZ1oCl</v>
      </c>
      <c r="O895" s="14" t="str">
        <f>IFERROR(__xludf.DUMMYFUNCTION("""COMPUTED_VALUE"""),"https://drive.google.com/file/d/1UwRKvg8GwAdZIuNGzMNEGpuzXr0m_Qj_/view?usp=drivesdk")</f>
        <v>https://drive.google.com/file/d/1UwRKvg8GwAdZIuNGzMNEGpuzXr0m_Qj_/view?usp=drivesdk</v>
      </c>
    </row>
    <row r="896">
      <c r="A896" s="3">
        <f>IFERROR(__xludf.DUMMYFUNCTION("""COMPUTED_VALUE"""),3524.0)</f>
        <v>3524</v>
      </c>
      <c r="B896" s="11">
        <f>IFERROR(__xludf.DUMMYFUNCTION("""COMPUTED_VALUE"""),46182.95787939815)</f>
        <v>46182.95788</v>
      </c>
      <c r="C896" s="3" t="str">
        <f>IFERROR(__xludf.DUMMYFUNCTION("""COMPUTED_VALUE"""),"ชั้นปีที่ 3")</f>
        <v>ชั้นปีที่ 3</v>
      </c>
      <c r="D896" s="3" t="str">
        <f>IFERROR(__xludf.DUMMYFUNCTION("""COMPUTED_VALUE"""),"6603755")</f>
        <v>6603755</v>
      </c>
      <c r="E896" s="3" t="str">
        <f>IFERROR(__xludf.DUMMYFUNCTION("""COMPUTED_VALUE"""),"2")</f>
        <v>2</v>
      </c>
      <c r="F896" s="3" t="str">
        <f>IFERROR(__xludf.DUMMYFUNCTION("""COMPUTED_VALUE"""),"นพอ.กฤตินันท์ ฉิมพาลี ")</f>
        <v>นพอ.กฤตินันท์ ฉิมพาลี </v>
      </c>
      <c r="G896" s="3" t="str">
        <f>IFERROR(__xludf.DUMMYFUNCTION("""COMPUTED_VALUE"""),"ช่วยเหลืองานภายใน วพอ.")</f>
        <v>ช่วยเหลืองานภายใน วพอ.</v>
      </c>
      <c r="H896" s="3" t="str">
        <f>IFERROR(__xludf.DUMMYFUNCTION("""COMPUTED_VALUE"""),"ซ้อมงานพิธีมอบหมวกพยาบาลวิชาชีพ ปีการศึกษา 2568ซ้อมงานพิธีมอบหมวกพยาบาลวิชาชีพ ปีการศึกษา 2568")</f>
        <v>ซ้อมงานพิธีมอบหมวกพยาบาลวิชาชีพ ปีการศึกษา 2568ซ้อมงานพิธีมอบหมวกพยาบาลวิชาชีพ ปีการศึกษา 2568</v>
      </c>
      <c r="I896" s="3" t="str">
        <f>IFERROR(__xludf.DUMMYFUNCTION("""COMPUTED_VALUE"""),"วพอ.พอ.")</f>
        <v>วพอ.พอ.</v>
      </c>
      <c r="J896" s="12">
        <f>IFERROR(__xludf.DUMMYFUNCTION("""COMPUTED_VALUE"""),46139.0)</f>
        <v>46139</v>
      </c>
      <c r="K896" s="3" t="str">
        <f>IFERROR(__xludf.DUMMYFUNCTION("""COMPUTED_VALUE"""),"1700-2100")</f>
        <v>1700-2100</v>
      </c>
      <c r="L896" s="3">
        <f>IFERROR(__xludf.DUMMYFUNCTION("""COMPUTED_VALUE"""),4.0)</f>
        <v>4</v>
      </c>
      <c r="M896" s="3" t="str">
        <f>IFERROR(__xludf.DUMMYFUNCTION("""COMPUTED_VALUE"""),"ร.อ.อนุชิต ทำจะดี ")</f>
        <v>ร.อ.อนุชิต ทำจะดี </v>
      </c>
      <c r="N896" s="14" t="str">
        <f>IFERROR(__xludf.DUMMYFUNCTION("""COMPUTED_VALUE"""),"https://lh5.googleusercontent.com/d/12FCOKiCbAqcXTVV-1HFTkvY0z-nHHlaa")</f>
        <v>https://lh5.googleusercontent.com/d/12FCOKiCbAqcXTVV-1HFTkvY0z-nHHlaa</v>
      </c>
      <c r="O896" s="14" t="str">
        <f>IFERROR(__xludf.DUMMYFUNCTION("""COMPUTED_VALUE"""),"https://drive.google.com/file/d/1wXt_2Mc4S6o5nMOFyZ9eZTZZxuMP00ET/view?usp=drivesdk")</f>
        <v>https://drive.google.com/file/d/1wXt_2Mc4S6o5nMOFyZ9eZTZZxuMP00ET/view?usp=drivesdk</v>
      </c>
    </row>
    <row r="897">
      <c r="A897" s="3">
        <f>IFERROR(__xludf.DUMMYFUNCTION("""COMPUTED_VALUE"""),3526.0)</f>
        <v>3526</v>
      </c>
      <c r="B897" s="11">
        <f>IFERROR(__xludf.DUMMYFUNCTION("""COMPUTED_VALUE"""),46187.88749605324)</f>
        <v>46187.8875</v>
      </c>
      <c r="C897" s="3" t="str">
        <f>IFERROR(__xludf.DUMMYFUNCTION("""COMPUTED_VALUE"""),"ชั้นปีที่ 3")</f>
        <v>ชั้นปีที่ 3</v>
      </c>
      <c r="D897" s="3" t="str">
        <f>IFERROR(__xludf.DUMMYFUNCTION("""COMPUTED_VALUE"""),"6603807")</f>
        <v>6603807</v>
      </c>
      <c r="E897" s="3" t="str">
        <f>IFERROR(__xludf.DUMMYFUNCTION("""COMPUTED_VALUE"""),"53")</f>
        <v>53</v>
      </c>
      <c r="F897" s="3" t="str">
        <f>IFERROR(__xludf.DUMMYFUNCTION("""COMPUTED_VALUE"""),"นพอ.สถิตย์ภรณ์ นวลขวัญ")</f>
        <v>นพอ.สถิตย์ภรณ์ นวลขวัญ</v>
      </c>
      <c r="G89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97" s="3" t="str">
        <f>IFERROR(__xludf.DUMMYFUNCTION("""COMPUTED_VALUE"""),"งานกอล์ฟ ทอ.")</f>
        <v>งานกอล์ฟ ทอ.</v>
      </c>
      <c r="I897" s="3" t="str">
        <f>IFERROR(__xludf.DUMMYFUNCTION("""COMPUTED_VALUE"""),"สนามกอล์ฟธูปะเตมีย์")</f>
        <v>สนามกอล์ฟธูปะเตมีย์</v>
      </c>
      <c r="J897" s="12">
        <f>IFERROR(__xludf.DUMMYFUNCTION("""COMPUTED_VALUE"""),46066.0)</f>
        <v>46066</v>
      </c>
      <c r="K897" s="3" t="str">
        <f>IFERROR(__xludf.DUMMYFUNCTION("""COMPUTED_VALUE"""),"1500-1900")</f>
        <v>1500-1900</v>
      </c>
      <c r="L897" s="3">
        <f>IFERROR(__xludf.DUMMYFUNCTION("""COMPUTED_VALUE"""),4.0)</f>
        <v>4</v>
      </c>
      <c r="M897" s="3" t="str">
        <f>IFERROR(__xludf.DUMMYFUNCTION("""COMPUTED_VALUE"""),"น.ท.หญิง ลักษ์ขณา พานิชสรรค์")</f>
        <v>น.ท.หญิง ลักษ์ขณา พานิชสรรค์</v>
      </c>
      <c r="N897" s="14" t="str">
        <f>IFERROR(__xludf.DUMMYFUNCTION("""COMPUTED_VALUE"""),"https://lh5.googleusercontent.com/d/1JJ_2XnKDz9bK84HXDbKroyOjnXOIsLew")</f>
        <v>https://lh5.googleusercontent.com/d/1JJ_2XnKDz9bK84HXDbKroyOjnXOIsLew</v>
      </c>
      <c r="O897" s="14" t="str">
        <f>IFERROR(__xludf.DUMMYFUNCTION("""COMPUTED_VALUE"""),"https://drive.google.com/file/d/1H6lq1vOciMtRRPxTpfgDF7VJRHBSg7hJ/view?usp=drivesdk")</f>
        <v>https://drive.google.com/file/d/1H6lq1vOciMtRRPxTpfgDF7VJRHBSg7hJ/view?usp=drivesdk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O31"/>
    <hyperlink r:id="rId61" ref="N32"/>
    <hyperlink r:id="rId62" ref="O32"/>
    <hyperlink r:id="rId63" ref="N33"/>
    <hyperlink r:id="rId64" ref="O33"/>
    <hyperlink r:id="rId65" ref="N34"/>
    <hyperlink r:id="rId66" ref="O34"/>
    <hyperlink r:id="rId67" ref="N35"/>
    <hyperlink r:id="rId68" ref="O35"/>
    <hyperlink r:id="rId69" ref="N36"/>
    <hyperlink r:id="rId70" ref="O36"/>
    <hyperlink r:id="rId71" ref="N37"/>
    <hyperlink r:id="rId72" ref="O37"/>
    <hyperlink r:id="rId73" ref="N38"/>
    <hyperlink r:id="rId74" ref="O38"/>
    <hyperlink r:id="rId75" ref="N39"/>
    <hyperlink r:id="rId76" ref="O39"/>
    <hyperlink r:id="rId77" ref="N40"/>
    <hyperlink r:id="rId78" ref="O40"/>
    <hyperlink r:id="rId79" ref="N41"/>
    <hyperlink r:id="rId80" ref="O41"/>
    <hyperlink r:id="rId81" ref="N42"/>
    <hyperlink r:id="rId82" ref="O42"/>
    <hyperlink r:id="rId83" ref="N43"/>
    <hyperlink r:id="rId84" ref="O43"/>
    <hyperlink r:id="rId85" ref="N44"/>
    <hyperlink r:id="rId86" ref="O44"/>
    <hyperlink r:id="rId87" ref="N45"/>
    <hyperlink r:id="rId88" ref="O45"/>
    <hyperlink r:id="rId89" ref="N46"/>
    <hyperlink r:id="rId90" ref="O46"/>
    <hyperlink r:id="rId91" ref="N47"/>
    <hyperlink r:id="rId92" ref="O47"/>
    <hyperlink r:id="rId93" ref="N48"/>
    <hyperlink r:id="rId94" ref="O48"/>
    <hyperlink r:id="rId95" ref="N49"/>
    <hyperlink r:id="rId96" ref="O49"/>
    <hyperlink r:id="rId97" ref="N50"/>
    <hyperlink r:id="rId98" ref="O50"/>
    <hyperlink r:id="rId99" ref="N51"/>
    <hyperlink r:id="rId100" ref="O51"/>
    <hyperlink r:id="rId101" ref="N52"/>
    <hyperlink r:id="rId102" ref="O52"/>
    <hyperlink r:id="rId103" ref="N53"/>
    <hyperlink r:id="rId104" ref="O53"/>
    <hyperlink r:id="rId105" ref="N54"/>
    <hyperlink r:id="rId106" ref="O54"/>
    <hyperlink r:id="rId107" ref="N55"/>
    <hyperlink r:id="rId108" ref="O55"/>
    <hyperlink r:id="rId109" ref="N56"/>
    <hyperlink r:id="rId110" ref="O56"/>
    <hyperlink r:id="rId111" ref="N57"/>
    <hyperlink r:id="rId112" ref="O57"/>
    <hyperlink r:id="rId113" ref="N58"/>
    <hyperlink r:id="rId114" ref="O58"/>
    <hyperlink r:id="rId115" ref="N59"/>
    <hyperlink r:id="rId116" ref="O59"/>
    <hyperlink r:id="rId117" ref="N60"/>
    <hyperlink r:id="rId118" ref="O60"/>
    <hyperlink r:id="rId119" ref="N61"/>
    <hyperlink r:id="rId120" ref="O61"/>
    <hyperlink r:id="rId121" ref="N62"/>
    <hyperlink r:id="rId122" ref="O62"/>
    <hyperlink r:id="rId123" ref="N63"/>
    <hyperlink r:id="rId124" ref="O63"/>
    <hyperlink r:id="rId125" ref="N64"/>
    <hyperlink r:id="rId126" ref="O64"/>
    <hyperlink r:id="rId127" ref="N65"/>
    <hyperlink r:id="rId128" ref="O65"/>
    <hyperlink r:id="rId129" ref="N66"/>
    <hyperlink r:id="rId130" ref="O66"/>
    <hyperlink r:id="rId131" ref="N67"/>
    <hyperlink r:id="rId132" ref="O67"/>
    <hyperlink r:id="rId133" ref="N68"/>
    <hyperlink r:id="rId134" ref="O68"/>
    <hyperlink r:id="rId135" ref="N69"/>
    <hyperlink r:id="rId136" ref="O69"/>
    <hyperlink r:id="rId137" ref="N70"/>
    <hyperlink r:id="rId138" ref="O70"/>
    <hyperlink r:id="rId139" ref="N73"/>
    <hyperlink r:id="rId140" ref="O73"/>
    <hyperlink r:id="rId141" ref="N74"/>
    <hyperlink r:id="rId142" ref="O74"/>
    <hyperlink r:id="rId143" ref="N75"/>
    <hyperlink r:id="rId144" ref="O75"/>
    <hyperlink r:id="rId145" ref="N76"/>
    <hyperlink r:id="rId146" ref="O76"/>
    <hyperlink r:id="rId147" ref="N77"/>
    <hyperlink r:id="rId148" ref="O77"/>
    <hyperlink r:id="rId149" ref="N78"/>
    <hyperlink r:id="rId150" ref="O78"/>
    <hyperlink r:id="rId151" ref="N79"/>
    <hyperlink r:id="rId152" ref="O79"/>
    <hyperlink r:id="rId153" ref="N80"/>
    <hyperlink r:id="rId154" ref="O80"/>
    <hyperlink r:id="rId155" ref="N81"/>
    <hyperlink r:id="rId156" ref="O81"/>
    <hyperlink r:id="rId157" ref="N82"/>
    <hyperlink r:id="rId158" ref="O82"/>
    <hyperlink r:id="rId159" ref="N83"/>
    <hyperlink r:id="rId160" ref="O83"/>
    <hyperlink r:id="rId161" ref="N84"/>
    <hyperlink r:id="rId162" ref="O84"/>
    <hyperlink r:id="rId163" ref="N85"/>
    <hyperlink r:id="rId164" ref="O85"/>
    <hyperlink r:id="rId165" ref="N86"/>
    <hyperlink r:id="rId166" ref="O86"/>
    <hyperlink r:id="rId167" ref="N87"/>
    <hyperlink r:id="rId168" ref="O87"/>
    <hyperlink r:id="rId169" ref="N88"/>
    <hyperlink r:id="rId170" ref="O88"/>
    <hyperlink r:id="rId171" ref="N89"/>
    <hyperlink r:id="rId172" ref="O89"/>
    <hyperlink r:id="rId173" ref="N90"/>
    <hyperlink r:id="rId174" ref="O90"/>
    <hyperlink r:id="rId175" ref="N91"/>
    <hyperlink r:id="rId176" ref="O91"/>
    <hyperlink r:id="rId177" ref="N93"/>
    <hyperlink r:id="rId178" ref="O93"/>
    <hyperlink r:id="rId179" ref="N94"/>
    <hyperlink r:id="rId180" ref="O94"/>
    <hyperlink r:id="rId181" ref="N95"/>
    <hyperlink r:id="rId182" ref="O95"/>
    <hyperlink r:id="rId183" ref="N96"/>
    <hyperlink r:id="rId184" ref="O96"/>
    <hyperlink r:id="rId185" ref="N97"/>
    <hyperlink r:id="rId186" ref="O97"/>
    <hyperlink r:id="rId187" ref="N98"/>
    <hyperlink r:id="rId188" ref="O98"/>
    <hyperlink r:id="rId189" ref="N99"/>
    <hyperlink r:id="rId190" ref="O99"/>
    <hyperlink r:id="rId191" ref="N100"/>
    <hyperlink r:id="rId192" ref="O100"/>
    <hyperlink r:id="rId193" ref="N101"/>
    <hyperlink r:id="rId194" ref="O101"/>
    <hyperlink r:id="rId195" ref="N102"/>
    <hyperlink r:id="rId196" ref="O102"/>
    <hyperlink r:id="rId197" ref="N103"/>
    <hyperlink r:id="rId198" ref="O103"/>
    <hyperlink r:id="rId199" ref="N104"/>
    <hyperlink r:id="rId200" ref="O104"/>
    <hyperlink r:id="rId201" ref="N105"/>
    <hyperlink r:id="rId202" ref="O105"/>
    <hyperlink r:id="rId203" ref="N106"/>
    <hyperlink r:id="rId204" ref="O106"/>
    <hyperlink r:id="rId205" ref="N107"/>
    <hyperlink r:id="rId206" ref="O107"/>
    <hyperlink r:id="rId207" ref="N108"/>
    <hyperlink r:id="rId208" ref="O108"/>
    <hyperlink r:id="rId209" ref="N109"/>
    <hyperlink r:id="rId210" ref="O109"/>
    <hyperlink r:id="rId211" ref="N110"/>
    <hyperlink r:id="rId212" ref="O110"/>
    <hyperlink r:id="rId213" ref="N111"/>
    <hyperlink r:id="rId214" ref="O111"/>
    <hyperlink r:id="rId215" ref="N112"/>
    <hyperlink r:id="rId216" ref="N113"/>
    <hyperlink r:id="rId217" ref="O113"/>
    <hyperlink r:id="rId218" ref="N114"/>
    <hyperlink r:id="rId219" ref="O114"/>
    <hyperlink r:id="rId220" ref="N115"/>
    <hyperlink r:id="rId221" ref="O115"/>
    <hyperlink r:id="rId222" ref="N116"/>
    <hyperlink r:id="rId223" ref="O116"/>
    <hyperlink r:id="rId224" ref="N117"/>
    <hyperlink r:id="rId225" ref="O117"/>
    <hyperlink r:id="rId226" ref="N118"/>
    <hyperlink r:id="rId227" ref="O118"/>
    <hyperlink r:id="rId228" ref="N119"/>
    <hyperlink r:id="rId229" ref="O119"/>
    <hyperlink r:id="rId230" ref="N120"/>
    <hyperlink r:id="rId231" ref="O120"/>
    <hyperlink r:id="rId232" ref="N121"/>
    <hyperlink r:id="rId233" ref="O121"/>
    <hyperlink r:id="rId234" ref="N122"/>
    <hyperlink r:id="rId235" ref="O122"/>
    <hyperlink r:id="rId236" ref="N123"/>
    <hyperlink r:id="rId237" ref="O123"/>
    <hyperlink r:id="rId238" ref="N124"/>
    <hyperlink r:id="rId239" ref="O124"/>
    <hyperlink r:id="rId240" ref="N125"/>
    <hyperlink r:id="rId241" ref="O125"/>
    <hyperlink r:id="rId242" ref="N126"/>
    <hyperlink r:id="rId243" ref="O126"/>
    <hyperlink r:id="rId244" ref="N127"/>
    <hyperlink r:id="rId245" ref="O127"/>
    <hyperlink r:id="rId246" ref="N128"/>
    <hyperlink r:id="rId247" ref="O128"/>
    <hyperlink r:id="rId248" ref="N129"/>
    <hyperlink r:id="rId249" ref="O129"/>
    <hyperlink r:id="rId250" ref="N130"/>
    <hyperlink r:id="rId251" ref="O130"/>
    <hyperlink r:id="rId252" ref="N131"/>
    <hyperlink r:id="rId253" ref="O131"/>
    <hyperlink r:id="rId254" ref="N132"/>
    <hyperlink r:id="rId255" ref="O132"/>
    <hyperlink r:id="rId256" ref="N133"/>
    <hyperlink r:id="rId257" ref="O133"/>
    <hyperlink r:id="rId258" ref="N134"/>
    <hyperlink r:id="rId259" ref="O134"/>
    <hyperlink r:id="rId260" ref="N135"/>
    <hyperlink r:id="rId261" ref="O135"/>
    <hyperlink r:id="rId262" ref="N136"/>
    <hyperlink r:id="rId263" ref="O136"/>
    <hyperlink r:id="rId264" ref="N137"/>
    <hyperlink r:id="rId265" ref="O137"/>
    <hyperlink r:id="rId266" ref="N138"/>
    <hyperlink r:id="rId267" ref="O138"/>
    <hyperlink r:id="rId268" ref="N139"/>
    <hyperlink r:id="rId269" ref="O139"/>
    <hyperlink r:id="rId270" ref="N140"/>
    <hyperlink r:id="rId271" ref="O140"/>
    <hyperlink r:id="rId272" ref="N141"/>
    <hyperlink r:id="rId273" ref="O141"/>
    <hyperlink r:id="rId274" ref="N142"/>
    <hyperlink r:id="rId275" ref="O142"/>
    <hyperlink r:id="rId276" ref="N143"/>
    <hyperlink r:id="rId277" ref="O143"/>
    <hyperlink r:id="rId278" ref="N144"/>
    <hyperlink r:id="rId279" ref="O144"/>
    <hyperlink r:id="rId280" ref="N145"/>
    <hyperlink r:id="rId281" ref="O145"/>
    <hyperlink r:id="rId282" ref="N146"/>
    <hyperlink r:id="rId283" ref="O146"/>
    <hyperlink r:id="rId284" ref="N147"/>
    <hyperlink r:id="rId285" ref="O147"/>
    <hyperlink r:id="rId286" ref="N148"/>
    <hyperlink r:id="rId287" ref="N149"/>
    <hyperlink r:id="rId288" ref="O149"/>
    <hyperlink r:id="rId289" ref="N150"/>
    <hyperlink r:id="rId290" ref="O150"/>
    <hyperlink r:id="rId291" ref="N151"/>
    <hyperlink r:id="rId292" ref="O151"/>
    <hyperlink r:id="rId293" ref="N152"/>
    <hyperlink r:id="rId294" ref="O152"/>
    <hyperlink r:id="rId295" ref="N153"/>
    <hyperlink r:id="rId296" ref="O153"/>
    <hyperlink r:id="rId297" ref="N154"/>
    <hyperlink r:id="rId298" ref="O154"/>
    <hyperlink r:id="rId299" ref="N155"/>
    <hyperlink r:id="rId300" ref="O155"/>
    <hyperlink r:id="rId301" ref="N156"/>
    <hyperlink r:id="rId302" ref="O156"/>
    <hyperlink r:id="rId303" ref="N157"/>
    <hyperlink r:id="rId304" ref="O157"/>
    <hyperlink r:id="rId305" ref="N158"/>
    <hyperlink r:id="rId306" ref="N159"/>
    <hyperlink r:id="rId307" ref="O159"/>
    <hyperlink r:id="rId308" ref="N160"/>
    <hyperlink r:id="rId309" ref="O160"/>
    <hyperlink r:id="rId310" ref="N161"/>
    <hyperlink r:id="rId311" ref="O161"/>
    <hyperlink r:id="rId312" ref="N162"/>
    <hyperlink r:id="rId313" ref="O162"/>
    <hyperlink r:id="rId314" ref="N163"/>
    <hyperlink r:id="rId315" ref="N164"/>
    <hyperlink r:id="rId316" ref="O164"/>
    <hyperlink r:id="rId317" ref="N165"/>
    <hyperlink r:id="rId318" ref="O165"/>
    <hyperlink r:id="rId319" ref="N166"/>
    <hyperlink r:id="rId320" ref="O166"/>
    <hyperlink r:id="rId321" ref="N167"/>
    <hyperlink r:id="rId322" ref="O167"/>
    <hyperlink r:id="rId323" ref="N168"/>
    <hyperlink r:id="rId324" ref="O168"/>
    <hyperlink r:id="rId325" ref="N169"/>
    <hyperlink r:id="rId326" ref="O169"/>
    <hyperlink r:id="rId327" ref="N170"/>
    <hyperlink r:id="rId328" ref="O170"/>
    <hyperlink r:id="rId329" ref="N171"/>
    <hyperlink r:id="rId330" ref="O171"/>
    <hyperlink r:id="rId331" ref="N172"/>
    <hyperlink r:id="rId332" ref="O172"/>
    <hyperlink r:id="rId333" ref="N173"/>
    <hyperlink r:id="rId334" ref="O173"/>
    <hyperlink r:id="rId335" ref="N174"/>
    <hyperlink r:id="rId336" ref="O174"/>
    <hyperlink r:id="rId337" ref="N175"/>
    <hyperlink r:id="rId338" ref="O175"/>
    <hyperlink r:id="rId339" ref="N176"/>
    <hyperlink r:id="rId340" ref="O176"/>
    <hyperlink r:id="rId341" ref="N177"/>
    <hyperlink r:id="rId342" ref="O177"/>
    <hyperlink r:id="rId343" ref="N178"/>
    <hyperlink r:id="rId344" ref="O178"/>
    <hyperlink r:id="rId345" ref="N179"/>
    <hyperlink r:id="rId346" ref="O179"/>
    <hyperlink r:id="rId347" ref="N180"/>
    <hyperlink r:id="rId348" ref="N181"/>
    <hyperlink r:id="rId349" ref="O181"/>
    <hyperlink r:id="rId350" ref="N182"/>
    <hyperlink r:id="rId351" ref="O182"/>
    <hyperlink r:id="rId352" ref="N183"/>
    <hyperlink r:id="rId353" ref="O183"/>
    <hyperlink r:id="rId354" ref="N184"/>
    <hyperlink r:id="rId355" ref="O184"/>
    <hyperlink r:id="rId356" ref="N185"/>
    <hyperlink r:id="rId357" ref="N186"/>
    <hyperlink r:id="rId358" ref="N187"/>
    <hyperlink r:id="rId359" ref="O187"/>
    <hyperlink r:id="rId360" ref="N188"/>
    <hyperlink r:id="rId361" ref="O188"/>
    <hyperlink r:id="rId362" ref="N189"/>
    <hyperlink r:id="rId363" ref="N190"/>
    <hyperlink r:id="rId364" ref="O190"/>
    <hyperlink r:id="rId365" ref="N191"/>
    <hyperlink r:id="rId366" ref="O191"/>
    <hyperlink r:id="rId367" ref="N192"/>
    <hyperlink r:id="rId368" ref="O192"/>
    <hyperlink r:id="rId369" ref="N193"/>
    <hyperlink r:id="rId370" ref="N194"/>
    <hyperlink r:id="rId371" ref="O194"/>
    <hyperlink r:id="rId372" ref="N195"/>
    <hyperlink r:id="rId373" ref="O195"/>
    <hyperlink r:id="rId374" ref="N196"/>
    <hyperlink r:id="rId375" ref="O196"/>
    <hyperlink r:id="rId376" ref="N197"/>
    <hyperlink r:id="rId377" ref="O197"/>
    <hyperlink r:id="rId378" ref="N198"/>
    <hyperlink r:id="rId379" ref="O198"/>
    <hyperlink r:id="rId380" ref="N199"/>
    <hyperlink r:id="rId381" ref="O199"/>
    <hyperlink r:id="rId382" ref="N200"/>
    <hyperlink r:id="rId383" ref="O200"/>
    <hyperlink r:id="rId384" ref="N201"/>
    <hyperlink r:id="rId385" ref="O201"/>
    <hyperlink r:id="rId386" ref="N202"/>
    <hyperlink r:id="rId387" ref="O202"/>
    <hyperlink r:id="rId388" ref="N203"/>
    <hyperlink r:id="rId389" ref="O203"/>
    <hyperlink r:id="rId390" ref="N204"/>
    <hyperlink r:id="rId391" ref="O204"/>
    <hyperlink r:id="rId392" ref="N205"/>
    <hyperlink r:id="rId393" ref="O205"/>
    <hyperlink r:id="rId394" ref="N206"/>
    <hyperlink r:id="rId395" ref="O206"/>
    <hyperlink r:id="rId396" ref="N207"/>
    <hyperlink r:id="rId397" ref="O207"/>
    <hyperlink r:id="rId398" ref="N208"/>
    <hyperlink r:id="rId399" ref="O208"/>
    <hyperlink r:id="rId400" ref="N209"/>
    <hyperlink r:id="rId401" ref="O209"/>
    <hyperlink r:id="rId402" ref="N210"/>
    <hyperlink r:id="rId403" ref="O210"/>
    <hyperlink r:id="rId404" ref="N211"/>
    <hyperlink r:id="rId405" ref="O211"/>
    <hyperlink r:id="rId406" ref="N212"/>
    <hyperlink r:id="rId407" ref="O212"/>
    <hyperlink r:id="rId408" ref="N213"/>
    <hyperlink r:id="rId409" ref="O213"/>
    <hyperlink r:id="rId410" ref="N214"/>
    <hyperlink r:id="rId411" ref="O214"/>
    <hyperlink r:id="rId412" ref="N215"/>
    <hyperlink r:id="rId413" ref="O215"/>
    <hyperlink r:id="rId414" ref="N216"/>
    <hyperlink r:id="rId415" ref="O216"/>
    <hyperlink r:id="rId416" ref="N217"/>
    <hyperlink r:id="rId417" ref="O217"/>
    <hyperlink r:id="rId418" ref="N218"/>
    <hyperlink r:id="rId419" ref="O218"/>
    <hyperlink r:id="rId420" ref="N219"/>
    <hyperlink r:id="rId421" ref="O219"/>
    <hyperlink r:id="rId422" ref="N220"/>
    <hyperlink r:id="rId423" ref="O220"/>
    <hyperlink r:id="rId424" ref="N221"/>
    <hyperlink r:id="rId425" ref="O221"/>
    <hyperlink r:id="rId426" ref="N222"/>
    <hyperlink r:id="rId427" ref="O222"/>
    <hyperlink r:id="rId428" ref="N223"/>
    <hyperlink r:id="rId429" ref="O223"/>
    <hyperlink r:id="rId430" ref="N224"/>
    <hyperlink r:id="rId431" ref="O224"/>
    <hyperlink r:id="rId432" ref="N225"/>
    <hyperlink r:id="rId433" ref="O225"/>
    <hyperlink r:id="rId434" ref="N226"/>
    <hyperlink r:id="rId435" ref="O226"/>
    <hyperlink r:id="rId436" ref="N227"/>
    <hyperlink r:id="rId437" ref="O227"/>
    <hyperlink r:id="rId438" ref="N228"/>
    <hyperlink r:id="rId439" ref="O228"/>
    <hyperlink r:id="rId440" ref="N229"/>
    <hyperlink r:id="rId441" ref="O229"/>
    <hyperlink r:id="rId442" ref="N230"/>
    <hyperlink r:id="rId443" ref="O230"/>
    <hyperlink r:id="rId444" ref="N231"/>
    <hyperlink r:id="rId445" ref="O231"/>
    <hyperlink r:id="rId446" ref="N232"/>
    <hyperlink r:id="rId447" ref="O232"/>
    <hyperlink r:id="rId448" ref="N233"/>
    <hyperlink r:id="rId449" ref="O233"/>
    <hyperlink r:id="rId450" ref="N234"/>
    <hyperlink r:id="rId451" ref="O234"/>
    <hyperlink r:id="rId452" ref="N235"/>
    <hyperlink r:id="rId453" ref="O235"/>
    <hyperlink r:id="rId454" ref="N236"/>
    <hyperlink r:id="rId455" ref="O236"/>
    <hyperlink r:id="rId456" ref="N237"/>
    <hyperlink r:id="rId457" ref="O237"/>
    <hyperlink r:id="rId458" ref="N238"/>
    <hyperlink r:id="rId459" ref="O238"/>
    <hyperlink r:id="rId460" ref="N239"/>
    <hyperlink r:id="rId461" ref="O239"/>
    <hyperlink r:id="rId462" ref="N240"/>
    <hyperlink r:id="rId463" ref="O240"/>
    <hyperlink r:id="rId464" ref="N241"/>
    <hyperlink r:id="rId465" ref="O241"/>
    <hyperlink r:id="rId466" ref="N242"/>
    <hyperlink r:id="rId467" ref="O242"/>
    <hyperlink r:id="rId468" ref="N243"/>
    <hyperlink r:id="rId469" ref="O243"/>
    <hyperlink r:id="rId470" ref="N244"/>
    <hyperlink r:id="rId471" ref="O244"/>
    <hyperlink r:id="rId472" ref="N245"/>
    <hyperlink r:id="rId473" ref="O245"/>
    <hyperlink r:id="rId474" ref="N246"/>
    <hyperlink r:id="rId475" ref="O246"/>
    <hyperlink r:id="rId476" ref="N247"/>
    <hyperlink r:id="rId477" ref="O247"/>
    <hyperlink r:id="rId478" ref="N248"/>
    <hyperlink r:id="rId479" ref="O248"/>
    <hyperlink r:id="rId480" ref="N249"/>
    <hyperlink r:id="rId481" ref="O249"/>
    <hyperlink r:id="rId482" ref="N250"/>
    <hyperlink r:id="rId483" ref="O250"/>
    <hyperlink r:id="rId484" ref="N251"/>
    <hyperlink r:id="rId485" ref="O251"/>
    <hyperlink r:id="rId486" ref="N252"/>
    <hyperlink r:id="rId487" ref="O252"/>
    <hyperlink r:id="rId488" ref="N253"/>
    <hyperlink r:id="rId489" ref="O253"/>
    <hyperlink r:id="rId490" ref="N254"/>
    <hyperlink r:id="rId491" ref="O254"/>
    <hyperlink r:id="rId492" ref="N255"/>
    <hyperlink r:id="rId493" ref="O255"/>
    <hyperlink r:id="rId494" ref="N256"/>
    <hyperlink r:id="rId495" ref="O256"/>
    <hyperlink r:id="rId496" ref="N257"/>
    <hyperlink r:id="rId497" ref="O257"/>
    <hyperlink r:id="rId498" ref="N258"/>
    <hyperlink r:id="rId499" ref="O258"/>
    <hyperlink r:id="rId500" ref="N259"/>
    <hyperlink r:id="rId501" ref="O259"/>
    <hyperlink r:id="rId502" ref="N260"/>
    <hyperlink r:id="rId503" ref="O260"/>
    <hyperlink r:id="rId504" ref="N261"/>
    <hyperlink r:id="rId505" ref="O261"/>
    <hyperlink r:id="rId506" ref="N262"/>
    <hyperlink r:id="rId507" ref="O262"/>
    <hyperlink r:id="rId508" ref="N263"/>
    <hyperlink r:id="rId509" ref="O263"/>
    <hyperlink r:id="rId510" ref="N264"/>
    <hyperlink r:id="rId511" ref="O264"/>
    <hyperlink r:id="rId512" ref="N265"/>
    <hyperlink r:id="rId513" ref="O265"/>
    <hyperlink r:id="rId514" ref="N266"/>
    <hyperlink r:id="rId515" ref="O266"/>
    <hyperlink r:id="rId516" ref="N267"/>
    <hyperlink r:id="rId517" ref="O267"/>
    <hyperlink r:id="rId518" ref="N268"/>
    <hyperlink r:id="rId519" ref="O268"/>
    <hyperlink r:id="rId520" ref="N269"/>
    <hyperlink r:id="rId521" ref="O269"/>
    <hyperlink r:id="rId522" ref="N270"/>
    <hyperlink r:id="rId523" ref="O270"/>
    <hyperlink r:id="rId524" ref="N271"/>
    <hyperlink r:id="rId525" ref="O271"/>
    <hyperlink r:id="rId526" ref="N272"/>
    <hyperlink r:id="rId527" ref="O272"/>
    <hyperlink r:id="rId528" ref="N273"/>
    <hyperlink r:id="rId529" ref="O273"/>
    <hyperlink r:id="rId530" ref="N274"/>
    <hyperlink r:id="rId531" ref="O274"/>
    <hyperlink r:id="rId532" ref="N275"/>
    <hyperlink r:id="rId533" ref="O275"/>
    <hyperlink r:id="rId534" ref="N276"/>
    <hyperlink r:id="rId535" ref="O276"/>
    <hyperlink r:id="rId536" ref="N277"/>
    <hyperlink r:id="rId537" ref="O277"/>
    <hyperlink r:id="rId538" ref="N278"/>
    <hyperlink r:id="rId539" ref="O278"/>
    <hyperlink r:id="rId540" ref="N279"/>
    <hyperlink r:id="rId541" ref="O279"/>
    <hyperlink r:id="rId542" ref="N280"/>
    <hyperlink r:id="rId543" ref="O280"/>
    <hyperlink r:id="rId544" ref="N281"/>
    <hyperlink r:id="rId545" ref="O281"/>
    <hyperlink r:id="rId546" ref="N282"/>
    <hyperlink r:id="rId547" ref="O282"/>
    <hyperlink r:id="rId548" ref="N283"/>
    <hyperlink r:id="rId549" ref="O283"/>
    <hyperlink r:id="rId550" ref="N284"/>
    <hyperlink r:id="rId551" ref="O284"/>
    <hyperlink r:id="rId552" ref="N285"/>
    <hyperlink r:id="rId553" ref="O285"/>
    <hyperlink r:id="rId554" ref="N286"/>
    <hyperlink r:id="rId555" ref="O286"/>
    <hyperlink r:id="rId556" ref="N287"/>
    <hyperlink r:id="rId557" ref="O287"/>
    <hyperlink r:id="rId558" ref="N288"/>
    <hyperlink r:id="rId559" ref="O288"/>
    <hyperlink r:id="rId560" ref="N289"/>
    <hyperlink r:id="rId561" ref="O289"/>
    <hyperlink r:id="rId562" ref="N290"/>
    <hyperlink r:id="rId563" ref="O290"/>
    <hyperlink r:id="rId564" ref="N291"/>
    <hyperlink r:id="rId565" ref="O291"/>
    <hyperlink r:id="rId566" ref="N292"/>
    <hyperlink r:id="rId567" ref="O292"/>
    <hyperlink r:id="rId568" ref="N293"/>
    <hyperlink r:id="rId569" ref="O293"/>
    <hyperlink r:id="rId570" ref="N294"/>
    <hyperlink r:id="rId571" ref="O294"/>
    <hyperlink r:id="rId572" ref="N295"/>
    <hyperlink r:id="rId573" ref="O295"/>
    <hyperlink r:id="rId574" ref="N296"/>
    <hyperlink r:id="rId575" ref="O296"/>
    <hyperlink r:id="rId576" ref="N297"/>
    <hyperlink r:id="rId577" ref="O297"/>
    <hyperlink r:id="rId578" ref="N298"/>
    <hyperlink r:id="rId579" ref="O298"/>
    <hyperlink r:id="rId580" ref="N299"/>
    <hyperlink r:id="rId581" ref="N300"/>
    <hyperlink r:id="rId582" ref="O300"/>
    <hyperlink r:id="rId583" ref="N301"/>
    <hyperlink r:id="rId584" ref="O301"/>
    <hyperlink r:id="rId585" ref="N302"/>
    <hyperlink r:id="rId586" ref="O302"/>
    <hyperlink r:id="rId587" ref="N303"/>
    <hyperlink r:id="rId588" ref="O303"/>
    <hyperlink r:id="rId589" ref="N304"/>
    <hyperlink r:id="rId590" ref="O304"/>
    <hyperlink r:id="rId591" ref="N305"/>
    <hyperlink r:id="rId592" ref="O305"/>
    <hyperlink r:id="rId593" ref="N306"/>
    <hyperlink r:id="rId594" ref="O306"/>
    <hyperlink r:id="rId595" ref="N307"/>
    <hyperlink r:id="rId596" ref="O307"/>
    <hyperlink r:id="rId597" ref="N308"/>
    <hyperlink r:id="rId598" ref="O308"/>
    <hyperlink r:id="rId599" ref="N309"/>
    <hyperlink r:id="rId600" ref="O309"/>
    <hyperlink r:id="rId601" ref="N310"/>
    <hyperlink r:id="rId602" ref="O310"/>
    <hyperlink r:id="rId603" ref="N311"/>
    <hyperlink r:id="rId604" ref="O311"/>
    <hyperlink r:id="rId605" ref="N312"/>
    <hyperlink r:id="rId606" ref="O312"/>
    <hyperlink r:id="rId607" ref="N313"/>
    <hyperlink r:id="rId608" ref="O313"/>
    <hyperlink r:id="rId609" ref="N314"/>
    <hyperlink r:id="rId610" ref="O314"/>
    <hyperlink r:id="rId611" ref="N315"/>
    <hyperlink r:id="rId612" ref="O315"/>
    <hyperlink r:id="rId613" ref="N316"/>
    <hyperlink r:id="rId614" ref="O316"/>
    <hyperlink r:id="rId615" ref="N317"/>
    <hyperlink r:id="rId616" ref="O317"/>
    <hyperlink r:id="rId617" ref="N318"/>
    <hyperlink r:id="rId618" ref="O318"/>
    <hyperlink r:id="rId619" ref="N319"/>
    <hyperlink r:id="rId620" ref="O319"/>
    <hyperlink r:id="rId621" ref="N320"/>
    <hyperlink r:id="rId622" ref="O320"/>
    <hyperlink r:id="rId623" ref="N321"/>
    <hyperlink r:id="rId624" ref="O321"/>
    <hyperlink r:id="rId625" ref="N322"/>
    <hyperlink r:id="rId626" ref="O322"/>
    <hyperlink r:id="rId627" ref="N323"/>
    <hyperlink r:id="rId628" ref="O323"/>
    <hyperlink r:id="rId629" ref="N324"/>
    <hyperlink r:id="rId630" ref="O324"/>
    <hyperlink r:id="rId631" ref="N325"/>
    <hyperlink r:id="rId632" ref="O325"/>
    <hyperlink r:id="rId633" ref="N326"/>
    <hyperlink r:id="rId634" ref="O326"/>
    <hyperlink r:id="rId635" ref="N327"/>
    <hyperlink r:id="rId636" ref="O327"/>
    <hyperlink r:id="rId637" ref="N328"/>
    <hyperlink r:id="rId638" ref="O328"/>
    <hyperlink r:id="rId639" ref="N329"/>
    <hyperlink r:id="rId640" ref="O329"/>
    <hyperlink r:id="rId641" ref="N330"/>
    <hyperlink r:id="rId642" ref="O330"/>
    <hyperlink r:id="rId643" ref="N331"/>
    <hyperlink r:id="rId644" ref="O331"/>
    <hyperlink r:id="rId645" ref="N332"/>
    <hyperlink r:id="rId646" ref="O332"/>
    <hyperlink r:id="rId647" ref="N333"/>
    <hyperlink r:id="rId648" ref="O333"/>
    <hyperlink r:id="rId649" ref="N334"/>
    <hyperlink r:id="rId650" ref="O334"/>
    <hyperlink r:id="rId651" ref="N335"/>
    <hyperlink r:id="rId652" ref="O335"/>
    <hyperlink r:id="rId653" ref="N336"/>
    <hyperlink r:id="rId654" ref="O336"/>
    <hyperlink r:id="rId655" ref="N337"/>
    <hyperlink r:id="rId656" ref="O337"/>
    <hyperlink r:id="rId657" ref="N338"/>
    <hyperlink r:id="rId658" ref="O338"/>
    <hyperlink r:id="rId659" ref="N339"/>
    <hyperlink r:id="rId660" ref="O339"/>
    <hyperlink r:id="rId661" ref="N340"/>
    <hyperlink r:id="rId662" ref="O340"/>
    <hyperlink r:id="rId663" ref="N341"/>
    <hyperlink r:id="rId664" ref="O341"/>
    <hyperlink r:id="rId665" ref="N342"/>
    <hyperlink r:id="rId666" ref="O342"/>
    <hyperlink r:id="rId667" ref="N343"/>
    <hyperlink r:id="rId668" ref="O343"/>
    <hyperlink r:id="rId669" ref="N344"/>
    <hyperlink r:id="rId670" ref="O344"/>
    <hyperlink r:id="rId671" ref="N345"/>
    <hyperlink r:id="rId672" ref="O345"/>
    <hyperlink r:id="rId673" ref="N346"/>
    <hyperlink r:id="rId674" ref="O346"/>
    <hyperlink r:id="rId675" ref="N347"/>
    <hyperlink r:id="rId676" ref="O347"/>
    <hyperlink r:id="rId677" ref="N348"/>
    <hyperlink r:id="rId678" ref="O348"/>
    <hyperlink r:id="rId679" ref="N349"/>
    <hyperlink r:id="rId680" ref="O349"/>
    <hyperlink r:id="rId681" ref="N350"/>
    <hyperlink r:id="rId682" ref="O350"/>
    <hyperlink r:id="rId683" ref="N351"/>
    <hyperlink r:id="rId684" ref="N352"/>
    <hyperlink r:id="rId685" ref="O352"/>
    <hyperlink r:id="rId686" ref="N353"/>
    <hyperlink r:id="rId687" ref="O353"/>
    <hyperlink r:id="rId688" ref="N354"/>
    <hyperlink r:id="rId689" ref="O354"/>
    <hyperlink r:id="rId690" ref="N355"/>
    <hyperlink r:id="rId691" ref="O355"/>
    <hyperlink r:id="rId692" ref="N356"/>
    <hyperlink r:id="rId693" ref="O356"/>
    <hyperlink r:id="rId694" ref="N357"/>
    <hyperlink r:id="rId695" ref="O357"/>
    <hyperlink r:id="rId696" ref="N358"/>
    <hyperlink r:id="rId697" ref="O358"/>
    <hyperlink r:id="rId698" ref="N359"/>
    <hyperlink r:id="rId699" ref="O359"/>
    <hyperlink r:id="rId700" ref="N360"/>
    <hyperlink r:id="rId701" ref="O360"/>
    <hyperlink r:id="rId702" ref="N361"/>
    <hyperlink r:id="rId703" ref="O361"/>
    <hyperlink r:id="rId704" ref="N362"/>
    <hyperlink r:id="rId705" ref="O362"/>
    <hyperlink r:id="rId706" ref="N363"/>
    <hyperlink r:id="rId707" ref="O363"/>
    <hyperlink r:id="rId708" ref="N364"/>
    <hyperlink r:id="rId709" ref="O364"/>
    <hyperlink r:id="rId710" ref="N365"/>
    <hyperlink r:id="rId711" ref="O365"/>
    <hyperlink r:id="rId712" ref="N366"/>
    <hyperlink r:id="rId713" ref="O366"/>
    <hyperlink r:id="rId714" ref="N367"/>
    <hyperlink r:id="rId715" ref="O367"/>
    <hyperlink r:id="rId716" ref="N368"/>
    <hyperlink r:id="rId717" ref="O368"/>
    <hyperlink r:id="rId718" ref="N369"/>
    <hyperlink r:id="rId719" ref="O369"/>
    <hyperlink r:id="rId720" ref="N370"/>
    <hyperlink r:id="rId721" ref="O370"/>
    <hyperlink r:id="rId722" ref="N371"/>
    <hyperlink r:id="rId723" ref="O371"/>
    <hyperlink r:id="rId724" ref="N372"/>
    <hyperlink r:id="rId725" ref="O372"/>
    <hyperlink r:id="rId726" ref="N373"/>
    <hyperlink r:id="rId727" ref="O373"/>
    <hyperlink r:id="rId728" ref="N374"/>
    <hyperlink r:id="rId729" ref="O374"/>
    <hyperlink r:id="rId730" ref="N375"/>
    <hyperlink r:id="rId731" ref="O375"/>
    <hyperlink r:id="rId732" ref="N376"/>
    <hyperlink r:id="rId733" ref="O376"/>
    <hyperlink r:id="rId734" ref="N377"/>
    <hyperlink r:id="rId735" ref="O377"/>
    <hyperlink r:id="rId736" ref="N378"/>
    <hyperlink r:id="rId737" ref="O378"/>
    <hyperlink r:id="rId738" ref="N379"/>
    <hyperlink r:id="rId739" ref="O379"/>
    <hyperlink r:id="rId740" ref="N380"/>
    <hyperlink r:id="rId741" ref="O380"/>
    <hyperlink r:id="rId742" ref="N381"/>
    <hyperlink r:id="rId743" ref="O381"/>
    <hyperlink r:id="rId744" ref="N382"/>
    <hyperlink r:id="rId745" ref="O382"/>
    <hyperlink r:id="rId746" ref="N383"/>
    <hyperlink r:id="rId747" ref="O383"/>
    <hyperlink r:id="rId748" ref="N384"/>
    <hyperlink r:id="rId749" ref="O384"/>
    <hyperlink r:id="rId750" ref="N385"/>
    <hyperlink r:id="rId751" ref="N386"/>
    <hyperlink r:id="rId752" ref="N387"/>
    <hyperlink r:id="rId753" ref="O387"/>
    <hyperlink r:id="rId754" ref="N388"/>
    <hyperlink r:id="rId755" ref="O388"/>
    <hyperlink r:id="rId756" ref="N389"/>
    <hyperlink r:id="rId757" ref="O389"/>
    <hyperlink r:id="rId758" ref="N390"/>
    <hyperlink r:id="rId759" ref="O390"/>
    <hyperlink r:id="rId760" ref="N391"/>
    <hyperlink r:id="rId761" ref="O391"/>
    <hyperlink r:id="rId762" ref="N392"/>
    <hyperlink r:id="rId763" ref="O392"/>
    <hyperlink r:id="rId764" ref="N393"/>
    <hyperlink r:id="rId765" ref="O393"/>
    <hyperlink r:id="rId766" ref="N394"/>
    <hyperlink r:id="rId767" ref="O394"/>
    <hyperlink r:id="rId768" ref="N395"/>
    <hyperlink r:id="rId769" ref="O395"/>
    <hyperlink r:id="rId770" ref="N396"/>
    <hyperlink r:id="rId771" ref="O396"/>
    <hyperlink r:id="rId772" ref="N397"/>
    <hyperlink r:id="rId773" ref="O397"/>
    <hyperlink r:id="rId774" ref="N398"/>
    <hyperlink r:id="rId775" ref="O398"/>
    <hyperlink r:id="rId776" ref="N399"/>
    <hyperlink r:id="rId777" ref="O399"/>
    <hyperlink r:id="rId778" ref="N400"/>
    <hyperlink r:id="rId779" ref="O400"/>
    <hyperlink r:id="rId780" ref="N401"/>
    <hyperlink r:id="rId781" ref="O401"/>
    <hyperlink r:id="rId782" ref="N402"/>
    <hyperlink r:id="rId783" ref="O402"/>
    <hyperlink r:id="rId784" ref="N403"/>
    <hyperlink r:id="rId785" ref="O403"/>
    <hyperlink r:id="rId786" ref="N404"/>
    <hyperlink r:id="rId787" ref="N405"/>
    <hyperlink r:id="rId788" ref="O405"/>
    <hyperlink r:id="rId789" ref="N406"/>
    <hyperlink r:id="rId790" ref="O406"/>
    <hyperlink r:id="rId791" ref="N407"/>
    <hyperlink r:id="rId792" ref="N408"/>
    <hyperlink r:id="rId793" ref="O408"/>
    <hyperlink r:id="rId794" ref="N409"/>
    <hyperlink r:id="rId795" ref="O409"/>
    <hyperlink r:id="rId796" ref="N410"/>
    <hyperlink r:id="rId797" ref="O410"/>
    <hyperlink r:id="rId798" ref="N411"/>
    <hyperlink r:id="rId799" ref="O411"/>
    <hyperlink r:id="rId800" ref="N412"/>
    <hyperlink r:id="rId801" ref="O412"/>
    <hyperlink r:id="rId802" ref="N413"/>
    <hyperlink r:id="rId803" ref="O413"/>
    <hyperlink r:id="rId804" ref="N414"/>
    <hyperlink r:id="rId805" ref="O414"/>
    <hyperlink r:id="rId806" ref="N415"/>
    <hyperlink r:id="rId807" ref="O415"/>
    <hyperlink r:id="rId808" ref="N416"/>
    <hyperlink r:id="rId809" ref="O416"/>
    <hyperlink r:id="rId810" ref="N417"/>
    <hyperlink r:id="rId811" ref="O417"/>
    <hyperlink r:id="rId812" ref="N418"/>
    <hyperlink r:id="rId813" ref="O418"/>
    <hyperlink r:id="rId814" ref="N419"/>
    <hyperlink r:id="rId815" ref="O419"/>
    <hyperlink r:id="rId816" ref="N420"/>
    <hyperlink r:id="rId817" ref="O420"/>
    <hyperlink r:id="rId818" ref="N421"/>
    <hyperlink r:id="rId819" ref="O421"/>
    <hyperlink r:id="rId820" ref="N422"/>
    <hyperlink r:id="rId821" ref="O422"/>
    <hyperlink r:id="rId822" ref="N423"/>
    <hyperlink r:id="rId823" ref="O423"/>
    <hyperlink r:id="rId824" ref="N424"/>
    <hyperlink r:id="rId825" ref="O424"/>
    <hyperlink r:id="rId826" ref="N425"/>
    <hyperlink r:id="rId827" ref="O425"/>
    <hyperlink r:id="rId828" ref="N426"/>
    <hyperlink r:id="rId829" ref="O426"/>
    <hyperlink r:id="rId830" ref="N427"/>
    <hyperlink r:id="rId831" ref="O427"/>
    <hyperlink r:id="rId832" ref="N428"/>
    <hyperlink r:id="rId833" ref="O428"/>
    <hyperlink r:id="rId834" ref="N429"/>
    <hyperlink r:id="rId835" ref="O429"/>
    <hyperlink r:id="rId836" ref="N430"/>
    <hyperlink r:id="rId837" ref="O430"/>
    <hyperlink r:id="rId838" ref="N431"/>
    <hyperlink r:id="rId839" ref="O431"/>
    <hyperlink r:id="rId840" ref="N432"/>
    <hyperlink r:id="rId841" ref="O432"/>
    <hyperlink r:id="rId842" ref="N433"/>
    <hyperlink r:id="rId843" ref="O433"/>
    <hyperlink r:id="rId844" ref="N434"/>
    <hyperlink r:id="rId845" ref="O434"/>
    <hyperlink r:id="rId846" ref="N435"/>
    <hyperlink r:id="rId847" ref="O435"/>
    <hyperlink r:id="rId848" ref="N436"/>
    <hyperlink r:id="rId849" ref="O436"/>
    <hyperlink r:id="rId850" ref="N437"/>
    <hyperlink r:id="rId851" ref="O437"/>
    <hyperlink r:id="rId852" ref="N438"/>
    <hyperlink r:id="rId853" ref="O438"/>
    <hyperlink r:id="rId854" ref="N439"/>
    <hyperlink r:id="rId855" ref="O439"/>
    <hyperlink r:id="rId856" ref="N440"/>
    <hyperlink r:id="rId857" ref="O440"/>
    <hyperlink r:id="rId858" ref="N441"/>
    <hyperlink r:id="rId859" ref="O441"/>
    <hyperlink r:id="rId860" ref="N442"/>
    <hyperlink r:id="rId861" ref="O442"/>
    <hyperlink r:id="rId862" ref="N443"/>
    <hyperlink r:id="rId863" ref="O443"/>
    <hyperlink r:id="rId864" ref="N444"/>
    <hyperlink r:id="rId865" ref="O444"/>
    <hyperlink r:id="rId866" ref="N445"/>
    <hyperlink r:id="rId867" ref="O445"/>
    <hyperlink r:id="rId868" ref="N446"/>
    <hyperlink r:id="rId869" ref="O446"/>
    <hyperlink r:id="rId870" ref="N447"/>
    <hyperlink r:id="rId871" ref="O447"/>
    <hyperlink r:id="rId872" ref="N448"/>
    <hyperlink r:id="rId873" ref="O448"/>
    <hyperlink r:id="rId874" ref="N449"/>
    <hyperlink r:id="rId875" ref="O449"/>
    <hyperlink r:id="rId876" ref="N450"/>
    <hyperlink r:id="rId877" ref="O450"/>
    <hyperlink r:id="rId878" ref="N451"/>
    <hyperlink r:id="rId879" ref="O451"/>
    <hyperlink r:id="rId880" ref="N452"/>
    <hyperlink r:id="rId881" ref="O452"/>
    <hyperlink r:id="rId882" ref="N453"/>
    <hyperlink r:id="rId883" ref="O453"/>
    <hyperlink r:id="rId884" ref="N454"/>
    <hyperlink r:id="rId885" ref="O454"/>
    <hyperlink r:id="rId886" ref="N455"/>
    <hyperlink r:id="rId887" ref="O455"/>
    <hyperlink r:id="rId888" ref="N456"/>
    <hyperlink r:id="rId889" ref="O456"/>
    <hyperlink r:id="rId890" ref="N457"/>
    <hyperlink r:id="rId891" ref="O457"/>
    <hyperlink r:id="rId892" ref="N458"/>
    <hyperlink r:id="rId893" ref="O458"/>
    <hyperlink r:id="rId894" ref="N459"/>
    <hyperlink r:id="rId895" ref="O459"/>
    <hyperlink r:id="rId896" ref="N460"/>
    <hyperlink r:id="rId897" ref="O460"/>
    <hyperlink r:id="rId898" ref="N461"/>
    <hyperlink r:id="rId899" ref="O461"/>
    <hyperlink r:id="rId900" ref="N462"/>
    <hyperlink r:id="rId901" ref="O462"/>
    <hyperlink r:id="rId902" ref="N463"/>
    <hyperlink r:id="rId903" ref="O463"/>
    <hyperlink r:id="rId904" ref="N464"/>
    <hyperlink r:id="rId905" ref="O464"/>
    <hyperlink r:id="rId906" ref="N465"/>
    <hyperlink r:id="rId907" ref="O465"/>
    <hyperlink r:id="rId908" ref="N466"/>
    <hyperlink r:id="rId909" ref="O466"/>
    <hyperlink r:id="rId910" ref="N467"/>
    <hyperlink r:id="rId911" ref="O467"/>
    <hyperlink r:id="rId912" ref="N468"/>
    <hyperlink r:id="rId913" ref="O468"/>
    <hyperlink r:id="rId914" ref="N469"/>
    <hyperlink r:id="rId915" ref="O469"/>
    <hyperlink r:id="rId916" ref="N470"/>
    <hyperlink r:id="rId917" ref="O470"/>
    <hyperlink r:id="rId918" ref="N471"/>
    <hyperlink r:id="rId919" ref="O471"/>
    <hyperlink r:id="rId920" ref="N472"/>
    <hyperlink r:id="rId921" ref="O472"/>
    <hyperlink r:id="rId922" ref="N473"/>
    <hyperlink r:id="rId923" ref="O473"/>
    <hyperlink r:id="rId924" ref="N474"/>
    <hyperlink r:id="rId925" ref="O474"/>
    <hyperlink r:id="rId926" ref="N475"/>
    <hyperlink r:id="rId927" ref="O475"/>
    <hyperlink r:id="rId928" ref="N476"/>
    <hyperlink r:id="rId929" ref="O476"/>
    <hyperlink r:id="rId930" ref="N477"/>
    <hyperlink r:id="rId931" ref="O477"/>
    <hyperlink r:id="rId932" ref="N478"/>
    <hyperlink r:id="rId933" ref="O478"/>
    <hyperlink r:id="rId934" ref="N479"/>
    <hyperlink r:id="rId935" ref="O479"/>
    <hyperlink r:id="rId936" ref="N480"/>
    <hyperlink r:id="rId937" ref="O480"/>
    <hyperlink r:id="rId938" ref="N481"/>
    <hyperlink r:id="rId939" ref="O481"/>
    <hyperlink r:id="rId940" ref="N482"/>
    <hyperlink r:id="rId941" ref="O482"/>
    <hyperlink r:id="rId942" ref="N483"/>
    <hyperlink r:id="rId943" ref="O483"/>
    <hyperlink r:id="rId944" ref="N484"/>
    <hyperlink r:id="rId945" ref="O484"/>
    <hyperlink r:id="rId946" ref="N485"/>
    <hyperlink r:id="rId947" ref="O485"/>
    <hyperlink r:id="rId948" ref="N486"/>
    <hyperlink r:id="rId949" ref="O486"/>
    <hyperlink r:id="rId950" ref="N487"/>
    <hyperlink r:id="rId951" ref="O487"/>
    <hyperlink r:id="rId952" ref="N488"/>
    <hyperlink r:id="rId953" ref="O488"/>
    <hyperlink r:id="rId954" ref="N489"/>
    <hyperlink r:id="rId955" ref="O489"/>
    <hyperlink r:id="rId956" ref="N490"/>
    <hyperlink r:id="rId957" ref="O490"/>
    <hyperlink r:id="rId958" ref="N491"/>
    <hyperlink r:id="rId959" ref="O491"/>
    <hyperlink r:id="rId960" ref="N492"/>
    <hyperlink r:id="rId961" ref="O492"/>
    <hyperlink r:id="rId962" ref="N493"/>
    <hyperlink r:id="rId963" ref="O493"/>
    <hyperlink r:id="rId964" ref="N494"/>
    <hyperlink r:id="rId965" ref="O494"/>
    <hyperlink r:id="rId966" ref="N495"/>
    <hyperlink r:id="rId967" ref="O495"/>
    <hyperlink r:id="rId968" ref="N496"/>
    <hyperlink r:id="rId969" ref="O496"/>
    <hyperlink r:id="rId970" ref="N497"/>
    <hyperlink r:id="rId971" ref="O497"/>
    <hyperlink r:id="rId972" ref="N498"/>
    <hyperlink r:id="rId973" ref="O498"/>
    <hyperlink r:id="rId974" ref="N499"/>
    <hyperlink r:id="rId975" ref="O499"/>
    <hyperlink r:id="rId976" ref="N500"/>
    <hyperlink r:id="rId977" ref="O500"/>
    <hyperlink r:id="rId978" ref="N501"/>
    <hyperlink r:id="rId979" ref="O501"/>
    <hyperlink r:id="rId980" ref="N502"/>
    <hyperlink r:id="rId981" ref="O502"/>
    <hyperlink r:id="rId982" ref="N503"/>
    <hyperlink r:id="rId983" ref="O503"/>
    <hyperlink r:id="rId984" ref="N504"/>
    <hyperlink r:id="rId985" ref="O504"/>
    <hyperlink r:id="rId986" ref="N505"/>
    <hyperlink r:id="rId987" ref="O505"/>
    <hyperlink r:id="rId988" ref="O506"/>
    <hyperlink r:id="rId989" ref="N507"/>
    <hyperlink r:id="rId990" ref="O507"/>
    <hyperlink r:id="rId991" ref="N508"/>
    <hyperlink r:id="rId992" ref="O508"/>
    <hyperlink r:id="rId993" ref="N509"/>
    <hyperlink r:id="rId994" ref="O509"/>
    <hyperlink r:id="rId995" ref="N510"/>
    <hyperlink r:id="rId996" ref="O510"/>
    <hyperlink r:id="rId997" ref="N511"/>
    <hyperlink r:id="rId998" ref="O511"/>
    <hyperlink r:id="rId999" ref="N512"/>
    <hyperlink r:id="rId1000" ref="O512"/>
    <hyperlink r:id="rId1001" ref="N513"/>
    <hyperlink r:id="rId1002" ref="O513"/>
    <hyperlink r:id="rId1003" ref="N514"/>
    <hyperlink r:id="rId1004" ref="O514"/>
    <hyperlink r:id="rId1005" ref="N515"/>
    <hyperlink r:id="rId1006" ref="O515"/>
    <hyperlink r:id="rId1007" ref="N516"/>
    <hyperlink r:id="rId1008" ref="O516"/>
    <hyperlink r:id="rId1009" ref="N517"/>
    <hyperlink r:id="rId1010" ref="O517"/>
    <hyperlink r:id="rId1011" ref="N518"/>
    <hyperlink r:id="rId1012" ref="O518"/>
    <hyperlink r:id="rId1013" ref="O519"/>
    <hyperlink r:id="rId1014" ref="N520"/>
    <hyperlink r:id="rId1015" ref="O520"/>
    <hyperlink r:id="rId1016" ref="N521"/>
    <hyperlink r:id="rId1017" ref="O521"/>
    <hyperlink r:id="rId1018" ref="N522"/>
    <hyperlink r:id="rId1019" ref="O522"/>
    <hyperlink r:id="rId1020" ref="N523"/>
    <hyperlink r:id="rId1021" ref="O523"/>
    <hyperlink r:id="rId1022" ref="N524"/>
    <hyperlink r:id="rId1023" ref="O524"/>
    <hyperlink r:id="rId1024" ref="N525"/>
    <hyperlink r:id="rId1025" ref="O525"/>
    <hyperlink r:id="rId1026" ref="N526"/>
    <hyperlink r:id="rId1027" ref="O526"/>
    <hyperlink r:id="rId1028" ref="N527"/>
    <hyperlink r:id="rId1029" ref="O527"/>
    <hyperlink r:id="rId1030" ref="N528"/>
    <hyperlink r:id="rId1031" ref="O528"/>
    <hyperlink r:id="rId1032" ref="N529"/>
    <hyperlink r:id="rId1033" ref="O529"/>
    <hyperlink r:id="rId1034" ref="N530"/>
    <hyperlink r:id="rId1035" ref="O530"/>
    <hyperlink r:id="rId1036" ref="O531"/>
    <hyperlink r:id="rId1037" ref="N532"/>
    <hyperlink r:id="rId1038" ref="O532"/>
    <hyperlink r:id="rId1039" ref="N533"/>
    <hyperlink r:id="rId1040" ref="O533"/>
    <hyperlink r:id="rId1041" ref="N534"/>
    <hyperlink r:id="rId1042" ref="O534"/>
    <hyperlink r:id="rId1043" ref="N535"/>
    <hyperlink r:id="rId1044" ref="O535"/>
    <hyperlink r:id="rId1045" ref="N536"/>
    <hyperlink r:id="rId1046" ref="O536"/>
    <hyperlink r:id="rId1047" ref="N537"/>
    <hyperlink r:id="rId1048" ref="O537"/>
    <hyperlink r:id="rId1049" ref="N538"/>
    <hyperlink r:id="rId1050" ref="O538"/>
    <hyperlink r:id="rId1051" ref="N539"/>
    <hyperlink r:id="rId1052" ref="O539"/>
    <hyperlink r:id="rId1053" ref="N540"/>
    <hyperlink r:id="rId1054" ref="O540"/>
    <hyperlink r:id="rId1055" ref="N541"/>
    <hyperlink r:id="rId1056" ref="O541"/>
    <hyperlink r:id="rId1057" ref="N542"/>
    <hyperlink r:id="rId1058" ref="O542"/>
    <hyperlink r:id="rId1059" ref="N543"/>
    <hyperlink r:id="rId1060" ref="O543"/>
    <hyperlink r:id="rId1061" ref="N544"/>
    <hyperlink r:id="rId1062" ref="O544"/>
    <hyperlink r:id="rId1063" ref="N545"/>
    <hyperlink r:id="rId1064" ref="O545"/>
    <hyperlink r:id="rId1065" ref="N546"/>
    <hyperlink r:id="rId1066" ref="O546"/>
    <hyperlink r:id="rId1067" ref="N547"/>
    <hyperlink r:id="rId1068" ref="O547"/>
    <hyperlink r:id="rId1069" ref="N548"/>
    <hyperlink r:id="rId1070" ref="O548"/>
    <hyperlink r:id="rId1071" ref="N549"/>
    <hyperlink r:id="rId1072" ref="O549"/>
    <hyperlink r:id="rId1073" ref="N550"/>
    <hyperlink r:id="rId1074" ref="O550"/>
    <hyperlink r:id="rId1075" ref="N551"/>
    <hyperlink r:id="rId1076" ref="O551"/>
    <hyperlink r:id="rId1077" ref="N552"/>
    <hyperlink r:id="rId1078" ref="O552"/>
    <hyperlink r:id="rId1079" ref="N553"/>
    <hyperlink r:id="rId1080" ref="O553"/>
    <hyperlink r:id="rId1081" ref="N554"/>
    <hyperlink r:id="rId1082" ref="O554"/>
    <hyperlink r:id="rId1083" ref="N555"/>
    <hyperlink r:id="rId1084" ref="O555"/>
    <hyperlink r:id="rId1085" ref="N556"/>
    <hyperlink r:id="rId1086" ref="O556"/>
    <hyperlink r:id="rId1087" ref="N557"/>
    <hyperlink r:id="rId1088" ref="O557"/>
    <hyperlink r:id="rId1089" ref="N558"/>
    <hyperlink r:id="rId1090" ref="O558"/>
    <hyperlink r:id="rId1091" ref="N559"/>
    <hyperlink r:id="rId1092" ref="O559"/>
    <hyperlink r:id="rId1093" ref="N560"/>
    <hyperlink r:id="rId1094" ref="O560"/>
    <hyperlink r:id="rId1095" ref="N561"/>
    <hyperlink r:id="rId1096" ref="O561"/>
    <hyperlink r:id="rId1097" ref="N562"/>
    <hyperlink r:id="rId1098" ref="O562"/>
    <hyperlink r:id="rId1099" ref="N563"/>
    <hyperlink r:id="rId1100" ref="O563"/>
    <hyperlink r:id="rId1101" ref="N564"/>
    <hyperlink r:id="rId1102" ref="O564"/>
    <hyperlink r:id="rId1103" ref="N565"/>
    <hyperlink r:id="rId1104" ref="O565"/>
    <hyperlink r:id="rId1105" ref="N566"/>
    <hyperlink r:id="rId1106" ref="O566"/>
    <hyperlink r:id="rId1107" ref="N567"/>
    <hyperlink r:id="rId1108" ref="O567"/>
    <hyperlink r:id="rId1109" ref="N568"/>
    <hyperlink r:id="rId1110" ref="O568"/>
    <hyperlink r:id="rId1111" ref="N569"/>
    <hyperlink r:id="rId1112" ref="O569"/>
    <hyperlink r:id="rId1113" ref="N570"/>
    <hyperlink r:id="rId1114" ref="O570"/>
    <hyperlink r:id="rId1115" ref="N571"/>
    <hyperlink r:id="rId1116" ref="O571"/>
    <hyperlink r:id="rId1117" ref="N572"/>
    <hyperlink r:id="rId1118" ref="N573"/>
    <hyperlink r:id="rId1119" ref="O573"/>
    <hyperlink r:id="rId1120" ref="N574"/>
    <hyperlink r:id="rId1121" ref="O574"/>
    <hyperlink r:id="rId1122" ref="N575"/>
    <hyperlink r:id="rId1123" ref="O575"/>
    <hyperlink r:id="rId1124" ref="N576"/>
    <hyperlink r:id="rId1125" ref="O576"/>
    <hyperlink r:id="rId1126" ref="N577"/>
    <hyperlink r:id="rId1127" ref="O577"/>
    <hyperlink r:id="rId1128" ref="N578"/>
    <hyperlink r:id="rId1129" ref="O578"/>
    <hyperlink r:id="rId1130" ref="N579"/>
    <hyperlink r:id="rId1131" ref="O579"/>
    <hyperlink r:id="rId1132" ref="N580"/>
    <hyperlink r:id="rId1133" ref="O580"/>
    <hyperlink r:id="rId1134" ref="N581"/>
    <hyperlink r:id="rId1135" ref="O581"/>
    <hyperlink r:id="rId1136" ref="N582"/>
    <hyperlink r:id="rId1137" ref="O582"/>
    <hyperlink r:id="rId1138" ref="N583"/>
    <hyperlink r:id="rId1139" ref="O583"/>
    <hyperlink r:id="rId1140" ref="N584"/>
    <hyperlink r:id="rId1141" ref="O584"/>
    <hyperlink r:id="rId1142" ref="N585"/>
    <hyperlink r:id="rId1143" ref="O585"/>
    <hyperlink r:id="rId1144" ref="N586"/>
    <hyperlink r:id="rId1145" ref="O586"/>
    <hyperlink r:id="rId1146" ref="N587"/>
    <hyperlink r:id="rId1147" ref="O587"/>
    <hyperlink r:id="rId1148" ref="N588"/>
    <hyperlink r:id="rId1149" ref="O588"/>
    <hyperlink r:id="rId1150" ref="N589"/>
    <hyperlink r:id="rId1151" ref="O589"/>
    <hyperlink r:id="rId1152" ref="N590"/>
    <hyperlink r:id="rId1153" ref="O590"/>
    <hyperlink r:id="rId1154" ref="N591"/>
    <hyperlink r:id="rId1155" ref="O591"/>
    <hyperlink r:id="rId1156" ref="N592"/>
    <hyperlink r:id="rId1157" ref="O592"/>
    <hyperlink r:id="rId1158" ref="N593"/>
    <hyperlink r:id="rId1159" ref="O593"/>
    <hyperlink r:id="rId1160" ref="N594"/>
    <hyperlink r:id="rId1161" ref="O594"/>
    <hyperlink r:id="rId1162" ref="N595"/>
    <hyperlink r:id="rId1163" ref="O595"/>
    <hyperlink r:id="rId1164" ref="N596"/>
    <hyperlink r:id="rId1165" ref="O596"/>
    <hyperlink r:id="rId1166" ref="N597"/>
    <hyperlink r:id="rId1167" ref="O597"/>
    <hyperlink r:id="rId1168" ref="N598"/>
    <hyperlink r:id="rId1169" ref="O598"/>
    <hyperlink r:id="rId1170" ref="N599"/>
    <hyperlink r:id="rId1171" ref="O599"/>
    <hyperlink r:id="rId1172" ref="N600"/>
    <hyperlink r:id="rId1173" ref="O600"/>
    <hyperlink r:id="rId1174" ref="N601"/>
    <hyperlink r:id="rId1175" ref="O601"/>
    <hyperlink r:id="rId1176" ref="N602"/>
    <hyperlink r:id="rId1177" ref="O602"/>
    <hyperlink r:id="rId1178" ref="N603"/>
    <hyperlink r:id="rId1179" ref="N604"/>
    <hyperlink r:id="rId1180" ref="O604"/>
    <hyperlink r:id="rId1181" ref="N605"/>
    <hyperlink r:id="rId1182" ref="O605"/>
    <hyperlink r:id="rId1183" ref="N606"/>
    <hyperlink r:id="rId1184" ref="N607"/>
    <hyperlink r:id="rId1185" ref="O607"/>
    <hyperlink r:id="rId1186" ref="N608"/>
    <hyperlink r:id="rId1187" ref="O608"/>
    <hyperlink r:id="rId1188" ref="N609"/>
    <hyperlink r:id="rId1189" ref="O609"/>
    <hyperlink r:id="rId1190" ref="N610"/>
    <hyperlink r:id="rId1191" ref="O610"/>
    <hyperlink r:id="rId1192" ref="N611"/>
    <hyperlink r:id="rId1193" ref="O611"/>
    <hyperlink r:id="rId1194" ref="N612"/>
    <hyperlink r:id="rId1195" ref="O612"/>
    <hyperlink r:id="rId1196" ref="N613"/>
    <hyperlink r:id="rId1197" ref="O613"/>
    <hyperlink r:id="rId1198" ref="N614"/>
    <hyperlink r:id="rId1199" ref="O614"/>
    <hyperlink r:id="rId1200" ref="N615"/>
    <hyperlink r:id="rId1201" ref="O615"/>
    <hyperlink r:id="rId1202" ref="N616"/>
    <hyperlink r:id="rId1203" ref="O616"/>
    <hyperlink r:id="rId1204" ref="N617"/>
    <hyperlink r:id="rId1205" ref="O617"/>
    <hyperlink r:id="rId1206" ref="N618"/>
    <hyperlink r:id="rId1207" ref="O618"/>
    <hyperlink r:id="rId1208" ref="N619"/>
    <hyperlink r:id="rId1209" ref="O619"/>
    <hyperlink r:id="rId1210" ref="N620"/>
    <hyperlink r:id="rId1211" ref="O620"/>
    <hyperlink r:id="rId1212" ref="N621"/>
    <hyperlink r:id="rId1213" ref="O621"/>
    <hyperlink r:id="rId1214" ref="N622"/>
    <hyperlink r:id="rId1215" ref="O622"/>
    <hyperlink r:id="rId1216" ref="N623"/>
    <hyperlink r:id="rId1217" ref="O623"/>
    <hyperlink r:id="rId1218" ref="N624"/>
    <hyperlink r:id="rId1219" ref="O624"/>
    <hyperlink r:id="rId1220" ref="N625"/>
    <hyperlink r:id="rId1221" ref="O625"/>
    <hyperlink r:id="rId1222" ref="N626"/>
    <hyperlink r:id="rId1223" ref="O626"/>
    <hyperlink r:id="rId1224" ref="N627"/>
    <hyperlink r:id="rId1225" ref="O627"/>
    <hyperlink r:id="rId1226" ref="N628"/>
    <hyperlink r:id="rId1227" ref="O628"/>
    <hyperlink r:id="rId1228" ref="N629"/>
    <hyperlink r:id="rId1229" ref="N630"/>
    <hyperlink r:id="rId1230" ref="O630"/>
    <hyperlink r:id="rId1231" ref="N631"/>
    <hyperlink r:id="rId1232" ref="N632"/>
    <hyperlink r:id="rId1233" ref="O632"/>
    <hyperlink r:id="rId1234" ref="N633"/>
    <hyperlink r:id="rId1235" ref="O633"/>
    <hyperlink r:id="rId1236" ref="N634"/>
    <hyperlink r:id="rId1237" ref="O634"/>
    <hyperlink r:id="rId1238" ref="N635"/>
    <hyperlink r:id="rId1239" ref="O635"/>
    <hyperlink r:id="rId1240" ref="N636"/>
    <hyperlink r:id="rId1241" ref="O636"/>
    <hyperlink r:id="rId1242" ref="N637"/>
    <hyperlink r:id="rId1243" ref="O637"/>
    <hyperlink r:id="rId1244" ref="N638"/>
    <hyperlink r:id="rId1245" ref="O638"/>
    <hyperlink r:id="rId1246" ref="N639"/>
    <hyperlink r:id="rId1247" ref="O639"/>
    <hyperlink r:id="rId1248" ref="N640"/>
    <hyperlink r:id="rId1249" ref="O640"/>
    <hyperlink r:id="rId1250" ref="N641"/>
    <hyperlink r:id="rId1251" ref="O641"/>
    <hyperlink r:id="rId1252" ref="N642"/>
    <hyperlink r:id="rId1253" ref="O642"/>
    <hyperlink r:id="rId1254" ref="N643"/>
    <hyperlink r:id="rId1255" ref="O643"/>
    <hyperlink r:id="rId1256" ref="N644"/>
    <hyperlink r:id="rId1257" ref="O644"/>
    <hyperlink r:id="rId1258" ref="N645"/>
    <hyperlink r:id="rId1259" ref="O645"/>
    <hyperlink r:id="rId1260" ref="N646"/>
    <hyperlink r:id="rId1261" ref="O646"/>
    <hyperlink r:id="rId1262" ref="N647"/>
    <hyperlink r:id="rId1263" ref="O647"/>
    <hyperlink r:id="rId1264" ref="N648"/>
    <hyperlink r:id="rId1265" ref="O648"/>
    <hyperlink r:id="rId1266" ref="N649"/>
    <hyperlink r:id="rId1267" ref="O649"/>
    <hyperlink r:id="rId1268" ref="N650"/>
    <hyperlink r:id="rId1269" ref="O650"/>
    <hyperlink r:id="rId1270" ref="N651"/>
    <hyperlink r:id="rId1271" ref="O651"/>
    <hyperlink r:id="rId1272" ref="N652"/>
    <hyperlink r:id="rId1273" ref="O652"/>
    <hyperlink r:id="rId1274" ref="N653"/>
    <hyperlink r:id="rId1275" ref="O653"/>
    <hyperlink r:id="rId1276" ref="N654"/>
    <hyperlink r:id="rId1277" ref="O654"/>
    <hyperlink r:id="rId1278" ref="N655"/>
    <hyperlink r:id="rId1279" ref="O655"/>
    <hyperlink r:id="rId1280" ref="N656"/>
    <hyperlink r:id="rId1281" ref="O656"/>
    <hyperlink r:id="rId1282" ref="N657"/>
    <hyperlink r:id="rId1283" ref="O657"/>
    <hyperlink r:id="rId1284" ref="N658"/>
    <hyperlink r:id="rId1285" ref="O658"/>
    <hyperlink r:id="rId1286" ref="N659"/>
    <hyperlink r:id="rId1287" ref="O659"/>
    <hyperlink r:id="rId1288" ref="N660"/>
    <hyperlink r:id="rId1289" ref="O660"/>
    <hyperlink r:id="rId1290" ref="N661"/>
    <hyperlink r:id="rId1291" ref="O661"/>
    <hyperlink r:id="rId1292" ref="N662"/>
    <hyperlink r:id="rId1293" ref="O662"/>
    <hyperlink r:id="rId1294" ref="N663"/>
    <hyperlink r:id="rId1295" ref="O663"/>
    <hyperlink r:id="rId1296" ref="N664"/>
    <hyperlink r:id="rId1297" ref="O664"/>
    <hyperlink r:id="rId1298" ref="N665"/>
    <hyperlink r:id="rId1299" ref="O665"/>
    <hyperlink r:id="rId1300" ref="N666"/>
    <hyperlink r:id="rId1301" ref="O666"/>
    <hyperlink r:id="rId1302" ref="N667"/>
    <hyperlink r:id="rId1303" ref="O667"/>
    <hyperlink r:id="rId1304" ref="N668"/>
    <hyperlink r:id="rId1305" ref="O668"/>
    <hyperlink r:id="rId1306" ref="N669"/>
    <hyperlink r:id="rId1307" ref="O669"/>
    <hyperlink r:id="rId1308" ref="N670"/>
    <hyperlink r:id="rId1309" ref="O670"/>
    <hyperlink r:id="rId1310" ref="N671"/>
    <hyperlink r:id="rId1311" ref="O671"/>
    <hyperlink r:id="rId1312" ref="N672"/>
    <hyperlink r:id="rId1313" ref="O672"/>
    <hyperlink r:id="rId1314" ref="N673"/>
    <hyperlink r:id="rId1315" ref="O673"/>
    <hyperlink r:id="rId1316" ref="N674"/>
    <hyperlink r:id="rId1317" ref="O674"/>
    <hyperlink r:id="rId1318" ref="N675"/>
    <hyperlink r:id="rId1319" ref="O675"/>
    <hyperlink r:id="rId1320" ref="N676"/>
    <hyperlink r:id="rId1321" ref="O676"/>
    <hyperlink r:id="rId1322" ref="N677"/>
    <hyperlink r:id="rId1323" ref="O677"/>
    <hyperlink r:id="rId1324" ref="N678"/>
    <hyperlink r:id="rId1325" ref="O678"/>
    <hyperlink r:id="rId1326" ref="N679"/>
    <hyperlink r:id="rId1327" ref="O679"/>
    <hyperlink r:id="rId1328" ref="N680"/>
    <hyperlink r:id="rId1329" ref="O680"/>
    <hyperlink r:id="rId1330" ref="N681"/>
    <hyperlink r:id="rId1331" ref="O681"/>
    <hyperlink r:id="rId1332" ref="N682"/>
    <hyperlink r:id="rId1333" ref="O682"/>
    <hyperlink r:id="rId1334" ref="N683"/>
    <hyperlink r:id="rId1335" ref="O683"/>
    <hyperlink r:id="rId1336" ref="N684"/>
    <hyperlink r:id="rId1337" ref="O684"/>
    <hyperlink r:id="rId1338" ref="N685"/>
    <hyperlink r:id="rId1339" ref="O685"/>
    <hyperlink r:id="rId1340" ref="N686"/>
    <hyperlink r:id="rId1341" ref="O686"/>
    <hyperlink r:id="rId1342" ref="N687"/>
    <hyperlink r:id="rId1343" ref="O687"/>
    <hyperlink r:id="rId1344" ref="N688"/>
    <hyperlink r:id="rId1345" ref="O688"/>
    <hyperlink r:id="rId1346" ref="N689"/>
    <hyperlink r:id="rId1347" ref="O689"/>
    <hyperlink r:id="rId1348" ref="N690"/>
    <hyperlink r:id="rId1349" ref="O690"/>
    <hyperlink r:id="rId1350" ref="N691"/>
    <hyperlink r:id="rId1351" ref="O691"/>
    <hyperlink r:id="rId1352" ref="N692"/>
    <hyperlink r:id="rId1353" ref="O692"/>
    <hyperlink r:id="rId1354" ref="N693"/>
    <hyperlink r:id="rId1355" ref="O693"/>
    <hyperlink r:id="rId1356" ref="N694"/>
    <hyperlink r:id="rId1357" ref="O694"/>
    <hyperlink r:id="rId1358" ref="N695"/>
    <hyperlink r:id="rId1359" ref="O695"/>
    <hyperlink r:id="rId1360" ref="N696"/>
    <hyperlink r:id="rId1361" ref="O696"/>
    <hyperlink r:id="rId1362" ref="N697"/>
    <hyperlink r:id="rId1363" ref="O697"/>
    <hyperlink r:id="rId1364" ref="N698"/>
    <hyperlink r:id="rId1365" ref="O698"/>
    <hyperlink r:id="rId1366" ref="N699"/>
    <hyperlink r:id="rId1367" ref="O699"/>
    <hyperlink r:id="rId1368" ref="N700"/>
    <hyperlink r:id="rId1369" ref="O700"/>
    <hyperlink r:id="rId1370" ref="N701"/>
    <hyperlink r:id="rId1371" ref="O701"/>
    <hyperlink r:id="rId1372" ref="N702"/>
    <hyperlink r:id="rId1373" ref="O702"/>
    <hyperlink r:id="rId1374" ref="N703"/>
    <hyperlink r:id="rId1375" ref="O703"/>
    <hyperlink r:id="rId1376" ref="N704"/>
    <hyperlink r:id="rId1377" ref="O704"/>
    <hyperlink r:id="rId1378" ref="N705"/>
    <hyperlink r:id="rId1379" ref="O705"/>
    <hyperlink r:id="rId1380" ref="N706"/>
    <hyperlink r:id="rId1381" ref="O706"/>
    <hyperlink r:id="rId1382" ref="N707"/>
    <hyperlink r:id="rId1383" ref="O707"/>
    <hyperlink r:id="rId1384" ref="N708"/>
    <hyperlink r:id="rId1385" ref="O708"/>
    <hyperlink r:id="rId1386" ref="N709"/>
    <hyperlink r:id="rId1387" ref="O709"/>
    <hyperlink r:id="rId1388" ref="N710"/>
    <hyperlink r:id="rId1389" ref="O710"/>
    <hyperlink r:id="rId1390" ref="N711"/>
    <hyperlink r:id="rId1391" ref="O711"/>
    <hyperlink r:id="rId1392" ref="N712"/>
    <hyperlink r:id="rId1393" ref="O712"/>
    <hyperlink r:id="rId1394" ref="N713"/>
    <hyperlink r:id="rId1395" ref="O713"/>
    <hyperlink r:id="rId1396" ref="N714"/>
    <hyperlink r:id="rId1397" ref="O714"/>
    <hyperlink r:id="rId1398" ref="N715"/>
    <hyperlink r:id="rId1399" ref="O715"/>
    <hyperlink r:id="rId1400" ref="N716"/>
    <hyperlink r:id="rId1401" ref="O716"/>
    <hyperlink r:id="rId1402" ref="N717"/>
    <hyperlink r:id="rId1403" ref="O717"/>
    <hyperlink r:id="rId1404" ref="N718"/>
    <hyperlink r:id="rId1405" ref="O718"/>
    <hyperlink r:id="rId1406" ref="N719"/>
    <hyperlink r:id="rId1407" ref="O719"/>
    <hyperlink r:id="rId1408" ref="N720"/>
    <hyperlink r:id="rId1409" ref="O720"/>
    <hyperlink r:id="rId1410" ref="N721"/>
    <hyperlink r:id="rId1411" ref="O721"/>
    <hyperlink r:id="rId1412" ref="N722"/>
    <hyperlink r:id="rId1413" ref="O722"/>
    <hyperlink r:id="rId1414" ref="N723"/>
    <hyperlink r:id="rId1415" ref="O723"/>
    <hyperlink r:id="rId1416" ref="N724"/>
    <hyperlink r:id="rId1417" ref="O724"/>
    <hyperlink r:id="rId1418" ref="N725"/>
    <hyperlink r:id="rId1419" ref="O725"/>
    <hyperlink r:id="rId1420" ref="N726"/>
    <hyperlink r:id="rId1421" ref="O726"/>
    <hyperlink r:id="rId1422" ref="N727"/>
    <hyperlink r:id="rId1423" ref="O727"/>
    <hyperlink r:id="rId1424" ref="N728"/>
    <hyperlink r:id="rId1425" ref="O728"/>
    <hyperlink r:id="rId1426" ref="N729"/>
    <hyperlink r:id="rId1427" ref="O729"/>
    <hyperlink r:id="rId1428" ref="N730"/>
    <hyperlink r:id="rId1429" ref="O730"/>
    <hyperlink r:id="rId1430" ref="N731"/>
    <hyperlink r:id="rId1431" ref="O731"/>
    <hyperlink r:id="rId1432" ref="N732"/>
    <hyperlink r:id="rId1433" ref="O732"/>
    <hyperlink r:id="rId1434" ref="N733"/>
    <hyperlink r:id="rId1435" ref="O733"/>
    <hyperlink r:id="rId1436" ref="N734"/>
    <hyperlink r:id="rId1437" ref="O734"/>
    <hyperlink r:id="rId1438" ref="N735"/>
    <hyperlink r:id="rId1439" ref="O735"/>
    <hyperlink r:id="rId1440" ref="N736"/>
    <hyperlink r:id="rId1441" ref="O736"/>
    <hyperlink r:id="rId1442" ref="N737"/>
    <hyperlink r:id="rId1443" ref="O737"/>
    <hyperlink r:id="rId1444" ref="N738"/>
    <hyperlink r:id="rId1445" ref="O738"/>
    <hyperlink r:id="rId1446" ref="N739"/>
    <hyperlink r:id="rId1447" ref="O739"/>
    <hyperlink r:id="rId1448" ref="N740"/>
    <hyperlink r:id="rId1449" ref="O740"/>
    <hyperlink r:id="rId1450" ref="N741"/>
    <hyperlink r:id="rId1451" ref="O741"/>
    <hyperlink r:id="rId1452" ref="N742"/>
    <hyperlink r:id="rId1453" ref="O742"/>
    <hyperlink r:id="rId1454" ref="N743"/>
    <hyperlink r:id="rId1455" ref="O743"/>
    <hyperlink r:id="rId1456" ref="N744"/>
    <hyperlink r:id="rId1457" ref="O744"/>
    <hyperlink r:id="rId1458" ref="N745"/>
    <hyperlink r:id="rId1459" ref="O745"/>
    <hyperlink r:id="rId1460" ref="N746"/>
    <hyperlink r:id="rId1461" ref="O746"/>
    <hyperlink r:id="rId1462" ref="N747"/>
    <hyperlink r:id="rId1463" ref="O747"/>
    <hyperlink r:id="rId1464" ref="N748"/>
    <hyperlink r:id="rId1465" ref="O748"/>
    <hyperlink r:id="rId1466" ref="N749"/>
    <hyperlink r:id="rId1467" ref="O749"/>
    <hyperlink r:id="rId1468" ref="N750"/>
    <hyperlink r:id="rId1469" ref="O750"/>
    <hyperlink r:id="rId1470" ref="N751"/>
    <hyperlink r:id="rId1471" ref="O751"/>
    <hyperlink r:id="rId1472" ref="N752"/>
    <hyperlink r:id="rId1473" ref="O752"/>
    <hyperlink r:id="rId1474" ref="N753"/>
    <hyperlink r:id="rId1475" ref="O753"/>
    <hyperlink r:id="rId1476" ref="N754"/>
    <hyperlink r:id="rId1477" ref="O754"/>
    <hyperlink r:id="rId1478" ref="N755"/>
    <hyperlink r:id="rId1479" ref="O755"/>
    <hyperlink r:id="rId1480" ref="N756"/>
    <hyperlink r:id="rId1481" ref="O756"/>
    <hyperlink r:id="rId1482" ref="N757"/>
    <hyperlink r:id="rId1483" ref="O757"/>
    <hyperlink r:id="rId1484" ref="N758"/>
    <hyperlink r:id="rId1485" ref="O758"/>
    <hyperlink r:id="rId1486" ref="N759"/>
    <hyperlink r:id="rId1487" ref="O759"/>
    <hyperlink r:id="rId1488" ref="N760"/>
    <hyperlink r:id="rId1489" ref="O760"/>
    <hyperlink r:id="rId1490" ref="N761"/>
    <hyperlink r:id="rId1491" ref="O761"/>
    <hyperlink r:id="rId1492" ref="N762"/>
    <hyperlink r:id="rId1493" ref="O762"/>
    <hyperlink r:id="rId1494" ref="N763"/>
    <hyperlink r:id="rId1495" ref="O763"/>
    <hyperlink r:id="rId1496" ref="N764"/>
    <hyperlink r:id="rId1497" ref="O764"/>
    <hyperlink r:id="rId1498" ref="N765"/>
    <hyperlink r:id="rId1499" ref="O765"/>
    <hyperlink r:id="rId1500" ref="N766"/>
    <hyperlink r:id="rId1501" ref="O766"/>
    <hyperlink r:id="rId1502" ref="N767"/>
    <hyperlink r:id="rId1503" ref="O767"/>
    <hyperlink r:id="rId1504" ref="N768"/>
    <hyperlink r:id="rId1505" ref="O768"/>
    <hyperlink r:id="rId1506" ref="N769"/>
    <hyperlink r:id="rId1507" ref="O769"/>
    <hyperlink r:id="rId1508" ref="N770"/>
    <hyperlink r:id="rId1509" ref="O770"/>
    <hyperlink r:id="rId1510" ref="N771"/>
    <hyperlink r:id="rId1511" ref="O771"/>
    <hyperlink r:id="rId1512" ref="N772"/>
    <hyperlink r:id="rId1513" ref="O772"/>
    <hyperlink r:id="rId1514" ref="N773"/>
    <hyperlink r:id="rId1515" ref="O773"/>
    <hyperlink r:id="rId1516" ref="N774"/>
    <hyperlink r:id="rId1517" ref="O774"/>
    <hyperlink r:id="rId1518" ref="N775"/>
    <hyperlink r:id="rId1519" ref="O775"/>
    <hyperlink r:id="rId1520" ref="N776"/>
    <hyperlink r:id="rId1521" ref="O776"/>
    <hyperlink r:id="rId1522" ref="N777"/>
    <hyperlink r:id="rId1523" ref="O777"/>
    <hyperlink r:id="rId1524" ref="N778"/>
    <hyperlink r:id="rId1525" ref="O778"/>
    <hyperlink r:id="rId1526" ref="N779"/>
    <hyperlink r:id="rId1527" ref="O779"/>
    <hyperlink r:id="rId1528" ref="N780"/>
    <hyperlink r:id="rId1529" ref="O780"/>
    <hyperlink r:id="rId1530" ref="N781"/>
    <hyperlink r:id="rId1531" ref="O781"/>
    <hyperlink r:id="rId1532" ref="N782"/>
    <hyperlink r:id="rId1533" ref="O782"/>
    <hyperlink r:id="rId1534" ref="N783"/>
    <hyperlink r:id="rId1535" ref="O783"/>
    <hyperlink r:id="rId1536" ref="N784"/>
    <hyperlink r:id="rId1537" ref="O784"/>
    <hyperlink r:id="rId1538" ref="N785"/>
    <hyperlink r:id="rId1539" ref="O785"/>
    <hyperlink r:id="rId1540" ref="N786"/>
    <hyperlink r:id="rId1541" ref="O786"/>
    <hyperlink r:id="rId1542" ref="N787"/>
    <hyperlink r:id="rId1543" ref="O787"/>
    <hyperlink r:id="rId1544" ref="N788"/>
    <hyperlink r:id="rId1545" ref="O788"/>
    <hyperlink r:id="rId1546" ref="N789"/>
    <hyperlink r:id="rId1547" ref="O789"/>
    <hyperlink r:id="rId1548" ref="N790"/>
    <hyperlink r:id="rId1549" ref="O790"/>
    <hyperlink r:id="rId1550" ref="N791"/>
    <hyperlink r:id="rId1551" ref="O791"/>
    <hyperlink r:id="rId1552" ref="N792"/>
    <hyperlink r:id="rId1553" ref="O792"/>
    <hyperlink r:id="rId1554" ref="N793"/>
    <hyperlink r:id="rId1555" ref="O793"/>
    <hyperlink r:id="rId1556" ref="N794"/>
    <hyperlink r:id="rId1557" ref="O794"/>
    <hyperlink r:id="rId1558" ref="N795"/>
    <hyperlink r:id="rId1559" ref="O795"/>
    <hyperlink r:id="rId1560" ref="N796"/>
    <hyperlink r:id="rId1561" ref="O796"/>
    <hyperlink r:id="rId1562" ref="N797"/>
    <hyperlink r:id="rId1563" ref="O797"/>
    <hyperlink r:id="rId1564" ref="N798"/>
    <hyperlink r:id="rId1565" ref="O798"/>
    <hyperlink r:id="rId1566" ref="N799"/>
    <hyperlink r:id="rId1567" ref="O799"/>
    <hyperlink r:id="rId1568" ref="N800"/>
    <hyperlink r:id="rId1569" ref="O800"/>
    <hyperlink r:id="rId1570" ref="N801"/>
    <hyperlink r:id="rId1571" ref="O801"/>
    <hyperlink r:id="rId1572" ref="N802"/>
    <hyperlink r:id="rId1573" ref="O802"/>
    <hyperlink r:id="rId1574" ref="N803"/>
    <hyperlink r:id="rId1575" ref="O803"/>
    <hyperlink r:id="rId1576" ref="N804"/>
    <hyperlink r:id="rId1577" ref="O804"/>
    <hyperlink r:id="rId1578" ref="N805"/>
    <hyperlink r:id="rId1579" ref="O805"/>
    <hyperlink r:id="rId1580" ref="N806"/>
    <hyperlink r:id="rId1581" ref="O806"/>
    <hyperlink r:id="rId1582" ref="N807"/>
    <hyperlink r:id="rId1583" ref="O807"/>
    <hyperlink r:id="rId1584" ref="N808"/>
    <hyperlink r:id="rId1585" ref="O808"/>
    <hyperlink r:id="rId1586" ref="N809"/>
    <hyperlink r:id="rId1587" ref="O809"/>
    <hyperlink r:id="rId1588" ref="N810"/>
    <hyperlink r:id="rId1589" ref="O810"/>
    <hyperlink r:id="rId1590" ref="N811"/>
    <hyperlink r:id="rId1591" ref="O811"/>
    <hyperlink r:id="rId1592" ref="N812"/>
    <hyperlink r:id="rId1593" ref="O812"/>
    <hyperlink r:id="rId1594" ref="N813"/>
    <hyperlink r:id="rId1595" ref="N814"/>
    <hyperlink r:id="rId1596" ref="O814"/>
    <hyperlink r:id="rId1597" ref="N815"/>
    <hyperlink r:id="rId1598" ref="O815"/>
    <hyperlink r:id="rId1599" ref="N816"/>
    <hyperlink r:id="rId1600" ref="O816"/>
    <hyperlink r:id="rId1601" ref="N817"/>
    <hyperlink r:id="rId1602" ref="O817"/>
    <hyperlink r:id="rId1603" ref="N818"/>
    <hyperlink r:id="rId1604" ref="O818"/>
    <hyperlink r:id="rId1605" ref="N819"/>
    <hyperlink r:id="rId1606" ref="O819"/>
    <hyperlink r:id="rId1607" ref="N820"/>
    <hyperlink r:id="rId1608" ref="O820"/>
    <hyperlink r:id="rId1609" ref="N821"/>
    <hyperlink r:id="rId1610" ref="O821"/>
    <hyperlink r:id="rId1611" ref="N822"/>
    <hyperlink r:id="rId1612" ref="O822"/>
    <hyperlink r:id="rId1613" ref="N823"/>
    <hyperlink r:id="rId1614" ref="O823"/>
    <hyperlink r:id="rId1615" ref="N824"/>
    <hyperlink r:id="rId1616" ref="O824"/>
    <hyperlink r:id="rId1617" ref="N825"/>
    <hyperlink r:id="rId1618" ref="O825"/>
    <hyperlink r:id="rId1619" ref="N826"/>
    <hyperlink r:id="rId1620" ref="O826"/>
    <hyperlink r:id="rId1621" ref="N827"/>
    <hyperlink r:id="rId1622" ref="O827"/>
    <hyperlink r:id="rId1623" ref="N828"/>
    <hyperlink r:id="rId1624" ref="O828"/>
    <hyperlink r:id="rId1625" ref="N829"/>
    <hyperlink r:id="rId1626" ref="O829"/>
    <hyperlink r:id="rId1627" ref="N830"/>
    <hyperlink r:id="rId1628" ref="O830"/>
    <hyperlink r:id="rId1629" ref="N831"/>
    <hyperlink r:id="rId1630" ref="O831"/>
    <hyperlink r:id="rId1631" ref="N832"/>
    <hyperlink r:id="rId1632" ref="O832"/>
    <hyperlink r:id="rId1633" ref="N833"/>
    <hyperlink r:id="rId1634" ref="O833"/>
    <hyperlink r:id="rId1635" ref="N834"/>
    <hyperlink r:id="rId1636" ref="O834"/>
    <hyperlink r:id="rId1637" ref="N835"/>
    <hyperlink r:id="rId1638" ref="O835"/>
    <hyperlink r:id="rId1639" ref="N836"/>
    <hyperlink r:id="rId1640" ref="O836"/>
    <hyperlink r:id="rId1641" ref="N837"/>
    <hyperlink r:id="rId1642" ref="O837"/>
    <hyperlink r:id="rId1643" ref="N838"/>
    <hyperlink r:id="rId1644" ref="O838"/>
    <hyperlink r:id="rId1645" ref="N839"/>
    <hyperlink r:id="rId1646" ref="O839"/>
    <hyperlink r:id="rId1647" ref="N840"/>
    <hyperlink r:id="rId1648" ref="O840"/>
    <hyperlink r:id="rId1649" ref="N841"/>
    <hyperlink r:id="rId1650" ref="O841"/>
    <hyperlink r:id="rId1651" ref="N842"/>
    <hyperlink r:id="rId1652" ref="O842"/>
    <hyperlink r:id="rId1653" ref="N843"/>
    <hyperlink r:id="rId1654" ref="O843"/>
    <hyperlink r:id="rId1655" ref="N844"/>
    <hyperlink r:id="rId1656" ref="O844"/>
    <hyperlink r:id="rId1657" ref="N845"/>
    <hyperlink r:id="rId1658" ref="O845"/>
    <hyperlink r:id="rId1659" ref="N846"/>
    <hyperlink r:id="rId1660" ref="O846"/>
    <hyperlink r:id="rId1661" ref="N847"/>
    <hyperlink r:id="rId1662" ref="O847"/>
    <hyperlink r:id="rId1663" ref="N848"/>
    <hyperlink r:id="rId1664" ref="O848"/>
    <hyperlink r:id="rId1665" ref="N849"/>
    <hyperlink r:id="rId1666" ref="O849"/>
    <hyperlink r:id="rId1667" ref="N850"/>
    <hyperlink r:id="rId1668" ref="O850"/>
    <hyperlink r:id="rId1669" ref="N851"/>
    <hyperlink r:id="rId1670" ref="O851"/>
    <hyperlink r:id="rId1671" ref="N852"/>
    <hyperlink r:id="rId1672" ref="O852"/>
    <hyperlink r:id="rId1673" ref="N853"/>
    <hyperlink r:id="rId1674" ref="O853"/>
    <hyperlink r:id="rId1675" ref="N854"/>
    <hyperlink r:id="rId1676" ref="O854"/>
    <hyperlink r:id="rId1677" ref="N855"/>
    <hyperlink r:id="rId1678" ref="O855"/>
    <hyperlink r:id="rId1679" ref="N856"/>
    <hyperlink r:id="rId1680" ref="O856"/>
    <hyperlink r:id="rId1681" ref="N857"/>
    <hyperlink r:id="rId1682" ref="O857"/>
    <hyperlink r:id="rId1683" ref="N858"/>
    <hyperlink r:id="rId1684" ref="O858"/>
    <hyperlink r:id="rId1685" ref="N859"/>
    <hyperlink r:id="rId1686" ref="O859"/>
    <hyperlink r:id="rId1687" ref="N860"/>
    <hyperlink r:id="rId1688" ref="O860"/>
    <hyperlink r:id="rId1689" ref="N861"/>
    <hyperlink r:id="rId1690" ref="O861"/>
    <hyperlink r:id="rId1691" ref="N862"/>
    <hyperlink r:id="rId1692" ref="O862"/>
    <hyperlink r:id="rId1693" ref="N863"/>
    <hyperlink r:id="rId1694" ref="O863"/>
    <hyperlink r:id="rId1695" ref="N864"/>
    <hyperlink r:id="rId1696" ref="O864"/>
    <hyperlink r:id="rId1697" ref="N865"/>
    <hyperlink r:id="rId1698" ref="O865"/>
    <hyperlink r:id="rId1699" ref="N866"/>
    <hyperlink r:id="rId1700" ref="O866"/>
    <hyperlink r:id="rId1701" ref="N867"/>
    <hyperlink r:id="rId1702" ref="O867"/>
    <hyperlink r:id="rId1703" ref="N868"/>
    <hyperlink r:id="rId1704" ref="O868"/>
    <hyperlink r:id="rId1705" ref="N869"/>
    <hyperlink r:id="rId1706" ref="O869"/>
    <hyperlink r:id="rId1707" ref="N870"/>
    <hyperlink r:id="rId1708" ref="O870"/>
    <hyperlink r:id="rId1709" ref="N871"/>
    <hyperlink r:id="rId1710" ref="O871"/>
    <hyperlink r:id="rId1711" ref="N872"/>
    <hyperlink r:id="rId1712" ref="O872"/>
    <hyperlink r:id="rId1713" ref="N873"/>
    <hyperlink r:id="rId1714" ref="O873"/>
    <hyperlink r:id="rId1715" ref="N874"/>
    <hyperlink r:id="rId1716" ref="O874"/>
    <hyperlink r:id="rId1717" ref="N875"/>
    <hyperlink r:id="rId1718" ref="O875"/>
    <hyperlink r:id="rId1719" ref="N876"/>
    <hyperlink r:id="rId1720" ref="O876"/>
    <hyperlink r:id="rId1721" ref="N877"/>
    <hyperlink r:id="rId1722" ref="O877"/>
    <hyperlink r:id="rId1723" ref="N878"/>
    <hyperlink r:id="rId1724" ref="O878"/>
    <hyperlink r:id="rId1725" ref="N879"/>
    <hyperlink r:id="rId1726" ref="O879"/>
    <hyperlink r:id="rId1727" ref="N880"/>
    <hyperlink r:id="rId1728" ref="N881"/>
    <hyperlink r:id="rId1729" ref="O881"/>
    <hyperlink r:id="rId1730" ref="N882"/>
    <hyperlink r:id="rId1731" ref="O882"/>
    <hyperlink r:id="rId1732" ref="N883"/>
    <hyperlink r:id="rId1733" ref="O883"/>
    <hyperlink r:id="rId1734" ref="N884"/>
    <hyperlink r:id="rId1735" ref="O884"/>
    <hyperlink r:id="rId1736" ref="N885"/>
    <hyperlink r:id="rId1737" ref="O885"/>
    <hyperlink r:id="rId1738" ref="N886"/>
    <hyperlink r:id="rId1739" ref="O886"/>
    <hyperlink r:id="rId1740" ref="N887"/>
    <hyperlink r:id="rId1741" ref="O887"/>
    <hyperlink r:id="rId1742" ref="N888"/>
    <hyperlink r:id="rId1743" ref="O888"/>
    <hyperlink r:id="rId1744" ref="N889"/>
    <hyperlink r:id="rId1745" ref="O889"/>
    <hyperlink r:id="rId1746" ref="N890"/>
    <hyperlink r:id="rId1747" ref="O890"/>
    <hyperlink r:id="rId1748" ref="N891"/>
    <hyperlink r:id="rId1749" ref="O891"/>
    <hyperlink r:id="rId1750" ref="N892"/>
    <hyperlink r:id="rId1751" ref="O892"/>
    <hyperlink r:id="rId1752" ref="N893"/>
    <hyperlink r:id="rId1753" ref="O893"/>
    <hyperlink r:id="rId1754" ref="N894"/>
    <hyperlink r:id="rId1755" ref="O894"/>
    <hyperlink r:id="rId1756" ref="N895"/>
    <hyperlink r:id="rId1757" ref="O895"/>
    <hyperlink r:id="rId1758" ref="N896"/>
    <hyperlink r:id="rId1759" ref="O896"/>
    <hyperlink r:id="rId1760" ref="N897"/>
    <hyperlink r:id="rId1761" ref="O897"/>
  </hyperlinks>
  <drawing r:id="rId176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IFERROR(__xludf.DUMMYFUNCTION("QUERY(Data!A:O,""select A,B,C,D,E,F,G,H,I,J,K,L,M,N,O where C contains'ชั้นปีที่ 2'"")"),"ไอดี")</f>
        <v>ไอดี</v>
      </c>
      <c r="B1" s="3" t="str">
        <f>IFERROR(__xludf.DUMMYFUNCTION("""COMPUTED_VALUE"""),"ประทับเวลา")</f>
        <v>ประทับเวลา</v>
      </c>
      <c r="C1" s="3" t="str">
        <f>IFERROR(__xludf.DUMMYFUNCTION("""COMPUTED_VALUE"""),"ชั้นปีการศึกษา")</f>
        <v>ชั้นปีการศึกษา</v>
      </c>
      <c r="D1" s="3" t="str">
        <f>IFERROR(__xludf.DUMMYFUNCTION("""COMPUTED_VALUE"""),"รหัส นพอ.")</f>
        <v>รหัส นพอ.</v>
      </c>
      <c r="E1" s="3" t="str">
        <f>IFERROR(__xludf.DUMMYFUNCTION("""COMPUTED_VALUE"""),"เลขที่")</f>
        <v>เลขที่</v>
      </c>
      <c r="F1" s="3" t="str">
        <f>IFERROR(__xludf.DUMMYFUNCTION("""COMPUTED_VALUE"""),"ชื่อ-สกุล")</f>
        <v>ชื่อ-สกุล</v>
      </c>
      <c r="G1" s="3" t="str">
        <f>IFERROR(__xludf.DUMMYFUNCTION("""COMPUTED_VALUE"""),"ประเภทความดี")</f>
        <v>ประเภทความดี</v>
      </c>
      <c r="H1" s="3" t="str">
        <f>IFERROR(__xludf.DUMMYFUNCTION("""COMPUTED_VALUE"""),"ชื่อกิจกรรม")</f>
        <v>ชื่อกิจกรรม</v>
      </c>
      <c r="I1" s="3" t="str">
        <f>IFERROR(__xludf.DUMMYFUNCTION("""COMPUTED_VALUE"""),"สถานที่")</f>
        <v>สถานที่</v>
      </c>
      <c r="J1" s="3" t="str">
        <f>IFERROR(__xludf.DUMMYFUNCTION("""COMPUTED_VALUE"""),"วันทีทำกิจกรรม")</f>
        <v>วันทีทำกิจกรรม</v>
      </c>
      <c r="K1" s="3" t="str">
        <f>IFERROR(__xludf.DUMMYFUNCTION("""COMPUTED_VALUE"""),"ช่วงเวลาที่ทำ")</f>
        <v>ช่วงเวลาที่ทำ</v>
      </c>
      <c r="L1" s="3" t="str">
        <f>IFERROR(__xludf.DUMMYFUNCTION("""COMPUTED_VALUE"""),"จำนวนชั่วโมงที่ได้")</f>
        <v>จำนวนชั่วโมงที่ได้</v>
      </c>
      <c r="M1" s="3" t="str">
        <f>IFERROR(__xludf.DUMMYFUNCTION("""COMPUTED_VALUE"""),"ผู้ลงชื่อรับทราบ")</f>
        <v>ผู้ลงชื่อรับทราบ</v>
      </c>
      <c r="N1" s="3" t="str">
        <f>IFERROR(__xludf.DUMMYFUNCTION("""COMPUTED_VALUE"""),"รูปภาพ")</f>
        <v>รูปภาพ</v>
      </c>
      <c r="O1" s="3" t="str">
        <f>IFERROR(__xludf.DUMMYFUNCTION("""COMPUTED_VALUE"""),"PDF")</f>
        <v>PDF</v>
      </c>
    </row>
    <row r="2">
      <c r="A2" s="3">
        <f>IFERROR(__xludf.DUMMYFUNCTION("""COMPUTED_VALUE"""),11.0)</f>
        <v>11</v>
      </c>
      <c r="B2" s="11">
        <f>IFERROR(__xludf.DUMMYFUNCTION("""COMPUTED_VALUE"""),45974.82794525463)</f>
        <v>45974.82795</v>
      </c>
      <c r="C2" s="3" t="str">
        <f>IFERROR(__xludf.DUMMYFUNCTION("""COMPUTED_VALUE"""),"ชั้นปีที่ 2")</f>
        <v>ชั้นปีที่ 2</v>
      </c>
      <c r="D2" s="3" t="str">
        <f>IFERROR(__xludf.DUMMYFUNCTION("""COMPUTED_VALUE"""),"6703844")</f>
        <v>6703844</v>
      </c>
      <c r="E2" s="3" t="str">
        <f>IFERROR(__xludf.DUMMYFUNCTION("""COMPUTED_VALUE"""),"26")</f>
        <v>26</v>
      </c>
      <c r="F2" s="3" t="str">
        <f>IFERROR(__xludf.DUMMYFUNCTION("""COMPUTED_VALUE"""),"นพอ.นพชกร ทิวแพ")</f>
        <v>นพอ.นพชกร ทิวแพ</v>
      </c>
      <c r="G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" s="3" t="str">
        <f>IFERROR(__xludf.DUMMYFUNCTION("""COMPUTED_VALUE"""),"ดุริยางค์ทหารอากาศ")</f>
        <v>ดุริยางค์ทหารอากาศ</v>
      </c>
      <c r="J2" s="12">
        <f>IFERROR(__xludf.DUMMYFUNCTION("""COMPUTED_VALUE"""),45825.0)</f>
        <v>45825</v>
      </c>
      <c r="K2" s="3" t="str">
        <f>IFERROR(__xludf.DUMMYFUNCTION("""COMPUTED_VALUE"""),"0800 - 1600")</f>
        <v>0800 - 1600</v>
      </c>
      <c r="L2" s="3">
        <f>IFERROR(__xludf.DUMMYFUNCTION("""COMPUTED_VALUE"""),8.0)</f>
        <v>8</v>
      </c>
      <c r="M2" s="3" t="str">
        <f>IFERROR(__xludf.DUMMYFUNCTION("""COMPUTED_VALUE"""),"ร.อ.อนุชิต ทำจะดี")</f>
        <v>ร.อ.อนุชิต ทำจะดี</v>
      </c>
      <c r="N2" s="14" t="str">
        <f>IFERROR(__xludf.DUMMYFUNCTION("""COMPUTED_VALUE"""),"https://lh5.googleusercontent.com/d/1OCZ183nrqKPKTQv9QdOX_5Mo3ALegEjh")</f>
        <v>https://lh5.googleusercontent.com/d/1OCZ183nrqKPKTQv9QdOX_5Mo3ALegEjh</v>
      </c>
      <c r="O2" s="14" t="str">
        <f>IFERROR(__xludf.DUMMYFUNCTION("""COMPUTED_VALUE"""),"https://drive.google.com/file/d/1lTxcaP2F56eglcC9Yl7kvaTeIEg-H66S/view?usp=drivesdk")</f>
        <v>https://drive.google.com/file/d/1lTxcaP2F56eglcC9Yl7kvaTeIEg-H66S/view?usp=drivesdk</v>
      </c>
    </row>
    <row r="3">
      <c r="A3" s="3">
        <f>IFERROR(__xludf.DUMMYFUNCTION("""COMPUTED_VALUE"""),12.0)</f>
        <v>12</v>
      </c>
      <c r="B3" s="11">
        <f>IFERROR(__xludf.DUMMYFUNCTION("""COMPUTED_VALUE"""),45974.830842407406)</f>
        <v>45974.83084</v>
      </c>
      <c r="C3" s="3" t="str">
        <f>IFERROR(__xludf.DUMMYFUNCTION("""COMPUTED_VALUE"""),"ชั้นปีที่ 2")</f>
        <v>ชั้นปีที่ 2</v>
      </c>
      <c r="D3" s="3" t="str">
        <f>IFERROR(__xludf.DUMMYFUNCTION("""COMPUTED_VALUE"""),"6703844")</f>
        <v>6703844</v>
      </c>
      <c r="E3" s="3" t="str">
        <f>IFERROR(__xludf.DUMMYFUNCTION("""COMPUTED_VALUE"""),"26")</f>
        <v>26</v>
      </c>
      <c r="F3" s="3" t="str">
        <f>IFERROR(__xludf.DUMMYFUNCTION("""COMPUTED_VALUE"""),"นพอ.นพชกร ทิวแพ")</f>
        <v>นพอ.นพชกร ทิวแพ</v>
      </c>
      <c r="G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" s="3" t="str">
        <f>IFERROR(__xludf.DUMMYFUNCTION("""COMPUTED_VALUE""")," ซ้อมร้องประสานเสียงงานคอนเสิร์ตทัพฟ้า")</f>
        <v> ซ้อมร้องประสานเสียงงานคอนเสิร์ตทัพฟ้า</v>
      </c>
      <c r="I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" s="12">
        <f>IFERROR(__xludf.DUMMYFUNCTION("""COMPUTED_VALUE"""),45838.0)</f>
        <v>45838</v>
      </c>
      <c r="K3" s="3" t="str">
        <f>IFERROR(__xludf.DUMMYFUNCTION("""COMPUTED_VALUE"""),"1400 - 2200")</f>
        <v>1400 - 2200</v>
      </c>
      <c r="L3" s="3">
        <f>IFERROR(__xludf.DUMMYFUNCTION("""COMPUTED_VALUE"""),8.0)</f>
        <v>8</v>
      </c>
      <c r="M3" s="3" t="str">
        <f>IFERROR(__xludf.DUMMYFUNCTION("""COMPUTED_VALUE"""),"ร.อ.อนุชิต ทำจะดี")</f>
        <v>ร.อ.อนุชิต ทำจะดี</v>
      </c>
      <c r="N3" s="14" t="str">
        <f>IFERROR(__xludf.DUMMYFUNCTION("""COMPUTED_VALUE"""),"https://lh5.googleusercontent.com/d/1TAO9uWwrnR9jceqAGDWc29HtHOt02J_I")</f>
        <v>https://lh5.googleusercontent.com/d/1TAO9uWwrnR9jceqAGDWc29HtHOt02J_I</v>
      </c>
      <c r="O3" s="14" t="str">
        <f>IFERROR(__xludf.DUMMYFUNCTION("""COMPUTED_VALUE"""),"https://drive.google.com/file/d/1eyakFcLPIBb0g05fLGOHVO8XCxEBB1Fr/view?usp=drivesdk")</f>
        <v>https://drive.google.com/file/d/1eyakFcLPIBb0g05fLGOHVO8XCxEBB1Fr/view?usp=drivesdk</v>
      </c>
    </row>
    <row r="4">
      <c r="A4" s="3">
        <f>IFERROR(__xludf.DUMMYFUNCTION("""COMPUTED_VALUE"""),13.0)</f>
        <v>13</v>
      </c>
      <c r="B4" s="11">
        <f>IFERROR(__xludf.DUMMYFUNCTION("""COMPUTED_VALUE"""),45974.83285362268)</f>
        <v>45974.83285</v>
      </c>
      <c r="C4" s="3" t="str">
        <f>IFERROR(__xludf.DUMMYFUNCTION("""COMPUTED_VALUE"""),"ชั้นปีที่ 2")</f>
        <v>ชั้นปีที่ 2</v>
      </c>
      <c r="D4" s="3" t="str">
        <f>IFERROR(__xludf.DUMMYFUNCTION("""COMPUTED_VALUE"""),"6703844")</f>
        <v>6703844</v>
      </c>
      <c r="E4" s="3" t="str">
        <f>IFERROR(__xludf.DUMMYFUNCTION("""COMPUTED_VALUE"""),"26")</f>
        <v>26</v>
      </c>
      <c r="F4" s="3" t="str">
        <f>IFERROR(__xludf.DUMMYFUNCTION("""COMPUTED_VALUE"""),"นพอ.นพชกร ทิวแพ")</f>
        <v>นพอ.นพชกร ทิวแพ</v>
      </c>
      <c r="G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4" s="12">
        <f>IFERROR(__xludf.DUMMYFUNCTION("""COMPUTED_VALUE"""),45839.0)</f>
        <v>45839</v>
      </c>
      <c r="K4" s="3" t="str">
        <f>IFERROR(__xludf.DUMMYFUNCTION("""COMPUTED_VALUE"""),"1400 - 2200")</f>
        <v>1400 - 2200</v>
      </c>
      <c r="L4" s="3">
        <f>IFERROR(__xludf.DUMMYFUNCTION("""COMPUTED_VALUE"""),8.0)</f>
        <v>8</v>
      </c>
      <c r="M4" s="3" t="str">
        <f>IFERROR(__xludf.DUMMYFUNCTION("""COMPUTED_VALUE"""),"ร.อ.อนุชิต ทำจะดี")</f>
        <v>ร.อ.อนุชิต ทำจะดี</v>
      </c>
      <c r="N4" s="14" t="str">
        <f>IFERROR(__xludf.DUMMYFUNCTION("""COMPUTED_VALUE"""),"https://lh5.googleusercontent.com/d/1wmJuP8tCj9_MZNcoLMQYIFliF3D74Bqy")</f>
        <v>https://lh5.googleusercontent.com/d/1wmJuP8tCj9_MZNcoLMQYIFliF3D74Bqy</v>
      </c>
      <c r="O4" s="14" t="str">
        <f>IFERROR(__xludf.DUMMYFUNCTION("""COMPUTED_VALUE"""),"https://drive.google.com/file/d/1Me8-YdFm_i4pl6MCVcHRVmzDMcn0joU1/view?usp=drivesdk")</f>
        <v>https://drive.google.com/file/d/1Me8-YdFm_i4pl6MCVcHRVmzDMcn0joU1/view?usp=drivesdk</v>
      </c>
    </row>
    <row r="5">
      <c r="A5" s="3">
        <f>IFERROR(__xludf.DUMMYFUNCTION("""COMPUTED_VALUE"""),14.0)</f>
        <v>14</v>
      </c>
      <c r="B5" s="11">
        <f>IFERROR(__xludf.DUMMYFUNCTION("""COMPUTED_VALUE"""),45974.83462978009)</f>
        <v>45974.83463</v>
      </c>
      <c r="C5" s="3" t="str">
        <f>IFERROR(__xludf.DUMMYFUNCTION("""COMPUTED_VALUE"""),"ชั้นปีที่ 2")</f>
        <v>ชั้นปีที่ 2</v>
      </c>
      <c r="D5" s="3" t="str">
        <f>IFERROR(__xludf.DUMMYFUNCTION("""COMPUTED_VALUE"""),"6703844")</f>
        <v>6703844</v>
      </c>
      <c r="E5" s="3" t="str">
        <f>IFERROR(__xludf.DUMMYFUNCTION("""COMPUTED_VALUE"""),"26")</f>
        <v>26</v>
      </c>
      <c r="F5" s="3" t="str">
        <f>IFERROR(__xludf.DUMMYFUNCTION("""COMPUTED_VALUE"""),"นพอ.นพชกร ทิวแพ")</f>
        <v>นพอ.นพชกร ทิวแพ</v>
      </c>
      <c r="G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5" s="12">
        <f>IFERROR(__xludf.DUMMYFUNCTION("""COMPUTED_VALUE"""),45840.0)</f>
        <v>45840</v>
      </c>
      <c r="K5" s="3" t="str">
        <f>IFERROR(__xludf.DUMMYFUNCTION("""COMPUTED_VALUE"""),"1400 - 2200")</f>
        <v>1400 - 2200</v>
      </c>
      <c r="L5" s="3">
        <f>IFERROR(__xludf.DUMMYFUNCTION("""COMPUTED_VALUE"""),8.0)</f>
        <v>8</v>
      </c>
      <c r="M5" s="3" t="str">
        <f>IFERROR(__xludf.DUMMYFUNCTION("""COMPUTED_VALUE"""),"ร.อ.อนุชิต ทำจะดี")</f>
        <v>ร.อ.อนุชิต ทำจะดี</v>
      </c>
      <c r="N5" s="14" t="str">
        <f>IFERROR(__xludf.DUMMYFUNCTION("""COMPUTED_VALUE"""),"https://lh5.googleusercontent.com/d/1x7_Dy5B30CyK0eTf4Jm1AoFkLHpiSP_T")</f>
        <v>https://lh5.googleusercontent.com/d/1x7_Dy5B30CyK0eTf4Jm1AoFkLHpiSP_T</v>
      </c>
      <c r="O5" s="14" t="str">
        <f>IFERROR(__xludf.DUMMYFUNCTION("""COMPUTED_VALUE"""),"https://drive.google.com/file/d/1dukl6TLXp_kqgaM842_o-r4dgM1gbR0K/view?usp=drivesdk")</f>
        <v>https://drive.google.com/file/d/1dukl6TLXp_kqgaM842_o-r4dgM1gbR0K/view?usp=drivesdk</v>
      </c>
    </row>
    <row r="6">
      <c r="A6" s="3">
        <f>IFERROR(__xludf.DUMMYFUNCTION("""COMPUTED_VALUE"""),16.0)</f>
        <v>16</v>
      </c>
      <c r="B6" s="11">
        <f>IFERROR(__xludf.DUMMYFUNCTION("""COMPUTED_VALUE"""),45974.83935468751)</f>
        <v>45974.83935</v>
      </c>
      <c r="C6" s="3" t="str">
        <f>IFERROR(__xludf.DUMMYFUNCTION("""COMPUTED_VALUE"""),"ชั้นปีที่ 2")</f>
        <v>ชั้นปีที่ 2</v>
      </c>
      <c r="D6" s="3" t="str">
        <f>IFERROR(__xludf.DUMMYFUNCTION("""COMPUTED_VALUE"""),"6703844")</f>
        <v>6703844</v>
      </c>
      <c r="E6" s="3" t="str">
        <f>IFERROR(__xludf.DUMMYFUNCTION("""COMPUTED_VALUE"""),"26")</f>
        <v>26</v>
      </c>
      <c r="F6" s="3" t="str">
        <f>IFERROR(__xludf.DUMMYFUNCTION("""COMPUTED_VALUE"""),"นพอ.นพชกร ทิวแพ")</f>
        <v>นพอ.นพชกร ทิวแพ</v>
      </c>
      <c r="G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" s="3" t="str">
        <f>IFERROR(__xludf.DUMMYFUNCTION("""COMPUTED_VALUE"""),"การแข่งขันทักษะทางไซเบอร์ระดับโรงเรียนทหาร-ตำรวจ และอุดมศึกษา")</f>
        <v>การแข่งขันทักษะทางไซเบอร์ระดับโรงเรียนทหาร-ตำรวจ และอุดมศึกษา</v>
      </c>
      <c r="I6" s="3" t="str">
        <f>IFERROR(__xludf.DUMMYFUNCTION("""COMPUTED_VALUE"""),"ห้องประชุมอาคารอเนกประสงค์ สปท. เขตดินแดง")</f>
        <v>ห้องประชุมอาคารอเนกประสงค์ สปท. เขตดินแดง</v>
      </c>
      <c r="J6" s="12">
        <f>IFERROR(__xludf.DUMMYFUNCTION("""COMPUTED_VALUE"""),45853.0)</f>
        <v>45853</v>
      </c>
      <c r="K6" s="3" t="str">
        <f>IFERROR(__xludf.DUMMYFUNCTION("""COMPUTED_VALUE"""),"0800-1600")</f>
        <v>0800-1600</v>
      </c>
      <c r="L6" s="3">
        <f>IFERROR(__xludf.DUMMYFUNCTION("""COMPUTED_VALUE"""),8.0)</f>
        <v>8</v>
      </c>
      <c r="M6" s="3" t="str">
        <f>IFERROR(__xludf.DUMMYFUNCTION("""COMPUTED_VALUE"""),"ร.อ.อนุชิต ทำจะดี")</f>
        <v>ร.อ.อนุชิต ทำจะดี</v>
      </c>
      <c r="N6" s="14" t="str">
        <f>IFERROR(__xludf.DUMMYFUNCTION("""COMPUTED_VALUE"""),"https://lh5.googleusercontent.com/d/1NqRlDze86VN9KqRyAgkmLnC6zvz02YL4")</f>
        <v>https://lh5.googleusercontent.com/d/1NqRlDze86VN9KqRyAgkmLnC6zvz02YL4</v>
      </c>
      <c r="O6" s="14" t="str">
        <f>IFERROR(__xludf.DUMMYFUNCTION("""COMPUTED_VALUE"""),"https://drive.google.com/file/d/1UKCins2hZuVKr6Mv2ywXyOYu2ChER4dF/view?usp=drivesdk")</f>
        <v>https://drive.google.com/file/d/1UKCins2hZuVKr6Mv2ywXyOYu2ChER4dF/view?usp=drivesdk</v>
      </c>
    </row>
    <row r="7">
      <c r="A7" s="3">
        <f>IFERROR(__xludf.DUMMYFUNCTION("""COMPUTED_VALUE"""),17.0)</f>
        <v>17</v>
      </c>
      <c r="B7" s="11">
        <f>IFERROR(__xludf.DUMMYFUNCTION("""COMPUTED_VALUE"""),45974.84273788194)</f>
        <v>45974.84274</v>
      </c>
      <c r="C7" s="3" t="str">
        <f>IFERROR(__xludf.DUMMYFUNCTION("""COMPUTED_VALUE"""),"ชั้นปีที่ 2")</f>
        <v>ชั้นปีที่ 2</v>
      </c>
      <c r="D7" s="3" t="str">
        <f>IFERROR(__xludf.DUMMYFUNCTION("""COMPUTED_VALUE"""),"6703844")</f>
        <v>6703844</v>
      </c>
      <c r="E7" s="3" t="str">
        <f>IFERROR(__xludf.DUMMYFUNCTION("""COMPUTED_VALUE"""),"26")</f>
        <v>26</v>
      </c>
      <c r="F7" s="3" t="str">
        <f>IFERROR(__xludf.DUMMYFUNCTION("""COMPUTED_VALUE"""),"นพอ.นพชกร ทิวแพ")</f>
        <v>นพอ.นพชกร ทิวแพ</v>
      </c>
      <c r="G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" s="3" t="str">
        <f>IFERROR(__xludf.DUMMYFUNCTION("""COMPUTED_VALUE"""),"Meet The Youth Hacker Thailand 2025")</f>
        <v>Meet The Youth Hacker Thailand 2025</v>
      </c>
      <c r="I7" s="3" t="str">
        <f>IFERROR(__xludf.DUMMYFUNCTION("""COMPUTED_VALUE"""),"อาคาร 15 กองบัญชาการกองทัพไทย (บก.ทท.)")</f>
        <v>อาคาร 15 กองบัญชาการกองทัพไทย (บก.ทท.)</v>
      </c>
      <c r="J7" s="12">
        <f>IFERROR(__xludf.DUMMYFUNCTION("""COMPUTED_VALUE"""),45907.0)</f>
        <v>45907</v>
      </c>
      <c r="K7" s="3" t="str">
        <f>IFERROR(__xludf.DUMMYFUNCTION("""COMPUTED_VALUE"""),"0800-1600")</f>
        <v>0800-1600</v>
      </c>
      <c r="L7" s="3">
        <f>IFERROR(__xludf.DUMMYFUNCTION("""COMPUTED_VALUE"""),8.0)</f>
        <v>8</v>
      </c>
      <c r="M7" s="3" t="str">
        <f>IFERROR(__xludf.DUMMYFUNCTION("""COMPUTED_VALUE"""),"ร.อ.อนุชิต ทำจะดี")</f>
        <v>ร.อ.อนุชิต ทำจะดี</v>
      </c>
      <c r="N7" s="14" t="str">
        <f>IFERROR(__xludf.DUMMYFUNCTION("""COMPUTED_VALUE"""),"https://lh5.googleusercontent.com/d/1AM7JmSNYij-0LAJt5QJIQcTUsCY5d-KB")</f>
        <v>https://lh5.googleusercontent.com/d/1AM7JmSNYij-0LAJt5QJIQcTUsCY5d-KB</v>
      </c>
      <c r="O7" s="14" t="str">
        <f>IFERROR(__xludf.DUMMYFUNCTION("""COMPUTED_VALUE"""),"https://drive.google.com/file/d/1E5Zya31Z4D4idaHx1hxUxpdPZ0SduOLF/view?usp=drivesdk")</f>
        <v>https://drive.google.com/file/d/1E5Zya31Z4D4idaHx1hxUxpdPZ0SduOLF/view?usp=drivesdk</v>
      </c>
    </row>
    <row r="8">
      <c r="A8" s="3">
        <f>IFERROR(__xludf.DUMMYFUNCTION("""COMPUTED_VALUE"""),18.0)</f>
        <v>18</v>
      </c>
      <c r="B8" s="11">
        <f>IFERROR(__xludf.DUMMYFUNCTION("""COMPUTED_VALUE"""),45974.844786168986)</f>
        <v>45974.84479</v>
      </c>
      <c r="C8" s="3" t="str">
        <f>IFERROR(__xludf.DUMMYFUNCTION("""COMPUTED_VALUE"""),"ชั้นปีที่ 2")</f>
        <v>ชั้นปีที่ 2</v>
      </c>
      <c r="D8" s="3" t="str">
        <f>IFERROR(__xludf.DUMMYFUNCTION("""COMPUTED_VALUE"""),"6703844")</f>
        <v>6703844</v>
      </c>
      <c r="E8" s="3" t="str">
        <f>IFERROR(__xludf.DUMMYFUNCTION("""COMPUTED_VALUE"""),"26")</f>
        <v>26</v>
      </c>
      <c r="F8" s="3" t="str">
        <f>IFERROR(__xludf.DUMMYFUNCTION("""COMPUTED_VALUE"""),"นพอ.นพชกร ทิวแพ")</f>
        <v>นพอ.นพชกร ทิวแพ</v>
      </c>
      <c r="G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" s="3" t="str">
        <f>IFERROR(__xludf.DUMMYFUNCTION("""COMPUTED_VALUE"""),"ฟังการสัมมนาสื่อสร้างสรรค์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</v>
      </c>
      <c r="I8" s="3" t="str">
        <f>IFERROR(__xludf.DUMMYFUNCTION("""COMPUTED_VALUE""")," อาคารเอนกประสงค์ เอสซีจี สำนักงานใหญ่ บางซื่อ")</f>
        <v> อาคารเอนกประสงค์ เอสซีจี สำนักงานใหญ่ บางซื่อ</v>
      </c>
      <c r="J8" s="12">
        <f>IFERROR(__xludf.DUMMYFUNCTION("""COMPUTED_VALUE"""),45955.0)</f>
        <v>45955</v>
      </c>
      <c r="K8" s="3" t="str">
        <f>IFERROR(__xludf.DUMMYFUNCTION("""COMPUTED_VALUE"""),"0730-1230")</f>
        <v>0730-1230</v>
      </c>
      <c r="L8" s="3">
        <f>IFERROR(__xludf.DUMMYFUNCTION("""COMPUTED_VALUE"""),5.0)</f>
        <v>5</v>
      </c>
      <c r="M8" s="3" t="str">
        <f>IFERROR(__xludf.DUMMYFUNCTION("""COMPUTED_VALUE"""),"น.ท.หญิง ฤทัยวรรณ นวมพันธ์")</f>
        <v>น.ท.หญิง ฤทัยวรรณ นวมพันธ์</v>
      </c>
      <c r="N8" s="14" t="str">
        <f>IFERROR(__xludf.DUMMYFUNCTION("""COMPUTED_VALUE"""),"https://lh5.googleusercontent.com/d/1Xx8HdDXR09h3HP0N47g0lacLwSkWxyj-")</f>
        <v>https://lh5.googleusercontent.com/d/1Xx8HdDXR09h3HP0N47g0lacLwSkWxyj-</v>
      </c>
      <c r="O8" s="14" t="str">
        <f>IFERROR(__xludf.DUMMYFUNCTION("""COMPUTED_VALUE"""),"https://drive.google.com/file/d/1odqzTaQ1v-BjgSuO9EFODDzkFATXy6LZ/view?usp=drivesdk")</f>
        <v>https://drive.google.com/file/d/1odqzTaQ1v-BjgSuO9EFODDzkFATXy6LZ/view?usp=drivesdk</v>
      </c>
    </row>
    <row r="9">
      <c r="A9" s="3">
        <f>IFERROR(__xludf.DUMMYFUNCTION("""COMPUTED_VALUE"""),30.0)</f>
        <v>30</v>
      </c>
      <c r="B9" s="11">
        <f>IFERROR(__xludf.DUMMYFUNCTION("""COMPUTED_VALUE"""),45979.63639875)</f>
        <v>45979.6364</v>
      </c>
      <c r="C9" s="3" t="str">
        <f>IFERROR(__xludf.DUMMYFUNCTION("""COMPUTED_VALUE"""),"ชั้นปีที่ 2")</f>
        <v>ชั้นปีที่ 2</v>
      </c>
      <c r="D9" s="3" t="str">
        <f>IFERROR(__xludf.DUMMYFUNCTION("""COMPUTED_VALUE"""),"6703859")</f>
        <v>6703859</v>
      </c>
      <c r="E9" s="3" t="str">
        <f>IFERROR(__xludf.DUMMYFUNCTION("""COMPUTED_VALUE"""),"41")</f>
        <v>41</v>
      </c>
      <c r="F9" s="3" t="str">
        <f>IFERROR(__xludf.DUMMYFUNCTION("""COMPUTED_VALUE"""),"นพอ.พิชญาภา ไชยพงษ์")</f>
        <v>นพอ.พิชญาภา ไชยพงษ์</v>
      </c>
      <c r="G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9" s="3" t="str">
        <f>IFERROR(__xludf.DUMMYFUNCTION("""COMPUTED_VALUE"""),"(ศูนย์วัฒนธรรมแห่งประเทศไทย) ")</f>
        <v>(ศูนย์วัฒนธรรมแห่งประเทศไทย) </v>
      </c>
      <c r="J9" s="12">
        <f>IFERROR(__xludf.DUMMYFUNCTION("""COMPUTED_VALUE"""),45840.0)</f>
        <v>45840</v>
      </c>
      <c r="K9" s="3" t="str">
        <f>IFERROR(__xludf.DUMMYFUNCTION("""COMPUTED_VALUE"""),"1400-2200")</f>
        <v>1400-2200</v>
      </c>
      <c r="L9" s="3">
        <f>IFERROR(__xludf.DUMMYFUNCTION("""COMPUTED_VALUE"""),8.0)</f>
        <v>8</v>
      </c>
      <c r="M9" s="3" t="str">
        <f>IFERROR(__xludf.DUMMYFUNCTION("""COMPUTED_VALUE"""),"ร.อ.อนุชิต ทำจะดี")</f>
        <v>ร.อ.อนุชิต ทำจะดี</v>
      </c>
      <c r="N9" s="14" t="str">
        <f>IFERROR(__xludf.DUMMYFUNCTION("""COMPUTED_VALUE"""),"https://lh5.googleusercontent.com/d/1fZxYSy7cv40dhOBNfxv8MUu173KAwRh9")</f>
        <v>https://lh5.googleusercontent.com/d/1fZxYSy7cv40dhOBNfxv8MUu173KAwRh9</v>
      </c>
      <c r="O9" s="14" t="str">
        <f>IFERROR(__xludf.DUMMYFUNCTION("""COMPUTED_VALUE"""),"https://drive.google.com/file/d/1Ek_scsrbLHSoJRyGfxvsWjPu3ATcmqzL/view?usp=drivesdk")</f>
        <v>https://drive.google.com/file/d/1Ek_scsrbLHSoJRyGfxvsWjPu3ATcmqzL/view?usp=drivesdk</v>
      </c>
    </row>
    <row r="10">
      <c r="A10" s="3">
        <f>IFERROR(__xludf.DUMMYFUNCTION("""COMPUTED_VALUE"""),31.0)</f>
        <v>31</v>
      </c>
      <c r="B10" s="11">
        <f>IFERROR(__xludf.DUMMYFUNCTION("""COMPUTED_VALUE"""),45979.641051562496)</f>
        <v>45979.64105</v>
      </c>
      <c r="C10" s="3" t="str">
        <f>IFERROR(__xludf.DUMMYFUNCTION("""COMPUTED_VALUE"""),"ชั้นปีที่ 2")</f>
        <v>ชั้นปีที่ 2</v>
      </c>
      <c r="D10" s="3" t="str">
        <f>IFERROR(__xludf.DUMMYFUNCTION("""COMPUTED_VALUE"""),"6703859")</f>
        <v>6703859</v>
      </c>
      <c r="E10" s="3" t="str">
        <f>IFERROR(__xludf.DUMMYFUNCTION("""COMPUTED_VALUE"""),"41")</f>
        <v>41</v>
      </c>
      <c r="F10" s="3" t="str">
        <f>IFERROR(__xludf.DUMMYFUNCTION("""COMPUTED_VALUE"""),"นพอ.พิชญาภา ไชยพงษ์")</f>
        <v>นพอ.พิชญาภา ไชยพงษ์</v>
      </c>
      <c r="G1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0" s="3" t="str">
        <f>IFERROR(__xludf.DUMMYFUNCTION("""COMPUTED_VALUE"""),"(ศูนย์วัฒนธรรมแห่งประเทศไทย) ")</f>
        <v>(ศูนย์วัฒนธรรมแห่งประเทศไทย) </v>
      </c>
      <c r="J10" s="12">
        <f>IFERROR(__xludf.DUMMYFUNCTION("""COMPUTED_VALUE"""),45839.0)</f>
        <v>45839</v>
      </c>
      <c r="K10" s="3" t="str">
        <f>IFERROR(__xludf.DUMMYFUNCTION("""COMPUTED_VALUE"""),"1400-2200")</f>
        <v>1400-2200</v>
      </c>
      <c r="L10" s="3">
        <f>IFERROR(__xludf.DUMMYFUNCTION("""COMPUTED_VALUE"""),8.0)</f>
        <v>8</v>
      </c>
      <c r="M10" s="3" t="str">
        <f>IFERROR(__xludf.DUMMYFUNCTION("""COMPUTED_VALUE"""),"ร.อ.อนุชิต ทำจะดี")</f>
        <v>ร.อ.อนุชิต ทำจะดี</v>
      </c>
      <c r="N10" s="14" t="str">
        <f>IFERROR(__xludf.DUMMYFUNCTION("""COMPUTED_VALUE"""),"https://lh5.googleusercontent.com/d/1D-_UmuXYU3ArwMZjsJk6xBr3rFd3n_gr")</f>
        <v>https://lh5.googleusercontent.com/d/1D-_UmuXYU3ArwMZjsJk6xBr3rFd3n_gr</v>
      </c>
      <c r="O10" s="14" t="str">
        <f>IFERROR(__xludf.DUMMYFUNCTION("""COMPUTED_VALUE"""),"https://drive.google.com/file/d/1V4WHhZ_bR7OvghOVypwbRvSIhT_j-Cz8/view?usp=drivesdk")</f>
        <v>https://drive.google.com/file/d/1V4WHhZ_bR7OvghOVypwbRvSIhT_j-Cz8/view?usp=drivesdk</v>
      </c>
    </row>
    <row r="11">
      <c r="A11" s="3">
        <f>IFERROR(__xludf.DUMMYFUNCTION("""COMPUTED_VALUE"""),32.0)</f>
        <v>32</v>
      </c>
      <c r="B11" s="11">
        <f>IFERROR(__xludf.DUMMYFUNCTION("""COMPUTED_VALUE"""),45979.64430197916)</f>
        <v>45979.6443</v>
      </c>
      <c r="C11" s="3" t="str">
        <f>IFERROR(__xludf.DUMMYFUNCTION("""COMPUTED_VALUE"""),"ชั้นปีที่ 2")</f>
        <v>ชั้นปีที่ 2</v>
      </c>
      <c r="D11" s="3" t="str">
        <f>IFERROR(__xludf.DUMMYFUNCTION("""COMPUTED_VALUE"""),"6703833")</f>
        <v>6703833</v>
      </c>
      <c r="E11" s="3" t="str">
        <f>IFERROR(__xludf.DUMMYFUNCTION("""COMPUTED_VALUE"""),"16")</f>
        <v>16</v>
      </c>
      <c r="F11" s="3" t="str">
        <f>IFERROR(__xludf.DUMMYFUNCTION("""COMPUTED_VALUE"""),"นพอ.ฐานิดา อ่อนล้อม")</f>
        <v>นพอ.ฐานิดา อ่อนล้อม</v>
      </c>
      <c r="G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" s="3" t="str">
        <f>IFERROR(__xludf.DUMMYFUNCTION("""COMPUTED_VALUE"""),"คอนเสิร์ตทัพฟ้าคู่ไทยเพื่อ “ชัยพัฒนา” ครั้งที่ 16")</f>
        <v>คอนเสิร์ตทัพฟ้าคู่ไทยเพื่อ “ชัยพัฒนา” ครั้งที่ 16</v>
      </c>
      <c r="I1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" s="12">
        <f>IFERROR(__xludf.DUMMYFUNCTION("""COMPUTED_VALUE"""),45839.0)</f>
        <v>45839</v>
      </c>
      <c r="K11" s="3" t="str">
        <f>IFERROR(__xludf.DUMMYFUNCTION("""COMPUTED_VALUE"""),"1400-2200")</f>
        <v>1400-2200</v>
      </c>
      <c r="L11" s="3">
        <f>IFERROR(__xludf.DUMMYFUNCTION("""COMPUTED_VALUE"""),8.0)</f>
        <v>8</v>
      </c>
      <c r="M11" s="3" t="str">
        <f>IFERROR(__xludf.DUMMYFUNCTION("""COMPUTED_VALUE"""),"ร.อ.อนุชิต ทำจะดี")</f>
        <v>ร.อ.อนุชิต ทำจะดี</v>
      </c>
      <c r="N11" s="14" t="str">
        <f>IFERROR(__xludf.DUMMYFUNCTION("""COMPUTED_VALUE"""),"https://lh5.googleusercontent.com/d/1TBeaEz7zRhaA__iuDUPPptkT3mQz0mZQ")</f>
        <v>https://lh5.googleusercontent.com/d/1TBeaEz7zRhaA__iuDUPPptkT3mQz0mZQ</v>
      </c>
      <c r="O11" s="14" t="str">
        <f>IFERROR(__xludf.DUMMYFUNCTION("""COMPUTED_VALUE"""),"https://drive.google.com/file/d/1jsmnDBVKfSRBuwszpcMUwuC1oct-cInm/view?usp=drivesdk")</f>
        <v>https://drive.google.com/file/d/1jsmnDBVKfSRBuwszpcMUwuC1oct-cInm/view?usp=drivesdk</v>
      </c>
    </row>
    <row r="12">
      <c r="A12" s="3">
        <f>IFERROR(__xludf.DUMMYFUNCTION("""COMPUTED_VALUE"""),33.0)</f>
        <v>33</v>
      </c>
      <c r="B12" s="11">
        <f>IFERROR(__xludf.DUMMYFUNCTION("""COMPUTED_VALUE"""),45979.64634475694)</f>
        <v>45979.64634</v>
      </c>
      <c r="C12" s="3" t="str">
        <f>IFERROR(__xludf.DUMMYFUNCTION("""COMPUTED_VALUE"""),"ชั้นปีที่ 2")</f>
        <v>ชั้นปีที่ 2</v>
      </c>
      <c r="D12" s="3" t="str">
        <f>IFERROR(__xludf.DUMMYFUNCTION("""COMPUTED_VALUE"""),"6703833")</f>
        <v>6703833</v>
      </c>
      <c r="E12" s="3" t="str">
        <f>IFERROR(__xludf.DUMMYFUNCTION("""COMPUTED_VALUE"""),"16")</f>
        <v>16</v>
      </c>
      <c r="F12" s="3" t="str">
        <f>IFERROR(__xludf.DUMMYFUNCTION("""COMPUTED_VALUE"""),"นพอ.ฐานิดา อ่อนล้อม")</f>
        <v>นพอ.ฐานิดา อ่อนล้อม</v>
      </c>
      <c r="G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" s="3" t="str">
        <f>IFERROR(__xludf.DUMMYFUNCTION("""COMPUTED_VALUE"""),"คอนเสิร์ตทัพฟ้าคู่ไทยเพื่อ “ชัยพัฒนา” ครั้งที่ 16")</f>
        <v>คอนเสิร์ตทัพฟ้าคู่ไทยเพื่อ “ชัยพัฒนา” ครั้งที่ 16</v>
      </c>
      <c r="I1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" s="12">
        <f>IFERROR(__xludf.DUMMYFUNCTION("""COMPUTED_VALUE"""),45840.0)</f>
        <v>45840</v>
      </c>
      <c r="K12" s="3" t="str">
        <f>IFERROR(__xludf.DUMMYFUNCTION("""COMPUTED_VALUE"""),"1400-2200")</f>
        <v>1400-2200</v>
      </c>
      <c r="L12" s="3">
        <f>IFERROR(__xludf.DUMMYFUNCTION("""COMPUTED_VALUE"""),8.0)</f>
        <v>8</v>
      </c>
      <c r="M12" s="3" t="str">
        <f>IFERROR(__xludf.DUMMYFUNCTION("""COMPUTED_VALUE"""),"ร.อ.อนุชิต ทำจะดี")</f>
        <v>ร.อ.อนุชิต ทำจะดี</v>
      </c>
      <c r="N12" s="14" t="str">
        <f>IFERROR(__xludf.DUMMYFUNCTION("""COMPUTED_VALUE"""),"https://lh5.googleusercontent.com/d/11bMPh9R-FjBv9Xr8SwsjqCZzs_vbGz3t")</f>
        <v>https://lh5.googleusercontent.com/d/11bMPh9R-FjBv9Xr8SwsjqCZzs_vbGz3t</v>
      </c>
      <c r="O12" s="14" t="str">
        <f>IFERROR(__xludf.DUMMYFUNCTION("""COMPUTED_VALUE"""),"https://drive.google.com/file/d/115LevKkAP3WvlDcPcrLD2iIjn3nKOoGZ/view?usp=drivesdk")</f>
        <v>https://drive.google.com/file/d/115LevKkAP3WvlDcPcrLD2iIjn3nKOoGZ/view?usp=drivesdk</v>
      </c>
    </row>
    <row r="13">
      <c r="A13" s="3">
        <f>IFERROR(__xludf.DUMMYFUNCTION("""COMPUTED_VALUE"""),48.0)</f>
        <v>48</v>
      </c>
      <c r="B13" s="11">
        <f>IFERROR(__xludf.DUMMYFUNCTION("""COMPUTED_VALUE"""),45980.67721432871)</f>
        <v>45980.67721</v>
      </c>
      <c r="C13" s="3" t="str">
        <f>IFERROR(__xludf.DUMMYFUNCTION("""COMPUTED_VALUE"""),"ชั้นปีที่ 2")</f>
        <v>ชั้นปีที่ 2</v>
      </c>
      <c r="D13" s="3" t="str">
        <f>IFERROR(__xludf.DUMMYFUNCTION("""COMPUTED_VALUE"""),"6703836")</f>
        <v>6703836</v>
      </c>
      <c r="E13" s="3" t="str">
        <f>IFERROR(__xludf.DUMMYFUNCTION("""COMPUTED_VALUE"""),"19")</f>
        <v>19</v>
      </c>
      <c r="F13" s="3" t="str">
        <f>IFERROR(__xludf.DUMMYFUNCTION("""COMPUTED_VALUE"""),"นพอ.ณัฐธิดา จันทร์อนันต์")</f>
        <v>นพอ.ณัฐธิดา จันทร์อนันต์</v>
      </c>
      <c r="G13" s="3" t="str">
        <f>IFERROR(__xludf.DUMMYFUNCTION("""COMPUTED_VALUE"""),"ช่วยเหลืองานภายใน วพอ.")</f>
        <v>ช่วยเหลืองานภายใน วพอ.</v>
      </c>
      <c r="H13" s="3" t="str">
        <f>IFERROR(__xludf.DUMMYFUNCTION("""COMPUTED_VALUE"""),"จัดห้องภาคมารดาทารกและการผดุงครรภ์")</f>
        <v>จัดห้องภาคมารดาทารกและการผดุงครรภ์</v>
      </c>
      <c r="I13" s="3" t="str">
        <f>IFERROR(__xludf.DUMMYFUNCTION("""COMPUTED_VALUE"""),"อาคารสำนักงานชั้น2")</f>
        <v>อาคารสำนักงานชั้น2</v>
      </c>
      <c r="J13" s="12">
        <f>IFERROR(__xludf.DUMMYFUNCTION("""COMPUTED_VALUE"""),45979.0)</f>
        <v>45979</v>
      </c>
      <c r="K13" s="3" t="str">
        <f>IFERROR(__xludf.DUMMYFUNCTION("""COMPUTED_VALUE"""),"14.00-16.00น.")</f>
        <v>14.00-16.00น.</v>
      </c>
      <c r="L13" s="3">
        <f>IFERROR(__xludf.DUMMYFUNCTION("""COMPUTED_VALUE"""),2.0)</f>
        <v>2</v>
      </c>
      <c r="M13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13" s="14" t="str">
        <f>IFERROR(__xludf.DUMMYFUNCTION("""COMPUTED_VALUE"""),"https://lh5.googleusercontent.com/d/1rsSIiJ7WtuHpwpuMbfq5hv-6IWRUvM2F")</f>
        <v>https://lh5.googleusercontent.com/d/1rsSIiJ7WtuHpwpuMbfq5hv-6IWRUvM2F</v>
      </c>
      <c r="O13" s="14" t="str">
        <f>IFERROR(__xludf.DUMMYFUNCTION("""COMPUTED_VALUE"""),"https://drive.google.com/file/d/18sy8TqoKyQR2PqmD7j4ePWuhnymsdwa2/view?usp=drivesdk")</f>
        <v>https://drive.google.com/file/d/18sy8TqoKyQR2PqmD7j4ePWuhnymsdwa2/view?usp=drivesdk</v>
      </c>
    </row>
    <row r="14">
      <c r="A14" s="3">
        <f>IFERROR(__xludf.DUMMYFUNCTION("""COMPUTED_VALUE"""),54.0)</f>
        <v>54</v>
      </c>
      <c r="B14" s="11">
        <f>IFERROR(__xludf.DUMMYFUNCTION("""COMPUTED_VALUE"""),45980.83116480324)</f>
        <v>45980.83116</v>
      </c>
      <c r="C14" s="3" t="str">
        <f>IFERROR(__xludf.DUMMYFUNCTION("""COMPUTED_VALUE"""),"ชั้นปีที่ 2")</f>
        <v>ชั้นปีที่ 2</v>
      </c>
      <c r="D14" s="3" t="str">
        <f>IFERROR(__xludf.DUMMYFUNCTION("""COMPUTED_VALUE"""),"6703838")</f>
        <v>6703838</v>
      </c>
      <c r="E14" s="3" t="str">
        <f>IFERROR(__xludf.DUMMYFUNCTION("""COMPUTED_VALUE"""),"21")</f>
        <v>21</v>
      </c>
      <c r="F14" s="3" t="str">
        <f>IFERROR(__xludf.DUMMYFUNCTION("""COMPUTED_VALUE"""),"นพอ.ณัฐพงษ์ วงษ์บัวงาม")</f>
        <v>นพอ.ณัฐพงษ์ วงษ์บัวงาม</v>
      </c>
      <c r="G1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4" s="12">
        <f>IFERROR(__xludf.DUMMYFUNCTION("""COMPUTED_VALUE"""),45839.0)</f>
        <v>45839</v>
      </c>
      <c r="K14" s="3" t="str">
        <f>IFERROR(__xludf.DUMMYFUNCTION("""COMPUTED_VALUE"""),"1400-2200")</f>
        <v>1400-2200</v>
      </c>
      <c r="L14" s="3">
        <f>IFERROR(__xludf.DUMMYFUNCTION("""COMPUTED_VALUE"""),8.0)</f>
        <v>8</v>
      </c>
      <c r="M14" s="3" t="str">
        <f>IFERROR(__xludf.DUMMYFUNCTION("""COMPUTED_VALUE"""),"ร.อ.อนุชิต ทำจะดี")</f>
        <v>ร.อ.อนุชิต ทำจะดี</v>
      </c>
      <c r="N14" s="14" t="str">
        <f>IFERROR(__xludf.DUMMYFUNCTION("""COMPUTED_VALUE"""),"https://lh5.googleusercontent.com/d/1S8UChCpOqs_095wKGLCBC-0xSYuz0FqR")</f>
        <v>https://lh5.googleusercontent.com/d/1S8UChCpOqs_095wKGLCBC-0xSYuz0FqR</v>
      </c>
      <c r="O14" s="14" t="str">
        <f>IFERROR(__xludf.DUMMYFUNCTION("""COMPUTED_VALUE"""),"https://drive.google.com/file/d/1cONPpBIVRznJmuornOxu2iOML1H5bkez/view?usp=drivesdk")</f>
        <v>https://drive.google.com/file/d/1cONPpBIVRznJmuornOxu2iOML1H5bkez/view?usp=drivesdk</v>
      </c>
    </row>
    <row r="15">
      <c r="A15" s="3">
        <f>IFERROR(__xludf.DUMMYFUNCTION("""COMPUTED_VALUE"""),57.0)</f>
        <v>57</v>
      </c>
      <c r="B15" s="11">
        <f>IFERROR(__xludf.DUMMYFUNCTION("""COMPUTED_VALUE"""),45980.83582078703)</f>
        <v>45980.83582</v>
      </c>
      <c r="C15" s="3" t="str">
        <f>IFERROR(__xludf.DUMMYFUNCTION("""COMPUTED_VALUE"""),"ชั้นปีที่ 2")</f>
        <v>ชั้นปีที่ 2</v>
      </c>
      <c r="D15" s="3" t="str">
        <f>IFERROR(__xludf.DUMMYFUNCTION("""COMPUTED_VALUE"""),"6703838")</f>
        <v>6703838</v>
      </c>
      <c r="E15" s="3" t="str">
        <f>IFERROR(__xludf.DUMMYFUNCTION("""COMPUTED_VALUE"""),"21")</f>
        <v>21</v>
      </c>
      <c r="F15" s="3" t="str">
        <f>IFERROR(__xludf.DUMMYFUNCTION("""COMPUTED_VALUE"""),"นพอ.ณัฐพงษ์ วงษ์บัวงาม")</f>
        <v>นพอ.ณัฐพงษ์ วงษ์บัวงาม</v>
      </c>
      <c r="G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5" s="12">
        <f>IFERROR(__xludf.DUMMYFUNCTION("""COMPUTED_VALUE"""),45840.0)</f>
        <v>45840</v>
      </c>
      <c r="K15" s="3" t="str">
        <f>IFERROR(__xludf.DUMMYFUNCTION("""COMPUTED_VALUE"""),"1400-2200")</f>
        <v>1400-2200</v>
      </c>
      <c r="L15" s="3">
        <f>IFERROR(__xludf.DUMMYFUNCTION("""COMPUTED_VALUE"""),8.0)</f>
        <v>8</v>
      </c>
      <c r="M15" s="3" t="str">
        <f>IFERROR(__xludf.DUMMYFUNCTION("""COMPUTED_VALUE"""),"ร.อ.อนุชิต ทำจะดี")</f>
        <v>ร.อ.อนุชิต ทำจะดี</v>
      </c>
      <c r="N15" s="14" t="str">
        <f>IFERROR(__xludf.DUMMYFUNCTION("""COMPUTED_VALUE"""),"https://lh5.googleusercontent.com/d/1yJzubrPLPTykQ3sZL8b_MNQFOf1YplIL")</f>
        <v>https://lh5.googleusercontent.com/d/1yJzubrPLPTykQ3sZL8b_MNQFOf1YplIL</v>
      </c>
      <c r="O15" s="14" t="str">
        <f>IFERROR(__xludf.DUMMYFUNCTION("""COMPUTED_VALUE"""),"https://drive.google.com/file/d/1w-dv1u-amf2y4X82GJWx4Alla4msQE3z/view?usp=drivesdk")</f>
        <v>https://drive.google.com/file/d/1w-dv1u-amf2y4X82GJWx4Alla4msQE3z/view?usp=drivesdk</v>
      </c>
    </row>
    <row r="16">
      <c r="A16" s="3">
        <f>IFERROR(__xludf.DUMMYFUNCTION("""COMPUTED_VALUE"""),59.0)</f>
        <v>59</v>
      </c>
      <c r="B16" s="11">
        <f>IFERROR(__xludf.DUMMYFUNCTION("""COMPUTED_VALUE"""),45980.83748215278)</f>
        <v>45980.83748</v>
      </c>
      <c r="C16" s="3" t="str">
        <f>IFERROR(__xludf.DUMMYFUNCTION("""COMPUTED_VALUE"""),"ชั้นปีที่ 2")</f>
        <v>ชั้นปีที่ 2</v>
      </c>
      <c r="D16" s="3" t="str">
        <f>IFERROR(__xludf.DUMMYFUNCTION("""COMPUTED_VALUE"""),"6703836")</f>
        <v>6703836</v>
      </c>
      <c r="E16" s="3" t="str">
        <f>IFERROR(__xludf.DUMMYFUNCTION("""COMPUTED_VALUE"""),"19")</f>
        <v>19</v>
      </c>
      <c r="F16" s="3" t="str">
        <f>IFERROR(__xludf.DUMMYFUNCTION("""COMPUTED_VALUE"""),"นพอ.ณัฐธิดา จันทร์อนันต์")</f>
        <v>นพอ.ณัฐธิดา จันทร์อนันต์</v>
      </c>
      <c r="G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" s="3" t="str">
        <f>IFERROR(__xludf.DUMMYFUNCTION("""COMPUTED_VALUE"""),"คอนเสิร์ตทัพฟ้าคู่ไทยเพื่อ“ชัยพัฒนา” ครั้งที่16")</f>
        <v>คอนเสิร์ตทัพฟ้าคู่ไทยเพื่อ“ชัยพัฒนา” ครั้งที่16</v>
      </c>
      <c r="I1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6" s="12">
        <f>IFERROR(__xludf.DUMMYFUNCTION("""COMPUTED_VALUE"""),45839.0)</f>
        <v>45839</v>
      </c>
      <c r="K16" s="3" t="str">
        <f>IFERROR(__xludf.DUMMYFUNCTION("""COMPUTED_VALUE"""),"1400-2200")</f>
        <v>1400-2200</v>
      </c>
      <c r="L16" s="3">
        <f>IFERROR(__xludf.DUMMYFUNCTION("""COMPUTED_VALUE"""),8.0)</f>
        <v>8</v>
      </c>
      <c r="M16" s="3" t="str">
        <f>IFERROR(__xludf.DUMMYFUNCTION("""COMPUTED_VALUE"""),"ร.อ.อนุชิต ทำจะดี")</f>
        <v>ร.อ.อนุชิต ทำจะดี</v>
      </c>
      <c r="N16" s="14" t="str">
        <f>IFERROR(__xludf.DUMMYFUNCTION("""COMPUTED_VALUE"""),"https://lh5.googleusercontent.com/d/1LE_xcbwuN-0NovlzYDoEwu3tdkb-IgzC")</f>
        <v>https://lh5.googleusercontent.com/d/1LE_xcbwuN-0NovlzYDoEwu3tdkb-IgzC</v>
      </c>
      <c r="O16" s="14" t="str">
        <f>IFERROR(__xludf.DUMMYFUNCTION("""COMPUTED_VALUE"""),"https://drive.google.com/file/d/12OFwhv5OeC3cB_hxEYz5haFll8kHdkoa/view?usp=drivesdk")</f>
        <v>https://drive.google.com/file/d/12OFwhv5OeC3cB_hxEYz5haFll8kHdkoa/view?usp=drivesdk</v>
      </c>
    </row>
    <row r="17">
      <c r="A17" s="3">
        <f>IFERROR(__xludf.DUMMYFUNCTION("""COMPUTED_VALUE"""),62.0)</f>
        <v>62</v>
      </c>
      <c r="B17" s="11">
        <f>IFERROR(__xludf.DUMMYFUNCTION("""COMPUTED_VALUE"""),45980.8425152662)</f>
        <v>45980.84252</v>
      </c>
      <c r="C17" s="3" t="str">
        <f>IFERROR(__xludf.DUMMYFUNCTION("""COMPUTED_VALUE"""),"ชั้นปีที่ 2")</f>
        <v>ชั้นปีที่ 2</v>
      </c>
      <c r="D17" s="3" t="str">
        <f>IFERROR(__xludf.DUMMYFUNCTION("""COMPUTED_VALUE"""),"6703836")</f>
        <v>6703836</v>
      </c>
      <c r="E17" s="3" t="str">
        <f>IFERROR(__xludf.DUMMYFUNCTION("""COMPUTED_VALUE"""),"19")</f>
        <v>19</v>
      </c>
      <c r="F17" s="3" t="str">
        <f>IFERROR(__xludf.DUMMYFUNCTION("""COMPUTED_VALUE"""),"นพอ.ณัฐธิดา จันทร์อนันต์")</f>
        <v>นพอ.ณัฐธิดา จันทร์อนันต์</v>
      </c>
      <c r="G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" s="3" t="str">
        <f>IFERROR(__xludf.DUMMYFUNCTION("""COMPUTED_VALUE"""),"คอนเสิร์ตทัพฟ้าคู่ไทยเพื่อ“ชัยพัฒนา”ครั้งที่16")</f>
        <v>คอนเสิร์ตทัพฟ้าคู่ไทยเพื่อ“ชัยพัฒนา”ครั้งที่16</v>
      </c>
      <c r="I1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" s="12">
        <f>IFERROR(__xludf.DUMMYFUNCTION("""COMPUTED_VALUE"""),45840.0)</f>
        <v>45840</v>
      </c>
      <c r="K17" s="3" t="str">
        <f>IFERROR(__xludf.DUMMYFUNCTION("""COMPUTED_VALUE"""),"1400-2200")</f>
        <v>1400-2200</v>
      </c>
      <c r="L17" s="3">
        <f>IFERROR(__xludf.DUMMYFUNCTION("""COMPUTED_VALUE"""),8.0)</f>
        <v>8</v>
      </c>
      <c r="M17" s="3" t="str">
        <f>IFERROR(__xludf.DUMMYFUNCTION("""COMPUTED_VALUE"""),"ร.อ.อนุชิต ทำจะดี")</f>
        <v>ร.อ.อนุชิต ทำจะดี</v>
      </c>
      <c r="N17" s="14" t="str">
        <f>IFERROR(__xludf.DUMMYFUNCTION("""COMPUTED_VALUE"""),"https://lh5.googleusercontent.com/d/1NP417WIkLdTIcWVUSc5yQm4Ms6-JgFQU")</f>
        <v>https://lh5.googleusercontent.com/d/1NP417WIkLdTIcWVUSc5yQm4Ms6-JgFQU</v>
      </c>
      <c r="O17" s="14" t="str">
        <f>IFERROR(__xludf.DUMMYFUNCTION("""COMPUTED_VALUE"""),"https://drive.google.com/file/d/1Yjedm8xSkwC83n-0ytJawuVoCvJ6tZ0R/view?usp=drivesdk")</f>
        <v>https://drive.google.com/file/d/1Yjedm8xSkwC83n-0ytJawuVoCvJ6tZ0R/view?usp=drivesdk</v>
      </c>
    </row>
    <row r="18">
      <c r="A18" s="3">
        <f>IFERROR(__xludf.DUMMYFUNCTION("""COMPUTED_VALUE"""),63.0)</f>
        <v>63</v>
      </c>
      <c r="B18" s="11">
        <f>IFERROR(__xludf.DUMMYFUNCTION("""COMPUTED_VALUE"""),45980.84401049768)</f>
        <v>45980.84401</v>
      </c>
      <c r="C18" s="3" t="str">
        <f>IFERROR(__xludf.DUMMYFUNCTION("""COMPUTED_VALUE"""),"ชั้นปีที่ 2")</f>
        <v>ชั้นปีที่ 2</v>
      </c>
      <c r="D18" s="3" t="str">
        <f>IFERROR(__xludf.DUMMYFUNCTION("""COMPUTED_VALUE"""),"6703826")</f>
        <v>6703826</v>
      </c>
      <c r="E18" s="3" t="str">
        <f>IFERROR(__xludf.DUMMYFUNCTION("""COMPUTED_VALUE"""),"9")</f>
        <v>9</v>
      </c>
      <c r="F18" s="3" t="str">
        <f>IFERROR(__xludf.DUMMYFUNCTION("""COMPUTED_VALUE"""),"นพอ.ชณัฐธิดา ชูชีพ")</f>
        <v>นพอ.ชณัฐธิดา ชูชีพ</v>
      </c>
      <c r="G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" s="12">
        <f>IFERROR(__xludf.DUMMYFUNCTION("""COMPUTED_VALUE"""),45839.0)</f>
        <v>45839</v>
      </c>
      <c r="K18" s="3" t="str">
        <f>IFERROR(__xludf.DUMMYFUNCTION("""COMPUTED_VALUE"""),"1400-2200")</f>
        <v>1400-2200</v>
      </c>
      <c r="L18" s="3">
        <f>IFERROR(__xludf.DUMMYFUNCTION("""COMPUTED_VALUE"""),8.0)</f>
        <v>8</v>
      </c>
      <c r="M18" s="3" t="str">
        <f>IFERROR(__xludf.DUMMYFUNCTION("""COMPUTED_VALUE"""),"ร.อ.อนุชิต ทำจะดี")</f>
        <v>ร.อ.อนุชิต ทำจะดี</v>
      </c>
      <c r="N18" s="14" t="str">
        <f>IFERROR(__xludf.DUMMYFUNCTION("""COMPUTED_VALUE"""),"https://lh5.googleusercontent.com/d/1YH77T5XkChq7u-rcugxI3MgAC6Sy3z8Q")</f>
        <v>https://lh5.googleusercontent.com/d/1YH77T5XkChq7u-rcugxI3MgAC6Sy3z8Q</v>
      </c>
      <c r="O18" s="14" t="str">
        <f>IFERROR(__xludf.DUMMYFUNCTION("""COMPUTED_VALUE"""),"https://drive.google.com/file/d/1d74bVAfW1GFmbP31-T27zoMJBorIqKRf/view?usp=drivesdk")</f>
        <v>https://drive.google.com/file/d/1d74bVAfW1GFmbP31-T27zoMJBorIqKRf/view?usp=drivesdk</v>
      </c>
    </row>
    <row r="19">
      <c r="A19" s="3">
        <f>IFERROR(__xludf.DUMMYFUNCTION("""COMPUTED_VALUE"""),64.0)</f>
        <v>64</v>
      </c>
      <c r="B19" s="11">
        <f>IFERROR(__xludf.DUMMYFUNCTION("""COMPUTED_VALUE"""),45980.84473736111)</f>
        <v>45980.84474</v>
      </c>
      <c r="C19" s="3" t="str">
        <f>IFERROR(__xludf.DUMMYFUNCTION("""COMPUTED_VALUE"""),"ชั้นปีที่ 2")</f>
        <v>ชั้นปีที่ 2</v>
      </c>
      <c r="D19" s="3" t="str">
        <f>IFERROR(__xludf.DUMMYFUNCTION("""COMPUTED_VALUE"""),"6703838")</f>
        <v>6703838</v>
      </c>
      <c r="E19" s="3" t="str">
        <f>IFERROR(__xludf.DUMMYFUNCTION("""COMPUTED_VALUE"""),"21")</f>
        <v>21</v>
      </c>
      <c r="F19" s="3" t="str">
        <f>IFERROR(__xludf.DUMMYFUNCTION("""COMPUTED_VALUE"""),"นพอ.ณัฐพงษ์ วงษ์บัวงาม")</f>
        <v>นพอ.ณัฐพงษ์ วงษ์บัวงาม</v>
      </c>
      <c r="G19" s="3" t="str">
        <f>IFERROR(__xludf.DUMMYFUNCTION("""COMPUTED_VALUE"""),"ช่วยเหลืองานภายใน วพอ.")</f>
        <v>ช่วยเหลืองานภายใน วพอ.</v>
      </c>
      <c r="H19" s="3" t="str">
        <f>IFERROR(__xludf.DUMMYFUNCTION("""COMPUTED_VALUE"""),"จิตอาสารับนักเรียนใหม่")</f>
        <v>จิตอาสารับนักเรียนใหม่</v>
      </c>
      <c r="I19" s="3" t="str">
        <f>IFERROR(__xludf.DUMMYFUNCTION("""COMPUTED_VALUE"""),"วพอ.")</f>
        <v>วพอ.</v>
      </c>
      <c r="J19" s="12">
        <f>IFERROR(__xludf.DUMMYFUNCTION("""COMPUTED_VALUE"""),45859.0)</f>
        <v>45859</v>
      </c>
      <c r="K19" s="3" t="str">
        <f>IFERROR(__xludf.DUMMYFUNCTION("""COMPUTED_VALUE"""),"0700-1230")</f>
        <v>0700-1230</v>
      </c>
      <c r="L19" s="3">
        <f>IFERROR(__xludf.DUMMYFUNCTION("""COMPUTED_VALUE"""),8.0)</f>
        <v>8</v>
      </c>
      <c r="M19" s="3" t="str">
        <f>IFERROR(__xludf.DUMMYFUNCTION("""COMPUTED_VALUE"""),"ร.อ.อนุชิต ทำจะดี")</f>
        <v>ร.อ.อนุชิต ทำจะดี</v>
      </c>
      <c r="N19" s="14" t="str">
        <f>IFERROR(__xludf.DUMMYFUNCTION("""COMPUTED_VALUE"""),"https://lh5.googleusercontent.com/d/104PZM-l1VPywgyHlSIvh5Roe3JrsvqXt")</f>
        <v>https://lh5.googleusercontent.com/d/104PZM-l1VPywgyHlSIvh5Roe3JrsvqXt</v>
      </c>
      <c r="O19" s="14" t="str">
        <f>IFERROR(__xludf.DUMMYFUNCTION("""COMPUTED_VALUE"""),"https://drive.google.com/file/d/19yE-Ns8YuI85OmpAsj4HOSU3_CAVFEqg/view?usp=drivesdk")</f>
        <v>https://drive.google.com/file/d/19yE-Ns8YuI85OmpAsj4HOSU3_CAVFEqg/view?usp=drivesdk</v>
      </c>
    </row>
    <row r="20">
      <c r="A20" s="3">
        <f>IFERROR(__xludf.DUMMYFUNCTION("""COMPUTED_VALUE"""),67.0)</f>
        <v>67</v>
      </c>
      <c r="B20" s="11">
        <f>IFERROR(__xludf.DUMMYFUNCTION("""COMPUTED_VALUE"""),45980.84684568287)</f>
        <v>45980.84685</v>
      </c>
      <c r="C20" s="3" t="str">
        <f>IFERROR(__xludf.DUMMYFUNCTION("""COMPUTED_VALUE"""),"ชั้นปีที่ 2")</f>
        <v>ชั้นปีที่ 2</v>
      </c>
      <c r="D20" s="3" t="str">
        <f>IFERROR(__xludf.DUMMYFUNCTION("""COMPUTED_VALUE"""),"6703838")</f>
        <v>6703838</v>
      </c>
      <c r="E20" s="3" t="str">
        <f>IFERROR(__xludf.DUMMYFUNCTION("""COMPUTED_VALUE"""),"21")</f>
        <v>21</v>
      </c>
      <c r="F20" s="3" t="str">
        <f>IFERROR(__xludf.DUMMYFUNCTION("""COMPUTED_VALUE"""),"นพอ.ณัฐพงษ์ วงษ์บัวงาม")</f>
        <v>นพอ.ณัฐพงษ์ วงษ์บัวงาม</v>
      </c>
      <c r="G2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" s="3" t="str">
        <f>IFERROR(__xludf.DUMMYFUNCTION("""COMPUTED_VALUE"""),"ฟังการสัมมนาสื่อสร้างสรรค์ เสริมพลังการสื่อสาร พัฒนาสังคม")</f>
        <v>ฟังการสัมมนาสื่อสร้างสรรค์ เสริมพลังการสื่อสาร พัฒนาสังคม</v>
      </c>
      <c r="I20" s="3" t="str">
        <f>IFERROR(__xludf.DUMMYFUNCTION("""COMPUTED_VALUE"""),"หอประชุม SCG")</f>
        <v>หอประชุม SCG</v>
      </c>
      <c r="J20" s="12">
        <f>IFERROR(__xludf.DUMMYFUNCTION("""COMPUTED_VALUE"""),45955.0)</f>
        <v>45955</v>
      </c>
      <c r="K20" s="3" t="str">
        <f>IFERROR(__xludf.DUMMYFUNCTION("""COMPUTED_VALUE"""),"0730-1230")</f>
        <v>0730-1230</v>
      </c>
      <c r="L20" s="3">
        <f>IFERROR(__xludf.DUMMYFUNCTION("""COMPUTED_VALUE"""),5.0)</f>
        <v>5</v>
      </c>
      <c r="M20" s="3" t="str">
        <f>IFERROR(__xludf.DUMMYFUNCTION("""COMPUTED_VALUE"""),"น.ท.หญิง ฤทัยวรรณ นวมพันธ์")</f>
        <v>น.ท.หญิง ฤทัยวรรณ นวมพันธ์</v>
      </c>
      <c r="N20" s="14" t="str">
        <f>IFERROR(__xludf.DUMMYFUNCTION("""COMPUTED_VALUE"""),"https://lh5.googleusercontent.com/d/1K0Jx29bAzmAfT_0Y1dxEdfPOTxxojlLs")</f>
        <v>https://lh5.googleusercontent.com/d/1K0Jx29bAzmAfT_0Y1dxEdfPOTxxojlLs</v>
      </c>
      <c r="O20" s="14" t="str">
        <f>IFERROR(__xludf.DUMMYFUNCTION("""COMPUTED_VALUE"""),"https://drive.google.com/file/d/1ikHvKUrBJBIjHKSSq4vXsjfO8VxfKBBt/view?usp=drivesdk")</f>
        <v>https://drive.google.com/file/d/1ikHvKUrBJBIjHKSSq4vXsjfO8VxfKBBt/view?usp=drivesdk</v>
      </c>
    </row>
    <row r="21">
      <c r="A21" s="3">
        <f>IFERROR(__xludf.DUMMYFUNCTION("""COMPUTED_VALUE"""),70.0)</f>
        <v>70</v>
      </c>
      <c r="B21" s="11">
        <f>IFERROR(__xludf.DUMMYFUNCTION("""COMPUTED_VALUE"""),45980.850131388885)</f>
        <v>45980.85013</v>
      </c>
      <c r="C21" s="3" t="str">
        <f>IFERROR(__xludf.DUMMYFUNCTION("""COMPUTED_VALUE"""),"ชั้นปีที่ 2")</f>
        <v>ชั้นปีที่ 2</v>
      </c>
      <c r="D21" s="3" t="str">
        <f>IFERROR(__xludf.DUMMYFUNCTION("""COMPUTED_VALUE"""),"6703836")</f>
        <v>6703836</v>
      </c>
      <c r="E21" s="3" t="str">
        <f>IFERROR(__xludf.DUMMYFUNCTION("""COMPUTED_VALUE"""),"19")</f>
        <v>19</v>
      </c>
      <c r="F21" s="3" t="str">
        <f>IFERROR(__xludf.DUMMYFUNCTION("""COMPUTED_VALUE"""),"นพอ.ณัฐธิดา จันทร์อนันต์")</f>
        <v>นพอ.ณัฐธิดา จันทร์อนันต์</v>
      </c>
      <c r="G2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" s="3" t="str">
        <f>IFERROR(__xludf.DUMMYFUNCTION("""COMPUTED_VALUE"""),"กีฬาประเพณีทหาร-ตำรวจ ครั้งที่59")</f>
        <v>กีฬาประเพณีทหาร-ตำรวจ ครั้งที่59</v>
      </c>
      <c r="I21" s="3" t="str">
        <f>IFERROR(__xludf.DUMMYFUNCTION("""COMPUTED_VALUE"""),"โรงเรียนนายเรืออากาศนวมินทกษัตริยาธิราช")</f>
        <v>โรงเรียนนายเรืออากาศนวมินทกษัตริยาธิราช</v>
      </c>
      <c r="J21" s="12">
        <f>IFERROR(__xludf.DUMMYFUNCTION("""COMPUTED_VALUE"""),45841.0)</f>
        <v>45841</v>
      </c>
      <c r="K21" s="3" t="str">
        <f>IFERROR(__xludf.DUMMYFUNCTION("""COMPUTED_VALUE"""),"0800-1600")</f>
        <v>0800-1600</v>
      </c>
      <c r="L21" s="3">
        <f>IFERROR(__xludf.DUMMYFUNCTION("""COMPUTED_VALUE"""),8.0)</f>
        <v>8</v>
      </c>
      <c r="M21" s="3" t="str">
        <f>IFERROR(__xludf.DUMMYFUNCTION("""COMPUTED_VALUE"""),"ร.ต.หญิง สุริยกาล มงคลมะไฟ")</f>
        <v>ร.ต.หญิง สุริยกาล มงคลมะไฟ</v>
      </c>
      <c r="N21" s="14" t="str">
        <f>IFERROR(__xludf.DUMMYFUNCTION("""COMPUTED_VALUE"""),"https://lh5.googleusercontent.com/d/16fOCVwm_XeYilGR1cFxmQYEGh8yYQ7JI")</f>
        <v>https://lh5.googleusercontent.com/d/16fOCVwm_XeYilGR1cFxmQYEGh8yYQ7JI</v>
      </c>
      <c r="O21" s="14" t="str">
        <f>IFERROR(__xludf.DUMMYFUNCTION("""COMPUTED_VALUE"""),"https://drive.google.com/file/d/16WkorhM6UvJOyL4x-NOa6kZ_O_aFwO7u/view?usp=drivesdk")</f>
        <v>https://drive.google.com/file/d/16WkorhM6UvJOyL4x-NOa6kZ_O_aFwO7u/view?usp=drivesdk</v>
      </c>
    </row>
    <row r="22">
      <c r="A22" s="3">
        <f>IFERROR(__xludf.DUMMYFUNCTION("""COMPUTED_VALUE"""),73.0)</f>
        <v>73</v>
      </c>
      <c r="B22" s="11">
        <f>IFERROR(__xludf.DUMMYFUNCTION("""COMPUTED_VALUE"""),45980.858175960646)</f>
        <v>45980.85818</v>
      </c>
      <c r="C22" s="3" t="str">
        <f>IFERROR(__xludf.DUMMYFUNCTION("""COMPUTED_VALUE"""),"ชั้นปีที่ 2")</f>
        <v>ชั้นปีที่ 2</v>
      </c>
      <c r="D22" s="3" t="str">
        <f>IFERROR(__xludf.DUMMYFUNCTION("""COMPUTED_VALUE"""),"6703836")</f>
        <v>6703836</v>
      </c>
      <c r="E22" s="3" t="str">
        <f>IFERROR(__xludf.DUMMYFUNCTION("""COMPUTED_VALUE"""),"19")</f>
        <v>19</v>
      </c>
      <c r="F22" s="3" t="str">
        <f>IFERROR(__xludf.DUMMYFUNCTION("""COMPUTED_VALUE"""),"นพอ.ณัฐธิดา จันทร์อนันต์")</f>
        <v>นพอ.ณัฐธิดา จันทร์อนันต์</v>
      </c>
      <c r="G22" s="3" t="str">
        <f>IFERROR(__xludf.DUMMYFUNCTION("""COMPUTED_VALUE"""),"ช่วยเหลืองานภายใน วพอ.")</f>
        <v>ช่วยเหลืองานภายใน วพอ.</v>
      </c>
      <c r="H22" s="3" t="str">
        <f>IFERROR(__xludf.DUMMYFUNCTION("""COMPUTED_VALUE"""),"รับนักเรียนใหม่ ปี68")</f>
        <v>รับนักเรียนใหม่ ปี68</v>
      </c>
      <c r="I22" s="3" t="str">
        <f>IFERROR(__xludf.DUMMYFUNCTION("""COMPUTED_VALUE"""),"วิทยาลัยพยาบาลทหารอากาศ")</f>
        <v>วิทยาลัยพยาบาลทหารอากาศ</v>
      </c>
      <c r="J22" s="12">
        <f>IFERROR(__xludf.DUMMYFUNCTION("""COMPUTED_VALUE"""),45859.0)</f>
        <v>45859</v>
      </c>
      <c r="K22" s="3" t="str">
        <f>IFERROR(__xludf.DUMMYFUNCTION("""COMPUTED_VALUE"""),"0700-1500")</f>
        <v>0700-1500</v>
      </c>
      <c r="L22" s="3">
        <f>IFERROR(__xludf.DUMMYFUNCTION("""COMPUTED_VALUE"""),8.0)</f>
        <v>8</v>
      </c>
      <c r="M22" s="3" t="str">
        <f>IFERROR(__xludf.DUMMYFUNCTION("""COMPUTED_VALUE"""),"ร.อ.อนุชิต ทำจะดี")</f>
        <v>ร.อ.อนุชิต ทำจะดี</v>
      </c>
      <c r="N22" s="14" t="str">
        <f>IFERROR(__xludf.DUMMYFUNCTION("""COMPUTED_VALUE"""),"https://lh5.googleusercontent.com/d/1pririY-60-m_GGiRtSXngKCuGpo8tQe-")</f>
        <v>https://lh5.googleusercontent.com/d/1pririY-60-m_GGiRtSXngKCuGpo8tQe-</v>
      </c>
      <c r="O22" s="14" t="str">
        <f>IFERROR(__xludf.DUMMYFUNCTION("""COMPUTED_VALUE"""),"https://drive.google.com/file/d/16K3mK3K4d4y70lJLkLA4g8CY7uKbZoZo/view?usp=drivesdk")</f>
        <v>https://drive.google.com/file/d/16K3mK3K4d4y70lJLkLA4g8CY7uKbZoZo/view?usp=drivesdk</v>
      </c>
    </row>
    <row r="23">
      <c r="A23" s="3">
        <f>IFERROR(__xludf.DUMMYFUNCTION("""COMPUTED_VALUE"""),74.0)</f>
        <v>74</v>
      </c>
      <c r="B23" s="11">
        <f>IFERROR(__xludf.DUMMYFUNCTION("""COMPUTED_VALUE"""),45980.859328287035)</f>
        <v>45980.85933</v>
      </c>
      <c r="C23" s="3" t="str">
        <f>IFERROR(__xludf.DUMMYFUNCTION("""COMPUTED_VALUE"""),"ชั้นปีที่ 2")</f>
        <v>ชั้นปีที่ 2</v>
      </c>
      <c r="D23" s="3" t="str">
        <f>IFERROR(__xludf.DUMMYFUNCTION("""COMPUTED_VALUE"""),"6703861")</f>
        <v>6703861</v>
      </c>
      <c r="E23" s="3" t="str">
        <f>IFERROR(__xludf.DUMMYFUNCTION("""COMPUTED_VALUE"""),"43")</f>
        <v>43</v>
      </c>
      <c r="F23" s="3" t="str">
        <f>IFERROR(__xludf.DUMMYFUNCTION("""COMPUTED_VALUE"""),"นพอ.เพ็ญพิชชา จันทระพงษ์")</f>
        <v>นพอ.เพ็ญพิชชา จันทระพงษ์</v>
      </c>
      <c r="G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" s="3" t="str">
        <f>IFERROR(__xludf.DUMMYFUNCTION("""COMPUTED_VALUE"""),"ซ้อมร้องประสานเสียงงานคอนเสิร์ตทัพฟ้า (กองบัญชาการกองทัพอากาศ)")</f>
        <v>ซ้อมร้องประสานเสียงงานคอนเสิร์ตทัพฟ้า (กองบัญชาการกองทัพอากาศ)</v>
      </c>
      <c r="I2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3" s="12">
        <f>IFERROR(__xludf.DUMMYFUNCTION("""COMPUTED_VALUE"""),45838.0)</f>
        <v>45838</v>
      </c>
      <c r="K23" s="3" t="str">
        <f>IFERROR(__xludf.DUMMYFUNCTION("""COMPUTED_VALUE"""),"1400-2200")</f>
        <v>1400-2200</v>
      </c>
      <c r="L23" s="3">
        <f>IFERROR(__xludf.DUMMYFUNCTION("""COMPUTED_VALUE"""),8.0)</f>
        <v>8</v>
      </c>
      <c r="M23" s="3" t="str">
        <f>IFERROR(__xludf.DUMMYFUNCTION("""COMPUTED_VALUE"""),"ร.อ.อนุชิต ทำจะดี")</f>
        <v>ร.อ.อนุชิต ทำจะดี</v>
      </c>
      <c r="N23" s="14" t="str">
        <f>IFERROR(__xludf.DUMMYFUNCTION("""COMPUTED_VALUE"""),"https://lh5.googleusercontent.com/d/1tPOM9eGMAUipFuyVVyDCD-C_RSo8dLr5")</f>
        <v>https://lh5.googleusercontent.com/d/1tPOM9eGMAUipFuyVVyDCD-C_RSo8dLr5</v>
      </c>
      <c r="O23" s="14" t="str">
        <f>IFERROR(__xludf.DUMMYFUNCTION("""COMPUTED_VALUE"""),"https://drive.google.com/file/d/1GrNjqXiKhtNAWC-E0rINrPonjsYxIb7N/view?usp=drivesdk")</f>
        <v>https://drive.google.com/file/d/1GrNjqXiKhtNAWC-E0rINrPonjsYxIb7N/view?usp=drivesdk</v>
      </c>
    </row>
    <row r="24">
      <c r="A24" s="3">
        <f>IFERROR(__xludf.DUMMYFUNCTION("""COMPUTED_VALUE"""),75.0)</f>
        <v>75</v>
      </c>
      <c r="B24" s="11">
        <f>IFERROR(__xludf.DUMMYFUNCTION("""COMPUTED_VALUE"""),45980.86357626158)</f>
        <v>45980.86358</v>
      </c>
      <c r="C24" s="3" t="str">
        <f>IFERROR(__xludf.DUMMYFUNCTION("""COMPUTED_VALUE"""),"ชั้นปีที่ 2")</f>
        <v>ชั้นปีที่ 2</v>
      </c>
      <c r="D24" s="3" t="str">
        <f>IFERROR(__xludf.DUMMYFUNCTION("""COMPUTED_VALUE"""),"6703861")</f>
        <v>6703861</v>
      </c>
      <c r="E24" s="3" t="str">
        <f>IFERROR(__xludf.DUMMYFUNCTION("""COMPUTED_VALUE"""),"43")</f>
        <v>43</v>
      </c>
      <c r="F24" s="3" t="str">
        <f>IFERROR(__xludf.DUMMYFUNCTION("""COMPUTED_VALUE"""),"นพอ.เพ็ญพิชชา จันทระพงษ์")</f>
        <v>นพอ.เพ็ญพิชชา จันทระพงษ์</v>
      </c>
      <c r="G2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4" s="12">
        <f>IFERROR(__xludf.DUMMYFUNCTION("""COMPUTED_VALUE"""),45839.0)</f>
        <v>45839</v>
      </c>
      <c r="K24" s="3" t="str">
        <f>IFERROR(__xludf.DUMMYFUNCTION("""COMPUTED_VALUE"""),"1400-2200")</f>
        <v>1400-2200</v>
      </c>
      <c r="L24" s="3">
        <f>IFERROR(__xludf.DUMMYFUNCTION("""COMPUTED_VALUE"""),8.0)</f>
        <v>8</v>
      </c>
      <c r="M24" s="3" t="str">
        <f>IFERROR(__xludf.DUMMYFUNCTION("""COMPUTED_VALUE"""),"ร.อ.อนุชิต ทำจะดี")</f>
        <v>ร.อ.อนุชิต ทำจะดี</v>
      </c>
      <c r="N24" s="14" t="str">
        <f>IFERROR(__xludf.DUMMYFUNCTION("""COMPUTED_VALUE"""),"https://lh5.googleusercontent.com/d/1Dlj57REotQ9D4cDKG6q-ngYGf8lGAVB6")</f>
        <v>https://lh5.googleusercontent.com/d/1Dlj57REotQ9D4cDKG6q-ngYGf8lGAVB6</v>
      </c>
      <c r="O24" s="14" t="str">
        <f>IFERROR(__xludf.DUMMYFUNCTION("""COMPUTED_VALUE"""),"https://drive.google.com/file/d/1mL9V4_7bW-lpyRHKqcPod0FeTpsAtf3i/view?usp=drivesdk")</f>
        <v>https://drive.google.com/file/d/1mL9V4_7bW-lpyRHKqcPod0FeTpsAtf3i/view?usp=drivesdk</v>
      </c>
    </row>
    <row r="25">
      <c r="A25" s="3">
        <f>IFERROR(__xludf.DUMMYFUNCTION("""COMPUTED_VALUE"""),93.0)</f>
        <v>93</v>
      </c>
      <c r="B25" s="11">
        <f>IFERROR(__xludf.DUMMYFUNCTION("""COMPUTED_VALUE"""),45981.31983555556)</f>
        <v>45981.31984</v>
      </c>
      <c r="C25" s="3" t="str">
        <f>IFERROR(__xludf.DUMMYFUNCTION("""COMPUTED_VALUE"""),"ชั้นปีที่ 2")</f>
        <v>ชั้นปีที่ 2</v>
      </c>
      <c r="D25" s="3" t="str">
        <f>IFERROR(__xludf.DUMMYFUNCTION("""COMPUTED_VALUE"""),"6703878")</f>
        <v>6703878</v>
      </c>
      <c r="E25" s="3" t="str">
        <f>IFERROR(__xludf.DUMMYFUNCTION("""COMPUTED_VALUE"""),"59")</f>
        <v>59</v>
      </c>
      <c r="F25" s="3" t="str">
        <f>IFERROR(__xludf.DUMMYFUNCTION("""COMPUTED_VALUE"""),"นพอ.สุชาสินี ป้อมพยัคฆ์")</f>
        <v>นพอ.สุชาสินี ป้อมพยัคฆ์</v>
      </c>
      <c r="G25" s="3" t="str">
        <f>IFERROR(__xludf.DUMMYFUNCTION("""COMPUTED_VALUE"""),"ช่วยเหลืองานภายใน วพอ.")</f>
        <v>ช่วยเหลืองานภายใน วพอ.</v>
      </c>
      <c r="H25" s="3" t="str">
        <f>IFERROR(__xludf.DUMMYFUNCTION("""COMPUTED_VALUE"""),"รับนักเรียนใหม่")</f>
        <v>รับนักเรียนใหม่</v>
      </c>
      <c r="I25" s="3" t="str">
        <f>IFERROR(__xludf.DUMMYFUNCTION("""COMPUTED_VALUE"""),"วพอ.พอ.")</f>
        <v>วพอ.พอ.</v>
      </c>
      <c r="J25" s="12">
        <f>IFERROR(__xludf.DUMMYFUNCTION("""COMPUTED_VALUE"""),45859.0)</f>
        <v>45859</v>
      </c>
      <c r="K25" s="3" t="str">
        <f>IFERROR(__xludf.DUMMYFUNCTION("""COMPUTED_VALUE"""),"0700-1500")</f>
        <v>0700-1500</v>
      </c>
      <c r="L25" s="3">
        <f>IFERROR(__xludf.DUMMYFUNCTION("""COMPUTED_VALUE"""),8.0)</f>
        <v>8</v>
      </c>
      <c r="M25" s="3" t="str">
        <f>IFERROR(__xludf.DUMMYFUNCTION("""COMPUTED_VALUE"""),"ร.อ.อนุชิต ทำจะดี")</f>
        <v>ร.อ.อนุชิต ทำจะดี</v>
      </c>
      <c r="N25" s="14" t="str">
        <f>IFERROR(__xludf.DUMMYFUNCTION("""COMPUTED_VALUE"""),"https://lh5.googleusercontent.com/d/1ewMCwp-rlMI6sOZv8-AUq9oLO39snH99")</f>
        <v>https://lh5.googleusercontent.com/d/1ewMCwp-rlMI6sOZv8-AUq9oLO39snH99</v>
      </c>
      <c r="O25" s="14" t="str">
        <f>IFERROR(__xludf.DUMMYFUNCTION("""COMPUTED_VALUE"""),"https://drive.google.com/file/d/1juZZ79czR7y9c3V9NqBMLX3KbYT7JYHi/view?usp=drivesdk")</f>
        <v>https://drive.google.com/file/d/1juZZ79czR7y9c3V9NqBMLX3KbYT7JYHi/view?usp=drivesdk</v>
      </c>
    </row>
    <row r="26">
      <c r="A26" s="3">
        <f>IFERROR(__xludf.DUMMYFUNCTION("""COMPUTED_VALUE"""),94.0)</f>
        <v>94</v>
      </c>
      <c r="B26" s="11">
        <f>IFERROR(__xludf.DUMMYFUNCTION("""COMPUTED_VALUE"""),45981.32150460648)</f>
        <v>45981.3215</v>
      </c>
      <c r="C26" s="3" t="str">
        <f>IFERROR(__xludf.DUMMYFUNCTION("""COMPUTED_VALUE"""),"ชั้นปีที่ 2")</f>
        <v>ชั้นปีที่ 2</v>
      </c>
      <c r="D26" s="3" t="str">
        <f>IFERROR(__xludf.DUMMYFUNCTION("""COMPUTED_VALUE"""),"6703862")</f>
        <v>6703862</v>
      </c>
      <c r="E26" s="3" t="str">
        <f>IFERROR(__xludf.DUMMYFUNCTION("""COMPUTED_VALUE"""),"44")</f>
        <v>44</v>
      </c>
      <c r="F26" s="3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2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" s="3" t="str">
        <f>IFERROR(__xludf.DUMMYFUNCTION("""COMPUTED_VALUE"""),"ซ้อมร้องประสานเสียงงานคอนเสิร์ตทัพฟ้า (ดุริยางค์ทหารอากาศ)")</f>
        <v>ซ้อมร้องประสานเสียงงานคอนเสิร์ตทัพฟ้า (ดุริยางค์ทหารอากาศ)</v>
      </c>
      <c r="I26" s="3" t="str">
        <f>IFERROR(__xludf.DUMMYFUNCTION("""COMPUTED_VALUE"""),"กองดุริยางค์ทหารอากาศ")</f>
        <v>กองดุริยางค์ทหารอากาศ</v>
      </c>
      <c r="J26" s="12">
        <f>IFERROR(__xludf.DUMMYFUNCTION("""COMPUTED_VALUE"""),45825.0)</f>
        <v>45825</v>
      </c>
      <c r="K26" s="3" t="str">
        <f>IFERROR(__xludf.DUMMYFUNCTION("""COMPUTED_VALUE"""),"0800-1600")</f>
        <v>0800-1600</v>
      </c>
      <c r="L26" s="3">
        <f>IFERROR(__xludf.DUMMYFUNCTION("""COMPUTED_VALUE"""),8.0)</f>
        <v>8</v>
      </c>
      <c r="M26" s="3" t="str">
        <f>IFERROR(__xludf.DUMMYFUNCTION("""COMPUTED_VALUE"""),"ร.อ.อนุชิต ทำจะดี")</f>
        <v>ร.อ.อนุชิต ทำจะดี</v>
      </c>
      <c r="N26" s="14" t="str">
        <f>IFERROR(__xludf.DUMMYFUNCTION("""COMPUTED_VALUE"""),"https://lh5.googleusercontent.com/d/10IZKc7_GD1h5u7WUuQHO1hq6TB_9D8YE")</f>
        <v>https://lh5.googleusercontent.com/d/10IZKc7_GD1h5u7WUuQHO1hq6TB_9D8YE</v>
      </c>
      <c r="O26" s="14" t="str">
        <f>IFERROR(__xludf.DUMMYFUNCTION("""COMPUTED_VALUE"""),"https://drive.google.com/file/d/11C3PuujPrceK0qaiDWuphNrPcrKRhbop/view?usp=drivesdk")</f>
        <v>https://drive.google.com/file/d/11C3PuujPrceK0qaiDWuphNrPcrKRhbop/view?usp=drivesdk</v>
      </c>
    </row>
    <row r="27">
      <c r="A27" s="3">
        <f>IFERROR(__xludf.DUMMYFUNCTION("""COMPUTED_VALUE"""),95.0)</f>
        <v>95</v>
      </c>
      <c r="B27" s="11">
        <f>IFERROR(__xludf.DUMMYFUNCTION("""COMPUTED_VALUE"""),45981.322081620376)</f>
        <v>45981.32208</v>
      </c>
      <c r="C27" s="3" t="str">
        <f>IFERROR(__xludf.DUMMYFUNCTION("""COMPUTED_VALUE"""),"ชั้นปีที่ 2")</f>
        <v>ชั้นปีที่ 2</v>
      </c>
      <c r="D27" s="3" t="str">
        <f>IFERROR(__xludf.DUMMYFUNCTION("""COMPUTED_VALUE"""),"6703878")</f>
        <v>6703878</v>
      </c>
      <c r="E27" s="3" t="str">
        <f>IFERROR(__xludf.DUMMYFUNCTION("""COMPUTED_VALUE"""),"59")</f>
        <v>59</v>
      </c>
      <c r="F27" s="3" t="str">
        <f>IFERROR(__xludf.DUMMYFUNCTION("""COMPUTED_VALUE"""),"นพอ.สุชาสินี ป้อมพยัคฆ์")</f>
        <v>นพอ.สุชาสินี ป้อมพยัคฆ์</v>
      </c>
      <c r="G2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" s="12">
        <f>IFERROR(__xludf.DUMMYFUNCTION("""COMPUTED_VALUE"""),45839.0)</f>
        <v>45839</v>
      </c>
      <c r="K27" s="3" t="str">
        <f>IFERROR(__xludf.DUMMYFUNCTION("""COMPUTED_VALUE"""),"1400-2200")</f>
        <v>1400-2200</v>
      </c>
      <c r="L27" s="3">
        <f>IFERROR(__xludf.DUMMYFUNCTION("""COMPUTED_VALUE"""),8.0)</f>
        <v>8</v>
      </c>
      <c r="M27" s="3" t="str">
        <f>IFERROR(__xludf.DUMMYFUNCTION("""COMPUTED_VALUE"""),"ร.อ.อนุชิต ทำจะดี")</f>
        <v>ร.อ.อนุชิต ทำจะดี</v>
      </c>
      <c r="N27" s="14" t="str">
        <f>IFERROR(__xludf.DUMMYFUNCTION("""COMPUTED_VALUE"""),"https://lh5.googleusercontent.com/d/1nmUOY9I9VgCseEwO3AbdYBnJ__z9fvhT")</f>
        <v>https://lh5.googleusercontent.com/d/1nmUOY9I9VgCseEwO3AbdYBnJ__z9fvhT</v>
      </c>
      <c r="O27" s="14" t="str">
        <f>IFERROR(__xludf.DUMMYFUNCTION("""COMPUTED_VALUE"""),"https://drive.google.com/file/d/18mmIqD_PfkLcqt085K-RkdmVzenax19G/view?usp=drivesdk")</f>
        <v>https://drive.google.com/file/d/18mmIqD_PfkLcqt085K-RkdmVzenax19G/view?usp=drivesdk</v>
      </c>
    </row>
    <row r="28">
      <c r="A28" s="3">
        <f>IFERROR(__xludf.DUMMYFUNCTION("""COMPUTED_VALUE"""),96.0)</f>
        <v>96</v>
      </c>
      <c r="B28" s="11">
        <f>IFERROR(__xludf.DUMMYFUNCTION("""COMPUTED_VALUE"""),45981.32419186342)</f>
        <v>45981.32419</v>
      </c>
      <c r="C28" s="3" t="str">
        <f>IFERROR(__xludf.DUMMYFUNCTION("""COMPUTED_VALUE"""),"ชั้นปีที่ 2")</f>
        <v>ชั้นปีที่ 2</v>
      </c>
      <c r="D28" s="3" t="str">
        <f>IFERROR(__xludf.DUMMYFUNCTION("""COMPUTED_VALUE"""),"6703878")</f>
        <v>6703878</v>
      </c>
      <c r="E28" s="3" t="str">
        <f>IFERROR(__xludf.DUMMYFUNCTION("""COMPUTED_VALUE"""),"59")</f>
        <v>59</v>
      </c>
      <c r="F28" s="3" t="str">
        <f>IFERROR(__xludf.DUMMYFUNCTION("""COMPUTED_VALUE"""),"นพอ.สุชาสินี ป้อมพยัคฆ์")</f>
        <v>นพอ.สุชาสินี ป้อมพยัคฆ์</v>
      </c>
      <c r="G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" s="12">
        <f>IFERROR(__xludf.DUMMYFUNCTION("""COMPUTED_VALUE"""),45840.0)</f>
        <v>45840</v>
      </c>
      <c r="K28" s="3" t="str">
        <f>IFERROR(__xludf.DUMMYFUNCTION("""COMPUTED_VALUE"""),"1400-2200")</f>
        <v>1400-2200</v>
      </c>
      <c r="L28" s="3">
        <f>IFERROR(__xludf.DUMMYFUNCTION("""COMPUTED_VALUE"""),8.0)</f>
        <v>8</v>
      </c>
      <c r="M28" s="3" t="str">
        <f>IFERROR(__xludf.DUMMYFUNCTION("""COMPUTED_VALUE"""),"ร.อ.อนุชิต ทำจะดี")</f>
        <v>ร.อ.อนุชิต ทำจะดี</v>
      </c>
      <c r="N28" s="14" t="str">
        <f>IFERROR(__xludf.DUMMYFUNCTION("""COMPUTED_VALUE"""),"https://lh5.googleusercontent.com/d/1ObrArqz13tf3TQk3pCQpVTI2BLG5Fs44")</f>
        <v>https://lh5.googleusercontent.com/d/1ObrArqz13tf3TQk3pCQpVTI2BLG5Fs44</v>
      </c>
      <c r="O28" s="14" t="str">
        <f>IFERROR(__xludf.DUMMYFUNCTION("""COMPUTED_VALUE"""),"https://drive.google.com/file/d/1wYk0oVHgMMuUzYfWgFHJNngRTm6LMG3S/view?usp=drivesdk")</f>
        <v>https://drive.google.com/file/d/1wYk0oVHgMMuUzYfWgFHJNngRTm6LMG3S/view?usp=drivesdk</v>
      </c>
    </row>
    <row r="29">
      <c r="A29" s="3">
        <f>IFERROR(__xludf.DUMMYFUNCTION("""COMPUTED_VALUE"""),104.0)</f>
        <v>104</v>
      </c>
      <c r="B29" s="11">
        <f>IFERROR(__xludf.DUMMYFUNCTION("""COMPUTED_VALUE"""),45981.357946192125)</f>
        <v>45981.35795</v>
      </c>
      <c r="C29" s="3" t="str">
        <f>IFERROR(__xludf.DUMMYFUNCTION("""COMPUTED_VALUE"""),"ชั้นปีที่ 2")</f>
        <v>ชั้นปีที่ 2</v>
      </c>
      <c r="D29" s="3" t="str">
        <f>IFERROR(__xludf.DUMMYFUNCTION("""COMPUTED_VALUE"""),"6703875")</f>
        <v>6703875</v>
      </c>
      <c r="E29" s="3" t="str">
        <f>IFERROR(__xludf.DUMMYFUNCTION("""COMPUTED_VALUE"""),"56")</f>
        <v>56</v>
      </c>
      <c r="F29" s="3" t="str">
        <f>IFERROR(__xludf.DUMMYFUNCTION("""COMPUTED_VALUE"""),"นพอ.สิริณัฏฐ์ บรรจงพินิจ")</f>
        <v>นพอ.สิริณัฏฐ์ บรรจงพินิจ</v>
      </c>
      <c r="G2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9" s="3" t="str">
        <f>IFERROR(__xludf.DUMMYFUNCTION("""COMPUTED_VALUE"""),"ดุริยางค์ทหารอากาศ")</f>
        <v>ดุริยางค์ทหารอากาศ</v>
      </c>
      <c r="J29" s="12">
        <f>IFERROR(__xludf.DUMMYFUNCTION("""COMPUTED_VALUE"""),45825.0)</f>
        <v>45825</v>
      </c>
      <c r="K29" s="3" t="str">
        <f>IFERROR(__xludf.DUMMYFUNCTION("""COMPUTED_VALUE"""),"0800-1600")</f>
        <v>0800-1600</v>
      </c>
      <c r="L29" s="3">
        <f>IFERROR(__xludf.DUMMYFUNCTION("""COMPUTED_VALUE"""),8.0)</f>
        <v>8</v>
      </c>
      <c r="M29" s="3" t="str">
        <f>IFERROR(__xludf.DUMMYFUNCTION("""COMPUTED_VALUE"""),"ร.อ.อนุชิต ทำจะดี")</f>
        <v>ร.อ.อนุชิต ทำจะดี</v>
      </c>
      <c r="N29" s="14" t="str">
        <f>IFERROR(__xludf.DUMMYFUNCTION("""COMPUTED_VALUE"""),"https://lh5.googleusercontent.com/d/1_6Bjxgc4hL7jt53-UUGGFbdYDsk6Q21d")</f>
        <v>https://lh5.googleusercontent.com/d/1_6Bjxgc4hL7jt53-UUGGFbdYDsk6Q21d</v>
      </c>
      <c r="O29" s="14" t="str">
        <f>IFERROR(__xludf.DUMMYFUNCTION("""COMPUTED_VALUE"""),"https://drive.google.com/file/d/10UlmbKAU7D19shN0UaKPRHmV-8FdL3H0/view?usp=drivesdk")</f>
        <v>https://drive.google.com/file/d/10UlmbKAU7D19shN0UaKPRHmV-8FdL3H0/view?usp=drivesdk</v>
      </c>
    </row>
    <row r="30">
      <c r="A30" s="3">
        <f>IFERROR(__xludf.DUMMYFUNCTION("""COMPUTED_VALUE"""),116.0)</f>
        <v>116</v>
      </c>
      <c r="B30" s="11">
        <f>IFERROR(__xludf.DUMMYFUNCTION("""COMPUTED_VALUE"""),45981.48640465278)</f>
        <v>45981.4864</v>
      </c>
      <c r="C30" s="3" t="str">
        <f>IFERROR(__xludf.DUMMYFUNCTION("""COMPUTED_VALUE"""),"ชั้นปีที่ 2")</f>
        <v>ชั้นปีที่ 2</v>
      </c>
      <c r="D30" s="3" t="str">
        <f>IFERROR(__xludf.DUMMYFUNCTION("""COMPUTED_VALUE"""),"6703862")</f>
        <v>6703862</v>
      </c>
      <c r="E30" s="3" t="str">
        <f>IFERROR(__xludf.DUMMYFUNCTION("""COMPUTED_VALUE"""),"44")</f>
        <v>44</v>
      </c>
      <c r="F30" s="3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3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0" s="3" t="str">
        <f>IFERROR(__xludf.DUMMYFUNCTION("""COMPUTED_VALUE"""),"กองบัญชาการกองทัพอากาศ")</f>
        <v>กองบัญชาการกองทัพอากาศ</v>
      </c>
      <c r="J30" s="12">
        <f>IFERROR(__xludf.DUMMYFUNCTION("""COMPUTED_VALUE"""),45833.0)</f>
        <v>45833</v>
      </c>
      <c r="K30" s="3" t="str">
        <f>IFERROR(__xludf.DUMMYFUNCTION("""COMPUTED_VALUE"""),"0800-1600")</f>
        <v>0800-1600</v>
      </c>
      <c r="L30" s="3">
        <f>IFERROR(__xludf.DUMMYFUNCTION("""COMPUTED_VALUE"""),8.0)</f>
        <v>8</v>
      </c>
      <c r="M30" s="3" t="str">
        <f>IFERROR(__xludf.DUMMYFUNCTION("""COMPUTED_VALUE"""),"ร.อ.อนุชิต ทำจะดี")</f>
        <v>ร.อ.อนุชิต ทำจะดี</v>
      </c>
      <c r="N30" s="14" t="str">
        <f>IFERROR(__xludf.DUMMYFUNCTION("""COMPUTED_VALUE"""),"https://lh5.googleusercontent.com/d/12p33K5ine2GuxqWLMuC-MNVWtueug_a7")</f>
        <v>https://lh5.googleusercontent.com/d/12p33K5ine2GuxqWLMuC-MNVWtueug_a7</v>
      </c>
      <c r="O30" s="14" t="str">
        <f>IFERROR(__xludf.DUMMYFUNCTION("""COMPUTED_VALUE"""),"https://drive.google.com/file/d/1Y1mo4XglJl5NusUAQRkrybWVaIAY2PjI/view?usp=drivesdk")</f>
        <v>https://drive.google.com/file/d/1Y1mo4XglJl5NusUAQRkrybWVaIAY2PjI/view?usp=drivesdk</v>
      </c>
    </row>
    <row r="31">
      <c r="A31" s="3">
        <f>IFERROR(__xludf.DUMMYFUNCTION("""COMPUTED_VALUE"""),117.0)</f>
        <v>117</v>
      </c>
      <c r="B31" s="11">
        <f>IFERROR(__xludf.DUMMYFUNCTION("""COMPUTED_VALUE"""),45981.48968430556)</f>
        <v>45981.48968</v>
      </c>
      <c r="C31" s="3" t="str">
        <f>IFERROR(__xludf.DUMMYFUNCTION("""COMPUTED_VALUE"""),"ชั้นปีที่ 2")</f>
        <v>ชั้นปีที่ 2</v>
      </c>
      <c r="D31" s="3" t="str">
        <f>IFERROR(__xludf.DUMMYFUNCTION("""COMPUTED_VALUE"""),"6703862")</f>
        <v>6703862</v>
      </c>
      <c r="E31" s="3" t="str">
        <f>IFERROR(__xludf.DUMMYFUNCTION("""COMPUTED_VALUE"""),"44")</f>
        <v>44</v>
      </c>
      <c r="F31" s="3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" s="12">
        <f>IFERROR(__xludf.DUMMYFUNCTION("""COMPUTED_VALUE"""),45838.0)</f>
        <v>45838</v>
      </c>
      <c r="K31" s="3" t="str">
        <f>IFERROR(__xludf.DUMMYFUNCTION("""COMPUTED_VALUE"""),"1400-2200")</f>
        <v>1400-2200</v>
      </c>
      <c r="L31" s="3">
        <f>IFERROR(__xludf.DUMMYFUNCTION("""COMPUTED_VALUE"""),8.0)</f>
        <v>8</v>
      </c>
      <c r="M31" s="3" t="str">
        <f>IFERROR(__xludf.DUMMYFUNCTION("""COMPUTED_VALUE"""),"ร.อ.อนุชิต ทำจะดี")</f>
        <v>ร.อ.อนุชิต ทำจะดี</v>
      </c>
      <c r="N31" s="14" t="str">
        <f>IFERROR(__xludf.DUMMYFUNCTION("""COMPUTED_VALUE"""),"https://lh5.googleusercontent.com/d/1VHYosnsqewod1845-ypEo1Yv7DlWHFgG")</f>
        <v>https://lh5.googleusercontent.com/d/1VHYosnsqewod1845-ypEo1Yv7DlWHFgG</v>
      </c>
      <c r="O31" s="14" t="str">
        <f>IFERROR(__xludf.DUMMYFUNCTION("""COMPUTED_VALUE"""),"https://drive.google.com/file/d/1bnysBCGV4e1xSDXT0JXQcGQ_JUhXKnVn/view?usp=drivesdk")</f>
        <v>https://drive.google.com/file/d/1bnysBCGV4e1xSDXT0JXQcGQ_JUhXKnVn/view?usp=drivesdk</v>
      </c>
    </row>
    <row r="32">
      <c r="A32" s="3">
        <f>IFERROR(__xludf.DUMMYFUNCTION("""COMPUTED_VALUE"""),118.0)</f>
        <v>118</v>
      </c>
      <c r="B32" s="11">
        <f>IFERROR(__xludf.DUMMYFUNCTION("""COMPUTED_VALUE"""),45981.4926528125)</f>
        <v>45981.49265</v>
      </c>
      <c r="C32" s="3" t="str">
        <f>IFERROR(__xludf.DUMMYFUNCTION("""COMPUTED_VALUE"""),"ชั้นปีที่ 2")</f>
        <v>ชั้นปีที่ 2</v>
      </c>
      <c r="D32" s="3" t="str">
        <f>IFERROR(__xludf.DUMMYFUNCTION("""COMPUTED_VALUE"""),"6703862")</f>
        <v>6703862</v>
      </c>
      <c r="E32" s="3" t="str">
        <f>IFERROR(__xludf.DUMMYFUNCTION("""COMPUTED_VALUE"""),"44")</f>
        <v>44</v>
      </c>
      <c r="F32" s="3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" s="12">
        <f>IFERROR(__xludf.DUMMYFUNCTION("""COMPUTED_VALUE"""),45839.0)</f>
        <v>45839</v>
      </c>
      <c r="K32" s="3" t="str">
        <f>IFERROR(__xludf.DUMMYFUNCTION("""COMPUTED_VALUE"""),"1400-2200")</f>
        <v>1400-2200</v>
      </c>
      <c r="L32" s="3">
        <f>IFERROR(__xludf.DUMMYFUNCTION("""COMPUTED_VALUE"""),8.0)</f>
        <v>8</v>
      </c>
      <c r="M32" s="3" t="str">
        <f>IFERROR(__xludf.DUMMYFUNCTION("""COMPUTED_VALUE"""),"ร.อ.อนุชิต ทำจะดี")</f>
        <v>ร.อ.อนุชิต ทำจะดี</v>
      </c>
      <c r="N32" s="14" t="str">
        <f>IFERROR(__xludf.DUMMYFUNCTION("""COMPUTED_VALUE"""),"https://lh5.googleusercontent.com/d/1JcObjO7cCvaXXhe7cEvrHj6wEECNQSX2")</f>
        <v>https://lh5.googleusercontent.com/d/1JcObjO7cCvaXXhe7cEvrHj6wEECNQSX2</v>
      </c>
      <c r="O32" s="14" t="str">
        <f>IFERROR(__xludf.DUMMYFUNCTION("""COMPUTED_VALUE"""),"https://drive.google.com/file/d/1Hi7HrmmbkW9swminfonNE2nmlB8k16OO/view?usp=drivesdk")</f>
        <v>https://drive.google.com/file/d/1Hi7HrmmbkW9swminfonNE2nmlB8k16OO/view?usp=drivesdk</v>
      </c>
    </row>
    <row r="33">
      <c r="A33" s="3">
        <f>IFERROR(__xludf.DUMMYFUNCTION("""COMPUTED_VALUE"""),119.0)</f>
        <v>119</v>
      </c>
      <c r="B33" s="11">
        <f>IFERROR(__xludf.DUMMYFUNCTION("""COMPUTED_VALUE"""),45981.49331637732)</f>
        <v>45981.49332</v>
      </c>
      <c r="C33" s="3" t="str">
        <f>IFERROR(__xludf.DUMMYFUNCTION("""COMPUTED_VALUE"""),"ชั้นปีที่ 2")</f>
        <v>ชั้นปีที่ 2</v>
      </c>
      <c r="D33" s="3" t="str">
        <f>IFERROR(__xludf.DUMMYFUNCTION("""COMPUTED_VALUE"""),"6703875")</f>
        <v>6703875</v>
      </c>
      <c r="E33" s="3" t="str">
        <f>IFERROR(__xludf.DUMMYFUNCTION("""COMPUTED_VALUE"""),"56")</f>
        <v>56</v>
      </c>
      <c r="F33" s="3" t="str">
        <f>IFERROR(__xludf.DUMMYFUNCTION("""COMPUTED_VALUE"""),"นพอ.สิริณัฏฐ์ บรรจงพินิจ")</f>
        <v>นพอ.สิริณัฏฐ์ บรรจงพินิจ</v>
      </c>
      <c r="G3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3" s="3" t="str">
        <f>IFERROR(__xludf.DUMMYFUNCTION("""COMPUTED_VALUE"""),"กองบัญชาการกองทัพอากาศ")</f>
        <v>กองบัญชาการกองทัพอากาศ</v>
      </c>
      <c r="J33" s="12">
        <f>IFERROR(__xludf.DUMMYFUNCTION("""COMPUTED_VALUE"""),45986.0)</f>
        <v>45986</v>
      </c>
      <c r="K33" s="3" t="str">
        <f>IFERROR(__xludf.DUMMYFUNCTION("""COMPUTED_VALUE"""),"0800-1600")</f>
        <v>0800-1600</v>
      </c>
      <c r="L33" s="3">
        <f>IFERROR(__xludf.DUMMYFUNCTION("""COMPUTED_VALUE"""),8.0)</f>
        <v>8</v>
      </c>
      <c r="M33" s="3" t="str">
        <f>IFERROR(__xludf.DUMMYFUNCTION("""COMPUTED_VALUE"""),"ร.อ.อนุชิต ทำจะดี")</f>
        <v>ร.อ.อนุชิต ทำจะดี</v>
      </c>
      <c r="N33" s="14" t="str">
        <f>IFERROR(__xludf.DUMMYFUNCTION("""COMPUTED_VALUE"""),"https://lh5.googleusercontent.com/d/1YV16oS-jvU3k-8eSPD_6WsXae0xlxmap")</f>
        <v>https://lh5.googleusercontent.com/d/1YV16oS-jvU3k-8eSPD_6WsXae0xlxmap</v>
      </c>
      <c r="O33" s="14" t="str">
        <f>IFERROR(__xludf.DUMMYFUNCTION("""COMPUTED_VALUE"""),"https://drive.google.com/file/d/1CaSd0Qal2dDxXB8xtf4D3CKEvOFa9LBN/view?usp=drivesdk")</f>
        <v>https://drive.google.com/file/d/1CaSd0Qal2dDxXB8xtf4D3CKEvOFa9LBN/view?usp=drivesdk</v>
      </c>
    </row>
    <row r="34">
      <c r="A34" s="3">
        <f>IFERROR(__xludf.DUMMYFUNCTION("""COMPUTED_VALUE"""),120.0)</f>
        <v>120</v>
      </c>
      <c r="B34" s="11">
        <f>IFERROR(__xludf.DUMMYFUNCTION("""COMPUTED_VALUE"""),45981.49697799769)</f>
        <v>45981.49698</v>
      </c>
      <c r="C34" s="3" t="str">
        <f>IFERROR(__xludf.DUMMYFUNCTION("""COMPUTED_VALUE"""),"ชั้นปีที่ 2")</f>
        <v>ชั้นปีที่ 2</v>
      </c>
      <c r="D34" s="3" t="str">
        <f>IFERROR(__xludf.DUMMYFUNCTION("""COMPUTED_VALUE"""),"6803829")</f>
        <v>6803829</v>
      </c>
      <c r="E34" s="3" t="str">
        <f>IFERROR(__xludf.DUMMYFUNCTION("""COMPUTED_VALUE"""),"12")</f>
        <v>12</v>
      </c>
      <c r="F34" s="3" t="str">
        <f>IFERROR(__xludf.DUMMYFUNCTION("""COMPUTED_VALUE"""),"นพอ.ชัญญาพัฒน์ ทัศนวิภาส")</f>
        <v>นพอ.ชัญญาพัฒน์ ทัศนวิภาส</v>
      </c>
      <c r="G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" s="12">
        <f>IFERROR(__xludf.DUMMYFUNCTION("""COMPUTED_VALUE"""),45839.0)</f>
        <v>45839</v>
      </c>
      <c r="K34" s="3" t="str">
        <f>IFERROR(__xludf.DUMMYFUNCTION("""COMPUTED_VALUE"""),"1400-2200")</f>
        <v>1400-2200</v>
      </c>
      <c r="L34" s="3">
        <f>IFERROR(__xludf.DUMMYFUNCTION("""COMPUTED_VALUE"""),8.0)</f>
        <v>8</v>
      </c>
      <c r="M34" s="3" t="str">
        <f>IFERROR(__xludf.DUMMYFUNCTION("""COMPUTED_VALUE"""),"ร.อ.อนุชิต ทำจะดี")</f>
        <v>ร.อ.อนุชิต ทำจะดี</v>
      </c>
      <c r="N34" s="14" t="str">
        <f>IFERROR(__xludf.DUMMYFUNCTION("""COMPUTED_VALUE"""),"https://lh5.googleusercontent.com/d/1_3aqcPVeinqjAVCsNfB3zIqHXP8qZ4Hl")</f>
        <v>https://lh5.googleusercontent.com/d/1_3aqcPVeinqjAVCsNfB3zIqHXP8qZ4Hl</v>
      </c>
      <c r="O34" s="14" t="str">
        <f>IFERROR(__xludf.DUMMYFUNCTION("""COMPUTED_VALUE"""),"https://drive.google.com/file/d/1l-0HXBZxwxCQ4s65WojWTkLoFWwKqdKm/view?usp=drivesdk")</f>
        <v>https://drive.google.com/file/d/1l-0HXBZxwxCQ4s65WojWTkLoFWwKqdKm/view?usp=drivesdk</v>
      </c>
    </row>
    <row r="35">
      <c r="A35" s="3">
        <f>IFERROR(__xludf.DUMMYFUNCTION("""COMPUTED_VALUE"""),171.0)</f>
        <v>171</v>
      </c>
      <c r="B35" s="11">
        <f>IFERROR(__xludf.DUMMYFUNCTION("""COMPUTED_VALUE"""),45982.35355019676)</f>
        <v>45982.35355</v>
      </c>
      <c r="C35" s="3" t="str">
        <f>IFERROR(__xludf.DUMMYFUNCTION("""COMPUTED_VALUE"""),"ชั้นปีที่ 2")</f>
        <v>ชั้นปีที่ 2</v>
      </c>
      <c r="D35" s="3" t="str">
        <f>IFERROR(__xludf.DUMMYFUNCTION("""COMPUTED_VALUE"""),"6703875")</f>
        <v>6703875</v>
      </c>
      <c r="E35" s="3" t="str">
        <f>IFERROR(__xludf.DUMMYFUNCTION("""COMPUTED_VALUE"""),"56")</f>
        <v>56</v>
      </c>
      <c r="F35" s="3" t="str">
        <f>IFERROR(__xludf.DUMMYFUNCTION("""COMPUTED_VALUE"""),"นพอ.สิริณัฏฐ์ บรรจงพินิจ")</f>
        <v>นพอ.สิริณัฏฐ์ บรรจงพินิจ</v>
      </c>
      <c r="G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" s="3" t="str">
        <f>IFERROR(__xludf.DUMMYFUNCTION("""COMPUTED_VALUE"""),"ซ้อนร้องประสานเสียงงานคอนเสิร์ตทัพฟ้ส")</f>
        <v>ซ้อนร้องประสานเสียงงานคอนเสิร์ตทัพฟ้ส</v>
      </c>
      <c r="I3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" s="12">
        <f>IFERROR(__xludf.DUMMYFUNCTION("""COMPUTED_VALUE"""),45838.0)</f>
        <v>45838</v>
      </c>
      <c r="K35" s="3" t="str">
        <f>IFERROR(__xludf.DUMMYFUNCTION("""COMPUTED_VALUE"""),"1400-2200")</f>
        <v>1400-2200</v>
      </c>
      <c r="L35" s="3">
        <f>IFERROR(__xludf.DUMMYFUNCTION("""COMPUTED_VALUE"""),8.0)</f>
        <v>8</v>
      </c>
      <c r="M35" s="3" t="str">
        <f>IFERROR(__xludf.DUMMYFUNCTION("""COMPUTED_VALUE"""),"ร.อ.อนุชิต ทำจะดี")</f>
        <v>ร.อ.อนุชิต ทำจะดี</v>
      </c>
      <c r="N35" s="14" t="str">
        <f>IFERROR(__xludf.DUMMYFUNCTION("""COMPUTED_VALUE"""),"https://lh5.googleusercontent.com/d/1qyyUtDZhtjq7WU11x0aXsZEbF96H61en")</f>
        <v>https://lh5.googleusercontent.com/d/1qyyUtDZhtjq7WU11x0aXsZEbF96H61en</v>
      </c>
      <c r="O35" s="14" t="str">
        <f>IFERROR(__xludf.DUMMYFUNCTION("""COMPUTED_VALUE"""),"https://drive.google.com/file/d/1t8IyX1nZlkYnjPDADxFvFzhhWObIJQED/view?usp=drivesdk")</f>
        <v>https://drive.google.com/file/d/1t8IyX1nZlkYnjPDADxFvFzhhWObIJQED/view?usp=drivesdk</v>
      </c>
    </row>
    <row r="36">
      <c r="A36" s="3">
        <f>IFERROR(__xludf.DUMMYFUNCTION("""COMPUTED_VALUE"""),172.0)</f>
        <v>172</v>
      </c>
      <c r="B36" s="11">
        <f>IFERROR(__xludf.DUMMYFUNCTION("""COMPUTED_VALUE"""),45982.3579009375)</f>
        <v>45982.3579</v>
      </c>
      <c r="C36" s="3" t="str">
        <f>IFERROR(__xludf.DUMMYFUNCTION("""COMPUTED_VALUE"""),"ชั้นปีที่ 2")</f>
        <v>ชั้นปีที่ 2</v>
      </c>
      <c r="D36" s="3" t="str">
        <f>IFERROR(__xludf.DUMMYFUNCTION("""COMPUTED_VALUE"""),"6703875")</f>
        <v>6703875</v>
      </c>
      <c r="E36" s="3" t="str">
        <f>IFERROR(__xludf.DUMMYFUNCTION("""COMPUTED_VALUE"""),"56")</f>
        <v>56</v>
      </c>
      <c r="F36" s="3" t="str">
        <f>IFERROR(__xludf.DUMMYFUNCTION("""COMPUTED_VALUE"""),"นพอ.สิริณัฏฐ์ บรรจงพินิจ")</f>
        <v>นพอ.สิริณัฏฐ์ บรรจงพินิจ</v>
      </c>
      <c r="G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6" s="12">
        <f>IFERROR(__xludf.DUMMYFUNCTION("""COMPUTED_VALUE"""),45839.0)</f>
        <v>45839</v>
      </c>
      <c r="K36" s="3" t="str">
        <f>IFERROR(__xludf.DUMMYFUNCTION("""COMPUTED_VALUE"""),"1400-2200")</f>
        <v>1400-2200</v>
      </c>
      <c r="L36" s="3">
        <f>IFERROR(__xludf.DUMMYFUNCTION("""COMPUTED_VALUE"""),8.0)</f>
        <v>8</v>
      </c>
      <c r="M36" s="3" t="str">
        <f>IFERROR(__xludf.DUMMYFUNCTION("""COMPUTED_VALUE"""),"ร.อ.อนุชิต ทำจะดี")</f>
        <v>ร.อ.อนุชิต ทำจะดี</v>
      </c>
      <c r="N36" s="14" t="str">
        <f>IFERROR(__xludf.DUMMYFUNCTION("""COMPUTED_VALUE"""),"https://lh5.googleusercontent.com/d/1CrPX3_R3Hgg-jUmvs2s6UEu-wRiawoPG")</f>
        <v>https://lh5.googleusercontent.com/d/1CrPX3_R3Hgg-jUmvs2s6UEu-wRiawoPG</v>
      </c>
      <c r="O36" s="14" t="str">
        <f>IFERROR(__xludf.DUMMYFUNCTION("""COMPUTED_VALUE"""),"https://drive.google.com/file/d/16VhCZjRWgPFzp85RixGLxVcVzcB68BbT/view?usp=drivesdk")</f>
        <v>https://drive.google.com/file/d/16VhCZjRWgPFzp85RixGLxVcVzcB68BbT/view?usp=drivesdk</v>
      </c>
    </row>
    <row r="37">
      <c r="A37" s="3">
        <f>IFERROR(__xludf.DUMMYFUNCTION("""COMPUTED_VALUE"""),173.0)</f>
        <v>173</v>
      </c>
      <c r="B37" s="11">
        <f>IFERROR(__xludf.DUMMYFUNCTION("""COMPUTED_VALUE"""),45982.35953605324)</f>
        <v>45982.35954</v>
      </c>
      <c r="C37" s="3" t="str">
        <f>IFERROR(__xludf.DUMMYFUNCTION("""COMPUTED_VALUE"""),"ชั้นปีที่ 2")</f>
        <v>ชั้นปีที่ 2</v>
      </c>
      <c r="D37" s="3" t="str">
        <f>IFERROR(__xludf.DUMMYFUNCTION("""COMPUTED_VALUE"""),"6703875")</f>
        <v>6703875</v>
      </c>
      <c r="E37" s="3" t="str">
        <f>IFERROR(__xludf.DUMMYFUNCTION("""COMPUTED_VALUE"""),"56")</f>
        <v>56</v>
      </c>
      <c r="F37" s="3" t="str">
        <f>IFERROR(__xludf.DUMMYFUNCTION("""COMPUTED_VALUE"""),"นพอ.สิริณัฏฐ์ บรรจงพินิจ")</f>
        <v>นพอ.สิริณัฏฐ์ บรรจงพินิจ</v>
      </c>
      <c r="G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" s="12">
        <f>IFERROR(__xludf.DUMMYFUNCTION("""COMPUTED_VALUE"""),45840.0)</f>
        <v>45840</v>
      </c>
      <c r="K37" s="3" t="str">
        <f>IFERROR(__xludf.DUMMYFUNCTION("""COMPUTED_VALUE"""),"1400-2200")</f>
        <v>1400-2200</v>
      </c>
      <c r="L37" s="3">
        <f>IFERROR(__xludf.DUMMYFUNCTION("""COMPUTED_VALUE"""),8.0)</f>
        <v>8</v>
      </c>
      <c r="M37" s="3" t="str">
        <f>IFERROR(__xludf.DUMMYFUNCTION("""COMPUTED_VALUE"""),"ร.อ.อนุชิต ทำจะดี")</f>
        <v>ร.อ.อนุชิต ทำจะดี</v>
      </c>
      <c r="N37" s="14" t="str">
        <f>IFERROR(__xludf.DUMMYFUNCTION("""COMPUTED_VALUE"""),"https://lh5.googleusercontent.com/d/1FVPEVdeGqDgxK7sokpVn6sIMZl4xhzCJ")</f>
        <v>https://lh5.googleusercontent.com/d/1FVPEVdeGqDgxK7sokpVn6sIMZl4xhzCJ</v>
      </c>
      <c r="O37" s="14" t="str">
        <f>IFERROR(__xludf.DUMMYFUNCTION("""COMPUTED_VALUE"""),"https://drive.google.com/file/d/1CMldJhc_f5z4-lt5QNe3OMrOGKekOeWh/view?usp=drivesdk")</f>
        <v>https://drive.google.com/file/d/1CMldJhc_f5z4-lt5QNe3OMrOGKekOeWh/view?usp=drivesdk</v>
      </c>
    </row>
    <row r="38">
      <c r="A38" s="3">
        <f>IFERROR(__xludf.DUMMYFUNCTION("""COMPUTED_VALUE"""),176.0)</f>
        <v>176</v>
      </c>
      <c r="B38" s="11">
        <f>IFERROR(__xludf.DUMMYFUNCTION("""COMPUTED_VALUE"""),45982.36245719907)</f>
        <v>45982.36246</v>
      </c>
      <c r="C38" s="3" t="str">
        <f>IFERROR(__xludf.DUMMYFUNCTION("""COMPUTED_VALUE"""),"ชั้นปีที่ 2")</f>
        <v>ชั้นปีที่ 2</v>
      </c>
      <c r="D38" s="3" t="str">
        <f>IFERROR(__xludf.DUMMYFUNCTION("""COMPUTED_VALUE"""),"6703875")</f>
        <v>6703875</v>
      </c>
      <c r="E38" s="3" t="str">
        <f>IFERROR(__xludf.DUMMYFUNCTION("""COMPUTED_VALUE"""),"56")</f>
        <v>56</v>
      </c>
      <c r="F38" s="3" t="str">
        <f>IFERROR(__xludf.DUMMYFUNCTION("""COMPUTED_VALUE"""),"นพอ.สิริณัฏฐ์ บรรจงพินิจ")</f>
        <v>นพอ.สิริณัฏฐ์ บรรจงพินิจ</v>
      </c>
      <c r="G3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8" s="3" t="str">
        <f>IFERROR(__xludf.DUMMYFUNCTION("""COMPUTED_VALUE"""),"บริจาคโลหิต")</f>
        <v>บริจาคโลหิต</v>
      </c>
      <c r="I38" s="3" t="str">
        <f>IFERROR(__xludf.DUMMYFUNCTION("""COMPUTED_VALUE"""),"ภาคบริการโลหิตแห่งชาติที่2 จังหวัดลพบุรี")</f>
        <v>ภาคบริการโลหิตแห่งชาติที่2 จังหวัดลพบุรี</v>
      </c>
      <c r="J38" s="12">
        <f>IFERROR(__xludf.DUMMYFUNCTION("""COMPUTED_VALUE"""),45976.0)</f>
        <v>45976</v>
      </c>
      <c r="K38" s="3" t="str">
        <f>IFERROR(__xludf.DUMMYFUNCTION("""COMPUTED_VALUE"""),"0900")</f>
        <v>0900</v>
      </c>
      <c r="L38" s="3">
        <f>IFERROR(__xludf.DUMMYFUNCTION("""COMPUTED_VALUE"""),8.0)</f>
        <v>8</v>
      </c>
      <c r="M38" s="3" t="str">
        <f>IFERROR(__xludf.DUMMYFUNCTION("""COMPUTED_VALUE"""),"ร.อ.เกษม บรรจงพินิจ")</f>
        <v>ร.อ.เกษม บรรจงพินิจ</v>
      </c>
      <c r="N38" s="14" t="str">
        <f>IFERROR(__xludf.DUMMYFUNCTION("""COMPUTED_VALUE"""),"https://lh5.googleusercontent.com/d/1-xOZwXKQ31QN965YXgoKTM8YimxaoHRM")</f>
        <v>https://lh5.googleusercontent.com/d/1-xOZwXKQ31QN965YXgoKTM8YimxaoHRM</v>
      </c>
      <c r="O38" s="14" t="str">
        <f>IFERROR(__xludf.DUMMYFUNCTION("""COMPUTED_VALUE"""),"https://drive.google.com/file/d/1wNTZNS04GI7ijk7S3Js8Xcse_WHH0t9h/view?usp=drivesdk")</f>
        <v>https://drive.google.com/file/d/1wNTZNS04GI7ijk7S3Js8Xcse_WHH0t9h/view?usp=drivesdk</v>
      </c>
    </row>
    <row r="39">
      <c r="A39" s="3">
        <f>IFERROR(__xludf.DUMMYFUNCTION("""COMPUTED_VALUE"""),236.0)</f>
        <v>236</v>
      </c>
      <c r="B39" s="11">
        <f>IFERROR(__xludf.DUMMYFUNCTION("""COMPUTED_VALUE"""),45984.92099547454)</f>
        <v>45984.921</v>
      </c>
      <c r="C39" s="3" t="str">
        <f>IFERROR(__xludf.DUMMYFUNCTION("""COMPUTED_VALUE"""),"ชั้นปีที่ 2")</f>
        <v>ชั้นปีที่ 2</v>
      </c>
      <c r="D39" s="3" t="str">
        <f>IFERROR(__xludf.DUMMYFUNCTION("""COMPUTED_VALUE"""),"6703870")</f>
        <v>6703870</v>
      </c>
      <c r="E39" s="3" t="str">
        <f>IFERROR(__xludf.DUMMYFUNCTION("""COMPUTED_VALUE"""),"52")</f>
        <v>52</v>
      </c>
      <c r="F39" s="3" t="str">
        <f>IFERROR(__xludf.DUMMYFUNCTION("""COMPUTED_VALUE"""),"นพอ.วิมลสิริ สิงห์ธนะ")</f>
        <v>นพอ.วิมลสิริ สิงห์ธนะ</v>
      </c>
      <c r="G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9" s="12">
        <f>IFERROR(__xludf.DUMMYFUNCTION("""COMPUTED_VALUE"""),45839.0)</f>
        <v>45839</v>
      </c>
      <c r="K39" s="3" t="str">
        <f>IFERROR(__xludf.DUMMYFUNCTION("""COMPUTED_VALUE"""),"1400-2200")</f>
        <v>1400-2200</v>
      </c>
      <c r="L39" s="3">
        <f>IFERROR(__xludf.DUMMYFUNCTION("""COMPUTED_VALUE"""),8.0)</f>
        <v>8</v>
      </c>
      <c r="M39" s="3" t="str">
        <f>IFERROR(__xludf.DUMMYFUNCTION("""COMPUTED_VALUE"""),"ร.อ.อนุชิต ทำจะดี")</f>
        <v>ร.อ.อนุชิต ทำจะดี</v>
      </c>
      <c r="N39" s="14" t="str">
        <f>IFERROR(__xludf.DUMMYFUNCTION("""COMPUTED_VALUE"""),"https://lh5.googleusercontent.com/d/15i8DR6yKc8itZ9UMdE_LSJ0R8SI0wZbl")</f>
        <v>https://lh5.googleusercontent.com/d/15i8DR6yKc8itZ9UMdE_LSJ0R8SI0wZbl</v>
      </c>
      <c r="O39" s="14" t="str">
        <f>IFERROR(__xludf.DUMMYFUNCTION("""COMPUTED_VALUE"""),"https://drive.google.com/file/d/17NTMAELo9FQrKoINX4AO_yfz83HpfEft/view?usp=drivesdk")</f>
        <v>https://drive.google.com/file/d/17NTMAELo9FQrKoINX4AO_yfz83HpfEft/view?usp=drivesdk</v>
      </c>
    </row>
    <row r="40">
      <c r="A40" s="3">
        <f>IFERROR(__xludf.DUMMYFUNCTION("""COMPUTED_VALUE"""),238.0)</f>
        <v>238</v>
      </c>
      <c r="B40" s="11">
        <f>IFERROR(__xludf.DUMMYFUNCTION("""COMPUTED_VALUE"""),45984.922532094904)</f>
        <v>45984.92253</v>
      </c>
      <c r="C40" s="3" t="str">
        <f>IFERROR(__xludf.DUMMYFUNCTION("""COMPUTED_VALUE"""),"ชั้นปีที่ 2")</f>
        <v>ชั้นปีที่ 2</v>
      </c>
      <c r="D40" s="3" t="str">
        <f>IFERROR(__xludf.DUMMYFUNCTION("""COMPUTED_VALUE"""),"6703870")</f>
        <v>6703870</v>
      </c>
      <c r="E40" s="3" t="str">
        <f>IFERROR(__xludf.DUMMYFUNCTION("""COMPUTED_VALUE"""),"52")</f>
        <v>52</v>
      </c>
      <c r="F40" s="3" t="str">
        <f>IFERROR(__xludf.DUMMYFUNCTION("""COMPUTED_VALUE"""),"นพอ.วิมลสิริ สิงห์ธนะ")</f>
        <v>นพอ.วิมลสิริ สิงห์ธนะ</v>
      </c>
      <c r="G4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4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40" s="12">
        <f>IFERROR(__xludf.DUMMYFUNCTION("""COMPUTED_VALUE"""),45840.0)</f>
        <v>45840</v>
      </c>
      <c r="K40" s="3" t="str">
        <f>IFERROR(__xludf.DUMMYFUNCTION("""COMPUTED_VALUE"""),"1400-2200")</f>
        <v>1400-2200</v>
      </c>
      <c r="L40" s="3">
        <f>IFERROR(__xludf.DUMMYFUNCTION("""COMPUTED_VALUE"""),8.0)</f>
        <v>8</v>
      </c>
      <c r="M40" s="3" t="str">
        <f>IFERROR(__xludf.DUMMYFUNCTION("""COMPUTED_VALUE"""),"ร.อ.อนุชิต ทำจะดี")</f>
        <v>ร.อ.อนุชิต ทำจะดี</v>
      </c>
      <c r="N40" s="14" t="str">
        <f>IFERROR(__xludf.DUMMYFUNCTION("""COMPUTED_VALUE"""),"https://lh5.googleusercontent.com/d/1bAUsELwTXJzGgeA-3XNnNzCuQPJptps3")</f>
        <v>https://lh5.googleusercontent.com/d/1bAUsELwTXJzGgeA-3XNnNzCuQPJptps3</v>
      </c>
      <c r="O40" s="14" t="str">
        <f>IFERROR(__xludf.DUMMYFUNCTION("""COMPUTED_VALUE"""),"https://drive.google.com/file/d/1VK_rLZgjaELde-gxAZU39vunAtfctSC6/view?usp=drivesdk")</f>
        <v>https://drive.google.com/file/d/1VK_rLZgjaELde-gxAZU39vunAtfctSC6/view?usp=drivesdk</v>
      </c>
    </row>
    <row r="41">
      <c r="A41" s="3">
        <f>IFERROR(__xludf.DUMMYFUNCTION("""COMPUTED_VALUE"""),240.0)</f>
        <v>240</v>
      </c>
      <c r="B41" s="11">
        <f>IFERROR(__xludf.DUMMYFUNCTION("""COMPUTED_VALUE"""),45984.92500739584)</f>
        <v>45984.92501</v>
      </c>
      <c r="C41" s="3" t="str">
        <f>IFERROR(__xludf.DUMMYFUNCTION("""COMPUTED_VALUE"""),"ชั้นปีที่ 2")</f>
        <v>ชั้นปีที่ 2</v>
      </c>
      <c r="D41" s="3" t="str">
        <f>IFERROR(__xludf.DUMMYFUNCTION("""COMPUTED_VALUE"""),"6703870")</f>
        <v>6703870</v>
      </c>
      <c r="E41" s="3" t="str">
        <f>IFERROR(__xludf.DUMMYFUNCTION("""COMPUTED_VALUE"""),"52")</f>
        <v>52</v>
      </c>
      <c r="F41" s="3" t="str">
        <f>IFERROR(__xludf.DUMMYFUNCTION("""COMPUTED_VALUE"""),"นพอ.วิมลสิริ สิงห์ธนะ")</f>
        <v>นพอ.วิมลสิริ สิงห์ธนะ</v>
      </c>
      <c r="G41" s="3" t="str">
        <f>IFERROR(__xludf.DUMMYFUNCTION("""COMPUTED_VALUE"""),"ช่วยเหลืองานภายใน วพอ.")</f>
        <v>ช่วยเหลืองานภายใน วพอ.</v>
      </c>
      <c r="H41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41" s="3" t="str">
        <f>IFERROR(__xludf.DUMMYFUNCTION("""COMPUTED_VALUE"""),"ห้องเรียน นพอ.ชั้นปีที่1 ")</f>
        <v>ห้องเรียน นพอ.ชั้นปีที่1 </v>
      </c>
      <c r="J41" s="12">
        <f>IFERROR(__xludf.DUMMYFUNCTION("""COMPUTED_VALUE"""),45984.0)</f>
        <v>45984</v>
      </c>
      <c r="K41" s="3" t="str">
        <f>IFERROR(__xludf.DUMMYFUNCTION("""COMPUTED_VALUE"""),"1000-1800")</f>
        <v>1000-1800</v>
      </c>
      <c r="L41" s="3">
        <f>IFERROR(__xludf.DUMMYFUNCTION("""COMPUTED_VALUE"""),8.0)</f>
        <v>8</v>
      </c>
      <c r="M41" s="3" t="str">
        <f>IFERROR(__xludf.DUMMYFUNCTION("""COMPUTED_VALUE"""),"ร.ท.เรวัติ วัชรสิทธิ์")</f>
        <v>ร.ท.เรวัติ วัชรสิทธิ์</v>
      </c>
      <c r="N41" s="14" t="str">
        <f>IFERROR(__xludf.DUMMYFUNCTION("""COMPUTED_VALUE"""),"https://lh5.googleusercontent.com/d/1eiTXyBY_tShmrKKZuhcWZiV1who-ohhn")</f>
        <v>https://lh5.googleusercontent.com/d/1eiTXyBY_tShmrKKZuhcWZiV1who-ohhn</v>
      </c>
      <c r="O41" s="14" t="str">
        <f>IFERROR(__xludf.DUMMYFUNCTION("""COMPUTED_VALUE"""),"https://drive.google.com/file/d/1LSZymh4fJTnriYZ9TwHVPSk9gHhVcg0M/view?usp=drivesdk")</f>
        <v>https://drive.google.com/file/d/1LSZymh4fJTnriYZ9TwHVPSk9gHhVcg0M/view?usp=drivesdk</v>
      </c>
    </row>
    <row r="42">
      <c r="A42" s="3">
        <f>IFERROR(__xludf.DUMMYFUNCTION("""COMPUTED_VALUE"""),248.0)</f>
        <v>248</v>
      </c>
      <c r="B42" s="11">
        <f>IFERROR(__xludf.DUMMYFUNCTION("""COMPUTED_VALUE"""),45985.4131803588)</f>
        <v>45985.41318</v>
      </c>
      <c r="C42" s="3" t="str">
        <f>IFERROR(__xludf.DUMMYFUNCTION("""COMPUTED_VALUE"""),"ชั้นปีที่ 2")</f>
        <v>ชั้นปีที่ 2</v>
      </c>
      <c r="D42" s="3" t="str">
        <f>IFERROR(__xludf.DUMMYFUNCTION("""COMPUTED_VALUE"""),"6703845")</f>
        <v>6703845</v>
      </c>
      <c r="E42" s="3" t="str">
        <f>IFERROR(__xludf.DUMMYFUNCTION("""COMPUTED_VALUE"""),"27")</f>
        <v>27</v>
      </c>
      <c r="F42" s="3" t="str">
        <f>IFERROR(__xludf.DUMMYFUNCTION("""COMPUTED_VALUE"""),"นพอ.นภันต์กร อินทรแก้ว")</f>
        <v>นพอ.นภันต์กร อินทรแก้ว</v>
      </c>
      <c r="G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4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42" s="12">
        <f>IFERROR(__xludf.DUMMYFUNCTION("""COMPUTED_VALUE"""),45839.0)</f>
        <v>45839</v>
      </c>
      <c r="K42" s="3" t="str">
        <f>IFERROR(__xludf.DUMMYFUNCTION("""COMPUTED_VALUE"""),"1400-2200")</f>
        <v>1400-2200</v>
      </c>
      <c r="L42" s="3">
        <f>IFERROR(__xludf.DUMMYFUNCTION("""COMPUTED_VALUE"""),8.0)</f>
        <v>8</v>
      </c>
      <c r="M42" s="3" t="str">
        <f>IFERROR(__xludf.DUMMYFUNCTION("""COMPUTED_VALUE"""),"ร.อ.อนุชิต ทำจะดี")</f>
        <v>ร.อ.อนุชิต ทำจะดี</v>
      </c>
      <c r="N42" s="14" t="str">
        <f>IFERROR(__xludf.DUMMYFUNCTION("""COMPUTED_VALUE"""),"https://lh5.googleusercontent.com/d/1l0b_6PTobj5qUfeZpTBWoPiCMcGrk7K7")</f>
        <v>https://lh5.googleusercontent.com/d/1l0b_6PTobj5qUfeZpTBWoPiCMcGrk7K7</v>
      </c>
      <c r="O42" s="14" t="str">
        <f>IFERROR(__xludf.DUMMYFUNCTION("""COMPUTED_VALUE"""),"https://drive.google.com/file/d/1Gv_FKgQNt6DXF-EDTp13v8jYQnq4z6Qr/view?usp=drivesdk")</f>
        <v>https://drive.google.com/file/d/1Gv_FKgQNt6DXF-EDTp13v8jYQnq4z6Qr/view?usp=drivesdk</v>
      </c>
    </row>
    <row r="43">
      <c r="A43" s="3">
        <f>IFERROR(__xludf.DUMMYFUNCTION("""COMPUTED_VALUE"""),249.0)</f>
        <v>249</v>
      </c>
      <c r="B43" s="11">
        <f>IFERROR(__xludf.DUMMYFUNCTION("""COMPUTED_VALUE"""),45985.418355138885)</f>
        <v>45985.41836</v>
      </c>
      <c r="C43" s="3" t="str">
        <f>IFERROR(__xludf.DUMMYFUNCTION("""COMPUTED_VALUE"""),"ชั้นปีที่ 2")</f>
        <v>ชั้นปีที่ 2</v>
      </c>
      <c r="D43" s="3" t="str">
        <f>IFERROR(__xludf.DUMMYFUNCTION("""COMPUTED_VALUE"""),"6703845")</f>
        <v>6703845</v>
      </c>
      <c r="E43" s="3" t="str">
        <f>IFERROR(__xludf.DUMMYFUNCTION("""COMPUTED_VALUE"""),"27")</f>
        <v>27</v>
      </c>
      <c r="F43" s="3" t="str">
        <f>IFERROR(__xludf.DUMMYFUNCTION("""COMPUTED_VALUE"""),"นพอ.นภันต์กร อินทรแก้ว")</f>
        <v>นพอ.นภันต์กร อินทรแก้ว</v>
      </c>
      <c r="G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4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43" s="12">
        <f>IFERROR(__xludf.DUMMYFUNCTION("""COMPUTED_VALUE"""),45840.0)</f>
        <v>45840</v>
      </c>
      <c r="K43" s="3" t="str">
        <f>IFERROR(__xludf.DUMMYFUNCTION("""COMPUTED_VALUE"""),"1400-2200")</f>
        <v>1400-2200</v>
      </c>
      <c r="L43" s="3">
        <f>IFERROR(__xludf.DUMMYFUNCTION("""COMPUTED_VALUE"""),8.0)</f>
        <v>8</v>
      </c>
      <c r="M43" s="3" t="str">
        <f>IFERROR(__xludf.DUMMYFUNCTION("""COMPUTED_VALUE"""),"ร.อ.อนุชิต ทำจะดี")</f>
        <v>ร.อ.อนุชิต ทำจะดี</v>
      </c>
      <c r="N43" s="14" t="str">
        <f>IFERROR(__xludf.DUMMYFUNCTION("""COMPUTED_VALUE"""),"https://lh5.googleusercontent.com/d/1w5jQg4Nyatq3YP8IGaUC6SeVPbchbHqA")</f>
        <v>https://lh5.googleusercontent.com/d/1w5jQg4Nyatq3YP8IGaUC6SeVPbchbHqA</v>
      </c>
      <c r="O43" s="14" t="str">
        <f>IFERROR(__xludf.DUMMYFUNCTION("""COMPUTED_VALUE"""),"https://drive.google.com/file/d/14E1pvAxCl3iopbID66BSfK3lh7kQmha-/view?usp=drivesdk")</f>
        <v>https://drive.google.com/file/d/14E1pvAxCl3iopbID66BSfK3lh7kQmha-/view?usp=drivesdk</v>
      </c>
    </row>
    <row r="44">
      <c r="A44" s="3">
        <f>IFERROR(__xludf.DUMMYFUNCTION("""COMPUTED_VALUE"""),258.0)</f>
        <v>258</v>
      </c>
      <c r="B44" s="11">
        <f>IFERROR(__xludf.DUMMYFUNCTION("""COMPUTED_VALUE"""),45985.49422548611)</f>
        <v>45985.49423</v>
      </c>
      <c r="C44" s="3" t="str">
        <f>IFERROR(__xludf.DUMMYFUNCTION("""COMPUTED_VALUE"""),"ชั้นปีที่ 2")</f>
        <v>ชั้นปีที่ 2</v>
      </c>
      <c r="D44" s="3" t="str">
        <f>IFERROR(__xludf.DUMMYFUNCTION("""COMPUTED_VALUE"""),"6703875")</f>
        <v>6703875</v>
      </c>
      <c r="E44" s="3" t="str">
        <f>IFERROR(__xludf.DUMMYFUNCTION("""COMPUTED_VALUE"""),"56")</f>
        <v>56</v>
      </c>
      <c r="F44" s="3" t="str">
        <f>IFERROR(__xludf.DUMMYFUNCTION("""COMPUTED_VALUE"""),"นพอ.สิริณัฏฐ์ บรรจงพินิจ")</f>
        <v>นพอ.สิริณัฏฐ์ บรรจงพินิจ</v>
      </c>
      <c r="G44" s="3" t="str">
        <f>IFERROR(__xludf.DUMMYFUNCTION("""COMPUTED_VALUE"""),"ช่วยเหลืองานภายใน วพอ.")</f>
        <v>ช่วยเหลืองานภายใน วพอ.</v>
      </c>
      <c r="H44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44" s="3" t="str">
        <f>IFERROR(__xludf.DUMMYFUNCTION("""COMPUTED_VALUE"""),"ห้องเรียน นพอ.ชั้นปีที่1")</f>
        <v>ห้องเรียน นพอ.ชั้นปีที่1</v>
      </c>
      <c r="J44" s="12">
        <f>IFERROR(__xludf.DUMMYFUNCTION("""COMPUTED_VALUE"""),45984.0)</f>
        <v>45984</v>
      </c>
      <c r="K44" s="3" t="str">
        <f>IFERROR(__xludf.DUMMYFUNCTION("""COMPUTED_VALUE"""),"1000-1800")</f>
        <v>1000-1800</v>
      </c>
      <c r="L44" s="3">
        <f>IFERROR(__xludf.DUMMYFUNCTION("""COMPUTED_VALUE"""),8.0)</f>
        <v>8</v>
      </c>
      <c r="M44" s="3" t="str">
        <f>IFERROR(__xludf.DUMMYFUNCTION("""COMPUTED_VALUE"""),"ร.ท.เรวัติ วัชรสิทธิ์")</f>
        <v>ร.ท.เรวัติ วัชรสิทธิ์</v>
      </c>
      <c r="N44" s="14" t="str">
        <f>IFERROR(__xludf.DUMMYFUNCTION("""COMPUTED_VALUE"""),"https://lh5.googleusercontent.com/d/17kvzUJpMklJsRB4Yut4Sk-ylXHRaTpi6")</f>
        <v>https://lh5.googleusercontent.com/d/17kvzUJpMklJsRB4Yut4Sk-ylXHRaTpi6</v>
      </c>
      <c r="O44" s="14" t="str">
        <f>IFERROR(__xludf.DUMMYFUNCTION("""COMPUTED_VALUE"""),"https://drive.google.com/file/d/11-xuRsKv9dBB2GTNG5YkgBgBefBqWXvg/view?usp=drivesdk")</f>
        <v>https://drive.google.com/file/d/11-xuRsKv9dBB2GTNG5YkgBgBefBqWXvg/view?usp=drivesdk</v>
      </c>
    </row>
    <row r="45">
      <c r="A45" s="3">
        <f>IFERROR(__xludf.DUMMYFUNCTION("""COMPUTED_VALUE"""),259.0)</f>
        <v>259</v>
      </c>
      <c r="B45" s="11">
        <f>IFERROR(__xludf.DUMMYFUNCTION("""COMPUTED_VALUE"""),45985.49601163195)</f>
        <v>45985.49601</v>
      </c>
      <c r="C45" s="3" t="str">
        <f>IFERROR(__xludf.DUMMYFUNCTION("""COMPUTED_VALUE"""),"ชั้นปีที่ 2")</f>
        <v>ชั้นปีที่ 2</v>
      </c>
      <c r="D45" s="3" t="str">
        <f>IFERROR(__xludf.DUMMYFUNCTION("""COMPUTED_VALUE"""),"6703853")</f>
        <v>6703853</v>
      </c>
      <c r="E45" s="3" t="str">
        <f>IFERROR(__xludf.DUMMYFUNCTION("""COMPUTED_VALUE"""),"35")</f>
        <v>35</v>
      </c>
      <c r="F45" s="3" t="str">
        <f>IFERROR(__xludf.DUMMYFUNCTION("""COMPUTED_VALUE"""),"นพอ.เปรมยุดา ศรีสุข")</f>
        <v>นพอ.เปรมยุดา ศรีสุข</v>
      </c>
      <c r="G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" s="3" t="str">
        <f>IFERROR(__xludf.DUMMYFUNCTION("""COMPUTED_VALUE""")," ซ้อมร้องประสานเสียงงานคอนเสิร์ตทัพฟ้า (ดุริยางค์ทหารอากาศ)")</f>
        <v> ซ้อมร้องประสานเสียงงานคอนเสิร์ตทัพฟ้า (ดุริยางค์ทหารอากาศ)</v>
      </c>
      <c r="I45" s="3" t="str">
        <f>IFERROR(__xludf.DUMMYFUNCTION("""COMPUTED_VALUE"""),"ดุริยางค์ทหารอากาศ")</f>
        <v>ดุริยางค์ทหารอากาศ</v>
      </c>
      <c r="J45" s="12">
        <f>IFERROR(__xludf.DUMMYFUNCTION("""COMPUTED_VALUE"""),45825.0)</f>
        <v>45825</v>
      </c>
      <c r="K45" s="3" t="str">
        <f>IFERROR(__xludf.DUMMYFUNCTION("""COMPUTED_VALUE"""),"0800-1600")</f>
        <v>0800-1600</v>
      </c>
      <c r="L45" s="3">
        <f>IFERROR(__xludf.DUMMYFUNCTION("""COMPUTED_VALUE"""),8.0)</f>
        <v>8</v>
      </c>
      <c r="M45" s="3" t="str">
        <f>IFERROR(__xludf.DUMMYFUNCTION("""COMPUTED_VALUE"""),"ร.อ.อนุชิต ทำจะดี")</f>
        <v>ร.อ.อนุชิต ทำจะดี</v>
      </c>
      <c r="N45" s="14" t="str">
        <f>IFERROR(__xludf.DUMMYFUNCTION("""COMPUTED_VALUE"""),"https://lh5.googleusercontent.com/d/11UAV36c6haTZi96p_qVcFummNfvwPHJq")</f>
        <v>https://lh5.googleusercontent.com/d/11UAV36c6haTZi96p_qVcFummNfvwPHJq</v>
      </c>
      <c r="O45" s="14" t="str">
        <f>IFERROR(__xludf.DUMMYFUNCTION("""COMPUTED_VALUE"""),"https://drive.google.com/file/d/1Nco-qP6Kj2K0jkbaArg3rhzJgu6Y9vRy/view?usp=drivesdk")</f>
        <v>https://drive.google.com/file/d/1Nco-qP6Kj2K0jkbaArg3rhzJgu6Y9vRy/view?usp=drivesdk</v>
      </c>
    </row>
    <row r="46">
      <c r="A46" s="3">
        <f>IFERROR(__xludf.DUMMYFUNCTION("""COMPUTED_VALUE"""),260.0)</f>
        <v>260</v>
      </c>
      <c r="B46" s="11">
        <f>IFERROR(__xludf.DUMMYFUNCTION("""COMPUTED_VALUE"""),45985.49851135417)</f>
        <v>45985.49851</v>
      </c>
      <c r="C46" s="3" t="str">
        <f>IFERROR(__xludf.DUMMYFUNCTION("""COMPUTED_VALUE"""),"ชั้นปีที่ 2")</f>
        <v>ชั้นปีที่ 2</v>
      </c>
      <c r="D46" s="3" t="str">
        <f>IFERROR(__xludf.DUMMYFUNCTION("""COMPUTED_VALUE"""),"6703835")</f>
        <v>6703835</v>
      </c>
      <c r="E46" s="3" t="str">
        <f>IFERROR(__xludf.DUMMYFUNCTION("""COMPUTED_VALUE"""),"18")</f>
        <v>18</v>
      </c>
      <c r="F46" s="3" t="str">
        <f>IFERROR(__xludf.DUMMYFUNCTION("""COMPUTED_VALUE"""),"นพอ.ณัฐณิชา พิทักษ์สันติ")</f>
        <v>นพอ.ณัฐณิชา พิทักษ์สันติ</v>
      </c>
      <c r="G46" s="3" t="str">
        <f>IFERROR(__xludf.DUMMYFUNCTION("""COMPUTED_VALUE"""),"ช่วยเหลืองานภายใน วพอ.")</f>
        <v>ช่วยเหลืองานภายใน วพอ.</v>
      </c>
      <c r="H46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46" s="3" t="str">
        <f>IFERROR(__xludf.DUMMYFUNCTION("""COMPUTED_VALUE"""),"ห้องเรียน นพอ.ชั้นปีที่1")</f>
        <v>ห้องเรียน นพอ.ชั้นปีที่1</v>
      </c>
      <c r="J46" s="12">
        <f>IFERROR(__xludf.DUMMYFUNCTION("""COMPUTED_VALUE"""),45984.0)</f>
        <v>45984</v>
      </c>
      <c r="K46" s="3" t="str">
        <f>IFERROR(__xludf.DUMMYFUNCTION("""COMPUTED_VALUE"""),"1000-1800")</f>
        <v>1000-1800</v>
      </c>
      <c r="L46" s="3">
        <f>IFERROR(__xludf.DUMMYFUNCTION("""COMPUTED_VALUE"""),8.0)</f>
        <v>8</v>
      </c>
      <c r="M46" s="3" t="str">
        <f>IFERROR(__xludf.DUMMYFUNCTION("""COMPUTED_VALUE"""),"ร.ท.เรวัติ วัชรสิทธิ์")</f>
        <v>ร.ท.เรวัติ วัชรสิทธิ์</v>
      </c>
      <c r="N46" s="14" t="str">
        <f>IFERROR(__xludf.DUMMYFUNCTION("""COMPUTED_VALUE"""),"https://lh5.googleusercontent.com/d/1uNqc58zoutPauwHrzVVTIhhrAa0SxpKM")</f>
        <v>https://lh5.googleusercontent.com/d/1uNqc58zoutPauwHrzVVTIhhrAa0SxpKM</v>
      </c>
      <c r="O46" s="14" t="str">
        <f>IFERROR(__xludf.DUMMYFUNCTION("""COMPUTED_VALUE"""),"https://drive.google.com/file/d/1a1PrnX2xasaL24lQ2i5-_15_4hjxv2qj/view?usp=drivesdk")</f>
        <v>https://drive.google.com/file/d/1a1PrnX2xasaL24lQ2i5-_15_4hjxv2qj/view?usp=drivesdk</v>
      </c>
    </row>
    <row r="47">
      <c r="A47" s="3">
        <f>IFERROR(__xludf.DUMMYFUNCTION("""COMPUTED_VALUE"""),262.0)</f>
        <v>262</v>
      </c>
      <c r="B47" s="11">
        <f>IFERROR(__xludf.DUMMYFUNCTION("""COMPUTED_VALUE"""),45985.500261608795)</f>
        <v>45985.50026</v>
      </c>
      <c r="C47" s="3" t="str">
        <f>IFERROR(__xludf.DUMMYFUNCTION("""COMPUTED_VALUE"""),"ชั้นปีที่ 2")</f>
        <v>ชั้นปีที่ 2</v>
      </c>
      <c r="D47" s="3" t="str">
        <f>IFERROR(__xludf.DUMMYFUNCTION("""COMPUTED_VALUE"""),"6703826")</f>
        <v>6703826</v>
      </c>
      <c r="E47" s="3" t="str">
        <f>IFERROR(__xludf.DUMMYFUNCTION("""COMPUTED_VALUE"""),"9")</f>
        <v>9</v>
      </c>
      <c r="F47" s="3" t="str">
        <f>IFERROR(__xludf.DUMMYFUNCTION("""COMPUTED_VALUE"""),"นพอ.ชณัฐธิดา ชูชีพ")</f>
        <v>นพอ.ชณัฐธิดา ชูชีพ</v>
      </c>
      <c r="G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4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47" s="12">
        <f>IFERROR(__xludf.DUMMYFUNCTION("""COMPUTED_VALUE"""),45840.0)</f>
        <v>45840</v>
      </c>
      <c r="K47" s="3" t="str">
        <f>IFERROR(__xludf.DUMMYFUNCTION("""COMPUTED_VALUE"""),"1400-2200")</f>
        <v>1400-2200</v>
      </c>
      <c r="L47" s="3">
        <f>IFERROR(__xludf.DUMMYFUNCTION("""COMPUTED_VALUE"""),8.0)</f>
        <v>8</v>
      </c>
      <c r="M47" s="3" t="str">
        <f>IFERROR(__xludf.DUMMYFUNCTION("""COMPUTED_VALUE"""),"ร.อ.อนุชิต ทำจะดี")</f>
        <v>ร.อ.อนุชิต ทำจะดี</v>
      </c>
      <c r="N47" s="14" t="str">
        <f>IFERROR(__xludf.DUMMYFUNCTION("""COMPUTED_VALUE"""),"https://lh5.googleusercontent.com/d/1eFQ-7RhICLbRMoahXBkrZRQYCzw5yUBe")</f>
        <v>https://lh5.googleusercontent.com/d/1eFQ-7RhICLbRMoahXBkrZRQYCzw5yUBe</v>
      </c>
      <c r="O47" s="14" t="str">
        <f>IFERROR(__xludf.DUMMYFUNCTION("""COMPUTED_VALUE"""),"https://drive.google.com/file/d/14Co082o2_xTVxJ7TtAjI7T5JhTz1TRju/view?usp=drivesdk")</f>
        <v>https://drive.google.com/file/d/14Co082o2_xTVxJ7TtAjI7T5JhTz1TRju/view?usp=drivesdk</v>
      </c>
    </row>
    <row r="48">
      <c r="A48" s="3">
        <f>IFERROR(__xludf.DUMMYFUNCTION("""COMPUTED_VALUE"""),263.0)</f>
        <v>263</v>
      </c>
      <c r="B48" s="11">
        <f>IFERROR(__xludf.DUMMYFUNCTION("""COMPUTED_VALUE"""),45985.50055023148)</f>
        <v>45985.50055</v>
      </c>
      <c r="C48" s="3" t="str">
        <f>IFERROR(__xludf.DUMMYFUNCTION("""COMPUTED_VALUE"""),"ชั้นปีที่ 2")</f>
        <v>ชั้นปีที่ 2</v>
      </c>
      <c r="D48" s="3" t="str">
        <f>IFERROR(__xludf.DUMMYFUNCTION("""COMPUTED_VALUE"""),"6703844")</f>
        <v>6703844</v>
      </c>
      <c r="E48" s="3" t="str">
        <f>IFERROR(__xludf.DUMMYFUNCTION("""COMPUTED_VALUE"""),"26")</f>
        <v>26</v>
      </c>
      <c r="F48" s="3" t="str">
        <f>IFERROR(__xludf.DUMMYFUNCTION("""COMPUTED_VALUE"""),"นพอ.นพชกร ทิวแพ")</f>
        <v>นพอ.นพชกร ทิวแพ</v>
      </c>
      <c r="G48" s="3" t="str">
        <f>IFERROR(__xludf.DUMMYFUNCTION("""COMPUTED_VALUE"""),"ช่วยเหลืองานภายใน วพอ.")</f>
        <v>ช่วยเหลืองานภายใน วพอ.</v>
      </c>
      <c r="H48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48" s="3" t="str">
        <f>IFERROR(__xludf.DUMMYFUNCTION("""COMPUTED_VALUE""")," ช่วยเหลืองานภายใน วพอ.")</f>
        <v> ช่วยเหลืองานภายใน วพอ.</v>
      </c>
      <c r="J48" s="12">
        <f>IFERROR(__xludf.DUMMYFUNCTION("""COMPUTED_VALUE"""),45984.0)</f>
        <v>45984</v>
      </c>
      <c r="K48" s="3" t="str">
        <f>IFERROR(__xludf.DUMMYFUNCTION("""COMPUTED_VALUE"""),"1000-1800")</f>
        <v>1000-1800</v>
      </c>
      <c r="L48" s="3">
        <f>IFERROR(__xludf.DUMMYFUNCTION("""COMPUTED_VALUE"""),8.0)</f>
        <v>8</v>
      </c>
      <c r="M48" s="3" t="str">
        <f>IFERROR(__xludf.DUMMYFUNCTION("""COMPUTED_VALUE"""),"ร.ท.เรวัติ วัชรสิทธิ์")</f>
        <v>ร.ท.เรวัติ วัชรสิทธิ์</v>
      </c>
      <c r="N48" s="14" t="str">
        <f>IFERROR(__xludf.DUMMYFUNCTION("""COMPUTED_VALUE"""),"https://lh5.googleusercontent.com/d/1YFvb4HAqi0se-G3NZsMW8oos83wOJ02A")</f>
        <v>https://lh5.googleusercontent.com/d/1YFvb4HAqi0se-G3NZsMW8oos83wOJ02A</v>
      </c>
      <c r="O48" s="14" t="str">
        <f>IFERROR(__xludf.DUMMYFUNCTION("""COMPUTED_VALUE"""),"https://drive.google.com/file/d/1Nz4g2eVenTCfZuE2MVQ79086bdK3AlYz/view?usp=drivesdk")</f>
        <v>https://drive.google.com/file/d/1Nz4g2eVenTCfZuE2MVQ79086bdK3AlYz/view?usp=drivesdk</v>
      </c>
    </row>
    <row r="49">
      <c r="A49" s="3">
        <f>IFERROR(__xludf.DUMMYFUNCTION("""COMPUTED_VALUE"""),264.0)</f>
        <v>264</v>
      </c>
      <c r="B49" s="11">
        <f>IFERROR(__xludf.DUMMYFUNCTION("""COMPUTED_VALUE"""),45985.52374315972)</f>
        <v>45985.52374</v>
      </c>
      <c r="C49" s="3" t="str">
        <f>IFERROR(__xludf.DUMMYFUNCTION("""COMPUTED_VALUE"""),"ชั้นปีที่ 2")</f>
        <v>ชั้นปีที่ 2</v>
      </c>
      <c r="D49" s="3" t="str">
        <f>IFERROR(__xludf.DUMMYFUNCTION("""COMPUTED_VALUE"""),"6703844")</f>
        <v>6703844</v>
      </c>
      <c r="E49" s="3" t="str">
        <f>IFERROR(__xludf.DUMMYFUNCTION("""COMPUTED_VALUE"""),"26")</f>
        <v>26</v>
      </c>
      <c r="F49" s="3" t="str">
        <f>IFERROR(__xludf.DUMMYFUNCTION("""COMPUTED_VALUE"""),"นพอ.นพชกร ทิวแพ")</f>
        <v>นพอ.นพชกร ทิวแพ</v>
      </c>
      <c r="G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" s="3" t="str">
        <f>IFERROR(__xludf.DUMMYFUNCTION("""COMPUTED_VALUE"""),"เข้าร่วมพิธีถวายพานพุ่มสักการะเนื่องในวันพยาบาลแห่งชาติ")</f>
        <v>เข้าร่วมพิธีถวายพานพุ่มสักการะเนื่องในวันพยาบาลแห่งชาติ</v>
      </c>
      <c r="I49" s="3" t="str">
        <f>IFERROR(__xludf.DUMMYFUNCTION("""COMPUTED_VALUE"""),"กระทรวงสาธารณสุข จังหวัดนนทบุรี")</f>
        <v>กระทรวงสาธารณสุข จังหวัดนนทบุรี</v>
      </c>
      <c r="J49" s="12">
        <f>IFERROR(__xludf.DUMMYFUNCTION("""COMPUTED_VALUE"""),45951.0)</f>
        <v>45951</v>
      </c>
      <c r="K49" s="3" t="str">
        <f>IFERROR(__xludf.DUMMYFUNCTION("""COMPUTED_VALUE"""),"0500-0700")</f>
        <v>0500-0700</v>
      </c>
      <c r="L49" s="3">
        <f>IFERROR(__xludf.DUMMYFUNCTION("""COMPUTED_VALUE"""),2.0)</f>
        <v>2</v>
      </c>
      <c r="M49" s="3" t="str">
        <f>IFERROR(__xludf.DUMMYFUNCTION("""COMPUTED_VALUE"""),"น.ต. ศักชัย บุญประสิทธิ์")</f>
        <v>น.ต. ศักชัย บุญประสิทธิ์</v>
      </c>
      <c r="N49" s="14" t="str">
        <f>IFERROR(__xludf.DUMMYFUNCTION("""COMPUTED_VALUE"""),"https://lh5.googleusercontent.com/d/1ZstqOJfX9PkZYJJoGQMM0fK46oPJISwF")</f>
        <v>https://lh5.googleusercontent.com/d/1ZstqOJfX9PkZYJJoGQMM0fK46oPJISwF</v>
      </c>
      <c r="O49" s="14" t="str">
        <f>IFERROR(__xludf.DUMMYFUNCTION("""COMPUTED_VALUE"""),"https://drive.google.com/file/d/1UKNEZvg-jNVCP4T7VjfwaeJuFSysFBYo/view?usp=drivesdk")</f>
        <v>https://drive.google.com/file/d/1UKNEZvg-jNVCP4T7VjfwaeJuFSysFBYo/view?usp=drivesdk</v>
      </c>
    </row>
    <row r="50">
      <c r="A50" s="3">
        <f>IFERROR(__xludf.DUMMYFUNCTION("""COMPUTED_VALUE"""),265.0)</f>
        <v>265</v>
      </c>
      <c r="B50" s="11">
        <f>IFERROR(__xludf.DUMMYFUNCTION("""COMPUTED_VALUE"""),45985.524095787034)</f>
        <v>45985.5241</v>
      </c>
      <c r="C50" s="3" t="str">
        <f>IFERROR(__xludf.DUMMYFUNCTION("""COMPUTED_VALUE"""),"ชั้นปีที่ 2")</f>
        <v>ชั้นปีที่ 2</v>
      </c>
      <c r="D50" s="3" t="str">
        <f>IFERROR(__xludf.DUMMYFUNCTION("""COMPUTED_VALUE"""),"6703874")</f>
        <v>6703874</v>
      </c>
      <c r="E50" s="3" t="str">
        <f>IFERROR(__xludf.DUMMYFUNCTION("""COMPUTED_VALUE"""),"55")</f>
        <v>55</v>
      </c>
      <c r="F50" s="3" t="str">
        <f>IFERROR(__xludf.DUMMYFUNCTION("""COMPUTED_VALUE"""),"นพอ.สรารัตน์ หาญจันทร์")</f>
        <v>นพอ.สรารัตน์ หาญจันทร์</v>
      </c>
      <c r="G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" s="3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50" s="3" t="str">
        <f>IFERROR(__xludf.DUMMYFUNCTION("""COMPUTED_VALUE"""),"ดุริยางค์ทหารอากาศ")</f>
        <v>ดุริยางค์ทหารอากาศ</v>
      </c>
      <c r="J50" s="12">
        <f>IFERROR(__xludf.DUMMYFUNCTION("""COMPUTED_VALUE"""),45825.0)</f>
        <v>45825</v>
      </c>
      <c r="K50" s="3" t="str">
        <f>IFERROR(__xludf.DUMMYFUNCTION("""COMPUTED_VALUE"""),"0800-1600")</f>
        <v>0800-1600</v>
      </c>
      <c r="L50" s="3">
        <f>IFERROR(__xludf.DUMMYFUNCTION("""COMPUTED_VALUE"""),8.0)</f>
        <v>8</v>
      </c>
      <c r="M50" s="3" t="str">
        <f>IFERROR(__xludf.DUMMYFUNCTION("""COMPUTED_VALUE"""),"ร.อ.อนุชิต ทำจะดี")</f>
        <v>ร.อ.อนุชิต ทำจะดี</v>
      </c>
      <c r="N50" s="14" t="str">
        <f>IFERROR(__xludf.DUMMYFUNCTION("""COMPUTED_VALUE"""),"https://lh5.googleusercontent.com/d/1ehZH4b-AA8sF9Vsq4SdIV6GRKkSmgP6U")</f>
        <v>https://lh5.googleusercontent.com/d/1ehZH4b-AA8sF9Vsq4SdIV6GRKkSmgP6U</v>
      </c>
      <c r="O50" s="14" t="str">
        <f>IFERROR(__xludf.DUMMYFUNCTION("""COMPUTED_VALUE"""),"https://drive.google.com/file/d/1T1DvGkRwCuxphxmjMMtDDTPeB4QO1Cbr/view?usp=drivesdk")</f>
        <v>https://drive.google.com/file/d/1T1DvGkRwCuxphxmjMMtDDTPeB4QO1Cbr/view?usp=drivesdk</v>
      </c>
    </row>
    <row r="51">
      <c r="A51" s="3">
        <f>IFERROR(__xludf.DUMMYFUNCTION("""COMPUTED_VALUE"""),267.0)</f>
        <v>267</v>
      </c>
      <c r="B51" s="11">
        <f>IFERROR(__xludf.DUMMYFUNCTION("""COMPUTED_VALUE"""),45985.532630567126)</f>
        <v>45985.53263</v>
      </c>
      <c r="C51" s="3" t="str">
        <f>IFERROR(__xludf.DUMMYFUNCTION("""COMPUTED_VALUE"""),"ชั้นปีที่ 2")</f>
        <v>ชั้นปีที่ 2</v>
      </c>
      <c r="D51" s="3" t="str">
        <f>IFERROR(__xludf.DUMMYFUNCTION("""COMPUTED_VALUE"""),"6703826")</f>
        <v>6703826</v>
      </c>
      <c r="E51" s="3" t="str">
        <f>IFERROR(__xludf.DUMMYFUNCTION("""COMPUTED_VALUE"""),"9")</f>
        <v>9</v>
      </c>
      <c r="F51" s="3" t="str">
        <f>IFERROR(__xludf.DUMMYFUNCTION("""COMPUTED_VALUE"""),"นพอ.ชณัฐธิดา ชูชีพ")</f>
        <v>นพอ.ชณัฐธิดา ชูชีพ</v>
      </c>
      <c r="G51" s="3" t="str">
        <f>IFERROR(__xludf.DUMMYFUNCTION("""COMPUTED_VALUE"""),"ช่วยเหลืองานภายใน วพอ.")</f>
        <v>ช่วยเหลืองานภายใน วพอ.</v>
      </c>
      <c r="H51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51" s="3" t="str">
        <f>IFERROR(__xludf.DUMMYFUNCTION("""COMPUTED_VALUE"""),"ห้องเรียน นพอ.ชั้นปีที่ 1")</f>
        <v>ห้องเรียน นพอ.ชั้นปีที่ 1</v>
      </c>
      <c r="J51" s="12">
        <f>IFERROR(__xludf.DUMMYFUNCTION("""COMPUTED_VALUE"""),45984.0)</f>
        <v>45984</v>
      </c>
      <c r="K51" s="3" t="str">
        <f>IFERROR(__xludf.DUMMYFUNCTION("""COMPUTED_VALUE"""),"1000-1800")</f>
        <v>1000-1800</v>
      </c>
      <c r="L51" s="3">
        <f>IFERROR(__xludf.DUMMYFUNCTION("""COMPUTED_VALUE"""),8.0)</f>
        <v>8</v>
      </c>
      <c r="M51" s="3" t="str">
        <f>IFERROR(__xludf.DUMMYFUNCTION("""COMPUTED_VALUE"""),"ร.ท.เรวัติ วัชรสิทธิ์")</f>
        <v>ร.ท.เรวัติ วัชรสิทธิ์</v>
      </c>
      <c r="N51" s="14" t="str">
        <f>IFERROR(__xludf.DUMMYFUNCTION("""COMPUTED_VALUE"""),"https://lh5.googleusercontent.com/d/1Tc8ENbmb2ObkWAlEuwNzhwOYP3lwDSZC")</f>
        <v>https://lh5.googleusercontent.com/d/1Tc8ENbmb2ObkWAlEuwNzhwOYP3lwDSZC</v>
      </c>
      <c r="O51" s="14" t="str">
        <f>IFERROR(__xludf.DUMMYFUNCTION("""COMPUTED_VALUE"""),"https://drive.google.com/file/d/1-kYbScVJ2ECKbwvwh2bFPv4c6u99y1rl/view?usp=drivesdk")</f>
        <v>https://drive.google.com/file/d/1-kYbScVJ2ECKbwvwh2bFPv4c6u99y1rl/view?usp=drivesdk</v>
      </c>
    </row>
    <row r="52">
      <c r="A52" s="3">
        <f>IFERROR(__xludf.DUMMYFUNCTION("""COMPUTED_VALUE"""),268.0)</f>
        <v>268</v>
      </c>
      <c r="B52" s="11">
        <f>IFERROR(__xludf.DUMMYFUNCTION("""COMPUTED_VALUE"""),45985.535185)</f>
        <v>45985.53519</v>
      </c>
      <c r="C52" s="3" t="str">
        <f>IFERROR(__xludf.DUMMYFUNCTION("""COMPUTED_VALUE"""),"ชั้นปีที่ 2")</f>
        <v>ชั้นปีที่ 2</v>
      </c>
      <c r="D52" s="3" t="str">
        <f>IFERROR(__xludf.DUMMYFUNCTION("""COMPUTED_VALUE"""),"6703836")</f>
        <v>6703836</v>
      </c>
      <c r="E52" s="3" t="str">
        <f>IFERROR(__xludf.DUMMYFUNCTION("""COMPUTED_VALUE"""),"19")</f>
        <v>19</v>
      </c>
      <c r="F52" s="3" t="str">
        <f>IFERROR(__xludf.DUMMYFUNCTION("""COMPUTED_VALUE"""),"นพอ.ณัฐธิดา จันทร์อนันต์")</f>
        <v>นพอ.ณัฐธิดา จันทร์อนันต์</v>
      </c>
      <c r="G52" s="3" t="str">
        <f>IFERROR(__xludf.DUMMYFUNCTION("""COMPUTED_VALUE"""),"ช่วยเหลืองานภายใน วพอ.")</f>
        <v>ช่วยเหลืองานภายใน วพอ.</v>
      </c>
      <c r="H52" s="3" t="str">
        <f>IFERROR(__xludf.DUMMYFUNCTION("""COMPUTED_VALUE"""),"จัดห้องพักผ่อนนพอ.")</f>
        <v>จัดห้องพักผ่อนนพอ.</v>
      </c>
      <c r="I52" s="3" t="str">
        <f>IFERROR(__xludf.DUMMYFUNCTION("""COMPUTED_VALUE"""),"อาคารเรียน")</f>
        <v>อาคารเรียน</v>
      </c>
      <c r="J52" s="12">
        <f>IFERROR(__xludf.DUMMYFUNCTION("""COMPUTED_VALUE"""),45875.0)</f>
        <v>45875</v>
      </c>
      <c r="K52" s="3" t="str">
        <f>IFERROR(__xludf.DUMMYFUNCTION("""COMPUTED_VALUE"""),"0700-1300")</f>
        <v>0700-1300</v>
      </c>
      <c r="L52" s="3">
        <f>IFERROR(__xludf.DUMMYFUNCTION("""COMPUTED_VALUE"""),6.0)</f>
        <v>6</v>
      </c>
      <c r="M52" s="3" t="str">
        <f>IFERROR(__xludf.DUMMYFUNCTION("""COMPUTED_VALUE"""),"จ.อ.หญิง ปทิตตา สุขจิตเวชธาดา")</f>
        <v>จ.อ.หญิง ปทิตตา สุขจิตเวชธาดา</v>
      </c>
      <c r="N52" s="14" t="str">
        <f>IFERROR(__xludf.DUMMYFUNCTION("""COMPUTED_VALUE"""),"https://lh5.googleusercontent.com/d/1Tzl9W2v0R7r1512Z3RL7Ul_YurlAFkVr")</f>
        <v>https://lh5.googleusercontent.com/d/1Tzl9W2v0R7r1512Z3RL7Ul_YurlAFkVr</v>
      </c>
      <c r="O52" s="14" t="str">
        <f>IFERROR(__xludf.DUMMYFUNCTION("""COMPUTED_VALUE"""),"https://drive.google.com/file/d/1QyLbM3Xzdx3iX75TD5amJThpPIZ-E9HK/view?usp=drivesdk")</f>
        <v>https://drive.google.com/file/d/1QyLbM3Xzdx3iX75TD5amJThpPIZ-E9HK/view?usp=drivesdk</v>
      </c>
    </row>
    <row r="53">
      <c r="A53" s="3">
        <f>IFERROR(__xludf.DUMMYFUNCTION("""COMPUTED_VALUE"""),269.0)</f>
        <v>269</v>
      </c>
      <c r="B53" s="11">
        <f>IFERROR(__xludf.DUMMYFUNCTION("""COMPUTED_VALUE"""),45985.538213101856)</f>
        <v>45985.53821</v>
      </c>
      <c r="C53" s="3" t="str">
        <f>IFERROR(__xludf.DUMMYFUNCTION("""COMPUTED_VALUE"""),"ชั้นปีที่ 2")</f>
        <v>ชั้นปีที่ 2</v>
      </c>
      <c r="D53" s="3" t="str">
        <f>IFERROR(__xludf.DUMMYFUNCTION("""COMPUTED_VALUE"""),"6703836")</f>
        <v>6703836</v>
      </c>
      <c r="E53" s="3" t="str">
        <f>IFERROR(__xludf.DUMMYFUNCTION("""COMPUTED_VALUE"""),"19")</f>
        <v>19</v>
      </c>
      <c r="F53" s="3" t="str">
        <f>IFERROR(__xludf.DUMMYFUNCTION("""COMPUTED_VALUE"""),"นพอ.ณัฐธิดา จันทร์อนันต์")</f>
        <v>นพอ.ณัฐธิดา จันทร์อนันต์</v>
      </c>
      <c r="G53" s="3" t="str">
        <f>IFERROR(__xludf.DUMMYFUNCTION("""COMPUTED_VALUE"""),"ช่วยเหลืองานภายใน วพอ.")</f>
        <v>ช่วยเหลืองานภายใน วพอ.</v>
      </c>
      <c r="H53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53" s="3" t="str">
        <f>IFERROR(__xludf.DUMMYFUNCTION("""COMPUTED_VALUE"""),"ห้องเรียนชั้นปีที่1")</f>
        <v>ห้องเรียนชั้นปีที่1</v>
      </c>
      <c r="J53" s="12">
        <f>IFERROR(__xludf.DUMMYFUNCTION("""COMPUTED_VALUE"""),45984.0)</f>
        <v>45984</v>
      </c>
      <c r="K53" s="3" t="str">
        <f>IFERROR(__xludf.DUMMYFUNCTION("""COMPUTED_VALUE"""),"1000-1800")</f>
        <v>1000-1800</v>
      </c>
      <c r="L53" s="3">
        <f>IFERROR(__xludf.DUMMYFUNCTION("""COMPUTED_VALUE"""),8.0)</f>
        <v>8</v>
      </c>
      <c r="M53" s="3" t="str">
        <f>IFERROR(__xludf.DUMMYFUNCTION("""COMPUTED_VALUE"""),"ร.ท.เรวัติ วัชรสิทธิ์")</f>
        <v>ร.ท.เรวัติ วัชรสิทธิ์</v>
      </c>
      <c r="N53" s="14" t="str">
        <f>IFERROR(__xludf.DUMMYFUNCTION("""COMPUTED_VALUE"""),"https://lh5.googleusercontent.com/d/1ybh2wDJbNgFskXIqIuqzk1tkoGg8T7SY")</f>
        <v>https://lh5.googleusercontent.com/d/1ybh2wDJbNgFskXIqIuqzk1tkoGg8T7SY</v>
      </c>
      <c r="O53" s="14" t="str">
        <f>IFERROR(__xludf.DUMMYFUNCTION("""COMPUTED_VALUE"""),"https://drive.google.com/file/d/1Z3Naoc44ufA86pEZcM2Xcf_ADv-JjbAn/view?usp=drivesdk")</f>
        <v>https://drive.google.com/file/d/1Z3Naoc44ufA86pEZcM2Xcf_ADv-JjbAn/view?usp=drivesdk</v>
      </c>
    </row>
    <row r="54">
      <c r="A54" s="3">
        <f>IFERROR(__xludf.DUMMYFUNCTION("""COMPUTED_VALUE"""),270.0)</f>
        <v>270</v>
      </c>
      <c r="B54" s="11">
        <f>IFERROR(__xludf.DUMMYFUNCTION("""COMPUTED_VALUE"""),45985.538291770834)</f>
        <v>45985.53829</v>
      </c>
      <c r="C54" s="3" t="str">
        <f>IFERROR(__xludf.DUMMYFUNCTION("""COMPUTED_VALUE"""),"ชั้นปีที่ 2")</f>
        <v>ชั้นปีที่ 2</v>
      </c>
      <c r="D54" s="3" t="str">
        <f>IFERROR(__xludf.DUMMYFUNCTION("""COMPUTED_VALUE"""),"6703849")</f>
        <v>6703849</v>
      </c>
      <c r="E54" s="3" t="str">
        <f>IFERROR(__xludf.DUMMYFUNCTION("""COMPUTED_VALUE"""),"31")</f>
        <v>31</v>
      </c>
      <c r="F54" s="3" t="str">
        <f>IFERROR(__xludf.DUMMYFUNCTION("""COMPUTED_VALUE"""),"นพอ.ปภาดา สุจิณณานนท์")</f>
        <v>นพอ.ปภาดา สุจิณณานนท์</v>
      </c>
      <c r="G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5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54" s="12">
        <f>IFERROR(__xludf.DUMMYFUNCTION("""COMPUTED_VALUE"""),45839.0)</f>
        <v>45839</v>
      </c>
      <c r="K54" s="3" t="str">
        <f>IFERROR(__xludf.DUMMYFUNCTION("""COMPUTED_VALUE"""),"1400-2200")</f>
        <v>1400-2200</v>
      </c>
      <c r="L54" s="3">
        <f>IFERROR(__xludf.DUMMYFUNCTION("""COMPUTED_VALUE"""),8.0)</f>
        <v>8</v>
      </c>
      <c r="M54" s="3" t="str">
        <f>IFERROR(__xludf.DUMMYFUNCTION("""COMPUTED_VALUE"""),"ร.อ.อนุชิต ทำจะดี")</f>
        <v>ร.อ.อนุชิต ทำจะดี</v>
      </c>
      <c r="N54" s="14" t="str">
        <f>IFERROR(__xludf.DUMMYFUNCTION("""COMPUTED_VALUE"""),"https://lh5.googleusercontent.com/d/1W1KjKgERilyOhmjCvTW5WXWzAriV9FV7")</f>
        <v>https://lh5.googleusercontent.com/d/1W1KjKgERilyOhmjCvTW5WXWzAriV9FV7</v>
      </c>
      <c r="O54" s="14" t="str">
        <f>IFERROR(__xludf.DUMMYFUNCTION("""COMPUTED_VALUE"""),"https://drive.google.com/file/d/1WpoiCX0kE286Y72TyJHw3nAPE77lPYXA/view?usp=drivesdk")</f>
        <v>https://drive.google.com/file/d/1WpoiCX0kE286Y72TyJHw3nAPE77lPYXA/view?usp=drivesdk</v>
      </c>
    </row>
    <row r="55">
      <c r="A55" s="3">
        <f>IFERROR(__xludf.DUMMYFUNCTION("""COMPUTED_VALUE"""),271.0)</f>
        <v>271</v>
      </c>
      <c r="B55" s="11">
        <f>IFERROR(__xludf.DUMMYFUNCTION("""COMPUTED_VALUE"""),45985.53917386574)</f>
        <v>45985.53917</v>
      </c>
      <c r="C55" s="3" t="str">
        <f>IFERROR(__xludf.DUMMYFUNCTION("""COMPUTED_VALUE"""),"ชั้นปีที่ 2")</f>
        <v>ชั้นปีที่ 2</v>
      </c>
      <c r="D55" s="3" t="str">
        <f>IFERROR(__xludf.DUMMYFUNCTION("""COMPUTED_VALUE"""),"6703835")</f>
        <v>6703835</v>
      </c>
      <c r="E55" s="3" t="str">
        <f>IFERROR(__xludf.DUMMYFUNCTION("""COMPUTED_VALUE"""),"18")</f>
        <v>18</v>
      </c>
      <c r="F55" s="3" t="str">
        <f>IFERROR(__xludf.DUMMYFUNCTION("""COMPUTED_VALUE"""),"นพอ.ณัฐณิชา พิทักษ์สันติ")</f>
        <v>นพอ.ณัฐณิชา พิทักษ์สันติ</v>
      </c>
      <c r="G5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" s="3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55" s="3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55" s="12">
        <f>IFERROR(__xludf.DUMMYFUNCTION("""COMPUTED_VALUE"""),45977.0)</f>
        <v>45977</v>
      </c>
      <c r="K55" s="3" t="str">
        <f>IFERROR(__xludf.DUMMYFUNCTION("""COMPUTED_VALUE"""),"0600-1000")</f>
        <v>0600-1000</v>
      </c>
      <c r="L55" s="3">
        <f>IFERROR(__xludf.DUMMYFUNCTION("""COMPUTED_VALUE"""),4.0)</f>
        <v>4</v>
      </c>
      <c r="M5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5" s="14" t="str">
        <f>IFERROR(__xludf.DUMMYFUNCTION("""COMPUTED_VALUE"""),"https://lh5.googleusercontent.com/d/1eMZ9m29qWHq43t2dJb_syatkiVqq70Ad")</f>
        <v>https://lh5.googleusercontent.com/d/1eMZ9m29qWHq43t2dJb_syatkiVqq70Ad</v>
      </c>
      <c r="O55" s="14" t="str">
        <f>IFERROR(__xludf.DUMMYFUNCTION("""COMPUTED_VALUE"""),"https://drive.google.com/file/d/1xE6rhesLCkQDb1gjBX9OmsDLXhbQ0DKR/view?usp=drivesdk")</f>
        <v>https://drive.google.com/file/d/1xE6rhesLCkQDb1gjBX9OmsDLXhbQ0DKR/view?usp=drivesdk</v>
      </c>
    </row>
    <row r="56">
      <c r="A56" s="3">
        <f>IFERROR(__xludf.DUMMYFUNCTION("""COMPUTED_VALUE"""),272.0)</f>
        <v>272</v>
      </c>
      <c r="B56" s="11">
        <f>IFERROR(__xludf.DUMMYFUNCTION("""COMPUTED_VALUE"""),45985.54025782407)</f>
        <v>45985.54026</v>
      </c>
      <c r="C56" s="3" t="str">
        <f>IFERROR(__xludf.DUMMYFUNCTION("""COMPUTED_VALUE"""),"ชั้นปีที่ 2")</f>
        <v>ชั้นปีที่ 2</v>
      </c>
      <c r="D56" s="3" t="str">
        <f>IFERROR(__xludf.DUMMYFUNCTION("""COMPUTED_VALUE"""),"6703875")</f>
        <v>6703875</v>
      </c>
      <c r="E56" s="3" t="str">
        <f>IFERROR(__xludf.DUMMYFUNCTION("""COMPUTED_VALUE"""),"56")</f>
        <v>56</v>
      </c>
      <c r="F56" s="3" t="str">
        <f>IFERROR(__xludf.DUMMYFUNCTION("""COMPUTED_VALUE"""),"นพอ.สิริณัฏฐ์ บรรจงพินิจ")</f>
        <v>นพอ.สิริณัฏฐ์ บรรจงพินิจ</v>
      </c>
      <c r="G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" s="3" t="str">
        <f>IFERROR(__xludf.DUMMYFUNCTION("""COMPUTED_VALUE"""),"ค่ายอบรมเยาวชนพัฒนา รร.โยธินบูรณะ")</f>
        <v>ค่ายอบรมเยาวชนพัฒนา รร.โยธินบูรณะ</v>
      </c>
      <c r="I56" s="3" t="str">
        <f>IFERROR(__xludf.DUMMYFUNCTION("""COMPUTED_VALUE"""),"รร.นายร้อยพระจุลจอมเกล้า จ.นครนายก")</f>
        <v>รร.นายร้อยพระจุลจอมเกล้า จ.นครนายก</v>
      </c>
      <c r="J56" s="12">
        <f>IFERROR(__xludf.DUMMYFUNCTION("""COMPUTED_VALUE"""),45961.0)</f>
        <v>45961</v>
      </c>
      <c r="K56" s="3" t="str">
        <f>IFERROR(__xludf.DUMMYFUNCTION("""COMPUTED_VALUE"""),"1700-2100")</f>
        <v>1700-2100</v>
      </c>
      <c r="L56" s="3">
        <f>IFERROR(__xludf.DUMMYFUNCTION("""COMPUTED_VALUE"""),4.0)</f>
        <v>4</v>
      </c>
      <c r="M5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6" s="14" t="str">
        <f>IFERROR(__xludf.DUMMYFUNCTION("""COMPUTED_VALUE"""),"https://lh5.googleusercontent.com/d/1SRJxw67XZMfMCedAObvNgzdfN6hfi0kH")</f>
        <v>https://lh5.googleusercontent.com/d/1SRJxw67XZMfMCedAObvNgzdfN6hfi0kH</v>
      </c>
      <c r="O56" s="14" t="str">
        <f>IFERROR(__xludf.DUMMYFUNCTION("""COMPUTED_VALUE"""),"https://drive.google.com/file/d/1m1nVBV1JnD08hHiHscjEUilyks-XEr_t/view?usp=drivesdk")</f>
        <v>https://drive.google.com/file/d/1m1nVBV1JnD08hHiHscjEUilyks-XEr_t/view?usp=drivesdk</v>
      </c>
    </row>
    <row r="57">
      <c r="A57" s="3">
        <f>IFERROR(__xludf.DUMMYFUNCTION("""COMPUTED_VALUE"""),273.0)</f>
        <v>273</v>
      </c>
      <c r="B57" s="11">
        <f>IFERROR(__xludf.DUMMYFUNCTION("""COMPUTED_VALUE"""),45985.5412697338)</f>
        <v>45985.54127</v>
      </c>
      <c r="C57" s="3" t="str">
        <f>IFERROR(__xludf.DUMMYFUNCTION("""COMPUTED_VALUE"""),"ชั้นปีที่ 2")</f>
        <v>ชั้นปีที่ 2</v>
      </c>
      <c r="D57" s="3" t="str">
        <f>IFERROR(__xludf.DUMMYFUNCTION("""COMPUTED_VALUE"""),"6703830")</f>
        <v>6703830</v>
      </c>
      <c r="E57" s="3" t="str">
        <f>IFERROR(__xludf.DUMMYFUNCTION("""COMPUTED_VALUE"""),"13")</f>
        <v>13</v>
      </c>
      <c r="F57" s="3" t="str">
        <f>IFERROR(__xludf.DUMMYFUNCTION("""COMPUTED_VALUE"""),"นพอ.โชติกา กัลศักดิ์ปภา")</f>
        <v>นพอ.โชติกา กัลศักดิ์ปภา</v>
      </c>
      <c r="G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57" s="3" t="str">
        <f>IFERROR(__xludf.DUMMYFUNCTION("""COMPUTED_VALUE"""),"ดุริยางค์ทหารอากาศ")</f>
        <v>ดุริยางค์ทหารอากาศ</v>
      </c>
      <c r="J57" s="12">
        <f>IFERROR(__xludf.DUMMYFUNCTION("""COMPUTED_VALUE"""),45825.0)</f>
        <v>45825</v>
      </c>
      <c r="K57" s="3" t="str">
        <f>IFERROR(__xludf.DUMMYFUNCTION("""COMPUTED_VALUE"""),"0800-1600")</f>
        <v>0800-1600</v>
      </c>
      <c r="L57" s="3">
        <f>IFERROR(__xludf.DUMMYFUNCTION("""COMPUTED_VALUE"""),8.0)</f>
        <v>8</v>
      </c>
      <c r="M57" s="3" t="str">
        <f>IFERROR(__xludf.DUMMYFUNCTION("""COMPUTED_VALUE"""),"ร.อ. อนุชิต ทำจะดี")</f>
        <v>ร.อ. อนุชิต ทำจะดี</v>
      </c>
      <c r="N57" s="14" t="str">
        <f>IFERROR(__xludf.DUMMYFUNCTION("""COMPUTED_VALUE"""),"https://lh5.googleusercontent.com/d/1VXIxtvEs9X06yL7uoxWjBczxlEvpwPUx")</f>
        <v>https://lh5.googleusercontent.com/d/1VXIxtvEs9X06yL7uoxWjBczxlEvpwPUx</v>
      </c>
      <c r="O57" s="14" t="str">
        <f>IFERROR(__xludf.DUMMYFUNCTION("""COMPUTED_VALUE"""),"https://drive.google.com/file/d/1wOZCOaEKLumyXoUts7uyb5wM-J2e1F7R/view?usp=drivesdk")</f>
        <v>https://drive.google.com/file/d/1wOZCOaEKLumyXoUts7uyb5wM-J2e1F7R/view?usp=drivesdk</v>
      </c>
    </row>
    <row r="58">
      <c r="A58" s="3">
        <f>IFERROR(__xludf.DUMMYFUNCTION("""COMPUTED_VALUE"""),274.0)</f>
        <v>274</v>
      </c>
      <c r="B58" s="11">
        <f>IFERROR(__xludf.DUMMYFUNCTION("""COMPUTED_VALUE"""),45985.54368156249)</f>
        <v>45985.54368</v>
      </c>
      <c r="C58" s="3" t="str">
        <f>IFERROR(__xludf.DUMMYFUNCTION("""COMPUTED_VALUE"""),"ชั้นปีที่ 2")</f>
        <v>ชั้นปีที่ 2</v>
      </c>
      <c r="D58" s="3" t="str">
        <f>IFERROR(__xludf.DUMMYFUNCTION("""COMPUTED_VALUE"""),"6703875")</f>
        <v>6703875</v>
      </c>
      <c r="E58" s="3" t="str">
        <f>IFERROR(__xludf.DUMMYFUNCTION("""COMPUTED_VALUE"""),"56")</f>
        <v>56</v>
      </c>
      <c r="F58" s="3" t="str">
        <f>IFERROR(__xludf.DUMMYFUNCTION("""COMPUTED_VALUE"""),"นพอ.สิริณัฏฐ์ บรรจงพินิจ")</f>
        <v>นพอ.สิริณัฏฐ์ บรรจงพินิจ</v>
      </c>
      <c r="G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8" s="3" t="str">
        <f>IFERROR(__xludf.DUMMYFUNCTION("""COMPUTED_VALUE"""),"ค่ายอบรมเยาวชนพัฒนา รร.โยธินบูรณะ")</f>
        <v>ค่ายอบรมเยาวชนพัฒนา รร.โยธินบูรณะ</v>
      </c>
      <c r="I58" s="3" t="str">
        <f>IFERROR(__xludf.DUMMYFUNCTION("""COMPUTED_VALUE"""),"รร.นายร้อยพระจุลจอมเกล้า จ.นครนายก")</f>
        <v>รร.นายร้อยพระจุลจอมเกล้า จ.นครนายก</v>
      </c>
      <c r="J58" s="12">
        <f>IFERROR(__xludf.DUMMYFUNCTION("""COMPUTED_VALUE"""),45962.0)</f>
        <v>45962</v>
      </c>
      <c r="K58" s="3" t="str">
        <f>IFERROR(__xludf.DUMMYFUNCTION("""COMPUTED_VALUE"""),"0800-1600")</f>
        <v>0800-1600</v>
      </c>
      <c r="L58" s="3">
        <f>IFERROR(__xludf.DUMMYFUNCTION("""COMPUTED_VALUE"""),8.0)</f>
        <v>8</v>
      </c>
      <c r="M5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8" s="14" t="str">
        <f>IFERROR(__xludf.DUMMYFUNCTION("""COMPUTED_VALUE"""),"https://lh5.googleusercontent.com/d/1sNDqUYfzzaF4Nt2DS0yRi17qzRbZa0Ma")</f>
        <v>https://lh5.googleusercontent.com/d/1sNDqUYfzzaF4Nt2DS0yRi17qzRbZa0Ma</v>
      </c>
      <c r="O58" s="14" t="str">
        <f>IFERROR(__xludf.DUMMYFUNCTION("""COMPUTED_VALUE"""),"https://drive.google.com/file/d/1uCyuuBHHYfamg6yQ2NagRMZj_U4HoTkI/view?usp=drivesdk")</f>
        <v>https://drive.google.com/file/d/1uCyuuBHHYfamg6yQ2NagRMZj_U4HoTkI/view?usp=drivesdk</v>
      </c>
    </row>
    <row r="59">
      <c r="A59" s="3">
        <f>IFERROR(__xludf.DUMMYFUNCTION("""COMPUTED_VALUE"""),275.0)</f>
        <v>275</v>
      </c>
      <c r="B59" s="11">
        <f>IFERROR(__xludf.DUMMYFUNCTION("""COMPUTED_VALUE"""),45985.54389148148)</f>
        <v>45985.54389</v>
      </c>
      <c r="C59" s="3" t="str">
        <f>IFERROR(__xludf.DUMMYFUNCTION("""COMPUTED_VALUE"""),"ชั้นปีที่ 2")</f>
        <v>ชั้นปีที่ 2</v>
      </c>
      <c r="D59" s="3" t="str">
        <f>IFERROR(__xludf.DUMMYFUNCTION("""COMPUTED_VALUE"""),"6703830")</f>
        <v>6703830</v>
      </c>
      <c r="E59" s="3" t="str">
        <f>IFERROR(__xludf.DUMMYFUNCTION("""COMPUTED_VALUE"""),"13")</f>
        <v>13</v>
      </c>
      <c r="F59" s="3" t="str">
        <f>IFERROR(__xludf.DUMMYFUNCTION("""COMPUTED_VALUE"""),"นพอ.โชติกา กัลศักดิ์ปภา")</f>
        <v>นพอ.โชติกา กัลศักดิ์ปภา</v>
      </c>
      <c r="G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59" s="3" t="str">
        <f>IFERROR(__xludf.DUMMYFUNCTION("""COMPUTED_VALUE"""),"กองบัญชาการกองทัพอากาศ")</f>
        <v>กองบัญชาการกองทัพอากาศ</v>
      </c>
      <c r="J59" s="12">
        <f>IFERROR(__xludf.DUMMYFUNCTION("""COMPUTED_VALUE"""),45833.0)</f>
        <v>45833</v>
      </c>
      <c r="K59" s="3" t="str">
        <f>IFERROR(__xludf.DUMMYFUNCTION("""COMPUTED_VALUE"""),"0800-1600")</f>
        <v>0800-1600</v>
      </c>
      <c r="L59" s="3">
        <f>IFERROR(__xludf.DUMMYFUNCTION("""COMPUTED_VALUE"""),8.0)</f>
        <v>8</v>
      </c>
      <c r="M59" s="3" t="str">
        <f>IFERROR(__xludf.DUMMYFUNCTION("""COMPUTED_VALUE"""),"ร.อ. อนุชิต ทำจะดี")</f>
        <v>ร.อ. อนุชิต ทำจะดี</v>
      </c>
      <c r="N59" s="14" t="str">
        <f>IFERROR(__xludf.DUMMYFUNCTION("""COMPUTED_VALUE"""),"https://lh5.googleusercontent.com/d/1UoRPq1cidPbh9zWHjUrB9gvJBfek82WW")</f>
        <v>https://lh5.googleusercontent.com/d/1UoRPq1cidPbh9zWHjUrB9gvJBfek82WW</v>
      </c>
      <c r="O59" s="14" t="str">
        <f>IFERROR(__xludf.DUMMYFUNCTION("""COMPUTED_VALUE"""),"https://drive.google.com/file/d/1nFC8DeSWQ2y8klhYgCcYGReXQIBAPilS/view?usp=drivesdk")</f>
        <v>https://drive.google.com/file/d/1nFC8DeSWQ2y8klhYgCcYGReXQIBAPilS/view?usp=drivesdk</v>
      </c>
    </row>
    <row r="60">
      <c r="A60" s="3">
        <f>IFERROR(__xludf.DUMMYFUNCTION("""COMPUTED_VALUE"""),276.0)</f>
        <v>276</v>
      </c>
      <c r="B60" s="11">
        <f>IFERROR(__xludf.DUMMYFUNCTION("""COMPUTED_VALUE"""),45985.54521287038)</f>
        <v>45985.54521</v>
      </c>
      <c r="C60" s="3" t="str">
        <f>IFERROR(__xludf.DUMMYFUNCTION("""COMPUTED_VALUE"""),"ชั้นปีที่ 2")</f>
        <v>ชั้นปีที่ 2</v>
      </c>
      <c r="D60" s="3" t="str">
        <f>IFERROR(__xludf.DUMMYFUNCTION("""COMPUTED_VALUE"""),"6703875")</f>
        <v>6703875</v>
      </c>
      <c r="E60" s="3" t="str">
        <f>IFERROR(__xludf.DUMMYFUNCTION("""COMPUTED_VALUE"""),"56")</f>
        <v>56</v>
      </c>
      <c r="F60" s="3" t="str">
        <f>IFERROR(__xludf.DUMMYFUNCTION("""COMPUTED_VALUE"""),"นพอ.สิริณัฏฐ์ บรรจงพินิจ")</f>
        <v>นพอ.สิริณัฏฐ์ บรรจงพินิจ</v>
      </c>
      <c r="G6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0" s="3" t="str">
        <f>IFERROR(__xludf.DUMMYFUNCTION("""COMPUTED_VALUE"""),"ค่ายอบรมเยาวชนพัฒนา รร.โยธินบูรณะ")</f>
        <v>ค่ายอบรมเยาวชนพัฒนา รร.โยธินบูรณะ</v>
      </c>
      <c r="I60" s="3" t="str">
        <f>IFERROR(__xludf.DUMMYFUNCTION("""COMPUTED_VALUE"""),"รร.นายร้อยพระจุลจอมเกล้า จ.นครนายก")</f>
        <v>รร.นายร้อยพระจุลจอมเกล้า จ.นครนายก</v>
      </c>
      <c r="J60" s="12">
        <f>IFERROR(__xludf.DUMMYFUNCTION("""COMPUTED_VALUE"""),45963.0)</f>
        <v>45963</v>
      </c>
      <c r="K60" s="3" t="str">
        <f>IFERROR(__xludf.DUMMYFUNCTION("""COMPUTED_VALUE"""),"0800-1600")</f>
        <v>0800-1600</v>
      </c>
      <c r="L60" s="3">
        <f>IFERROR(__xludf.DUMMYFUNCTION("""COMPUTED_VALUE"""),8.0)</f>
        <v>8</v>
      </c>
      <c r="M6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0" s="14" t="str">
        <f>IFERROR(__xludf.DUMMYFUNCTION("""COMPUTED_VALUE"""),"https://lh5.googleusercontent.com/d/1jw9duj5RsezNsaJV8cTvyojJuMsD-JCD")</f>
        <v>https://lh5.googleusercontent.com/d/1jw9duj5RsezNsaJV8cTvyojJuMsD-JCD</v>
      </c>
      <c r="O60" s="14" t="str">
        <f>IFERROR(__xludf.DUMMYFUNCTION("""COMPUTED_VALUE"""),"https://drive.google.com/file/d/1R0gnrIePDwfsfBdWp7n1Y8CipWuyY3JI/view?usp=drivesdk")</f>
        <v>https://drive.google.com/file/d/1R0gnrIePDwfsfBdWp7n1Y8CipWuyY3JI/view?usp=drivesdk</v>
      </c>
    </row>
    <row r="61">
      <c r="A61" s="3">
        <f>IFERROR(__xludf.DUMMYFUNCTION("""COMPUTED_VALUE"""),278.0)</f>
        <v>278</v>
      </c>
      <c r="B61" s="11">
        <f>IFERROR(__xludf.DUMMYFUNCTION("""COMPUTED_VALUE"""),45985.550854375004)</f>
        <v>45985.55085</v>
      </c>
      <c r="C61" s="3" t="str">
        <f>IFERROR(__xludf.DUMMYFUNCTION("""COMPUTED_VALUE"""),"ชั้นปีที่ 2")</f>
        <v>ชั้นปีที่ 2</v>
      </c>
      <c r="D61" s="3" t="str">
        <f>IFERROR(__xludf.DUMMYFUNCTION("""COMPUTED_VALUE"""),"6703874")</f>
        <v>6703874</v>
      </c>
      <c r="E61" s="3" t="str">
        <f>IFERROR(__xludf.DUMMYFUNCTION("""COMPUTED_VALUE"""),"55")</f>
        <v>55</v>
      </c>
      <c r="F61" s="3" t="str">
        <f>IFERROR(__xludf.DUMMYFUNCTION("""COMPUTED_VALUE"""),"นพอ.สรารัตน์ หาญจันทร์")</f>
        <v>นพอ.สรารัตน์ หาญจันทร์</v>
      </c>
      <c r="G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" s="3" t="str">
        <f>IFERROR(__xludf.DUMMYFUNCTION("""COMPUTED_VALUE""")," ซ้อมร้องประสานเสียงงานคอนเสิร์ตทัพฟ้า ")</f>
        <v> ซ้อมร้องประสานเสียงงานคอนเสิร์ตทัพฟ้า </v>
      </c>
      <c r="I61" s="3" t="str">
        <f>IFERROR(__xludf.DUMMYFUNCTION("""COMPUTED_VALUE"""),"ดุริยางค์ทหารอากาศ")</f>
        <v>ดุริยางค์ทหารอากาศ</v>
      </c>
      <c r="J61" s="12">
        <f>IFERROR(__xludf.DUMMYFUNCTION("""COMPUTED_VALUE"""),45825.0)</f>
        <v>45825</v>
      </c>
      <c r="K61" s="3" t="str">
        <f>IFERROR(__xludf.DUMMYFUNCTION("""COMPUTED_VALUE"""),"0800-1600")</f>
        <v>0800-1600</v>
      </c>
      <c r="L61" s="3">
        <f>IFERROR(__xludf.DUMMYFUNCTION("""COMPUTED_VALUE"""),8.0)</f>
        <v>8</v>
      </c>
      <c r="M61" s="3" t="str">
        <f>IFERROR(__xludf.DUMMYFUNCTION("""COMPUTED_VALUE"""),"ร.อ.อนุชิต ทำจะดี")</f>
        <v>ร.อ.อนุชิต ทำจะดี</v>
      </c>
      <c r="N61" s="14" t="str">
        <f>IFERROR(__xludf.DUMMYFUNCTION("""COMPUTED_VALUE"""),"https://lh5.googleusercontent.com/d/1S8tYAavtLb0O1HkJxowho_oIZN_zo1g7")</f>
        <v>https://lh5.googleusercontent.com/d/1S8tYAavtLb0O1HkJxowho_oIZN_zo1g7</v>
      </c>
      <c r="O61" s="14" t="str">
        <f>IFERROR(__xludf.DUMMYFUNCTION("""COMPUTED_VALUE"""),"https://drive.google.com/file/d/1KkIGK7XBKQqslYUtRNnADSC0weUTL4k0/view?usp=drivesdk")</f>
        <v>https://drive.google.com/file/d/1KkIGK7XBKQqslYUtRNnADSC0weUTL4k0/view?usp=drivesdk</v>
      </c>
    </row>
    <row r="62">
      <c r="A62" s="3">
        <f>IFERROR(__xludf.DUMMYFUNCTION("""COMPUTED_VALUE"""),279.0)</f>
        <v>279</v>
      </c>
      <c r="B62" s="11">
        <f>IFERROR(__xludf.DUMMYFUNCTION("""COMPUTED_VALUE"""),45985.55331802084)</f>
        <v>45985.55332</v>
      </c>
      <c r="C62" s="3" t="str">
        <f>IFERROR(__xludf.DUMMYFUNCTION("""COMPUTED_VALUE"""),"ชั้นปีที่ 2")</f>
        <v>ชั้นปีที่ 2</v>
      </c>
      <c r="D62" s="3" t="str">
        <f>IFERROR(__xludf.DUMMYFUNCTION("""COMPUTED_VALUE"""),"6703830")</f>
        <v>6703830</v>
      </c>
      <c r="E62" s="3" t="str">
        <f>IFERROR(__xludf.DUMMYFUNCTION("""COMPUTED_VALUE"""),"13")</f>
        <v>13</v>
      </c>
      <c r="F62" s="3" t="str">
        <f>IFERROR(__xludf.DUMMYFUNCTION("""COMPUTED_VALUE"""),"นพอ.โชติกา กัลศักดิ์ปภา")</f>
        <v>นพอ.โชติกา กัลศักดิ์ปภา</v>
      </c>
      <c r="G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6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62" s="12">
        <f>IFERROR(__xludf.DUMMYFUNCTION("""COMPUTED_VALUE"""),45838.0)</f>
        <v>45838</v>
      </c>
      <c r="K62" s="3" t="str">
        <f>IFERROR(__xludf.DUMMYFUNCTION("""COMPUTED_VALUE"""),"1400-2200")</f>
        <v>1400-2200</v>
      </c>
      <c r="L62" s="3">
        <f>IFERROR(__xludf.DUMMYFUNCTION("""COMPUTED_VALUE"""),8.0)</f>
        <v>8</v>
      </c>
      <c r="M62" s="3" t="str">
        <f>IFERROR(__xludf.DUMMYFUNCTION("""COMPUTED_VALUE"""),"ร.อ. อนุชิต ทำจะดี")</f>
        <v>ร.อ. อนุชิต ทำจะดี</v>
      </c>
      <c r="N62" s="14" t="str">
        <f>IFERROR(__xludf.DUMMYFUNCTION("""COMPUTED_VALUE"""),"https://lh5.googleusercontent.com/d/1LpjjGtLjmIPeMZRiof0kGsZ06w40RynL")</f>
        <v>https://lh5.googleusercontent.com/d/1LpjjGtLjmIPeMZRiof0kGsZ06w40RynL</v>
      </c>
      <c r="O62" s="14" t="str">
        <f>IFERROR(__xludf.DUMMYFUNCTION("""COMPUTED_VALUE"""),"https://drive.google.com/file/d/1QpTgAmrNKqe8e7gE-_QNaenRFzXqHBU2/view?usp=drivesdk")</f>
        <v>https://drive.google.com/file/d/1QpTgAmrNKqe8e7gE-_QNaenRFzXqHBU2/view?usp=drivesdk</v>
      </c>
    </row>
    <row r="63">
      <c r="A63" s="3">
        <f>IFERROR(__xludf.DUMMYFUNCTION("""COMPUTED_VALUE"""),280.0)</f>
        <v>280</v>
      </c>
      <c r="B63" s="11">
        <f>IFERROR(__xludf.DUMMYFUNCTION("""COMPUTED_VALUE"""),45985.55402652778)</f>
        <v>45985.55403</v>
      </c>
      <c r="C63" s="3" t="str">
        <f>IFERROR(__xludf.DUMMYFUNCTION("""COMPUTED_VALUE"""),"ชั้นปีที่ 2")</f>
        <v>ชั้นปีที่ 2</v>
      </c>
      <c r="D63" s="3" t="str">
        <f>IFERROR(__xludf.DUMMYFUNCTION("""COMPUTED_VALUE"""),"6703842")</f>
        <v>6703842</v>
      </c>
      <c r="E63" s="3" t="str">
        <f>IFERROR(__xludf.DUMMYFUNCTION("""COMPUTED_VALUE"""),"24")</f>
        <v>24</v>
      </c>
      <c r="F63" s="3" t="str">
        <f>IFERROR(__xludf.DUMMYFUNCTION("""COMPUTED_VALUE"""),"นพอ.ธัญชนก ธนะกองแก้ว")</f>
        <v>นพอ.ธัญชนก ธนะกองแก้ว</v>
      </c>
      <c r="G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" s="3" t="str">
        <f>IFERROR(__xludf.DUMMYFUNCTION("""COMPUTED_VALUE"""),"คอนเสิร์ตทัพฟ้าคู่ ไทยเพื่อ ""ชัยพัฒนา"" ครั้งที่ 16")</f>
        <v>คอนเสิร์ตทัพฟ้าคู่ ไทยเพื่อ "ชัยพัฒนา" ครั้งที่ 16</v>
      </c>
      <c r="I63" s="3" t="str">
        <f>IFERROR(__xludf.DUMMYFUNCTION("""COMPUTED_VALUE""")," ศูนย์วัฒนธรรมแห่ง ประเทศไทย")</f>
        <v> ศูนย์วัฒนธรรมแห่ง ประเทศไทย</v>
      </c>
      <c r="J63" s="12">
        <f>IFERROR(__xludf.DUMMYFUNCTION("""COMPUTED_VALUE"""),45839.0)</f>
        <v>45839</v>
      </c>
      <c r="K63" s="3" t="str">
        <f>IFERROR(__xludf.DUMMYFUNCTION("""COMPUTED_VALUE"""),"1400-2200")</f>
        <v>1400-2200</v>
      </c>
      <c r="L63" s="3">
        <f>IFERROR(__xludf.DUMMYFUNCTION("""COMPUTED_VALUE"""),8.0)</f>
        <v>8</v>
      </c>
      <c r="M63" s="3" t="str">
        <f>IFERROR(__xludf.DUMMYFUNCTION("""COMPUTED_VALUE"""),"ร.อ.อนุชิต ทำจะดี")</f>
        <v>ร.อ.อนุชิต ทำจะดี</v>
      </c>
      <c r="N63" s="14" t="str">
        <f>IFERROR(__xludf.DUMMYFUNCTION("""COMPUTED_VALUE"""),"https://lh5.googleusercontent.com/d/1eR0KcWMf-5_7POszNn61dSZF7tN_2Dwp")</f>
        <v>https://lh5.googleusercontent.com/d/1eR0KcWMf-5_7POszNn61dSZF7tN_2Dwp</v>
      </c>
      <c r="O63" s="14" t="str">
        <f>IFERROR(__xludf.DUMMYFUNCTION("""COMPUTED_VALUE"""),"https://drive.google.com/file/d/1gj2T1qSfHnxT4l58I5q9eS5sChkwBRjV/view?usp=drivesdk")</f>
        <v>https://drive.google.com/file/d/1gj2T1qSfHnxT4l58I5q9eS5sChkwBRjV/view?usp=drivesdk</v>
      </c>
    </row>
    <row r="64">
      <c r="A64" s="3">
        <f>IFERROR(__xludf.DUMMYFUNCTION("""COMPUTED_VALUE"""),281.0)</f>
        <v>281</v>
      </c>
      <c r="B64" s="11">
        <f>IFERROR(__xludf.DUMMYFUNCTION("""COMPUTED_VALUE"""),45985.55469745371)</f>
        <v>45985.5547</v>
      </c>
      <c r="C64" s="3" t="str">
        <f>IFERROR(__xludf.DUMMYFUNCTION("""COMPUTED_VALUE"""),"ชั้นปีที่ 2")</f>
        <v>ชั้นปีที่ 2</v>
      </c>
      <c r="D64" s="3" t="str">
        <f>IFERROR(__xludf.DUMMYFUNCTION("""COMPUTED_VALUE"""),"6703874")</f>
        <v>6703874</v>
      </c>
      <c r="E64" s="3" t="str">
        <f>IFERROR(__xludf.DUMMYFUNCTION("""COMPUTED_VALUE"""),"55")</f>
        <v>55</v>
      </c>
      <c r="F64" s="3" t="str">
        <f>IFERROR(__xludf.DUMMYFUNCTION("""COMPUTED_VALUE"""),"นพอ.สรารัตน์ หาญจันทร์")</f>
        <v>นพอ.สรารัตน์ หาญจันทร์</v>
      </c>
      <c r="G6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" s="3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64" s="3" t="str">
        <f>IFERROR(__xludf.DUMMYFUNCTION("""COMPUTED_VALUE"""),"กองบัญชาการกองทัพอากาศ")</f>
        <v>กองบัญชาการกองทัพอากาศ</v>
      </c>
      <c r="J64" s="12">
        <f>IFERROR(__xludf.DUMMYFUNCTION("""COMPUTED_VALUE"""),45833.0)</f>
        <v>45833</v>
      </c>
      <c r="K64" s="3" t="str">
        <f>IFERROR(__xludf.DUMMYFUNCTION("""COMPUTED_VALUE"""),"0800-1600")</f>
        <v>0800-1600</v>
      </c>
      <c r="L64" s="3">
        <f>IFERROR(__xludf.DUMMYFUNCTION("""COMPUTED_VALUE"""),8.0)</f>
        <v>8</v>
      </c>
      <c r="M64" s="3" t="str">
        <f>IFERROR(__xludf.DUMMYFUNCTION("""COMPUTED_VALUE"""),"ร.อ.อนุชิต ทำจะดี")</f>
        <v>ร.อ.อนุชิต ทำจะดี</v>
      </c>
      <c r="N64" s="14" t="str">
        <f>IFERROR(__xludf.DUMMYFUNCTION("""COMPUTED_VALUE"""),"https://lh5.googleusercontent.com/d/1gSliQxxhFOJ73fzYMzp3FIgZlKSRCjle")</f>
        <v>https://lh5.googleusercontent.com/d/1gSliQxxhFOJ73fzYMzp3FIgZlKSRCjle</v>
      </c>
      <c r="O64" s="14" t="str">
        <f>IFERROR(__xludf.DUMMYFUNCTION("""COMPUTED_VALUE"""),"https://drive.google.com/file/d/15VgShAi78Aw2fDKP3U9mZYDAeZTrJNHt/view?usp=drivesdk")</f>
        <v>https://drive.google.com/file/d/15VgShAi78Aw2fDKP3U9mZYDAeZTrJNHt/view?usp=drivesdk</v>
      </c>
    </row>
    <row r="65">
      <c r="A65" s="3">
        <f>IFERROR(__xludf.DUMMYFUNCTION("""COMPUTED_VALUE"""),282.0)</f>
        <v>282</v>
      </c>
      <c r="B65" s="11">
        <f>IFERROR(__xludf.DUMMYFUNCTION("""COMPUTED_VALUE"""),45985.55553469907)</f>
        <v>45985.55553</v>
      </c>
      <c r="C65" s="3" t="str">
        <f>IFERROR(__xludf.DUMMYFUNCTION("""COMPUTED_VALUE"""),"ชั้นปีที่ 2")</f>
        <v>ชั้นปีที่ 2</v>
      </c>
      <c r="D65" s="3" t="str">
        <f>IFERROR(__xludf.DUMMYFUNCTION("""COMPUTED_VALUE"""),"6703830")</f>
        <v>6703830</v>
      </c>
      <c r="E65" s="3" t="str">
        <f>IFERROR(__xludf.DUMMYFUNCTION("""COMPUTED_VALUE"""),"13")</f>
        <v>13</v>
      </c>
      <c r="F65" s="3" t="str">
        <f>IFERROR(__xludf.DUMMYFUNCTION("""COMPUTED_VALUE"""),"นพอ.โชติกา กัลศักดิ์ปภา")</f>
        <v>นพอ.โชติกา กัลศักดิ์ปภา</v>
      </c>
      <c r="G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6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65" s="12">
        <f>IFERROR(__xludf.DUMMYFUNCTION("""COMPUTED_VALUE"""),45839.0)</f>
        <v>45839</v>
      </c>
      <c r="K65" s="3" t="str">
        <f>IFERROR(__xludf.DUMMYFUNCTION("""COMPUTED_VALUE"""),"1400-2200")</f>
        <v>1400-2200</v>
      </c>
      <c r="L65" s="3">
        <f>IFERROR(__xludf.DUMMYFUNCTION("""COMPUTED_VALUE"""),8.0)</f>
        <v>8</v>
      </c>
      <c r="M65" s="3" t="str">
        <f>IFERROR(__xludf.DUMMYFUNCTION("""COMPUTED_VALUE"""),"ร.อ. อนุชิต ทำจะดี")</f>
        <v>ร.อ. อนุชิต ทำจะดี</v>
      </c>
      <c r="N65" s="14" t="str">
        <f>IFERROR(__xludf.DUMMYFUNCTION("""COMPUTED_VALUE"""),"https://lh5.googleusercontent.com/d/1VY-kJ3XU1xSO9A9NTFJDLnL-trEHkXF7")</f>
        <v>https://lh5.googleusercontent.com/d/1VY-kJ3XU1xSO9A9NTFJDLnL-trEHkXF7</v>
      </c>
      <c r="O65" s="14" t="str">
        <f>IFERROR(__xludf.DUMMYFUNCTION("""COMPUTED_VALUE"""),"https://drive.google.com/file/d/1DqRG6D3VbMRjtyQR59ncRQa9KTt_yfw-/view?usp=drivesdk")</f>
        <v>https://drive.google.com/file/d/1DqRG6D3VbMRjtyQR59ncRQa9KTt_yfw-/view?usp=drivesdk</v>
      </c>
    </row>
    <row r="66">
      <c r="A66" s="3">
        <f>IFERROR(__xludf.DUMMYFUNCTION("""COMPUTED_VALUE"""),284.0)</f>
        <v>284</v>
      </c>
      <c r="B66" s="11">
        <f>IFERROR(__xludf.DUMMYFUNCTION("""COMPUTED_VALUE"""),45985.55716563657)</f>
        <v>45985.55717</v>
      </c>
      <c r="C66" s="3" t="str">
        <f>IFERROR(__xludf.DUMMYFUNCTION("""COMPUTED_VALUE"""),"ชั้นปีที่ 2")</f>
        <v>ชั้นปีที่ 2</v>
      </c>
      <c r="D66" s="3" t="str">
        <f>IFERROR(__xludf.DUMMYFUNCTION("""COMPUTED_VALUE"""),"6703874")</f>
        <v>6703874</v>
      </c>
      <c r="E66" s="3" t="str">
        <f>IFERROR(__xludf.DUMMYFUNCTION("""COMPUTED_VALUE"""),"55")</f>
        <v>55</v>
      </c>
      <c r="F66" s="3" t="str">
        <f>IFERROR(__xludf.DUMMYFUNCTION("""COMPUTED_VALUE"""),"นพอ.สรารัตน์ หาญจันทร์")</f>
        <v>นพอ.สรารัตน์ หาญจันทร์</v>
      </c>
      <c r="G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6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66" s="12">
        <f>IFERROR(__xludf.DUMMYFUNCTION("""COMPUTED_VALUE"""),45838.0)</f>
        <v>45838</v>
      </c>
      <c r="K66" s="3" t="str">
        <f>IFERROR(__xludf.DUMMYFUNCTION("""COMPUTED_VALUE"""),"1400-2200")</f>
        <v>1400-2200</v>
      </c>
      <c r="L66" s="3">
        <f>IFERROR(__xludf.DUMMYFUNCTION("""COMPUTED_VALUE"""),8.0)</f>
        <v>8</v>
      </c>
      <c r="M66" s="3" t="str">
        <f>IFERROR(__xludf.DUMMYFUNCTION("""COMPUTED_VALUE"""),"ร.อ.อนุชิต ทำจะดี")</f>
        <v>ร.อ.อนุชิต ทำจะดี</v>
      </c>
      <c r="N66" s="14" t="str">
        <f>IFERROR(__xludf.DUMMYFUNCTION("""COMPUTED_VALUE"""),"https://lh5.googleusercontent.com/d/1FsmBGfWWBxCg_mhfYNFCRIwa_3G-RDOs")</f>
        <v>https://lh5.googleusercontent.com/d/1FsmBGfWWBxCg_mhfYNFCRIwa_3G-RDOs</v>
      </c>
      <c r="O66" s="14" t="str">
        <f>IFERROR(__xludf.DUMMYFUNCTION("""COMPUTED_VALUE"""),"https://drive.google.com/file/d/1QbvWryDe7XiIOvNf2t_ckIdQ77inrNTa/view?usp=drivesdk")</f>
        <v>https://drive.google.com/file/d/1QbvWryDe7XiIOvNf2t_ckIdQ77inrNTa/view?usp=drivesdk</v>
      </c>
    </row>
    <row r="67">
      <c r="A67" s="3">
        <f>IFERROR(__xludf.DUMMYFUNCTION("""COMPUTED_VALUE"""),285.0)</f>
        <v>285</v>
      </c>
      <c r="B67" s="11">
        <f>IFERROR(__xludf.DUMMYFUNCTION("""COMPUTED_VALUE"""),45985.558804444445)</f>
        <v>45985.5588</v>
      </c>
      <c r="C67" s="3" t="str">
        <f>IFERROR(__xludf.DUMMYFUNCTION("""COMPUTED_VALUE"""),"ชั้นปีที่ 2")</f>
        <v>ชั้นปีที่ 2</v>
      </c>
      <c r="D67" s="3" t="str">
        <f>IFERROR(__xludf.DUMMYFUNCTION("""COMPUTED_VALUE"""),"6703874")</f>
        <v>6703874</v>
      </c>
      <c r="E67" s="3" t="str">
        <f>IFERROR(__xludf.DUMMYFUNCTION("""COMPUTED_VALUE"""),"55")</f>
        <v>55</v>
      </c>
      <c r="F67" s="3" t="str">
        <f>IFERROR(__xludf.DUMMYFUNCTION("""COMPUTED_VALUE"""),"นพอ.สรารัตน์ หาญจันทร์")</f>
        <v>นพอ.สรารัตน์ หาญจันทร์</v>
      </c>
      <c r="G6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6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67" s="12">
        <f>IFERROR(__xludf.DUMMYFUNCTION("""COMPUTED_VALUE"""),45839.0)</f>
        <v>45839</v>
      </c>
      <c r="K67" s="3" t="str">
        <f>IFERROR(__xludf.DUMMYFUNCTION("""COMPUTED_VALUE"""),"1400-2200")</f>
        <v>1400-2200</v>
      </c>
      <c r="L67" s="3">
        <f>IFERROR(__xludf.DUMMYFUNCTION("""COMPUTED_VALUE"""),8.0)</f>
        <v>8</v>
      </c>
      <c r="M67" s="3" t="str">
        <f>IFERROR(__xludf.DUMMYFUNCTION("""COMPUTED_VALUE"""),"ร.อ.อนุชิต ทำจะดี")</f>
        <v>ร.อ.อนุชิต ทำจะดี</v>
      </c>
      <c r="N67" s="14" t="str">
        <f>IFERROR(__xludf.DUMMYFUNCTION("""COMPUTED_VALUE"""),"https://lh5.googleusercontent.com/d/11TU6lv94hZovJRiyHxK7moyp1J7SFJxM")</f>
        <v>https://lh5.googleusercontent.com/d/11TU6lv94hZovJRiyHxK7moyp1J7SFJxM</v>
      </c>
      <c r="O67" s="14" t="str">
        <f>IFERROR(__xludf.DUMMYFUNCTION("""COMPUTED_VALUE"""),"https://drive.google.com/file/d/1N0Uuup2cVnVsSiuYKfmWkafeNoYttgKU/view?usp=drivesdk")</f>
        <v>https://drive.google.com/file/d/1N0Uuup2cVnVsSiuYKfmWkafeNoYttgKU/view?usp=drivesdk</v>
      </c>
    </row>
    <row r="68">
      <c r="A68" s="3">
        <f>IFERROR(__xludf.DUMMYFUNCTION("""COMPUTED_VALUE"""),286.0)</f>
        <v>286</v>
      </c>
      <c r="B68" s="11">
        <f>IFERROR(__xludf.DUMMYFUNCTION("""COMPUTED_VALUE"""),45985.55971192129)</f>
        <v>45985.55971</v>
      </c>
      <c r="C68" s="3" t="str">
        <f>IFERROR(__xludf.DUMMYFUNCTION("""COMPUTED_VALUE"""),"ชั้นปีที่ 2")</f>
        <v>ชั้นปีที่ 2</v>
      </c>
      <c r="D68" s="3" t="str">
        <f>IFERROR(__xludf.DUMMYFUNCTION("""COMPUTED_VALUE"""),"6703842")</f>
        <v>6703842</v>
      </c>
      <c r="E68" s="3" t="str">
        <f>IFERROR(__xludf.DUMMYFUNCTION("""COMPUTED_VALUE"""),"24")</f>
        <v>24</v>
      </c>
      <c r="F68" s="3" t="str">
        <f>IFERROR(__xludf.DUMMYFUNCTION("""COMPUTED_VALUE"""),"นพอ.ธัญชนก ธนะกองแก้ว")</f>
        <v>นพอ.ธัญชนก ธนะกองแก้ว</v>
      </c>
      <c r="G6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" s="3" t="str">
        <f>IFERROR(__xludf.DUMMYFUNCTION("""COMPUTED_VALUE"""),"คอนเสิร์ตทัพฟ้าคู่ ไทยเพื่อ ""ชัยพัฒนา"" ครั้งที่ 16")</f>
        <v>คอนเสิร์ตทัพฟ้าคู่ ไทยเพื่อ "ชัยพัฒนา" ครั้งที่ 16</v>
      </c>
      <c r="I68" s="3" t="str">
        <f>IFERROR(__xludf.DUMMYFUNCTION("""COMPUTED_VALUE""")," ศูนย์วัฒนธรรมแห่ง ประเทศไทย")</f>
        <v> ศูนย์วัฒนธรรมแห่ง ประเทศไทย</v>
      </c>
      <c r="J68" s="12">
        <f>IFERROR(__xludf.DUMMYFUNCTION("""COMPUTED_VALUE"""),45840.0)</f>
        <v>45840</v>
      </c>
      <c r="K68" s="3" t="str">
        <f>IFERROR(__xludf.DUMMYFUNCTION("""COMPUTED_VALUE"""),"1400-2200")</f>
        <v>1400-2200</v>
      </c>
      <c r="L68" s="3">
        <f>IFERROR(__xludf.DUMMYFUNCTION("""COMPUTED_VALUE"""),8.0)</f>
        <v>8</v>
      </c>
      <c r="M68" s="3" t="str">
        <f>IFERROR(__xludf.DUMMYFUNCTION("""COMPUTED_VALUE"""),"ร.อ.อนุชิต ทำจะดี")</f>
        <v>ร.อ.อนุชิต ทำจะดี</v>
      </c>
      <c r="N68" s="14" t="str">
        <f>IFERROR(__xludf.DUMMYFUNCTION("""COMPUTED_VALUE"""),"https://lh5.googleusercontent.com/d/1OpBc9MTwTMg58thwbi2-saGbDtf9Qmbp")</f>
        <v>https://lh5.googleusercontent.com/d/1OpBc9MTwTMg58thwbi2-saGbDtf9Qmbp</v>
      </c>
      <c r="O68" s="14" t="str">
        <f>IFERROR(__xludf.DUMMYFUNCTION("""COMPUTED_VALUE"""),"https://drive.google.com/file/d/1_ZGGy13Wuhk7kTkhCx4v0Mwq9lcdic4t/view?usp=drivesdk")</f>
        <v>https://drive.google.com/file/d/1_ZGGy13Wuhk7kTkhCx4v0Mwq9lcdic4t/view?usp=drivesdk</v>
      </c>
    </row>
    <row r="69">
      <c r="A69" s="3">
        <f>IFERROR(__xludf.DUMMYFUNCTION("""COMPUTED_VALUE"""),287.0)</f>
        <v>287</v>
      </c>
      <c r="B69" s="11">
        <f>IFERROR(__xludf.DUMMYFUNCTION("""COMPUTED_VALUE"""),45985.56035253472)</f>
        <v>45985.56035</v>
      </c>
      <c r="C69" s="3" t="str">
        <f>IFERROR(__xludf.DUMMYFUNCTION("""COMPUTED_VALUE"""),"ชั้นปีที่ 2")</f>
        <v>ชั้นปีที่ 2</v>
      </c>
      <c r="D69" s="3" t="str">
        <f>IFERROR(__xludf.DUMMYFUNCTION("""COMPUTED_VALUE"""),"6703874")</f>
        <v>6703874</v>
      </c>
      <c r="E69" s="3" t="str">
        <f>IFERROR(__xludf.DUMMYFUNCTION("""COMPUTED_VALUE"""),"55")</f>
        <v>55</v>
      </c>
      <c r="F69" s="3" t="str">
        <f>IFERROR(__xludf.DUMMYFUNCTION("""COMPUTED_VALUE"""),"นพอ.สรารัตน์ หาญจันทร์")</f>
        <v>นพอ.สรารัตน์ หาญจันทร์</v>
      </c>
      <c r="G6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6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69" s="12">
        <f>IFERROR(__xludf.DUMMYFUNCTION("""COMPUTED_VALUE"""),45840.0)</f>
        <v>45840</v>
      </c>
      <c r="K69" s="3" t="str">
        <f>IFERROR(__xludf.DUMMYFUNCTION("""COMPUTED_VALUE"""),"1400-2200")</f>
        <v>1400-2200</v>
      </c>
      <c r="L69" s="3">
        <f>IFERROR(__xludf.DUMMYFUNCTION("""COMPUTED_VALUE"""),8.0)</f>
        <v>8</v>
      </c>
      <c r="M69" s="3" t="str">
        <f>IFERROR(__xludf.DUMMYFUNCTION("""COMPUTED_VALUE"""),"ร.อ.อนุชิต ทำจะดี")</f>
        <v>ร.อ.อนุชิต ทำจะดี</v>
      </c>
      <c r="N69" s="14" t="str">
        <f>IFERROR(__xludf.DUMMYFUNCTION("""COMPUTED_VALUE"""),"https://lh5.googleusercontent.com/d/12gf30F7vxCC9iY6Xled3SRDv8_W7RyEp")</f>
        <v>https://lh5.googleusercontent.com/d/12gf30F7vxCC9iY6Xled3SRDv8_W7RyEp</v>
      </c>
      <c r="O69" s="14" t="str">
        <f>IFERROR(__xludf.DUMMYFUNCTION("""COMPUTED_VALUE"""),"https://drive.google.com/file/d/10pnXjAnfREeVw0-be_AgwSd1hPyMs8ID/view?usp=drivesdk")</f>
        <v>https://drive.google.com/file/d/10pnXjAnfREeVw0-be_AgwSd1hPyMs8ID/view?usp=drivesdk</v>
      </c>
    </row>
    <row r="70">
      <c r="A70" s="3">
        <f>IFERROR(__xludf.DUMMYFUNCTION("""COMPUTED_VALUE"""),288.0)</f>
        <v>288</v>
      </c>
      <c r="B70" s="11">
        <f>IFERROR(__xludf.DUMMYFUNCTION("""COMPUTED_VALUE"""),45985.56450642361)</f>
        <v>45985.56451</v>
      </c>
      <c r="C70" s="3" t="str">
        <f>IFERROR(__xludf.DUMMYFUNCTION("""COMPUTED_VALUE"""),"ชั้นปีที่ 2")</f>
        <v>ชั้นปีที่ 2</v>
      </c>
      <c r="D70" s="3" t="str">
        <f>IFERROR(__xludf.DUMMYFUNCTION("""COMPUTED_VALUE"""),"6703830")</f>
        <v>6703830</v>
      </c>
      <c r="E70" s="3" t="str">
        <f>IFERROR(__xludf.DUMMYFUNCTION("""COMPUTED_VALUE"""),"13")</f>
        <v>13</v>
      </c>
      <c r="F70" s="3" t="str">
        <f>IFERROR(__xludf.DUMMYFUNCTION("""COMPUTED_VALUE"""),"นพอ.โชติกา กัลศักดิ์ปภา")</f>
        <v>นพอ.โชติกา กัลศักดิ์ปภา</v>
      </c>
      <c r="G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7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70" s="12">
        <f>IFERROR(__xludf.DUMMYFUNCTION("""COMPUTED_VALUE"""),45840.0)</f>
        <v>45840</v>
      </c>
      <c r="K70" s="3" t="str">
        <f>IFERROR(__xludf.DUMMYFUNCTION("""COMPUTED_VALUE"""),"1400-2200")</f>
        <v>1400-2200</v>
      </c>
      <c r="L70" s="3">
        <f>IFERROR(__xludf.DUMMYFUNCTION("""COMPUTED_VALUE"""),8.0)</f>
        <v>8</v>
      </c>
      <c r="M70" s="3" t="str">
        <f>IFERROR(__xludf.DUMMYFUNCTION("""COMPUTED_VALUE"""),"ร.อ. อนุชิต ทำจะดี")</f>
        <v>ร.อ. อนุชิต ทำจะดี</v>
      </c>
      <c r="N70" s="14" t="str">
        <f>IFERROR(__xludf.DUMMYFUNCTION("""COMPUTED_VALUE"""),"https://lh5.googleusercontent.com/d/15tpIlc1dAnh948a9gmZzm0WYGHK3BZpm")</f>
        <v>https://lh5.googleusercontent.com/d/15tpIlc1dAnh948a9gmZzm0WYGHK3BZpm</v>
      </c>
      <c r="O70" s="14" t="str">
        <f>IFERROR(__xludf.DUMMYFUNCTION("""COMPUTED_VALUE"""),"https://drive.google.com/file/d/1bw7VKg9uFn-nnnlin9EPmCMok159MPsZ/view?usp=drivesdk")</f>
        <v>https://drive.google.com/file/d/1bw7VKg9uFn-nnnlin9EPmCMok159MPsZ/view?usp=drivesdk</v>
      </c>
    </row>
    <row r="71">
      <c r="A71" s="3">
        <f>IFERROR(__xludf.DUMMYFUNCTION("""COMPUTED_VALUE"""),289.0)</f>
        <v>289</v>
      </c>
      <c r="B71" s="11">
        <f>IFERROR(__xludf.DUMMYFUNCTION("""COMPUTED_VALUE"""),45985.570732719905)</f>
        <v>45985.57073</v>
      </c>
      <c r="C71" s="3" t="str">
        <f>IFERROR(__xludf.DUMMYFUNCTION("""COMPUTED_VALUE"""),"ชั้นปีที่ 2")</f>
        <v>ชั้นปีที่ 2</v>
      </c>
      <c r="D71" s="3" t="str">
        <f>IFERROR(__xludf.DUMMYFUNCTION("""COMPUTED_VALUE"""),"6703874")</f>
        <v>6703874</v>
      </c>
      <c r="E71" s="3" t="str">
        <f>IFERROR(__xludf.DUMMYFUNCTION("""COMPUTED_VALUE"""),"55")</f>
        <v>55</v>
      </c>
      <c r="F71" s="3" t="str">
        <f>IFERROR(__xludf.DUMMYFUNCTION("""COMPUTED_VALUE"""),"นพอ.สรารัตน์ หาญจันทร์")</f>
        <v>นพอ.สรารัตน์ หาญจันทร์</v>
      </c>
      <c r="G7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1" s="3" t="str">
        <f>IFERROR(__xludf.DUMMYFUNCTION("""COMPUTED_VALUE"""),"ค่ายอบรมเยาวชนพัฒนา")</f>
        <v>ค่ายอบรมเยาวชนพัฒนา</v>
      </c>
      <c r="I71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71" s="12">
        <f>IFERROR(__xludf.DUMMYFUNCTION("""COMPUTED_VALUE"""),45884.0)</f>
        <v>45884</v>
      </c>
      <c r="K71" s="3" t="str">
        <f>IFERROR(__xludf.DUMMYFUNCTION("""COMPUTED_VALUE"""),"1700-2100")</f>
        <v>1700-2100</v>
      </c>
      <c r="L71" s="3">
        <f>IFERROR(__xludf.DUMMYFUNCTION("""COMPUTED_VALUE"""),4.0)</f>
        <v>4</v>
      </c>
      <c r="M7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1" s="14" t="str">
        <f>IFERROR(__xludf.DUMMYFUNCTION("""COMPUTED_VALUE"""),"https://lh5.googleusercontent.com/d/1-gaSA-j7sAw7U9nBjQNXBPH4JzHAZ8a_")</f>
        <v>https://lh5.googleusercontent.com/d/1-gaSA-j7sAw7U9nBjQNXBPH4JzHAZ8a_</v>
      </c>
      <c r="O71" s="14" t="str">
        <f>IFERROR(__xludf.DUMMYFUNCTION("""COMPUTED_VALUE"""),"https://drive.google.com/file/d/1j0EKnFtUMEg_vbc3vOtK1QsjKdl5mbTB/view?usp=drivesdk")</f>
        <v>https://drive.google.com/file/d/1j0EKnFtUMEg_vbc3vOtK1QsjKdl5mbTB/view?usp=drivesdk</v>
      </c>
    </row>
    <row r="72">
      <c r="A72" s="3">
        <f>IFERROR(__xludf.DUMMYFUNCTION("""COMPUTED_VALUE"""),290.0)</f>
        <v>290</v>
      </c>
      <c r="B72" s="11">
        <f>IFERROR(__xludf.DUMMYFUNCTION("""COMPUTED_VALUE"""),45985.572276099534)</f>
        <v>45985.57228</v>
      </c>
      <c r="C72" s="3" t="str">
        <f>IFERROR(__xludf.DUMMYFUNCTION("""COMPUTED_VALUE"""),"ชั้นปีที่ 2")</f>
        <v>ชั้นปีที่ 2</v>
      </c>
      <c r="D72" s="3" t="str">
        <f>IFERROR(__xludf.DUMMYFUNCTION("""COMPUTED_VALUE"""),"6703874")</f>
        <v>6703874</v>
      </c>
      <c r="E72" s="3" t="str">
        <f>IFERROR(__xludf.DUMMYFUNCTION("""COMPUTED_VALUE"""),"55")</f>
        <v>55</v>
      </c>
      <c r="F72" s="3" t="str">
        <f>IFERROR(__xludf.DUMMYFUNCTION("""COMPUTED_VALUE"""),"นพอ.สรารัตน์ หาญจันทร์")</f>
        <v>นพอ.สรารัตน์ หาญจันทร์</v>
      </c>
      <c r="G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" s="3" t="str">
        <f>IFERROR(__xludf.DUMMYFUNCTION("""COMPUTED_VALUE"""),"ค่ายอบรมเยาวชนพัฒนา")</f>
        <v>ค่ายอบรมเยาวชนพัฒนา</v>
      </c>
      <c r="I72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72" s="12">
        <f>IFERROR(__xludf.DUMMYFUNCTION("""COMPUTED_VALUE"""),45885.0)</f>
        <v>45885</v>
      </c>
      <c r="K72" s="3" t="str">
        <f>IFERROR(__xludf.DUMMYFUNCTION("""COMPUTED_VALUE"""),"0800-1600")</f>
        <v>0800-1600</v>
      </c>
      <c r="L72" s="3">
        <f>IFERROR(__xludf.DUMMYFUNCTION("""COMPUTED_VALUE"""),8.0)</f>
        <v>8</v>
      </c>
      <c r="M7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2" s="14" t="str">
        <f>IFERROR(__xludf.DUMMYFUNCTION("""COMPUTED_VALUE"""),"https://lh5.googleusercontent.com/d/1Dq4Cawgqh2NtUVAuUODS4epyO787FyNG")</f>
        <v>https://lh5.googleusercontent.com/d/1Dq4Cawgqh2NtUVAuUODS4epyO787FyNG</v>
      </c>
      <c r="O72" s="14" t="str">
        <f>IFERROR(__xludf.DUMMYFUNCTION("""COMPUTED_VALUE"""),"https://drive.google.com/file/d/11SJ5Kf4G29SEzuPjd9k5OUI7LKoMkSoS/view?usp=drivesdk")</f>
        <v>https://drive.google.com/file/d/11SJ5Kf4G29SEzuPjd9k5OUI7LKoMkSoS/view?usp=drivesdk</v>
      </c>
    </row>
    <row r="73">
      <c r="A73" s="3">
        <f>IFERROR(__xludf.DUMMYFUNCTION("""COMPUTED_VALUE"""),291.0)</f>
        <v>291</v>
      </c>
      <c r="B73" s="11">
        <f>IFERROR(__xludf.DUMMYFUNCTION("""COMPUTED_VALUE"""),45985.57343964121)</f>
        <v>45985.57344</v>
      </c>
      <c r="C73" s="3" t="str">
        <f>IFERROR(__xludf.DUMMYFUNCTION("""COMPUTED_VALUE"""),"ชั้นปีที่ 2")</f>
        <v>ชั้นปีที่ 2</v>
      </c>
      <c r="D73" s="3" t="str">
        <f>IFERROR(__xludf.DUMMYFUNCTION("""COMPUTED_VALUE"""),"6703874")</f>
        <v>6703874</v>
      </c>
      <c r="E73" s="3" t="str">
        <f>IFERROR(__xludf.DUMMYFUNCTION("""COMPUTED_VALUE"""),"55")</f>
        <v>55</v>
      </c>
      <c r="F73" s="3" t="str">
        <f>IFERROR(__xludf.DUMMYFUNCTION("""COMPUTED_VALUE"""),"นพอ.สรารัตน์ หาญจันทร์")</f>
        <v>นพอ.สรารัตน์ หาญจันทร์</v>
      </c>
      <c r="G7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" s="3" t="str">
        <f>IFERROR(__xludf.DUMMYFUNCTION("""COMPUTED_VALUE"""),"ค่ายอบรมเยาวชนพัฒนา")</f>
        <v>ค่ายอบรมเยาวชนพัฒนา</v>
      </c>
      <c r="I73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73" s="12">
        <f>IFERROR(__xludf.DUMMYFUNCTION("""COMPUTED_VALUE"""),45886.0)</f>
        <v>45886</v>
      </c>
      <c r="K73" s="3" t="str">
        <f>IFERROR(__xludf.DUMMYFUNCTION("""COMPUTED_VALUE"""),"0800-1600")</f>
        <v>0800-1600</v>
      </c>
      <c r="L73" s="3">
        <f>IFERROR(__xludf.DUMMYFUNCTION("""COMPUTED_VALUE"""),8.0)</f>
        <v>8</v>
      </c>
      <c r="M7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3" s="14" t="str">
        <f>IFERROR(__xludf.DUMMYFUNCTION("""COMPUTED_VALUE"""),"https://lh5.googleusercontent.com/d/164Cr5gQ-a_8gZRyiXZw5w7SZeOqCyaam")</f>
        <v>https://lh5.googleusercontent.com/d/164Cr5gQ-a_8gZRyiXZw5w7SZeOqCyaam</v>
      </c>
      <c r="O73" s="14" t="str">
        <f>IFERROR(__xludf.DUMMYFUNCTION("""COMPUTED_VALUE"""),"https://drive.google.com/file/d/1QvnbneaEnzymqp8wGTlSjpxPwakKm5lm/view?usp=drivesdk")</f>
        <v>https://drive.google.com/file/d/1QvnbneaEnzymqp8wGTlSjpxPwakKm5lm/view?usp=drivesdk</v>
      </c>
    </row>
    <row r="74">
      <c r="A74" s="3">
        <f>IFERROR(__xludf.DUMMYFUNCTION("""COMPUTED_VALUE"""),292.0)</f>
        <v>292</v>
      </c>
      <c r="B74" s="11">
        <f>IFERROR(__xludf.DUMMYFUNCTION("""COMPUTED_VALUE"""),45985.623321747684)</f>
        <v>45985.62332</v>
      </c>
      <c r="C74" s="3" t="str">
        <f>IFERROR(__xludf.DUMMYFUNCTION("""COMPUTED_VALUE"""),"ชั้นปีที่ 2")</f>
        <v>ชั้นปีที่ 2</v>
      </c>
      <c r="D74" s="3" t="str">
        <f>IFERROR(__xludf.DUMMYFUNCTION("""COMPUTED_VALUE"""),"6703829")</f>
        <v>6703829</v>
      </c>
      <c r="E74" s="3" t="str">
        <f>IFERROR(__xludf.DUMMYFUNCTION("""COMPUTED_VALUE"""),"12")</f>
        <v>12</v>
      </c>
      <c r="F74" s="3" t="str">
        <f>IFERROR(__xludf.DUMMYFUNCTION("""COMPUTED_VALUE"""),"นพอ.ชัญญาพัฒน์ ทัศนวิภาส")</f>
        <v>นพอ.ชัญญาพัฒน์ ทัศนวิภาส</v>
      </c>
      <c r="G7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4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7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74" s="12">
        <f>IFERROR(__xludf.DUMMYFUNCTION("""COMPUTED_VALUE"""),45840.0)</f>
        <v>45840</v>
      </c>
      <c r="K74" s="3" t="str">
        <f>IFERROR(__xludf.DUMMYFUNCTION("""COMPUTED_VALUE"""),"1400 - 2200")</f>
        <v>1400 - 2200</v>
      </c>
      <c r="L74" s="3">
        <f>IFERROR(__xludf.DUMMYFUNCTION("""COMPUTED_VALUE"""),8.0)</f>
        <v>8</v>
      </c>
      <c r="M74" s="3" t="str">
        <f>IFERROR(__xludf.DUMMYFUNCTION("""COMPUTED_VALUE"""),"ร.อ.อนุชิต ทำจะดี")</f>
        <v>ร.อ.อนุชิต ทำจะดี</v>
      </c>
      <c r="N74" s="14" t="str">
        <f>IFERROR(__xludf.DUMMYFUNCTION("""COMPUTED_VALUE"""),"https://lh5.googleusercontent.com/d/1tq1-lf0paYVzuGbp00MlZ2Th1YsQoGjO")</f>
        <v>https://lh5.googleusercontent.com/d/1tq1-lf0paYVzuGbp00MlZ2Th1YsQoGjO</v>
      </c>
      <c r="O74" s="14" t="str">
        <f>IFERROR(__xludf.DUMMYFUNCTION("""COMPUTED_VALUE"""),"https://drive.google.com/file/d/13GKuWDhHLfQXPECLJD7T5PafPqD3LxfW/view?usp=drivesdk")</f>
        <v>https://drive.google.com/file/d/13GKuWDhHLfQXPECLJD7T5PafPqD3LxfW/view?usp=drivesdk</v>
      </c>
    </row>
    <row r="75">
      <c r="A75" s="3">
        <f>IFERROR(__xludf.DUMMYFUNCTION("""COMPUTED_VALUE"""),293.0)</f>
        <v>293</v>
      </c>
      <c r="B75" s="11">
        <f>IFERROR(__xludf.DUMMYFUNCTION("""COMPUTED_VALUE"""),45985.83971644676)</f>
        <v>45985.83972</v>
      </c>
      <c r="C75" s="3" t="str">
        <f>IFERROR(__xludf.DUMMYFUNCTION("""COMPUTED_VALUE"""),"ชั้นปีที่ 2")</f>
        <v>ชั้นปีที่ 2</v>
      </c>
      <c r="D75" s="3" t="str">
        <f>IFERROR(__xludf.DUMMYFUNCTION("""COMPUTED_VALUE"""),"6703858")</f>
        <v>6703858</v>
      </c>
      <c r="E75" s="3" t="str">
        <f>IFERROR(__xludf.DUMMYFUNCTION("""COMPUTED_VALUE"""),"40")</f>
        <v>40</v>
      </c>
      <c r="F75" s="3" t="str">
        <f>IFERROR(__xludf.DUMMYFUNCTION("""COMPUTED_VALUE"""),"นพอ.พิชชาภา  เรืองจุ้ย")</f>
        <v>นพอ.พิชชาภา  เรืองจุ้ย</v>
      </c>
      <c r="G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" s="3" t="str">
        <f>IFERROR(__xludf.DUMMYFUNCTION("""COMPUTED_VALUE"""),"คอนเสิร์ตทัพฟ้าคู่ไทยเพื่อ ""ชัยพัฒนา"" ครั้งที่ 16 (ศูนย์วัฒนธรรมแห่งประเทศไทย) ")</f>
        <v>คอนเสิร์ตทัพฟ้าคู่ไทยเพื่อ "ชัยพัฒนา" ครั้งที่ 16 (ศูนย์วัฒนธรรมแห่งประเทศไทย) </v>
      </c>
      <c r="I75" s="3" t="str">
        <f>IFERROR(__xludf.DUMMYFUNCTION("""COMPUTED_VALUE""")," (ศูนย์วัฒนธรรมแห่งประเทศไทย) ")</f>
        <v> (ศูนย์วัฒนธรรมแห่งประเทศไทย) </v>
      </c>
      <c r="J75" s="12">
        <f>IFERROR(__xludf.DUMMYFUNCTION("""COMPUTED_VALUE"""),45839.0)</f>
        <v>45839</v>
      </c>
      <c r="K75" s="3" t="str">
        <f>IFERROR(__xludf.DUMMYFUNCTION("""COMPUTED_VALUE"""),"1400-2200")</f>
        <v>1400-2200</v>
      </c>
      <c r="L75" s="3">
        <f>IFERROR(__xludf.DUMMYFUNCTION("""COMPUTED_VALUE"""),8.0)</f>
        <v>8</v>
      </c>
      <c r="M75" s="3" t="str">
        <f>IFERROR(__xludf.DUMMYFUNCTION("""COMPUTED_VALUE"""),"ร.อ.อนุชิต ทำจะดี")</f>
        <v>ร.อ.อนุชิต ทำจะดี</v>
      </c>
      <c r="N75" s="14" t="str">
        <f>IFERROR(__xludf.DUMMYFUNCTION("""COMPUTED_VALUE"""),"https://lh5.googleusercontent.com/d/1PKvsM3vZ9wEhSrK440dXALACFHSQc3Ui")</f>
        <v>https://lh5.googleusercontent.com/d/1PKvsM3vZ9wEhSrK440dXALACFHSQc3Ui</v>
      </c>
      <c r="O75" s="14" t="str">
        <f>IFERROR(__xludf.DUMMYFUNCTION("""COMPUTED_VALUE"""),"https://drive.google.com/file/d/15Ndc6Zp3Uu2gymbYN1dfbYIwfJp2cYO0/view?usp=drivesdk")</f>
        <v>https://drive.google.com/file/d/15Ndc6Zp3Uu2gymbYN1dfbYIwfJp2cYO0/view?usp=drivesdk</v>
      </c>
    </row>
    <row r="76">
      <c r="A76" s="3">
        <f>IFERROR(__xludf.DUMMYFUNCTION("""COMPUTED_VALUE"""),294.0)</f>
        <v>294</v>
      </c>
      <c r="B76" s="11">
        <f>IFERROR(__xludf.DUMMYFUNCTION("""COMPUTED_VALUE"""),45985.84381359954)</f>
        <v>45985.84381</v>
      </c>
      <c r="C76" s="3" t="str">
        <f>IFERROR(__xludf.DUMMYFUNCTION("""COMPUTED_VALUE"""),"ชั้นปีที่ 2")</f>
        <v>ชั้นปีที่ 2</v>
      </c>
      <c r="D76" s="3" t="str">
        <f>IFERROR(__xludf.DUMMYFUNCTION("""COMPUTED_VALUE"""),"6703858")</f>
        <v>6703858</v>
      </c>
      <c r="E76" s="3" t="str">
        <f>IFERROR(__xludf.DUMMYFUNCTION("""COMPUTED_VALUE"""),"40")</f>
        <v>40</v>
      </c>
      <c r="F76" s="3" t="str">
        <f>IFERROR(__xludf.DUMMYFUNCTION("""COMPUTED_VALUE"""),"นพอ.พิชชาภา  เรืองจุ้ย")</f>
        <v>นพอ.พิชชาภา  เรืองจุ้ย</v>
      </c>
      <c r="G7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7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76" s="12">
        <f>IFERROR(__xludf.DUMMYFUNCTION("""COMPUTED_VALUE"""),45840.0)</f>
        <v>45840</v>
      </c>
      <c r="K76" s="3" t="str">
        <f>IFERROR(__xludf.DUMMYFUNCTION("""COMPUTED_VALUE"""),"1400-2200")</f>
        <v>1400-2200</v>
      </c>
      <c r="L76" s="3">
        <f>IFERROR(__xludf.DUMMYFUNCTION("""COMPUTED_VALUE"""),8.0)</f>
        <v>8</v>
      </c>
      <c r="M76" s="3" t="str">
        <f>IFERROR(__xludf.DUMMYFUNCTION("""COMPUTED_VALUE"""),"ร.อ.อนุชิต  ทำจะดี")</f>
        <v>ร.อ.อนุชิต  ทำจะดี</v>
      </c>
      <c r="N76" s="14" t="str">
        <f>IFERROR(__xludf.DUMMYFUNCTION("""COMPUTED_VALUE"""),"https://lh5.googleusercontent.com/d/1dI6uPn3xEoLCLhUcZLjeuFMom0kn_fTi")</f>
        <v>https://lh5.googleusercontent.com/d/1dI6uPn3xEoLCLhUcZLjeuFMom0kn_fTi</v>
      </c>
      <c r="O76" s="14" t="str">
        <f>IFERROR(__xludf.DUMMYFUNCTION("""COMPUTED_VALUE"""),"https://drive.google.com/file/d/1BR7dzp2bJK2MlI5rSsesKPdCDGlOt3PP/view?usp=drivesdk")</f>
        <v>https://drive.google.com/file/d/1BR7dzp2bJK2MlI5rSsesKPdCDGlOt3PP/view?usp=drivesdk</v>
      </c>
    </row>
    <row r="77">
      <c r="A77" s="3">
        <f>IFERROR(__xludf.DUMMYFUNCTION("""COMPUTED_VALUE"""),295.0)</f>
        <v>295</v>
      </c>
      <c r="B77" s="11">
        <f>IFERROR(__xludf.DUMMYFUNCTION("""COMPUTED_VALUE"""),45985.846931458334)</f>
        <v>45985.84693</v>
      </c>
      <c r="C77" s="3" t="str">
        <f>IFERROR(__xludf.DUMMYFUNCTION("""COMPUTED_VALUE"""),"ชั้นปีที่ 2")</f>
        <v>ชั้นปีที่ 2</v>
      </c>
      <c r="D77" s="3" t="str">
        <f>IFERROR(__xludf.DUMMYFUNCTION("""COMPUTED_VALUE"""),"6703858")</f>
        <v>6703858</v>
      </c>
      <c r="E77" s="3" t="str">
        <f>IFERROR(__xludf.DUMMYFUNCTION("""COMPUTED_VALUE"""),"40")</f>
        <v>40</v>
      </c>
      <c r="F77" s="3" t="str">
        <f>IFERROR(__xludf.DUMMYFUNCTION("""COMPUTED_VALUE"""),"นพอ.พิชชาภา  เรืองจุ้ย")</f>
        <v>นพอ.พิชชาภา  เรืองจุ้ย</v>
      </c>
      <c r="G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" s="3" t="str">
        <f>IFERROR(__xludf.DUMMYFUNCTION("""COMPUTED_VALUE"""),"เข้าร่วมพิธีถวายพานพุ่มสักการะเนื่องในวันพยาบาลแห่งชาติ")</f>
        <v>เข้าร่วมพิธีถวายพานพุ่มสักการะเนื่องในวันพยาบาลแห่งชาติ</v>
      </c>
      <c r="I77" s="3" t="str">
        <f>IFERROR(__xludf.DUMMYFUNCTION("""COMPUTED_VALUE"""),"กระทรวงสาธารณสุข จังหวัดนนทบุรี")</f>
        <v>กระทรวงสาธารณสุข จังหวัดนนทบุรี</v>
      </c>
      <c r="J77" s="12">
        <f>IFERROR(__xludf.DUMMYFUNCTION("""COMPUTED_VALUE"""),45951.0)</f>
        <v>45951</v>
      </c>
      <c r="K77" s="3" t="str">
        <f>IFERROR(__xludf.DUMMYFUNCTION("""COMPUTED_VALUE"""),"0500-0700")</f>
        <v>0500-0700</v>
      </c>
      <c r="L77" s="3">
        <f>IFERROR(__xludf.DUMMYFUNCTION("""COMPUTED_VALUE"""),2.0)</f>
        <v>2</v>
      </c>
      <c r="M77" s="3" t="str">
        <f>IFERROR(__xludf.DUMMYFUNCTION("""COMPUTED_VALUE"""),"น.ต.ศัดชัย บุญประสิทธิ์")</f>
        <v>น.ต.ศัดชัย บุญประสิทธิ์</v>
      </c>
      <c r="N77" s="14" t="str">
        <f>IFERROR(__xludf.DUMMYFUNCTION("""COMPUTED_VALUE"""),"https://lh5.googleusercontent.com/d/1oHzSQOuhL85x4WRIWp1NNMHM6QCsrbMs")</f>
        <v>https://lh5.googleusercontent.com/d/1oHzSQOuhL85x4WRIWp1NNMHM6QCsrbMs</v>
      </c>
      <c r="O77" s="14" t="str">
        <f>IFERROR(__xludf.DUMMYFUNCTION("""COMPUTED_VALUE"""),"https://drive.google.com/file/d/1nHIkLOYG1sa0iJpT3kMlae5Y_y6pikph/view?usp=drivesdk")</f>
        <v>https://drive.google.com/file/d/1nHIkLOYG1sa0iJpT3kMlae5Y_y6pikph/view?usp=drivesdk</v>
      </c>
    </row>
    <row r="78">
      <c r="A78" s="3">
        <f>IFERROR(__xludf.DUMMYFUNCTION("""COMPUTED_VALUE"""),296.0)</f>
        <v>296</v>
      </c>
      <c r="B78" s="11">
        <f>IFERROR(__xludf.DUMMYFUNCTION("""COMPUTED_VALUE"""),45985.87469635416)</f>
        <v>45985.8747</v>
      </c>
      <c r="C78" s="3" t="str">
        <f>IFERROR(__xludf.DUMMYFUNCTION("""COMPUTED_VALUE"""),"ชั้นปีที่ 2")</f>
        <v>ชั้นปีที่ 2</v>
      </c>
      <c r="D78" s="3" t="str">
        <f>IFERROR(__xludf.DUMMYFUNCTION("""COMPUTED_VALUE"""),"6703837")</f>
        <v>6703837</v>
      </c>
      <c r="E78" s="3" t="str">
        <f>IFERROR(__xludf.DUMMYFUNCTION("""COMPUTED_VALUE"""),"20")</f>
        <v>20</v>
      </c>
      <c r="F78" s="3" t="str">
        <f>IFERROR(__xludf.DUMMYFUNCTION("""COMPUTED_VALUE"""),"นพอ.ณัฐธิดา เอียดดำ")</f>
        <v>นพอ.ณัฐธิดา เอียดดำ</v>
      </c>
      <c r="G78" s="3" t="str">
        <f>IFERROR(__xludf.DUMMYFUNCTION("""COMPUTED_VALUE"""),"ช่วยเหลืองานภายใน วพอ.")</f>
        <v>ช่วยเหลืองานภายใน วพอ.</v>
      </c>
      <c r="H78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78" s="3" t="str">
        <f>IFERROR(__xludf.DUMMYFUNCTION("""COMPUTED_VALUE"""),"ห้องเรียน นพอ.ชั้นปีที่ 1")</f>
        <v>ห้องเรียน นพอ.ชั้นปีที่ 1</v>
      </c>
      <c r="J78" s="12">
        <f>IFERROR(__xludf.DUMMYFUNCTION("""COMPUTED_VALUE"""),45984.0)</f>
        <v>45984</v>
      </c>
      <c r="K78" s="3" t="str">
        <f>IFERROR(__xludf.DUMMYFUNCTION("""COMPUTED_VALUE"""),"1000-1800")</f>
        <v>1000-1800</v>
      </c>
      <c r="L78" s="3">
        <f>IFERROR(__xludf.DUMMYFUNCTION("""COMPUTED_VALUE"""),8.0)</f>
        <v>8</v>
      </c>
      <c r="M78" s="3" t="str">
        <f>IFERROR(__xludf.DUMMYFUNCTION("""COMPUTED_VALUE"""),"ร.ท.เรวัติ วัชรสิทธิ์")</f>
        <v>ร.ท.เรวัติ วัชรสิทธิ์</v>
      </c>
      <c r="N78" s="14" t="str">
        <f>IFERROR(__xludf.DUMMYFUNCTION("""COMPUTED_VALUE"""),"https://lh5.googleusercontent.com/d/1X_kJtJ7FKYo1kPtWxaPtLQ3ZuHZLH5r8")</f>
        <v>https://lh5.googleusercontent.com/d/1X_kJtJ7FKYo1kPtWxaPtLQ3ZuHZLH5r8</v>
      </c>
      <c r="O78" s="14" t="str">
        <f>IFERROR(__xludf.DUMMYFUNCTION("""COMPUTED_VALUE"""),"https://drive.google.com/file/d/1zn6IL3HZ3_71ACNzy1IcQBqpZqkpvdwK/view?usp=drivesdk")</f>
        <v>https://drive.google.com/file/d/1zn6IL3HZ3_71ACNzy1IcQBqpZqkpvdwK/view?usp=drivesdk</v>
      </c>
    </row>
    <row r="79">
      <c r="A79" s="3">
        <f>IFERROR(__xludf.DUMMYFUNCTION("""COMPUTED_VALUE"""),297.0)</f>
        <v>297</v>
      </c>
      <c r="B79" s="11">
        <f>IFERROR(__xludf.DUMMYFUNCTION("""COMPUTED_VALUE"""),45985.87860868056)</f>
        <v>45985.87861</v>
      </c>
      <c r="C79" s="3" t="str">
        <f>IFERROR(__xludf.DUMMYFUNCTION("""COMPUTED_VALUE"""),"ชั้นปีที่ 2")</f>
        <v>ชั้นปีที่ 2</v>
      </c>
      <c r="D79" s="3" t="str">
        <f>IFERROR(__xludf.DUMMYFUNCTION("""COMPUTED_VALUE"""),"6703837")</f>
        <v>6703837</v>
      </c>
      <c r="E79" s="3" t="str">
        <f>IFERROR(__xludf.DUMMYFUNCTION("""COMPUTED_VALUE"""),"20")</f>
        <v>20</v>
      </c>
      <c r="F79" s="3" t="str">
        <f>IFERROR(__xludf.DUMMYFUNCTION("""COMPUTED_VALUE"""),"นพอ.ณัฐธิดา เอียดดำ")</f>
        <v>นพอ.ณัฐธิดา เอียดดำ</v>
      </c>
      <c r="G79" s="3" t="str">
        <f>IFERROR(__xludf.DUMMYFUNCTION("""COMPUTED_VALUE"""),"ช่วยเหลืองานภายใน วพอ.")</f>
        <v>ช่วยเหลืองานภายใน วพอ.</v>
      </c>
      <c r="H79" s="3" t="str">
        <f>IFERROR(__xludf.DUMMYFUNCTION("""COMPUTED_VALUE"""),"จิตอาสารับนรม.")</f>
        <v>จิตอาสารับนรม.</v>
      </c>
      <c r="I79" s="3" t="str">
        <f>IFERROR(__xludf.DUMMYFUNCTION("""COMPUTED_VALUE"""),"วิทยาลัยพยาบาลทหารอากาศ")</f>
        <v>วิทยาลัยพยาบาลทหารอากาศ</v>
      </c>
      <c r="J79" s="12">
        <f>IFERROR(__xludf.DUMMYFUNCTION("""COMPUTED_VALUE"""),45859.0)</f>
        <v>45859</v>
      </c>
      <c r="K79" s="3" t="str">
        <f>IFERROR(__xludf.DUMMYFUNCTION("""COMPUTED_VALUE"""),"0700-1300")</f>
        <v>0700-1300</v>
      </c>
      <c r="L79" s="3">
        <f>IFERROR(__xludf.DUMMYFUNCTION("""COMPUTED_VALUE"""),8.0)</f>
        <v>8</v>
      </c>
      <c r="M79" s="3" t="str">
        <f>IFERROR(__xludf.DUMMYFUNCTION("""COMPUTED_VALUE"""),"ร.อ.อนุชิต ทำจะดี")</f>
        <v>ร.อ.อนุชิต ทำจะดี</v>
      </c>
      <c r="N79" s="14" t="str">
        <f>IFERROR(__xludf.DUMMYFUNCTION("""COMPUTED_VALUE"""),"https://lh5.googleusercontent.com/d/1ZTPOnqsXPlYv0o7SoX1Ip2Wg4ltHa8fc")</f>
        <v>https://lh5.googleusercontent.com/d/1ZTPOnqsXPlYv0o7SoX1Ip2Wg4ltHa8fc</v>
      </c>
      <c r="O79" s="14" t="str">
        <f>IFERROR(__xludf.DUMMYFUNCTION("""COMPUTED_VALUE"""),"https://drive.google.com/file/d/1HHB3sVQKEhYs0YZeK-VxdpVRRhnmdfA0/view?usp=drivesdk")</f>
        <v>https://drive.google.com/file/d/1HHB3sVQKEhYs0YZeK-VxdpVRRhnmdfA0/view?usp=drivesdk</v>
      </c>
    </row>
    <row r="80">
      <c r="A80" s="3">
        <f>IFERROR(__xludf.DUMMYFUNCTION("""COMPUTED_VALUE"""),298.0)</f>
        <v>298</v>
      </c>
      <c r="B80" s="11">
        <f>IFERROR(__xludf.DUMMYFUNCTION("""COMPUTED_VALUE"""),45985.88165027778)</f>
        <v>45985.88165</v>
      </c>
      <c r="C80" s="3" t="str">
        <f>IFERROR(__xludf.DUMMYFUNCTION("""COMPUTED_VALUE"""),"ชั้นปีที่ 2")</f>
        <v>ชั้นปีที่ 2</v>
      </c>
      <c r="D80" s="3" t="str">
        <f>IFERROR(__xludf.DUMMYFUNCTION("""COMPUTED_VALUE"""),"6703837")</f>
        <v>6703837</v>
      </c>
      <c r="E80" s="3" t="str">
        <f>IFERROR(__xludf.DUMMYFUNCTION("""COMPUTED_VALUE"""),"20")</f>
        <v>20</v>
      </c>
      <c r="F80" s="3" t="str">
        <f>IFERROR(__xludf.DUMMYFUNCTION("""COMPUTED_VALUE"""),"นพอ.ณัฐธิดา เอียดดำ")</f>
        <v>นพอ.ณัฐธิดา เอียดดำ</v>
      </c>
      <c r="G80" s="3" t="str">
        <f>IFERROR(__xludf.DUMMYFUNCTION("""COMPUTED_VALUE"""),"ช่วยเหลืองานภายใน วพอ.")</f>
        <v>ช่วยเหลืองานภายใน วพอ.</v>
      </c>
      <c r="H80" s="3" t="str">
        <f>IFERROR(__xludf.DUMMYFUNCTION("""COMPUTED_VALUE"""),"จัดห้องภาคมารดา ทารก และการผดุงครรภ์")</f>
        <v>จัดห้องภาคมารดา ทารก และการผดุงครรภ์</v>
      </c>
      <c r="I80" s="3" t="str">
        <f>IFERROR(__xludf.DUMMYFUNCTION("""COMPUTED_VALUE"""),"ห้องภาคมารดา ทารก และการผดุงครรภ์")</f>
        <v>ห้องภาคมารดา ทารก และการผดุงครรภ์</v>
      </c>
      <c r="J80" s="12">
        <f>IFERROR(__xludf.DUMMYFUNCTION("""COMPUTED_VALUE"""),45979.0)</f>
        <v>45979</v>
      </c>
      <c r="K80" s="3" t="str">
        <f>IFERROR(__xludf.DUMMYFUNCTION("""COMPUTED_VALUE"""),"1400-1600")</f>
        <v>1400-1600</v>
      </c>
      <c r="L80" s="3">
        <f>IFERROR(__xludf.DUMMYFUNCTION("""COMPUTED_VALUE"""),2.0)</f>
        <v>2</v>
      </c>
      <c r="M80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80" s="14" t="str">
        <f>IFERROR(__xludf.DUMMYFUNCTION("""COMPUTED_VALUE"""),"https://lh5.googleusercontent.com/d/1PWqrYmjcTehFLcvYhd69apNGIriavupq")</f>
        <v>https://lh5.googleusercontent.com/d/1PWqrYmjcTehFLcvYhd69apNGIriavupq</v>
      </c>
      <c r="O80" s="14" t="str">
        <f>IFERROR(__xludf.DUMMYFUNCTION("""COMPUTED_VALUE"""),"https://drive.google.com/file/d/1LqLN1FVz418-zHedMMbBJ4Wn575V8Z-y/view?usp=drivesdk")</f>
        <v>https://drive.google.com/file/d/1LqLN1FVz418-zHedMMbBJ4Wn575V8Z-y/view?usp=drivesdk</v>
      </c>
    </row>
    <row r="81">
      <c r="A81" s="3">
        <f>IFERROR(__xludf.DUMMYFUNCTION("""COMPUTED_VALUE"""),299.0)</f>
        <v>299</v>
      </c>
      <c r="B81" s="11">
        <f>IFERROR(__xludf.DUMMYFUNCTION("""COMPUTED_VALUE"""),45985.883454537034)</f>
        <v>45985.88345</v>
      </c>
      <c r="C81" s="3" t="str">
        <f>IFERROR(__xludf.DUMMYFUNCTION("""COMPUTED_VALUE"""),"ชั้นปีที่ 2")</f>
        <v>ชั้นปีที่ 2</v>
      </c>
      <c r="D81" s="3" t="str">
        <f>IFERROR(__xludf.DUMMYFUNCTION("""COMPUTED_VALUE"""),"6703837")</f>
        <v>6703837</v>
      </c>
      <c r="E81" s="3" t="str">
        <f>IFERROR(__xludf.DUMMYFUNCTION("""COMPUTED_VALUE"""),"20")</f>
        <v>20</v>
      </c>
      <c r="F81" s="3" t="str">
        <f>IFERROR(__xludf.DUMMYFUNCTION("""COMPUTED_VALUE"""),"นพอ.ณัฐธิดา เอียดดำ")</f>
        <v>นพอ.ณัฐธิดา เอียดดำ</v>
      </c>
      <c r="G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" s="3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81" s="3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81" s="12">
        <f>IFERROR(__xludf.DUMMYFUNCTION("""COMPUTED_VALUE"""),45976.0)</f>
        <v>45976</v>
      </c>
      <c r="K81" s="3" t="str">
        <f>IFERROR(__xludf.DUMMYFUNCTION("""COMPUTED_VALUE"""),"0600-1000")</f>
        <v>0600-1000</v>
      </c>
      <c r="L81" s="3">
        <f>IFERROR(__xludf.DUMMYFUNCTION("""COMPUTED_VALUE"""),4.0)</f>
        <v>4</v>
      </c>
      <c r="M8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1" s="14" t="str">
        <f>IFERROR(__xludf.DUMMYFUNCTION("""COMPUTED_VALUE"""),"https://lh5.googleusercontent.com/d/1_mxj32Jm4xmG1c5ayOmPHoYrhr7AnQLm")</f>
        <v>https://lh5.googleusercontent.com/d/1_mxj32Jm4xmG1c5ayOmPHoYrhr7AnQLm</v>
      </c>
      <c r="O81" s="14" t="str">
        <f>IFERROR(__xludf.DUMMYFUNCTION("""COMPUTED_VALUE"""),"https://drive.google.com/file/d/1nv9XNu_ck6R9O_GGSL8tjwc3caCaNqSi/view?usp=drivesdk")</f>
        <v>https://drive.google.com/file/d/1nv9XNu_ck6R9O_GGSL8tjwc3caCaNqSi/view?usp=drivesdk</v>
      </c>
    </row>
    <row r="82">
      <c r="A82" s="3">
        <f>IFERROR(__xludf.DUMMYFUNCTION("""COMPUTED_VALUE"""),300.0)</f>
        <v>300</v>
      </c>
      <c r="B82" s="11">
        <f>IFERROR(__xludf.DUMMYFUNCTION("""COMPUTED_VALUE"""),45985.88567167824)</f>
        <v>45985.88567</v>
      </c>
      <c r="C82" s="3" t="str">
        <f>IFERROR(__xludf.DUMMYFUNCTION("""COMPUTED_VALUE"""),"ชั้นปีที่ 2")</f>
        <v>ชั้นปีที่ 2</v>
      </c>
      <c r="D82" s="3" t="str">
        <f>IFERROR(__xludf.DUMMYFUNCTION("""COMPUTED_VALUE"""),"6703837")</f>
        <v>6703837</v>
      </c>
      <c r="E82" s="3" t="str">
        <f>IFERROR(__xludf.DUMMYFUNCTION("""COMPUTED_VALUE"""),"20")</f>
        <v>20</v>
      </c>
      <c r="F82" s="3" t="str">
        <f>IFERROR(__xludf.DUMMYFUNCTION("""COMPUTED_VALUE"""),"นพอ.ณัฐธิดา เอียดดำ")</f>
        <v>นพอ.ณัฐธิดา เอียดดำ</v>
      </c>
      <c r="G82" s="3" t="str">
        <f>IFERROR(__xludf.DUMMYFUNCTION("""COMPUTED_VALUE"""),"ช่วยเหลืองานภายใน วพอ.")</f>
        <v>ช่วยเหลืองานภายใน วพอ.</v>
      </c>
      <c r="H82" s="3" t="str">
        <f>IFERROR(__xludf.DUMMYFUNCTION("""COMPUTED_VALUE"""),"ช่วยเหลืองาน อนศ. ")</f>
        <v>ช่วยเหลืองาน อนศ. </v>
      </c>
      <c r="I82" s="3" t="str">
        <f>IFERROR(__xludf.DUMMYFUNCTION("""COMPUTED_VALUE"""),"วิทยาลัยพยาบาลทหารอากาศ")</f>
        <v>วิทยาลัยพยาบาลทหารอากาศ</v>
      </c>
      <c r="J82" s="12">
        <f>IFERROR(__xludf.DUMMYFUNCTION("""COMPUTED_VALUE"""),45875.0)</f>
        <v>45875</v>
      </c>
      <c r="K82" s="3" t="str">
        <f>IFERROR(__xludf.DUMMYFUNCTION("""COMPUTED_VALUE"""),"0700-1300")</f>
        <v>0700-1300</v>
      </c>
      <c r="L82" s="3">
        <f>IFERROR(__xludf.DUMMYFUNCTION("""COMPUTED_VALUE"""),6.0)</f>
        <v>6</v>
      </c>
      <c r="M82" s="3" t="str">
        <f>IFERROR(__xludf.DUMMYFUNCTION("""COMPUTED_VALUE"""),"จ.ต.หญิง ปทิตตา สุขจิตเวชธาดา")</f>
        <v>จ.ต.หญิง ปทิตตา สุขจิตเวชธาดา</v>
      </c>
      <c r="N82" s="14" t="str">
        <f>IFERROR(__xludf.DUMMYFUNCTION("""COMPUTED_VALUE"""),"https://lh5.googleusercontent.com/d/17OysKuSguYbZJNdJCw0iGHyw0lqWAMX3")</f>
        <v>https://lh5.googleusercontent.com/d/17OysKuSguYbZJNdJCw0iGHyw0lqWAMX3</v>
      </c>
      <c r="O82" s="14" t="str">
        <f>IFERROR(__xludf.DUMMYFUNCTION("""COMPUTED_VALUE"""),"https://drive.google.com/file/d/1TU3y9zFE_RBujSqSXjZetbjPlkp-Zoj2/view?usp=drivesdk")</f>
        <v>https://drive.google.com/file/d/1TU3y9zFE_RBujSqSXjZetbjPlkp-Zoj2/view?usp=drivesdk</v>
      </c>
    </row>
    <row r="83">
      <c r="A83" s="3">
        <f>IFERROR(__xludf.DUMMYFUNCTION("""COMPUTED_VALUE"""),301.0)</f>
        <v>301</v>
      </c>
      <c r="B83" s="11">
        <f>IFERROR(__xludf.DUMMYFUNCTION("""COMPUTED_VALUE"""),45985.90595839121)</f>
        <v>45985.90596</v>
      </c>
      <c r="C83" s="3" t="str">
        <f>IFERROR(__xludf.DUMMYFUNCTION("""COMPUTED_VALUE"""),"ชั้นปีที่ 2")</f>
        <v>ชั้นปีที่ 2</v>
      </c>
      <c r="D83" s="3" t="str">
        <f>IFERROR(__xludf.DUMMYFUNCTION("""COMPUTED_VALUE"""),"6703824")</f>
        <v>6703824</v>
      </c>
      <c r="E83" s="3" t="str">
        <f>IFERROR(__xludf.DUMMYFUNCTION("""COMPUTED_VALUE"""),"7")</f>
        <v>7</v>
      </c>
      <c r="F83" s="3" t="str">
        <f>IFERROR(__xludf.DUMMYFUNCTION("""COMPUTED_VALUE"""),"นพอ.จินต์จุฑา จงประเสริฐ")</f>
        <v>นพอ.จินต์จุฑา จงประเสริฐ</v>
      </c>
      <c r="G8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" s="3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83" s="3" t="str">
        <f>IFERROR(__xludf.DUMMYFUNCTION("""COMPUTED_VALUE"""),"ดุริยางค์ทหารอากาศ")</f>
        <v>ดุริยางค์ทหารอากาศ</v>
      </c>
      <c r="J83" s="12">
        <f>IFERROR(__xludf.DUMMYFUNCTION("""COMPUTED_VALUE"""),45825.0)</f>
        <v>45825</v>
      </c>
      <c r="K83" s="3" t="str">
        <f>IFERROR(__xludf.DUMMYFUNCTION("""COMPUTED_VALUE"""),"0800-1600")</f>
        <v>0800-1600</v>
      </c>
      <c r="L83" s="3">
        <f>IFERROR(__xludf.DUMMYFUNCTION("""COMPUTED_VALUE"""),8.0)</f>
        <v>8</v>
      </c>
      <c r="M83" s="3" t="str">
        <f>IFERROR(__xludf.DUMMYFUNCTION("""COMPUTED_VALUE"""),"ร.อ.อนุชิต ทำจะดี")</f>
        <v>ร.อ.อนุชิต ทำจะดี</v>
      </c>
      <c r="N83" s="14" t="str">
        <f>IFERROR(__xludf.DUMMYFUNCTION("""COMPUTED_VALUE"""),"https://lh5.googleusercontent.com/d/1jFGsSIDqI_1oWoONxyM66rY_ZdNXxcDD")</f>
        <v>https://lh5.googleusercontent.com/d/1jFGsSIDqI_1oWoONxyM66rY_ZdNXxcDD</v>
      </c>
      <c r="O83" s="14" t="str">
        <f>IFERROR(__xludf.DUMMYFUNCTION("""COMPUTED_VALUE"""),"https://drive.google.com/file/d/1W-orsE1FqXpW09CyKvZqyuQTr8gXlZEU/view?usp=drivesdk")</f>
        <v>https://drive.google.com/file/d/1W-orsE1FqXpW09CyKvZqyuQTr8gXlZEU/view?usp=drivesdk</v>
      </c>
    </row>
    <row r="84">
      <c r="A84" s="3">
        <f>IFERROR(__xludf.DUMMYFUNCTION("""COMPUTED_VALUE"""),302.0)</f>
        <v>302</v>
      </c>
      <c r="B84" s="11">
        <f>IFERROR(__xludf.DUMMYFUNCTION("""COMPUTED_VALUE"""),45985.91202189815)</f>
        <v>45985.91202</v>
      </c>
      <c r="C84" s="3" t="str">
        <f>IFERROR(__xludf.DUMMYFUNCTION("""COMPUTED_VALUE"""),"ชั้นปีที่ 2")</f>
        <v>ชั้นปีที่ 2</v>
      </c>
      <c r="D84" s="3" t="str">
        <f>IFERROR(__xludf.DUMMYFUNCTION("""COMPUTED_VALUE"""),"6703824")</f>
        <v>6703824</v>
      </c>
      <c r="E84" s="3" t="str">
        <f>IFERROR(__xludf.DUMMYFUNCTION("""COMPUTED_VALUE"""),"7")</f>
        <v>7</v>
      </c>
      <c r="F84" s="3" t="str">
        <f>IFERROR(__xludf.DUMMYFUNCTION("""COMPUTED_VALUE"""),"นพอ.จินต์จุฑา จงประเสริฐ")</f>
        <v>นพอ.จินต์จุฑา จงประเสริฐ</v>
      </c>
      <c r="G8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8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84" s="12">
        <f>IFERROR(__xludf.DUMMYFUNCTION("""COMPUTED_VALUE"""),45840.0)</f>
        <v>45840</v>
      </c>
      <c r="K84" s="3" t="str">
        <f>IFERROR(__xludf.DUMMYFUNCTION("""COMPUTED_VALUE"""),"1400-2200")</f>
        <v>1400-2200</v>
      </c>
      <c r="L84" s="3">
        <f>IFERROR(__xludf.DUMMYFUNCTION("""COMPUTED_VALUE"""),8.0)</f>
        <v>8</v>
      </c>
      <c r="M84" s="3" t="str">
        <f>IFERROR(__xludf.DUMMYFUNCTION("""COMPUTED_VALUE"""),"ร.อ.อนุชิต ทำจะดี")</f>
        <v>ร.อ.อนุชิต ทำจะดี</v>
      </c>
      <c r="N84" s="14" t="str">
        <f>IFERROR(__xludf.DUMMYFUNCTION("""COMPUTED_VALUE"""),"https://lh5.googleusercontent.com/d/1MipQSOQKkFzqokUIRwtB25dmOOrx0Ln5")</f>
        <v>https://lh5.googleusercontent.com/d/1MipQSOQKkFzqokUIRwtB25dmOOrx0Ln5</v>
      </c>
      <c r="O84" s="14" t="str">
        <f>IFERROR(__xludf.DUMMYFUNCTION("""COMPUTED_VALUE"""),"https://drive.google.com/file/d/1s0SRQBQ_fD68RAKbfUT-zwcWNYu5MwUe/view?usp=drivesdk")</f>
        <v>https://drive.google.com/file/d/1s0SRQBQ_fD68RAKbfUT-zwcWNYu5MwUe/view?usp=drivesdk</v>
      </c>
    </row>
    <row r="85">
      <c r="A85" s="3">
        <f>IFERROR(__xludf.DUMMYFUNCTION("""COMPUTED_VALUE"""),304.0)</f>
        <v>304</v>
      </c>
      <c r="B85" s="11">
        <f>IFERROR(__xludf.DUMMYFUNCTION("""COMPUTED_VALUE"""),45985.92386894676)</f>
        <v>45985.92387</v>
      </c>
      <c r="C85" s="3" t="str">
        <f>IFERROR(__xludf.DUMMYFUNCTION("""COMPUTED_VALUE"""),"ชั้นปีที่ 2")</f>
        <v>ชั้นปีที่ 2</v>
      </c>
      <c r="D85" s="3" t="str">
        <f>IFERROR(__xludf.DUMMYFUNCTION("""COMPUTED_VALUE"""),"6703824")</f>
        <v>6703824</v>
      </c>
      <c r="E85" s="3" t="str">
        <f>IFERROR(__xludf.DUMMYFUNCTION("""COMPUTED_VALUE"""),"7")</f>
        <v>7</v>
      </c>
      <c r="F85" s="3" t="str">
        <f>IFERROR(__xludf.DUMMYFUNCTION("""COMPUTED_VALUE"""),"นพอ.จินต์จุฑา จงประเสริฐ")</f>
        <v>นพอ.จินต์จุฑา จงประเสริฐ</v>
      </c>
      <c r="G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8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85" s="12">
        <f>IFERROR(__xludf.DUMMYFUNCTION("""COMPUTED_VALUE"""),45839.0)</f>
        <v>45839</v>
      </c>
      <c r="K85" s="3" t="str">
        <f>IFERROR(__xludf.DUMMYFUNCTION("""COMPUTED_VALUE"""),"1400-2200")</f>
        <v>1400-2200</v>
      </c>
      <c r="L85" s="3">
        <f>IFERROR(__xludf.DUMMYFUNCTION("""COMPUTED_VALUE"""),8.0)</f>
        <v>8</v>
      </c>
      <c r="M85" s="3" t="str">
        <f>IFERROR(__xludf.DUMMYFUNCTION("""COMPUTED_VALUE"""),"ร.อ.อนุชิต ทำจะดี")</f>
        <v>ร.อ.อนุชิต ทำจะดี</v>
      </c>
      <c r="N85" s="14" t="str">
        <f>IFERROR(__xludf.DUMMYFUNCTION("""COMPUTED_VALUE"""),"https://lh5.googleusercontent.com/d/1oVSneZjaRC1KOZcv545sccUSJ7H2n8Vw")</f>
        <v>https://lh5.googleusercontent.com/d/1oVSneZjaRC1KOZcv545sccUSJ7H2n8Vw</v>
      </c>
      <c r="O85" s="14" t="str">
        <f>IFERROR(__xludf.DUMMYFUNCTION("""COMPUTED_VALUE"""),"https://drive.google.com/file/d/1vBYbjiL77isNonqVD_XKdjnDR2HvZiLr/view?usp=drivesdk")</f>
        <v>https://drive.google.com/file/d/1vBYbjiL77isNonqVD_XKdjnDR2HvZiLr/view?usp=drivesdk</v>
      </c>
    </row>
    <row r="86">
      <c r="A86" s="3">
        <f>IFERROR(__xludf.DUMMYFUNCTION("""COMPUTED_VALUE"""),305.0)</f>
        <v>305</v>
      </c>
      <c r="B86" s="11">
        <f>IFERROR(__xludf.DUMMYFUNCTION("""COMPUTED_VALUE"""),45985.933667708334)</f>
        <v>45985.93367</v>
      </c>
      <c r="C86" s="3" t="str">
        <f>IFERROR(__xludf.DUMMYFUNCTION("""COMPUTED_VALUE"""),"ชั้นปีที่ 2")</f>
        <v>ชั้นปีที่ 2</v>
      </c>
      <c r="D86" s="3" t="str">
        <f>IFERROR(__xludf.DUMMYFUNCTION("""COMPUTED_VALUE"""),"6703824")</f>
        <v>6703824</v>
      </c>
      <c r="E86" s="3" t="str">
        <f>IFERROR(__xludf.DUMMYFUNCTION("""COMPUTED_VALUE"""),"7")</f>
        <v>7</v>
      </c>
      <c r="F86" s="3" t="str">
        <f>IFERROR(__xludf.DUMMYFUNCTION("""COMPUTED_VALUE"""),"นพอ.จินต์จุฑา จงประเสริฐ")</f>
        <v>นพอ.จินต์จุฑา จงประเสริฐ</v>
      </c>
      <c r="G8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6" s="3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86" s="3" t="str">
        <f>IFERROR(__xludf.DUMMYFUNCTION("""COMPUTED_VALUE"""),"กองบัญชาการทหารอากาศ")</f>
        <v>กองบัญชาการทหารอากาศ</v>
      </c>
      <c r="J86" s="12">
        <f>IFERROR(__xludf.DUMMYFUNCTION("""COMPUTED_VALUE"""),45833.0)</f>
        <v>45833</v>
      </c>
      <c r="K86" s="3" t="str">
        <f>IFERROR(__xludf.DUMMYFUNCTION("""COMPUTED_VALUE"""),"0800-1600")</f>
        <v>0800-1600</v>
      </c>
      <c r="L86" s="3">
        <f>IFERROR(__xludf.DUMMYFUNCTION("""COMPUTED_VALUE"""),8.0)</f>
        <v>8</v>
      </c>
      <c r="M86" s="3" t="str">
        <f>IFERROR(__xludf.DUMMYFUNCTION("""COMPUTED_VALUE"""),"ร.อ.อนุชิต ทำจะดี")</f>
        <v>ร.อ.อนุชิต ทำจะดี</v>
      </c>
      <c r="N86" s="14" t="str">
        <f>IFERROR(__xludf.DUMMYFUNCTION("""COMPUTED_VALUE"""),"https://lh5.googleusercontent.com/d/1l7ouAJCTytsOvXSBMGZgonFjvLEwp9zn")</f>
        <v>https://lh5.googleusercontent.com/d/1l7ouAJCTytsOvXSBMGZgonFjvLEwp9zn</v>
      </c>
      <c r="O86" s="14" t="str">
        <f>IFERROR(__xludf.DUMMYFUNCTION("""COMPUTED_VALUE"""),"https://drive.google.com/file/d/1etMm_yWJjoDfXu6sfx5COmstgOVhd35s/view?usp=drivesdk")</f>
        <v>https://drive.google.com/file/d/1etMm_yWJjoDfXu6sfx5COmstgOVhd35s/view?usp=drivesdk</v>
      </c>
    </row>
    <row r="87">
      <c r="A87" s="3">
        <f>IFERROR(__xludf.DUMMYFUNCTION("""COMPUTED_VALUE"""),306.0)</f>
        <v>306</v>
      </c>
      <c r="B87" s="11">
        <f>IFERROR(__xludf.DUMMYFUNCTION("""COMPUTED_VALUE"""),45985.937603784725)</f>
        <v>45985.9376</v>
      </c>
      <c r="C87" s="3" t="str">
        <f>IFERROR(__xludf.DUMMYFUNCTION("""COMPUTED_VALUE"""),"ชั้นปีที่ 2")</f>
        <v>ชั้นปีที่ 2</v>
      </c>
      <c r="D87" s="3" t="str">
        <f>IFERROR(__xludf.DUMMYFUNCTION("""COMPUTED_VALUE"""),"6703824")</f>
        <v>6703824</v>
      </c>
      <c r="E87" s="3" t="str">
        <f>IFERROR(__xludf.DUMMYFUNCTION("""COMPUTED_VALUE"""),"7")</f>
        <v>7</v>
      </c>
      <c r="F87" s="3" t="str">
        <f>IFERROR(__xludf.DUMMYFUNCTION("""COMPUTED_VALUE"""),"นพอ.จินต์จุฑา จงประเสริฐ")</f>
        <v>นพอ.จินต์จุฑา จงประเสริฐ</v>
      </c>
      <c r="G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7" s="3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8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87" s="12">
        <f>IFERROR(__xludf.DUMMYFUNCTION("""COMPUTED_VALUE"""),45838.0)</f>
        <v>45838</v>
      </c>
      <c r="K87" s="3" t="str">
        <f>IFERROR(__xludf.DUMMYFUNCTION("""COMPUTED_VALUE"""),"1400-2200")</f>
        <v>1400-2200</v>
      </c>
      <c r="L87" s="3">
        <f>IFERROR(__xludf.DUMMYFUNCTION("""COMPUTED_VALUE"""),8.0)</f>
        <v>8</v>
      </c>
      <c r="M87" s="3" t="str">
        <f>IFERROR(__xludf.DUMMYFUNCTION("""COMPUTED_VALUE"""),"ร.อ.อนุชิต ทำจะดี")</f>
        <v>ร.อ.อนุชิต ทำจะดี</v>
      </c>
      <c r="N87" s="14" t="str">
        <f>IFERROR(__xludf.DUMMYFUNCTION("""COMPUTED_VALUE"""),"https://lh5.googleusercontent.com/d/134R51EsJkPP7SEtpLfOkfJuYl1aebC8P")</f>
        <v>https://lh5.googleusercontent.com/d/134R51EsJkPP7SEtpLfOkfJuYl1aebC8P</v>
      </c>
      <c r="O87" s="14" t="str">
        <f>IFERROR(__xludf.DUMMYFUNCTION("""COMPUTED_VALUE"""),"https://drive.google.com/file/d/12dMskcCTzmuFl2pP5-KY88FYm3ki4HuE/view?usp=drivesdk")</f>
        <v>https://drive.google.com/file/d/12dMskcCTzmuFl2pP5-KY88FYm3ki4HuE/view?usp=drivesdk</v>
      </c>
    </row>
    <row r="88">
      <c r="A88" s="3">
        <f>IFERROR(__xludf.DUMMYFUNCTION("""COMPUTED_VALUE"""),307.0)</f>
        <v>307</v>
      </c>
      <c r="B88" s="11">
        <f>IFERROR(__xludf.DUMMYFUNCTION("""COMPUTED_VALUE"""),45985.94684431713)</f>
        <v>45985.94684</v>
      </c>
      <c r="C88" s="3" t="str">
        <f>IFERROR(__xludf.DUMMYFUNCTION("""COMPUTED_VALUE"""),"ชั้นปีที่ 2")</f>
        <v>ชั้นปีที่ 2</v>
      </c>
      <c r="D88" s="3" t="str">
        <f>IFERROR(__xludf.DUMMYFUNCTION("""COMPUTED_VALUE"""),"6703837")</f>
        <v>6703837</v>
      </c>
      <c r="E88" s="3" t="str">
        <f>IFERROR(__xludf.DUMMYFUNCTION("""COMPUTED_VALUE"""),"20")</f>
        <v>20</v>
      </c>
      <c r="F88" s="3" t="str">
        <f>IFERROR(__xludf.DUMMYFUNCTION("""COMPUTED_VALUE"""),"นพอ.ณัฐธิดา เอียดดำ")</f>
        <v>นพอ.ณัฐธิดา เอียดดำ</v>
      </c>
      <c r="G88" s="3" t="str">
        <f>IFERROR(__xludf.DUMMYFUNCTION("""COMPUTED_VALUE"""),"ช่วยเหลืองานภายใน วพอ.")</f>
        <v>ช่วยเหลืองานภายใน วพอ.</v>
      </c>
      <c r="H88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88" s="3" t="str">
        <f>IFERROR(__xludf.DUMMYFUNCTION("""COMPUTED_VALUE"""),"ห้องเรียน นพอ.ชั้นปีที่ 1")</f>
        <v>ห้องเรียน นพอ.ชั้นปีที่ 1</v>
      </c>
      <c r="J88" s="12">
        <f>IFERROR(__xludf.DUMMYFUNCTION("""COMPUTED_VALUE"""),45984.0)</f>
        <v>45984</v>
      </c>
      <c r="K88" s="3" t="str">
        <f>IFERROR(__xludf.DUMMYFUNCTION("""COMPUTED_VALUE"""),"1000-1800")</f>
        <v>1000-1800</v>
      </c>
      <c r="L88" s="3">
        <f>IFERROR(__xludf.DUMMYFUNCTION("""COMPUTED_VALUE"""),8.0)</f>
        <v>8</v>
      </c>
      <c r="M88" s="3" t="str">
        <f>IFERROR(__xludf.DUMMYFUNCTION("""COMPUTED_VALUE"""),"ร.ท.เรวัติ วัชรสิทธิ์")</f>
        <v>ร.ท.เรวัติ วัชรสิทธิ์</v>
      </c>
      <c r="N88" s="14" t="str">
        <f>IFERROR(__xludf.DUMMYFUNCTION("""COMPUTED_VALUE"""),"https://lh5.googleusercontent.com/d/1xJzMEsOc8jVebEEsIgkLNEbFEHN1PXwE")</f>
        <v>https://lh5.googleusercontent.com/d/1xJzMEsOc8jVebEEsIgkLNEbFEHN1PXwE</v>
      </c>
      <c r="O88" s="14" t="str">
        <f>IFERROR(__xludf.DUMMYFUNCTION("""COMPUTED_VALUE"""),"https://drive.google.com/file/d/10iP926qvHZlg7hhkxjaKnrf0mMQ3ILMO/view?usp=drivesdk")</f>
        <v>https://drive.google.com/file/d/10iP926qvHZlg7hhkxjaKnrf0mMQ3ILMO/view?usp=drivesdk</v>
      </c>
    </row>
    <row r="89">
      <c r="A89" s="3">
        <f>IFERROR(__xludf.DUMMYFUNCTION("""COMPUTED_VALUE"""),308.0)</f>
        <v>308</v>
      </c>
      <c r="B89" s="11">
        <f>IFERROR(__xludf.DUMMYFUNCTION("""COMPUTED_VALUE"""),45985.94850702547)</f>
        <v>45985.94851</v>
      </c>
      <c r="C89" s="3" t="str">
        <f>IFERROR(__xludf.DUMMYFUNCTION("""COMPUTED_VALUE"""),"ชั้นปีที่ 2")</f>
        <v>ชั้นปีที่ 2</v>
      </c>
      <c r="D89" s="3" t="str">
        <f>IFERROR(__xludf.DUMMYFUNCTION("""COMPUTED_VALUE"""),"6703838")</f>
        <v>6703838</v>
      </c>
      <c r="E89" s="3" t="str">
        <f>IFERROR(__xludf.DUMMYFUNCTION("""COMPUTED_VALUE"""),"21")</f>
        <v>21</v>
      </c>
      <c r="F89" s="3" t="str">
        <f>IFERROR(__xludf.DUMMYFUNCTION("""COMPUTED_VALUE"""),"นพอ.ณัฐพงษ์ วงษ์บัวงาม")</f>
        <v>นพอ.ณัฐพงษ์ วงษ์บัวงาม</v>
      </c>
      <c r="G89" s="3" t="str">
        <f>IFERROR(__xludf.DUMMYFUNCTION("""COMPUTED_VALUE"""),"ช่วยเหลืองานภายใน วพอ.")</f>
        <v>ช่วยเหลืองานภายใน วพอ.</v>
      </c>
      <c r="H89" s="3" t="str">
        <f>IFERROR(__xludf.DUMMYFUNCTION("""COMPUTED_VALUE"""),"ซ้อมดนตรีไทยงานรับขวัญสวีเเด")</f>
        <v>ซ้อมดนตรีไทยงานรับขวัญสวีเเด</v>
      </c>
      <c r="I89" s="3" t="str">
        <f>IFERROR(__xludf.DUMMYFUNCTION("""COMPUTED_VALUE"""),"ห้องชมรมดนตรีไทย")</f>
        <v>ห้องชมรมดนตรีไทย</v>
      </c>
      <c r="J89" s="12">
        <f>IFERROR(__xludf.DUMMYFUNCTION("""COMPUTED_VALUE"""),45887.0)</f>
        <v>45887</v>
      </c>
      <c r="K89" s="3" t="str">
        <f>IFERROR(__xludf.DUMMYFUNCTION("""COMPUTED_VALUE"""),"1800-2000")</f>
        <v>1800-2000</v>
      </c>
      <c r="L89" s="3">
        <f>IFERROR(__xludf.DUMMYFUNCTION("""COMPUTED_VALUE"""),2.0)</f>
        <v>2</v>
      </c>
      <c r="M89" s="3" t="str">
        <f>IFERROR(__xludf.DUMMYFUNCTION("""COMPUTED_VALUE"""),"ร.อ.หญิง ขนัฏฐา นาดี")</f>
        <v>ร.อ.หญิง ขนัฏฐา นาดี</v>
      </c>
      <c r="N89" s="14" t="str">
        <f>IFERROR(__xludf.DUMMYFUNCTION("""COMPUTED_VALUE"""),"https://lh5.googleusercontent.com/d/1Jev_8ezmKEuAynw-kMjLtc_CcD3c3702")</f>
        <v>https://lh5.googleusercontent.com/d/1Jev_8ezmKEuAynw-kMjLtc_CcD3c3702</v>
      </c>
      <c r="O89" s="14" t="str">
        <f>IFERROR(__xludf.DUMMYFUNCTION("""COMPUTED_VALUE"""),"https://drive.google.com/file/d/1Z4WB_CkSSI0OoAUbRIkFJxkzd9N998Cl/view?usp=drivesdk")</f>
        <v>https://drive.google.com/file/d/1Z4WB_CkSSI0OoAUbRIkFJxkzd9N998Cl/view?usp=drivesdk</v>
      </c>
    </row>
    <row r="90">
      <c r="A90" s="3">
        <f>IFERROR(__xludf.DUMMYFUNCTION("""COMPUTED_VALUE"""),309.0)</f>
        <v>309</v>
      </c>
      <c r="B90" s="11">
        <f>IFERROR(__xludf.DUMMYFUNCTION("""COMPUTED_VALUE"""),45985.94952508102)</f>
        <v>45985.94953</v>
      </c>
      <c r="C90" s="3" t="str">
        <f>IFERROR(__xludf.DUMMYFUNCTION("""COMPUTED_VALUE"""),"ชั้นปีที่ 2")</f>
        <v>ชั้นปีที่ 2</v>
      </c>
      <c r="D90" s="3" t="str">
        <f>IFERROR(__xludf.DUMMYFUNCTION("""COMPUTED_VALUE"""),"6703838")</f>
        <v>6703838</v>
      </c>
      <c r="E90" s="3" t="str">
        <f>IFERROR(__xludf.DUMMYFUNCTION("""COMPUTED_VALUE"""),"21")</f>
        <v>21</v>
      </c>
      <c r="F90" s="3" t="str">
        <f>IFERROR(__xludf.DUMMYFUNCTION("""COMPUTED_VALUE"""),"นพอ.ณัฐพงษ์ วงษ์บัวงาม")</f>
        <v>นพอ.ณัฐพงษ์ วงษ์บัวงาม</v>
      </c>
      <c r="G90" s="3" t="str">
        <f>IFERROR(__xludf.DUMMYFUNCTION("""COMPUTED_VALUE"""),"ช่วยเหลืองานภายใน วพอ.")</f>
        <v>ช่วยเหลืองานภายใน วพอ.</v>
      </c>
      <c r="H90" s="3" t="str">
        <f>IFERROR(__xludf.DUMMYFUNCTION("""COMPUTED_VALUE"""),"ซ้อมดนตรีไทยงานรับขวัญสวีเเด")</f>
        <v>ซ้อมดนตรีไทยงานรับขวัญสวีเเด</v>
      </c>
      <c r="I90" s="3" t="str">
        <f>IFERROR(__xludf.DUMMYFUNCTION("""COMPUTED_VALUE"""),"ห้องชมรมดนตรีไทย")</f>
        <v>ห้องชมรมดนตรีไทย</v>
      </c>
      <c r="J90" s="12">
        <f>IFERROR(__xludf.DUMMYFUNCTION("""COMPUTED_VALUE"""),45888.0)</f>
        <v>45888</v>
      </c>
      <c r="K90" s="3" t="str">
        <f>IFERROR(__xludf.DUMMYFUNCTION("""COMPUTED_VALUE"""),"1800-2000")</f>
        <v>1800-2000</v>
      </c>
      <c r="L90" s="3">
        <f>IFERROR(__xludf.DUMMYFUNCTION("""COMPUTED_VALUE"""),2.0)</f>
        <v>2</v>
      </c>
      <c r="M90" s="3" t="str">
        <f>IFERROR(__xludf.DUMMYFUNCTION("""COMPUTED_VALUE"""),"ร.อ.หญิง ขนัฏฐา นาดี")</f>
        <v>ร.อ.หญิง ขนัฏฐา นาดี</v>
      </c>
      <c r="N90" s="14" t="str">
        <f>IFERROR(__xludf.DUMMYFUNCTION("""COMPUTED_VALUE"""),"https://lh5.googleusercontent.com/d/1ywd9Zpv6Z_LHEth2KBGIvII7m1Xx3oOP")</f>
        <v>https://lh5.googleusercontent.com/d/1ywd9Zpv6Z_LHEth2KBGIvII7m1Xx3oOP</v>
      </c>
      <c r="O90" s="14" t="str">
        <f>IFERROR(__xludf.DUMMYFUNCTION("""COMPUTED_VALUE"""),"https://drive.google.com/file/d/1EphmQpDq5_AFtyIV8qq5cowPRcrrD3mh/view?usp=drivesdk")</f>
        <v>https://drive.google.com/file/d/1EphmQpDq5_AFtyIV8qq5cowPRcrrD3mh/view?usp=drivesdk</v>
      </c>
    </row>
    <row r="91">
      <c r="A91" s="3">
        <f>IFERROR(__xludf.DUMMYFUNCTION("""COMPUTED_VALUE"""),310.0)</f>
        <v>310</v>
      </c>
      <c r="B91" s="11">
        <f>IFERROR(__xludf.DUMMYFUNCTION("""COMPUTED_VALUE"""),45985.950039641204)</f>
        <v>45985.95004</v>
      </c>
      <c r="C91" s="3" t="str">
        <f>IFERROR(__xludf.DUMMYFUNCTION("""COMPUTED_VALUE"""),"ชั้นปีที่ 2")</f>
        <v>ชั้นปีที่ 2</v>
      </c>
      <c r="D91" s="3" t="str">
        <f>IFERROR(__xludf.DUMMYFUNCTION("""COMPUTED_VALUE"""),"6703838")</f>
        <v>6703838</v>
      </c>
      <c r="E91" s="3" t="str">
        <f>IFERROR(__xludf.DUMMYFUNCTION("""COMPUTED_VALUE"""),"21")</f>
        <v>21</v>
      </c>
      <c r="F91" s="3" t="str">
        <f>IFERROR(__xludf.DUMMYFUNCTION("""COMPUTED_VALUE"""),"นพอ.ณัฐพงษ์ วงษ์บัวงาม")</f>
        <v>นพอ.ณัฐพงษ์ วงษ์บัวงาม</v>
      </c>
      <c r="G91" s="3" t="str">
        <f>IFERROR(__xludf.DUMMYFUNCTION("""COMPUTED_VALUE"""),"ช่วยเหลืองานภายใน วพอ.")</f>
        <v>ช่วยเหลืองานภายใน วพอ.</v>
      </c>
      <c r="H91" s="3" t="str">
        <f>IFERROR(__xludf.DUMMYFUNCTION("""COMPUTED_VALUE"""),"ซ้อมดนตรีไทยงานรับขวัญสวีเเด")</f>
        <v>ซ้อมดนตรีไทยงานรับขวัญสวีเเด</v>
      </c>
      <c r="I91" s="3" t="str">
        <f>IFERROR(__xludf.DUMMYFUNCTION("""COMPUTED_VALUE"""),"ห้องชมรมดนตรีไทย")</f>
        <v>ห้องชมรมดนตรีไทย</v>
      </c>
      <c r="J91" s="12">
        <f>IFERROR(__xludf.DUMMYFUNCTION("""COMPUTED_VALUE"""),45889.0)</f>
        <v>45889</v>
      </c>
      <c r="K91" s="3" t="str">
        <f>IFERROR(__xludf.DUMMYFUNCTION("""COMPUTED_VALUE"""),"1800-2000")</f>
        <v>1800-2000</v>
      </c>
      <c r="L91" s="3">
        <f>IFERROR(__xludf.DUMMYFUNCTION("""COMPUTED_VALUE"""),2.0)</f>
        <v>2</v>
      </c>
      <c r="M91" s="3" t="str">
        <f>IFERROR(__xludf.DUMMYFUNCTION("""COMPUTED_VALUE"""),"ร.อ.หญิง ขนัฏฐา นาดี")</f>
        <v>ร.อ.หญิง ขนัฏฐา นาดี</v>
      </c>
      <c r="N91" s="14" t="str">
        <f>IFERROR(__xludf.DUMMYFUNCTION("""COMPUTED_VALUE"""),"https://lh5.googleusercontent.com/d/1IJYecPzSdLija5m7F7EJhR7jVmnqEqTD")</f>
        <v>https://lh5.googleusercontent.com/d/1IJYecPzSdLija5m7F7EJhR7jVmnqEqTD</v>
      </c>
      <c r="O91" s="14" t="str">
        <f>IFERROR(__xludf.DUMMYFUNCTION("""COMPUTED_VALUE"""),"https://drive.google.com/file/d/11NxfGIof_fguEzJIzMuYDewOBfkxTMaV/view?usp=drivesdk")</f>
        <v>https://drive.google.com/file/d/11NxfGIof_fguEzJIzMuYDewOBfkxTMaV/view?usp=drivesdk</v>
      </c>
    </row>
    <row r="92">
      <c r="A92" s="3">
        <f>IFERROR(__xludf.DUMMYFUNCTION("""COMPUTED_VALUE"""),311.0)</f>
        <v>311</v>
      </c>
      <c r="B92" s="11">
        <f>IFERROR(__xludf.DUMMYFUNCTION("""COMPUTED_VALUE"""),45985.95457065972)</f>
        <v>45985.95457</v>
      </c>
      <c r="C92" s="3" t="str">
        <f>IFERROR(__xludf.DUMMYFUNCTION("""COMPUTED_VALUE"""),"ชั้นปีที่ 2")</f>
        <v>ชั้นปีที่ 2</v>
      </c>
      <c r="D92" s="3" t="str">
        <f>IFERROR(__xludf.DUMMYFUNCTION("""COMPUTED_VALUE"""),"6703824")</f>
        <v>6703824</v>
      </c>
      <c r="E92" s="3" t="str">
        <f>IFERROR(__xludf.DUMMYFUNCTION("""COMPUTED_VALUE"""),"7")</f>
        <v>7</v>
      </c>
      <c r="F92" s="3" t="str">
        <f>IFERROR(__xludf.DUMMYFUNCTION("""COMPUTED_VALUE"""),"นพอ.จินต์จุฑา จงประเสริฐ")</f>
        <v>นพอ.จินต์จุฑา จงประเสริฐ</v>
      </c>
      <c r="G92" s="3" t="str">
        <f>IFERROR(__xludf.DUMMYFUNCTION("""COMPUTED_VALUE"""),"ช่วยเหลืองานภายใน วพอ.")</f>
        <v>ช่วยเหลืองานภายใน วพอ.</v>
      </c>
      <c r="H92" s="3" t="str">
        <f>IFERROR(__xludf.DUMMYFUNCTION("""COMPUTED_VALUE"""),"รับนักเรียนใหม่")</f>
        <v>รับนักเรียนใหม่</v>
      </c>
      <c r="I92" s="3" t="str">
        <f>IFERROR(__xludf.DUMMYFUNCTION("""COMPUTED_VALUE"""),"วพอ.พอ.")</f>
        <v>วพอ.พอ.</v>
      </c>
      <c r="J92" s="12">
        <f>IFERROR(__xludf.DUMMYFUNCTION("""COMPUTED_VALUE"""),45859.0)</f>
        <v>45859</v>
      </c>
      <c r="K92" s="3" t="str">
        <f>IFERROR(__xludf.DUMMYFUNCTION("""COMPUTED_VALUE"""),"0600-1200")</f>
        <v>0600-1200</v>
      </c>
      <c r="L92" s="3">
        <f>IFERROR(__xludf.DUMMYFUNCTION("""COMPUTED_VALUE"""),8.0)</f>
        <v>8</v>
      </c>
      <c r="M92" s="3" t="str">
        <f>IFERROR(__xludf.DUMMYFUNCTION("""COMPUTED_VALUE"""),"ร.อ.อนุชิต ทำจะดี")</f>
        <v>ร.อ.อนุชิต ทำจะดี</v>
      </c>
      <c r="N92" s="14" t="str">
        <f>IFERROR(__xludf.DUMMYFUNCTION("""COMPUTED_VALUE"""),"https://lh5.googleusercontent.com/d/1OFBmMMuXVyme0pFkC1LpZQTe_G6j_R1I")</f>
        <v>https://lh5.googleusercontent.com/d/1OFBmMMuXVyme0pFkC1LpZQTe_G6j_R1I</v>
      </c>
      <c r="O92" s="14" t="str">
        <f>IFERROR(__xludf.DUMMYFUNCTION("""COMPUTED_VALUE"""),"https://drive.google.com/file/d/1kpUJiCLvXkd9cdb0esIhkjgMtFu0Fsv8/view?usp=drivesdk")</f>
        <v>https://drive.google.com/file/d/1kpUJiCLvXkd9cdb0esIhkjgMtFu0Fsv8/view?usp=drivesdk</v>
      </c>
    </row>
    <row r="93">
      <c r="A93" s="3">
        <f>IFERROR(__xludf.DUMMYFUNCTION("""COMPUTED_VALUE"""),312.0)</f>
        <v>312</v>
      </c>
      <c r="B93" s="11">
        <f>IFERROR(__xludf.DUMMYFUNCTION("""COMPUTED_VALUE"""),45986.33477048611)</f>
        <v>45986.33477</v>
      </c>
      <c r="C93" s="3" t="str">
        <f>IFERROR(__xludf.DUMMYFUNCTION("""COMPUTED_VALUE"""),"ชั้นปีที่ 2")</f>
        <v>ชั้นปีที่ 2</v>
      </c>
      <c r="D93" s="3" t="str">
        <f>IFERROR(__xludf.DUMMYFUNCTION("""COMPUTED_VALUE"""),"6703870")</f>
        <v>6703870</v>
      </c>
      <c r="E93" s="3" t="str">
        <f>IFERROR(__xludf.DUMMYFUNCTION("""COMPUTED_VALUE"""),"52")</f>
        <v>52</v>
      </c>
      <c r="F93" s="3" t="str">
        <f>IFERROR(__xludf.DUMMYFUNCTION("""COMPUTED_VALUE"""),"นพอ.วิมลสิริ สิงห์ธนะ")</f>
        <v>นพอ.วิมลสิริ สิงห์ธนะ</v>
      </c>
      <c r="G9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3" s="3" t="str">
        <f>IFERROR(__xludf.DUMMYFUNCTION("""COMPUTED_VALUE"""),"ค่ายแนะแนวรัฐบุรุษ 2")</f>
        <v>ค่ายแนะแนวรัฐบุรุษ 2</v>
      </c>
      <c r="I93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3" s="12">
        <f>IFERROR(__xludf.DUMMYFUNCTION("""COMPUTED_VALUE"""),45968.0)</f>
        <v>45968</v>
      </c>
      <c r="K93" s="3" t="str">
        <f>IFERROR(__xludf.DUMMYFUNCTION("""COMPUTED_VALUE"""),"1800-2200")</f>
        <v>1800-2200</v>
      </c>
      <c r="L93" s="3">
        <f>IFERROR(__xludf.DUMMYFUNCTION("""COMPUTED_VALUE"""),4.0)</f>
        <v>4</v>
      </c>
      <c r="M9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3" s="14" t="str">
        <f>IFERROR(__xludf.DUMMYFUNCTION("""COMPUTED_VALUE"""),"https://lh5.googleusercontent.com/d/1tMoW8VVky7qmMxGx13ycy-4z4BJoOkyK")</f>
        <v>https://lh5.googleusercontent.com/d/1tMoW8VVky7qmMxGx13ycy-4z4BJoOkyK</v>
      </c>
      <c r="O93" s="14" t="str">
        <f>IFERROR(__xludf.DUMMYFUNCTION("""COMPUTED_VALUE"""),"https://drive.google.com/file/d/1Qnh1KJsms0vfC1I2DdlzIBZ1E3RxFEBn/view?usp=drivesdk")</f>
        <v>https://drive.google.com/file/d/1Qnh1KJsms0vfC1I2DdlzIBZ1E3RxFEBn/view?usp=drivesdk</v>
      </c>
    </row>
    <row r="94">
      <c r="A94" s="3">
        <f>IFERROR(__xludf.DUMMYFUNCTION("""COMPUTED_VALUE"""),313.0)</f>
        <v>313</v>
      </c>
      <c r="B94" s="11">
        <f>IFERROR(__xludf.DUMMYFUNCTION("""COMPUTED_VALUE"""),45986.347830694445)</f>
        <v>45986.34783</v>
      </c>
      <c r="C94" s="3" t="str">
        <f>IFERROR(__xludf.DUMMYFUNCTION("""COMPUTED_VALUE"""),"ชั้นปีที่ 2")</f>
        <v>ชั้นปีที่ 2</v>
      </c>
      <c r="D94" s="3" t="str">
        <f>IFERROR(__xludf.DUMMYFUNCTION("""COMPUTED_VALUE"""),"6703861")</f>
        <v>6703861</v>
      </c>
      <c r="E94" s="3" t="str">
        <f>IFERROR(__xludf.DUMMYFUNCTION("""COMPUTED_VALUE"""),"43")</f>
        <v>43</v>
      </c>
      <c r="F94" s="3" t="str">
        <f>IFERROR(__xludf.DUMMYFUNCTION("""COMPUTED_VALUE"""),"นพอ.เพ็ญพิชชา จันทระพงษ์")</f>
        <v>นพอ.เพ็ญพิชชา จันทระพงษ์</v>
      </c>
      <c r="G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4" s="3" t="str">
        <f>IFERROR(__xludf.DUMMYFUNCTION("""COMPUTED_VALUE"""),"ค่ายแนะแนวรัฐบุรุษ 2")</f>
        <v>ค่ายแนะแนวรัฐบุรุษ 2</v>
      </c>
      <c r="I94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4" s="12">
        <f>IFERROR(__xludf.DUMMYFUNCTION("""COMPUTED_VALUE"""),45968.0)</f>
        <v>45968</v>
      </c>
      <c r="K94" s="3" t="str">
        <f>IFERROR(__xludf.DUMMYFUNCTION("""COMPUTED_VALUE"""),"1800-2200")</f>
        <v>1800-2200</v>
      </c>
      <c r="L94" s="3">
        <f>IFERROR(__xludf.DUMMYFUNCTION("""COMPUTED_VALUE"""),4.0)</f>
        <v>4</v>
      </c>
      <c r="M9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4" s="14" t="str">
        <f>IFERROR(__xludf.DUMMYFUNCTION("""COMPUTED_VALUE"""),"https://lh5.googleusercontent.com/d/1B7e2lKEQg_rkZtBmJ5dpodhy0Jy8UFuZ")</f>
        <v>https://lh5.googleusercontent.com/d/1B7e2lKEQg_rkZtBmJ5dpodhy0Jy8UFuZ</v>
      </c>
      <c r="O94" s="14" t="str">
        <f>IFERROR(__xludf.DUMMYFUNCTION("""COMPUTED_VALUE"""),"https://drive.google.com/file/d/15meJyRmipg8mYEXfJMczdR6uYmvX1p5h/view?usp=drivesdk")</f>
        <v>https://drive.google.com/file/d/15meJyRmipg8mYEXfJMczdR6uYmvX1p5h/view?usp=drivesdk</v>
      </c>
    </row>
    <row r="95">
      <c r="A95" s="3">
        <f>IFERROR(__xludf.DUMMYFUNCTION("""COMPUTED_VALUE"""),314.0)</f>
        <v>314</v>
      </c>
      <c r="B95" s="11">
        <f>IFERROR(__xludf.DUMMYFUNCTION("""COMPUTED_VALUE"""),45986.35075745371)</f>
        <v>45986.35076</v>
      </c>
      <c r="C95" s="3" t="str">
        <f>IFERROR(__xludf.DUMMYFUNCTION("""COMPUTED_VALUE"""),"ชั้นปีที่ 2")</f>
        <v>ชั้นปีที่ 2</v>
      </c>
      <c r="D95" s="3" t="str">
        <f>IFERROR(__xludf.DUMMYFUNCTION("""COMPUTED_VALUE"""),"6703861")</f>
        <v>6703861</v>
      </c>
      <c r="E95" s="3" t="str">
        <f>IFERROR(__xludf.DUMMYFUNCTION("""COMPUTED_VALUE"""),"43")</f>
        <v>43</v>
      </c>
      <c r="F95" s="3" t="str">
        <f>IFERROR(__xludf.DUMMYFUNCTION("""COMPUTED_VALUE"""),"นพอ.เพ็ญพิชชา จันทระพงษ์")</f>
        <v>นพอ.เพ็ญพิชชา จันทระพงษ์</v>
      </c>
      <c r="G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5" s="3" t="str">
        <f>IFERROR(__xludf.DUMMYFUNCTION("""COMPUTED_VALUE"""),"ค่ายแนะแนวรัฐบุรุษ 2")</f>
        <v>ค่ายแนะแนวรัฐบุรุษ 2</v>
      </c>
      <c r="I95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5" s="12">
        <f>IFERROR(__xludf.DUMMYFUNCTION("""COMPUTED_VALUE"""),45969.0)</f>
        <v>45969</v>
      </c>
      <c r="K95" s="3" t="str">
        <f>IFERROR(__xludf.DUMMYFUNCTION("""COMPUTED_VALUE"""),"0800-1600")</f>
        <v>0800-1600</v>
      </c>
      <c r="L95" s="3">
        <f>IFERROR(__xludf.DUMMYFUNCTION("""COMPUTED_VALUE"""),8.0)</f>
        <v>8</v>
      </c>
      <c r="M9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5" s="14" t="str">
        <f>IFERROR(__xludf.DUMMYFUNCTION("""COMPUTED_VALUE"""),"https://lh5.googleusercontent.com/d/1O_h8g2DeNtkZRu904d09NS4AIYKZNFcL")</f>
        <v>https://lh5.googleusercontent.com/d/1O_h8g2DeNtkZRu904d09NS4AIYKZNFcL</v>
      </c>
      <c r="O95" s="14" t="str">
        <f>IFERROR(__xludf.DUMMYFUNCTION("""COMPUTED_VALUE"""),"https://drive.google.com/file/d/16cxqNHmK5rdfFYTYLMJuR9STqe9cRwj7/view?usp=drivesdk")</f>
        <v>https://drive.google.com/file/d/16cxqNHmK5rdfFYTYLMJuR9STqe9cRwj7/view?usp=drivesdk</v>
      </c>
    </row>
    <row r="96">
      <c r="A96" s="3">
        <f>IFERROR(__xludf.DUMMYFUNCTION("""COMPUTED_VALUE"""),315.0)</f>
        <v>315</v>
      </c>
      <c r="B96" s="11">
        <f>IFERROR(__xludf.DUMMYFUNCTION("""COMPUTED_VALUE"""),45986.354289664356)</f>
        <v>45986.35429</v>
      </c>
      <c r="C96" s="3" t="str">
        <f>IFERROR(__xludf.DUMMYFUNCTION("""COMPUTED_VALUE"""),"ชั้นปีที่ 2")</f>
        <v>ชั้นปีที่ 2</v>
      </c>
      <c r="D96" s="3" t="str">
        <f>IFERROR(__xludf.DUMMYFUNCTION("""COMPUTED_VALUE"""),"6703861")</f>
        <v>6703861</v>
      </c>
      <c r="E96" s="3" t="str">
        <f>IFERROR(__xludf.DUMMYFUNCTION("""COMPUTED_VALUE"""),"43")</f>
        <v>43</v>
      </c>
      <c r="F96" s="3" t="str">
        <f>IFERROR(__xludf.DUMMYFUNCTION("""COMPUTED_VALUE"""),"นพอ.เพ็ญพิชชา จันทระพงษ์")</f>
        <v>นพอ.เพ็ญพิชชา จันทระพงษ์</v>
      </c>
      <c r="G9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6" s="3" t="str">
        <f>IFERROR(__xludf.DUMMYFUNCTION("""COMPUTED_VALUE"""),"ค่ายแนะแนวรัฐบุรุษ 2")</f>
        <v>ค่ายแนะแนวรัฐบุรุษ 2</v>
      </c>
      <c r="I96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6" s="12">
        <f>IFERROR(__xludf.DUMMYFUNCTION("""COMPUTED_VALUE"""),45970.0)</f>
        <v>45970</v>
      </c>
      <c r="K96" s="3" t="str">
        <f>IFERROR(__xludf.DUMMYFUNCTION("""COMPUTED_VALUE"""),"0800-1600")</f>
        <v>0800-1600</v>
      </c>
      <c r="L96" s="3">
        <f>IFERROR(__xludf.DUMMYFUNCTION("""COMPUTED_VALUE"""),8.0)</f>
        <v>8</v>
      </c>
      <c r="M9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6" s="14" t="str">
        <f>IFERROR(__xludf.DUMMYFUNCTION("""COMPUTED_VALUE"""),"https://lh5.googleusercontent.com/d/1-weo10BHEFD4BmAl6nyaDODtegAWeIKF")</f>
        <v>https://lh5.googleusercontent.com/d/1-weo10BHEFD4BmAl6nyaDODtegAWeIKF</v>
      </c>
      <c r="O96" s="14" t="str">
        <f>IFERROR(__xludf.DUMMYFUNCTION("""COMPUTED_VALUE"""),"https://drive.google.com/file/d/1fPRhmMH4d83x4fEex26wn9xitkq9PfPk/view?usp=drivesdk")</f>
        <v>https://drive.google.com/file/d/1fPRhmMH4d83x4fEex26wn9xitkq9PfPk/view?usp=drivesdk</v>
      </c>
    </row>
    <row r="97">
      <c r="A97" s="3">
        <f>IFERROR(__xludf.DUMMYFUNCTION("""COMPUTED_VALUE"""),316.0)</f>
        <v>316</v>
      </c>
      <c r="B97" s="11">
        <f>IFERROR(__xludf.DUMMYFUNCTION("""COMPUTED_VALUE"""),45986.367711747684)</f>
        <v>45986.36771</v>
      </c>
      <c r="C97" s="3" t="str">
        <f>IFERROR(__xludf.DUMMYFUNCTION("""COMPUTED_VALUE"""),"ชั้นปีที่ 2")</f>
        <v>ชั้นปีที่ 2</v>
      </c>
      <c r="D97" s="3" t="str">
        <f>IFERROR(__xludf.DUMMYFUNCTION("""COMPUTED_VALUE"""),"6703861")</f>
        <v>6703861</v>
      </c>
      <c r="E97" s="3" t="str">
        <f>IFERROR(__xludf.DUMMYFUNCTION("""COMPUTED_VALUE"""),"43")</f>
        <v>43</v>
      </c>
      <c r="F97" s="3" t="str">
        <f>IFERROR(__xludf.DUMMYFUNCTION("""COMPUTED_VALUE"""),"นพอ.เพ็ญพิชชา จันทระพงษ์")</f>
        <v>นพอ.เพ็ญพิชชา จันทระพงษ์</v>
      </c>
      <c r="G9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7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9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97" s="12">
        <f>IFERROR(__xludf.DUMMYFUNCTION("""COMPUTED_VALUE"""),45840.0)</f>
        <v>45840</v>
      </c>
      <c r="K97" s="3" t="str">
        <f>IFERROR(__xludf.DUMMYFUNCTION("""COMPUTED_VALUE"""),"1400-2200")</f>
        <v>1400-2200</v>
      </c>
      <c r="L97" s="3">
        <f>IFERROR(__xludf.DUMMYFUNCTION("""COMPUTED_VALUE"""),8.0)</f>
        <v>8</v>
      </c>
      <c r="M97" s="3" t="str">
        <f>IFERROR(__xludf.DUMMYFUNCTION("""COMPUTED_VALUE"""),"ร.อ.อนุชิต ทำจะดี")</f>
        <v>ร.อ.อนุชิต ทำจะดี</v>
      </c>
      <c r="N97" s="14" t="str">
        <f>IFERROR(__xludf.DUMMYFUNCTION("""COMPUTED_VALUE"""),"https://lh5.googleusercontent.com/d/1geQH2WOXBe5a8lzcdbOEP6_jVb7XQCby")</f>
        <v>https://lh5.googleusercontent.com/d/1geQH2WOXBe5a8lzcdbOEP6_jVb7XQCby</v>
      </c>
      <c r="O97" s="14" t="str">
        <f>IFERROR(__xludf.DUMMYFUNCTION("""COMPUTED_VALUE"""),"https://drive.google.com/file/d/1VuRpSgyJi9jrdRzPwB37sP4swu6ngayu/view?usp=drivesdk")</f>
        <v>https://drive.google.com/file/d/1VuRpSgyJi9jrdRzPwB37sP4swu6ngayu/view?usp=drivesdk</v>
      </c>
    </row>
    <row r="98">
      <c r="A98" s="3">
        <f>IFERROR(__xludf.DUMMYFUNCTION("""COMPUTED_VALUE"""),319.0)</f>
        <v>319</v>
      </c>
      <c r="B98" s="11">
        <f>IFERROR(__xludf.DUMMYFUNCTION("""COMPUTED_VALUE"""),45986.603769444446)</f>
        <v>45986.60377</v>
      </c>
      <c r="C98" s="3" t="str">
        <f>IFERROR(__xludf.DUMMYFUNCTION("""COMPUTED_VALUE"""),"ชั้นปีที่ 2")</f>
        <v>ชั้นปีที่ 2</v>
      </c>
      <c r="D98" s="3" t="str">
        <f>IFERROR(__xludf.DUMMYFUNCTION("""COMPUTED_VALUE"""),"6703870")</f>
        <v>6703870</v>
      </c>
      <c r="E98" s="3" t="str">
        <f>IFERROR(__xludf.DUMMYFUNCTION("""COMPUTED_VALUE"""),"52")</f>
        <v>52</v>
      </c>
      <c r="F98" s="3" t="str">
        <f>IFERROR(__xludf.DUMMYFUNCTION("""COMPUTED_VALUE"""),"นพอ.วิมลสิริ สิงห์ธนะ")</f>
        <v>นพอ.วิมลสิริ สิงห์ธนะ</v>
      </c>
      <c r="G9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8" s="3" t="str">
        <f>IFERROR(__xludf.DUMMYFUNCTION("""COMPUTED_VALUE"""),"ค่ายแนะแนวรัฐบุรุษ 2")</f>
        <v>ค่ายแนะแนวรัฐบุรุษ 2</v>
      </c>
      <c r="I98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8" s="12">
        <f>IFERROR(__xludf.DUMMYFUNCTION("""COMPUTED_VALUE"""),45969.0)</f>
        <v>45969</v>
      </c>
      <c r="K98" s="3" t="str">
        <f>IFERROR(__xludf.DUMMYFUNCTION("""COMPUTED_VALUE"""),"0800-1600")</f>
        <v>0800-1600</v>
      </c>
      <c r="L98" s="3">
        <f>IFERROR(__xludf.DUMMYFUNCTION("""COMPUTED_VALUE"""),8.0)</f>
        <v>8</v>
      </c>
      <c r="M9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8" s="14" t="str">
        <f>IFERROR(__xludf.DUMMYFUNCTION("""COMPUTED_VALUE"""),"https://lh5.googleusercontent.com/d/1M7k8Yr8VmwyQinWvzUpmkvwsSfAmhSpN")</f>
        <v>https://lh5.googleusercontent.com/d/1M7k8Yr8VmwyQinWvzUpmkvwsSfAmhSpN</v>
      </c>
      <c r="O98" s="14" t="str">
        <f>IFERROR(__xludf.DUMMYFUNCTION("""COMPUTED_VALUE"""),"https://drive.google.com/file/d/1599I7cXyMwl_h9Zsw5P8s_kkBd1szpsN/view?usp=drivesdk")</f>
        <v>https://drive.google.com/file/d/1599I7cXyMwl_h9Zsw5P8s_kkBd1szpsN/view?usp=drivesdk</v>
      </c>
    </row>
    <row r="99">
      <c r="A99" s="3">
        <f>IFERROR(__xludf.DUMMYFUNCTION("""COMPUTED_VALUE"""),320.0)</f>
        <v>320</v>
      </c>
      <c r="B99" s="11">
        <f>IFERROR(__xludf.DUMMYFUNCTION("""COMPUTED_VALUE"""),45986.605098611115)</f>
        <v>45986.6051</v>
      </c>
      <c r="C99" s="3" t="str">
        <f>IFERROR(__xludf.DUMMYFUNCTION("""COMPUTED_VALUE"""),"ชั้นปีที่ 2")</f>
        <v>ชั้นปีที่ 2</v>
      </c>
      <c r="D99" s="3" t="str">
        <f>IFERROR(__xludf.DUMMYFUNCTION("""COMPUTED_VALUE"""),"6703870")</f>
        <v>6703870</v>
      </c>
      <c r="E99" s="3" t="str">
        <f>IFERROR(__xludf.DUMMYFUNCTION("""COMPUTED_VALUE"""),"52")</f>
        <v>52</v>
      </c>
      <c r="F99" s="3" t="str">
        <f>IFERROR(__xludf.DUMMYFUNCTION("""COMPUTED_VALUE"""),"นพอ.วิมลสิริ สิงห์ธนะ")</f>
        <v>นพอ.วิมลสิริ สิงห์ธนะ</v>
      </c>
      <c r="G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9" s="3" t="str">
        <f>IFERROR(__xludf.DUMMYFUNCTION("""COMPUTED_VALUE"""),"ค่ายแนะแนวรัฐบุรุษ 2")</f>
        <v>ค่ายแนะแนวรัฐบุรุษ 2</v>
      </c>
      <c r="I99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99" s="12">
        <f>IFERROR(__xludf.DUMMYFUNCTION("""COMPUTED_VALUE"""),45970.0)</f>
        <v>45970</v>
      </c>
      <c r="K99" s="3" t="str">
        <f>IFERROR(__xludf.DUMMYFUNCTION("""COMPUTED_VALUE"""),"0800-1600")</f>
        <v>0800-1600</v>
      </c>
      <c r="L99" s="3">
        <f>IFERROR(__xludf.DUMMYFUNCTION("""COMPUTED_VALUE"""),8.0)</f>
        <v>8</v>
      </c>
      <c r="M9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9" s="14" t="str">
        <f>IFERROR(__xludf.DUMMYFUNCTION("""COMPUTED_VALUE"""),"https://lh5.googleusercontent.com/d/1yzOoEn39Taw0rhxyTRNG9n-zrnD1MtWm")</f>
        <v>https://lh5.googleusercontent.com/d/1yzOoEn39Taw0rhxyTRNG9n-zrnD1MtWm</v>
      </c>
      <c r="O99" s="14" t="str">
        <f>IFERROR(__xludf.DUMMYFUNCTION("""COMPUTED_VALUE"""),"https://drive.google.com/file/d/1W_Ratw_SvQjryyYxOtWIH2m_LypDhXLi/view?usp=drivesdk")</f>
        <v>https://drive.google.com/file/d/1W_Ratw_SvQjryyYxOtWIH2m_LypDhXLi/view?usp=drivesdk</v>
      </c>
    </row>
    <row r="100">
      <c r="A100" s="3">
        <f>IFERROR(__xludf.DUMMYFUNCTION("""COMPUTED_VALUE"""),321.0)</f>
        <v>321</v>
      </c>
      <c r="B100" s="11">
        <f>IFERROR(__xludf.DUMMYFUNCTION("""COMPUTED_VALUE"""),45986.61492396991)</f>
        <v>45986.61492</v>
      </c>
      <c r="C100" s="3" t="str">
        <f>IFERROR(__xludf.DUMMYFUNCTION("""COMPUTED_VALUE"""),"ชั้นปีที่ 2")</f>
        <v>ชั้นปีที่ 2</v>
      </c>
      <c r="D100" s="3" t="str">
        <f>IFERROR(__xludf.DUMMYFUNCTION("""COMPUTED_VALUE"""),"6703858")</f>
        <v>6703858</v>
      </c>
      <c r="E100" s="3" t="str">
        <f>IFERROR(__xludf.DUMMYFUNCTION("""COMPUTED_VALUE"""),"40")</f>
        <v>40</v>
      </c>
      <c r="F100" s="3" t="str">
        <f>IFERROR(__xludf.DUMMYFUNCTION("""COMPUTED_VALUE"""),"นพอ.พิชชาภา  เรืองจุ้ย")</f>
        <v>นพอ.พิชชาภา  เรืองจุ้ย</v>
      </c>
      <c r="G100" s="3" t="str">
        <f>IFERROR(__xludf.DUMMYFUNCTION("""COMPUTED_VALUE"""),"ช่วยเหลืองานภายใน วพอ.")</f>
        <v>ช่วยเหลืองานภายใน วพอ.</v>
      </c>
      <c r="H100" s="3" t="str">
        <f>IFERROR(__xludf.DUMMYFUNCTION("""COMPUTED_VALUE"""),"รับน้อง นรม.")</f>
        <v>รับน้อง นรม.</v>
      </c>
      <c r="I100" s="3" t="str">
        <f>IFERROR(__xludf.DUMMYFUNCTION("""COMPUTED_VALUE"""),"วพอ.")</f>
        <v>วพอ.</v>
      </c>
      <c r="J100" s="12">
        <f>IFERROR(__xludf.DUMMYFUNCTION("""COMPUTED_VALUE"""),45859.0)</f>
        <v>45859</v>
      </c>
      <c r="K100" s="3" t="str">
        <f>IFERROR(__xludf.DUMMYFUNCTION("""COMPUTED_VALUE"""),"0700-1500")</f>
        <v>0700-1500</v>
      </c>
      <c r="L100" s="3">
        <f>IFERROR(__xludf.DUMMYFUNCTION("""COMPUTED_VALUE"""),8.0)</f>
        <v>8</v>
      </c>
      <c r="M100" s="3" t="str">
        <f>IFERROR(__xludf.DUMMYFUNCTION("""COMPUTED_VALUE"""),"ร.อ.อนุชิต ทำจะดี")</f>
        <v>ร.อ.อนุชิต ทำจะดี</v>
      </c>
      <c r="N100" s="14" t="str">
        <f>IFERROR(__xludf.DUMMYFUNCTION("""COMPUTED_VALUE"""),"https://lh5.googleusercontent.com/d/1D9s5L785LiAEswtRLVWnVKOgqY064I9S")</f>
        <v>https://lh5.googleusercontent.com/d/1D9s5L785LiAEswtRLVWnVKOgqY064I9S</v>
      </c>
      <c r="O100" s="14" t="str">
        <f>IFERROR(__xludf.DUMMYFUNCTION("""COMPUTED_VALUE"""),"https://drive.google.com/file/d/1AYZWJdZlDuFi3wKvohKuUENhV5-oRJg3/view?usp=drivesdk")</f>
        <v>https://drive.google.com/file/d/1AYZWJdZlDuFi3wKvohKuUENhV5-oRJg3/view?usp=drivesdk</v>
      </c>
    </row>
    <row r="101">
      <c r="A101" s="3">
        <f>IFERROR(__xludf.DUMMYFUNCTION("""COMPUTED_VALUE"""),322.0)</f>
        <v>322</v>
      </c>
      <c r="B101" s="11">
        <f>IFERROR(__xludf.DUMMYFUNCTION("""COMPUTED_VALUE"""),45986.646309375)</f>
        <v>45986.64631</v>
      </c>
      <c r="C101" s="3" t="str">
        <f>IFERROR(__xludf.DUMMYFUNCTION("""COMPUTED_VALUE"""),"ชั้นปีที่ 2")</f>
        <v>ชั้นปีที่ 2</v>
      </c>
      <c r="D101" s="3" t="str">
        <f>IFERROR(__xludf.DUMMYFUNCTION("""COMPUTED_VALUE"""),"6703827")</f>
        <v>6703827</v>
      </c>
      <c r="E101" s="3" t="str">
        <f>IFERROR(__xludf.DUMMYFUNCTION("""COMPUTED_VALUE"""),"10")</f>
        <v>10</v>
      </c>
      <c r="F101" s="3" t="str">
        <f>IFERROR(__xludf.DUMMYFUNCTION("""COMPUTED_VALUE"""),"นพอ.ชนัญญา เสาร์แดน")</f>
        <v>นพอ.ชนัญญา เสาร์แดน</v>
      </c>
      <c r="G10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1" s="3" t="str">
        <f>IFERROR(__xludf.DUMMYFUNCTION("""COMPUTED_VALUE"""),"ค่ายอบรมเยาวชนพัฒนา")</f>
        <v>ค่ายอบรมเยาวชนพัฒนา</v>
      </c>
      <c r="I101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01" s="12">
        <f>IFERROR(__xludf.DUMMYFUNCTION("""COMPUTED_VALUE"""),45884.0)</f>
        <v>45884</v>
      </c>
      <c r="K101" s="3" t="str">
        <f>IFERROR(__xludf.DUMMYFUNCTION("""COMPUTED_VALUE"""),"1800-2200")</f>
        <v>1800-2200</v>
      </c>
      <c r="L101" s="3">
        <f>IFERROR(__xludf.DUMMYFUNCTION("""COMPUTED_VALUE"""),4.0)</f>
        <v>4</v>
      </c>
      <c r="M10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1" s="14" t="str">
        <f>IFERROR(__xludf.DUMMYFUNCTION("""COMPUTED_VALUE"""),"https://lh5.googleusercontent.com/d/1N1ipAs0nrKh1x-PeIc3s9LmsSpPxN9BQ")</f>
        <v>https://lh5.googleusercontent.com/d/1N1ipAs0nrKh1x-PeIc3s9LmsSpPxN9BQ</v>
      </c>
      <c r="O101" s="14" t="str">
        <f>IFERROR(__xludf.DUMMYFUNCTION("""COMPUTED_VALUE"""),"https://drive.google.com/file/d/1pJ1JOs4_SLrJulyUYYJEtgMIYTt1nWk0/view?usp=drivesdk")</f>
        <v>https://drive.google.com/file/d/1pJ1JOs4_SLrJulyUYYJEtgMIYTt1nWk0/view?usp=drivesdk</v>
      </c>
    </row>
    <row r="102">
      <c r="A102" s="3">
        <f>IFERROR(__xludf.DUMMYFUNCTION("""COMPUTED_VALUE"""),323.0)</f>
        <v>323</v>
      </c>
      <c r="B102" s="11">
        <f>IFERROR(__xludf.DUMMYFUNCTION("""COMPUTED_VALUE"""),45986.649428923614)</f>
        <v>45986.64943</v>
      </c>
      <c r="C102" s="3" t="str">
        <f>IFERROR(__xludf.DUMMYFUNCTION("""COMPUTED_VALUE"""),"ชั้นปีที่ 2")</f>
        <v>ชั้นปีที่ 2</v>
      </c>
      <c r="D102" s="3" t="str">
        <f>IFERROR(__xludf.DUMMYFUNCTION("""COMPUTED_VALUE"""),"6703827")</f>
        <v>6703827</v>
      </c>
      <c r="E102" s="3" t="str">
        <f>IFERROR(__xludf.DUMMYFUNCTION("""COMPUTED_VALUE"""),"10")</f>
        <v>10</v>
      </c>
      <c r="F102" s="3" t="str">
        <f>IFERROR(__xludf.DUMMYFUNCTION("""COMPUTED_VALUE"""),"นพอ.ชนัญญา เสาร์แดน")</f>
        <v>นพอ.ชนัญญา เสาร์แดน</v>
      </c>
      <c r="G10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2" s="3" t="str">
        <f>IFERROR(__xludf.DUMMYFUNCTION("""COMPUTED_VALUE"""),"ค่ายอบรมเยาวชนพัฒนา")</f>
        <v>ค่ายอบรมเยาวชนพัฒนา</v>
      </c>
      <c r="I102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02" s="12">
        <f>IFERROR(__xludf.DUMMYFUNCTION("""COMPUTED_VALUE"""),45885.0)</f>
        <v>45885</v>
      </c>
      <c r="K102" s="3" t="str">
        <f>IFERROR(__xludf.DUMMYFUNCTION("""COMPUTED_VALUE"""),"0800-1600")</f>
        <v>0800-1600</v>
      </c>
      <c r="L102" s="3">
        <f>IFERROR(__xludf.DUMMYFUNCTION("""COMPUTED_VALUE"""),8.0)</f>
        <v>8</v>
      </c>
      <c r="M10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2" s="14" t="str">
        <f>IFERROR(__xludf.DUMMYFUNCTION("""COMPUTED_VALUE"""),"https://lh5.googleusercontent.com/d/1aAQe9q0myFBSi8fob49Suntfy0GRZq9N")</f>
        <v>https://lh5.googleusercontent.com/d/1aAQe9q0myFBSi8fob49Suntfy0GRZq9N</v>
      </c>
      <c r="O102" s="14" t="str">
        <f>IFERROR(__xludf.DUMMYFUNCTION("""COMPUTED_VALUE"""),"https://drive.google.com/file/d/1EfAbV91aXq-pugbAt9U2HHq6WVmQKEEf/view?usp=drivesdk")</f>
        <v>https://drive.google.com/file/d/1EfAbV91aXq-pugbAt9U2HHq6WVmQKEEf/view?usp=drivesdk</v>
      </c>
    </row>
    <row r="103">
      <c r="A103" s="3">
        <f>IFERROR(__xludf.DUMMYFUNCTION("""COMPUTED_VALUE"""),324.0)</f>
        <v>324</v>
      </c>
      <c r="B103" s="11">
        <f>IFERROR(__xludf.DUMMYFUNCTION("""COMPUTED_VALUE"""),45986.653051319445)</f>
        <v>45986.65305</v>
      </c>
      <c r="C103" s="3" t="str">
        <f>IFERROR(__xludf.DUMMYFUNCTION("""COMPUTED_VALUE"""),"ชั้นปีที่ 2")</f>
        <v>ชั้นปีที่ 2</v>
      </c>
      <c r="D103" s="3" t="str">
        <f>IFERROR(__xludf.DUMMYFUNCTION("""COMPUTED_VALUE"""),"6703827")</f>
        <v>6703827</v>
      </c>
      <c r="E103" s="3" t="str">
        <f>IFERROR(__xludf.DUMMYFUNCTION("""COMPUTED_VALUE"""),"10")</f>
        <v>10</v>
      </c>
      <c r="F103" s="3" t="str">
        <f>IFERROR(__xludf.DUMMYFUNCTION("""COMPUTED_VALUE"""),"นพอ.ชนัญญา เสาร์แดน")</f>
        <v>นพอ.ชนัญญา เสาร์แดน</v>
      </c>
      <c r="G10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3" s="3" t="str">
        <f>IFERROR(__xludf.DUMMYFUNCTION("""COMPUTED_VALUE"""),"ค่ายอบรมเยาวชนพัฒนา")</f>
        <v>ค่ายอบรมเยาวชนพัฒนา</v>
      </c>
      <c r="I103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03" s="12">
        <f>IFERROR(__xludf.DUMMYFUNCTION("""COMPUTED_VALUE"""),45886.0)</f>
        <v>45886</v>
      </c>
      <c r="K103" s="3" t="str">
        <f>IFERROR(__xludf.DUMMYFUNCTION("""COMPUTED_VALUE"""),"0800-1600")</f>
        <v>0800-1600</v>
      </c>
      <c r="L103" s="3">
        <f>IFERROR(__xludf.DUMMYFUNCTION("""COMPUTED_VALUE"""),8.0)</f>
        <v>8</v>
      </c>
      <c r="M10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3" s="14" t="str">
        <f>IFERROR(__xludf.DUMMYFUNCTION("""COMPUTED_VALUE"""),"https://lh5.googleusercontent.com/d/1WKS0-fY_Wi3Po2qWeWz42_AE8gAjpS__")</f>
        <v>https://lh5.googleusercontent.com/d/1WKS0-fY_Wi3Po2qWeWz42_AE8gAjpS__</v>
      </c>
      <c r="O103" s="14" t="str">
        <f>IFERROR(__xludf.DUMMYFUNCTION("""COMPUTED_VALUE"""),"https://drive.google.com/file/d/1yC5YFqDR91k9r3lIoGXDJnF0z2kkg-KW/view?usp=drivesdk")</f>
        <v>https://drive.google.com/file/d/1yC5YFqDR91k9r3lIoGXDJnF0z2kkg-KW/view?usp=drivesdk</v>
      </c>
    </row>
    <row r="104">
      <c r="A104" s="3">
        <f>IFERROR(__xludf.DUMMYFUNCTION("""COMPUTED_VALUE"""),325.0)</f>
        <v>325</v>
      </c>
      <c r="B104" s="11">
        <f>IFERROR(__xludf.DUMMYFUNCTION("""COMPUTED_VALUE"""),45986.657069120374)</f>
        <v>45986.65707</v>
      </c>
      <c r="C104" s="3" t="str">
        <f>IFERROR(__xludf.DUMMYFUNCTION("""COMPUTED_VALUE"""),"ชั้นปีที่ 2")</f>
        <v>ชั้นปีที่ 2</v>
      </c>
      <c r="D104" s="3" t="str">
        <f>IFERROR(__xludf.DUMMYFUNCTION("""COMPUTED_VALUE"""),"6703827")</f>
        <v>6703827</v>
      </c>
      <c r="E104" s="3" t="str">
        <f>IFERROR(__xludf.DUMMYFUNCTION("""COMPUTED_VALUE"""),"10")</f>
        <v>10</v>
      </c>
      <c r="F104" s="3" t="str">
        <f>IFERROR(__xludf.DUMMYFUNCTION("""COMPUTED_VALUE"""),"นพอ.ชนัญญา เสาร์แดน")</f>
        <v>นพอ.ชนัญญา เสาร์แดน</v>
      </c>
      <c r="G10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4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104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104" s="12">
        <f>IFERROR(__xludf.DUMMYFUNCTION("""COMPUTED_VALUE"""),45961.0)</f>
        <v>45961</v>
      </c>
      <c r="K104" s="3" t="str">
        <f>IFERROR(__xludf.DUMMYFUNCTION("""COMPUTED_VALUE"""),"1800-2200")</f>
        <v>1800-2200</v>
      </c>
      <c r="L104" s="3">
        <f>IFERROR(__xludf.DUMMYFUNCTION("""COMPUTED_VALUE"""),4.0)</f>
        <v>4</v>
      </c>
      <c r="M10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4" s="14" t="str">
        <f>IFERROR(__xludf.DUMMYFUNCTION("""COMPUTED_VALUE"""),"https://lh5.googleusercontent.com/d/1AfCPfx3AhPkyGF6V0-s8pC86USCvMWX9")</f>
        <v>https://lh5.googleusercontent.com/d/1AfCPfx3AhPkyGF6V0-s8pC86USCvMWX9</v>
      </c>
      <c r="O104" s="14" t="str">
        <f>IFERROR(__xludf.DUMMYFUNCTION("""COMPUTED_VALUE"""),"https://drive.google.com/file/d/1Vdxci1qWNYxiBZkh72OouI20l3JRfzic/view?usp=drivesdk")</f>
        <v>https://drive.google.com/file/d/1Vdxci1qWNYxiBZkh72OouI20l3JRfzic/view?usp=drivesdk</v>
      </c>
    </row>
    <row r="105">
      <c r="A105" s="3">
        <f>IFERROR(__xludf.DUMMYFUNCTION("""COMPUTED_VALUE"""),326.0)</f>
        <v>326</v>
      </c>
      <c r="B105" s="11">
        <f>IFERROR(__xludf.DUMMYFUNCTION("""COMPUTED_VALUE"""),45986.66317396991)</f>
        <v>45986.66317</v>
      </c>
      <c r="C105" s="3" t="str">
        <f>IFERROR(__xludf.DUMMYFUNCTION("""COMPUTED_VALUE"""),"ชั้นปีที่ 2")</f>
        <v>ชั้นปีที่ 2</v>
      </c>
      <c r="D105" s="3" t="str">
        <f>IFERROR(__xludf.DUMMYFUNCTION("""COMPUTED_VALUE"""),"6703828")</f>
        <v>6703828</v>
      </c>
      <c r="E105" s="3" t="str">
        <f>IFERROR(__xludf.DUMMYFUNCTION("""COMPUTED_VALUE"""),"10")</f>
        <v>10</v>
      </c>
      <c r="F105" s="3" t="str">
        <f>IFERROR(__xludf.DUMMYFUNCTION("""COMPUTED_VALUE"""),"นพอ.ชนัญญา เสาร์แดน")</f>
        <v>นพอ.ชนัญญา เสาร์แดน</v>
      </c>
      <c r="G10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5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105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105" s="12">
        <f>IFERROR(__xludf.DUMMYFUNCTION("""COMPUTED_VALUE"""),45962.0)</f>
        <v>45962</v>
      </c>
      <c r="K105" s="3" t="str">
        <f>IFERROR(__xludf.DUMMYFUNCTION("""COMPUTED_VALUE"""),"0800-1600")</f>
        <v>0800-1600</v>
      </c>
      <c r="L105" s="3">
        <f>IFERROR(__xludf.DUMMYFUNCTION("""COMPUTED_VALUE"""),8.0)</f>
        <v>8</v>
      </c>
      <c r="M10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5" s="14" t="str">
        <f>IFERROR(__xludf.DUMMYFUNCTION("""COMPUTED_VALUE"""),"https://lh5.googleusercontent.com/d/1peJWBf50O3Sktf6qjrgy3Dq2TjLCdWOB")</f>
        <v>https://lh5.googleusercontent.com/d/1peJWBf50O3Sktf6qjrgy3Dq2TjLCdWOB</v>
      </c>
      <c r="O105" s="14" t="str">
        <f>IFERROR(__xludf.DUMMYFUNCTION("""COMPUTED_VALUE"""),"https://drive.google.com/file/d/15R76Sr8tzug918z48yMTWAXR-WWi_kao/view?usp=drivesdk")</f>
        <v>https://drive.google.com/file/d/15R76Sr8tzug918z48yMTWAXR-WWi_kao/view?usp=drivesdk</v>
      </c>
    </row>
    <row r="106">
      <c r="A106" s="3">
        <f>IFERROR(__xludf.DUMMYFUNCTION("""COMPUTED_VALUE"""),327.0)</f>
        <v>327</v>
      </c>
      <c r="B106" s="11">
        <f>IFERROR(__xludf.DUMMYFUNCTION("""COMPUTED_VALUE"""),45986.675789884255)</f>
        <v>45986.67579</v>
      </c>
      <c r="C106" s="3" t="str">
        <f>IFERROR(__xludf.DUMMYFUNCTION("""COMPUTED_VALUE"""),"ชั้นปีที่ 2")</f>
        <v>ชั้นปีที่ 2</v>
      </c>
      <c r="D106" s="3" t="str">
        <f>IFERROR(__xludf.DUMMYFUNCTION("""COMPUTED_VALUE"""),"6703827")</f>
        <v>6703827</v>
      </c>
      <c r="E106" s="3" t="str">
        <f>IFERROR(__xludf.DUMMYFUNCTION("""COMPUTED_VALUE"""),"10")</f>
        <v>10</v>
      </c>
      <c r="F106" s="3" t="str">
        <f>IFERROR(__xludf.DUMMYFUNCTION("""COMPUTED_VALUE"""),"นพอ.ชนัญญา เสาร์แดน")</f>
        <v>นพอ.ชนัญญา เสาร์แดน</v>
      </c>
      <c r="G10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6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106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106" s="12">
        <f>IFERROR(__xludf.DUMMYFUNCTION("""COMPUTED_VALUE"""),45962.0)</f>
        <v>45962</v>
      </c>
      <c r="K106" s="3" t="str">
        <f>IFERROR(__xludf.DUMMYFUNCTION("""COMPUTED_VALUE"""),"0800-1600")</f>
        <v>0800-1600</v>
      </c>
      <c r="L106" s="3">
        <f>IFERROR(__xludf.DUMMYFUNCTION("""COMPUTED_VALUE"""),8.0)</f>
        <v>8</v>
      </c>
      <c r="M10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6" s="14" t="str">
        <f>IFERROR(__xludf.DUMMYFUNCTION("""COMPUTED_VALUE"""),"https://lh5.googleusercontent.com/d/1_7SNE6Tp3uUQE77hbRaKa2kgWBZh7UMo")</f>
        <v>https://lh5.googleusercontent.com/d/1_7SNE6Tp3uUQE77hbRaKa2kgWBZh7UMo</v>
      </c>
      <c r="O106" s="14" t="str">
        <f>IFERROR(__xludf.DUMMYFUNCTION("""COMPUTED_VALUE"""),"https://drive.google.com/file/d/19pV4GFzysKyR3aX22BxN1KEAwE9K4lwe/view?usp=drivesdk")</f>
        <v>https://drive.google.com/file/d/19pV4GFzysKyR3aX22BxN1KEAwE9K4lwe/view?usp=drivesdk</v>
      </c>
    </row>
    <row r="107">
      <c r="A107" s="3">
        <f>IFERROR(__xludf.DUMMYFUNCTION("""COMPUTED_VALUE"""),328.0)</f>
        <v>328</v>
      </c>
      <c r="B107" s="11">
        <f>IFERROR(__xludf.DUMMYFUNCTION("""COMPUTED_VALUE"""),45986.6804428588)</f>
        <v>45986.68044</v>
      </c>
      <c r="C107" s="3" t="str">
        <f>IFERROR(__xludf.DUMMYFUNCTION("""COMPUTED_VALUE"""),"ชั้นปีที่ 2")</f>
        <v>ชั้นปีที่ 2</v>
      </c>
      <c r="D107" s="3" t="str">
        <f>IFERROR(__xludf.DUMMYFUNCTION("""COMPUTED_VALUE"""),"6703827")</f>
        <v>6703827</v>
      </c>
      <c r="E107" s="3" t="str">
        <f>IFERROR(__xludf.DUMMYFUNCTION("""COMPUTED_VALUE"""),"10")</f>
        <v>10</v>
      </c>
      <c r="F107" s="3" t="str">
        <f>IFERROR(__xludf.DUMMYFUNCTION("""COMPUTED_VALUE"""),"นพอ.ชนัญญา เสาร์แดน")</f>
        <v>นพอ.ชนัญญา เสาร์แดน</v>
      </c>
      <c r="G1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7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107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107" s="12">
        <f>IFERROR(__xludf.DUMMYFUNCTION("""COMPUTED_VALUE"""),45963.0)</f>
        <v>45963</v>
      </c>
      <c r="K107" s="3" t="str">
        <f>IFERROR(__xludf.DUMMYFUNCTION("""COMPUTED_VALUE"""),"0800-1600")</f>
        <v>0800-1600</v>
      </c>
      <c r="L107" s="3">
        <f>IFERROR(__xludf.DUMMYFUNCTION("""COMPUTED_VALUE"""),8.0)</f>
        <v>8</v>
      </c>
      <c r="M10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07" s="14" t="str">
        <f>IFERROR(__xludf.DUMMYFUNCTION("""COMPUTED_VALUE"""),"https://lh5.googleusercontent.com/d/1jxitZpMygwhK18TU1fJ8NaGaV-gHZanf")</f>
        <v>https://lh5.googleusercontent.com/d/1jxitZpMygwhK18TU1fJ8NaGaV-gHZanf</v>
      </c>
      <c r="O107" s="14" t="str">
        <f>IFERROR(__xludf.DUMMYFUNCTION("""COMPUTED_VALUE"""),"https://drive.google.com/file/d/1rvVpxpWQ39IA2tFCLN44fQ2-_LK4HMHM/view?usp=drivesdk")</f>
        <v>https://drive.google.com/file/d/1rvVpxpWQ39IA2tFCLN44fQ2-_LK4HMHM/view?usp=drivesdk</v>
      </c>
    </row>
    <row r="108">
      <c r="A108" s="3">
        <f>IFERROR(__xludf.DUMMYFUNCTION("""COMPUTED_VALUE"""),355.0)</f>
        <v>355</v>
      </c>
      <c r="B108" s="11">
        <f>IFERROR(__xludf.DUMMYFUNCTION("""COMPUTED_VALUE"""),45987.98051446759)</f>
        <v>45987.98051</v>
      </c>
      <c r="C108" s="3" t="str">
        <f>IFERROR(__xludf.DUMMYFUNCTION("""COMPUTED_VALUE"""),"ชั้นปีที่ 2")</f>
        <v>ชั้นปีที่ 2</v>
      </c>
      <c r="D108" s="3" t="str">
        <f>IFERROR(__xludf.DUMMYFUNCTION("""COMPUTED_VALUE"""),"6703831")</f>
        <v>6703831</v>
      </c>
      <c r="E108" s="3" t="str">
        <f>IFERROR(__xludf.DUMMYFUNCTION("""COMPUTED_VALUE"""),"14")</f>
        <v>14</v>
      </c>
      <c r="F108" s="3" t="str">
        <f>IFERROR(__xludf.DUMMYFUNCTION("""COMPUTED_VALUE"""),"นพอ.ญาณิศา ตุ้งซี่")</f>
        <v>นพอ.ญาณิศา ตุ้งซี่</v>
      </c>
      <c r="G10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8" s="3" t="str">
        <f>IFERROR(__xludf.DUMMYFUNCTION("""COMPUTED_VALUE"""),"คอนเสิร์ตทัพฟ้าคู่ไทยเพื่อ ”ชัยพัฒนา“ ครั้งที่16")</f>
        <v>คอนเสิร์ตทัพฟ้าคู่ไทยเพื่อ ”ชัยพัฒนา“ ครั้งที่16</v>
      </c>
      <c r="I10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08" s="12">
        <f>IFERROR(__xludf.DUMMYFUNCTION("""COMPUTED_VALUE"""),45839.0)</f>
        <v>45839</v>
      </c>
      <c r="K108" s="3" t="str">
        <f>IFERROR(__xludf.DUMMYFUNCTION("""COMPUTED_VALUE"""),"1400-2200")</f>
        <v>1400-2200</v>
      </c>
      <c r="L108" s="3">
        <f>IFERROR(__xludf.DUMMYFUNCTION("""COMPUTED_VALUE"""),8.0)</f>
        <v>8</v>
      </c>
      <c r="M108" s="3" t="str">
        <f>IFERROR(__xludf.DUMMYFUNCTION("""COMPUTED_VALUE"""),"ร.อ.อนุชิต ทำจะดี")</f>
        <v>ร.อ.อนุชิต ทำจะดี</v>
      </c>
      <c r="N108" s="14" t="str">
        <f>IFERROR(__xludf.DUMMYFUNCTION("""COMPUTED_VALUE"""),"https://lh5.googleusercontent.com/d/1UlskjHfz0lSZXs-A22s2U9sgEEgpZ11g")</f>
        <v>https://lh5.googleusercontent.com/d/1UlskjHfz0lSZXs-A22s2U9sgEEgpZ11g</v>
      </c>
      <c r="O108" s="14" t="str">
        <f>IFERROR(__xludf.DUMMYFUNCTION("""COMPUTED_VALUE"""),"https://drive.google.com/file/d/1z8Ft7jme8Iuc7zcXSriXekyNG9sPbIQ1/view?usp=drivesdk")</f>
        <v>https://drive.google.com/file/d/1z8Ft7jme8Iuc7zcXSriXekyNG9sPbIQ1/view?usp=drivesdk</v>
      </c>
    </row>
    <row r="109">
      <c r="A109" s="3">
        <f>IFERROR(__xludf.DUMMYFUNCTION("""COMPUTED_VALUE"""),359.0)</f>
        <v>359</v>
      </c>
      <c r="B109" s="11">
        <f>IFERROR(__xludf.DUMMYFUNCTION("""COMPUTED_VALUE"""),45988.45081311342)</f>
        <v>45988.45081</v>
      </c>
      <c r="C109" s="3" t="str">
        <f>IFERROR(__xludf.DUMMYFUNCTION("""COMPUTED_VALUE"""),"ชั้นปีที่ 2")</f>
        <v>ชั้นปีที่ 2</v>
      </c>
      <c r="D109" s="3" t="str">
        <f>IFERROR(__xludf.DUMMYFUNCTION("""COMPUTED_VALUE"""),"6703851")</f>
        <v>6703851</v>
      </c>
      <c r="E109" s="3" t="str">
        <f>IFERROR(__xludf.DUMMYFUNCTION("""COMPUTED_VALUE"""),"33")</f>
        <v>33</v>
      </c>
      <c r="F109" s="3" t="str">
        <f>IFERROR(__xludf.DUMMYFUNCTION("""COMPUTED_VALUE"""),"นพอ.ปุญญิศา ฤทธิ์หมุน")</f>
        <v>นพอ.ปุญญิศา ฤทธิ์หมุน</v>
      </c>
      <c r="G109" s="3" t="str">
        <f>IFERROR(__xludf.DUMMYFUNCTION("""COMPUTED_VALUE"""),"ช่วยเหลืองานภายใน วพอ.")</f>
        <v>ช่วยเหลืองานภายใน วพอ.</v>
      </c>
      <c r="H109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09" s="3" t="str">
        <f>IFERROR(__xludf.DUMMYFUNCTION("""COMPUTED_VALUE"""),"ห้องเรียน นพอ.ชั้นปีที่ 1")</f>
        <v>ห้องเรียน นพอ.ชั้นปีที่ 1</v>
      </c>
      <c r="J109" s="12">
        <f>IFERROR(__xludf.DUMMYFUNCTION("""COMPUTED_VALUE"""),45987.0)</f>
        <v>45987</v>
      </c>
      <c r="K109" s="3" t="str">
        <f>IFERROR(__xludf.DUMMYFUNCTION("""COMPUTED_VALUE"""),"1000-1800")</f>
        <v>1000-1800</v>
      </c>
      <c r="L109" s="3">
        <f>IFERROR(__xludf.DUMMYFUNCTION("""COMPUTED_VALUE"""),8.0)</f>
        <v>8</v>
      </c>
      <c r="M109" s="3" t="str">
        <f>IFERROR(__xludf.DUMMYFUNCTION("""COMPUTED_VALUE"""),"ร.ท.เรวัติ วัชรสิทธิ์")</f>
        <v>ร.ท.เรวัติ วัชรสิทธิ์</v>
      </c>
      <c r="N109" s="14" t="str">
        <f>IFERROR(__xludf.DUMMYFUNCTION("""COMPUTED_VALUE"""),"https://lh5.googleusercontent.com/d/1Fj2Yg7uMv_PZDmbpLZos6ryZPIvRj5cK")</f>
        <v>https://lh5.googleusercontent.com/d/1Fj2Yg7uMv_PZDmbpLZos6ryZPIvRj5cK</v>
      </c>
      <c r="O109" s="14" t="str">
        <f>IFERROR(__xludf.DUMMYFUNCTION("""COMPUTED_VALUE"""),"https://drive.google.com/file/d/1Yb09izuhywrzKGTsbPg31GfQgyNdkdbU/view?usp=drivesdk")</f>
        <v>https://drive.google.com/file/d/1Yb09izuhywrzKGTsbPg31GfQgyNdkdbU/view?usp=drivesdk</v>
      </c>
    </row>
    <row r="110">
      <c r="A110" s="3">
        <f>IFERROR(__xludf.DUMMYFUNCTION("""COMPUTED_VALUE"""),360.0)</f>
        <v>360</v>
      </c>
      <c r="B110" s="11">
        <f>IFERROR(__xludf.DUMMYFUNCTION("""COMPUTED_VALUE"""),45988.4577909375)</f>
        <v>45988.45779</v>
      </c>
      <c r="C110" s="3" t="str">
        <f>IFERROR(__xludf.DUMMYFUNCTION("""COMPUTED_VALUE"""),"ชั้นปีที่ 2")</f>
        <v>ชั้นปีที่ 2</v>
      </c>
      <c r="D110" s="3" t="str">
        <f>IFERROR(__xludf.DUMMYFUNCTION("""COMPUTED_VALUE"""),"6703851")</f>
        <v>6703851</v>
      </c>
      <c r="E110" s="3" t="str">
        <f>IFERROR(__xludf.DUMMYFUNCTION("""COMPUTED_VALUE"""),"33")</f>
        <v>33</v>
      </c>
      <c r="F110" s="3" t="str">
        <f>IFERROR(__xludf.DUMMYFUNCTION("""COMPUTED_VALUE"""),"นพอ.ปุญญิศา ฤทธิ์หมุน")</f>
        <v>นพอ.ปุญญิศา ฤทธิ์หมุน</v>
      </c>
      <c r="G110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10" s="3" t="str">
        <f>IFERROR(__xludf.DUMMYFUNCTION("""COMPUTED_VALUE"""),"พิธีถวายเครื่องราชสักการะวางพานพุ่มเนื่องในโอกาสวันเฉลิมพระชนมพรรษา พระบาทสมเด็จพระปรเมนทรรามาธิบดีศรีสินทรมหาวชิราลงกรณ พระวชิรเกล้าเจ้าอยู่หัว")</f>
        <v>พิธีถวายเครื่องราชสักการะวางพานพุ่มเนื่องในโอกาสวันเฉลิมพระชนมพรรษา พระบาทสมเด็จพระปรเมนทรรามาธิบดีศรีสินทรมหาวชิราลงกรณ พระวชิรเกล้าเจ้าอยู่หัว</v>
      </c>
      <c r="I110" s="3" t="str">
        <f>IFERROR(__xludf.DUMMYFUNCTION("""COMPUTED_VALUE"""),"สนามหลวง")</f>
        <v>สนามหลวง</v>
      </c>
      <c r="J110" s="12">
        <f>IFERROR(__xludf.DUMMYFUNCTION("""COMPUTED_VALUE"""),45866.0)</f>
        <v>45866</v>
      </c>
      <c r="K110" s="3" t="str">
        <f>IFERROR(__xludf.DUMMYFUNCTION("""COMPUTED_VALUE"""),"1600-1700")</f>
        <v>1600-1700</v>
      </c>
      <c r="L110" s="3">
        <f>IFERROR(__xludf.DUMMYFUNCTION("""COMPUTED_VALUE"""),1.0)</f>
        <v>1</v>
      </c>
      <c r="M11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10" s="14" t="str">
        <f>IFERROR(__xludf.DUMMYFUNCTION("""COMPUTED_VALUE"""),"https://lh5.googleusercontent.com/d/1N5DRWIYtj8CwTUlCQwY6EMDL3IsNf86x")</f>
        <v>https://lh5.googleusercontent.com/d/1N5DRWIYtj8CwTUlCQwY6EMDL3IsNf86x</v>
      </c>
      <c r="O110" s="14" t="str">
        <f>IFERROR(__xludf.DUMMYFUNCTION("""COMPUTED_VALUE"""),"https://drive.google.com/file/d/1F4sbrn6hnhQ2jKH5m6K2W3xtntE3S2m7/view?usp=drivesdk")</f>
        <v>https://drive.google.com/file/d/1F4sbrn6hnhQ2jKH5m6K2W3xtntE3S2m7/view?usp=drivesdk</v>
      </c>
    </row>
    <row r="111">
      <c r="A111" s="3">
        <f>IFERROR(__xludf.DUMMYFUNCTION("""COMPUTED_VALUE"""),361.0)</f>
        <v>361</v>
      </c>
      <c r="B111" s="11">
        <f>IFERROR(__xludf.DUMMYFUNCTION("""COMPUTED_VALUE"""),45988.46238408565)</f>
        <v>45988.46238</v>
      </c>
      <c r="C111" s="3" t="str">
        <f>IFERROR(__xludf.DUMMYFUNCTION("""COMPUTED_VALUE"""),"ชั้นปีที่ 2")</f>
        <v>ชั้นปีที่ 2</v>
      </c>
      <c r="D111" s="3" t="str">
        <f>IFERROR(__xludf.DUMMYFUNCTION("""COMPUTED_VALUE"""),"6703851")</f>
        <v>6703851</v>
      </c>
      <c r="E111" s="3" t="str">
        <f>IFERROR(__xludf.DUMMYFUNCTION("""COMPUTED_VALUE"""),"33")</f>
        <v>33</v>
      </c>
      <c r="F111" s="3" t="str">
        <f>IFERROR(__xludf.DUMMYFUNCTION("""COMPUTED_VALUE"""),"นพอ.ปุญญิศา ฤทธิ์หมุน")</f>
        <v>นพอ.ปุญญิศา ฤทธิ์หมุน</v>
      </c>
      <c r="G1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1" s="3" t="str">
        <f>IFERROR(__xludf.DUMMYFUNCTION("""COMPUTED_VALUE"""),"ฟังการสัมมนาสื่อสร้างสรรค์ เสริมพลังการสื่อสาร พัฒนาสังคม")</f>
        <v>ฟังการสัมมนาสื่อสร้างสรรค์ เสริมพลังการสื่อสาร พัฒนาสังคม</v>
      </c>
      <c r="I111" s="3" t="str">
        <f>IFERROR(__xludf.DUMMYFUNCTION("""COMPUTED_VALUE"""),"ตึกสำนักงานใหญ่ SCG")</f>
        <v>ตึกสำนักงานใหญ่ SCG</v>
      </c>
      <c r="J111" s="12">
        <f>IFERROR(__xludf.DUMMYFUNCTION("""COMPUTED_VALUE"""),45955.0)</f>
        <v>45955</v>
      </c>
      <c r="K111" s="3" t="str">
        <f>IFERROR(__xludf.DUMMYFUNCTION("""COMPUTED_VALUE"""),"0730-1230")</f>
        <v>0730-1230</v>
      </c>
      <c r="L111" s="3">
        <f>IFERROR(__xludf.DUMMYFUNCTION("""COMPUTED_VALUE"""),5.0)</f>
        <v>5</v>
      </c>
      <c r="M111" s="3" t="str">
        <f>IFERROR(__xludf.DUMMYFUNCTION("""COMPUTED_VALUE"""),"น.ท.หญิง ฤทัยวรรณ นวมพันธ์")</f>
        <v>น.ท.หญิง ฤทัยวรรณ นวมพันธ์</v>
      </c>
      <c r="N111" s="14" t="str">
        <f>IFERROR(__xludf.DUMMYFUNCTION("""COMPUTED_VALUE"""),"https://lh5.googleusercontent.com/d/1vFhQDfi_B4EgdPFlybM_tw4ahZsfsAdM")</f>
        <v>https://lh5.googleusercontent.com/d/1vFhQDfi_B4EgdPFlybM_tw4ahZsfsAdM</v>
      </c>
      <c r="O111" s="14" t="str">
        <f>IFERROR(__xludf.DUMMYFUNCTION("""COMPUTED_VALUE"""),"https://drive.google.com/file/d/1yqwMzOYx9aGYINcBM1t_FQppUWRT_VCL/view?usp=drivesdk")</f>
        <v>https://drive.google.com/file/d/1yqwMzOYx9aGYINcBM1t_FQppUWRT_VCL/view?usp=drivesdk</v>
      </c>
    </row>
    <row r="112">
      <c r="A112" s="3">
        <f>IFERROR(__xludf.DUMMYFUNCTION("""COMPUTED_VALUE"""),362.0)</f>
        <v>362</v>
      </c>
      <c r="B112" s="11">
        <f>IFERROR(__xludf.DUMMYFUNCTION("""COMPUTED_VALUE"""),45988.546087812494)</f>
        <v>45988.54609</v>
      </c>
      <c r="C112" s="3" t="str">
        <f>IFERROR(__xludf.DUMMYFUNCTION("""COMPUTED_VALUE"""),"ชั้นปีที่ 2")</f>
        <v>ชั้นปีที่ 2</v>
      </c>
      <c r="D112" s="3" t="str">
        <f>IFERROR(__xludf.DUMMYFUNCTION("""COMPUTED_VALUE"""),"6703834")</f>
        <v>6703834</v>
      </c>
      <c r="E112" s="3" t="str">
        <f>IFERROR(__xludf.DUMMYFUNCTION("""COMPUTED_VALUE"""),"17")</f>
        <v>17</v>
      </c>
      <c r="F112" s="3" t="str">
        <f>IFERROR(__xludf.DUMMYFUNCTION("""COMPUTED_VALUE"""),"นพอ.ฑิตถากร แน่นอุดร")</f>
        <v>นพอ.ฑิตถากร แน่นอุดร</v>
      </c>
      <c r="G1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2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12" s="3" t="str">
        <f>IFERROR(__xludf.DUMMYFUNCTION("""COMPUTED_VALUE"""),"ดุริยางค์ทหารอากาศ")</f>
        <v>ดุริยางค์ทหารอากาศ</v>
      </c>
      <c r="J112" s="12">
        <f>IFERROR(__xludf.DUMMYFUNCTION("""COMPUTED_VALUE"""),45825.0)</f>
        <v>45825</v>
      </c>
      <c r="K112" s="3" t="str">
        <f>IFERROR(__xludf.DUMMYFUNCTION("""COMPUTED_VALUE"""),"0800-1600")</f>
        <v>0800-1600</v>
      </c>
      <c r="L112" s="3">
        <f>IFERROR(__xludf.DUMMYFUNCTION("""COMPUTED_VALUE"""),8.0)</f>
        <v>8</v>
      </c>
      <c r="M112" s="3" t="str">
        <f>IFERROR(__xludf.DUMMYFUNCTION("""COMPUTED_VALUE"""),"ร.อ.อนุชิต ทำจะดี")</f>
        <v>ร.อ.อนุชิต ทำจะดี</v>
      </c>
      <c r="N112" s="14" t="str">
        <f>IFERROR(__xludf.DUMMYFUNCTION("""COMPUTED_VALUE"""),"https://lh5.googleusercontent.com/d/1SAD0r67GkE8B7UZ1V7ZtGyjY1En6gsXS")</f>
        <v>https://lh5.googleusercontent.com/d/1SAD0r67GkE8B7UZ1V7ZtGyjY1En6gsXS</v>
      </c>
      <c r="O112" s="14" t="str">
        <f>IFERROR(__xludf.DUMMYFUNCTION("""COMPUTED_VALUE"""),"https://drive.google.com/file/d/1hOXjIiRihoslvQUzfSa8lREAPSJWbUXY/view?usp=drivesdk")</f>
        <v>https://drive.google.com/file/d/1hOXjIiRihoslvQUzfSa8lREAPSJWbUXY/view?usp=drivesdk</v>
      </c>
    </row>
    <row r="113">
      <c r="A113" s="3">
        <f>IFERROR(__xludf.DUMMYFUNCTION("""COMPUTED_VALUE"""),363.0)</f>
        <v>363</v>
      </c>
      <c r="B113" s="11">
        <f>IFERROR(__xludf.DUMMYFUNCTION("""COMPUTED_VALUE"""),45988.547370057866)</f>
        <v>45988.54737</v>
      </c>
      <c r="C113" s="3" t="str">
        <f>IFERROR(__xludf.DUMMYFUNCTION("""COMPUTED_VALUE"""),"ชั้นปีที่ 2")</f>
        <v>ชั้นปีที่ 2</v>
      </c>
      <c r="D113" s="3" t="str">
        <f>IFERROR(__xludf.DUMMYFUNCTION("""COMPUTED_VALUE"""),"6703839")</f>
        <v>6703839</v>
      </c>
      <c r="E113" s="3" t="str">
        <f>IFERROR(__xludf.DUMMYFUNCTION("""COMPUTED_VALUE"""),"22")</f>
        <v>22</v>
      </c>
      <c r="F113" s="3" t="str">
        <f>IFERROR(__xludf.DUMMYFUNCTION("""COMPUTED_VALUE"""),"นพอ.ณัฐวรรณ เคนสุวรรณ")</f>
        <v>นพอ.ณัฐวรรณ เคนสุวรรณ</v>
      </c>
      <c r="G113" s="3" t="str">
        <f>IFERROR(__xludf.DUMMYFUNCTION("""COMPUTED_VALUE"""),"ช่วยเหลืองานภายใน วพอ.")</f>
        <v>ช่วยเหลืองานภายใน วพอ.</v>
      </c>
      <c r="H113" s="3" t="str">
        <f>IFERROR(__xludf.DUMMYFUNCTION("""COMPUTED_VALUE"""),"ช่วยงาน อนศ.")</f>
        <v>ช่วยงาน อนศ.</v>
      </c>
      <c r="I113" s="3" t="str">
        <f>IFERROR(__xludf.DUMMYFUNCTION("""COMPUTED_VALUE"""),"วิทยาลัยพยาบาลทหารอากาศ")</f>
        <v>วิทยาลัยพยาบาลทหารอากาศ</v>
      </c>
      <c r="J113" s="12">
        <f>IFERROR(__xludf.DUMMYFUNCTION("""COMPUTED_VALUE"""),45875.0)</f>
        <v>45875</v>
      </c>
      <c r="K113" s="3" t="str">
        <f>IFERROR(__xludf.DUMMYFUNCTION("""COMPUTED_VALUE"""),"0700-1300")</f>
        <v>0700-1300</v>
      </c>
      <c r="L113" s="3">
        <f>IFERROR(__xludf.DUMMYFUNCTION("""COMPUTED_VALUE"""),6.0)</f>
        <v>6</v>
      </c>
      <c r="M113" s="3" t="str">
        <f>IFERROR(__xludf.DUMMYFUNCTION("""COMPUTED_VALUE"""),"จ.อ.หญิง ปทิตตา สุขจิตเวชธาดา")</f>
        <v>จ.อ.หญิง ปทิตตา สุขจิตเวชธาดา</v>
      </c>
      <c r="N113" s="14" t="str">
        <f>IFERROR(__xludf.DUMMYFUNCTION("""COMPUTED_VALUE"""),"https://lh5.googleusercontent.com/d/160HfOAb27GLAMma2gRPnZXa15zjVP7tS")</f>
        <v>https://lh5.googleusercontent.com/d/160HfOAb27GLAMma2gRPnZXa15zjVP7tS</v>
      </c>
      <c r="O113" s="14" t="str">
        <f>IFERROR(__xludf.DUMMYFUNCTION("""COMPUTED_VALUE"""),"https://drive.google.com/file/d/1vN4LqSZdIX6H1rLyrUalY_V4-lXlU9z0/view?usp=drivesdk")</f>
        <v>https://drive.google.com/file/d/1vN4LqSZdIX6H1rLyrUalY_V4-lXlU9z0/view?usp=drivesdk</v>
      </c>
    </row>
    <row r="114">
      <c r="A114" s="3">
        <f>IFERROR(__xludf.DUMMYFUNCTION("""COMPUTED_VALUE"""),364.0)</f>
        <v>364</v>
      </c>
      <c r="B114" s="11">
        <f>IFERROR(__xludf.DUMMYFUNCTION("""COMPUTED_VALUE"""),45988.548693356475)</f>
        <v>45988.54869</v>
      </c>
      <c r="C114" s="3" t="str">
        <f>IFERROR(__xludf.DUMMYFUNCTION("""COMPUTED_VALUE"""),"ชั้นปีที่ 2")</f>
        <v>ชั้นปีที่ 2</v>
      </c>
      <c r="D114" s="3" t="str">
        <f>IFERROR(__xludf.DUMMYFUNCTION("""COMPUTED_VALUE"""),"6703850")</f>
        <v>6703850</v>
      </c>
      <c r="E114" s="3" t="str">
        <f>IFERROR(__xludf.DUMMYFUNCTION("""COMPUTED_VALUE"""),"32")</f>
        <v>32</v>
      </c>
      <c r="F114" s="3" t="str">
        <f>IFERROR(__xludf.DUMMYFUNCTION("""COMPUTED_VALUE"""),"นพอ.ประริชญา ประสิทธิ์พรม")</f>
        <v>นพอ.ประริชญา ประสิทธิ์พรม</v>
      </c>
      <c r="G114" s="3" t="str">
        <f>IFERROR(__xludf.DUMMYFUNCTION("""COMPUTED_VALUE"""),"ช่วยเหลืองานภายใน วพอ.")</f>
        <v>ช่วยเหลืองานภายใน วพอ.</v>
      </c>
      <c r="H114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14" s="3" t="str">
        <f>IFERROR(__xludf.DUMMYFUNCTION("""COMPUTED_VALUE"""),"ห้องเรียนนพอ.ชั้นปีที่ 1")</f>
        <v>ห้องเรียนนพอ.ชั้นปีที่ 1</v>
      </c>
      <c r="J114" s="12">
        <f>IFERROR(__xludf.DUMMYFUNCTION("""COMPUTED_VALUE"""),45984.0)</f>
        <v>45984</v>
      </c>
      <c r="K114" s="3" t="str">
        <f>IFERROR(__xludf.DUMMYFUNCTION("""COMPUTED_VALUE"""),"1000-1800")</f>
        <v>1000-1800</v>
      </c>
      <c r="L114" s="3">
        <f>IFERROR(__xludf.DUMMYFUNCTION("""COMPUTED_VALUE"""),8.0)</f>
        <v>8</v>
      </c>
      <c r="M114" s="3" t="str">
        <f>IFERROR(__xludf.DUMMYFUNCTION("""COMPUTED_VALUE"""),"ร.ท.เรวัติ วัชรสิทธิ์")</f>
        <v>ร.ท.เรวัติ วัชรสิทธิ์</v>
      </c>
      <c r="N114" s="14" t="str">
        <f>IFERROR(__xludf.DUMMYFUNCTION("""COMPUTED_VALUE"""),"https://lh5.googleusercontent.com/d/1mQTMVGfLKZhgIjYN6ApDEBoztffhPKWQ")</f>
        <v>https://lh5.googleusercontent.com/d/1mQTMVGfLKZhgIjYN6ApDEBoztffhPKWQ</v>
      </c>
      <c r="O114" s="14" t="str">
        <f>IFERROR(__xludf.DUMMYFUNCTION("""COMPUTED_VALUE"""),"https://drive.google.com/file/d/1tJxdkdAcGDP_YG-hBdWVSO0CLryV4TIf/view?usp=drivesdk")</f>
        <v>https://drive.google.com/file/d/1tJxdkdAcGDP_YG-hBdWVSO0CLryV4TIf/view?usp=drivesdk</v>
      </c>
    </row>
    <row r="115">
      <c r="A115" s="3">
        <f>IFERROR(__xludf.DUMMYFUNCTION("""COMPUTED_VALUE"""),366.0)</f>
        <v>366</v>
      </c>
      <c r="B115" s="11">
        <f>IFERROR(__xludf.DUMMYFUNCTION("""COMPUTED_VALUE"""),45988.550411828706)</f>
        <v>45988.55041</v>
      </c>
      <c r="C115" s="3" t="str">
        <f>IFERROR(__xludf.DUMMYFUNCTION("""COMPUTED_VALUE"""),"ชั้นปีที่ 2")</f>
        <v>ชั้นปีที่ 2</v>
      </c>
      <c r="D115" s="3" t="str">
        <f>IFERROR(__xludf.DUMMYFUNCTION("""COMPUTED_VALUE"""),"6703843")</f>
        <v>6703843</v>
      </c>
      <c r="E115" s="3" t="str">
        <f>IFERROR(__xludf.DUMMYFUNCTION("""COMPUTED_VALUE"""),"25")</f>
        <v>25</v>
      </c>
      <c r="F115" s="3" t="str">
        <f>IFERROR(__xludf.DUMMYFUNCTION("""COMPUTED_VALUE"""),"นพอ.ธัญชนิต ธนะกองแก้ว")</f>
        <v>นพอ.ธัญชนิต ธนะกองแก้ว</v>
      </c>
      <c r="G115" s="3" t="str">
        <f>IFERROR(__xludf.DUMMYFUNCTION("""COMPUTED_VALUE"""),"ช่วยเหลืองานภายใน วพอ.")</f>
        <v>ช่วยเหลืองานภายใน วพอ.</v>
      </c>
      <c r="H115" s="3" t="str">
        <f>IFERROR(__xludf.DUMMYFUNCTION("""COMPUTED_VALUE"""),"เข้าร่วมการฝึกการรักษาทารกแรกเกิดทีีมีภาวะตัวเหลืองด้วยการส่องไฟ")</f>
        <v>เข้าร่วมการฝึกการรักษาทารกแรกเกิดทีีมีภาวะตัวเหลืองด้วยการส่องไฟ</v>
      </c>
      <c r="I115" s="3" t="str">
        <f>IFERROR(__xludf.DUMMYFUNCTION("""COMPUTED_VALUE"""),"ห้องเรียน นพอ.ชั้นปีที่ 1")</f>
        <v>ห้องเรียน นพอ.ชั้นปีที่ 1</v>
      </c>
      <c r="J115" s="12">
        <f>IFERROR(__xludf.DUMMYFUNCTION("""COMPUTED_VALUE"""),45987.0)</f>
        <v>45987</v>
      </c>
      <c r="K115" s="3" t="str">
        <f>IFERROR(__xludf.DUMMYFUNCTION("""COMPUTED_VALUE"""),"1000-1800")</f>
        <v>1000-1800</v>
      </c>
      <c r="L115" s="3">
        <f>IFERROR(__xludf.DUMMYFUNCTION("""COMPUTED_VALUE"""),8.0)</f>
        <v>8</v>
      </c>
      <c r="M115" s="3" t="str">
        <f>IFERROR(__xludf.DUMMYFUNCTION("""COMPUTED_VALUE"""),"ร.ท.เรวัติ วัชรสิทธิ์")</f>
        <v>ร.ท.เรวัติ วัชรสิทธิ์</v>
      </c>
      <c r="N115" s="14" t="str">
        <f>IFERROR(__xludf.DUMMYFUNCTION("""COMPUTED_VALUE"""),"https://lh5.googleusercontent.com/d/1PW-v8KpI_piNdM152ukNebBVQGNntUeh")</f>
        <v>https://lh5.googleusercontent.com/d/1PW-v8KpI_piNdM152ukNebBVQGNntUeh</v>
      </c>
      <c r="O115" s="14" t="str">
        <f>IFERROR(__xludf.DUMMYFUNCTION("""COMPUTED_VALUE"""),"https://drive.google.com/file/d/1NpCNB3p0rlyR_M8IMscZDfcrXm-jzX5j/view?usp=drivesdk")</f>
        <v>https://drive.google.com/file/d/1NpCNB3p0rlyR_M8IMscZDfcrXm-jzX5j/view?usp=drivesdk</v>
      </c>
    </row>
    <row r="116">
      <c r="A116" s="3">
        <f>IFERROR(__xludf.DUMMYFUNCTION("""COMPUTED_VALUE"""),367.0)</f>
        <v>367</v>
      </c>
      <c r="B116" s="11">
        <f>IFERROR(__xludf.DUMMYFUNCTION("""COMPUTED_VALUE"""),45988.55117975694)</f>
        <v>45988.55118</v>
      </c>
      <c r="C116" s="3" t="str">
        <f>IFERROR(__xludf.DUMMYFUNCTION("""COMPUTED_VALUE"""),"ชั้นปีที่ 2")</f>
        <v>ชั้นปีที่ 2</v>
      </c>
      <c r="D116" s="3" t="str">
        <f>IFERROR(__xludf.DUMMYFUNCTION("""COMPUTED_VALUE"""),"6703834")</f>
        <v>6703834</v>
      </c>
      <c r="E116" s="3" t="str">
        <f>IFERROR(__xludf.DUMMYFUNCTION("""COMPUTED_VALUE"""),"17")</f>
        <v>17</v>
      </c>
      <c r="F116" s="3" t="str">
        <f>IFERROR(__xludf.DUMMYFUNCTION("""COMPUTED_VALUE"""),"นพอ.ฑิตถากร แน่นอุดร")</f>
        <v>นพอ.ฑิตถากร แน่นอุดร</v>
      </c>
      <c r="G1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6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1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6" s="12">
        <f>IFERROR(__xludf.DUMMYFUNCTION("""COMPUTED_VALUE"""),45838.0)</f>
        <v>45838</v>
      </c>
      <c r="K116" s="3" t="str">
        <f>IFERROR(__xludf.DUMMYFUNCTION("""COMPUTED_VALUE"""),"1400-2200")</f>
        <v>1400-2200</v>
      </c>
      <c r="L116" s="3">
        <f>IFERROR(__xludf.DUMMYFUNCTION("""COMPUTED_VALUE"""),8.0)</f>
        <v>8</v>
      </c>
      <c r="M116" s="3" t="str">
        <f>IFERROR(__xludf.DUMMYFUNCTION("""COMPUTED_VALUE"""),"ร.อ.อนุชิต ทำจะดี")</f>
        <v>ร.อ.อนุชิต ทำจะดี</v>
      </c>
      <c r="N116" s="14" t="str">
        <f>IFERROR(__xludf.DUMMYFUNCTION("""COMPUTED_VALUE"""),"https://lh5.googleusercontent.com/d/12pAWQdzRczQERChqM2mq_DJ0kq5ywTir")</f>
        <v>https://lh5.googleusercontent.com/d/12pAWQdzRczQERChqM2mq_DJ0kq5ywTir</v>
      </c>
      <c r="O116" s="14" t="str">
        <f>IFERROR(__xludf.DUMMYFUNCTION("""COMPUTED_VALUE"""),"https://drive.google.com/file/d/1EgsXm005bndSMgpqYKcbn9FFGq7m5M3U/view?usp=drivesdk")</f>
        <v>https://drive.google.com/file/d/1EgsXm005bndSMgpqYKcbn9FFGq7m5M3U/view?usp=drivesdk</v>
      </c>
    </row>
    <row r="117">
      <c r="A117" s="3">
        <f>IFERROR(__xludf.DUMMYFUNCTION("""COMPUTED_VALUE"""),369.0)</f>
        <v>369</v>
      </c>
      <c r="B117" s="11">
        <f>IFERROR(__xludf.DUMMYFUNCTION("""COMPUTED_VALUE"""),45988.55321802083)</f>
        <v>45988.55322</v>
      </c>
      <c r="C117" s="3" t="str">
        <f>IFERROR(__xludf.DUMMYFUNCTION("""COMPUTED_VALUE"""),"ชั้นปีที่ 2")</f>
        <v>ชั้นปีที่ 2</v>
      </c>
      <c r="D117" s="3" t="str">
        <f>IFERROR(__xludf.DUMMYFUNCTION("""COMPUTED_VALUE"""),"6703834")</f>
        <v>6703834</v>
      </c>
      <c r="E117" s="3" t="str">
        <f>IFERROR(__xludf.DUMMYFUNCTION("""COMPUTED_VALUE"""),"17")</f>
        <v>17</v>
      </c>
      <c r="F117" s="3" t="str">
        <f>IFERROR(__xludf.DUMMYFUNCTION("""COMPUTED_VALUE"""),"นพอ.ฑิตถากร แน่นอุร")</f>
        <v>นพอ.ฑิตถากร แน่นอุร</v>
      </c>
      <c r="G1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7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1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7" s="12">
        <f>IFERROR(__xludf.DUMMYFUNCTION("""COMPUTED_VALUE"""),45839.0)</f>
        <v>45839</v>
      </c>
      <c r="K117" s="3" t="str">
        <f>IFERROR(__xludf.DUMMYFUNCTION("""COMPUTED_VALUE"""),"1400-2200")</f>
        <v>1400-2200</v>
      </c>
      <c r="L117" s="3">
        <f>IFERROR(__xludf.DUMMYFUNCTION("""COMPUTED_VALUE"""),8.0)</f>
        <v>8</v>
      </c>
      <c r="M117" s="3" t="str">
        <f>IFERROR(__xludf.DUMMYFUNCTION("""COMPUTED_VALUE"""),"ร.อ.อนุชิต ทำจะดี")</f>
        <v>ร.อ.อนุชิต ทำจะดี</v>
      </c>
      <c r="N117" s="14" t="str">
        <f>IFERROR(__xludf.DUMMYFUNCTION("""COMPUTED_VALUE"""),"https://lh5.googleusercontent.com/d/1reZ6DEAWtAPIph9VqoAnYwsxUI_jBaVo")</f>
        <v>https://lh5.googleusercontent.com/d/1reZ6DEAWtAPIph9VqoAnYwsxUI_jBaVo</v>
      </c>
      <c r="O117" s="14" t="str">
        <f>IFERROR(__xludf.DUMMYFUNCTION("""COMPUTED_VALUE"""),"https://drive.google.com/file/d/1PGeNR15qemSXCVOZY5i6v98jP_mS7oP3/view?usp=drivesdk")</f>
        <v>https://drive.google.com/file/d/1PGeNR15qemSXCVOZY5i6v98jP_mS7oP3/view?usp=drivesdk</v>
      </c>
    </row>
    <row r="118">
      <c r="A118" s="3">
        <f>IFERROR(__xludf.DUMMYFUNCTION("""COMPUTED_VALUE"""),370.0)</f>
        <v>370</v>
      </c>
      <c r="B118" s="11">
        <f>IFERROR(__xludf.DUMMYFUNCTION("""COMPUTED_VALUE"""),45988.55416814815)</f>
        <v>45988.55417</v>
      </c>
      <c r="C118" s="3" t="str">
        <f>IFERROR(__xludf.DUMMYFUNCTION("""COMPUTED_VALUE"""),"ชั้นปีที่ 2")</f>
        <v>ชั้นปีที่ 2</v>
      </c>
      <c r="D118" s="3" t="str">
        <f>IFERROR(__xludf.DUMMYFUNCTION("""COMPUTED_VALUE"""),"6703850")</f>
        <v>6703850</v>
      </c>
      <c r="E118" s="3" t="str">
        <f>IFERROR(__xludf.DUMMYFUNCTION("""COMPUTED_VALUE"""),"32")</f>
        <v>32</v>
      </c>
      <c r="F118" s="3" t="str">
        <f>IFERROR(__xludf.DUMMYFUNCTION("""COMPUTED_VALUE"""),"นพอ.ประริชญา ประสิทธิ์พรม")</f>
        <v>นพอ.ประริชญา ประสิทธิ์พรม</v>
      </c>
      <c r="G1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8" s="3" t="str">
        <f>IFERROR(__xludf.DUMMYFUNCTION("""COMPUTED_VALUE"""),"การแข่งขันทักษะทางไซเบอร์ระดับโรงเรียนทหาร-ตำรวจ และอุดมศึกษา")</f>
        <v>การแข่งขันทักษะทางไซเบอร์ระดับโรงเรียนทหาร-ตำรวจ และอุดมศึกษา</v>
      </c>
      <c r="I118" s="3" t="str">
        <f>IFERROR(__xludf.DUMMYFUNCTION("""COMPUTED_VALUE"""),"กา องประชุมอาคารอเนกประสงค์ สปท. เขตดินแดง")</f>
        <v>กา องประชุมอาคารอเนกประสงค์ สปท. เขตดินแดง</v>
      </c>
      <c r="J118" s="12">
        <f>IFERROR(__xludf.DUMMYFUNCTION("""COMPUTED_VALUE"""),45853.0)</f>
        <v>45853</v>
      </c>
      <c r="K118" s="3" t="str">
        <f>IFERROR(__xludf.DUMMYFUNCTION("""COMPUTED_VALUE"""),"0800-1600")</f>
        <v>0800-1600</v>
      </c>
      <c r="L118" s="3">
        <f>IFERROR(__xludf.DUMMYFUNCTION("""COMPUTED_VALUE"""),8.0)</f>
        <v>8</v>
      </c>
      <c r="M118" s="3" t="str">
        <f>IFERROR(__xludf.DUMMYFUNCTION("""COMPUTED_VALUE"""),"ร.อ.อนุชิต ทำจะดี ")</f>
        <v>ร.อ.อนุชิต ทำจะดี </v>
      </c>
      <c r="N118" s="14" t="str">
        <f>IFERROR(__xludf.DUMMYFUNCTION("""COMPUTED_VALUE"""),"https://lh5.googleusercontent.com/d/1T-HE71HEwznZiI4F0orqzXwPK6p_eBmn")</f>
        <v>https://lh5.googleusercontent.com/d/1T-HE71HEwznZiI4F0orqzXwPK6p_eBmn</v>
      </c>
      <c r="O118" s="14" t="str">
        <f>IFERROR(__xludf.DUMMYFUNCTION("""COMPUTED_VALUE"""),"https://drive.google.com/file/d/13hmnpVW2_WcOujlTLdFGVSYlcra9XiaK/view?usp=drivesdk")</f>
        <v>https://drive.google.com/file/d/13hmnpVW2_WcOujlTLdFGVSYlcra9XiaK/view?usp=drivesdk</v>
      </c>
    </row>
    <row r="119">
      <c r="A119" s="3">
        <f>IFERROR(__xludf.DUMMYFUNCTION("""COMPUTED_VALUE"""),371.0)</f>
        <v>371</v>
      </c>
      <c r="B119" s="11">
        <f>IFERROR(__xludf.DUMMYFUNCTION("""COMPUTED_VALUE"""),45988.5552622338)</f>
        <v>45988.55526</v>
      </c>
      <c r="C119" s="3" t="str">
        <f>IFERROR(__xludf.DUMMYFUNCTION("""COMPUTED_VALUE"""),"ชั้นปีที่ 2")</f>
        <v>ชั้นปีที่ 2</v>
      </c>
      <c r="D119" s="3" t="str">
        <f>IFERROR(__xludf.DUMMYFUNCTION("""COMPUTED_VALUE"""),"6703834")</f>
        <v>6703834</v>
      </c>
      <c r="E119" s="3" t="str">
        <f>IFERROR(__xludf.DUMMYFUNCTION("""COMPUTED_VALUE"""),"17")</f>
        <v>17</v>
      </c>
      <c r="F119" s="3" t="str">
        <f>IFERROR(__xludf.DUMMYFUNCTION("""COMPUTED_VALUE"""),"นพอ.ฑิตถากร แน่นอุดร")</f>
        <v>นพอ.ฑิตถากร แน่นอุดร</v>
      </c>
      <c r="G1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9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1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19" s="12">
        <f>IFERROR(__xludf.DUMMYFUNCTION("""COMPUTED_VALUE"""),45840.0)</f>
        <v>45840</v>
      </c>
      <c r="K119" s="3" t="str">
        <f>IFERROR(__xludf.DUMMYFUNCTION("""COMPUTED_VALUE"""),"1400-2200")</f>
        <v>1400-2200</v>
      </c>
      <c r="L119" s="3">
        <f>IFERROR(__xludf.DUMMYFUNCTION("""COMPUTED_VALUE"""),8.0)</f>
        <v>8</v>
      </c>
      <c r="M119" s="3" t="str">
        <f>IFERROR(__xludf.DUMMYFUNCTION("""COMPUTED_VALUE"""),"ร.อ.อนุชิต ทำจะดี")</f>
        <v>ร.อ.อนุชิต ทำจะดี</v>
      </c>
      <c r="N119" s="14" t="str">
        <f>IFERROR(__xludf.DUMMYFUNCTION("""COMPUTED_VALUE"""),"https://lh5.googleusercontent.com/d/1QbJWMhIr9V_XIbNNhvVFHrSPPA70bwuA")</f>
        <v>https://lh5.googleusercontent.com/d/1QbJWMhIr9V_XIbNNhvVFHrSPPA70bwuA</v>
      </c>
      <c r="O119" s="14" t="str">
        <f>IFERROR(__xludf.DUMMYFUNCTION("""COMPUTED_VALUE"""),"https://drive.google.com/file/d/1v3dGfegfrZ0fVnmJuNBVj6UM5FcbNMjF/view?usp=drivesdk")</f>
        <v>https://drive.google.com/file/d/1v3dGfegfrZ0fVnmJuNBVj6UM5FcbNMjF/view?usp=drivesdk</v>
      </c>
    </row>
    <row r="120">
      <c r="A120" s="3">
        <f>IFERROR(__xludf.DUMMYFUNCTION("""COMPUTED_VALUE"""),372.0)</f>
        <v>372</v>
      </c>
      <c r="B120" s="11">
        <f>IFERROR(__xludf.DUMMYFUNCTION("""COMPUTED_VALUE"""),45988.56010545139)</f>
        <v>45988.56011</v>
      </c>
      <c r="C120" s="3" t="str">
        <f>IFERROR(__xludf.DUMMYFUNCTION("""COMPUTED_VALUE"""),"ชั้นปีที่ 2")</f>
        <v>ชั้นปีที่ 2</v>
      </c>
      <c r="D120" s="3" t="str">
        <f>IFERROR(__xludf.DUMMYFUNCTION("""COMPUTED_VALUE"""),"6703839")</f>
        <v>6703839</v>
      </c>
      <c r="E120" s="3" t="str">
        <f>IFERROR(__xludf.DUMMYFUNCTION("""COMPUTED_VALUE"""),"22")</f>
        <v>22</v>
      </c>
      <c r="F120" s="3" t="str">
        <f>IFERROR(__xludf.DUMMYFUNCTION("""COMPUTED_VALUE"""),"นพอ.ณัฐวรรณ เคนสุวรรณ")</f>
        <v>นพอ.ณัฐวรรณ เคนสุวรรณ</v>
      </c>
      <c r="G12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0" s="3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120" s="3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120" s="12">
        <f>IFERROR(__xludf.DUMMYFUNCTION("""COMPUTED_VALUE"""),45977.0)</f>
        <v>45977</v>
      </c>
      <c r="K120" s="3" t="str">
        <f>IFERROR(__xludf.DUMMYFUNCTION("""COMPUTED_VALUE"""),"0500-0900")</f>
        <v>0500-0900</v>
      </c>
      <c r="L120" s="3">
        <f>IFERROR(__xludf.DUMMYFUNCTION("""COMPUTED_VALUE"""),4.0)</f>
        <v>4</v>
      </c>
      <c r="M12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20" s="14" t="str">
        <f>IFERROR(__xludf.DUMMYFUNCTION("""COMPUTED_VALUE"""),"https://lh5.googleusercontent.com/d/15JseGFk84fyyNH5m2WK6OmyQNSkwwpho")</f>
        <v>https://lh5.googleusercontent.com/d/15JseGFk84fyyNH5m2WK6OmyQNSkwwpho</v>
      </c>
      <c r="O120" s="14" t="str">
        <f>IFERROR(__xludf.DUMMYFUNCTION("""COMPUTED_VALUE"""),"https://drive.google.com/file/d/12B1uPqApQBL6PQ0GezY0bXbi_EvSrS6X/view?usp=drivesdk")</f>
        <v>https://drive.google.com/file/d/12B1uPqApQBL6PQ0GezY0bXbi_EvSrS6X/view?usp=drivesdk</v>
      </c>
    </row>
    <row r="121">
      <c r="A121" s="3">
        <f>IFERROR(__xludf.DUMMYFUNCTION("""COMPUTED_VALUE"""),373.0)</f>
        <v>373</v>
      </c>
      <c r="B121" s="11">
        <f>IFERROR(__xludf.DUMMYFUNCTION("""COMPUTED_VALUE"""),45988.56193194444)</f>
        <v>45988.56193</v>
      </c>
      <c r="C121" s="3" t="str">
        <f>IFERROR(__xludf.DUMMYFUNCTION("""COMPUTED_VALUE"""),"ชั้นปีที่ 2")</f>
        <v>ชั้นปีที่ 2</v>
      </c>
      <c r="D121" s="3" t="str">
        <f>IFERROR(__xludf.DUMMYFUNCTION("""COMPUTED_VALUE"""),"6703839")</f>
        <v>6703839</v>
      </c>
      <c r="E121" s="3" t="str">
        <f>IFERROR(__xludf.DUMMYFUNCTION("""COMPUTED_VALUE"""),"22")</f>
        <v>22</v>
      </c>
      <c r="F121" s="3" t="str">
        <f>IFERROR(__xludf.DUMMYFUNCTION("""COMPUTED_VALUE"""),"นพอ.ณัฐวรรณ เคนสุวรรณ")</f>
        <v>นพอ.ณัฐวรรณ เคนสุวรรณ</v>
      </c>
      <c r="G121" s="3" t="str">
        <f>IFERROR(__xludf.DUMMYFUNCTION("""COMPUTED_VALUE"""),"ช่วยเหลืองานภายใน วพอ.")</f>
        <v>ช่วยเหลืองานภายใน วพอ.</v>
      </c>
      <c r="H121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21" s="3" t="str">
        <f>IFERROR(__xludf.DUMMYFUNCTION("""COMPUTED_VALUE"""),"ห้องเรียน นพอ.ชั้นปีที่ 1")</f>
        <v>ห้องเรียน นพอ.ชั้นปีที่ 1</v>
      </c>
      <c r="J121" s="12">
        <f>IFERROR(__xludf.DUMMYFUNCTION("""COMPUTED_VALUE"""),45987.0)</f>
        <v>45987</v>
      </c>
      <c r="K121" s="3" t="str">
        <f>IFERROR(__xludf.DUMMYFUNCTION("""COMPUTED_VALUE"""),"1000-1800")</f>
        <v>1000-1800</v>
      </c>
      <c r="L121" s="3">
        <f>IFERROR(__xludf.DUMMYFUNCTION("""COMPUTED_VALUE"""),8.0)</f>
        <v>8</v>
      </c>
      <c r="M121" s="3" t="str">
        <f>IFERROR(__xludf.DUMMYFUNCTION("""COMPUTED_VALUE"""),"ร.ท.เรวัติ วัชรสิทธิ์")</f>
        <v>ร.ท.เรวัติ วัชรสิทธิ์</v>
      </c>
      <c r="N121" s="14" t="str">
        <f>IFERROR(__xludf.DUMMYFUNCTION("""COMPUTED_VALUE"""),"https://lh5.googleusercontent.com/d/17kx2ENjcU8A36mNlHYa-XpfiNOruTk4F")</f>
        <v>https://lh5.googleusercontent.com/d/17kx2ENjcU8A36mNlHYa-XpfiNOruTk4F</v>
      </c>
      <c r="O121" s="14" t="str">
        <f>IFERROR(__xludf.DUMMYFUNCTION("""COMPUTED_VALUE"""),"https://drive.google.com/file/d/1OkL8sGPVcPYO6K9tEpRmB3IbRX-eZqER/view?usp=drivesdk")</f>
        <v>https://drive.google.com/file/d/1OkL8sGPVcPYO6K9tEpRmB3IbRX-eZqER/view?usp=drivesdk</v>
      </c>
    </row>
    <row r="122">
      <c r="A122" s="3">
        <f>IFERROR(__xludf.DUMMYFUNCTION("""COMPUTED_VALUE"""),374.0)</f>
        <v>374</v>
      </c>
      <c r="B122" s="11">
        <f>IFERROR(__xludf.DUMMYFUNCTION("""COMPUTED_VALUE"""),45988.563744618055)</f>
        <v>45988.56374</v>
      </c>
      <c r="C122" s="3" t="str">
        <f>IFERROR(__xludf.DUMMYFUNCTION("""COMPUTED_VALUE"""),"ชั้นปีที่ 2")</f>
        <v>ชั้นปีที่ 2</v>
      </c>
      <c r="D122" s="3" t="str">
        <f>IFERROR(__xludf.DUMMYFUNCTION("""COMPUTED_VALUE"""),"6703839")</f>
        <v>6703839</v>
      </c>
      <c r="E122" s="3" t="str">
        <f>IFERROR(__xludf.DUMMYFUNCTION("""COMPUTED_VALUE"""),"22")</f>
        <v>22</v>
      </c>
      <c r="F122" s="3" t="str">
        <f>IFERROR(__xludf.DUMMYFUNCTION("""COMPUTED_VALUE"""),"นพอ.ณัฐวรรณ เคนสุวรรณ")</f>
        <v>นพอ.ณัฐวรรณ เคนสุวรรณ</v>
      </c>
      <c r="G12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2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2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2" s="12">
        <f>IFERROR(__xludf.DUMMYFUNCTION("""COMPUTED_VALUE"""),45839.0)</f>
        <v>45839</v>
      </c>
      <c r="K122" s="3" t="str">
        <f>IFERROR(__xludf.DUMMYFUNCTION("""COMPUTED_VALUE"""),"1400-2200")</f>
        <v>1400-2200</v>
      </c>
      <c r="L122" s="3">
        <f>IFERROR(__xludf.DUMMYFUNCTION("""COMPUTED_VALUE"""),8.0)</f>
        <v>8</v>
      </c>
      <c r="M122" s="3" t="str">
        <f>IFERROR(__xludf.DUMMYFUNCTION("""COMPUTED_VALUE"""),"ร.อ.อนุชิต ทำจะดี")</f>
        <v>ร.อ.อนุชิต ทำจะดี</v>
      </c>
      <c r="N122" s="14" t="str">
        <f>IFERROR(__xludf.DUMMYFUNCTION("""COMPUTED_VALUE"""),"https://lh5.googleusercontent.com/d/1RIat9blajqPeo_6EBqoC8FtiU6GvW1dl")</f>
        <v>https://lh5.googleusercontent.com/d/1RIat9blajqPeo_6EBqoC8FtiU6GvW1dl</v>
      </c>
      <c r="O122" s="14" t="str">
        <f>IFERROR(__xludf.DUMMYFUNCTION("""COMPUTED_VALUE"""),"https://drive.google.com/file/d/1Ehc8iJWPjXl3MJO2iCnZNHxWQLTi_5Du/view?usp=drivesdk")</f>
        <v>https://drive.google.com/file/d/1Ehc8iJWPjXl3MJO2iCnZNHxWQLTi_5Du/view?usp=drivesdk</v>
      </c>
    </row>
    <row r="123">
      <c r="A123" s="3">
        <f>IFERROR(__xludf.DUMMYFUNCTION("""COMPUTED_VALUE"""),376.0)</f>
        <v>376</v>
      </c>
      <c r="B123" s="11">
        <f>IFERROR(__xludf.DUMMYFUNCTION("""COMPUTED_VALUE"""),45988.5668042824)</f>
        <v>45988.5668</v>
      </c>
      <c r="C123" s="3" t="str">
        <f>IFERROR(__xludf.DUMMYFUNCTION("""COMPUTED_VALUE"""),"ชั้นปีที่ 2")</f>
        <v>ชั้นปีที่ 2</v>
      </c>
      <c r="D123" s="3" t="str">
        <f>IFERROR(__xludf.DUMMYFUNCTION("""COMPUTED_VALUE"""),"6703839")</f>
        <v>6703839</v>
      </c>
      <c r="E123" s="3" t="str">
        <f>IFERROR(__xludf.DUMMYFUNCTION("""COMPUTED_VALUE"""),"22")</f>
        <v>22</v>
      </c>
      <c r="F123" s="3" t="str">
        <f>IFERROR(__xludf.DUMMYFUNCTION("""COMPUTED_VALUE"""),"นพอ.ณัฐวรรณ เคนสุวรรณ")</f>
        <v>นพอ.ณัฐวรรณ เคนสุวรรณ</v>
      </c>
      <c r="G1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3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2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3" s="12">
        <f>IFERROR(__xludf.DUMMYFUNCTION("""COMPUTED_VALUE"""),45840.0)</f>
        <v>45840</v>
      </c>
      <c r="K123" s="3" t="str">
        <f>IFERROR(__xludf.DUMMYFUNCTION("""COMPUTED_VALUE"""),"1400-2200")</f>
        <v>1400-2200</v>
      </c>
      <c r="L123" s="3">
        <f>IFERROR(__xludf.DUMMYFUNCTION("""COMPUTED_VALUE"""),8.0)</f>
        <v>8</v>
      </c>
      <c r="M123" s="3" t="str">
        <f>IFERROR(__xludf.DUMMYFUNCTION("""COMPUTED_VALUE"""),"ร.อ.อนุชิต ทำจะดี")</f>
        <v>ร.อ.อนุชิต ทำจะดี</v>
      </c>
      <c r="N123" s="14" t="str">
        <f>IFERROR(__xludf.DUMMYFUNCTION("""COMPUTED_VALUE"""),"https://lh5.googleusercontent.com/d/1imM3BcnUT36OakkRP7pcXUp4LrRQQlFP")</f>
        <v>https://lh5.googleusercontent.com/d/1imM3BcnUT36OakkRP7pcXUp4LrRQQlFP</v>
      </c>
      <c r="O123" s="14" t="str">
        <f>IFERROR(__xludf.DUMMYFUNCTION("""COMPUTED_VALUE"""),"https://drive.google.com/file/d/1au7FVwheilQFrFjJPzKjgF2QG2lHUedl/view?usp=drivesdk")</f>
        <v>https://drive.google.com/file/d/1au7FVwheilQFrFjJPzKjgF2QG2lHUedl/view?usp=drivesdk</v>
      </c>
    </row>
    <row r="124">
      <c r="A124" s="3">
        <f>IFERROR(__xludf.DUMMYFUNCTION("""COMPUTED_VALUE"""),378.0)</f>
        <v>378</v>
      </c>
      <c r="B124" s="11">
        <f>IFERROR(__xludf.DUMMYFUNCTION("""COMPUTED_VALUE"""),45988.59249358797)</f>
        <v>45988.59249</v>
      </c>
      <c r="C124" s="3" t="str">
        <f>IFERROR(__xludf.DUMMYFUNCTION("""COMPUTED_VALUE"""),"ชั้นปีที่ 2")</f>
        <v>ชั้นปีที่ 2</v>
      </c>
      <c r="D124" s="3" t="str">
        <f>IFERROR(__xludf.DUMMYFUNCTION("""COMPUTED_VALUE"""),"6703872")</f>
        <v>6703872</v>
      </c>
      <c r="E124" s="3" t="str">
        <f>IFERROR(__xludf.DUMMYFUNCTION("""COMPUTED_VALUE"""),"53")</f>
        <v>53</v>
      </c>
      <c r="F124" s="3" t="str">
        <f>IFERROR(__xludf.DUMMYFUNCTION("""COMPUTED_VALUE"""),"นพอ.ศลิษา สุริยผัส")</f>
        <v>นพอ.ศลิษา สุริยผัส</v>
      </c>
      <c r="G12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4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24" s="3" t="str">
        <f>IFERROR(__xludf.DUMMYFUNCTION("""COMPUTED_VALUE"""),"ดุริยางค์ทหารอากาศ")</f>
        <v>ดุริยางค์ทหารอากาศ</v>
      </c>
      <c r="J124" s="12">
        <f>IFERROR(__xludf.DUMMYFUNCTION("""COMPUTED_VALUE"""),45825.0)</f>
        <v>45825</v>
      </c>
      <c r="K124" s="3" t="str">
        <f>IFERROR(__xludf.DUMMYFUNCTION("""COMPUTED_VALUE"""),"0800-1600")</f>
        <v>0800-1600</v>
      </c>
      <c r="L124" s="3">
        <f>IFERROR(__xludf.DUMMYFUNCTION("""COMPUTED_VALUE"""),8.0)</f>
        <v>8</v>
      </c>
      <c r="M124" s="3" t="str">
        <f>IFERROR(__xludf.DUMMYFUNCTION("""COMPUTED_VALUE"""),"ร.อ.อนุชิต ทำจะดี")</f>
        <v>ร.อ.อนุชิต ทำจะดี</v>
      </c>
      <c r="N124" s="14" t="str">
        <f>IFERROR(__xludf.DUMMYFUNCTION("""COMPUTED_VALUE"""),"https://lh5.googleusercontent.com/d/1VbPDlsFfwWKV6e5tW87FXik-31AKSRDs")</f>
        <v>https://lh5.googleusercontent.com/d/1VbPDlsFfwWKV6e5tW87FXik-31AKSRDs</v>
      </c>
      <c r="O124" s="14" t="str">
        <f>IFERROR(__xludf.DUMMYFUNCTION("""COMPUTED_VALUE"""),"https://drive.google.com/file/d/1WBPjBX2TbtJHxCpWhhv44Cz0xEo5dYEu/view?usp=drivesdk")</f>
        <v>https://drive.google.com/file/d/1WBPjBX2TbtJHxCpWhhv44Cz0xEo5dYEu/view?usp=drivesdk</v>
      </c>
    </row>
    <row r="125">
      <c r="A125" s="3">
        <f>IFERROR(__xludf.DUMMYFUNCTION("""COMPUTED_VALUE"""),379.0)</f>
        <v>379</v>
      </c>
      <c r="B125" s="11">
        <f>IFERROR(__xludf.DUMMYFUNCTION("""COMPUTED_VALUE"""),45988.59504787037)</f>
        <v>45988.59505</v>
      </c>
      <c r="C125" s="3" t="str">
        <f>IFERROR(__xludf.DUMMYFUNCTION("""COMPUTED_VALUE"""),"ชั้นปีที่ 2")</f>
        <v>ชั้นปีที่ 2</v>
      </c>
      <c r="D125" s="3" t="str">
        <f>IFERROR(__xludf.DUMMYFUNCTION("""COMPUTED_VALUE"""),"6703872")</f>
        <v>6703872</v>
      </c>
      <c r="E125" s="3" t="str">
        <f>IFERROR(__xludf.DUMMYFUNCTION("""COMPUTED_VALUE"""),"53")</f>
        <v>53</v>
      </c>
      <c r="F125" s="3" t="str">
        <f>IFERROR(__xludf.DUMMYFUNCTION("""COMPUTED_VALUE"""),"นพอ.ศลิษา สุริยผัส")</f>
        <v>นพอ.ศลิษา สุริยผัส</v>
      </c>
      <c r="G12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5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25" s="3" t="str">
        <f>IFERROR(__xludf.DUMMYFUNCTION("""COMPUTED_VALUE"""),"กองบัญชาการกองทัพอากาศ")</f>
        <v>กองบัญชาการกองทัพอากาศ</v>
      </c>
      <c r="J125" s="12">
        <f>IFERROR(__xludf.DUMMYFUNCTION("""COMPUTED_VALUE"""),45833.0)</f>
        <v>45833</v>
      </c>
      <c r="K125" s="3" t="str">
        <f>IFERROR(__xludf.DUMMYFUNCTION("""COMPUTED_VALUE"""),"0800-1600")</f>
        <v>0800-1600</v>
      </c>
      <c r="L125" s="3">
        <f>IFERROR(__xludf.DUMMYFUNCTION("""COMPUTED_VALUE"""),8.0)</f>
        <v>8</v>
      </c>
      <c r="M125" s="3" t="str">
        <f>IFERROR(__xludf.DUMMYFUNCTION("""COMPUTED_VALUE"""),"ร.อ.อนุชิต ทำจะดี")</f>
        <v>ร.อ.อนุชิต ทำจะดี</v>
      </c>
      <c r="N125" s="14" t="str">
        <f>IFERROR(__xludf.DUMMYFUNCTION("""COMPUTED_VALUE"""),"https://lh5.googleusercontent.com/d/1QXPQCXgADy-nDE6y-kB9TQOcquzSgQeH")</f>
        <v>https://lh5.googleusercontent.com/d/1QXPQCXgADy-nDE6y-kB9TQOcquzSgQeH</v>
      </c>
      <c r="O125" s="14" t="str">
        <f>IFERROR(__xludf.DUMMYFUNCTION("""COMPUTED_VALUE"""),"https://drive.google.com/file/d/1GzEOUL1XWyRRF1O-3Ji5j1RNvSWa2Wde/view?usp=drivesdk")</f>
        <v>https://drive.google.com/file/d/1GzEOUL1XWyRRF1O-3Ji5j1RNvSWa2Wde/view?usp=drivesdk</v>
      </c>
    </row>
    <row r="126">
      <c r="A126" s="3">
        <f>IFERROR(__xludf.DUMMYFUNCTION("""COMPUTED_VALUE"""),380.0)</f>
        <v>380</v>
      </c>
      <c r="B126" s="11">
        <f>IFERROR(__xludf.DUMMYFUNCTION("""COMPUTED_VALUE"""),45988.59690869213)</f>
        <v>45988.59691</v>
      </c>
      <c r="C126" s="3" t="str">
        <f>IFERROR(__xludf.DUMMYFUNCTION("""COMPUTED_VALUE"""),"ชั้นปีที่ 2")</f>
        <v>ชั้นปีที่ 2</v>
      </c>
      <c r="D126" s="3" t="str">
        <f>IFERROR(__xludf.DUMMYFUNCTION("""COMPUTED_VALUE"""),"6703872")</f>
        <v>6703872</v>
      </c>
      <c r="E126" s="3" t="str">
        <f>IFERROR(__xludf.DUMMYFUNCTION("""COMPUTED_VALUE"""),"53")</f>
        <v>53</v>
      </c>
      <c r="F126" s="3" t="str">
        <f>IFERROR(__xludf.DUMMYFUNCTION("""COMPUTED_VALUE"""),"นพอ.ศลิษา สุริยผัส")</f>
        <v>นพอ.ศลิษา สุริยผัส</v>
      </c>
      <c r="G12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6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2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6" s="12">
        <f>IFERROR(__xludf.DUMMYFUNCTION("""COMPUTED_VALUE"""),45838.0)</f>
        <v>45838</v>
      </c>
      <c r="K126" s="3" t="str">
        <f>IFERROR(__xludf.DUMMYFUNCTION("""COMPUTED_VALUE"""),"1400-2200")</f>
        <v>1400-2200</v>
      </c>
      <c r="L126" s="3">
        <f>IFERROR(__xludf.DUMMYFUNCTION("""COMPUTED_VALUE"""),8.0)</f>
        <v>8</v>
      </c>
      <c r="M126" s="3" t="str">
        <f>IFERROR(__xludf.DUMMYFUNCTION("""COMPUTED_VALUE"""),"ร.อ.อนุชิต ทำจะดี")</f>
        <v>ร.อ.อนุชิต ทำจะดี</v>
      </c>
      <c r="N126" s="14" t="str">
        <f>IFERROR(__xludf.DUMMYFUNCTION("""COMPUTED_VALUE"""),"https://lh5.googleusercontent.com/d/1nH7WXsTboHpiCYMoFbJDAkVnbt5aW9ro")</f>
        <v>https://lh5.googleusercontent.com/d/1nH7WXsTboHpiCYMoFbJDAkVnbt5aW9ro</v>
      </c>
      <c r="O126" s="14" t="str">
        <f>IFERROR(__xludf.DUMMYFUNCTION("""COMPUTED_VALUE"""),"https://drive.google.com/file/d/18dg6YpTZdBYt2kcudhKCbWjEUwPoUiRF/view?usp=drivesdk")</f>
        <v>https://drive.google.com/file/d/18dg6YpTZdBYt2kcudhKCbWjEUwPoUiRF/view?usp=drivesdk</v>
      </c>
    </row>
    <row r="127">
      <c r="A127" s="3">
        <f>IFERROR(__xludf.DUMMYFUNCTION("""COMPUTED_VALUE"""),381.0)</f>
        <v>381</v>
      </c>
      <c r="B127" s="11">
        <f>IFERROR(__xludf.DUMMYFUNCTION("""COMPUTED_VALUE"""),45988.5986987037)</f>
        <v>45988.5987</v>
      </c>
      <c r="C127" s="3" t="str">
        <f>IFERROR(__xludf.DUMMYFUNCTION("""COMPUTED_VALUE"""),"ชั้นปีที่ 2")</f>
        <v>ชั้นปีที่ 2</v>
      </c>
      <c r="D127" s="3" t="str">
        <f>IFERROR(__xludf.DUMMYFUNCTION("""COMPUTED_VALUE"""),"6703872")</f>
        <v>6703872</v>
      </c>
      <c r="E127" s="3" t="str">
        <f>IFERROR(__xludf.DUMMYFUNCTION("""COMPUTED_VALUE"""),"53")</f>
        <v>53</v>
      </c>
      <c r="F127" s="3" t="str">
        <f>IFERROR(__xludf.DUMMYFUNCTION("""COMPUTED_VALUE"""),"นพอ.ศลิษา สุริยผัส")</f>
        <v>นพอ.ศลิษา สุริยผัส</v>
      </c>
      <c r="G12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7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12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7" s="12">
        <f>IFERROR(__xludf.DUMMYFUNCTION("""COMPUTED_VALUE"""),45839.0)</f>
        <v>45839</v>
      </c>
      <c r="K127" s="3" t="str">
        <f>IFERROR(__xludf.DUMMYFUNCTION("""COMPUTED_VALUE"""),"1400-2200")</f>
        <v>1400-2200</v>
      </c>
      <c r="L127" s="3">
        <f>IFERROR(__xludf.DUMMYFUNCTION("""COMPUTED_VALUE"""),8.0)</f>
        <v>8</v>
      </c>
      <c r="M127" s="3" t="str">
        <f>IFERROR(__xludf.DUMMYFUNCTION("""COMPUTED_VALUE"""),"ร.อ.อนุชิต ทำจะดี")</f>
        <v>ร.อ.อนุชิต ทำจะดี</v>
      </c>
      <c r="N127" s="14" t="str">
        <f>IFERROR(__xludf.DUMMYFUNCTION("""COMPUTED_VALUE"""),"https://lh5.googleusercontent.com/d/1sfKzz0me-cKCKyW9JBqhSjZluNjMXu7B")</f>
        <v>https://lh5.googleusercontent.com/d/1sfKzz0me-cKCKyW9JBqhSjZluNjMXu7B</v>
      </c>
      <c r="O127" s="14" t="str">
        <f>IFERROR(__xludf.DUMMYFUNCTION("""COMPUTED_VALUE"""),"https://drive.google.com/file/d/1DVkavC91H0nAUbeXxAPXm0b0CupY1gQu/view?usp=drivesdk")</f>
        <v>https://drive.google.com/file/d/1DVkavC91H0nAUbeXxAPXm0b0CupY1gQu/view?usp=drivesdk</v>
      </c>
    </row>
    <row r="128">
      <c r="A128" s="3">
        <f>IFERROR(__xludf.DUMMYFUNCTION("""COMPUTED_VALUE"""),382.0)</f>
        <v>382</v>
      </c>
      <c r="B128" s="11">
        <f>IFERROR(__xludf.DUMMYFUNCTION("""COMPUTED_VALUE"""),45988.60008350695)</f>
        <v>45988.60008</v>
      </c>
      <c r="C128" s="3" t="str">
        <f>IFERROR(__xludf.DUMMYFUNCTION("""COMPUTED_VALUE"""),"ชั้นปีที่ 2")</f>
        <v>ชั้นปีที่ 2</v>
      </c>
      <c r="D128" s="3" t="str">
        <f>IFERROR(__xludf.DUMMYFUNCTION("""COMPUTED_VALUE"""),"6703872")</f>
        <v>6703872</v>
      </c>
      <c r="E128" s="3" t="str">
        <f>IFERROR(__xludf.DUMMYFUNCTION("""COMPUTED_VALUE"""),"53")</f>
        <v>53</v>
      </c>
      <c r="F128" s="3" t="str">
        <f>IFERROR(__xludf.DUMMYFUNCTION("""COMPUTED_VALUE"""),"นพอ.ศลิษา สุริยผัส")</f>
        <v>นพอ.ศลิษา สุริยผัส</v>
      </c>
      <c r="G1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8" s="3" t="str">
        <f>IFERROR(__xludf.DUMMYFUNCTION("""COMPUTED_VALUE"""),"คอตเสิร์ตทัพฟ้าคู่ไทยเพื่อชัยพัฒนา ครั้งที่ 16")</f>
        <v>คอตเสิร์ตทัพฟ้าคู่ไทยเพื่อชัยพัฒนา ครั้งที่ 16</v>
      </c>
      <c r="I12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28" s="12">
        <f>IFERROR(__xludf.DUMMYFUNCTION("""COMPUTED_VALUE"""),45840.0)</f>
        <v>45840</v>
      </c>
      <c r="K128" s="3" t="str">
        <f>IFERROR(__xludf.DUMMYFUNCTION("""COMPUTED_VALUE"""),"1400-2200")</f>
        <v>1400-2200</v>
      </c>
      <c r="L128" s="3">
        <f>IFERROR(__xludf.DUMMYFUNCTION("""COMPUTED_VALUE"""),8.0)</f>
        <v>8</v>
      </c>
      <c r="M128" s="3" t="str">
        <f>IFERROR(__xludf.DUMMYFUNCTION("""COMPUTED_VALUE"""),"ร.อ.อนุชิต ทำจะดี")</f>
        <v>ร.อ.อนุชิต ทำจะดี</v>
      </c>
      <c r="N128" s="14" t="str">
        <f>IFERROR(__xludf.DUMMYFUNCTION("""COMPUTED_VALUE"""),"https://lh5.googleusercontent.com/d/1Rrxech3HVaFGn7CaxbjGT-SsoiTaq_wK")</f>
        <v>https://lh5.googleusercontent.com/d/1Rrxech3HVaFGn7CaxbjGT-SsoiTaq_wK</v>
      </c>
      <c r="O128" s="14" t="str">
        <f>IFERROR(__xludf.DUMMYFUNCTION("""COMPUTED_VALUE"""),"https://drive.google.com/file/d/1JI37JOlfm_WqCJ4UmEMjy9NtBb8UMILS/view?usp=drivesdk")</f>
        <v>https://drive.google.com/file/d/1JI37JOlfm_WqCJ4UmEMjy9NtBb8UMILS/view?usp=drivesdk</v>
      </c>
    </row>
    <row r="129">
      <c r="A129" s="3">
        <f>IFERROR(__xludf.DUMMYFUNCTION("""COMPUTED_VALUE"""),383.0)</f>
        <v>383</v>
      </c>
      <c r="B129" s="11">
        <f>IFERROR(__xludf.DUMMYFUNCTION("""COMPUTED_VALUE"""),45988.6160568287)</f>
        <v>45988.61606</v>
      </c>
      <c r="C129" s="3" t="str">
        <f>IFERROR(__xludf.DUMMYFUNCTION("""COMPUTED_VALUE"""),"ชั้นปีที่ 2")</f>
        <v>ชั้นปีที่ 2</v>
      </c>
      <c r="D129" s="3" t="str">
        <f>IFERROR(__xludf.DUMMYFUNCTION("""COMPUTED_VALUE"""),"6703859")</f>
        <v>6703859</v>
      </c>
      <c r="E129" s="3" t="str">
        <f>IFERROR(__xludf.DUMMYFUNCTION("""COMPUTED_VALUE"""),"41")</f>
        <v>41</v>
      </c>
      <c r="F129" s="3" t="str">
        <f>IFERROR(__xludf.DUMMYFUNCTION("""COMPUTED_VALUE"""),"นพอ.พิชญาภา ไชยพงษ์")</f>
        <v>นพอ.พิชญาภา ไชยพงษ์</v>
      </c>
      <c r="G129" s="3" t="str">
        <f>IFERROR(__xludf.DUMMYFUNCTION("""COMPUTED_VALUE"""),"ช่วยเหลืองานภายใน วพอ.")</f>
        <v>ช่วยเหลืองานภายใน วพอ.</v>
      </c>
      <c r="H129" s="3" t="str">
        <f>IFERROR(__xludf.DUMMYFUNCTION("""COMPUTED_VALUE"""),"ซ้อมงานรับขวัญสวีแด")</f>
        <v>ซ้อมงานรับขวัญสวีแด</v>
      </c>
      <c r="I129" s="3" t="str">
        <f>IFERROR(__xludf.DUMMYFUNCTION("""COMPUTED_VALUE"""),"วพอ.พอ.")</f>
        <v>วพอ.พอ.</v>
      </c>
      <c r="J129" s="12">
        <f>IFERROR(__xludf.DUMMYFUNCTION("""COMPUTED_VALUE"""),45887.0)</f>
        <v>45887</v>
      </c>
      <c r="K129" s="3" t="str">
        <f>IFERROR(__xludf.DUMMYFUNCTION("""COMPUTED_VALUE"""),"1800-2000")</f>
        <v>1800-2000</v>
      </c>
      <c r="L129" s="3">
        <f>IFERROR(__xludf.DUMMYFUNCTION("""COMPUTED_VALUE"""),2.0)</f>
        <v>2</v>
      </c>
      <c r="M129" s="3" t="str">
        <f>IFERROR(__xludf.DUMMYFUNCTION("""COMPUTED_VALUE"""),"ร.อ.หญิง ขนัฏฐา นาดี")</f>
        <v>ร.อ.หญิง ขนัฏฐา นาดี</v>
      </c>
      <c r="N129" s="14" t="str">
        <f>IFERROR(__xludf.DUMMYFUNCTION("""COMPUTED_VALUE"""),"https://lh5.googleusercontent.com/d/1aSGhX9KtXGJosCDjwVar-VLWZuO9DRGe")</f>
        <v>https://lh5.googleusercontent.com/d/1aSGhX9KtXGJosCDjwVar-VLWZuO9DRGe</v>
      </c>
      <c r="O129" s="14" t="str">
        <f>IFERROR(__xludf.DUMMYFUNCTION("""COMPUTED_VALUE"""),"https://drive.google.com/file/d/1sIo0-3CJiwQ0m2YyjBboDB1HFDE7YKXn/view?usp=drivesdk")</f>
        <v>https://drive.google.com/file/d/1sIo0-3CJiwQ0m2YyjBboDB1HFDE7YKXn/view?usp=drivesdk</v>
      </c>
    </row>
    <row r="130">
      <c r="A130" s="3">
        <f>IFERROR(__xludf.DUMMYFUNCTION("""COMPUTED_VALUE"""),384.0)</f>
        <v>384</v>
      </c>
      <c r="B130" s="11">
        <f>IFERROR(__xludf.DUMMYFUNCTION("""COMPUTED_VALUE"""),45988.62264652778)</f>
        <v>45988.62265</v>
      </c>
      <c r="C130" s="3" t="str">
        <f>IFERROR(__xludf.DUMMYFUNCTION("""COMPUTED_VALUE"""),"ชั้นปีที่ 2")</f>
        <v>ชั้นปีที่ 2</v>
      </c>
      <c r="D130" s="3" t="str">
        <f>IFERROR(__xludf.DUMMYFUNCTION("""COMPUTED_VALUE"""),"6703846")</f>
        <v>6703846</v>
      </c>
      <c r="E130" s="3" t="str">
        <f>IFERROR(__xludf.DUMMYFUNCTION("""COMPUTED_VALUE"""),"28")</f>
        <v>28</v>
      </c>
      <c r="F130" s="3" t="str">
        <f>IFERROR(__xludf.DUMMYFUNCTION("""COMPUTED_VALUE"""),"นพอ.นัฐพร บูรพันธ์")</f>
        <v>นพอ.นัฐพร บูรพันธ์</v>
      </c>
      <c r="G13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0" s="3" t="str">
        <f>IFERROR(__xludf.DUMMYFUNCTION("""COMPUTED_VALUE"""),"คอนเสิร์ตทัฟฟ้าคู่ไทยเพื่อชัยพัฒนาครั้งที่ 16")</f>
        <v>คอนเสิร์ตทัฟฟ้าคู่ไทยเพื่อชัยพัฒนาครั้งที่ 16</v>
      </c>
      <c r="I13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30" s="12">
        <f>IFERROR(__xludf.DUMMYFUNCTION("""COMPUTED_VALUE"""),45839.0)</f>
        <v>45839</v>
      </c>
      <c r="K130" s="3" t="str">
        <f>IFERROR(__xludf.DUMMYFUNCTION("""COMPUTED_VALUE"""),"1400-2200")</f>
        <v>1400-2200</v>
      </c>
      <c r="L130" s="3">
        <f>IFERROR(__xludf.DUMMYFUNCTION("""COMPUTED_VALUE"""),8.0)</f>
        <v>8</v>
      </c>
      <c r="M130" s="3" t="str">
        <f>IFERROR(__xludf.DUMMYFUNCTION("""COMPUTED_VALUE"""),"ร.อ.อนุชิต ทำจะดี")</f>
        <v>ร.อ.อนุชิต ทำจะดี</v>
      </c>
      <c r="N130" s="14" t="str">
        <f>IFERROR(__xludf.DUMMYFUNCTION("""COMPUTED_VALUE"""),"https://lh5.googleusercontent.com/d/1xNiipbcM52RIhc5VzhO4tbHgIhC5O3Zn")</f>
        <v>https://lh5.googleusercontent.com/d/1xNiipbcM52RIhc5VzhO4tbHgIhC5O3Zn</v>
      </c>
      <c r="O130" s="14" t="str">
        <f>IFERROR(__xludf.DUMMYFUNCTION("""COMPUTED_VALUE"""),"https://drive.google.com/file/d/1iKkcmHHeldIbU5Sv_JB3QGXxnBSvLjxo/view?usp=drivesdk")</f>
        <v>https://drive.google.com/file/d/1iKkcmHHeldIbU5Sv_JB3QGXxnBSvLjxo/view?usp=drivesdk</v>
      </c>
    </row>
    <row r="131">
      <c r="A131" s="3">
        <f>IFERROR(__xludf.DUMMYFUNCTION("""COMPUTED_VALUE"""),387.0)</f>
        <v>387</v>
      </c>
      <c r="B131" s="11">
        <f>IFERROR(__xludf.DUMMYFUNCTION("""COMPUTED_VALUE"""),45988.63712557871)</f>
        <v>45988.63713</v>
      </c>
      <c r="C131" s="3" t="str">
        <f>IFERROR(__xludf.DUMMYFUNCTION("""COMPUTED_VALUE"""),"ชั้นปีที่ 2")</f>
        <v>ชั้นปีที่ 2</v>
      </c>
      <c r="D131" s="3" t="str">
        <f>IFERROR(__xludf.DUMMYFUNCTION("""COMPUTED_VALUE"""),"6703872")</f>
        <v>6703872</v>
      </c>
      <c r="E131" s="3" t="str">
        <f>IFERROR(__xludf.DUMMYFUNCTION("""COMPUTED_VALUE"""),"53")</f>
        <v>53</v>
      </c>
      <c r="F131" s="3" t="str">
        <f>IFERROR(__xludf.DUMMYFUNCTION("""COMPUTED_VALUE"""),"นพอ.ศลิษา สุริยผัส")</f>
        <v>นพอ.ศลิษา สุริยผัส</v>
      </c>
      <c r="G1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1" s="3" t="str">
        <f>IFERROR(__xludf.DUMMYFUNCTION("""COMPUTED_VALUE"""),"ค่ายอบรมเยาวชนพัฒนา")</f>
        <v>ค่ายอบรมเยาวชนพัฒนา</v>
      </c>
      <c r="I131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31" s="12">
        <f>IFERROR(__xludf.DUMMYFUNCTION("""COMPUTED_VALUE"""),45884.0)</f>
        <v>45884</v>
      </c>
      <c r="K131" s="3" t="str">
        <f>IFERROR(__xludf.DUMMYFUNCTION("""COMPUTED_VALUE"""),"1800-2200")</f>
        <v>1800-2200</v>
      </c>
      <c r="L131" s="3">
        <f>IFERROR(__xludf.DUMMYFUNCTION("""COMPUTED_VALUE"""),4.0)</f>
        <v>4</v>
      </c>
      <c r="M13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1" s="14" t="str">
        <f>IFERROR(__xludf.DUMMYFUNCTION("""COMPUTED_VALUE"""),"https://lh5.googleusercontent.com/d/1ISVhnz9b-qVw4Bw-KiK6C7KOlNeIDy21")</f>
        <v>https://lh5.googleusercontent.com/d/1ISVhnz9b-qVw4Bw-KiK6C7KOlNeIDy21</v>
      </c>
      <c r="O131" s="14" t="str">
        <f>IFERROR(__xludf.DUMMYFUNCTION("""COMPUTED_VALUE"""),"https://drive.google.com/file/d/1Ad1vrpHd2z91YekxedO0XDtbfiJT6hQk/view?usp=drivesdk")</f>
        <v>https://drive.google.com/file/d/1Ad1vrpHd2z91YekxedO0XDtbfiJT6hQk/view?usp=drivesdk</v>
      </c>
    </row>
    <row r="132">
      <c r="A132" s="3">
        <f>IFERROR(__xludf.DUMMYFUNCTION("""COMPUTED_VALUE"""),388.0)</f>
        <v>388</v>
      </c>
      <c r="B132" s="11">
        <f>IFERROR(__xludf.DUMMYFUNCTION("""COMPUTED_VALUE"""),45988.64167197916)</f>
        <v>45988.64167</v>
      </c>
      <c r="C132" s="3" t="str">
        <f>IFERROR(__xludf.DUMMYFUNCTION("""COMPUTED_VALUE"""),"ชั้นปีที่ 2")</f>
        <v>ชั้นปีที่ 2</v>
      </c>
      <c r="D132" s="3" t="str">
        <f>IFERROR(__xludf.DUMMYFUNCTION("""COMPUTED_VALUE"""),"6703872")</f>
        <v>6703872</v>
      </c>
      <c r="E132" s="3" t="str">
        <f>IFERROR(__xludf.DUMMYFUNCTION("""COMPUTED_VALUE"""),"53")</f>
        <v>53</v>
      </c>
      <c r="F132" s="3" t="str">
        <f>IFERROR(__xludf.DUMMYFUNCTION("""COMPUTED_VALUE"""),"นพอ.ศลิษา สุริยผัส")</f>
        <v>นพอ.ศลิษา สุริยผัส</v>
      </c>
      <c r="G1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2" s="3" t="str">
        <f>IFERROR(__xludf.DUMMYFUNCTION("""COMPUTED_VALUE"""),"ค่ายอบรมเยาวชนพัฒนา")</f>
        <v>ค่ายอบรมเยาวชนพัฒนา</v>
      </c>
      <c r="I132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32" s="12">
        <f>IFERROR(__xludf.DUMMYFUNCTION("""COMPUTED_VALUE"""),45885.0)</f>
        <v>45885</v>
      </c>
      <c r="K132" s="3" t="str">
        <f>IFERROR(__xludf.DUMMYFUNCTION("""COMPUTED_VALUE"""),"0800-1600")</f>
        <v>0800-1600</v>
      </c>
      <c r="L132" s="3">
        <f>IFERROR(__xludf.DUMMYFUNCTION("""COMPUTED_VALUE"""),8.0)</f>
        <v>8</v>
      </c>
      <c r="M13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2" s="14" t="str">
        <f>IFERROR(__xludf.DUMMYFUNCTION("""COMPUTED_VALUE"""),"https://lh5.googleusercontent.com/d/1Z-DHSiMlj2p9R3UDt277NmpyO_rGtaQH")</f>
        <v>https://lh5.googleusercontent.com/d/1Z-DHSiMlj2p9R3UDt277NmpyO_rGtaQH</v>
      </c>
      <c r="O132" s="14" t="str">
        <f>IFERROR(__xludf.DUMMYFUNCTION("""COMPUTED_VALUE"""),"https://drive.google.com/file/d/1jLPY_sL7D6yLnzsWRLmziE7RO9UkPS06/view?usp=drivesdk")</f>
        <v>https://drive.google.com/file/d/1jLPY_sL7D6yLnzsWRLmziE7RO9UkPS06/view?usp=drivesdk</v>
      </c>
    </row>
    <row r="133">
      <c r="A133" s="3">
        <f>IFERROR(__xludf.DUMMYFUNCTION("""COMPUTED_VALUE"""),389.0)</f>
        <v>389</v>
      </c>
      <c r="B133" s="11">
        <f>IFERROR(__xludf.DUMMYFUNCTION("""COMPUTED_VALUE"""),45988.643084710646)</f>
        <v>45988.64308</v>
      </c>
      <c r="C133" s="3" t="str">
        <f>IFERROR(__xludf.DUMMYFUNCTION("""COMPUTED_VALUE"""),"ชั้นปีที่ 2")</f>
        <v>ชั้นปีที่ 2</v>
      </c>
      <c r="D133" s="3" t="str">
        <f>IFERROR(__xludf.DUMMYFUNCTION("""COMPUTED_VALUE"""),"6703872")</f>
        <v>6703872</v>
      </c>
      <c r="E133" s="3" t="str">
        <f>IFERROR(__xludf.DUMMYFUNCTION("""COMPUTED_VALUE"""),"53")</f>
        <v>53</v>
      </c>
      <c r="F133" s="3" t="str">
        <f>IFERROR(__xludf.DUMMYFUNCTION("""COMPUTED_VALUE"""),"นพอ.ศลิษา สุริยผัส")</f>
        <v>นพอ.ศลิษา สุริยผัส</v>
      </c>
      <c r="G13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3" s="3" t="str">
        <f>IFERROR(__xludf.DUMMYFUNCTION("""COMPUTED_VALUE"""),"ค่ายอบรมเยาวชนพัฒนา")</f>
        <v>ค่ายอบรมเยาวชนพัฒนา</v>
      </c>
      <c r="I133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133" s="12">
        <f>IFERROR(__xludf.DUMMYFUNCTION("""COMPUTED_VALUE"""),45886.0)</f>
        <v>45886</v>
      </c>
      <c r="K133" s="3" t="str">
        <f>IFERROR(__xludf.DUMMYFUNCTION("""COMPUTED_VALUE"""),"0800-1600")</f>
        <v>0800-1600</v>
      </c>
      <c r="L133" s="3">
        <f>IFERROR(__xludf.DUMMYFUNCTION("""COMPUTED_VALUE"""),8.0)</f>
        <v>8</v>
      </c>
      <c r="M13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3" s="14" t="str">
        <f>IFERROR(__xludf.DUMMYFUNCTION("""COMPUTED_VALUE"""),"https://lh5.googleusercontent.com/d/1mv2-Dpao_fzSXfNwzqPWs2a3KaoDyGxI")</f>
        <v>https://lh5.googleusercontent.com/d/1mv2-Dpao_fzSXfNwzqPWs2a3KaoDyGxI</v>
      </c>
      <c r="O133" s="14" t="str">
        <f>IFERROR(__xludf.DUMMYFUNCTION("""COMPUTED_VALUE"""),"https://drive.google.com/file/d/1NJKwM7hkvdm_moTdD8BYwSx80r5yTZtV/view?usp=drivesdk")</f>
        <v>https://drive.google.com/file/d/1NJKwM7hkvdm_moTdD8BYwSx80r5yTZtV/view?usp=drivesdk</v>
      </c>
    </row>
    <row r="134">
      <c r="A134" s="3">
        <f>IFERROR(__xludf.DUMMYFUNCTION("""COMPUTED_VALUE"""),390.0)</f>
        <v>390</v>
      </c>
      <c r="B134" s="11">
        <f>IFERROR(__xludf.DUMMYFUNCTION("""COMPUTED_VALUE"""),45988.64830106481)</f>
        <v>45988.6483</v>
      </c>
      <c r="C134" s="3" t="str">
        <f>IFERROR(__xludf.DUMMYFUNCTION("""COMPUTED_VALUE"""),"ชั้นปีที่ 2")</f>
        <v>ชั้นปีที่ 2</v>
      </c>
      <c r="D134" s="3" t="str">
        <f>IFERROR(__xludf.DUMMYFUNCTION("""COMPUTED_VALUE"""),"6703872")</f>
        <v>6703872</v>
      </c>
      <c r="E134" s="3" t="str">
        <f>IFERROR(__xludf.DUMMYFUNCTION("""COMPUTED_VALUE"""),"53")</f>
        <v>53</v>
      </c>
      <c r="F134" s="3" t="str">
        <f>IFERROR(__xludf.DUMMYFUNCTION("""COMPUTED_VALUE"""),"นพอ.ศลิษา สุริยผัส")</f>
        <v>นพอ.ศลิษา สุริยผัส</v>
      </c>
      <c r="G1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4" s="3" t="str">
        <f>IFERROR(__xludf.DUMMYFUNCTION("""COMPUTED_VALUE"""),"ค่ายแนะแนวรัฐบุรุษ 2")</f>
        <v>ค่ายแนะแนวรัฐบุรุษ 2</v>
      </c>
      <c r="I134" s="3" t="str">
        <f>IFERROR(__xludf.DUMMYFUNCTION("""COMPUTED_VALUE"""),"โรงเรียนชลกันยานุกูล")</f>
        <v>โรงเรียนชลกันยานุกูล</v>
      </c>
      <c r="J134" s="12">
        <f>IFERROR(__xludf.DUMMYFUNCTION("""COMPUTED_VALUE"""),45968.0)</f>
        <v>45968</v>
      </c>
      <c r="K134" s="3" t="str">
        <f>IFERROR(__xludf.DUMMYFUNCTION("""COMPUTED_VALUE"""),"1800-2200")</f>
        <v>1800-2200</v>
      </c>
      <c r="L134" s="3">
        <f>IFERROR(__xludf.DUMMYFUNCTION("""COMPUTED_VALUE"""),4.0)</f>
        <v>4</v>
      </c>
      <c r="M13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4" s="14" t="str">
        <f>IFERROR(__xludf.DUMMYFUNCTION("""COMPUTED_VALUE"""),"https://lh5.googleusercontent.com/d/1SxgqyUu_XmFFZYgpN4QrgQKjtmJUskqs")</f>
        <v>https://lh5.googleusercontent.com/d/1SxgqyUu_XmFFZYgpN4QrgQKjtmJUskqs</v>
      </c>
      <c r="O134" s="14" t="str">
        <f>IFERROR(__xludf.DUMMYFUNCTION("""COMPUTED_VALUE"""),"https://drive.google.com/file/d/1ldDu1LxFWbyVLff3E_WJXC_Umhe0856j/view?usp=drivesdk")</f>
        <v>https://drive.google.com/file/d/1ldDu1LxFWbyVLff3E_WJXC_Umhe0856j/view?usp=drivesdk</v>
      </c>
    </row>
    <row r="135">
      <c r="A135" s="3">
        <f>IFERROR(__xludf.DUMMYFUNCTION("""COMPUTED_VALUE"""),391.0)</f>
        <v>391</v>
      </c>
      <c r="B135" s="11">
        <f>IFERROR(__xludf.DUMMYFUNCTION("""COMPUTED_VALUE"""),45988.64963790509)</f>
        <v>45988.64964</v>
      </c>
      <c r="C135" s="3" t="str">
        <f>IFERROR(__xludf.DUMMYFUNCTION("""COMPUTED_VALUE"""),"ชั้นปีที่ 2")</f>
        <v>ชั้นปีที่ 2</v>
      </c>
      <c r="D135" s="3" t="str">
        <f>IFERROR(__xludf.DUMMYFUNCTION("""COMPUTED_VALUE"""),"6703872")</f>
        <v>6703872</v>
      </c>
      <c r="E135" s="3" t="str">
        <f>IFERROR(__xludf.DUMMYFUNCTION("""COMPUTED_VALUE"""),"53")</f>
        <v>53</v>
      </c>
      <c r="F135" s="3" t="str">
        <f>IFERROR(__xludf.DUMMYFUNCTION("""COMPUTED_VALUE"""),"นพอ.ศลิษา สุริยผัส")</f>
        <v>นพอ.ศลิษา สุริยผัส</v>
      </c>
      <c r="G1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5" s="3" t="str">
        <f>IFERROR(__xludf.DUMMYFUNCTION("""COMPUTED_VALUE"""),"ค่ายแนะแนวรัฐบุรุษ 2")</f>
        <v>ค่ายแนะแนวรัฐบุรุษ 2</v>
      </c>
      <c r="I135" s="3" t="str">
        <f>IFERROR(__xludf.DUMMYFUNCTION("""COMPUTED_VALUE"""),"โรงเรียนชลกันยานุกูล จ.ชลบุรี")</f>
        <v>โรงเรียนชลกันยานุกูล จ.ชลบุรี</v>
      </c>
      <c r="J135" s="12">
        <f>IFERROR(__xludf.DUMMYFUNCTION("""COMPUTED_VALUE"""),45969.0)</f>
        <v>45969</v>
      </c>
      <c r="K135" s="3" t="str">
        <f>IFERROR(__xludf.DUMMYFUNCTION("""COMPUTED_VALUE"""),"0800-1600")</f>
        <v>0800-1600</v>
      </c>
      <c r="L135" s="3">
        <f>IFERROR(__xludf.DUMMYFUNCTION("""COMPUTED_VALUE"""),8.0)</f>
        <v>8</v>
      </c>
      <c r="M13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5" s="14" t="str">
        <f>IFERROR(__xludf.DUMMYFUNCTION("""COMPUTED_VALUE"""),"https://lh5.googleusercontent.com/d/12sVq_uU0ThbrDizaWzULHG3ZskfoGSWT")</f>
        <v>https://lh5.googleusercontent.com/d/12sVq_uU0ThbrDizaWzULHG3ZskfoGSWT</v>
      </c>
      <c r="O135" s="14" t="str">
        <f>IFERROR(__xludf.DUMMYFUNCTION("""COMPUTED_VALUE"""),"https://drive.google.com/file/d/1B0HFbLL8gPB4nlyoOhN3CsSKMkW1E3dS/view?usp=drivesdk")</f>
        <v>https://drive.google.com/file/d/1B0HFbLL8gPB4nlyoOhN3CsSKMkW1E3dS/view?usp=drivesdk</v>
      </c>
    </row>
    <row r="136">
      <c r="A136" s="3">
        <f>IFERROR(__xludf.DUMMYFUNCTION("""COMPUTED_VALUE"""),392.0)</f>
        <v>392</v>
      </c>
      <c r="B136" s="11">
        <f>IFERROR(__xludf.DUMMYFUNCTION("""COMPUTED_VALUE"""),45988.65066699074)</f>
        <v>45988.65067</v>
      </c>
      <c r="C136" s="3" t="str">
        <f>IFERROR(__xludf.DUMMYFUNCTION("""COMPUTED_VALUE"""),"ชั้นปีที่ 2")</f>
        <v>ชั้นปีที่ 2</v>
      </c>
      <c r="D136" s="3" t="str">
        <f>IFERROR(__xludf.DUMMYFUNCTION("""COMPUTED_VALUE"""),"6703872")</f>
        <v>6703872</v>
      </c>
      <c r="E136" s="3" t="str">
        <f>IFERROR(__xludf.DUMMYFUNCTION("""COMPUTED_VALUE"""),"53")</f>
        <v>53</v>
      </c>
      <c r="F136" s="3" t="str">
        <f>IFERROR(__xludf.DUMMYFUNCTION("""COMPUTED_VALUE"""),"นพอ.ศลิษา สุริยผัส")</f>
        <v>นพอ.ศลิษา สุริยผัส</v>
      </c>
      <c r="G1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6" s="3" t="str">
        <f>IFERROR(__xludf.DUMMYFUNCTION("""COMPUTED_VALUE"""),"ค่ายแนะแนวรัฐบุรุษ 2")</f>
        <v>ค่ายแนะแนวรัฐบุรุษ 2</v>
      </c>
      <c r="I136" s="3" t="str">
        <f>IFERROR(__xludf.DUMMYFUNCTION("""COMPUTED_VALUE"""),"โรงเรียนชลกันยานุกูล จ.ชลบุรี")</f>
        <v>โรงเรียนชลกันยานุกูล จ.ชลบุรี</v>
      </c>
      <c r="J136" s="12">
        <f>IFERROR(__xludf.DUMMYFUNCTION("""COMPUTED_VALUE"""),45970.0)</f>
        <v>45970</v>
      </c>
      <c r="K136" s="3" t="str">
        <f>IFERROR(__xludf.DUMMYFUNCTION("""COMPUTED_VALUE"""),"0800-1600")</f>
        <v>0800-1600</v>
      </c>
      <c r="L136" s="3">
        <f>IFERROR(__xludf.DUMMYFUNCTION("""COMPUTED_VALUE"""),8.0)</f>
        <v>8</v>
      </c>
      <c r="M13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6" s="14" t="str">
        <f>IFERROR(__xludf.DUMMYFUNCTION("""COMPUTED_VALUE"""),"https://lh5.googleusercontent.com/d/1WnMhCHTnCACz9P02DlsFd_wfeeRBlVh1")</f>
        <v>https://lh5.googleusercontent.com/d/1WnMhCHTnCACz9P02DlsFd_wfeeRBlVh1</v>
      </c>
      <c r="O136" s="14" t="str">
        <f>IFERROR(__xludf.DUMMYFUNCTION("""COMPUTED_VALUE"""),"https://drive.google.com/file/d/18TeaPDUzrLKO9E8-5Fen7ULACEzscqOf/view?usp=drivesdk")</f>
        <v>https://drive.google.com/file/d/18TeaPDUzrLKO9E8-5Fen7ULACEzscqOf/view?usp=drivesdk</v>
      </c>
    </row>
    <row r="137">
      <c r="A137" s="3">
        <f>IFERROR(__xludf.DUMMYFUNCTION("""COMPUTED_VALUE"""),393.0)</f>
        <v>393</v>
      </c>
      <c r="B137" s="11">
        <f>IFERROR(__xludf.DUMMYFUNCTION("""COMPUTED_VALUE"""),45988.652506782404)</f>
        <v>45988.65251</v>
      </c>
      <c r="C137" s="3" t="str">
        <f>IFERROR(__xludf.DUMMYFUNCTION("""COMPUTED_VALUE"""),"ชั้นปีที่ 2")</f>
        <v>ชั้นปีที่ 2</v>
      </c>
      <c r="D137" s="3" t="str">
        <f>IFERROR(__xludf.DUMMYFUNCTION("""COMPUTED_VALUE"""),"6703872")</f>
        <v>6703872</v>
      </c>
      <c r="E137" s="3" t="str">
        <f>IFERROR(__xludf.DUMMYFUNCTION("""COMPUTED_VALUE"""),"53")</f>
        <v>53</v>
      </c>
      <c r="F137" s="3" t="str">
        <f>IFERROR(__xludf.DUMMYFUNCTION("""COMPUTED_VALUE"""),"นพอ.ศลิษา สุริยผัส")</f>
        <v>นพอ.ศลิษา สุริยผัส</v>
      </c>
      <c r="G1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7" s="3" t="str">
        <f>IFERROR(__xludf.DUMMYFUNCTION("""COMPUTED_VALUE"""),"พิธีถวายพานพุ่มสักการะ เนื่องในวันพยาบาลแห่งชาติ")</f>
        <v>พิธีถวายพานพุ่มสักการะ เนื่องในวันพยาบาลแห่งชาติ</v>
      </c>
      <c r="I137" s="3" t="str">
        <f>IFERROR(__xludf.DUMMYFUNCTION("""COMPUTED_VALUE"""),"กระทรวงสาธารณสุข")</f>
        <v>กระทรวงสาธารณสุข</v>
      </c>
      <c r="J137" s="12">
        <f>IFERROR(__xludf.DUMMYFUNCTION("""COMPUTED_VALUE"""),45951.0)</f>
        <v>45951</v>
      </c>
      <c r="K137" s="3" t="str">
        <f>IFERROR(__xludf.DUMMYFUNCTION("""COMPUTED_VALUE"""),"0500-0700")</f>
        <v>0500-0700</v>
      </c>
      <c r="L137" s="3">
        <f>IFERROR(__xludf.DUMMYFUNCTION("""COMPUTED_VALUE"""),2.0)</f>
        <v>2</v>
      </c>
      <c r="M137" s="3" t="str">
        <f>IFERROR(__xludf.DUMMYFUNCTION("""COMPUTED_VALUE"""),"น.ต.ศักชัย บุญประสิทธิ์")</f>
        <v>น.ต.ศักชัย บุญประสิทธิ์</v>
      </c>
      <c r="N137" s="14" t="str">
        <f>IFERROR(__xludf.DUMMYFUNCTION("""COMPUTED_VALUE"""),"https://lh5.googleusercontent.com/d/1ZFoxIwtqrKYdY4WolPukYwiygm5AE8DN")</f>
        <v>https://lh5.googleusercontent.com/d/1ZFoxIwtqrKYdY4WolPukYwiygm5AE8DN</v>
      </c>
      <c r="O137" s="14" t="str">
        <f>IFERROR(__xludf.DUMMYFUNCTION("""COMPUTED_VALUE"""),"https://drive.google.com/file/d/1V20EZm-5tdCtoqKvbHCdW-b5ZWLR6DtM/view?usp=drivesdk")</f>
        <v>https://drive.google.com/file/d/1V20EZm-5tdCtoqKvbHCdW-b5ZWLR6DtM/view?usp=drivesdk</v>
      </c>
    </row>
    <row r="138">
      <c r="A138" s="3">
        <f>IFERROR(__xludf.DUMMYFUNCTION("""COMPUTED_VALUE"""),394.0)</f>
        <v>394</v>
      </c>
      <c r="B138" s="11">
        <f>IFERROR(__xludf.DUMMYFUNCTION("""COMPUTED_VALUE"""),45988.6539266088)</f>
        <v>45988.65393</v>
      </c>
      <c r="C138" s="3" t="str">
        <f>IFERROR(__xludf.DUMMYFUNCTION("""COMPUTED_VALUE"""),"ชั้นปีที่ 2")</f>
        <v>ชั้นปีที่ 2</v>
      </c>
      <c r="D138" s="3" t="str">
        <f>IFERROR(__xludf.DUMMYFUNCTION("""COMPUTED_VALUE"""),"6703872")</f>
        <v>6703872</v>
      </c>
      <c r="E138" s="3" t="str">
        <f>IFERROR(__xludf.DUMMYFUNCTION("""COMPUTED_VALUE"""),"53")</f>
        <v>53</v>
      </c>
      <c r="F138" s="3" t="str">
        <f>IFERROR(__xludf.DUMMYFUNCTION("""COMPUTED_VALUE"""),"นพอ.ศลิษา สุริยผัส")</f>
        <v>นพอ.ศลิษา สุริยผัส</v>
      </c>
      <c r="G138" s="3" t="str">
        <f>IFERROR(__xludf.DUMMYFUNCTION("""COMPUTED_VALUE"""),"ช่วยเหลืองานภายใน วพอ.")</f>
        <v>ช่วยเหลืองานภายใน วพอ.</v>
      </c>
      <c r="H138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38" s="3" t="str">
        <f>IFERROR(__xludf.DUMMYFUNCTION("""COMPUTED_VALUE"""),"ห้องเรียนนพอ.ชั้นปีที่ 1")</f>
        <v>ห้องเรียนนพอ.ชั้นปีที่ 1</v>
      </c>
      <c r="J138" s="12">
        <f>IFERROR(__xludf.DUMMYFUNCTION("""COMPUTED_VALUE"""),45985.0)</f>
        <v>45985</v>
      </c>
      <c r="K138" s="3" t="str">
        <f>IFERROR(__xludf.DUMMYFUNCTION("""COMPUTED_VALUE"""),"1000-1800")</f>
        <v>1000-1800</v>
      </c>
      <c r="L138" s="3">
        <f>IFERROR(__xludf.DUMMYFUNCTION("""COMPUTED_VALUE"""),8.0)</f>
        <v>8</v>
      </c>
      <c r="M138" s="3" t="str">
        <f>IFERROR(__xludf.DUMMYFUNCTION("""COMPUTED_VALUE"""),"ร.ท.เรวัติ วัชรสิทธิ์")</f>
        <v>ร.ท.เรวัติ วัชรสิทธิ์</v>
      </c>
      <c r="N138" s="14" t="str">
        <f>IFERROR(__xludf.DUMMYFUNCTION("""COMPUTED_VALUE"""),"https://lh5.googleusercontent.com/d/1roKTWIXFAw__4Mt4zpF0BepBnxbl-Vgj")</f>
        <v>https://lh5.googleusercontent.com/d/1roKTWIXFAw__4Mt4zpF0BepBnxbl-Vgj</v>
      </c>
      <c r="O138" s="14" t="str">
        <f>IFERROR(__xludf.DUMMYFUNCTION("""COMPUTED_VALUE"""),"https://drive.google.com/file/d/1QAmjWTZ-6cEbqXPfV5UowvSZsW6RT3sM/view?usp=drivesdk")</f>
        <v>https://drive.google.com/file/d/1QAmjWTZ-6cEbqXPfV5UowvSZsW6RT3sM/view?usp=drivesdk</v>
      </c>
    </row>
    <row r="139">
      <c r="A139" s="3">
        <f>IFERROR(__xludf.DUMMYFUNCTION("""COMPUTED_VALUE"""),398.0)</f>
        <v>398</v>
      </c>
      <c r="B139" s="11">
        <f>IFERROR(__xludf.DUMMYFUNCTION("""COMPUTED_VALUE"""),45988.896148321764)</f>
        <v>45988.89615</v>
      </c>
      <c r="C139" s="3" t="str">
        <f>IFERROR(__xludf.DUMMYFUNCTION("""COMPUTED_VALUE"""),"ชั้นปีที่ 2")</f>
        <v>ชั้นปีที่ 2</v>
      </c>
      <c r="D139" s="3" t="str">
        <f>IFERROR(__xludf.DUMMYFUNCTION("""COMPUTED_VALUE"""),"6703848")</f>
        <v>6703848</v>
      </c>
      <c r="E139" s="3" t="str">
        <f>IFERROR(__xludf.DUMMYFUNCTION("""COMPUTED_VALUE"""),"30")</f>
        <v>30</v>
      </c>
      <c r="F139" s="3" t="str">
        <f>IFERROR(__xludf.DUMMYFUNCTION("""COMPUTED_VALUE"""),"นพอ.บุญสิตา สุสี")</f>
        <v>นพอ.บุญสิตา สุสี</v>
      </c>
      <c r="G1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9" s="3" t="str">
        <f>IFERROR(__xludf.DUMMYFUNCTION("""COMPUTED_VALUE"""),"สัมนาสื่อสร้างสรรค์เสริมพลังการสื่อสารพัฒนาสังคม")</f>
        <v>สัมนาสื่อสร้างสรรค์เสริมพลังการสื่อสารพัฒนาสังคม</v>
      </c>
      <c r="I139" s="3" t="str">
        <f>IFERROR(__xludf.DUMMYFUNCTION("""COMPUTED_VALUE"""),"บริษัท SCG")</f>
        <v>บริษัท SCG</v>
      </c>
      <c r="J139" s="12">
        <f>IFERROR(__xludf.DUMMYFUNCTION("""COMPUTED_VALUE"""),45955.0)</f>
        <v>45955</v>
      </c>
      <c r="K139" s="3" t="str">
        <f>IFERROR(__xludf.DUMMYFUNCTION("""COMPUTED_VALUE"""),"0730-1230")</f>
        <v>0730-1230</v>
      </c>
      <c r="L139" s="3">
        <f>IFERROR(__xludf.DUMMYFUNCTION("""COMPUTED_VALUE"""),5.0)</f>
        <v>5</v>
      </c>
      <c r="M139" s="3" t="str">
        <f>IFERROR(__xludf.DUMMYFUNCTION("""COMPUTED_VALUE"""),"น.ท.หญิง ฤทัยวรรณ นวมพันธ์")</f>
        <v>น.ท.หญิง ฤทัยวรรณ นวมพันธ์</v>
      </c>
      <c r="N139" s="14" t="str">
        <f>IFERROR(__xludf.DUMMYFUNCTION("""COMPUTED_VALUE"""),"https://lh5.googleusercontent.com/d/1adXtDlMchO1knw96_E1Co-dZD5TWTdlC")</f>
        <v>https://lh5.googleusercontent.com/d/1adXtDlMchO1knw96_E1Co-dZD5TWTdlC</v>
      </c>
      <c r="O139" s="14" t="str">
        <f>IFERROR(__xludf.DUMMYFUNCTION("""COMPUTED_VALUE"""),"https://drive.google.com/file/d/1QrjiYmELmYlLJvlQoQPKvh-yiK6S8GSS/view?usp=drivesdk")</f>
        <v>https://drive.google.com/file/d/1QrjiYmELmYlLJvlQoQPKvh-yiK6S8GSS/view?usp=drivesdk</v>
      </c>
    </row>
    <row r="140">
      <c r="A140" s="3">
        <f>IFERROR(__xludf.DUMMYFUNCTION("""COMPUTED_VALUE"""),399.0)</f>
        <v>399</v>
      </c>
      <c r="B140" s="11">
        <f>IFERROR(__xludf.DUMMYFUNCTION("""COMPUTED_VALUE"""),45988.89970780092)</f>
        <v>45988.89971</v>
      </c>
      <c r="C140" s="3" t="str">
        <f>IFERROR(__xludf.DUMMYFUNCTION("""COMPUTED_VALUE"""),"ชั้นปีที่ 2")</f>
        <v>ชั้นปีที่ 2</v>
      </c>
      <c r="D140" s="3" t="str">
        <f>IFERROR(__xludf.DUMMYFUNCTION("""COMPUTED_VALUE"""),"6703842")</f>
        <v>6703842</v>
      </c>
      <c r="E140" s="3" t="str">
        <f>IFERROR(__xludf.DUMMYFUNCTION("""COMPUTED_VALUE"""),"24")</f>
        <v>24</v>
      </c>
      <c r="F140" s="3" t="str">
        <f>IFERROR(__xludf.DUMMYFUNCTION("""COMPUTED_VALUE"""),"นพอ.ธัญชนก ธนะกองแก้ว")</f>
        <v>นพอ.ธัญชนก ธนะกองแก้ว</v>
      </c>
      <c r="G140" s="3" t="str">
        <f>IFERROR(__xludf.DUMMYFUNCTION("""COMPUTED_VALUE"""),"ช่วยเหลืองานภายใน วพอ.")</f>
        <v>ช่วยเหลืองานภายใน วพอ.</v>
      </c>
      <c r="H140" s="3" t="str">
        <f>IFERROR(__xludf.DUMMYFUNCTION("""COMPUTED_VALUE"""),"ช่วยงาน อนศ. จัดระเบียบชั้นเก็บของในห้องพักผ่อนนพอ.")</f>
        <v>ช่วยงาน อนศ. จัดระเบียบชั้นเก็บของในห้องพักผ่อนนพอ.</v>
      </c>
      <c r="I140" s="3" t="str">
        <f>IFERROR(__xludf.DUMMYFUNCTION("""COMPUTED_VALUE"""),"วพอ.พอ")</f>
        <v>วพอ.พอ</v>
      </c>
      <c r="J140" s="12">
        <f>IFERROR(__xludf.DUMMYFUNCTION("""COMPUTED_VALUE"""),45875.0)</f>
        <v>45875</v>
      </c>
      <c r="K140" s="3" t="str">
        <f>IFERROR(__xludf.DUMMYFUNCTION("""COMPUTED_VALUE"""),"0700-1300")</f>
        <v>0700-1300</v>
      </c>
      <c r="L140" s="3">
        <f>IFERROR(__xludf.DUMMYFUNCTION("""COMPUTED_VALUE"""),6.0)</f>
        <v>6</v>
      </c>
      <c r="M140" s="3" t="str">
        <f>IFERROR(__xludf.DUMMYFUNCTION("""COMPUTED_VALUE"""),"จ.อ.หญิง ปทิตตา สุขจิตเวชธาดา")</f>
        <v>จ.อ.หญิง ปทิตตา สุขจิตเวชธาดา</v>
      </c>
      <c r="N140" s="14" t="str">
        <f>IFERROR(__xludf.DUMMYFUNCTION("""COMPUTED_VALUE"""),"https://lh5.googleusercontent.com/d/15ozbSqtAVMftHTcR0qJhTVKiFhPNdo_P")</f>
        <v>https://lh5.googleusercontent.com/d/15ozbSqtAVMftHTcR0qJhTVKiFhPNdo_P</v>
      </c>
      <c r="O140" s="14" t="str">
        <f>IFERROR(__xludf.DUMMYFUNCTION("""COMPUTED_VALUE"""),"https://drive.google.com/file/d/1cahhGNB5lZ-wNU9y-ihpqWDgRKbH2kBm/view?usp=drivesdk")</f>
        <v>https://drive.google.com/file/d/1cahhGNB5lZ-wNU9y-ihpqWDgRKbH2kBm/view?usp=drivesdk</v>
      </c>
    </row>
    <row r="141">
      <c r="A141" s="3">
        <f>IFERROR(__xludf.DUMMYFUNCTION("""COMPUTED_VALUE"""),401.0)</f>
        <v>401</v>
      </c>
      <c r="B141" s="11">
        <f>IFERROR(__xludf.DUMMYFUNCTION("""COMPUTED_VALUE"""),45988.90037769676)</f>
        <v>45988.90038</v>
      </c>
      <c r="C141" s="3" t="str">
        <f>IFERROR(__xludf.DUMMYFUNCTION("""COMPUTED_VALUE"""),"ชั้นปีที่ 2")</f>
        <v>ชั้นปีที่ 2</v>
      </c>
      <c r="D141" s="3" t="str">
        <f>IFERROR(__xludf.DUMMYFUNCTION("""COMPUTED_VALUE"""),"6703843")</f>
        <v>6703843</v>
      </c>
      <c r="E141" s="3" t="str">
        <f>IFERROR(__xludf.DUMMYFUNCTION("""COMPUTED_VALUE"""),"25")</f>
        <v>25</v>
      </c>
      <c r="F141" s="3" t="str">
        <f>IFERROR(__xludf.DUMMYFUNCTION("""COMPUTED_VALUE"""),"นพอ.ธัญชนิต ธนะกองแก้ว")</f>
        <v>นพอ.ธัญชนิต ธนะกองแก้ว</v>
      </c>
      <c r="G141" s="3" t="str">
        <f>IFERROR(__xludf.DUMMYFUNCTION("""COMPUTED_VALUE"""),"ช่วยเหลืองานภายใน วพอ.")</f>
        <v>ช่วยเหลืองานภายใน วพอ.</v>
      </c>
      <c r="H141" s="3" t="str">
        <f>IFERROR(__xludf.DUMMYFUNCTION("""COMPUTED_VALUE"""),"ช่วยงาน อนศ. ")</f>
        <v>ช่วยงาน อนศ. </v>
      </c>
      <c r="I141" s="3" t="str">
        <f>IFERROR(__xludf.DUMMYFUNCTION("""COMPUTED_VALUE"""),"อนศ. วพอ.พอ.")</f>
        <v>อนศ. วพอ.พอ.</v>
      </c>
      <c r="J141" s="12">
        <f>IFERROR(__xludf.DUMMYFUNCTION("""COMPUTED_VALUE"""),45875.0)</f>
        <v>45875</v>
      </c>
      <c r="K141" s="3" t="str">
        <f>IFERROR(__xludf.DUMMYFUNCTION("""COMPUTED_VALUE"""),"0700-1300")</f>
        <v>0700-1300</v>
      </c>
      <c r="L141" s="3">
        <f>IFERROR(__xludf.DUMMYFUNCTION("""COMPUTED_VALUE"""),6.0)</f>
        <v>6</v>
      </c>
      <c r="M141" s="3" t="str">
        <f>IFERROR(__xludf.DUMMYFUNCTION("""COMPUTED_VALUE"""),"จ.อ.หญิง ปทิตตา สุขจิตเวชธาดา")</f>
        <v>จ.อ.หญิง ปทิตตา สุขจิตเวชธาดา</v>
      </c>
      <c r="N141" s="14" t="str">
        <f>IFERROR(__xludf.DUMMYFUNCTION("""COMPUTED_VALUE"""),"https://lh5.googleusercontent.com/d/1vYVcf3Jsi8UHxYbdlo5qrw4CJzN-5jjk")</f>
        <v>https://lh5.googleusercontent.com/d/1vYVcf3Jsi8UHxYbdlo5qrw4CJzN-5jjk</v>
      </c>
      <c r="O141" s="14" t="str">
        <f>IFERROR(__xludf.DUMMYFUNCTION("""COMPUTED_VALUE"""),"https://drive.google.com/file/d/12TEWEwk-gwVVmssLZMI4TEMag0AtWv74/view?usp=drivesdk")</f>
        <v>https://drive.google.com/file/d/12TEWEwk-gwVVmssLZMI4TEMag0AtWv74/view?usp=drivesdk</v>
      </c>
    </row>
    <row r="142">
      <c r="A142" s="3">
        <f>IFERROR(__xludf.DUMMYFUNCTION("""COMPUTED_VALUE"""),402.0)</f>
        <v>402</v>
      </c>
      <c r="B142" s="11">
        <f>IFERROR(__xludf.DUMMYFUNCTION("""COMPUTED_VALUE"""),45988.9016853588)</f>
        <v>45988.90169</v>
      </c>
      <c r="C142" s="3" t="str">
        <f>IFERROR(__xludf.DUMMYFUNCTION("""COMPUTED_VALUE"""),"ชั้นปีที่ 2")</f>
        <v>ชั้นปีที่ 2</v>
      </c>
      <c r="D142" s="3" t="str">
        <f>IFERROR(__xludf.DUMMYFUNCTION("""COMPUTED_VALUE"""),"6703842")</f>
        <v>6703842</v>
      </c>
      <c r="E142" s="3" t="str">
        <f>IFERROR(__xludf.DUMMYFUNCTION("""COMPUTED_VALUE"""),"24")</f>
        <v>24</v>
      </c>
      <c r="F142" s="3" t="str">
        <f>IFERROR(__xludf.DUMMYFUNCTION("""COMPUTED_VALUE"""),"นพอ.ธัญชนก ธนะกองแก้ว")</f>
        <v>นพอ.ธัญชนก ธนะกองแก้ว</v>
      </c>
      <c r="G142" s="3" t="str">
        <f>IFERROR(__xludf.DUMMYFUNCTION("""COMPUTED_VALUE"""),"ช่วยเหลืองานภายใน วพอ.")</f>
        <v>ช่วยเหลืองานภายใน วพอ.</v>
      </c>
      <c r="H142" s="3" t="str">
        <f>IFERROR(__xludf.DUMMYFUNCTION("""COMPUTED_VALUE"""),"เข้าร่วมการฝึกการรักาาทารกแรกเกิดที่มีภาวะตัวเหลืองด้วยการส่องไฟ")</f>
        <v>เข้าร่วมการฝึกการรักาาทารกแรกเกิดที่มีภาวะตัวเหลืองด้วยการส่องไฟ</v>
      </c>
      <c r="I142" s="3" t="str">
        <f>IFERROR(__xludf.DUMMYFUNCTION("""COMPUTED_VALUE"""),"ห้องเรียนนพอ.ชั้นปีที่ 1 วพอ.พอ.")</f>
        <v>ห้องเรียนนพอ.ชั้นปีที่ 1 วพอ.พอ.</v>
      </c>
      <c r="J142" s="12">
        <f>IFERROR(__xludf.DUMMYFUNCTION("""COMPUTED_VALUE"""),45987.0)</f>
        <v>45987</v>
      </c>
      <c r="K142" s="3" t="str">
        <f>IFERROR(__xludf.DUMMYFUNCTION("""COMPUTED_VALUE"""),"100-1800")</f>
        <v>100-1800</v>
      </c>
      <c r="L142" s="3">
        <f>IFERROR(__xludf.DUMMYFUNCTION("""COMPUTED_VALUE"""),8.0)</f>
        <v>8</v>
      </c>
      <c r="M142" s="3" t="str">
        <f>IFERROR(__xludf.DUMMYFUNCTION("""COMPUTED_VALUE"""),"ร.ท.เรวัติ วัชรสิทธิ์")</f>
        <v>ร.ท.เรวัติ วัชรสิทธิ์</v>
      </c>
      <c r="N142" s="14" t="str">
        <f>IFERROR(__xludf.DUMMYFUNCTION("""COMPUTED_VALUE"""),"https://lh5.googleusercontent.com/d/1E9X1P0aU-4Z_egKlLMQxHecgS4ZrF1HA")</f>
        <v>https://lh5.googleusercontent.com/d/1E9X1P0aU-4Z_egKlLMQxHecgS4ZrF1HA</v>
      </c>
      <c r="O142" s="14" t="str">
        <f>IFERROR(__xludf.DUMMYFUNCTION("""COMPUTED_VALUE"""),"https://drive.google.com/file/d/1Jne6UCSp5il6enuK0JW7gejzeOfMIrUL/view?usp=drivesdk")</f>
        <v>https://drive.google.com/file/d/1Jne6UCSp5il6enuK0JW7gejzeOfMIrUL/view?usp=drivesdk</v>
      </c>
    </row>
    <row r="143">
      <c r="A143" s="3">
        <f>IFERROR(__xludf.DUMMYFUNCTION("""COMPUTED_VALUE"""),403.0)</f>
        <v>403</v>
      </c>
      <c r="B143" s="11">
        <f>IFERROR(__xludf.DUMMYFUNCTION("""COMPUTED_VALUE"""),45988.90351298611)</f>
        <v>45988.90351</v>
      </c>
      <c r="C143" s="3" t="str">
        <f>IFERROR(__xludf.DUMMYFUNCTION("""COMPUTED_VALUE"""),"ชั้นปีที่ 2")</f>
        <v>ชั้นปีที่ 2</v>
      </c>
      <c r="D143" s="3" t="str">
        <f>IFERROR(__xludf.DUMMYFUNCTION("""COMPUTED_VALUE"""),"6703842")</f>
        <v>6703842</v>
      </c>
      <c r="E143" s="3" t="str">
        <f>IFERROR(__xludf.DUMMYFUNCTION("""COMPUTED_VALUE"""),"24")</f>
        <v>24</v>
      </c>
      <c r="F143" s="3" t="str">
        <f>IFERROR(__xludf.DUMMYFUNCTION("""COMPUTED_VALUE"""),"นพอ.ธัญชนก ธนะกองแก้ว")</f>
        <v>นพอ.ธัญชนก ธนะกองแก้ว</v>
      </c>
      <c r="G1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3" s="3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IFERROR(__xludf.DUMMYFUNCTION("""COMPUTED_VALUE"""),"เดินรณรงค์“วันโลกรำลึกถึงผู้สูญเสียจากอุบัติเหตุทางถนน”กับพลังโรทาแรคท์")</f>
        <v>เดินรณรงค์“วันโลกรำลึกถึงผู้สูญเสียจากอุบัติเหตุทางถนน”กับพลังโรทาแรคท์</v>
      </c>
      <c r="I143" s="3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143" s="12">
        <f>IFERROR(__xludf.DUMMYFUNCTION("""COMPUTED_VALUE"""),45977.0)</f>
        <v>45977</v>
      </c>
      <c r="K143" s="3" t="str">
        <f>IFERROR(__xludf.DUMMYFUNCTION("""COMPUTED_VALUE"""),"0700-1100")</f>
        <v>0700-1100</v>
      </c>
      <c r="L143" s="3">
        <f>IFERROR(__xludf.DUMMYFUNCTION("""COMPUTED_VALUE"""),4.0)</f>
        <v>4</v>
      </c>
      <c r="M14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43" s="14" t="str">
        <f>IFERROR(__xludf.DUMMYFUNCTION("""COMPUTED_VALUE"""),"https://lh5.googleusercontent.com/d/1EWnfSRUOLKR4y6hTO_fNbhDKMZM1VHXc")</f>
        <v>https://lh5.googleusercontent.com/d/1EWnfSRUOLKR4y6hTO_fNbhDKMZM1VHXc</v>
      </c>
      <c r="O143" s="14" t="str">
        <f>IFERROR(__xludf.DUMMYFUNCTION("""COMPUTED_VALUE"""),"https://drive.google.com/file/d/1R0Kww1D2rifJMNnQIb8qhkX3Ecf1sUOA/view?usp=drivesdk")</f>
        <v>https://drive.google.com/file/d/1R0Kww1D2rifJMNnQIb8qhkX3Ecf1sUOA/view?usp=drivesdk</v>
      </c>
    </row>
    <row r="144">
      <c r="A144" s="3">
        <f>IFERROR(__xludf.DUMMYFUNCTION("""COMPUTED_VALUE"""),406.0)</f>
        <v>406</v>
      </c>
      <c r="B144" s="11">
        <f>IFERROR(__xludf.DUMMYFUNCTION("""COMPUTED_VALUE"""),45988.92207751157)</f>
        <v>45988.92208</v>
      </c>
      <c r="C144" s="3" t="str">
        <f>IFERROR(__xludf.DUMMYFUNCTION("""COMPUTED_VALUE"""),"ชั้นปีที่ 2")</f>
        <v>ชั้นปีที่ 2</v>
      </c>
      <c r="D144" s="3" t="str">
        <f>IFERROR(__xludf.DUMMYFUNCTION("""COMPUTED_VALUE"""),"6703850")</f>
        <v>6703850</v>
      </c>
      <c r="E144" s="3" t="str">
        <f>IFERROR(__xludf.DUMMYFUNCTION("""COMPUTED_VALUE"""),"32")</f>
        <v>32</v>
      </c>
      <c r="F144" s="3" t="str">
        <f>IFERROR(__xludf.DUMMYFUNCTION("""COMPUTED_VALUE"""),"นพอ.ประริชญา ประสิทธิ์พรม")</f>
        <v>นพอ.ประริชญา ประสิทธิ์พรม</v>
      </c>
      <c r="G1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4" s="3" t="str">
        <f>IFERROR(__xludf.DUMMYFUNCTION("""COMPUTED_VALUE"""),"ฟังการสัมมนาสื่อสร้างสรรค์ เสริมพลังการสื่อสาร พัฒนาสังคม")</f>
        <v>ฟังการสัมมนาสื่อสร้างสรรค์ เสริมพลังการสื่อสาร พัฒนาสังคม</v>
      </c>
      <c r="I144" s="3" t="str">
        <f>IFERROR(__xludf.DUMMYFUNCTION("""COMPUTED_VALUE"""),"อาคารอเนกประสงค์ เอสซีเจ สำนักงานใหญ่ บางซื่อ")</f>
        <v>อาคารอเนกประสงค์ เอสซีเจ สำนักงานใหญ่ บางซื่อ</v>
      </c>
      <c r="J144" s="12">
        <f>IFERROR(__xludf.DUMMYFUNCTION("""COMPUTED_VALUE"""),45955.0)</f>
        <v>45955</v>
      </c>
      <c r="K144" s="3" t="str">
        <f>IFERROR(__xludf.DUMMYFUNCTION("""COMPUTED_VALUE"""),"0730-1230")</f>
        <v>0730-1230</v>
      </c>
      <c r="L144" s="3">
        <f>IFERROR(__xludf.DUMMYFUNCTION("""COMPUTED_VALUE"""),5.0)</f>
        <v>5</v>
      </c>
      <c r="M144" s="3" t="str">
        <f>IFERROR(__xludf.DUMMYFUNCTION("""COMPUTED_VALUE"""),"น.ท.หญิง ฤทัยวรรณ นวมพันธ์")</f>
        <v>น.ท.หญิง ฤทัยวรรณ นวมพันธ์</v>
      </c>
      <c r="N144" s="14" t="str">
        <f>IFERROR(__xludf.DUMMYFUNCTION("""COMPUTED_VALUE"""),"https://lh5.googleusercontent.com/d/18L-i0s0N4Vmg--9OBn4JhQlblw7c-Fid")</f>
        <v>https://lh5.googleusercontent.com/d/18L-i0s0N4Vmg--9OBn4JhQlblw7c-Fid</v>
      </c>
      <c r="O144" s="14" t="str">
        <f>IFERROR(__xludf.DUMMYFUNCTION("""COMPUTED_VALUE"""),"https://drive.google.com/file/d/1H3wqi4jJ6g-Pe0S14wE2hCedX7UdevEp/view?usp=drivesdk")</f>
        <v>https://drive.google.com/file/d/1H3wqi4jJ6g-Pe0S14wE2hCedX7UdevEp/view?usp=drivesdk</v>
      </c>
    </row>
    <row r="145">
      <c r="A145" s="3">
        <f>IFERROR(__xludf.DUMMYFUNCTION("""COMPUTED_VALUE"""),409.0)</f>
        <v>409</v>
      </c>
      <c r="B145" s="11">
        <f>IFERROR(__xludf.DUMMYFUNCTION("""COMPUTED_VALUE"""),45988.92533493055)</f>
        <v>45988.92533</v>
      </c>
      <c r="C145" s="3" t="str">
        <f>IFERROR(__xludf.DUMMYFUNCTION("""COMPUTED_VALUE"""),"ชั้นปีที่ 2")</f>
        <v>ชั้นปีที่ 2</v>
      </c>
      <c r="D145" s="3" t="str">
        <f>IFERROR(__xludf.DUMMYFUNCTION("""COMPUTED_VALUE"""),"6703850")</f>
        <v>6703850</v>
      </c>
      <c r="E145" s="3" t="str">
        <f>IFERROR(__xludf.DUMMYFUNCTION("""COMPUTED_VALUE"""),"32")</f>
        <v>32</v>
      </c>
      <c r="F145" s="3" t="str">
        <f>IFERROR(__xludf.DUMMYFUNCTION("""COMPUTED_VALUE"""),"นพอ.ประริชญา ประสิทธิ์พรม")</f>
        <v>นพอ.ประริชญา ประสิทธิ์พรม</v>
      </c>
      <c r="G1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5" s="3" t="str">
        <f>IFERROR(__xludf.DUMMYFUNCTION("""COMPUTED_VALUE"""),"Meet The youth Hacker Thailand 2025")</f>
        <v>Meet The youth Hacker Thailand 2025</v>
      </c>
      <c r="I145" s="3" t="str">
        <f>IFERROR(__xludf.DUMMYFUNCTION("""COMPUTED_VALUE"""),"อาคาร 15 กองบัญชาการกองทัพไทย")</f>
        <v>อาคาร 15 กองบัญชาการกองทัพไทย</v>
      </c>
      <c r="J145" s="12">
        <f>IFERROR(__xludf.DUMMYFUNCTION("""COMPUTED_VALUE"""),45907.0)</f>
        <v>45907</v>
      </c>
      <c r="K145" s="3" t="str">
        <f>IFERROR(__xludf.DUMMYFUNCTION("""COMPUTED_VALUE"""),"0700-1630")</f>
        <v>0700-1630</v>
      </c>
      <c r="L145" s="3">
        <f>IFERROR(__xludf.DUMMYFUNCTION("""COMPUTED_VALUE"""),8.0)</f>
        <v>8</v>
      </c>
      <c r="M145" s="3" t="str">
        <f>IFERROR(__xludf.DUMMYFUNCTION("""COMPUTED_VALUE"""),"ร.อ.อนุชิต ทำจะดี")</f>
        <v>ร.อ.อนุชิต ทำจะดี</v>
      </c>
      <c r="N145" s="14" t="str">
        <f>IFERROR(__xludf.DUMMYFUNCTION("""COMPUTED_VALUE"""),"https://lh5.googleusercontent.com/d/1bStCedML83ypehPlnERac1aPzSAAIipi")</f>
        <v>https://lh5.googleusercontent.com/d/1bStCedML83ypehPlnERac1aPzSAAIipi</v>
      </c>
      <c r="O145" s="14" t="str">
        <f>IFERROR(__xludf.DUMMYFUNCTION("""COMPUTED_VALUE"""),"https://drive.google.com/file/d/1KdvivLwHQn0mx9sSUa_f8h2RXqZpSOsS/view?usp=drivesdk")</f>
        <v>https://drive.google.com/file/d/1KdvivLwHQn0mx9sSUa_f8h2RXqZpSOsS/view?usp=drivesdk</v>
      </c>
    </row>
    <row r="146">
      <c r="A146" s="3">
        <f>IFERROR(__xludf.DUMMYFUNCTION("""COMPUTED_VALUE"""),421.0)</f>
        <v>421</v>
      </c>
      <c r="B146" s="11">
        <f>IFERROR(__xludf.DUMMYFUNCTION("""COMPUTED_VALUE"""),45989.492465625)</f>
        <v>45989.49247</v>
      </c>
      <c r="C146" s="3" t="str">
        <f>IFERROR(__xludf.DUMMYFUNCTION("""COMPUTED_VALUE"""),"ชั้นปีที่ 2")</f>
        <v>ชั้นปีที่ 2</v>
      </c>
      <c r="D146" s="3" t="str">
        <f>IFERROR(__xludf.DUMMYFUNCTION("""COMPUTED_VALUE"""),"6703835")</f>
        <v>6703835</v>
      </c>
      <c r="E146" s="3" t="str">
        <f>IFERROR(__xludf.DUMMYFUNCTION("""COMPUTED_VALUE"""),"18")</f>
        <v>18</v>
      </c>
      <c r="F146" s="3" t="str">
        <f>IFERROR(__xludf.DUMMYFUNCTION("""COMPUTED_VALUE"""),"นพอ.ณัฐณิชา พิทักษ์สันติ")</f>
        <v>นพอ.ณัฐณิชา พิทักษ์สันติ</v>
      </c>
      <c r="G146" s="3" t="str">
        <f>IFERROR(__xludf.DUMMYFUNCTION("""COMPUTED_VALUE"""),"ช่วยเหลืองานภายใน วพอ.")</f>
        <v>ช่วยเหลืองานภายใน วพอ.</v>
      </c>
      <c r="H146" s="3" t="str">
        <f>IFERROR(__xludf.DUMMYFUNCTION("""COMPUTED_VALUE"""),"ช่วยงานห้องปฏิบัติการพยาบาล")</f>
        <v>ช่วยงานห้องปฏิบัติการพยาบาล</v>
      </c>
      <c r="I146" s="3" t="str">
        <f>IFERROR(__xludf.DUMMYFUNCTION("""COMPUTED_VALUE"""),"ห้องปฏิบัติการพยาบาล")</f>
        <v>ห้องปฏิบัติการพยาบาล</v>
      </c>
      <c r="J146" s="12">
        <f>IFERROR(__xludf.DUMMYFUNCTION("""COMPUTED_VALUE"""),45987.0)</f>
        <v>45987</v>
      </c>
      <c r="K146" s="3" t="str">
        <f>IFERROR(__xludf.DUMMYFUNCTION("""COMPUTED_VALUE"""),"1300-1500")</f>
        <v>1300-1500</v>
      </c>
      <c r="L146" s="3">
        <f>IFERROR(__xludf.DUMMYFUNCTION("""COMPUTED_VALUE"""),2.0)</f>
        <v>2</v>
      </c>
      <c r="M146" s="3" t="str">
        <f>IFERROR(__xludf.DUMMYFUNCTION("""COMPUTED_VALUE"""),"น.ต.ศักชัย บุญประสิทธิ์")</f>
        <v>น.ต.ศักชัย บุญประสิทธิ์</v>
      </c>
      <c r="N146" s="14" t="str">
        <f>IFERROR(__xludf.DUMMYFUNCTION("""COMPUTED_VALUE"""),"https://lh5.googleusercontent.com/d/1lF7PLi7sGn3J2CE11wwvhWk2QhYJpQQR")</f>
        <v>https://lh5.googleusercontent.com/d/1lF7PLi7sGn3J2CE11wwvhWk2QhYJpQQR</v>
      </c>
      <c r="O146" s="14" t="str">
        <f>IFERROR(__xludf.DUMMYFUNCTION("""COMPUTED_VALUE"""),"https://drive.google.com/file/d/1zhWCLouThwdLs4M5_IjqeC0bBAU3S7h9/view?usp=drivesdk")</f>
        <v>https://drive.google.com/file/d/1zhWCLouThwdLs4M5_IjqeC0bBAU3S7h9/view?usp=drivesdk</v>
      </c>
    </row>
    <row r="147">
      <c r="A147" s="3">
        <f>IFERROR(__xludf.DUMMYFUNCTION("""COMPUTED_VALUE"""),422.0)</f>
        <v>422</v>
      </c>
      <c r="B147" s="11">
        <f>IFERROR(__xludf.DUMMYFUNCTION("""COMPUTED_VALUE"""),45989.49461934028)</f>
        <v>45989.49462</v>
      </c>
      <c r="C147" s="3" t="str">
        <f>IFERROR(__xludf.DUMMYFUNCTION("""COMPUTED_VALUE"""),"ชั้นปีที่ 2")</f>
        <v>ชั้นปีที่ 2</v>
      </c>
      <c r="D147" s="3" t="str">
        <f>IFERROR(__xludf.DUMMYFUNCTION("""COMPUTED_VALUE"""),"6703853")</f>
        <v>6703853</v>
      </c>
      <c r="E147" s="3" t="str">
        <f>IFERROR(__xludf.DUMMYFUNCTION("""COMPUTED_VALUE"""),"35")</f>
        <v>35</v>
      </c>
      <c r="F147" s="3" t="str">
        <f>IFERROR(__xludf.DUMMYFUNCTION("""COMPUTED_VALUE"""),"นพอ.เปรมยุดา ศรีสุข")</f>
        <v>นพอ.เปรมยุดา ศรีสุข</v>
      </c>
      <c r="G1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7" s="3" t="str">
        <f>IFERROR(__xludf.DUMMYFUNCTION("""COMPUTED_VALUE""")," ซ้อมร้องประสานเสียงงานคอนเสิร์ตทัพฟ้า (กองบัญชาการกองทัพอากาศ)")</f>
        <v> ซ้อมร้องประสานเสียงงานคอนเสิร์ตทัพฟ้า (กองบัญชาการกองทัพอากาศ)</v>
      </c>
      <c r="I147" s="3" t="str">
        <f>IFERROR(__xludf.DUMMYFUNCTION("""COMPUTED_VALUE"""),"ดย.ทอ.")</f>
        <v>ดย.ทอ.</v>
      </c>
      <c r="J147" s="12">
        <f>IFERROR(__xludf.DUMMYFUNCTION("""COMPUTED_VALUE"""),45833.0)</f>
        <v>45833</v>
      </c>
      <c r="K147" s="3" t="str">
        <f>IFERROR(__xludf.DUMMYFUNCTION("""COMPUTED_VALUE"""),"0800-1600")</f>
        <v>0800-1600</v>
      </c>
      <c r="L147" s="3">
        <f>IFERROR(__xludf.DUMMYFUNCTION("""COMPUTED_VALUE"""),8.0)</f>
        <v>8</v>
      </c>
      <c r="M147" s="3" t="str">
        <f>IFERROR(__xludf.DUMMYFUNCTION("""COMPUTED_VALUE"""),"ร.อ.อนุชิต ทำจะดี")</f>
        <v>ร.อ.อนุชิต ทำจะดี</v>
      </c>
      <c r="N147" s="14" t="str">
        <f>IFERROR(__xludf.DUMMYFUNCTION("""COMPUTED_VALUE"""),"https://lh5.googleusercontent.com/d/1-fdEDyZqOWFxRw2LSPuVm2N0L3iF95DC")</f>
        <v>https://lh5.googleusercontent.com/d/1-fdEDyZqOWFxRw2LSPuVm2N0L3iF95DC</v>
      </c>
      <c r="O147" s="14" t="str">
        <f>IFERROR(__xludf.DUMMYFUNCTION("""COMPUTED_VALUE"""),"https://drive.google.com/file/d/1O_6N3NAravtPgdBMezXA8eeqSu3zaukj/view?usp=drivesdk")</f>
        <v>https://drive.google.com/file/d/1O_6N3NAravtPgdBMezXA8eeqSu3zaukj/view?usp=drivesdk</v>
      </c>
    </row>
    <row r="148">
      <c r="A148" s="3">
        <f>IFERROR(__xludf.DUMMYFUNCTION("""COMPUTED_VALUE"""),423.0)</f>
        <v>423</v>
      </c>
      <c r="B148" s="11">
        <f>IFERROR(__xludf.DUMMYFUNCTION("""COMPUTED_VALUE"""),45989.49560958334)</f>
        <v>45989.49561</v>
      </c>
      <c r="C148" s="3" t="str">
        <f>IFERROR(__xludf.DUMMYFUNCTION("""COMPUTED_VALUE"""),"ชั้นปีที่ 2")</f>
        <v>ชั้นปีที่ 2</v>
      </c>
      <c r="D148" s="3" t="str">
        <f>IFERROR(__xludf.DUMMYFUNCTION("""COMPUTED_VALUE"""),"6703835")</f>
        <v>6703835</v>
      </c>
      <c r="E148" s="3" t="str">
        <f>IFERROR(__xludf.DUMMYFUNCTION("""COMPUTED_VALUE"""),"18")</f>
        <v>18</v>
      </c>
      <c r="F148" s="3" t="str">
        <f>IFERROR(__xludf.DUMMYFUNCTION("""COMPUTED_VALUE"""),"นพอ.ณัฐณิชา พิทักษ์สันติ")</f>
        <v>นพอ.ณัฐณิชา พิทักษ์สันติ</v>
      </c>
      <c r="G148" s="3" t="str">
        <f>IFERROR(__xludf.DUMMYFUNCTION("""COMPUTED_VALUE"""),"ช่วยเหลืองานภายใน วพอ.")</f>
        <v>ช่วยเหลืองานภายใน วพอ.</v>
      </c>
      <c r="H148" s="3" t="str">
        <f>IFERROR(__xludf.DUMMYFUNCTION("""COMPUTED_VALUE"""),"ช่วยงานห้องปฏิบัติการพยาบาล")</f>
        <v>ช่วยงานห้องปฏิบัติการพยาบาล</v>
      </c>
      <c r="I148" s="3" t="str">
        <f>IFERROR(__xludf.DUMMYFUNCTION("""COMPUTED_VALUE"""),"ห้องปฏิบัติการพยาบาล")</f>
        <v>ห้องปฏิบัติการพยาบาล</v>
      </c>
      <c r="J148" s="12">
        <f>IFERROR(__xludf.DUMMYFUNCTION("""COMPUTED_VALUE"""),45989.0)</f>
        <v>45989</v>
      </c>
      <c r="K148" s="3" t="str">
        <f>IFERROR(__xludf.DUMMYFUNCTION("""COMPUTED_VALUE"""),"1000-1200")</f>
        <v>1000-1200</v>
      </c>
      <c r="L148" s="3">
        <f>IFERROR(__xludf.DUMMYFUNCTION("""COMPUTED_VALUE"""),2.0)</f>
        <v>2</v>
      </c>
      <c r="M148" s="3" t="str">
        <f>IFERROR(__xludf.DUMMYFUNCTION("""COMPUTED_VALUE"""),"น.ต.ศักชัย บุญประสิทธิ์")</f>
        <v>น.ต.ศักชัย บุญประสิทธิ์</v>
      </c>
      <c r="N148" s="14" t="str">
        <f>IFERROR(__xludf.DUMMYFUNCTION("""COMPUTED_VALUE"""),"https://lh5.googleusercontent.com/d/1sO42SmCbVHwZX1bUP-31yuyg4rqk7LsD")</f>
        <v>https://lh5.googleusercontent.com/d/1sO42SmCbVHwZX1bUP-31yuyg4rqk7LsD</v>
      </c>
      <c r="O148" s="14" t="str">
        <f>IFERROR(__xludf.DUMMYFUNCTION("""COMPUTED_VALUE"""),"https://drive.google.com/file/d/1yhd1fZeWtUxM5vM8da2nCpYYK6_sEPWs/view?usp=drivesdk")</f>
        <v>https://drive.google.com/file/d/1yhd1fZeWtUxM5vM8da2nCpYYK6_sEPWs/view?usp=drivesdk</v>
      </c>
    </row>
    <row r="149">
      <c r="A149" s="3">
        <f>IFERROR(__xludf.DUMMYFUNCTION("""COMPUTED_VALUE"""),434.0)</f>
        <v>434</v>
      </c>
      <c r="B149" s="11">
        <f>IFERROR(__xludf.DUMMYFUNCTION("""COMPUTED_VALUE"""),45989.84421502315)</f>
        <v>45989.84422</v>
      </c>
      <c r="C149" s="3" t="str">
        <f>IFERROR(__xludf.DUMMYFUNCTION("""COMPUTED_VALUE"""),"ชั้นปีที่ 2")</f>
        <v>ชั้นปีที่ 2</v>
      </c>
      <c r="D149" s="3" t="str">
        <f>IFERROR(__xludf.DUMMYFUNCTION("""COMPUTED_VALUE"""),"6703848")</f>
        <v>6703848</v>
      </c>
      <c r="E149" s="3" t="str">
        <f>IFERROR(__xludf.DUMMYFUNCTION("""COMPUTED_VALUE"""),"30")</f>
        <v>30</v>
      </c>
      <c r="F149" s="3" t="str">
        <f>IFERROR(__xludf.DUMMYFUNCTION("""COMPUTED_VALUE"""),"นพอ.บุญสิตา สุสี")</f>
        <v>นพอ.บุญสิตา สุสี</v>
      </c>
      <c r="G149" s="3" t="str">
        <f>IFERROR(__xludf.DUMMYFUNCTION("""COMPUTED_VALUE"""),"ช่วยเหลืองานภายใน วพอ.")</f>
        <v>ช่วยเหลืองานภายใน วพอ.</v>
      </c>
      <c r="H149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49" s="3" t="str">
        <f>IFERROR(__xludf.DUMMYFUNCTION("""COMPUTED_VALUE"""),"ห้องเรียนชั้นปีที่1")</f>
        <v>ห้องเรียนชั้นปีที่1</v>
      </c>
      <c r="J149" s="12">
        <f>IFERROR(__xludf.DUMMYFUNCTION("""COMPUTED_VALUE"""),45987.0)</f>
        <v>45987</v>
      </c>
      <c r="K149" s="3" t="str">
        <f>IFERROR(__xludf.DUMMYFUNCTION("""COMPUTED_VALUE"""),"1800-1900")</f>
        <v>1800-1900</v>
      </c>
      <c r="L149" s="3">
        <f>IFERROR(__xludf.DUMMYFUNCTION("""COMPUTED_VALUE"""),8.0)</f>
        <v>8</v>
      </c>
      <c r="M149" s="3" t="str">
        <f>IFERROR(__xludf.DUMMYFUNCTION("""COMPUTED_VALUE"""),"ร.ท.เรวัติ วัชรสิทธิ์")</f>
        <v>ร.ท.เรวัติ วัชรสิทธิ์</v>
      </c>
      <c r="N149" s="14" t="str">
        <f>IFERROR(__xludf.DUMMYFUNCTION("""COMPUTED_VALUE"""),"https://lh5.googleusercontent.com/d/1340uADwZN53fBb5vZU9yU6W1EUuOAFNL")</f>
        <v>https://lh5.googleusercontent.com/d/1340uADwZN53fBb5vZU9yU6W1EUuOAFNL</v>
      </c>
      <c r="O149" s="14" t="str">
        <f>IFERROR(__xludf.DUMMYFUNCTION("""COMPUTED_VALUE"""),"https://drive.google.com/file/d/1md5Y3Jf3g_kyYATqEr-qyLV2kUZsIJ9z/view?usp=drivesdk")</f>
        <v>https://drive.google.com/file/d/1md5Y3Jf3g_kyYATqEr-qyLV2kUZsIJ9z/view?usp=drivesdk</v>
      </c>
    </row>
    <row r="150">
      <c r="A150" s="3">
        <f>IFERROR(__xludf.DUMMYFUNCTION("""COMPUTED_VALUE"""),437.0)</f>
        <v>437</v>
      </c>
      <c r="B150" s="11">
        <f>IFERROR(__xludf.DUMMYFUNCTION("""COMPUTED_VALUE"""),45990.0559000463)</f>
        <v>45990.0559</v>
      </c>
      <c r="C150" s="3" t="str">
        <f>IFERROR(__xludf.DUMMYFUNCTION("""COMPUTED_VALUE"""),"ชั้นปีที่ 2")</f>
        <v>ชั้นปีที่ 2</v>
      </c>
      <c r="D150" s="3" t="str">
        <f>IFERROR(__xludf.DUMMYFUNCTION("""COMPUTED_VALUE"""),"6703843")</f>
        <v>6703843</v>
      </c>
      <c r="E150" s="3" t="str">
        <f>IFERROR(__xludf.DUMMYFUNCTION("""COMPUTED_VALUE"""),"25")</f>
        <v>25</v>
      </c>
      <c r="F150" s="3" t="str">
        <f>IFERROR(__xludf.DUMMYFUNCTION("""COMPUTED_VALUE"""),"นพอ.ธัญชนิต ธนะกองแก้ว")</f>
        <v>นพอ.ธัญชนิต ธนะกองแก้ว</v>
      </c>
      <c r="G1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0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50" s="3" t="str">
        <f>IFERROR(__xludf.DUMMYFUNCTION("""COMPUTED_VALUE"""),"อุทยานการบินกองมัพอากาศ")</f>
        <v>อุทยานการบินกองมัพอากาศ</v>
      </c>
      <c r="J150" s="12">
        <f>IFERROR(__xludf.DUMMYFUNCTION("""COMPUTED_VALUE"""),45926.0)</f>
        <v>45926</v>
      </c>
      <c r="K150" s="3" t="str">
        <f>IFERROR(__xludf.DUMMYFUNCTION("""COMPUTED_VALUE"""),"1200-1600")</f>
        <v>1200-1600</v>
      </c>
      <c r="L150" s="3">
        <f>IFERROR(__xludf.DUMMYFUNCTION("""COMPUTED_VALUE"""),4.0)</f>
        <v>4</v>
      </c>
      <c r="M150" s="3" t="str">
        <f>IFERROR(__xludf.DUMMYFUNCTION("""COMPUTED_VALUE"""),"น.ท.หญิง สิรินันท์ ชูเชิด")</f>
        <v>น.ท.หญิง สิรินันท์ ชูเชิด</v>
      </c>
      <c r="N150" s="14" t="str">
        <f>IFERROR(__xludf.DUMMYFUNCTION("""COMPUTED_VALUE"""),"https://lh5.googleusercontent.com/d/1kpVjfQU1p_46AzinGaokuMJLdSnCc3MR")</f>
        <v>https://lh5.googleusercontent.com/d/1kpVjfQU1p_46AzinGaokuMJLdSnCc3MR</v>
      </c>
      <c r="O150" s="14" t="str">
        <f>IFERROR(__xludf.DUMMYFUNCTION("""COMPUTED_VALUE"""),"https://drive.google.com/file/d/1Unk371TPaz0HhA7yYIp7FYeXgZ-FkuJ1/view?usp=drivesdk")</f>
        <v>https://drive.google.com/file/d/1Unk371TPaz0HhA7yYIp7FYeXgZ-FkuJ1/view?usp=drivesdk</v>
      </c>
    </row>
    <row r="151">
      <c r="A151" s="3">
        <f>IFERROR(__xludf.DUMMYFUNCTION("""COMPUTED_VALUE"""),438.0)</f>
        <v>438</v>
      </c>
      <c r="B151" s="11">
        <f>IFERROR(__xludf.DUMMYFUNCTION("""COMPUTED_VALUE"""),45990.0598303125)</f>
        <v>45990.05983</v>
      </c>
      <c r="C151" s="3" t="str">
        <f>IFERROR(__xludf.DUMMYFUNCTION("""COMPUTED_VALUE"""),"ชั้นปีที่ 2")</f>
        <v>ชั้นปีที่ 2</v>
      </c>
      <c r="D151" s="3" t="str">
        <f>IFERROR(__xludf.DUMMYFUNCTION("""COMPUTED_VALUE"""),"6703843")</f>
        <v>6703843</v>
      </c>
      <c r="E151" s="3" t="str">
        <f>IFERROR(__xludf.DUMMYFUNCTION("""COMPUTED_VALUE"""),"25")</f>
        <v>25</v>
      </c>
      <c r="F151" s="3" t="str">
        <f>IFERROR(__xludf.DUMMYFUNCTION("""COMPUTED_VALUE"""),"นพอ.ธัญชนิต ธนะกองแก้ว")</f>
        <v>นพอ.ธัญชนิต ธนะกองแก้ว</v>
      </c>
      <c r="G1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1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51" s="3" t="str">
        <f>IFERROR(__xludf.DUMMYFUNCTION("""COMPUTED_VALUE"""),"อุทยานการบินกองทัพอากาศ")</f>
        <v>อุทยานการบินกองทัพอากาศ</v>
      </c>
      <c r="J151" s="12">
        <f>IFERROR(__xludf.DUMMYFUNCTION("""COMPUTED_VALUE"""),45930.0)</f>
        <v>45930</v>
      </c>
      <c r="K151" s="3" t="str">
        <f>IFERROR(__xludf.DUMMYFUNCTION("""COMPUTED_VALUE"""),"1200-1600")</f>
        <v>1200-1600</v>
      </c>
      <c r="L151" s="3">
        <f>IFERROR(__xludf.DUMMYFUNCTION("""COMPUTED_VALUE"""),4.0)</f>
        <v>4</v>
      </c>
      <c r="M151" s="3" t="str">
        <f>IFERROR(__xludf.DUMMYFUNCTION("""COMPUTED_VALUE"""),"น.ท.หญิง สิรินันท์ ชูเชิด")</f>
        <v>น.ท.หญิง สิรินันท์ ชูเชิด</v>
      </c>
      <c r="N151" s="14" t="str">
        <f>IFERROR(__xludf.DUMMYFUNCTION("""COMPUTED_VALUE"""),"https://lh5.googleusercontent.com/d/10ZEOpdOi53_NaqmIGVhHDzT6tOT60ZQI")</f>
        <v>https://lh5.googleusercontent.com/d/10ZEOpdOi53_NaqmIGVhHDzT6tOT60ZQI</v>
      </c>
      <c r="O151" s="14" t="str">
        <f>IFERROR(__xludf.DUMMYFUNCTION("""COMPUTED_VALUE"""),"https://drive.google.com/file/d/1KUmaurSC8OudglWRoyyxj3NrXFknzczh/view?usp=drivesdk")</f>
        <v>https://drive.google.com/file/d/1KUmaurSC8OudglWRoyyxj3NrXFknzczh/view?usp=drivesdk</v>
      </c>
    </row>
    <row r="152">
      <c r="A152" s="3">
        <f>IFERROR(__xludf.DUMMYFUNCTION("""COMPUTED_VALUE"""),439.0)</f>
        <v>439</v>
      </c>
      <c r="B152" s="11">
        <f>IFERROR(__xludf.DUMMYFUNCTION("""COMPUTED_VALUE"""),45990.42221107639)</f>
        <v>45990.42221</v>
      </c>
      <c r="C152" s="3" t="str">
        <f>IFERROR(__xludf.DUMMYFUNCTION("""COMPUTED_VALUE"""),"ชั้นปีที่ 2")</f>
        <v>ชั้นปีที่ 2</v>
      </c>
      <c r="D152" s="3" t="str">
        <f>IFERROR(__xludf.DUMMYFUNCTION("""COMPUTED_VALUE"""),"6703854")</f>
        <v>6703854</v>
      </c>
      <c r="E152" s="3" t="str">
        <f>IFERROR(__xludf.DUMMYFUNCTION("""COMPUTED_VALUE"""),"36")</f>
        <v>36</v>
      </c>
      <c r="F152" s="3" t="str">
        <f>IFERROR(__xludf.DUMMYFUNCTION("""COMPUTED_VALUE"""),"นพอ.พชรพร เพ็งภัตรา")</f>
        <v>นพอ.พชรพร เพ็งภัตรา</v>
      </c>
      <c r="G1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2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52" s="3" t="str">
        <f>IFERROR(__xludf.DUMMYFUNCTION("""COMPUTED_VALUE"""),"อุทยานการบิน")</f>
        <v>อุทยานการบิน</v>
      </c>
      <c r="J152" s="12">
        <f>IFERROR(__xludf.DUMMYFUNCTION("""COMPUTED_VALUE"""),45930.0)</f>
        <v>45930</v>
      </c>
      <c r="K152" s="3" t="str">
        <f>IFERROR(__xludf.DUMMYFUNCTION("""COMPUTED_VALUE"""),"1200-1600")</f>
        <v>1200-1600</v>
      </c>
      <c r="L152" s="3">
        <f>IFERROR(__xludf.DUMMYFUNCTION("""COMPUTED_VALUE"""),4.0)</f>
        <v>4</v>
      </c>
      <c r="M152" s="3" t="str">
        <f>IFERROR(__xludf.DUMMYFUNCTION("""COMPUTED_VALUE"""),"น.ท.หญิง  สิรินันท์ ชูเชิด")</f>
        <v>น.ท.หญิง  สิรินันท์ ชูเชิด</v>
      </c>
      <c r="N152" s="14" t="str">
        <f>IFERROR(__xludf.DUMMYFUNCTION("""COMPUTED_VALUE"""),"https://lh5.googleusercontent.com/d/1YgGEyy2XXktxlRC0tvJ9wJhnAvKRfQNX")</f>
        <v>https://lh5.googleusercontent.com/d/1YgGEyy2XXktxlRC0tvJ9wJhnAvKRfQNX</v>
      </c>
      <c r="O152" s="14" t="str">
        <f>IFERROR(__xludf.DUMMYFUNCTION("""COMPUTED_VALUE"""),"https://drive.google.com/file/d/1Q3VF6NLjOliftnzfWUZ7TFeQIixXSi9_/view?usp=drivesdk")</f>
        <v>https://drive.google.com/file/d/1Q3VF6NLjOliftnzfWUZ7TFeQIixXSi9_/view?usp=drivesdk</v>
      </c>
    </row>
    <row r="153">
      <c r="A153" s="3">
        <f>IFERROR(__xludf.DUMMYFUNCTION("""COMPUTED_VALUE"""),440.0)</f>
        <v>440</v>
      </c>
      <c r="B153" s="11">
        <f>IFERROR(__xludf.DUMMYFUNCTION("""COMPUTED_VALUE"""),45990.42995564814)</f>
        <v>45990.42996</v>
      </c>
      <c r="C153" s="3" t="str">
        <f>IFERROR(__xludf.DUMMYFUNCTION("""COMPUTED_VALUE"""),"ชั้นปีที่ 2")</f>
        <v>ชั้นปีที่ 2</v>
      </c>
      <c r="D153" s="3" t="str">
        <f>IFERROR(__xludf.DUMMYFUNCTION("""COMPUTED_VALUE"""),"6703854")</f>
        <v>6703854</v>
      </c>
      <c r="E153" s="3" t="str">
        <f>IFERROR(__xludf.DUMMYFUNCTION("""COMPUTED_VALUE"""),"36")</f>
        <v>36</v>
      </c>
      <c r="F153" s="3" t="str">
        <f>IFERROR(__xludf.DUMMYFUNCTION("""COMPUTED_VALUE"""),"นพอ.พชรพร เพ็งภัตรา")</f>
        <v>นพอ.พชรพร เพ็งภัตรา</v>
      </c>
      <c r="G1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3" s="3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53" s="3" t="str">
        <f>IFERROR(__xludf.DUMMYFUNCTION("""COMPUTED_VALUE"""),"ศูนย์วัฒนธรรมแห่งชาติ")</f>
        <v>ศูนย์วัฒนธรรมแห่งชาติ</v>
      </c>
      <c r="J153" s="12">
        <f>IFERROR(__xludf.DUMMYFUNCTION("""COMPUTED_VALUE"""),45839.0)</f>
        <v>45839</v>
      </c>
      <c r="K153" s="3" t="str">
        <f>IFERROR(__xludf.DUMMYFUNCTION("""COMPUTED_VALUE"""),"1400-2200")</f>
        <v>1400-2200</v>
      </c>
      <c r="L153" s="3">
        <f>IFERROR(__xludf.DUMMYFUNCTION("""COMPUTED_VALUE"""),8.0)</f>
        <v>8</v>
      </c>
      <c r="M153" s="3" t="str">
        <f>IFERROR(__xludf.DUMMYFUNCTION("""COMPUTED_VALUE"""),"ร.อ.อนุชิต ทำจะดี")</f>
        <v>ร.อ.อนุชิต ทำจะดี</v>
      </c>
      <c r="N153" s="14" t="str">
        <f>IFERROR(__xludf.DUMMYFUNCTION("""COMPUTED_VALUE"""),"https://lh5.googleusercontent.com/d/1n0uIQFPkHwxhy-tKxT4hCxDv8eKAqmST")</f>
        <v>https://lh5.googleusercontent.com/d/1n0uIQFPkHwxhy-tKxT4hCxDv8eKAqmST</v>
      </c>
      <c r="O153" s="14" t="str">
        <f>IFERROR(__xludf.DUMMYFUNCTION("""COMPUTED_VALUE"""),"https://drive.google.com/file/d/1rrGtxo-kCxFo3WoqiJHHGB7pKCYO1Zjc/view?usp=drivesdk")</f>
        <v>https://drive.google.com/file/d/1rrGtxo-kCxFo3WoqiJHHGB7pKCYO1Zjc/view?usp=drivesdk</v>
      </c>
    </row>
    <row r="154">
      <c r="A154" s="3">
        <f>IFERROR(__xludf.DUMMYFUNCTION("""COMPUTED_VALUE"""),441.0)</f>
        <v>441</v>
      </c>
      <c r="B154" s="11">
        <f>IFERROR(__xludf.DUMMYFUNCTION("""COMPUTED_VALUE"""),45990.43688363426)</f>
        <v>45990.43688</v>
      </c>
      <c r="C154" s="3" t="str">
        <f>IFERROR(__xludf.DUMMYFUNCTION("""COMPUTED_VALUE"""),"ชั้นปีที่ 2")</f>
        <v>ชั้นปีที่ 2</v>
      </c>
      <c r="D154" s="3" t="str">
        <f>IFERROR(__xludf.DUMMYFUNCTION("""COMPUTED_VALUE"""),"6703854")</f>
        <v>6703854</v>
      </c>
      <c r="E154" s="3" t="str">
        <f>IFERROR(__xludf.DUMMYFUNCTION("""COMPUTED_VALUE"""),"36")</f>
        <v>36</v>
      </c>
      <c r="F154" s="3" t="str">
        <f>IFERROR(__xludf.DUMMYFUNCTION("""COMPUTED_VALUE"""),"นพอ.พชรพร เพ็งภัตรา")</f>
        <v>นพอ.พชรพร เพ็งภัตรา</v>
      </c>
      <c r="G1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4" s="3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54" s="3" t="str">
        <f>IFERROR(__xludf.DUMMYFUNCTION("""COMPUTED_VALUE"""),"ศูนย์วัฒนธรรมแห่งชาติ")</f>
        <v>ศูนย์วัฒนธรรมแห่งชาติ</v>
      </c>
      <c r="J154" s="12">
        <f>IFERROR(__xludf.DUMMYFUNCTION("""COMPUTED_VALUE"""),45840.0)</f>
        <v>45840</v>
      </c>
      <c r="K154" s="3" t="str">
        <f>IFERROR(__xludf.DUMMYFUNCTION("""COMPUTED_VALUE"""),"1400-2200")</f>
        <v>1400-2200</v>
      </c>
      <c r="L154" s="3">
        <f>IFERROR(__xludf.DUMMYFUNCTION("""COMPUTED_VALUE"""),8.0)</f>
        <v>8</v>
      </c>
      <c r="M154" s="3" t="str">
        <f>IFERROR(__xludf.DUMMYFUNCTION("""COMPUTED_VALUE"""),"ร.อ.อนุชิต ทำจะดี")</f>
        <v>ร.อ.อนุชิต ทำจะดี</v>
      </c>
      <c r="N154" s="14" t="str">
        <f>IFERROR(__xludf.DUMMYFUNCTION("""COMPUTED_VALUE"""),"https://lh5.googleusercontent.com/d/1qi_9Eoto5k9xoZ5k4xrzOwny8RKvrgc0")</f>
        <v>https://lh5.googleusercontent.com/d/1qi_9Eoto5k9xoZ5k4xrzOwny8RKvrgc0</v>
      </c>
      <c r="O154" s="14" t="str">
        <f>IFERROR(__xludf.DUMMYFUNCTION("""COMPUTED_VALUE"""),"https://drive.google.com/file/d/1xrZRVHM0Y41gT6i6FlfqEHC9aBzolUgT/view?usp=drivesdk")</f>
        <v>https://drive.google.com/file/d/1xrZRVHM0Y41gT6i6FlfqEHC9aBzolUgT/view?usp=drivesdk</v>
      </c>
    </row>
    <row r="155">
      <c r="A155" s="3">
        <f>IFERROR(__xludf.DUMMYFUNCTION("""COMPUTED_VALUE"""),442.0)</f>
        <v>442</v>
      </c>
      <c r="B155" s="11">
        <f>IFERROR(__xludf.DUMMYFUNCTION("""COMPUTED_VALUE"""),45990.44176869213)</f>
        <v>45990.44177</v>
      </c>
      <c r="C155" s="3" t="str">
        <f>IFERROR(__xludf.DUMMYFUNCTION("""COMPUTED_VALUE"""),"ชั้นปีที่ 2")</f>
        <v>ชั้นปีที่ 2</v>
      </c>
      <c r="D155" s="3" t="str">
        <f>IFERROR(__xludf.DUMMYFUNCTION("""COMPUTED_VALUE"""),"6703854")</f>
        <v>6703854</v>
      </c>
      <c r="E155" s="3" t="str">
        <f>IFERROR(__xludf.DUMMYFUNCTION("""COMPUTED_VALUE"""),"36")</f>
        <v>36</v>
      </c>
      <c r="F155" s="3" t="str">
        <f>IFERROR(__xludf.DUMMYFUNCTION("""COMPUTED_VALUE"""),"นพอ.พชรพร เพ็งภัตรา")</f>
        <v>นพอ.พชรพร เพ็งภัตรา</v>
      </c>
      <c r="G155" s="3" t="str">
        <f>IFERROR(__xludf.DUMMYFUNCTION("""COMPUTED_VALUE"""),"ช่วยเหลืองานภายใน วพอ.")</f>
        <v>ช่วยเหลืองานภายใน วพอ.</v>
      </c>
      <c r="H155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55" s="3" t="str">
        <f>IFERROR(__xludf.DUMMYFUNCTION("""COMPUTED_VALUE"""),"ห้องเรียน ปี1")</f>
        <v>ห้องเรียน ปี1</v>
      </c>
      <c r="J155" s="12">
        <f>IFERROR(__xludf.DUMMYFUNCTION("""COMPUTED_VALUE"""),45987.0)</f>
        <v>45987</v>
      </c>
      <c r="K155" s="3" t="str">
        <f>IFERROR(__xludf.DUMMYFUNCTION("""COMPUTED_VALUE"""),"1000-1800")</f>
        <v>1000-1800</v>
      </c>
      <c r="L155" s="3">
        <f>IFERROR(__xludf.DUMMYFUNCTION("""COMPUTED_VALUE"""),8.0)</f>
        <v>8</v>
      </c>
      <c r="M155" s="3" t="str">
        <f>IFERROR(__xludf.DUMMYFUNCTION("""COMPUTED_VALUE""")," ร.ท.เรวัติ วัชรสิทธิ์")</f>
        <v> ร.ท.เรวัติ วัชรสิทธิ์</v>
      </c>
      <c r="N155" s="14" t="str">
        <f>IFERROR(__xludf.DUMMYFUNCTION("""COMPUTED_VALUE"""),"https://lh5.googleusercontent.com/d/1QY0K6mCi0-E17q2JFLC4gb7sRsLwhL8T")</f>
        <v>https://lh5.googleusercontent.com/d/1QY0K6mCi0-E17q2JFLC4gb7sRsLwhL8T</v>
      </c>
      <c r="O155" s="14" t="str">
        <f>IFERROR(__xludf.DUMMYFUNCTION("""COMPUTED_VALUE"""),"https://drive.google.com/file/d/1vzddASGG2fjzLwgbxSY8ydSILUllZwhb/view?usp=drivesdk")</f>
        <v>https://drive.google.com/file/d/1vzddASGG2fjzLwgbxSY8ydSILUllZwhb/view?usp=drivesdk</v>
      </c>
    </row>
    <row r="156">
      <c r="A156" s="3">
        <f>IFERROR(__xludf.DUMMYFUNCTION("""COMPUTED_VALUE"""),444.0)</f>
        <v>444</v>
      </c>
      <c r="B156" s="11">
        <f>IFERROR(__xludf.DUMMYFUNCTION("""COMPUTED_VALUE"""),45990.56709857639)</f>
        <v>45990.5671</v>
      </c>
      <c r="C156" s="3" t="str">
        <f>IFERROR(__xludf.DUMMYFUNCTION("""COMPUTED_VALUE"""),"ชั้นปีที่ 2")</f>
        <v>ชั้นปีที่ 2</v>
      </c>
      <c r="D156" s="3" t="str">
        <f>IFERROR(__xludf.DUMMYFUNCTION("""COMPUTED_VALUE"""),"6703824")</f>
        <v>6703824</v>
      </c>
      <c r="E156" s="3" t="str">
        <f>IFERROR(__xludf.DUMMYFUNCTION("""COMPUTED_VALUE"""),"7")</f>
        <v>7</v>
      </c>
      <c r="F156" s="3" t="str">
        <f>IFERROR(__xludf.DUMMYFUNCTION("""COMPUTED_VALUE"""),"นพอ.จินต์จุฑา จงประเสริฐ")</f>
        <v>นพอ.จินต์จุฑา จงประเสริฐ</v>
      </c>
      <c r="G1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6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56" s="3" t="str">
        <f>IFERROR(__xludf.DUMMYFUNCTION("""COMPUTED_VALUE"""),"อุทยานการบินกองทัพอากาศ")</f>
        <v>อุทยานการบินกองทัพอากาศ</v>
      </c>
      <c r="J156" s="12">
        <f>IFERROR(__xludf.DUMMYFUNCTION("""COMPUTED_VALUE"""),45926.0)</f>
        <v>45926</v>
      </c>
      <c r="K156" s="3" t="str">
        <f>IFERROR(__xludf.DUMMYFUNCTION("""COMPUTED_VALUE"""),"1200-1600")</f>
        <v>1200-1600</v>
      </c>
      <c r="L156" s="3">
        <f>IFERROR(__xludf.DUMMYFUNCTION("""COMPUTED_VALUE"""),4.0)</f>
        <v>4</v>
      </c>
      <c r="M156" s="3" t="str">
        <f>IFERROR(__xludf.DUMMYFUNCTION("""COMPUTED_VALUE"""),"น.ท.หญิง สิรินันท์ ชูเชิด")</f>
        <v>น.ท.หญิง สิรินันท์ ชูเชิด</v>
      </c>
      <c r="N156" s="14" t="str">
        <f>IFERROR(__xludf.DUMMYFUNCTION("""COMPUTED_VALUE"""),"https://lh5.googleusercontent.com/d/1pucB0q2JWzCNhBuhaFskw7HjcDtKG202")</f>
        <v>https://lh5.googleusercontent.com/d/1pucB0q2JWzCNhBuhaFskw7HjcDtKG202</v>
      </c>
      <c r="O156" s="14" t="str">
        <f>IFERROR(__xludf.DUMMYFUNCTION("""COMPUTED_VALUE"""),"https://drive.google.com/file/d/12yOpT3Ko0pte2TIKO3ygMX7SZGN4vTQm/view?usp=drivesdk")</f>
        <v>https://drive.google.com/file/d/12yOpT3Ko0pte2TIKO3ygMX7SZGN4vTQm/view?usp=drivesdk</v>
      </c>
    </row>
    <row r="157">
      <c r="A157" s="3">
        <f>IFERROR(__xludf.DUMMYFUNCTION("""COMPUTED_VALUE"""),445.0)</f>
        <v>445</v>
      </c>
      <c r="B157" s="11">
        <f>IFERROR(__xludf.DUMMYFUNCTION("""COMPUTED_VALUE"""),45990.57098900463)</f>
        <v>45990.57099</v>
      </c>
      <c r="C157" s="3" t="str">
        <f>IFERROR(__xludf.DUMMYFUNCTION("""COMPUTED_VALUE"""),"ชั้นปีที่ 2")</f>
        <v>ชั้นปีที่ 2</v>
      </c>
      <c r="D157" s="3" t="str">
        <f>IFERROR(__xludf.DUMMYFUNCTION("""COMPUTED_VALUE"""),"6703824")</f>
        <v>6703824</v>
      </c>
      <c r="E157" s="3" t="str">
        <f>IFERROR(__xludf.DUMMYFUNCTION("""COMPUTED_VALUE"""),"7")</f>
        <v>7</v>
      </c>
      <c r="F157" s="3" t="str">
        <f>IFERROR(__xludf.DUMMYFUNCTION("""COMPUTED_VALUE"""),"นพอ.จินต์จุฑา จงประเสริฐ")</f>
        <v>นพอ.จินต์จุฑา จงประเสริฐ</v>
      </c>
      <c r="G1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7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57" s="3" t="str">
        <f>IFERROR(__xludf.DUMMYFUNCTION("""COMPUTED_VALUE"""),"อุทยานการบินกองทัพอากาศ")</f>
        <v>อุทยานการบินกองทัพอากาศ</v>
      </c>
      <c r="J157" s="12">
        <f>IFERROR(__xludf.DUMMYFUNCTION("""COMPUTED_VALUE"""),45930.0)</f>
        <v>45930</v>
      </c>
      <c r="K157" s="3" t="str">
        <f>IFERROR(__xludf.DUMMYFUNCTION("""COMPUTED_VALUE"""),"1200-1600")</f>
        <v>1200-1600</v>
      </c>
      <c r="L157" s="3">
        <f>IFERROR(__xludf.DUMMYFUNCTION("""COMPUTED_VALUE"""),4.0)</f>
        <v>4</v>
      </c>
      <c r="M157" s="3" t="str">
        <f>IFERROR(__xludf.DUMMYFUNCTION("""COMPUTED_VALUE"""),"น.ท.หญิง สิรินันท์ ชูเชิด")</f>
        <v>น.ท.หญิง สิรินันท์ ชูเชิด</v>
      </c>
      <c r="N157" s="14" t="str">
        <f>IFERROR(__xludf.DUMMYFUNCTION("""COMPUTED_VALUE"""),"https://lh5.googleusercontent.com/d/18KyBwdY2nFBkBNMUEhkKRxu7zVl42Icr")</f>
        <v>https://lh5.googleusercontent.com/d/18KyBwdY2nFBkBNMUEhkKRxu7zVl42Icr</v>
      </c>
      <c r="O157" s="14" t="str">
        <f>IFERROR(__xludf.DUMMYFUNCTION("""COMPUTED_VALUE"""),"https://drive.google.com/file/d/17DSjvdkbecLNTRJKAMhjdM03TOq8wy2b/view?usp=drivesdk")</f>
        <v>https://drive.google.com/file/d/17DSjvdkbecLNTRJKAMhjdM03TOq8wy2b/view?usp=drivesdk</v>
      </c>
    </row>
    <row r="158">
      <c r="A158" s="3">
        <f>IFERROR(__xludf.DUMMYFUNCTION("""COMPUTED_VALUE"""),447.0)</f>
        <v>447</v>
      </c>
      <c r="B158" s="11">
        <f>IFERROR(__xludf.DUMMYFUNCTION("""COMPUTED_VALUE"""),45990.60821990741)</f>
        <v>45990.60822</v>
      </c>
      <c r="C158" s="3" t="str">
        <f>IFERROR(__xludf.DUMMYFUNCTION("""COMPUTED_VALUE"""),"ชั้นปีที่ 2")</f>
        <v>ชั้นปีที่ 2</v>
      </c>
      <c r="D158" s="3" t="str">
        <f>IFERROR(__xludf.DUMMYFUNCTION("""COMPUTED_VALUE"""),"6703839")</f>
        <v>6703839</v>
      </c>
      <c r="E158" s="3" t="str">
        <f>IFERROR(__xludf.DUMMYFUNCTION("""COMPUTED_VALUE"""),"22")</f>
        <v>22</v>
      </c>
      <c r="F158" s="3" t="str">
        <f>IFERROR(__xludf.DUMMYFUNCTION("""COMPUTED_VALUE"""),"นพอ.ณัฐวรรณ เคนสุวรรณ")</f>
        <v>นพอ.ณัฐวรรณ เคนสุวรรณ</v>
      </c>
      <c r="G1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8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58" s="3" t="str">
        <f>IFERROR(__xludf.DUMMYFUNCTION("""COMPUTED_VALUE"""),"อุทยานการบินกองทัพอากาศ")</f>
        <v>อุทยานการบินกองทัพอากาศ</v>
      </c>
      <c r="J158" s="12">
        <f>IFERROR(__xludf.DUMMYFUNCTION("""COMPUTED_VALUE"""),45926.0)</f>
        <v>45926</v>
      </c>
      <c r="K158" s="3" t="str">
        <f>IFERROR(__xludf.DUMMYFUNCTION("""COMPUTED_VALUE"""),"1200-1500")</f>
        <v>1200-1500</v>
      </c>
      <c r="L158" s="3">
        <f>IFERROR(__xludf.DUMMYFUNCTION("""COMPUTED_VALUE"""),4.0)</f>
        <v>4</v>
      </c>
      <c r="M158" s="3" t="str">
        <f>IFERROR(__xludf.DUMMYFUNCTION("""COMPUTED_VALUE"""),"น.ท.หญิง สิรินันท์ ชูเชิด")</f>
        <v>น.ท.หญิง สิรินันท์ ชูเชิด</v>
      </c>
      <c r="N158" s="14" t="str">
        <f>IFERROR(__xludf.DUMMYFUNCTION("""COMPUTED_VALUE"""),"https://lh5.googleusercontent.com/d/1vmLO-amYNnSwN0X9z-VbcDS46w2G3Uuv")</f>
        <v>https://lh5.googleusercontent.com/d/1vmLO-amYNnSwN0X9z-VbcDS46w2G3Uuv</v>
      </c>
      <c r="O158" s="14" t="str">
        <f>IFERROR(__xludf.DUMMYFUNCTION("""COMPUTED_VALUE"""),"https://drive.google.com/file/d/1mA-AMzsqUR9DP7G3GuCUS0EV_J1xknPs/view?usp=drivesdk")</f>
        <v>https://drive.google.com/file/d/1mA-AMzsqUR9DP7G3GuCUS0EV_J1xknPs/view?usp=drivesdk</v>
      </c>
    </row>
    <row r="159">
      <c r="A159" s="3">
        <f>IFERROR(__xludf.DUMMYFUNCTION("""COMPUTED_VALUE"""),448.0)</f>
        <v>448</v>
      </c>
      <c r="B159" s="11">
        <f>IFERROR(__xludf.DUMMYFUNCTION("""COMPUTED_VALUE"""),45990.60984709491)</f>
        <v>45990.60985</v>
      </c>
      <c r="C159" s="3" t="str">
        <f>IFERROR(__xludf.DUMMYFUNCTION("""COMPUTED_VALUE"""),"ชั้นปีที่ 2")</f>
        <v>ชั้นปีที่ 2</v>
      </c>
      <c r="D159" s="3" t="str">
        <f>IFERROR(__xludf.DUMMYFUNCTION("""COMPUTED_VALUE"""),"6703839")</f>
        <v>6703839</v>
      </c>
      <c r="E159" s="3" t="str">
        <f>IFERROR(__xludf.DUMMYFUNCTION("""COMPUTED_VALUE"""),"22")</f>
        <v>22</v>
      </c>
      <c r="F159" s="3" t="str">
        <f>IFERROR(__xludf.DUMMYFUNCTION("""COMPUTED_VALUE"""),"นพอ.ณัฐวรรณ เคนสุวรรณ")</f>
        <v>นพอ.ณัฐวรรณ เคนสุวรรณ</v>
      </c>
      <c r="G1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9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59" s="3" t="str">
        <f>IFERROR(__xludf.DUMMYFUNCTION("""COMPUTED_VALUE"""),"อุทยานการบินกองทัพอากาศ")</f>
        <v>อุทยานการบินกองทัพอากาศ</v>
      </c>
      <c r="J159" s="12">
        <f>IFERROR(__xludf.DUMMYFUNCTION("""COMPUTED_VALUE"""),45930.0)</f>
        <v>45930</v>
      </c>
      <c r="K159" s="3" t="str">
        <f>IFERROR(__xludf.DUMMYFUNCTION("""COMPUTED_VALUE"""),"1200-1600")</f>
        <v>1200-1600</v>
      </c>
      <c r="L159" s="3">
        <f>IFERROR(__xludf.DUMMYFUNCTION("""COMPUTED_VALUE"""),4.0)</f>
        <v>4</v>
      </c>
      <c r="M159" s="3" t="str">
        <f>IFERROR(__xludf.DUMMYFUNCTION("""COMPUTED_VALUE"""),"น.ท.หญิง สิรินันท์ ชูเชิด")</f>
        <v>น.ท.หญิง สิรินันท์ ชูเชิด</v>
      </c>
      <c r="N159" s="14" t="str">
        <f>IFERROR(__xludf.DUMMYFUNCTION("""COMPUTED_VALUE"""),"https://lh5.googleusercontent.com/d/1TbAoMz5_tPEB7oSv6-rUUFaX_Pl-qV6v")</f>
        <v>https://lh5.googleusercontent.com/d/1TbAoMz5_tPEB7oSv6-rUUFaX_Pl-qV6v</v>
      </c>
      <c r="O159" s="14" t="str">
        <f>IFERROR(__xludf.DUMMYFUNCTION("""COMPUTED_VALUE"""),"https://drive.google.com/file/d/1rXnjFbVi121LLfQMyWsJLEkGR-WLz1NF/view?usp=drivesdk")</f>
        <v>https://drive.google.com/file/d/1rXnjFbVi121LLfQMyWsJLEkGR-WLz1NF/view?usp=drivesdk</v>
      </c>
    </row>
    <row r="160">
      <c r="A160" s="3">
        <f>IFERROR(__xludf.DUMMYFUNCTION("""COMPUTED_VALUE"""),450.0)</f>
        <v>450</v>
      </c>
      <c r="B160" s="11">
        <f>IFERROR(__xludf.DUMMYFUNCTION("""COMPUTED_VALUE"""),45990.6921158912)</f>
        <v>45990.69212</v>
      </c>
      <c r="C160" s="3" t="str">
        <f>IFERROR(__xludf.DUMMYFUNCTION("""COMPUTED_VALUE"""),"ชั้นปีที่ 2")</f>
        <v>ชั้นปีที่ 2</v>
      </c>
      <c r="D160" s="3" t="str">
        <f>IFERROR(__xludf.DUMMYFUNCTION("""COMPUTED_VALUE"""),"6703822")</f>
        <v>6703822</v>
      </c>
      <c r="E160" s="3" t="str">
        <f>IFERROR(__xludf.DUMMYFUNCTION("""COMPUTED_VALUE"""),"5")</f>
        <v>5</v>
      </c>
      <c r="F160" s="3" t="str">
        <f>IFERROR(__xludf.DUMMYFUNCTION("""COMPUTED_VALUE"""),"นพอ.กัณยวัลย์ เทียนบัญญัติ")</f>
        <v>นพอ.กัณยวัลย์ เทียนบัญญัติ</v>
      </c>
      <c r="G16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0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60" s="3" t="str">
        <f>IFERROR(__xludf.DUMMYFUNCTION("""COMPUTED_VALUE"""),"อุทยานการบินกองทัพอากาศ")</f>
        <v>อุทยานการบินกองทัพอากาศ</v>
      </c>
      <c r="J160" s="12">
        <f>IFERROR(__xludf.DUMMYFUNCTION("""COMPUTED_VALUE"""),45926.0)</f>
        <v>45926</v>
      </c>
      <c r="K160" s="3" t="str">
        <f>IFERROR(__xludf.DUMMYFUNCTION("""COMPUTED_VALUE"""),"1200-1600")</f>
        <v>1200-1600</v>
      </c>
      <c r="L160" s="3">
        <f>IFERROR(__xludf.DUMMYFUNCTION("""COMPUTED_VALUE"""),4.0)</f>
        <v>4</v>
      </c>
      <c r="M160" s="3" t="str">
        <f>IFERROR(__xludf.DUMMYFUNCTION("""COMPUTED_VALUE"""),"น.ท.หญิง สิรินันท์ ชูเชิด")</f>
        <v>น.ท.หญิง สิรินันท์ ชูเชิด</v>
      </c>
      <c r="N160" s="14" t="str">
        <f>IFERROR(__xludf.DUMMYFUNCTION("""COMPUTED_VALUE"""),"https://lh5.googleusercontent.com/d/1lCeFnO1VJTga-qisUh7HX7RpUJP52_pn")</f>
        <v>https://lh5.googleusercontent.com/d/1lCeFnO1VJTga-qisUh7HX7RpUJP52_pn</v>
      </c>
      <c r="O160" s="14" t="str">
        <f>IFERROR(__xludf.DUMMYFUNCTION("""COMPUTED_VALUE"""),"https://drive.google.com/file/d/1uat3Q0OveUqIU4cB-muMZ1oDFGHnNCKj/view?usp=drivesdk")</f>
        <v>https://drive.google.com/file/d/1uat3Q0OveUqIU4cB-muMZ1oDFGHnNCKj/view?usp=drivesdk</v>
      </c>
    </row>
    <row r="161">
      <c r="A161" s="3">
        <f>IFERROR(__xludf.DUMMYFUNCTION("""COMPUTED_VALUE"""),452.0)</f>
        <v>452</v>
      </c>
      <c r="B161" s="11">
        <f>IFERROR(__xludf.DUMMYFUNCTION("""COMPUTED_VALUE"""),45990.69446621528)</f>
        <v>45990.69447</v>
      </c>
      <c r="C161" s="3" t="str">
        <f>IFERROR(__xludf.DUMMYFUNCTION("""COMPUTED_VALUE"""),"ชั้นปีที่ 2")</f>
        <v>ชั้นปีที่ 2</v>
      </c>
      <c r="D161" s="3" t="str">
        <f>IFERROR(__xludf.DUMMYFUNCTION("""COMPUTED_VALUE"""),"6703822")</f>
        <v>6703822</v>
      </c>
      <c r="E161" s="3" t="str">
        <f>IFERROR(__xludf.DUMMYFUNCTION("""COMPUTED_VALUE"""),"5")</f>
        <v>5</v>
      </c>
      <c r="F161" s="3" t="str">
        <f>IFERROR(__xludf.DUMMYFUNCTION("""COMPUTED_VALUE"""),"นพอ.กัณยวัลย์ เทียนบัญญัติ")</f>
        <v>นพอ.กัณยวัลย์ เทียนบัญญัติ</v>
      </c>
      <c r="G1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1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61" s="3" t="str">
        <f>IFERROR(__xludf.DUMMYFUNCTION("""COMPUTED_VALUE"""),"อุทยานการบินกองทัพอากาศ")</f>
        <v>อุทยานการบินกองทัพอากาศ</v>
      </c>
      <c r="J161" s="12">
        <f>IFERROR(__xludf.DUMMYFUNCTION("""COMPUTED_VALUE"""),45930.0)</f>
        <v>45930</v>
      </c>
      <c r="K161" s="3" t="str">
        <f>IFERROR(__xludf.DUMMYFUNCTION("""COMPUTED_VALUE"""),"1200-1600")</f>
        <v>1200-1600</v>
      </c>
      <c r="L161" s="3">
        <f>IFERROR(__xludf.DUMMYFUNCTION("""COMPUTED_VALUE"""),4.0)</f>
        <v>4</v>
      </c>
      <c r="M161" s="3" t="str">
        <f>IFERROR(__xludf.DUMMYFUNCTION("""COMPUTED_VALUE"""),"น.ท.หญิง สิรินันท์ ชูเชิด")</f>
        <v>น.ท.หญิง สิรินันท์ ชูเชิด</v>
      </c>
      <c r="N161" s="14" t="str">
        <f>IFERROR(__xludf.DUMMYFUNCTION("""COMPUTED_VALUE"""),"https://lh5.googleusercontent.com/d/1DWWwS7e0nIF3lvvTGXx-f0kZkQUdJvRa")</f>
        <v>https://lh5.googleusercontent.com/d/1DWWwS7e0nIF3lvvTGXx-f0kZkQUdJvRa</v>
      </c>
      <c r="O161" s="14" t="str">
        <f>IFERROR(__xludf.DUMMYFUNCTION("""COMPUTED_VALUE"""),"https://drive.google.com/file/d/1YIaYzNiqo6lDrX2qwTkyQKbCpQ8PeyF8/view?usp=drivesdk")</f>
        <v>https://drive.google.com/file/d/1YIaYzNiqo6lDrX2qwTkyQKbCpQ8PeyF8/view?usp=drivesdk</v>
      </c>
    </row>
    <row r="162">
      <c r="A162" s="3">
        <f>IFERROR(__xludf.DUMMYFUNCTION("""COMPUTED_VALUE"""),453.0)</f>
        <v>453</v>
      </c>
      <c r="B162" s="11">
        <f>IFERROR(__xludf.DUMMYFUNCTION("""COMPUTED_VALUE"""),45990.6970800463)</f>
        <v>45990.69708</v>
      </c>
      <c r="C162" s="3" t="str">
        <f>IFERROR(__xludf.DUMMYFUNCTION("""COMPUTED_VALUE"""),"ชั้นปีที่ 2")</f>
        <v>ชั้นปีที่ 2</v>
      </c>
      <c r="D162" s="3" t="str">
        <f>IFERROR(__xludf.DUMMYFUNCTION("""COMPUTED_VALUE"""),"6703822")</f>
        <v>6703822</v>
      </c>
      <c r="E162" s="3" t="str">
        <f>IFERROR(__xludf.DUMMYFUNCTION("""COMPUTED_VALUE"""),"5")</f>
        <v>5</v>
      </c>
      <c r="F162" s="3" t="str">
        <f>IFERROR(__xludf.DUMMYFUNCTION("""COMPUTED_VALUE"""),"นพอ.กัณยวัลย์ เทียนบัญญัติ")</f>
        <v>นพอ.กัณยวัลย์ เทียนบัญญัติ</v>
      </c>
      <c r="G1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2" s="3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6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62" s="12">
        <f>IFERROR(__xludf.DUMMYFUNCTION("""COMPUTED_VALUE"""),45839.0)</f>
        <v>45839</v>
      </c>
      <c r="K162" s="3" t="str">
        <f>IFERROR(__xludf.DUMMYFUNCTION("""COMPUTED_VALUE"""),"1400-2200")</f>
        <v>1400-2200</v>
      </c>
      <c r="L162" s="3">
        <f>IFERROR(__xludf.DUMMYFUNCTION("""COMPUTED_VALUE"""),8.0)</f>
        <v>8</v>
      </c>
      <c r="M162" s="3" t="str">
        <f>IFERROR(__xludf.DUMMYFUNCTION("""COMPUTED_VALUE"""),"ร.อ.อนุชิต ทำจะดี")</f>
        <v>ร.อ.อนุชิต ทำจะดี</v>
      </c>
      <c r="N162" s="14" t="str">
        <f>IFERROR(__xludf.DUMMYFUNCTION("""COMPUTED_VALUE"""),"https://lh5.googleusercontent.com/d/1q-HYJqj0OXIOyLO3d0DukO6AiyjUK99g")</f>
        <v>https://lh5.googleusercontent.com/d/1q-HYJqj0OXIOyLO3d0DukO6AiyjUK99g</v>
      </c>
      <c r="O162" s="14" t="str">
        <f>IFERROR(__xludf.DUMMYFUNCTION("""COMPUTED_VALUE"""),"https://drive.google.com/file/d/11gKdIYk8Jdya-aR9CEAYWFqWVfkPLAmi/view?usp=drivesdk")</f>
        <v>https://drive.google.com/file/d/11gKdIYk8Jdya-aR9CEAYWFqWVfkPLAmi/view?usp=drivesdk</v>
      </c>
    </row>
    <row r="163">
      <c r="A163" s="3">
        <f>IFERROR(__xludf.DUMMYFUNCTION("""COMPUTED_VALUE"""),454.0)</f>
        <v>454</v>
      </c>
      <c r="B163" s="11">
        <f>IFERROR(__xludf.DUMMYFUNCTION("""COMPUTED_VALUE"""),45990.69911840278)</f>
        <v>45990.69912</v>
      </c>
      <c r="C163" s="3" t="str">
        <f>IFERROR(__xludf.DUMMYFUNCTION("""COMPUTED_VALUE"""),"ชั้นปีที่ 2")</f>
        <v>ชั้นปีที่ 2</v>
      </c>
      <c r="D163" s="3" t="str">
        <f>IFERROR(__xludf.DUMMYFUNCTION("""COMPUTED_VALUE"""),"6703822")</f>
        <v>6703822</v>
      </c>
      <c r="E163" s="3" t="str">
        <f>IFERROR(__xludf.DUMMYFUNCTION("""COMPUTED_VALUE"""),"5")</f>
        <v>5</v>
      </c>
      <c r="F163" s="3" t="str">
        <f>IFERROR(__xludf.DUMMYFUNCTION("""COMPUTED_VALUE"""),"นพอ.กัณยวัลย์ เทียนบัญญัติ")</f>
        <v>นพอ.กัณยวัลย์ เทียนบัญญัติ</v>
      </c>
      <c r="G1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3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6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63" s="12">
        <f>IFERROR(__xludf.DUMMYFUNCTION("""COMPUTED_VALUE"""),45840.0)</f>
        <v>45840</v>
      </c>
      <c r="K163" s="3" t="str">
        <f>IFERROR(__xludf.DUMMYFUNCTION("""COMPUTED_VALUE"""),"1400-2200")</f>
        <v>1400-2200</v>
      </c>
      <c r="L163" s="3">
        <f>IFERROR(__xludf.DUMMYFUNCTION("""COMPUTED_VALUE"""),8.0)</f>
        <v>8</v>
      </c>
      <c r="M163" s="3" t="str">
        <f>IFERROR(__xludf.DUMMYFUNCTION("""COMPUTED_VALUE"""),"ร.อ.อนุชิต ทำจะดี")</f>
        <v>ร.อ.อนุชิต ทำจะดี</v>
      </c>
      <c r="N163" s="14" t="str">
        <f>IFERROR(__xludf.DUMMYFUNCTION("""COMPUTED_VALUE"""),"https://lh5.googleusercontent.com/d/1t5EjYOEoDbFdvJQSKlv_onTOeYMqF-xH")</f>
        <v>https://lh5.googleusercontent.com/d/1t5EjYOEoDbFdvJQSKlv_onTOeYMqF-xH</v>
      </c>
      <c r="O163" s="14" t="str">
        <f>IFERROR(__xludf.DUMMYFUNCTION("""COMPUTED_VALUE"""),"https://drive.google.com/file/d/15rH3UoJC2-orXzB1WKzJM8lEEkSkVT3b/view?usp=drivesdk")</f>
        <v>https://drive.google.com/file/d/15rH3UoJC2-orXzB1WKzJM8lEEkSkVT3b/view?usp=drivesdk</v>
      </c>
    </row>
    <row r="164">
      <c r="A164" s="3">
        <f>IFERROR(__xludf.DUMMYFUNCTION("""COMPUTED_VALUE"""),457.0)</f>
        <v>457</v>
      </c>
      <c r="B164" s="11">
        <f>IFERROR(__xludf.DUMMYFUNCTION("""COMPUTED_VALUE"""),45990.707943287045)</f>
        <v>45990.70794</v>
      </c>
      <c r="C164" s="3" t="str">
        <f>IFERROR(__xludf.DUMMYFUNCTION("""COMPUTED_VALUE"""),"ชั้นปีที่ 2")</f>
        <v>ชั้นปีที่ 2</v>
      </c>
      <c r="D164" s="3" t="str">
        <f>IFERROR(__xludf.DUMMYFUNCTION("""COMPUTED_VALUE"""),"6703822")</f>
        <v>6703822</v>
      </c>
      <c r="E164" s="3" t="str">
        <f>IFERROR(__xludf.DUMMYFUNCTION("""COMPUTED_VALUE"""),"5")</f>
        <v>5</v>
      </c>
      <c r="F164" s="3" t="str">
        <f>IFERROR(__xludf.DUMMYFUNCTION("""COMPUTED_VALUE"""),"นพอ.กัณยวัลย์ เทียนบัญญัติ")</f>
        <v>นพอ.กัณยวัลย์ เทียนบัญญัติ</v>
      </c>
      <c r="G164" s="3" t="str">
        <f>IFERROR(__xludf.DUMMYFUNCTION("""COMPUTED_VALUE"""),"ช่วยเหลืองานภายใน วพอ.")</f>
        <v>ช่วยเหลืองานภายใน วพอ.</v>
      </c>
      <c r="H164" s="3" t="str">
        <f>IFERROR(__xludf.DUMMYFUNCTION("""COMPUTED_VALUE"""),"กิจกรรมปฐมนิเทศ นักเรียนพยาบาลทหารอากาศ ชั้นปีที่ ๑ และผู้ปกครอง ประจำปีการศึกษา ๒๕๖๘")</f>
        <v>กิจกรรมปฐมนิเทศ นักเรียนพยาบาลทหารอากาศ ชั้นปีที่ ๑ และผู้ปกครอง ประจำปีการศึกษา ๒๕๖๘</v>
      </c>
      <c r="I164" s="3" t="str">
        <f>IFERROR(__xludf.DUMMYFUNCTION("""COMPUTED_VALUE"""),"วพอ.พอ.")</f>
        <v>วพอ.พอ.</v>
      </c>
      <c r="J164" s="12">
        <f>IFERROR(__xludf.DUMMYFUNCTION("""COMPUTED_VALUE"""),45860.0)</f>
        <v>45860</v>
      </c>
      <c r="K164" s="3" t="str">
        <f>IFERROR(__xludf.DUMMYFUNCTION("""COMPUTED_VALUE"""),"0700-1500")</f>
        <v>0700-1500</v>
      </c>
      <c r="L164" s="3">
        <f>IFERROR(__xludf.DUMMYFUNCTION("""COMPUTED_VALUE"""),8.0)</f>
        <v>8</v>
      </c>
      <c r="M164" s="3" t="str">
        <f>IFERROR(__xludf.DUMMYFUNCTION("""COMPUTED_VALUE"""),"ร.อ.อนุชิต ทำจะดี")</f>
        <v>ร.อ.อนุชิต ทำจะดี</v>
      </c>
      <c r="N164" s="14" t="str">
        <f>IFERROR(__xludf.DUMMYFUNCTION("""COMPUTED_VALUE"""),"https://lh5.googleusercontent.com/d/1oUT6oTn5Cpp3HY2pdh6ZptvAjzeuVUbc")</f>
        <v>https://lh5.googleusercontent.com/d/1oUT6oTn5Cpp3HY2pdh6ZptvAjzeuVUbc</v>
      </c>
      <c r="O164" s="14" t="str">
        <f>IFERROR(__xludf.DUMMYFUNCTION("""COMPUTED_VALUE"""),"https://drive.google.com/file/d/1o8rJnGuaJ9sDSGDsFjODqScvr-dQVcVT/view?usp=drivesdk")</f>
        <v>https://drive.google.com/file/d/1o8rJnGuaJ9sDSGDsFjODqScvr-dQVcVT/view?usp=drivesdk</v>
      </c>
    </row>
    <row r="165">
      <c r="A165" s="3">
        <f>IFERROR(__xludf.DUMMYFUNCTION("""COMPUTED_VALUE"""),458.0)</f>
        <v>458</v>
      </c>
      <c r="B165" s="11">
        <f>IFERROR(__xludf.DUMMYFUNCTION("""COMPUTED_VALUE"""),45990.71325637732)</f>
        <v>45990.71326</v>
      </c>
      <c r="C165" s="3" t="str">
        <f>IFERROR(__xludf.DUMMYFUNCTION("""COMPUTED_VALUE"""),"ชั้นปีที่ 2")</f>
        <v>ชั้นปีที่ 2</v>
      </c>
      <c r="D165" s="3" t="str">
        <f>IFERROR(__xludf.DUMMYFUNCTION("""COMPUTED_VALUE"""),"6703822")</f>
        <v>6703822</v>
      </c>
      <c r="E165" s="3" t="str">
        <f>IFERROR(__xludf.DUMMYFUNCTION("""COMPUTED_VALUE"""),"5")</f>
        <v>5</v>
      </c>
      <c r="F165" s="3" t="str">
        <f>IFERROR(__xludf.DUMMYFUNCTION("""COMPUTED_VALUE"""),"นพอ.กัณยวัลย์ เทียนบัญญัติ")</f>
        <v>นพอ.กัณยวัลย์ เทียนบัญญัติ</v>
      </c>
      <c r="G165" s="3" t="str">
        <f>IFERROR(__xludf.DUMMYFUNCTION("""COMPUTED_VALUE"""),"ช่วยเหลืองานภายใน วพอ.")</f>
        <v>ช่วยเหลืองานภายใน วพอ.</v>
      </c>
      <c r="H165" s="3" t="str">
        <f>IFERROR(__xludf.DUMMYFUNCTION("""COMPUTED_VALUE"""),"ซ้อมดนตรีไทย กิจกรรมวันรับขวัญสวีแด")</f>
        <v>ซ้อมดนตรีไทย กิจกรรมวันรับขวัญสวีแด</v>
      </c>
      <c r="I165" s="3" t="str">
        <f>IFERROR(__xludf.DUMMYFUNCTION("""COMPUTED_VALUE"""),"วพอ.พอ.")</f>
        <v>วพอ.พอ.</v>
      </c>
      <c r="J165" s="12">
        <f>IFERROR(__xludf.DUMMYFUNCTION("""COMPUTED_VALUE"""),45887.0)</f>
        <v>45887</v>
      </c>
      <c r="K165" s="3" t="str">
        <f>IFERROR(__xludf.DUMMYFUNCTION("""COMPUTED_VALUE"""),"1800-2000")</f>
        <v>1800-2000</v>
      </c>
      <c r="L165" s="3">
        <f>IFERROR(__xludf.DUMMYFUNCTION("""COMPUTED_VALUE"""),2.0)</f>
        <v>2</v>
      </c>
      <c r="M165" s="3" t="str">
        <f>IFERROR(__xludf.DUMMYFUNCTION("""COMPUTED_VALUE"""),"ร.อ.หญิง ขนัฏฐา นาดี")</f>
        <v>ร.อ.หญิง ขนัฏฐา นาดี</v>
      </c>
      <c r="N165" s="14" t="str">
        <f>IFERROR(__xludf.DUMMYFUNCTION("""COMPUTED_VALUE"""),"https://lh5.googleusercontent.com/d/19Lh-HGoZo8gZalfOBT7EySeLPImExjqZ")</f>
        <v>https://lh5.googleusercontent.com/d/19Lh-HGoZo8gZalfOBT7EySeLPImExjqZ</v>
      </c>
      <c r="O165" s="14" t="str">
        <f>IFERROR(__xludf.DUMMYFUNCTION("""COMPUTED_VALUE"""),"https://drive.google.com/file/d/1FeSIRYXs-rUaYvJcspFZlVAVnKVio874/view?usp=drivesdk")</f>
        <v>https://drive.google.com/file/d/1FeSIRYXs-rUaYvJcspFZlVAVnKVio874/view?usp=drivesdk</v>
      </c>
    </row>
    <row r="166">
      <c r="A166" s="3">
        <f>IFERROR(__xludf.DUMMYFUNCTION("""COMPUTED_VALUE"""),459.0)</f>
        <v>459</v>
      </c>
      <c r="B166" s="11">
        <f>IFERROR(__xludf.DUMMYFUNCTION("""COMPUTED_VALUE"""),45990.71503021991)</f>
        <v>45990.71503</v>
      </c>
      <c r="C166" s="3" t="str">
        <f>IFERROR(__xludf.DUMMYFUNCTION("""COMPUTED_VALUE"""),"ชั้นปีที่ 2")</f>
        <v>ชั้นปีที่ 2</v>
      </c>
      <c r="D166" s="3" t="str">
        <f>IFERROR(__xludf.DUMMYFUNCTION("""COMPUTED_VALUE"""),"6703822")</f>
        <v>6703822</v>
      </c>
      <c r="E166" s="3" t="str">
        <f>IFERROR(__xludf.DUMMYFUNCTION("""COMPUTED_VALUE"""),"5")</f>
        <v>5</v>
      </c>
      <c r="F166" s="3" t="str">
        <f>IFERROR(__xludf.DUMMYFUNCTION("""COMPUTED_VALUE"""),"นพอ.กัณยวัลย์ เทียนบัญญัติ")</f>
        <v>นพอ.กัณยวัลย์ เทียนบัญญัติ</v>
      </c>
      <c r="G166" s="3" t="str">
        <f>IFERROR(__xludf.DUMMYFUNCTION("""COMPUTED_VALUE"""),"ช่วยเหลืองานภายใน วพอ.")</f>
        <v>ช่วยเหลืองานภายใน วพอ.</v>
      </c>
      <c r="H166" s="3" t="str">
        <f>IFERROR(__xludf.DUMMYFUNCTION("""COMPUTED_VALUE"""),"ซ้อมดนตรีไทย กิจกรรมวันรับขวัญสวีแด")</f>
        <v>ซ้อมดนตรีไทย กิจกรรมวันรับขวัญสวีแด</v>
      </c>
      <c r="I166" s="3" t="str">
        <f>IFERROR(__xludf.DUMMYFUNCTION("""COMPUTED_VALUE"""),"วพอ.พอ.")</f>
        <v>วพอ.พอ.</v>
      </c>
      <c r="J166" s="12">
        <f>IFERROR(__xludf.DUMMYFUNCTION("""COMPUTED_VALUE"""),45888.0)</f>
        <v>45888</v>
      </c>
      <c r="K166" s="3" t="str">
        <f>IFERROR(__xludf.DUMMYFUNCTION("""COMPUTED_VALUE"""),"1800-2000")</f>
        <v>1800-2000</v>
      </c>
      <c r="L166" s="3">
        <f>IFERROR(__xludf.DUMMYFUNCTION("""COMPUTED_VALUE"""),2.0)</f>
        <v>2</v>
      </c>
      <c r="M166" s="3" t="str">
        <f>IFERROR(__xludf.DUMMYFUNCTION("""COMPUTED_VALUE"""),"ร.อ.หญิง ขนัฏฐา นาดี")</f>
        <v>ร.อ.หญิง ขนัฏฐา นาดี</v>
      </c>
      <c r="N166" s="14" t="str">
        <f>IFERROR(__xludf.DUMMYFUNCTION("""COMPUTED_VALUE"""),"https://lh5.googleusercontent.com/d/1caoHGrE6OQiEBFJzDDdJHNhSw9DrXToT")</f>
        <v>https://lh5.googleusercontent.com/d/1caoHGrE6OQiEBFJzDDdJHNhSw9DrXToT</v>
      </c>
      <c r="O166" s="14" t="str">
        <f>IFERROR(__xludf.DUMMYFUNCTION("""COMPUTED_VALUE"""),"https://drive.google.com/file/d/1FvcnE7uo4EB9POaybr6QgenAob35CQPf/view?usp=drivesdk")</f>
        <v>https://drive.google.com/file/d/1FvcnE7uo4EB9POaybr6QgenAob35CQPf/view?usp=drivesdk</v>
      </c>
    </row>
    <row r="167">
      <c r="A167" s="3">
        <f>IFERROR(__xludf.DUMMYFUNCTION("""COMPUTED_VALUE"""),460.0)</f>
        <v>460</v>
      </c>
      <c r="B167" s="11">
        <f>IFERROR(__xludf.DUMMYFUNCTION("""COMPUTED_VALUE"""),45990.715994328704)</f>
        <v>45990.71599</v>
      </c>
      <c r="C167" s="3" t="str">
        <f>IFERROR(__xludf.DUMMYFUNCTION("""COMPUTED_VALUE"""),"ชั้นปีที่ 2")</f>
        <v>ชั้นปีที่ 2</v>
      </c>
      <c r="D167" s="3" t="str">
        <f>IFERROR(__xludf.DUMMYFUNCTION("""COMPUTED_VALUE"""),"6703822")</f>
        <v>6703822</v>
      </c>
      <c r="E167" s="3" t="str">
        <f>IFERROR(__xludf.DUMMYFUNCTION("""COMPUTED_VALUE"""),"5")</f>
        <v>5</v>
      </c>
      <c r="F167" s="3" t="str">
        <f>IFERROR(__xludf.DUMMYFUNCTION("""COMPUTED_VALUE"""),"นพอ.กัณยวัลย์ เทียนบัญญัติ")</f>
        <v>นพอ.กัณยวัลย์ เทียนบัญญัติ</v>
      </c>
      <c r="G167" s="3" t="str">
        <f>IFERROR(__xludf.DUMMYFUNCTION("""COMPUTED_VALUE"""),"ช่วยเหลืองานภายใน วพอ.")</f>
        <v>ช่วยเหลืองานภายใน วพอ.</v>
      </c>
      <c r="H167" s="3" t="str">
        <f>IFERROR(__xludf.DUMMYFUNCTION("""COMPUTED_VALUE"""),"ซ้อมดนตรีไทย กิจกรรมวันรับขวัญสวีแด")</f>
        <v>ซ้อมดนตรีไทย กิจกรรมวันรับขวัญสวีแด</v>
      </c>
      <c r="I167" s="3" t="str">
        <f>IFERROR(__xludf.DUMMYFUNCTION("""COMPUTED_VALUE"""),"วพอ.พอ.")</f>
        <v>วพอ.พอ.</v>
      </c>
      <c r="J167" s="12">
        <f>IFERROR(__xludf.DUMMYFUNCTION("""COMPUTED_VALUE"""),45889.0)</f>
        <v>45889</v>
      </c>
      <c r="K167" s="3" t="str">
        <f>IFERROR(__xludf.DUMMYFUNCTION("""COMPUTED_VALUE"""),"1800-2000")</f>
        <v>1800-2000</v>
      </c>
      <c r="L167" s="3">
        <f>IFERROR(__xludf.DUMMYFUNCTION("""COMPUTED_VALUE"""),2.0)</f>
        <v>2</v>
      </c>
      <c r="M167" s="3" t="str">
        <f>IFERROR(__xludf.DUMMYFUNCTION("""COMPUTED_VALUE"""),"ร.อ.ขนัฏฐา นาดี")</f>
        <v>ร.อ.ขนัฏฐา นาดี</v>
      </c>
      <c r="N167" s="14" t="str">
        <f>IFERROR(__xludf.DUMMYFUNCTION("""COMPUTED_VALUE"""),"https://lh5.googleusercontent.com/d/17d0Ic-iNqb8xxpREr9D3ka3js28blfxh")</f>
        <v>https://lh5.googleusercontent.com/d/17d0Ic-iNqb8xxpREr9D3ka3js28blfxh</v>
      </c>
      <c r="O167" s="14" t="str">
        <f>IFERROR(__xludf.DUMMYFUNCTION("""COMPUTED_VALUE"""),"https://drive.google.com/file/d/1LsBMy2jjTXwx6ctm2XC9dcRkV8jnfI5B/view?usp=drivesdk")</f>
        <v>https://drive.google.com/file/d/1LsBMy2jjTXwx6ctm2XC9dcRkV8jnfI5B/view?usp=drivesdk</v>
      </c>
    </row>
    <row r="168">
      <c r="A168" s="3">
        <f>IFERROR(__xludf.DUMMYFUNCTION("""COMPUTED_VALUE"""),462.0)</f>
        <v>462</v>
      </c>
      <c r="B168" s="11">
        <f>IFERROR(__xludf.DUMMYFUNCTION("""COMPUTED_VALUE"""),45990.79977373843)</f>
        <v>45990.79977</v>
      </c>
      <c r="C168" s="3" t="str">
        <f>IFERROR(__xludf.DUMMYFUNCTION("""COMPUTED_VALUE"""),"ชั้นปีที่ 2")</f>
        <v>ชั้นปีที่ 2</v>
      </c>
      <c r="D168" s="3" t="str">
        <f>IFERROR(__xludf.DUMMYFUNCTION("""COMPUTED_VALUE"""),"6703852")</f>
        <v>6703852</v>
      </c>
      <c r="E168" s="3" t="str">
        <f>IFERROR(__xludf.DUMMYFUNCTION("""COMPUTED_VALUE"""),"34")</f>
        <v>34</v>
      </c>
      <c r="F168" s="3" t="str">
        <f>IFERROR(__xludf.DUMMYFUNCTION("""COMPUTED_VALUE"""),"นพอ.ปุณยาพร เสือสมิง")</f>
        <v>นพอ.ปุณยาพร เสือสมิง</v>
      </c>
      <c r="G16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68" s="3" t="str">
        <f>IFERROR(__xludf.DUMMYFUNCTION("""COMPUTED_VALUE"""),"กีฬารักบี้")</f>
        <v>กีฬารักบี้</v>
      </c>
      <c r="I168" s="3" t="str">
        <f>IFERROR(__xludf.DUMMYFUNCTION("""COMPUTED_VALUE"""),"สนามกีฬาธูปะเตย์มี")</f>
        <v>สนามกีฬาธูปะเตย์มี</v>
      </c>
      <c r="J168" s="12">
        <f>IFERROR(__xludf.DUMMYFUNCTION("""COMPUTED_VALUE"""),45907.0)</f>
        <v>45907</v>
      </c>
      <c r="K168" s="3" t="str">
        <f>IFERROR(__xludf.DUMMYFUNCTION("""COMPUTED_VALUE"""),"1130-2000")</f>
        <v>1130-2000</v>
      </c>
      <c r="L168" s="3">
        <f>IFERROR(__xludf.DUMMYFUNCTION("""COMPUTED_VALUE"""),8.0)</f>
        <v>8</v>
      </c>
      <c r="M168" s="3" t="str">
        <f>IFERROR(__xludf.DUMMYFUNCTION("""COMPUTED_VALUE"""),"น.ท.หญิง อนุกูล บำรุงวงค์")</f>
        <v>น.ท.หญิง อนุกูล บำรุงวงค์</v>
      </c>
      <c r="N168" s="14" t="str">
        <f>IFERROR(__xludf.DUMMYFUNCTION("""COMPUTED_VALUE"""),"https://lh5.googleusercontent.com/d/1i_H4THS1r0cClISPtwFd1vG62YEHRhyx")</f>
        <v>https://lh5.googleusercontent.com/d/1i_H4THS1r0cClISPtwFd1vG62YEHRhyx</v>
      </c>
      <c r="O168" s="14" t="str">
        <f>IFERROR(__xludf.DUMMYFUNCTION("""COMPUTED_VALUE"""),"https://drive.google.com/file/d/1hEb8cA_083_iWX6okqStHGrR8QB5YLPE/view?usp=drivesdk")</f>
        <v>https://drive.google.com/file/d/1hEb8cA_083_iWX6okqStHGrR8QB5YLPE/view?usp=drivesdk</v>
      </c>
    </row>
    <row r="169">
      <c r="A169" s="3">
        <f>IFERROR(__xludf.DUMMYFUNCTION("""COMPUTED_VALUE"""),472.0)</f>
        <v>472</v>
      </c>
      <c r="B169" s="11">
        <f>IFERROR(__xludf.DUMMYFUNCTION("""COMPUTED_VALUE"""),45990.8553309375)</f>
        <v>45990.85533</v>
      </c>
      <c r="C169" s="3" t="str">
        <f>IFERROR(__xludf.DUMMYFUNCTION("""COMPUTED_VALUE"""),"ชั้นปีที่ 2")</f>
        <v>ชั้นปีที่ 2</v>
      </c>
      <c r="D169" s="3" t="str">
        <f>IFERROR(__xludf.DUMMYFUNCTION("""COMPUTED_VALUE"""),"6703841")</f>
        <v>6703841</v>
      </c>
      <c r="E169" s="3" t="str">
        <f>IFERROR(__xludf.DUMMYFUNCTION("""COMPUTED_VALUE"""),"23")</f>
        <v>23</v>
      </c>
      <c r="F169" s="3" t="str">
        <f>IFERROR(__xludf.DUMMYFUNCTION("""COMPUTED_VALUE"""),"นพอ.ธนภูมิ กระจ่างจาย")</f>
        <v>นพอ.ธนภูมิ กระจ่างจาย</v>
      </c>
      <c r="G169" s="3" t="str">
        <f>IFERROR(__xludf.DUMMYFUNCTION("""COMPUTED_VALUE"""),"ช่วยเหลืองานภายใน วพอ.")</f>
        <v>ช่วยเหลืองานภายใน วพอ.</v>
      </c>
      <c r="H169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69" s="3" t="str">
        <f>IFERROR(__xludf.DUMMYFUNCTION("""COMPUTED_VALUE""")," ห้องเรียน นพอ.ชั้นปีที่ 1")</f>
        <v> ห้องเรียน นพอ.ชั้นปีที่ 1</v>
      </c>
      <c r="J169" s="12">
        <f>IFERROR(__xludf.DUMMYFUNCTION("""COMPUTED_VALUE"""),45985.0)</f>
        <v>45985</v>
      </c>
      <c r="K169" s="3" t="str">
        <f>IFERROR(__xludf.DUMMYFUNCTION("""COMPUTED_VALUE"""),"1000-1800")</f>
        <v>1000-1800</v>
      </c>
      <c r="L169" s="3">
        <f>IFERROR(__xludf.DUMMYFUNCTION("""COMPUTED_VALUE"""),8.0)</f>
        <v>8</v>
      </c>
      <c r="M169" s="3" t="str">
        <f>IFERROR(__xludf.DUMMYFUNCTION("""COMPUTED_VALUE""")," ร.ท.เรวัติ วัชรสิทธิ์")</f>
        <v> ร.ท.เรวัติ วัชรสิทธิ์</v>
      </c>
      <c r="N169" s="14" t="str">
        <f>IFERROR(__xludf.DUMMYFUNCTION("""COMPUTED_VALUE"""),"https://lh5.googleusercontent.com/d/1BfUm6YK7uBQeC0nfY-RlERY8vFOLnLtF")</f>
        <v>https://lh5.googleusercontent.com/d/1BfUm6YK7uBQeC0nfY-RlERY8vFOLnLtF</v>
      </c>
      <c r="O169" s="14" t="str">
        <f>IFERROR(__xludf.DUMMYFUNCTION("""COMPUTED_VALUE"""),"https://drive.google.com/file/d/13x04rw6IhaiS9T1jCW3-533kVamUJVcb/view?usp=drivesdk")</f>
        <v>https://drive.google.com/file/d/13x04rw6IhaiS9T1jCW3-533kVamUJVcb/view?usp=drivesdk</v>
      </c>
    </row>
    <row r="170">
      <c r="A170" s="3">
        <f>IFERROR(__xludf.DUMMYFUNCTION("""COMPUTED_VALUE"""),474.0)</f>
        <v>474</v>
      </c>
      <c r="B170" s="11">
        <f>IFERROR(__xludf.DUMMYFUNCTION("""COMPUTED_VALUE"""),45990.85775725694)</f>
        <v>45990.85776</v>
      </c>
      <c r="C170" s="3" t="str">
        <f>IFERROR(__xludf.DUMMYFUNCTION("""COMPUTED_VALUE"""),"ชั้นปีที่ 2")</f>
        <v>ชั้นปีที่ 2</v>
      </c>
      <c r="D170" s="3" t="str">
        <f>IFERROR(__xludf.DUMMYFUNCTION("""COMPUTED_VALUE"""),"6703847")</f>
        <v>6703847</v>
      </c>
      <c r="E170" s="3" t="str">
        <f>IFERROR(__xludf.DUMMYFUNCTION("""COMPUTED_VALUE"""),"29")</f>
        <v>29</v>
      </c>
      <c r="F170" s="3" t="str">
        <f>IFERROR(__xludf.DUMMYFUNCTION("""COMPUTED_VALUE"""),"นพอ.นันทัชพร สิงห์โต")</f>
        <v>นพอ.นันทัชพร สิงห์โต</v>
      </c>
      <c r="G1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0" s="3" t="str">
        <f>IFERROR(__xludf.DUMMYFUNCTION("""COMPUTED_VALUE""")," ซ้อมร้องประสานเสียงงานคอนเสิร์ตทัพฟ้า")</f>
        <v> ซ้อมร้องประสานเสียงงานคอนเสิร์ตทัพฟ้า</v>
      </c>
      <c r="I170" s="3" t="str">
        <f>IFERROR(__xludf.DUMMYFUNCTION("""COMPUTED_VALUE"""),"ดุริยางค์ทหารอากาศ")</f>
        <v>ดุริยางค์ทหารอากาศ</v>
      </c>
      <c r="J170" s="12">
        <f>IFERROR(__xludf.DUMMYFUNCTION("""COMPUTED_VALUE"""),45825.0)</f>
        <v>45825</v>
      </c>
      <c r="K170" s="3" t="str">
        <f>IFERROR(__xludf.DUMMYFUNCTION("""COMPUTED_VALUE"""),"0800-1600")</f>
        <v>0800-1600</v>
      </c>
      <c r="L170" s="3">
        <f>IFERROR(__xludf.DUMMYFUNCTION("""COMPUTED_VALUE"""),8.0)</f>
        <v>8</v>
      </c>
      <c r="M170" s="3" t="str">
        <f>IFERROR(__xludf.DUMMYFUNCTION("""COMPUTED_VALUE"""),"ร.อ.อนุชิต ทำจะดี")</f>
        <v>ร.อ.อนุชิต ทำจะดี</v>
      </c>
      <c r="N170" s="14" t="str">
        <f>IFERROR(__xludf.DUMMYFUNCTION("""COMPUTED_VALUE"""),"https://lh5.googleusercontent.com/d/1Gl82B-4GturVj2_41NSl0_XTrjmdUP6i")</f>
        <v>https://lh5.googleusercontent.com/d/1Gl82B-4GturVj2_41NSl0_XTrjmdUP6i</v>
      </c>
      <c r="O170" s="14" t="str">
        <f>IFERROR(__xludf.DUMMYFUNCTION("""COMPUTED_VALUE"""),"https://drive.google.com/file/d/1QVoqc4VAwf6aL_fChRdyehn_k8u27H__/view?usp=drivesdk")</f>
        <v>https://drive.google.com/file/d/1QVoqc4VAwf6aL_fChRdyehn_k8u27H__/view?usp=drivesdk</v>
      </c>
    </row>
    <row r="171">
      <c r="A171" s="3">
        <f>IFERROR(__xludf.DUMMYFUNCTION("""COMPUTED_VALUE"""),478.0)</f>
        <v>478</v>
      </c>
      <c r="B171" s="11">
        <f>IFERROR(__xludf.DUMMYFUNCTION("""COMPUTED_VALUE"""),45990.875272499994)</f>
        <v>45990.87527</v>
      </c>
      <c r="C171" s="3" t="str">
        <f>IFERROR(__xludf.DUMMYFUNCTION("""COMPUTED_VALUE"""),"ชั้นปีที่ 2")</f>
        <v>ชั้นปีที่ 2</v>
      </c>
      <c r="D171" s="3" t="str">
        <f>IFERROR(__xludf.DUMMYFUNCTION("""COMPUTED_VALUE"""),"6703855")</f>
        <v>6703855</v>
      </c>
      <c r="E171" s="3" t="str">
        <f>IFERROR(__xludf.DUMMYFUNCTION("""COMPUTED_VALUE"""),"37")</f>
        <v>37</v>
      </c>
      <c r="F171" s="3" t="str">
        <f>IFERROR(__xludf.DUMMYFUNCTION("""COMPUTED_VALUE"""),"นพอ.พนารัตน์ สร้างลิ้ม")</f>
        <v>นพอ.พนารัตน์ สร้างลิ้ม</v>
      </c>
      <c r="G171" s="3" t="str">
        <f>IFERROR(__xludf.DUMMYFUNCTION("""COMPUTED_VALUE"""),"ช่วยเหลืองานภายใน วพอ.")</f>
        <v>ช่วยเหลืองานภายใน วพอ.</v>
      </c>
      <c r="H171" s="3" t="str">
        <f>IFERROR(__xludf.DUMMYFUNCTION("""COMPUTED_VALUE"""),"ซ้อมงานรับขวัญสวีแด")</f>
        <v>ซ้อมงานรับขวัญสวีแด</v>
      </c>
      <c r="I171" s="3" t="str">
        <f>IFERROR(__xludf.DUMMYFUNCTION("""COMPUTED_VALUE"""),"วพอ.พอ.")</f>
        <v>วพอ.พอ.</v>
      </c>
      <c r="J171" s="12">
        <f>IFERROR(__xludf.DUMMYFUNCTION("""COMPUTED_VALUE"""),45887.0)</f>
        <v>45887</v>
      </c>
      <c r="K171" s="3" t="str">
        <f>IFERROR(__xludf.DUMMYFUNCTION("""COMPUTED_VALUE"""),"1800-2000")</f>
        <v>1800-2000</v>
      </c>
      <c r="L171" s="3">
        <f>IFERROR(__xludf.DUMMYFUNCTION("""COMPUTED_VALUE"""),2.0)</f>
        <v>2</v>
      </c>
      <c r="M171" s="3" t="str">
        <f>IFERROR(__xludf.DUMMYFUNCTION("""COMPUTED_VALUE"""),"ร.อ.หญิง ขนัฏฐา นาดี")</f>
        <v>ร.อ.หญิง ขนัฏฐา นาดี</v>
      </c>
      <c r="N171" s="14" t="str">
        <f>IFERROR(__xludf.DUMMYFUNCTION("""COMPUTED_VALUE"""),"https://lh5.googleusercontent.com/d/1JCp4SwUEFrKBi0ymyxwNLU1LvaThVYSP")</f>
        <v>https://lh5.googleusercontent.com/d/1JCp4SwUEFrKBi0ymyxwNLU1LvaThVYSP</v>
      </c>
      <c r="O171" s="14" t="str">
        <f>IFERROR(__xludf.DUMMYFUNCTION("""COMPUTED_VALUE"""),"https://drive.google.com/file/d/1YOs0siK3HvZkadlFek3AUIajBY3ZRV7v/view?usp=drivesdk")</f>
        <v>https://drive.google.com/file/d/1YOs0siK3HvZkadlFek3AUIajBY3ZRV7v/view?usp=drivesdk</v>
      </c>
    </row>
    <row r="172">
      <c r="A172" s="3">
        <f>IFERROR(__xludf.DUMMYFUNCTION("""COMPUTED_VALUE"""),479.0)</f>
        <v>479</v>
      </c>
      <c r="B172" s="11">
        <f>IFERROR(__xludf.DUMMYFUNCTION("""COMPUTED_VALUE"""),45990.87978447917)</f>
        <v>45990.87978</v>
      </c>
      <c r="C172" s="3" t="str">
        <f>IFERROR(__xludf.DUMMYFUNCTION("""COMPUTED_VALUE"""),"ชั้นปีที่ 2")</f>
        <v>ชั้นปีที่ 2</v>
      </c>
      <c r="D172" s="3" t="str">
        <f>IFERROR(__xludf.DUMMYFUNCTION("""COMPUTED_VALUE"""),"6703855")</f>
        <v>6703855</v>
      </c>
      <c r="E172" s="3" t="str">
        <f>IFERROR(__xludf.DUMMYFUNCTION("""COMPUTED_VALUE"""),"37")</f>
        <v>37</v>
      </c>
      <c r="F172" s="3" t="str">
        <f>IFERROR(__xludf.DUMMYFUNCTION("""COMPUTED_VALUE"""),"นพอ.พนารัตน์ สร้างลิ้ม")</f>
        <v>นพอ.พนารัตน์ สร้างลิ้ม</v>
      </c>
      <c r="G1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2" s="3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17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2" s="12">
        <f>IFERROR(__xludf.DUMMYFUNCTION("""COMPUTED_VALUE"""),45839.0)</f>
        <v>45839</v>
      </c>
      <c r="K172" s="3" t="str">
        <f>IFERROR(__xludf.DUMMYFUNCTION("""COMPUTED_VALUE"""),"1400-2200")</f>
        <v>1400-2200</v>
      </c>
      <c r="L172" s="3">
        <f>IFERROR(__xludf.DUMMYFUNCTION("""COMPUTED_VALUE"""),8.0)</f>
        <v>8</v>
      </c>
      <c r="M172" s="3" t="str">
        <f>IFERROR(__xludf.DUMMYFUNCTION("""COMPUTED_VALUE"""),"ร.อ.อนุชิต ทำจะดี")</f>
        <v>ร.อ.อนุชิต ทำจะดี</v>
      </c>
      <c r="N172" s="14" t="str">
        <f>IFERROR(__xludf.DUMMYFUNCTION("""COMPUTED_VALUE"""),"https://lh5.googleusercontent.com/d/1WNOWa-3Ck494Mfgb7Owp-tit4GyAq5Wk")</f>
        <v>https://lh5.googleusercontent.com/d/1WNOWa-3Ck494Mfgb7Owp-tit4GyAq5Wk</v>
      </c>
      <c r="O172" s="14" t="str">
        <f>IFERROR(__xludf.DUMMYFUNCTION("""COMPUTED_VALUE"""),"https://drive.google.com/file/d/1-PzByfjHFQ_xJ3zTGBITHEenrs22HJpW/view?usp=drivesdk")</f>
        <v>https://drive.google.com/file/d/1-PzByfjHFQ_xJ3zTGBITHEenrs22HJpW/view?usp=drivesdk</v>
      </c>
    </row>
    <row r="173">
      <c r="A173" s="3">
        <f>IFERROR(__xludf.DUMMYFUNCTION("""COMPUTED_VALUE"""),480.0)</f>
        <v>480</v>
      </c>
      <c r="B173" s="11">
        <f>IFERROR(__xludf.DUMMYFUNCTION("""COMPUTED_VALUE"""),45990.88533793981)</f>
        <v>45990.88534</v>
      </c>
      <c r="C173" s="3" t="str">
        <f>IFERROR(__xludf.DUMMYFUNCTION("""COMPUTED_VALUE"""),"ชั้นปีที่ 2")</f>
        <v>ชั้นปีที่ 2</v>
      </c>
      <c r="D173" s="3" t="str">
        <f>IFERROR(__xludf.DUMMYFUNCTION("""COMPUTED_VALUE"""),"6703855")</f>
        <v>6703855</v>
      </c>
      <c r="E173" s="3" t="str">
        <f>IFERROR(__xludf.DUMMYFUNCTION("""COMPUTED_VALUE"""),"37")</f>
        <v>37</v>
      </c>
      <c r="F173" s="3" t="str">
        <f>IFERROR(__xludf.DUMMYFUNCTION("""COMPUTED_VALUE"""),"นพอ.พนารัตน์ สร้างลิ้ม")</f>
        <v>นพอ.พนารัตน์ สร้างลิ้ม</v>
      </c>
      <c r="G17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3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7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3" s="12">
        <f>IFERROR(__xludf.DUMMYFUNCTION("""COMPUTED_VALUE"""),45840.0)</f>
        <v>45840</v>
      </c>
      <c r="K173" s="3" t="str">
        <f>IFERROR(__xludf.DUMMYFUNCTION("""COMPUTED_VALUE"""),"1400-2200")</f>
        <v>1400-2200</v>
      </c>
      <c r="L173" s="3">
        <f>IFERROR(__xludf.DUMMYFUNCTION("""COMPUTED_VALUE"""),8.0)</f>
        <v>8</v>
      </c>
      <c r="M173" s="3" t="str">
        <f>IFERROR(__xludf.DUMMYFUNCTION("""COMPUTED_VALUE"""),"ร.อ.อนุชิต ทำจะดี")</f>
        <v>ร.อ.อนุชิต ทำจะดี</v>
      </c>
      <c r="N173" s="14" t="str">
        <f>IFERROR(__xludf.DUMMYFUNCTION("""COMPUTED_VALUE"""),"https://lh5.googleusercontent.com/d/1BTFDJGXQ93oY09tn4F6CQgoUHXJnVd4M")</f>
        <v>https://lh5.googleusercontent.com/d/1BTFDJGXQ93oY09tn4F6CQgoUHXJnVd4M</v>
      </c>
      <c r="O173" s="14" t="str">
        <f>IFERROR(__xludf.DUMMYFUNCTION("""COMPUTED_VALUE"""),"https://drive.google.com/file/d/19Ah8QThWs5dH_G3r0BjLGoW9XbuiZi-i/view?usp=drivesdk")</f>
        <v>https://drive.google.com/file/d/19Ah8QThWs5dH_G3r0BjLGoW9XbuiZi-i/view?usp=drivesdk</v>
      </c>
    </row>
    <row r="174">
      <c r="A174" s="3">
        <f>IFERROR(__xludf.DUMMYFUNCTION("""COMPUTED_VALUE"""),481.0)</f>
        <v>481</v>
      </c>
      <c r="B174" s="11">
        <f>IFERROR(__xludf.DUMMYFUNCTION("""COMPUTED_VALUE"""),45990.88891090277)</f>
        <v>45990.88891</v>
      </c>
      <c r="C174" s="3" t="str">
        <f>IFERROR(__xludf.DUMMYFUNCTION("""COMPUTED_VALUE"""),"ชั้นปีที่ 2")</f>
        <v>ชั้นปีที่ 2</v>
      </c>
      <c r="D174" s="3" t="str">
        <f>IFERROR(__xludf.DUMMYFUNCTION("""COMPUTED_VALUE"""),"6703855")</f>
        <v>6703855</v>
      </c>
      <c r="E174" s="3" t="str">
        <f>IFERROR(__xludf.DUMMYFUNCTION("""COMPUTED_VALUE"""),"37")</f>
        <v>37</v>
      </c>
      <c r="F174" s="3" t="str">
        <f>IFERROR(__xludf.DUMMYFUNCTION("""COMPUTED_VALUE"""),"นพอ.พนารัตน์ สร้างลิ้ม")</f>
        <v>นพอ.พนารัตน์ สร้างลิ้ม</v>
      </c>
      <c r="G174" s="3" t="str">
        <f>IFERROR(__xludf.DUMMYFUNCTION("""COMPUTED_VALUE"""),"ช่วยเหลืองานภายใน วพอ.")</f>
        <v>ช่วยเหลืองานภายใน วพอ.</v>
      </c>
      <c r="H174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74" s="3" t="str">
        <f>IFERROR(__xludf.DUMMYFUNCTION("""COMPUTED_VALUE"""),"ห้องเรียนนพอ.ชั้นปีที่1")</f>
        <v>ห้องเรียนนพอ.ชั้นปีที่1</v>
      </c>
      <c r="J174" s="12">
        <f>IFERROR(__xludf.DUMMYFUNCTION("""COMPUTED_VALUE"""),45987.0)</f>
        <v>45987</v>
      </c>
      <c r="K174" s="3" t="str">
        <f>IFERROR(__xludf.DUMMYFUNCTION("""COMPUTED_VALUE"""),"1000-1800")</f>
        <v>1000-1800</v>
      </c>
      <c r="L174" s="3">
        <f>IFERROR(__xludf.DUMMYFUNCTION("""COMPUTED_VALUE"""),8.0)</f>
        <v>8</v>
      </c>
      <c r="M174" s="3" t="str">
        <f>IFERROR(__xludf.DUMMYFUNCTION("""COMPUTED_VALUE"""),"ร.ท.เรวัติ วัชรสิทธิ์")</f>
        <v>ร.ท.เรวัติ วัชรสิทธิ์</v>
      </c>
      <c r="N174" s="14" t="str">
        <f>IFERROR(__xludf.DUMMYFUNCTION("""COMPUTED_VALUE"""),"https://lh5.googleusercontent.com/d/1jQrSA0FHBHPDKopDdBr7yC3wV2xcZJnV")</f>
        <v>https://lh5.googleusercontent.com/d/1jQrSA0FHBHPDKopDdBr7yC3wV2xcZJnV</v>
      </c>
      <c r="O174" s="14" t="str">
        <f>IFERROR(__xludf.DUMMYFUNCTION("""COMPUTED_VALUE"""),"https://drive.google.com/file/d/1RUtIK4j61Cr5yncGL-xTr8RyWQo3_vrR/view?usp=drivesdk")</f>
        <v>https://drive.google.com/file/d/1RUtIK4j61Cr5yncGL-xTr8RyWQo3_vrR/view?usp=drivesdk</v>
      </c>
    </row>
    <row r="175">
      <c r="A175" s="3">
        <f>IFERROR(__xludf.DUMMYFUNCTION("""COMPUTED_VALUE"""),482.0)</f>
        <v>482</v>
      </c>
      <c r="B175" s="11">
        <f>IFERROR(__xludf.DUMMYFUNCTION("""COMPUTED_VALUE"""),45990.89143)</f>
        <v>45990.89143</v>
      </c>
      <c r="C175" s="3" t="str">
        <f>IFERROR(__xludf.DUMMYFUNCTION("""COMPUTED_VALUE"""),"ชั้นปีที่ 2")</f>
        <v>ชั้นปีที่ 2</v>
      </c>
      <c r="D175" s="3" t="str">
        <f>IFERROR(__xludf.DUMMYFUNCTION("""COMPUTED_VALUE"""),"6703855")</f>
        <v>6703855</v>
      </c>
      <c r="E175" s="3" t="str">
        <f>IFERROR(__xludf.DUMMYFUNCTION("""COMPUTED_VALUE"""),"37")</f>
        <v>37</v>
      </c>
      <c r="F175" s="3" t="str">
        <f>IFERROR(__xludf.DUMMYFUNCTION("""COMPUTED_VALUE"""),"นพอ.พนารัตน์ สร้างลิ้ม")</f>
        <v>นพอ.พนารัตน์ สร้างลิ้ม</v>
      </c>
      <c r="G175" s="3" t="str">
        <f>IFERROR(__xludf.DUMMYFUNCTION("""COMPUTED_VALUE"""),"ช่วยเหลืองานภายใน วพอ.")</f>
        <v>ช่วยเหลืองานภายใน วพอ.</v>
      </c>
      <c r="H175" s="3" t="str">
        <f>IFERROR(__xludf.DUMMYFUNCTION("""COMPUTED_VALUE"""),"ซ้อมงานรับขวัญสวีแด")</f>
        <v>ซ้อมงานรับขวัญสวีแด</v>
      </c>
      <c r="I175" s="3" t="str">
        <f>IFERROR(__xludf.DUMMYFUNCTION("""COMPUTED_VALUE"""),"วพอ.พอ.")</f>
        <v>วพอ.พอ.</v>
      </c>
      <c r="J175" s="12">
        <f>IFERROR(__xludf.DUMMYFUNCTION("""COMPUTED_VALUE"""),45888.0)</f>
        <v>45888</v>
      </c>
      <c r="K175" s="3" t="str">
        <f>IFERROR(__xludf.DUMMYFUNCTION("""COMPUTED_VALUE"""),"1800-2000")</f>
        <v>1800-2000</v>
      </c>
      <c r="L175" s="3">
        <f>IFERROR(__xludf.DUMMYFUNCTION("""COMPUTED_VALUE"""),2.0)</f>
        <v>2</v>
      </c>
      <c r="M175" s="3" t="str">
        <f>IFERROR(__xludf.DUMMYFUNCTION("""COMPUTED_VALUE"""),"ร.อ.หญิง ขนัฏฐา นาดี")</f>
        <v>ร.อ.หญิง ขนัฏฐา นาดี</v>
      </c>
      <c r="N175" s="14" t="str">
        <f>IFERROR(__xludf.DUMMYFUNCTION("""COMPUTED_VALUE"""),"https://lh5.googleusercontent.com/d/1xNKDCcB6ibdAJWQq4o3-owjr28J_sNRb")</f>
        <v>https://lh5.googleusercontent.com/d/1xNKDCcB6ibdAJWQq4o3-owjr28J_sNRb</v>
      </c>
      <c r="O175" s="14" t="str">
        <f>IFERROR(__xludf.DUMMYFUNCTION("""COMPUTED_VALUE"""),"https://drive.google.com/file/d/10iq56HJVgzbRl6qphN3inRzCqotCOiwQ/view?usp=drivesdk")</f>
        <v>https://drive.google.com/file/d/10iq56HJVgzbRl6qphN3inRzCqotCOiwQ/view?usp=drivesdk</v>
      </c>
    </row>
    <row r="176">
      <c r="A176" s="3">
        <f>IFERROR(__xludf.DUMMYFUNCTION("""COMPUTED_VALUE"""),483.0)</f>
        <v>483</v>
      </c>
      <c r="B176" s="11">
        <f>IFERROR(__xludf.DUMMYFUNCTION("""COMPUTED_VALUE"""),45990.89296103009)</f>
        <v>45990.89296</v>
      </c>
      <c r="C176" s="3" t="str">
        <f>IFERROR(__xludf.DUMMYFUNCTION("""COMPUTED_VALUE"""),"ชั้นปีที่ 2")</f>
        <v>ชั้นปีที่ 2</v>
      </c>
      <c r="D176" s="3" t="str">
        <f>IFERROR(__xludf.DUMMYFUNCTION("""COMPUTED_VALUE"""),"6703847")</f>
        <v>6703847</v>
      </c>
      <c r="E176" s="3" t="str">
        <f>IFERROR(__xludf.DUMMYFUNCTION("""COMPUTED_VALUE"""),"29")</f>
        <v>29</v>
      </c>
      <c r="F176" s="3" t="str">
        <f>IFERROR(__xludf.DUMMYFUNCTION("""COMPUTED_VALUE"""),"นพอ.นันทัชพร สิงห์โต")</f>
        <v>นพอ.นันทัชพร สิงห์โต</v>
      </c>
      <c r="G17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6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76" s="3" t="str">
        <f>IFERROR(__xludf.DUMMYFUNCTION("""COMPUTED_VALUE"""),"กองบัญชาการกองทัพอากาศ")</f>
        <v>กองบัญชาการกองทัพอากาศ</v>
      </c>
      <c r="J176" s="12">
        <f>IFERROR(__xludf.DUMMYFUNCTION("""COMPUTED_VALUE"""),45833.0)</f>
        <v>45833</v>
      </c>
      <c r="K176" s="3" t="str">
        <f>IFERROR(__xludf.DUMMYFUNCTION("""COMPUTED_VALUE"""),"0800-1600")</f>
        <v>0800-1600</v>
      </c>
      <c r="L176" s="3">
        <f>IFERROR(__xludf.DUMMYFUNCTION("""COMPUTED_VALUE"""),8.0)</f>
        <v>8</v>
      </c>
      <c r="M176" s="3" t="str">
        <f>IFERROR(__xludf.DUMMYFUNCTION("""COMPUTED_VALUE"""),"ร.อ.อนุชิต ทำจะดี")</f>
        <v>ร.อ.อนุชิต ทำจะดี</v>
      </c>
      <c r="N176" s="14" t="str">
        <f>IFERROR(__xludf.DUMMYFUNCTION("""COMPUTED_VALUE"""),"https://lh5.googleusercontent.com/d/1_fYB-T4uWs3xkVxF6Ma6_Tfh_tZMqRwL")</f>
        <v>https://lh5.googleusercontent.com/d/1_fYB-T4uWs3xkVxF6Ma6_Tfh_tZMqRwL</v>
      </c>
      <c r="O176" s="14" t="str">
        <f>IFERROR(__xludf.DUMMYFUNCTION("""COMPUTED_VALUE"""),"https://drive.google.com/file/d/1YiUccDJw2AS6iPMD7YYd-hUTyn_gVANp/view?usp=drivesdk")</f>
        <v>https://drive.google.com/file/d/1YiUccDJw2AS6iPMD7YYd-hUTyn_gVANp/view?usp=drivesdk</v>
      </c>
    </row>
    <row r="177">
      <c r="A177" s="3">
        <f>IFERROR(__xludf.DUMMYFUNCTION("""COMPUTED_VALUE"""),484.0)</f>
        <v>484</v>
      </c>
      <c r="B177" s="11">
        <f>IFERROR(__xludf.DUMMYFUNCTION("""COMPUTED_VALUE"""),45990.89544526621)</f>
        <v>45990.89545</v>
      </c>
      <c r="C177" s="3" t="str">
        <f>IFERROR(__xludf.DUMMYFUNCTION("""COMPUTED_VALUE"""),"ชั้นปีที่ 2")</f>
        <v>ชั้นปีที่ 2</v>
      </c>
      <c r="D177" s="3" t="str">
        <f>IFERROR(__xludf.DUMMYFUNCTION("""COMPUTED_VALUE"""),"6703851")</f>
        <v>6703851</v>
      </c>
      <c r="E177" s="3" t="str">
        <f>IFERROR(__xludf.DUMMYFUNCTION("""COMPUTED_VALUE"""),"33")</f>
        <v>33</v>
      </c>
      <c r="F177" s="3" t="str">
        <f>IFERROR(__xludf.DUMMYFUNCTION("""COMPUTED_VALUE"""),"นพอ.ปุญญิศา ฤทธิ์หมุน")</f>
        <v>นพอ.ปุญญิศา ฤทธิ์หมุน</v>
      </c>
      <c r="G1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7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77" s="3" t="str">
        <f>IFERROR(__xludf.DUMMYFUNCTION("""COMPUTED_VALUE"""),"อุทยานการบินกองทัพอากาศ")</f>
        <v>อุทยานการบินกองทัพอากาศ</v>
      </c>
      <c r="J177" s="12">
        <f>IFERROR(__xludf.DUMMYFUNCTION("""COMPUTED_VALUE"""),45926.0)</f>
        <v>45926</v>
      </c>
      <c r="K177" s="3" t="str">
        <f>IFERROR(__xludf.DUMMYFUNCTION("""COMPUTED_VALUE"""),"1200-1600")</f>
        <v>1200-1600</v>
      </c>
      <c r="L177" s="3">
        <f>IFERROR(__xludf.DUMMYFUNCTION("""COMPUTED_VALUE"""),4.0)</f>
        <v>4</v>
      </c>
      <c r="M177" s="3" t="str">
        <f>IFERROR(__xludf.DUMMYFUNCTION("""COMPUTED_VALUE"""),"น.ท.หญิง สิรินันท์ ชูเชิด")</f>
        <v>น.ท.หญิง สิรินันท์ ชูเชิด</v>
      </c>
      <c r="N177" s="14" t="str">
        <f>IFERROR(__xludf.DUMMYFUNCTION("""COMPUTED_VALUE"""),"https://lh5.googleusercontent.com/d/1R6piRsZKL31g52NCGJ5GbvvJwVkDnAWG")</f>
        <v>https://lh5.googleusercontent.com/d/1R6piRsZKL31g52NCGJ5GbvvJwVkDnAWG</v>
      </c>
      <c r="O177" s="14" t="str">
        <f>IFERROR(__xludf.DUMMYFUNCTION("""COMPUTED_VALUE"""),"https://drive.google.com/file/d/18mZ3tBW54pyWu5EvY4SwzIJXo8gSvagQ/view?usp=drivesdk")</f>
        <v>https://drive.google.com/file/d/18mZ3tBW54pyWu5EvY4SwzIJXo8gSvagQ/view?usp=drivesdk</v>
      </c>
    </row>
    <row r="178">
      <c r="A178" s="3">
        <f>IFERROR(__xludf.DUMMYFUNCTION("""COMPUTED_VALUE"""),485.0)</f>
        <v>485</v>
      </c>
      <c r="B178" s="11">
        <f>IFERROR(__xludf.DUMMYFUNCTION("""COMPUTED_VALUE"""),45990.89624462963)</f>
        <v>45990.89624</v>
      </c>
      <c r="C178" s="3" t="str">
        <f>IFERROR(__xludf.DUMMYFUNCTION("""COMPUTED_VALUE"""),"ชั้นปีที่ 2")</f>
        <v>ชั้นปีที่ 2</v>
      </c>
      <c r="D178" s="3" t="str">
        <f>IFERROR(__xludf.DUMMYFUNCTION("""COMPUTED_VALUE"""),"6703847")</f>
        <v>6703847</v>
      </c>
      <c r="E178" s="3" t="str">
        <f>IFERROR(__xludf.DUMMYFUNCTION("""COMPUTED_VALUE"""),"29")</f>
        <v>29</v>
      </c>
      <c r="F178" s="3" t="str">
        <f>IFERROR(__xludf.DUMMYFUNCTION("""COMPUTED_VALUE"""),"นพอ.นันทัชพร สิงห์โต")</f>
        <v>นพอ.นันทัชพร สิงห์โต</v>
      </c>
      <c r="G17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8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17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8" s="12">
        <f>IFERROR(__xludf.DUMMYFUNCTION("""COMPUTED_VALUE"""),45838.0)</f>
        <v>45838</v>
      </c>
      <c r="K178" s="3" t="str">
        <f>IFERROR(__xludf.DUMMYFUNCTION("""COMPUTED_VALUE"""),"1400-2200")</f>
        <v>1400-2200</v>
      </c>
      <c r="L178" s="3">
        <f>IFERROR(__xludf.DUMMYFUNCTION("""COMPUTED_VALUE"""),8.0)</f>
        <v>8</v>
      </c>
      <c r="M178" s="3" t="str">
        <f>IFERROR(__xludf.DUMMYFUNCTION("""COMPUTED_VALUE"""),"ร.อ.อนุชิต ทำจะดี")</f>
        <v>ร.อ.อนุชิต ทำจะดี</v>
      </c>
      <c r="N178" s="14" t="str">
        <f>IFERROR(__xludf.DUMMYFUNCTION("""COMPUTED_VALUE"""),"https://lh5.googleusercontent.com/d/1_l4NNQxikAnZJ9k49_dMd_bwDRG-rHGg")</f>
        <v>https://lh5.googleusercontent.com/d/1_l4NNQxikAnZJ9k49_dMd_bwDRG-rHGg</v>
      </c>
      <c r="O178" s="14" t="str">
        <f>IFERROR(__xludf.DUMMYFUNCTION("""COMPUTED_VALUE"""),"https://drive.google.com/file/d/14FyqEBnlS6WEWOKAUvPJLmvP3UEfW8v4/view?usp=drivesdk")</f>
        <v>https://drive.google.com/file/d/14FyqEBnlS6WEWOKAUvPJLmvP3UEfW8v4/view?usp=drivesdk</v>
      </c>
    </row>
    <row r="179">
      <c r="A179" s="3">
        <f>IFERROR(__xludf.DUMMYFUNCTION("""COMPUTED_VALUE"""),486.0)</f>
        <v>486</v>
      </c>
      <c r="B179" s="11">
        <f>IFERROR(__xludf.DUMMYFUNCTION("""COMPUTED_VALUE"""),45990.89804680555)</f>
        <v>45990.89805</v>
      </c>
      <c r="C179" s="3" t="str">
        <f>IFERROR(__xludf.DUMMYFUNCTION("""COMPUTED_VALUE"""),"ชั้นปีที่ 2")</f>
        <v>ชั้นปีที่ 2</v>
      </c>
      <c r="D179" s="3" t="str">
        <f>IFERROR(__xludf.DUMMYFUNCTION("""COMPUTED_VALUE"""),"6703847")</f>
        <v>6703847</v>
      </c>
      <c r="E179" s="3" t="str">
        <f>IFERROR(__xludf.DUMMYFUNCTION("""COMPUTED_VALUE"""),"29")</f>
        <v>29</v>
      </c>
      <c r="F179" s="3" t="str">
        <f>IFERROR(__xludf.DUMMYFUNCTION("""COMPUTED_VALUE"""),"นพอ.นันทัชพร สิงห์โต")</f>
        <v>นพอ.นันทัชพร สิงห์โต</v>
      </c>
      <c r="G1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9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7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79" s="12">
        <f>IFERROR(__xludf.DUMMYFUNCTION("""COMPUTED_VALUE"""),45839.0)</f>
        <v>45839</v>
      </c>
      <c r="K179" s="3" t="str">
        <f>IFERROR(__xludf.DUMMYFUNCTION("""COMPUTED_VALUE"""),"1400-2200")</f>
        <v>1400-2200</v>
      </c>
      <c r="L179" s="3">
        <f>IFERROR(__xludf.DUMMYFUNCTION("""COMPUTED_VALUE"""),8.0)</f>
        <v>8</v>
      </c>
      <c r="M179" s="3" t="str">
        <f>IFERROR(__xludf.DUMMYFUNCTION("""COMPUTED_VALUE"""),"ร.อ.อนุชิต ทำจะดี")</f>
        <v>ร.อ.อนุชิต ทำจะดี</v>
      </c>
      <c r="N179" s="14" t="str">
        <f>IFERROR(__xludf.DUMMYFUNCTION("""COMPUTED_VALUE"""),"https://lh5.googleusercontent.com/d/1U7Sm12Xfuc6c6YeKOnUELhZPSRgie5TC")</f>
        <v>https://lh5.googleusercontent.com/d/1U7Sm12Xfuc6c6YeKOnUELhZPSRgie5TC</v>
      </c>
      <c r="O179" s="14" t="str">
        <f>IFERROR(__xludf.DUMMYFUNCTION("""COMPUTED_VALUE"""),"https://drive.google.com/file/d/1jaqyXi_1G320fxngdPXAHvUn_AS3XeQO/view?usp=drivesdk")</f>
        <v>https://drive.google.com/file/d/1jaqyXi_1G320fxngdPXAHvUn_AS3XeQO/view?usp=drivesdk</v>
      </c>
    </row>
    <row r="180">
      <c r="A180" s="3">
        <f>IFERROR(__xludf.DUMMYFUNCTION("""COMPUTED_VALUE"""),487.0)</f>
        <v>487</v>
      </c>
      <c r="B180" s="11">
        <f>IFERROR(__xludf.DUMMYFUNCTION("""COMPUTED_VALUE"""),45990.89935465278)</f>
        <v>45990.89935</v>
      </c>
      <c r="C180" s="3" t="str">
        <f>IFERROR(__xludf.DUMMYFUNCTION("""COMPUTED_VALUE"""),"ชั้นปีที่ 2")</f>
        <v>ชั้นปีที่ 2</v>
      </c>
      <c r="D180" s="3" t="str">
        <f>IFERROR(__xludf.DUMMYFUNCTION("""COMPUTED_VALUE"""),"6703847")</f>
        <v>6703847</v>
      </c>
      <c r="E180" s="3" t="str">
        <f>IFERROR(__xludf.DUMMYFUNCTION("""COMPUTED_VALUE"""),"29")</f>
        <v>29</v>
      </c>
      <c r="F180" s="3" t="str">
        <f>IFERROR(__xludf.DUMMYFUNCTION("""COMPUTED_VALUE"""),"นพอ.นันทัชพร สิงห์โต")</f>
        <v>นพอ.นันทัชพร สิงห์โต</v>
      </c>
      <c r="G1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0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8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0" s="12">
        <f>IFERROR(__xludf.DUMMYFUNCTION("""COMPUTED_VALUE"""),45840.0)</f>
        <v>45840</v>
      </c>
      <c r="K180" s="3" t="str">
        <f>IFERROR(__xludf.DUMMYFUNCTION("""COMPUTED_VALUE"""),"1400-2200")</f>
        <v>1400-2200</v>
      </c>
      <c r="L180" s="3">
        <f>IFERROR(__xludf.DUMMYFUNCTION("""COMPUTED_VALUE"""),8.0)</f>
        <v>8</v>
      </c>
      <c r="M180" s="3" t="str">
        <f>IFERROR(__xludf.DUMMYFUNCTION("""COMPUTED_VALUE"""),"ร.อ.อนุชิต ทำจะดี")</f>
        <v>ร.อ.อนุชิต ทำจะดี</v>
      </c>
      <c r="N180" s="14" t="str">
        <f>IFERROR(__xludf.DUMMYFUNCTION("""COMPUTED_VALUE"""),"https://lh5.googleusercontent.com/d/1xNHCS575TN374TuzOpHRzUmt6He6iO2w")</f>
        <v>https://lh5.googleusercontent.com/d/1xNHCS575TN374TuzOpHRzUmt6He6iO2w</v>
      </c>
      <c r="O180" s="14" t="str">
        <f>IFERROR(__xludf.DUMMYFUNCTION("""COMPUTED_VALUE"""),"https://drive.google.com/file/d/1oWNAlCXwSPK3eoFLjRQD7G8GI9XL_Swf/view?usp=drivesdk")</f>
        <v>https://drive.google.com/file/d/1oWNAlCXwSPK3eoFLjRQD7G8GI9XL_Swf/view?usp=drivesdk</v>
      </c>
    </row>
    <row r="181">
      <c r="A181" s="3">
        <f>IFERROR(__xludf.DUMMYFUNCTION("""COMPUTED_VALUE"""),488.0)</f>
        <v>488</v>
      </c>
      <c r="B181" s="11">
        <f>IFERROR(__xludf.DUMMYFUNCTION("""COMPUTED_VALUE"""),45990.91011601852)</f>
        <v>45990.91012</v>
      </c>
      <c r="C181" s="3" t="str">
        <f>IFERROR(__xludf.DUMMYFUNCTION("""COMPUTED_VALUE"""),"ชั้นปีที่ 2")</f>
        <v>ชั้นปีที่ 2</v>
      </c>
      <c r="D181" s="3" t="str">
        <f>IFERROR(__xludf.DUMMYFUNCTION("""COMPUTED_VALUE"""),"6703841")</f>
        <v>6703841</v>
      </c>
      <c r="E181" s="3" t="str">
        <f>IFERROR(__xludf.DUMMYFUNCTION("""COMPUTED_VALUE"""),"23")</f>
        <v>23</v>
      </c>
      <c r="F181" s="3" t="str">
        <f>IFERROR(__xludf.DUMMYFUNCTION("""COMPUTED_VALUE"""),"นพอ.ธนภูมิ กระจ่างจาย")</f>
        <v>นพอ.ธนภูมิ กระจ่างจาย</v>
      </c>
      <c r="G1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1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8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1" s="12">
        <f>IFERROR(__xludf.DUMMYFUNCTION("""COMPUTED_VALUE"""),45839.0)</f>
        <v>45839</v>
      </c>
      <c r="K181" s="3" t="str">
        <f>IFERROR(__xludf.DUMMYFUNCTION("""COMPUTED_VALUE"""),"1400-2200")</f>
        <v>1400-2200</v>
      </c>
      <c r="L181" s="3">
        <f>IFERROR(__xludf.DUMMYFUNCTION("""COMPUTED_VALUE"""),8.0)</f>
        <v>8</v>
      </c>
      <c r="M181" s="3" t="str">
        <f>IFERROR(__xludf.DUMMYFUNCTION("""COMPUTED_VALUE"""),"ร.อ.อนุชิต ทำจะดี")</f>
        <v>ร.อ.อนุชิต ทำจะดี</v>
      </c>
      <c r="N181" s="14" t="str">
        <f>IFERROR(__xludf.DUMMYFUNCTION("""COMPUTED_VALUE"""),"https://lh5.googleusercontent.com/d/1ivMCdoc9BYhNuRacs_VzFipEPkCiwDme")</f>
        <v>https://lh5.googleusercontent.com/d/1ivMCdoc9BYhNuRacs_VzFipEPkCiwDme</v>
      </c>
      <c r="O181" s="14" t="str">
        <f>IFERROR(__xludf.DUMMYFUNCTION("""COMPUTED_VALUE"""),"https://drive.google.com/file/d/1PqQKv10V-w6f8l-FJIGATCsIgsg6yOWD/view?usp=drivesdk")</f>
        <v>https://drive.google.com/file/d/1PqQKv10V-w6f8l-FJIGATCsIgsg6yOWD/view?usp=drivesdk</v>
      </c>
    </row>
    <row r="182">
      <c r="A182" s="3">
        <f>IFERROR(__xludf.DUMMYFUNCTION("""COMPUTED_VALUE"""),489.0)</f>
        <v>489</v>
      </c>
      <c r="B182" s="11">
        <f>IFERROR(__xludf.DUMMYFUNCTION("""COMPUTED_VALUE"""),45990.91339523149)</f>
        <v>45990.9134</v>
      </c>
      <c r="C182" s="3" t="str">
        <f>IFERROR(__xludf.DUMMYFUNCTION("""COMPUTED_VALUE"""),"ชั้นปีที่ 2")</f>
        <v>ชั้นปีที่ 2</v>
      </c>
      <c r="D182" s="3" t="str">
        <f>IFERROR(__xludf.DUMMYFUNCTION("""COMPUTED_VALUE"""),"6703841")</f>
        <v>6703841</v>
      </c>
      <c r="E182" s="3" t="str">
        <f>IFERROR(__xludf.DUMMYFUNCTION("""COMPUTED_VALUE"""),"23")</f>
        <v>23</v>
      </c>
      <c r="F182" s="3" t="str">
        <f>IFERROR(__xludf.DUMMYFUNCTION("""COMPUTED_VALUE"""),"นพอ.ธนภูมิ กระจ่างจาย")</f>
        <v>นพอ.ธนภูมิ กระจ่างจาย</v>
      </c>
      <c r="G18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2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18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82" s="12">
        <f>IFERROR(__xludf.DUMMYFUNCTION("""COMPUTED_VALUE"""),45840.0)</f>
        <v>45840</v>
      </c>
      <c r="K182" s="3" t="str">
        <f>IFERROR(__xludf.DUMMYFUNCTION("""COMPUTED_VALUE"""),"1400-2200")</f>
        <v>1400-2200</v>
      </c>
      <c r="L182" s="3">
        <f>IFERROR(__xludf.DUMMYFUNCTION("""COMPUTED_VALUE"""),8.0)</f>
        <v>8</v>
      </c>
      <c r="M182" s="3" t="str">
        <f>IFERROR(__xludf.DUMMYFUNCTION("""COMPUTED_VALUE"""),"ร.อ.อนุชิต ทำจะดี")</f>
        <v>ร.อ.อนุชิต ทำจะดี</v>
      </c>
      <c r="N182" s="14" t="str">
        <f>IFERROR(__xludf.DUMMYFUNCTION("""COMPUTED_VALUE"""),"https://lh5.googleusercontent.com/d/1g4skPizjIrfPYW-FRY7TSg9lXxQJPxcP")</f>
        <v>https://lh5.googleusercontent.com/d/1g4skPizjIrfPYW-FRY7TSg9lXxQJPxcP</v>
      </c>
      <c r="O182" s="14" t="str">
        <f>IFERROR(__xludf.DUMMYFUNCTION("""COMPUTED_VALUE"""),"https://drive.google.com/file/d/1GXk6N1zZKzlk0VUElK-UQtG1NV18VJmf/view?usp=drivesdk")</f>
        <v>https://drive.google.com/file/d/1GXk6N1zZKzlk0VUElK-UQtG1NV18VJmf/view?usp=drivesdk</v>
      </c>
    </row>
    <row r="183">
      <c r="A183" s="3">
        <f>IFERROR(__xludf.DUMMYFUNCTION("""COMPUTED_VALUE"""),493.0)</f>
        <v>493</v>
      </c>
      <c r="B183" s="11">
        <f>IFERROR(__xludf.DUMMYFUNCTION("""COMPUTED_VALUE"""),45991.03014763889)</f>
        <v>45991.03015</v>
      </c>
      <c r="C183" s="3" t="str">
        <f>IFERROR(__xludf.DUMMYFUNCTION("""COMPUTED_VALUE"""),"ชั้นปีที่ 2")</f>
        <v>ชั้นปีที่ 2</v>
      </c>
      <c r="D183" s="3" t="str">
        <f>IFERROR(__xludf.DUMMYFUNCTION("""COMPUTED_VALUE"""),"6703829")</f>
        <v>6703829</v>
      </c>
      <c r="E183" s="3" t="str">
        <f>IFERROR(__xludf.DUMMYFUNCTION("""COMPUTED_VALUE"""),"12")</f>
        <v>12</v>
      </c>
      <c r="F183" s="3" t="str">
        <f>IFERROR(__xludf.DUMMYFUNCTION("""COMPUTED_VALUE"""),"นพอ.ชัญญาพัฒน์ ทัศนวิภาส")</f>
        <v>นพอ.ชัญญาพัฒน์ ทัศนวิภาส</v>
      </c>
      <c r="G18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3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83" s="3" t="str">
        <f>IFERROR(__xludf.DUMMYFUNCTION("""COMPUTED_VALUE"""),"อุทยานการบินกองทัพอากาศ")</f>
        <v>อุทยานการบินกองทัพอากาศ</v>
      </c>
      <c r="J183" s="12">
        <f>IFERROR(__xludf.DUMMYFUNCTION("""COMPUTED_VALUE"""),45926.0)</f>
        <v>45926</v>
      </c>
      <c r="K183" s="3" t="str">
        <f>IFERROR(__xludf.DUMMYFUNCTION("""COMPUTED_VALUE"""),"1200 - 1600")</f>
        <v>1200 - 1600</v>
      </c>
      <c r="L183" s="3">
        <f>IFERROR(__xludf.DUMMYFUNCTION("""COMPUTED_VALUE"""),4.0)</f>
        <v>4</v>
      </c>
      <c r="M183" s="3" t="str">
        <f>IFERROR(__xludf.DUMMYFUNCTION("""COMPUTED_VALUE"""),"น.ท.หญิง สิรินันท์ ชูเชิด")</f>
        <v>น.ท.หญิง สิรินันท์ ชูเชิด</v>
      </c>
      <c r="N183" s="14" t="str">
        <f>IFERROR(__xludf.DUMMYFUNCTION("""COMPUTED_VALUE"""),"https://lh5.googleusercontent.com/d/18sd7q3b_MA7TuJRG9Oo1aoKXQMaDxB1T")</f>
        <v>https://lh5.googleusercontent.com/d/18sd7q3b_MA7TuJRG9Oo1aoKXQMaDxB1T</v>
      </c>
      <c r="O183" s="14" t="str">
        <f>IFERROR(__xludf.DUMMYFUNCTION("""COMPUTED_VALUE"""),"https://drive.google.com/file/d/1ALL7kko30xYMdq4ASfORTsCFrwCUwY4k/view?usp=drivesdk")</f>
        <v>https://drive.google.com/file/d/1ALL7kko30xYMdq4ASfORTsCFrwCUwY4k/view?usp=drivesdk</v>
      </c>
    </row>
    <row r="184">
      <c r="A184" s="3">
        <f>IFERROR(__xludf.DUMMYFUNCTION("""COMPUTED_VALUE"""),494.0)</f>
        <v>494</v>
      </c>
      <c r="B184" s="11">
        <f>IFERROR(__xludf.DUMMYFUNCTION("""COMPUTED_VALUE"""),45991.03190862268)</f>
        <v>45991.03191</v>
      </c>
      <c r="C184" s="3" t="str">
        <f>IFERROR(__xludf.DUMMYFUNCTION("""COMPUTED_VALUE"""),"ชั้นปีที่ 2")</f>
        <v>ชั้นปีที่ 2</v>
      </c>
      <c r="D184" s="3" t="str">
        <f>IFERROR(__xludf.DUMMYFUNCTION("""COMPUTED_VALUE"""),"6703829")</f>
        <v>6703829</v>
      </c>
      <c r="E184" s="3" t="str">
        <f>IFERROR(__xludf.DUMMYFUNCTION("""COMPUTED_VALUE"""),"12")</f>
        <v>12</v>
      </c>
      <c r="F184" s="3" t="str">
        <f>IFERROR(__xludf.DUMMYFUNCTION("""COMPUTED_VALUE"""),"นพอ.ชัญญาพัฒน์ ทัศนวิภาส")</f>
        <v>นพอ.ชัญญาพัฒน์ ทัศนวิภาส</v>
      </c>
      <c r="G18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4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84" s="3" t="str">
        <f>IFERROR(__xludf.DUMMYFUNCTION("""COMPUTED_VALUE"""),"อุทยานการบินกองทัพอากาศ")</f>
        <v>อุทยานการบินกองทัพอากาศ</v>
      </c>
      <c r="J184" s="12">
        <f>IFERROR(__xludf.DUMMYFUNCTION("""COMPUTED_VALUE"""),45930.0)</f>
        <v>45930</v>
      </c>
      <c r="K184" s="3" t="str">
        <f>IFERROR(__xludf.DUMMYFUNCTION("""COMPUTED_VALUE"""),"1200 - 1600")</f>
        <v>1200 - 1600</v>
      </c>
      <c r="L184" s="3">
        <f>IFERROR(__xludf.DUMMYFUNCTION("""COMPUTED_VALUE"""),4.0)</f>
        <v>4</v>
      </c>
      <c r="M184" s="3" t="str">
        <f>IFERROR(__xludf.DUMMYFUNCTION("""COMPUTED_VALUE"""),"น.ท.หญิง สิรินันท์ ชูเชิด")</f>
        <v>น.ท.หญิง สิรินันท์ ชูเชิด</v>
      </c>
      <c r="N184" s="14" t="str">
        <f>IFERROR(__xludf.DUMMYFUNCTION("""COMPUTED_VALUE"""),"https://lh5.googleusercontent.com/d/1pQGaPj-aKK8dxfviLM8TKyYZBgexbHOJ")</f>
        <v>https://lh5.googleusercontent.com/d/1pQGaPj-aKK8dxfviLM8TKyYZBgexbHOJ</v>
      </c>
      <c r="O184" s="14" t="str">
        <f>IFERROR(__xludf.DUMMYFUNCTION("""COMPUTED_VALUE"""),"https://drive.google.com/file/d/1RgVhCgBQ9zFBS8W1MLtx227ktcH8T77a/view?usp=drivesdk")</f>
        <v>https://drive.google.com/file/d/1RgVhCgBQ9zFBS8W1MLtx227ktcH8T77a/view?usp=drivesdk</v>
      </c>
    </row>
    <row r="185">
      <c r="A185" s="3">
        <f>IFERROR(__xludf.DUMMYFUNCTION("""COMPUTED_VALUE"""),495.0)</f>
        <v>495</v>
      </c>
      <c r="B185" s="11">
        <f>IFERROR(__xludf.DUMMYFUNCTION("""COMPUTED_VALUE"""),45991.03636135416)</f>
        <v>45991.03636</v>
      </c>
      <c r="C185" s="3" t="str">
        <f>IFERROR(__xludf.DUMMYFUNCTION("""COMPUTED_VALUE"""),"ชั้นปีที่ 2")</f>
        <v>ชั้นปีที่ 2</v>
      </c>
      <c r="D185" s="3" t="str">
        <f>IFERROR(__xludf.DUMMYFUNCTION("""COMPUTED_VALUE"""),"6703829")</f>
        <v>6703829</v>
      </c>
      <c r="E185" s="3" t="str">
        <f>IFERROR(__xludf.DUMMYFUNCTION("""COMPUTED_VALUE"""),"12")</f>
        <v>12</v>
      </c>
      <c r="F185" s="3" t="str">
        <f>IFERROR(__xludf.DUMMYFUNCTION("""COMPUTED_VALUE"""),"นพอ.ชัญญาพัฒน์ ทัศนวิภาส")</f>
        <v>นพอ.ชัญญาพัฒน์ ทัศนวิภาส</v>
      </c>
      <c r="G185" s="3" t="str">
        <f>IFERROR(__xludf.DUMMYFUNCTION("""COMPUTED_VALUE"""),"ช่วยเหลืองานภายใน วพอ.")</f>
        <v>ช่วยเหลืองานภายใน วพอ.</v>
      </c>
      <c r="H185" s="3" t="str">
        <f>IFERROR(__xludf.DUMMYFUNCTION("""COMPUTED_VALUE"""),"กิจกรรมปฐมนิเทศ นักเรียนพยาบาลทหารอากาศ ชั้นปีที่ ๑ และผู้ปกครอง ประจำปีการศึกษา ๒๕๖๘")</f>
        <v>กิจกรรมปฐมนิเทศ นักเรียนพยาบาลทหารอากาศ ชั้นปีที่ ๑ และผู้ปกครอง ประจำปีการศึกษา ๒๕๖๘</v>
      </c>
      <c r="I185" s="3" t="str">
        <f>IFERROR(__xludf.DUMMYFUNCTION("""COMPUTED_VALUE"""),"วิทยาลัยพยาบาลทหารอากาศ กรมแพทย์ทหารอากาศ")</f>
        <v>วิทยาลัยพยาบาลทหารอากาศ กรมแพทย์ทหารอากาศ</v>
      </c>
      <c r="J185" s="12">
        <f>IFERROR(__xludf.DUMMYFUNCTION("""COMPUTED_VALUE"""),45859.0)</f>
        <v>45859</v>
      </c>
      <c r="K185" s="3" t="str">
        <f>IFERROR(__xludf.DUMMYFUNCTION("""COMPUTED_VALUE"""),"0800 - 1600")</f>
        <v>0800 - 1600</v>
      </c>
      <c r="L185" s="3">
        <f>IFERROR(__xludf.DUMMYFUNCTION("""COMPUTED_VALUE"""),8.0)</f>
        <v>8</v>
      </c>
      <c r="M185" s="3" t="str">
        <f>IFERROR(__xludf.DUMMYFUNCTION("""COMPUTED_VALUE"""),"ร.อ.อนุชิต ทำจะดี")</f>
        <v>ร.อ.อนุชิต ทำจะดี</v>
      </c>
      <c r="N185" s="14" t="str">
        <f>IFERROR(__xludf.DUMMYFUNCTION("""COMPUTED_VALUE"""),"https://lh5.googleusercontent.com/d/15xSvkOMhCviwx43594NKkHDLS--QIvKN")</f>
        <v>https://lh5.googleusercontent.com/d/15xSvkOMhCviwx43594NKkHDLS--QIvKN</v>
      </c>
      <c r="O185" s="14" t="str">
        <f>IFERROR(__xludf.DUMMYFUNCTION("""COMPUTED_VALUE"""),"https://drive.google.com/file/d/1yIOSt4_o4YoN16afzI5ak7Tba5F__y-z/view?usp=drivesdk")</f>
        <v>https://drive.google.com/file/d/1yIOSt4_o4YoN16afzI5ak7Tba5F__y-z/view?usp=drivesdk</v>
      </c>
    </row>
    <row r="186">
      <c r="A186" s="3">
        <f>IFERROR(__xludf.DUMMYFUNCTION("""COMPUTED_VALUE"""),496.0)</f>
        <v>496</v>
      </c>
      <c r="B186" s="11">
        <f>IFERROR(__xludf.DUMMYFUNCTION("""COMPUTED_VALUE"""),45991.056502210646)</f>
        <v>45991.0565</v>
      </c>
      <c r="C186" s="3" t="str">
        <f>IFERROR(__xludf.DUMMYFUNCTION("""COMPUTED_VALUE"""),"ชั้นปีที่ 2")</f>
        <v>ชั้นปีที่ 2</v>
      </c>
      <c r="D186" s="3" t="str">
        <f>IFERROR(__xludf.DUMMYFUNCTION("""COMPUTED_VALUE"""),"6703834")</f>
        <v>6703834</v>
      </c>
      <c r="E186" s="3" t="str">
        <f>IFERROR(__xludf.DUMMYFUNCTION("""COMPUTED_VALUE"""),"17")</f>
        <v>17</v>
      </c>
      <c r="F186" s="3" t="str">
        <f>IFERROR(__xludf.DUMMYFUNCTION("""COMPUTED_VALUE"""),"นพอ.ฑิตถากร แน่นอุดร")</f>
        <v>นพอ.ฑิตถากร แน่นอุดร</v>
      </c>
      <c r="G18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6" s="3" t="str">
        <f>IFERROR(__xludf.DUMMYFUNCTION("""COMPUTED_VALUE"""),"ฝึกซ้อมดนตรีไทย งานไหว้ครู10สถาบัน")</f>
        <v>ฝึกซ้อมดนตรีไทย งานไหว้ครู10สถาบัน</v>
      </c>
      <c r="I186" s="3" t="str">
        <f>IFERROR(__xludf.DUMMYFUNCTION("""COMPUTED_VALUE"""),"วพ.ตร.")</f>
        <v>วพ.ตร.</v>
      </c>
      <c r="J186" s="12">
        <f>IFERROR(__xludf.DUMMYFUNCTION("""COMPUTED_VALUE"""),45822.0)</f>
        <v>45822</v>
      </c>
      <c r="K186" s="3" t="str">
        <f>IFERROR(__xludf.DUMMYFUNCTION("""COMPUTED_VALUE"""),"0800-1500")</f>
        <v>0800-1500</v>
      </c>
      <c r="L186" s="3">
        <f>IFERROR(__xludf.DUMMYFUNCTION("""COMPUTED_VALUE"""),7.0)</f>
        <v>7</v>
      </c>
      <c r="M186" s="3" t="str">
        <f>IFERROR(__xludf.DUMMYFUNCTION("""COMPUTED_VALUE"""),"ร.อ.หญิง ขนัฎฐา นาดี")</f>
        <v>ร.อ.หญิง ขนัฎฐา นาดี</v>
      </c>
      <c r="N186" s="14" t="str">
        <f>IFERROR(__xludf.DUMMYFUNCTION("""COMPUTED_VALUE"""),"https://lh5.googleusercontent.com/d/1t8EiZfTpWa3RmjLO80pr8iEiZdbhoEOu")</f>
        <v>https://lh5.googleusercontent.com/d/1t8EiZfTpWa3RmjLO80pr8iEiZdbhoEOu</v>
      </c>
      <c r="O186" s="14" t="str">
        <f>IFERROR(__xludf.DUMMYFUNCTION("""COMPUTED_VALUE"""),"https://drive.google.com/file/d/1eaJAq5-gX6TTC91i6h-aJDv3ZqnA7E8h/view?usp=drivesdk")</f>
        <v>https://drive.google.com/file/d/1eaJAq5-gX6TTC91i6h-aJDv3ZqnA7E8h/view?usp=drivesdk</v>
      </c>
    </row>
    <row r="187">
      <c r="A187" s="3">
        <f>IFERROR(__xludf.DUMMYFUNCTION("""COMPUTED_VALUE"""),498.0)</f>
        <v>498</v>
      </c>
      <c r="B187" s="11">
        <f>IFERROR(__xludf.DUMMYFUNCTION("""COMPUTED_VALUE"""),45991.06278290509)</f>
        <v>45991.06278</v>
      </c>
      <c r="C187" s="3" t="str">
        <f>IFERROR(__xludf.DUMMYFUNCTION("""COMPUTED_VALUE"""),"ชั้นปีที่ 2")</f>
        <v>ชั้นปีที่ 2</v>
      </c>
      <c r="D187" s="3" t="str">
        <f>IFERROR(__xludf.DUMMYFUNCTION("""COMPUTED_VALUE"""),"6703834")</f>
        <v>6703834</v>
      </c>
      <c r="E187" s="3" t="str">
        <f>IFERROR(__xludf.DUMMYFUNCTION("""COMPUTED_VALUE"""),"17")</f>
        <v>17</v>
      </c>
      <c r="F187" s="3" t="str">
        <f>IFERROR(__xludf.DUMMYFUNCTION("""COMPUTED_VALUE"""),"นพอ.ฑิตถากร แน่นอุดร")</f>
        <v>นพอ.ฑิตถากร แน่นอุดร</v>
      </c>
      <c r="G1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7" s="3" t="str">
        <f>IFERROR(__xludf.DUMMYFUNCTION("""COMPUTED_VALUE"""),"ฝึกซ้อมดนตรีไทย งานไหว้ครู10สถาบัน")</f>
        <v>ฝึกซ้อมดนตรีไทย งานไหว้ครู10สถาบัน</v>
      </c>
      <c r="I187" s="3" t="str">
        <f>IFERROR(__xludf.DUMMYFUNCTION("""COMPUTED_VALUE"""),"วพ.ตร.")</f>
        <v>วพ.ตร.</v>
      </c>
      <c r="J187" s="12">
        <f>IFERROR(__xludf.DUMMYFUNCTION("""COMPUTED_VALUE"""),45829.0)</f>
        <v>45829</v>
      </c>
      <c r="K187" s="3" t="str">
        <f>IFERROR(__xludf.DUMMYFUNCTION("""COMPUTED_VALUE"""),"0800-1500")</f>
        <v>0800-1500</v>
      </c>
      <c r="L187" s="3">
        <f>IFERROR(__xludf.DUMMYFUNCTION("""COMPUTED_VALUE"""),7.0)</f>
        <v>7</v>
      </c>
      <c r="M187" s="3" t="str">
        <f>IFERROR(__xludf.DUMMYFUNCTION("""COMPUTED_VALUE"""),"ร.อ.หญิงขนัฎฐา นาดี")</f>
        <v>ร.อ.หญิงขนัฎฐา นาดี</v>
      </c>
      <c r="N187" s="14" t="str">
        <f>IFERROR(__xludf.DUMMYFUNCTION("""COMPUTED_VALUE"""),"https://lh5.googleusercontent.com/d/1j6_cvlKRaBpX7fduL81D3W8WCqV98ezG")</f>
        <v>https://lh5.googleusercontent.com/d/1j6_cvlKRaBpX7fduL81D3W8WCqV98ezG</v>
      </c>
      <c r="O187" s="14" t="str">
        <f>IFERROR(__xludf.DUMMYFUNCTION("""COMPUTED_VALUE"""),"https://drive.google.com/file/d/1FZBi3T8zhsHao1uoQRyvwXCfKCQevP69/view?usp=drivesdk")</f>
        <v>https://drive.google.com/file/d/1FZBi3T8zhsHao1uoQRyvwXCfKCQevP69/view?usp=drivesdk</v>
      </c>
    </row>
    <row r="188">
      <c r="A188" s="3">
        <f>IFERROR(__xludf.DUMMYFUNCTION("""COMPUTED_VALUE"""),499.0)</f>
        <v>499</v>
      </c>
      <c r="B188" s="11">
        <f>IFERROR(__xludf.DUMMYFUNCTION("""COMPUTED_VALUE"""),45991.068500196765)</f>
        <v>45991.0685</v>
      </c>
      <c r="C188" s="3" t="str">
        <f>IFERROR(__xludf.DUMMYFUNCTION("""COMPUTED_VALUE"""),"ชั้นปีที่ 2")</f>
        <v>ชั้นปีที่ 2</v>
      </c>
      <c r="D188" s="3" t="str">
        <f>IFERROR(__xludf.DUMMYFUNCTION("""COMPUTED_VALUE"""),"6703834")</f>
        <v>6703834</v>
      </c>
      <c r="E188" s="3" t="str">
        <f>IFERROR(__xludf.DUMMYFUNCTION("""COMPUTED_VALUE"""),"17")</f>
        <v>17</v>
      </c>
      <c r="F188" s="3" t="str">
        <f>IFERROR(__xludf.DUMMYFUNCTION("""COMPUTED_VALUE"""),"นพอ.ฑิตถากร แน่นอุดร")</f>
        <v>นพอ.ฑิตถากร แน่นอุดร</v>
      </c>
      <c r="G18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8" s="3" t="str">
        <f>IFERROR(__xludf.DUMMYFUNCTION("""COMPUTED_VALUE"""),"ฝึกซ้อมดนตรีไทย งานไหว้ครู10สถาบัน")</f>
        <v>ฝึกซ้อมดนตรีไทย งานไหว้ครู10สถาบัน</v>
      </c>
      <c r="I188" s="3" t="str">
        <f>IFERROR(__xludf.DUMMYFUNCTION("""COMPUTED_VALUE"""),"วพ.ตร.")</f>
        <v>วพ.ตร.</v>
      </c>
      <c r="J188" s="12">
        <f>IFERROR(__xludf.DUMMYFUNCTION("""COMPUTED_VALUE"""),45836.0)</f>
        <v>45836</v>
      </c>
      <c r="K188" s="3" t="str">
        <f>IFERROR(__xludf.DUMMYFUNCTION("""COMPUTED_VALUE"""),"0800-1500")</f>
        <v>0800-1500</v>
      </c>
      <c r="L188" s="3">
        <f>IFERROR(__xludf.DUMMYFUNCTION("""COMPUTED_VALUE"""),7.0)</f>
        <v>7</v>
      </c>
      <c r="M188" s="3" t="str">
        <f>IFERROR(__xludf.DUMMYFUNCTION("""COMPUTED_VALUE"""),"ร.อ.หญิง ขนัฎฐา นาดี")</f>
        <v>ร.อ.หญิง ขนัฎฐา นาดี</v>
      </c>
      <c r="N188" s="14" t="str">
        <f>IFERROR(__xludf.DUMMYFUNCTION("""COMPUTED_VALUE"""),"https://lh5.googleusercontent.com/d/17tnx-iJiHPzHFkVaJwacUhZMyVQPWY86")</f>
        <v>https://lh5.googleusercontent.com/d/17tnx-iJiHPzHFkVaJwacUhZMyVQPWY86</v>
      </c>
      <c r="O188" s="14" t="str">
        <f>IFERROR(__xludf.DUMMYFUNCTION("""COMPUTED_VALUE"""),"https://drive.google.com/file/d/1jSaeVOOl7wEJtSid6POGdM5-XK227len/view?usp=drivesdk")</f>
        <v>https://drive.google.com/file/d/1jSaeVOOl7wEJtSid6POGdM5-XK227len/view?usp=drivesdk</v>
      </c>
    </row>
    <row r="189">
      <c r="A189" s="3">
        <f>IFERROR(__xludf.DUMMYFUNCTION("""COMPUTED_VALUE"""),500.0)</f>
        <v>500</v>
      </c>
      <c r="B189" s="11">
        <f>IFERROR(__xludf.DUMMYFUNCTION("""COMPUTED_VALUE"""),45991.071988784715)</f>
        <v>45991.07199</v>
      </c>
      <c r="C189" s="3" t="str">
        <f>IFERROR(__xludf.DUMMYFUNCTION("""COMPUTED_VALUE"""),"ชั้นปีที่ 2")</f>
        <v>ชั้นปีที่ 2</v>
      </c>
      <c r="D189" s="3" t="str">
        <f>IFERROR(__xludf.DUMMYFUNCTION("""COMPUTED_VALUE"""),"6703834")</f>
        <v>6703834</v>
      </c>
      <c r="E189" s="3" t="str">
        <f>IFERROR(__xludf.DUMMYFUNCTION("""COMPUTED_VALUE"""),"17")</f>
        <v>17</v>
      </c>
      <c r="F189" s="3" t="str">
        <f>IFERROR(__xludf.DUMMYFUNCTION("""COMPUTED_VALUE"""),"นพอ.ฑิตถากร แน่นอุดร")</f>
        <v>นพอ.ฑิตถากร แน่นอุดร</v>
      </c>
      <c r="G18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89" s="3" t="str">
        <f>IFERROR(__xludf.DUMMYFUNCTION("""COMPUTED_VALUE"""),"กีฬาประเพณีทหาร-ตำรวจ ครั้งที่59")</f>
        <v>กีฬาประเพณีทหาร-ตำรวจ ครั้งที่59</v>
      </c>
      <c r="I189" s="3" t="str">
        <f>IFERROR(__xludf.DUMMYFUNCTION("""COMPUTED_VALUE"""),"โรงเรียนนายเรืออากาศนวมินทรกษัตริยาธิราช")</f>
        <v>โรงเรียนนายเรืออากาศนวมินทรกษัตริยาธิราช</v>
      </c>
      <c r="J189" s="12">
        <f>IFERROR(__xludf.DUMMYFUNCTION("""COMPUTED_VALUE"""),45841.0)</f>
        <v>45841</v>
      </c>
      <c r="K189" s="3" t="str">
        <f>IFERROR(__xludf.DUMMYFUNCTION("""COMPUTED_VALUE"""),"0800-1600")</f>
        <v>0800-1600</v>
      </c>
      <c r="L189" s="3">
        <f>IFERROR(__xludf.DUMMYFUNCTION("""COMPUTED_VALUE"""),8.0)</f>
        <v>8</v>
      </c>
      <c r="M189" s="3" t="str">
        <f>IFERROR(__xludf.DUMMYFUNCTION("""COMPUTED_VALUE"""),"ร.ต.หญิง สุริยกาล มงคลมะไฟ")</f>
        <v>ร.ต.หญิง สุริยกาล มงคลมะไฟ</v>
      </c>
      <c r="N189" s="3"/>
      <c r="O189" s="3"/>
    </row>
    <row r="190">
      <c r="A190" s="3">
        <f>IFERROR(__xludf.DUMMYFUNCTION("""COMPUTED_VALUE"""),501.0)</f>
        <v>501</v>
      </c>
      <c r="B190" s="11">
        <f>IFERROR(__xludf.DUMMYFUNCTION("""COMPUTED_VALUE"""),45991.07366512732)</f>
        <v>45991.07367</v>
      </c>
      <c r="C190" s="3" t="str">
        <f>IFERROR(__xludf.DUMMYFUNCTION("""COMPUTED_VALUE"""),"ชั้นปีที่ 2")</f>
        <v>ชั้นปีที่ 2</v>
      </c>
      <c r="D190" s="3" t="str">
        <f>IFERROR(__xludf.DUMMYFUNCTION("""COMPUTED_VALUE"""),"6703834")</f>
        <v>6703834</v>
      </c>
      <c r="E190" s="3" t="str">
        <f>IFERROR(__xludf.DUMMYFUNCTION("""COMPUTED_VALUE"""),"17")</f>
        <v>17</v>
      </c>
      <c r="F190" s="3" t="str">
        <f>IFERROR(__xludf.DUMMYFUNCTION("""COMPUTED_VALUE"""),"นพอ.ฑิตถากร แน่นอุดร")</f>
        <v>นพอ.ฑิตถากร แน่นอุดร</v>
      </c>
      <c r="G19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0" s="3" t="str">
        <f>IFERROR(__xludf.DUMMYFUNCTION("""COMPUTED_VALUE"""),"กีฬาประเพณีทหาร-ตำรวจ ครั้งที่59")</f>
        <v>กีฬาประเพณีทหาร-ตำรวจ ครั้งที่59</v>
      </c>
      <c r="I190" s="3" t="str">
        <f>IFERROR(__xludf.DUMMYFUNCTION("""COMPUTED_VALUE"""),"โรงเรียนนวมิทรกษัตริยาธิราช")</f>
        <v>โรงเรียนนวมิทรกษัตริยาธิราช</v>
      </c>
      <c r="J190" s="12">
        <f>IFERROR(__xludf.DUMMYFUNCTION("""COMPUTED_VALUE"""),45841.0)</f>
        <v>45841</v>
      </c>
      <c r="K190" s="3" t="str">
        <f>IFERROR(__xludf.DUMMYFUNCTION("""COMPUTED_VALUE"""),"0800-1600")</f>
        <v>0800-1600</v>
      </c>
      <c r="L190" s="3">
        <f>IFERROR(__xludf.DUMMYFUNCTION("""COMPUTED_VALUE"""),8.0)</f>
        <v>8</v>
      </c>
      <c r="M190" s="3" t="str">
        <f>IFERROR(__xludf.DUMMYFUNCTION("""COMPUTED_VALUE"""),"ร.ต.หญิง สุริยกาล มงคนมะไฟ")</f>
        <v>ร.ต.หญิง สุริยกาล มงคนมะไฟ</v>
      </c>
      <c r="N190" s="14" t="str">
        <f>IFERROR(__xludf.DUMMYFUNCTION("""COMPUTED_VALUE"""),"https://lh5.googleusercontent.com/d/11S5-3x7A5or1GFesSUn3BgS4uUf4zAVg")</f>
        <v>https://lh5.googleusercontent.com/d/11S5-3x7A5or1GFesSUn3BgS4uUf4zAVg</v>
      </c>
      <c r="O190" s="14" t="str">
        <f>IFERROR(__xludf.DUMMYFUNCTION("""COMPUTED_VALUE"""),"https://drive.google.com/file/d/1i4iMqTiBoLr0Urb9KejcAarhDvWLCfXU/view?usp=drivesdk")</f>
        <v>https://drive.google.com/file/d/1i4iMqTiBoLr0Urb9KejcAarhDvWLCfXU/view?usp=drivesdk</v>
      </c>
    </row>
    <row r="191">
      <c r="A191" s="3">
        <f>IFERROR(__xludf.DUMMYFUNCTION("""COMPUTED_VALUE"""),517.0)</f>
        <v>517</v>
      </c>
      <c r="B191" s="11">
        <f>IFERROR(__xludf.DUMMYFUNCTION("""COMPUTED_VALUE"""),45991.381461701385)</f>
        <v>45991.38146</v>
      </c>
      <c r="C191" s="3" t="str">
        <f>IFERROR(__xludf.DUMMYFUNCTION("""COMPUTED_VALUE"""),"ชั้นปีที่ 2")</f>
        <v>ชั้นปีที่ 2</v>
      </c>
      <c r="D191" s="3" t="str">
        <f>IFERROR(__xludf.DUMMYFUNCTION("""COMPUTED_VALUE"""),"6703878")</f>
        <v>6703878</v>
      </c>
      <c r="E191" s="3" t="str">
        <f>IFERROR(__xludf.DUMMYFUNCTION("""COMPUTED_VALUE"""),"59")</f>
        <v>59</v>
      </c>
      <c r="F191" s="3" t="str">
        <f>IFERROR(__xludf.DUMMYFUNCTION("""COMPUTED_VALUE"""),"นพอ.สุชาสินี ป้อมพยัคฆ์")</f>
        <v>นพอ.สุชาสินี ป้อมพยัคฆ์</v>
      </c>
      <c r="G19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1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191" s="3" t="str">
        <f>IFERROR(__xludf.DUMMYFUNCTION("""COMPUTED_VALUE"""),"อุทยานการบินกองทัพอากาศ")</f>
        <v>อุทยานการบินกองทัพอากาศ</v>
      </c>
      <c r="J191" s="12">
        <f>IFERROR(__xludf.DUMMYFUNCTION("""COMPUTED_VALUE"""),45926.0)</f>
        <v>45926</v>
      </c>
      <c r="K191" s="3" t="str">
        <f>IFERROR(__xludf.DUMMYFUNCTION("""COMPUTED_VALUE"""),"1200-1600")</f>
        <v>1200-1600</v>
      </c>
      <c r="L191" s="3">
        <f>IFERROR(__xludf.DUMMYFUNCTION("""COMPUTED_VALUE"""),4.0)</f>
        <v>4</v>
      </c>
      <c r="M191" s="3" t="str">
        <f>IFERROR(__xludf.DUMMYFUNCTION("""COMPUTED_VALUE"""),"น.ท.หญิง สิรินันท์ ชูเชิด")</f>
        <v>น.ท.หญิง สิรินันท์ ชูเชิด</v>
      </c>
      <c r="N191" s="14" t="str">
        <f>IFERROR(__xludf.DUMMYFUNCTION("""COMPUTED_VALUE"""),"https://lh5.googleusercontent.com/d/1KZ9cvxh05TvnTRXicnN-_DUQ2o5BpcK0")</f>
        <v>https://lh5.googleusercontent.com/d/1KZ9cvxh05TvnTRXicnN-_DUQ2o5BpcK0</v>
      </c>
      <c r="O191" s="14" t="str">
        <f>IFERROR(__xludf.DUMMYFUNCTION("""COMPUTED_VALUE"""),"https://drive.google.com/file/d/1mcBIYSJYYKXj1IJJBeu2332AFGh_WzMI/view?usp=drivesdk")</f>
        <v>https://drive.google.com/file/d/1mcBIYSJYYKXj1IJJBeu2332AFGh_WzMI/view?usp=drivesdk</v>
      </c>
    </row>
    <row r="192">
      <c r="A192" s="3">
        <f>IFERROR(__xludf.DUMMYFUNCTION("""COMPUTED_VALUE"""),518.0)</f>
        <v>518</v>
      </c>
      <c r="B192" s="11">
        <f>IFERROR(__xludf.DUMMYFUNCTION("""COMPUTED_VALUE"""),45991.38324916666)</f>
        <v>45991.38325</v>
      </c>
      <c r="C192" s="3" t="str">
        <f>IFERROR(__xludf.DUMMYFUNCTION("""COMPUTED_VALUE"""),"ชั้นปีที่ 2")</f>
        <v>ชั้นปีที่ 2</v>
      </c>
      <c r="D192" s="3" t="str">
        <f>IFERROR(__xludf.DUMMYFUNCTION("""COMPUTED_VALUE"""),"6703878")</f>
        <v>6703878</v>
      </c>
      <c r="E192" s="3" t="str">
        <f>IFERROR(__xludf.DUMMYFUNCTION("""COMPUTED_VALUE"""),"59")</f>
        <v>59</v>
      </c>
      <c r="F192" s="3" t="str">
        <f>IFERROR(__xludf.DUMMYFUNCTION("""COMPUTED_VALUE"""),"นพอ.สุชาสินี ป้อมพยัคฆ์")</f>
        <v>นพอ.สุชาสินี ป้อมพยัคฆ์</v>
      </c>
      <c r="G19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2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192" s="3" t="str">
        <f>IFERROR(__xludf.DUMMYFUNCTION("""COMPUTED_VALUE"""),"อุทยานการบินกองทัพอากาศ")</f>
        <v>อุทยานการบินกองทัพอากาศ</v>
      </c>
      <c r="J192" s="12">
        <f>IFERROR(__xludf.DUMMYFUNCTION("""COMPUTED_VALUE"""),45930.0)</f>
        <v>45930</v>
      </c>
      <c r="K192" s="3" t="str">
        <f>IFERROR(__xludf.DUMMYFUNCTION("""COMPUTED_VALUE"""),"1200-1600")</f>
        <v>1200-1600</v>
      </c>
      <c r="L192" s="3">
        <f>IFERROR(__xludf.DUMMYFUNCTION("""COMPUTED_VALUE"""),4.0)</f>
        <v>4</v>
      </c>
      <c r="M192" s="3" t="str">
        <f>IFERROR(__xludf.DUMMYFUNCTION("""COMPUTED_VALUE"""),"น.ท.หญิง สิรินันท์ ชูเชิด")</f>
        <v>น.ท.หญิง สิรินันท์ ชูเชิด</v>
      </c>
      <c r="N192" s="14" t="str">
        <f>IFERROR(__xludf.DUMMYFUNCTION("""COMPUTED_VALUE"""),"https://lh5.googleusercontent.com/d/1mi9O3mjV-nJTB_YB0K2hdl7ddXgX_CKH")</f>
        <v>https://lh5.googleusercontent.com/d/1mi9O3mjV-nJTB_YB0K2hdl7ddXgX_CKH</v>
      </c>
      <c r="O192" s="14" t="str">
        <f>IFERROR(__xludf.DUMMYFUNCTION("""COMPUTED_VALUE"""),"https://drive.google.com/file/d/1HqPfYKgmUY3jO2qeUAYCuXjP0tzG8mWm/view?usp=drivesdk")</f>
        <v>https://drive.google.com/file/d/1HqPfYKgmUY3jO2qeUAYCuXjP0tzG8mWm/view?usp=drivesdk</v>
      </c>
    </row>
    <row r="193">
      <c r="A193" s="3">
        <f>IFERROR(__xludf.DUMMYFUNCTION("""COMPUTED_VALUE"""),521.0)</f>
        <v>521</v>
      </c>
      <c r="B193" s="11">
        <f>IFERROR(__xludf.DUMMYFUNCTION("""COMPUTED_VALUE"""),45991.408676087965)</f>
        <v>45991.40868</v>
      </c>
      <c r="C193" s="3" t="str">
        <f>IFERROR(__xludf.DUMMYFUNCTION("""COMPUTED_VALUE"""),"ชั้นปีที่ 2")</f>
        <v>ชั้นปีที่ 2</v>
      </c>
      <c r="D193" s="3" t="str">
        <f>IFERROR(__xludf.DUMMYFUNCTION("""COMPUTED_VALUE"""),"6703831")</f>
        <v>6703831</v>
      </c>
      <c r="E193" s="3" t="str">
        <f>IFERROR(__xludf.DUMMYFUNCTION("""COMPUTED_VALUE"""),"14")</f>
        <v>14</v>
      </c>
      <c r="F193" s="3" t="str">
        <f>IFERROR(__xludf.DUMMYFUNCTION("""COMPUTED_VALUE"""),"นพอ.ญาณิศา ตุ้งซี่")</f>
        <v>นพอ.ญาณิศา ตุ้งซี่</v>
      </c>
      <c r="G19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3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19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3" s="12">
        <f>IFERROR(__xludf.DUMMYFUNCTION("""COMPUTED_VALUE"""),45840.0)</f>
        <v>45840</v>
      </c>
      <c r="K193" s="3" t="str">
        <f>IFERROR(__xludf.DUMMYFUNCTION("""COMPUTED_VALUE"""),"1400-2200")</f>
        <v>1400-2200</v>
      </c>
      <c r="L193" s="3">
        <f>IFERROR(__xludf.DUMMYFUNCTION("""COMPUTED_VALUE"""),8.0)</f>
        <v>8</v>
      </c>
      <c r="M193" s="3" t="str">
        <f>IFERROR(__xludf.DUMMYFUNCTION("""COMPUTED_VALUE"""),"ร.อ.อนุชิต ทำจะดี")</f>
        <v>ร.อ.อนุชิต ทำจะดี</v>
      </c>
      <c r="N193" s="14" t="str">
        <f>IFERROR(__xludf.DUMMYFUNCTION("""COMPUTED_VALUE"""),"https://lh5.googleusercontent.com/d/1wgFDQbyEYdCQKMQWy_uwYzAJbMdYdMsJ")</f>
        <v>https://lh5.googleusercontent.com/d/1wgFDQbyEYdCQKMQWy_uwYzAJbMdYdMsJ</v>
      </c>
      <c r="O193" s="14" t="str">
        <f>IFERROR(__xludf.DUMMYFUNCTION("""COMPUTED_VALUE"""),"https://drive.google.com/file/d/1mUDr8Bl5enFh0Cg_kZADYiR-r0xLmxXf/view?usp=drivesdk")</f>
        <v>https://drive.google.com/file/d/1mUDr8Bl5enFh0Cg_kZADYiR-r0xLmxXf/view?usp=drivesdk</v>
      </c>
    </row>
    <row r="194">
      <c r="A194" s="3">
        <f>IFERROR(__xludf.DUMMYFUNCTION("""COMPUTED_VALUE"""),522.0)</f>
        <v>522</v>
      </c>
      <c r="B194" s="11">
        <f>IFERROR(__xludf.DUMMYFUNCTION("""COMPUTED_VALUE"""),45991.414293472226)</f>
        <v>45991.41429</v>
      </c>
      <c r="C194" s="3" t="str">
        <f>IFERROR(__xludf.DUMMYFUNCTION("""COMPUTED_VALUE"""),"ชั้นปีที่ 2")</f>
        <v>ชั้นปีที่ 2</v>
      </c>
      <c r="D194" s="3" t="str">
        <f>IFERROR(__xludf.DUMMYFUNCTION("""COMPUTED_VALUE"""),"6703863")</f>
        <v>6703863</v>
      </c>
      <c r="E194" s="3" t="str">
        <f>IFERROR(__xludf.DUMMYFUNCTION("""COMPUTED_VALUE"""),"45")</f>
        <v>45</v>
      </c>
      <c r="F194" s="3" t="str">
        <f>IFERROR(__xludf.DUMMYFUNCTION("""COMPUTED_VALUE"""),"นพอ.ยศสินี มีมงคล")</f>
        <v>นพอ.ยศสินี มีมงคล</v>
      </c>
      <c r="G194" s="3" t="str">
        <f>IFERROR(__xludf.DUMMYFUNCTION("""COMPUTED_VALUE"""),"ช่วยเหลืองานภายใน วพอ.")</f>
        <v>ช่วยเหลืองานภายใน วพอ.</v>
      </c>
      <c r="H194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94" s="3" t="str">
        <f>IFERROR(__xludf.DUMMYFUNCTION("""COMPUTED_VALUE"""),"ห้องเรียน นพอ.ชั้นปีที่1 ")</f>
        <v>ห้องเรียน นพอ.ชั้นปีที่1 </v>
      </c>
      <c r="J194" s="12">
        <f>IFERROR(__xludf.DUMMYFUNCTION("""COMPUTED_VALUE"""),45986.0)</f>
        <v>45986</v>
      </c>
      <c r="K194" s="3" t="str">
        <f>IFERROR(__xludf.DUMMYFUNCTION("""COMPUTED_VALUE"""),"0800-1600")</f>
        <v>0800-1600</v>
      </c>
      <c r="L194" s="3">
        <f>IFERROR(__xludf.DUMMYFUNCTION("""COMPUTED_VALUE"""),8.0)</f>
        <v>8</v>
      </c>
      <c r="M194" s="3" t="str">
        <f>IFERROR(__xludf.DUMMYFUNCTION("""COMPUTED_VALUE"""),"ร.ท.เรวัติ วัชรสิทธิ์")</f>
        <v>ร.ท.เรวัติ วัชรสิทธิ์</v>
      </c>
      <c r="N194" s="14" t="str">
        <f>IFERROR(__xludf.DUMMYFUNCTION("""COMPUTED_VALUE"""),"https://lh5.googleusercontent.com/d/1ydTptFZM_CQixNyfliOx1ZKhFTYjNiJq")</f>
        <v>https://lh5.googleusercontent.com/d/1ydTptFZM_CQixNyfliOx1ZKhFTYjNiJq</v>
      </c>
      <c r="O194" s="14" t="str">
        <f>IFERROR(__xludf.DUMMYFUNCTION("""COMPUTED_VALUE"""),"https://drive.google.com/file/d/1xhc6rD7MI_oTHmKihRw29Z0wiQ5qED7F/view?usp=drivesdk")</f>
        <v>https://drive.google.com/file/d/1xhc6rD7MI_oTHmKihRw29Z0wiQ5qED7F/view?usp=drivesdk</v>
      </c>
    </row>
    <row r="195">
      <c r="A195" s="3">
        <f>IFERROR(__xludf.DUMMYFUNCTION("""COMPUTED_VALUE"""),523.0)</f>
        <v>523</v>
      </c>
      <c r="B195" s="11">
        <f>IFERROR(__xludf.DUMMYFUNCTION("""COMPUTED_VALUE"""),45991.41556652778)</f>
        <v>45991.41557</v>
      </c>
      <c r="C195" s="3" t="str">
        <f>IFERROR(__xludf.DUMMYFUNCTION("""COMPUTED_VALUE"""),"ชั้นปีที่ 2")</f>
        <v>ชั้นปีที่ 2</v>
      </c>
      <c r="D195" s="3" t="str">
        <f>IFERROR(__xludf.DUMMYFUNCTION("""COMPUTED_VALUE"""),"6703825")</f>
        <v>6703825</v>
      </c>
      <c r="E195" s="3" t="str">
        <f>IFERROR(__xludf.DUMMYFUNCTION("""COMPUTED_VALUE"""),"8")</f>
        <v>8</v>
      </c>
      <c r="F195" s="3" t="str">
        <f>IFERROR(__xludf.DUMMYFUNCTION("""COMPUTED_VALUE"""),"นพอ.จิราภา กลิ่นมณฑา")</f>
        <v>นพอ.จิราภา กลิ่นมณฑา</v>
      </c>
      <c r="G1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5" s="3" t="str">
        <f>IFERROR(__xludf.DUMMYFUNCTION("""COMPUTED_VALUE"""),"คอนเสิร์ตทัพฟ้าคู่ไทยเพื่อ“ชัยพัฒนา” ครั้งที่ 16")</f>
        <v>คอนเสิร์ตทัพฟ้าคู่ไทยเพื่อ“ชัยพัฒนา” ครั้งที่ 16</v>
      </c>
      <c r="I19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5" s="12">
        <f>IFERROR(__xludf.DUMMYFUNCTION("""COMPUTED_VALUE"""),45839.0)</f>
        <v>45839</v>
      </c>
      <c r="K195" s="3" t="str">
        <f>IFERROR(__xludf.DUMMYFUNCTION("""COMPUTED_VALUE"""),"1400-2200")</f>
        <v>1400-2200</v>
      </c>
      <c r="L195" s="3">
        <f>IFERROR(__xludf.DUMMYFUNCTION("""COMPUTED_VALUE"""),8.0)</f>
        <v>8</v>
      </c>
      <c r="M195" s="3" t="str">
        <f>IFERROR(__xludf.DUMMYFUNCTION("""COMPUTED_VALUE"""),"ร.อ.อนุชิต ทำจะดี")</f>
        <v>ร.อ.อนุชิต ทำจะดี</v>
      </c>
      <c r="N195" s="14" t="str">
        <f>IFERROR(__xludf.DUMMYFUNCTION("""COMPUTED_VALUE"""),"https://lh5.googleusercontent.com/d/1TKNhns88UPb4VRDzZRQt2tZCKIsE4l5e")</f>
        <v>https://lh5.googleusercontent.com/d/1TKNhns88UPb4VRDzZRQt2tZCKIsE4l5e</v>
      </c>
      <c r="O195" s="14" t="str">
        <f>IFERROR(__xludf.DUMMYFUNCTION("""COMPUTED_VALUE"""),"https://drive.google.com/file/d/1u-zU3xllxbhHPF0cp9hkM9z3hbS_UifN/view?usp=drivesdk")</f>
        <v>https://drive.google.com/file/d/1u-zU3xllxbhHPF0cp9hkM9z3hbS_UifN/view?usp=drivesdk</v>
      </c>
    </row>
    <row r="196">
      <c r="A196" s="3">
        <f>IFERROR(__xludf.DUMMYFUNCTION("""COMPUTED_VALUE"""),524.0)</f>
        <v>524</v>
      </c>
      <c r="B196" s="11">
        <f>IFERROR(__xludf.DUMMYFUNCTION("""COMPUTED_VALUE"""),45991.417826689816)</f>
        <v>45991.41783</v>
      </c>
      <c r="C196" s="3" t="str">
        <f>IFERROR(__xludf.DUMMYFUNCTION("""COMPUTED_VALUE"""),"ชั้นปีที่ 2")</f>
        <v>ชั้นปีที่ 2</v>
      </c>
      <c r="D196" s="3" t="str">
        <f>IFERROR(__xludf.DUMMYFUNCTION("""COMPUTED_VALUE"""),"6703825")</f>
        <v>6703825</v>
      </c>
      <c r="E196" s="3" t="str">
        <f>IFERROR(__xludf.DUMMYFUNCTION("""COMPUTED_VALUE"""),"8")</f>
        <v>8</v>
      </c>
      <c r="F196" s="3" t="str">
        <f>IFERROR(__xludf.DUMMYFUNCTION("""COMPUTED_VALUE"""),"นพอ.จิราภา กลิ่นมณฑา")</f>
        <v>นพอ.จิราภา กลิ่นมณฑา</v>
      </c>
      <c r="G19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6" s="3" t="str">
        <f>IFERROR(__xludf.DUMMYFUNCTION("""COMPUTED_VALUE"""),"คอนเสิร์ตทัพฟ้าคู่ไทยเพื่อ“ชัยพัฒนา” ครั้งที่ 16")</f>
        <v>คอนเสิร์ตทัพฟ้าคู่ไทยเพื่อ“ชัยพัฒนา” ครั้งที่ 16</v>
      </c>
      <c r="I19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6" s="12">
        <f>IFERROR(__xludf.DUMMYFUNCTION("""COMPUTED_VALUE"""),45840.0)</f>
        <v>45840</v>
      </c>
      <c r="K196" s="3" t="str">
        <f>IFERROR(__xludf.DUMMYFUNCTION("""COMPUTED_VALUE"""),"1400-2200")</f>
        <v>1400-2200</v>
      </c>
      <c r="L196" s="3">
        <f>IFERROR(__xludf.DUMMYFUNCTION("""COMPUTED_VALUE"""),8.0)</f>
        <v>8</v>
      </c>
      <c r="M196" s="3" t="str">
        <f>IFERROR(__xludf.DUMMYFUNCTION("""COMPUTED_VALUE"""),"ร.อ.อนุชิต ทำจะดี")</f>
        <v>ร.อ.อนุชิต ทำจะดี</v>
      </c>
      <c r="N196" s="14" t="str">
        <f>IFERROR(__xludf.DUMMYFUNCTION("""COMPUTED_VALUE"""),"https://lh5.googleusercontent.com/d/1AAUQ5LQfZuEppXQ82TkaLWl8HJFEzNvP")</f>
        <v>https://lh5.googleusercontent.com/d/1AAUQ5LQfZuEppXQ82TkaLWl8HJFEzNvP</v>
      </c>
      <c r="O196" s="14" t="str">
        <f>IFERROR(__xludf.DUMMYFUNCTION("""COMPUTED_VALUE"""),"https://drive.google.com/file/d/13fGXf9fMZCBzd-x8SndVmNEh-rUre1PN/view?usp=drivesdk")</f>
        <v>https://drive.google.com/file/d/13fGXf9fMZCBzd-x8SndVmNEh-rUre1PN/view?usp=drivesdk</v>
      </c>
    </row>
    <row r="197">
      <c r="A197" s="3">
        <f>IFERROR(__xludf.DUMMYFUNCTION("""COMPUTED_VALUE"""),525.0)</f>
        <v>525</v>
      </c>
      <c r="B197" s="11">
        <f>IFERROR(__xludf.DUMMYFUNCTION("""COMPUTED_VALUE"""),45991.418617916665)</f>
        <v>45991.41862</v>
      </c>
      <c r="C197" s="3" t="str">
        <f>IFERROR(__xludf.DUMMYFUNCTION("""COMPUTED_VALUE"""),"ชั้นปีที่ 2")</f>
        <v>ชั้นปีที่ 2</v>
      </c>
      <c r="D197" s="3" t="str">
        <f>IFERROR(__xludf.DUMMYFUNCTION("""COMPUTED_VALUE"""),"6703831")</f>
        <v>6703831</v>
      </c>
      <c r="E197" s="3" t="str">
        <f>IFERROR(__xludf.DUMMYFUNCTION("""COMPUTED_VALUE"""),"14")</f>
        <v>14</v>
      </c>
      <c r="F197" s="3" t="str">
        <f>IFERROR(__xludf.DUMMYFUNCTION("""COMPUTED_VALUE"""),"นพอ.ญาณิศา ตุ้งซี่")</f>
        <v>นพอ.ญาณิศา ตุ้งซี่</v>
      </c>
      <c r="G197" s="3" t="str">
        <f>IFERROR(__xludf.DUMMYFUNCTION("""COMPUTED_VALUE"""),"ช่วยเหลืองานภายใน วพอ.")</f>
        <v>ช่วยเหลืองานภายใน วพอ.</v>
      </c>
      <c r="H197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197" s="3" t="str">
        <f>IFERROR(__xludf.DUMMYFUNCTION("""COMPUTED_VALUE"""),"ห้องเรียน นพอ.ชั้นปีที่1")</f>
        <v>ห้องเรียน นพอ.ชั้นปีที่1</v>
      </c>
      <c r="J197" s="12">
        <f>IFERROR(__xludf.DUMMYFUNCTION("""COMPUTED_VALUE"""),45984.0)</f>
        <v>45984</v>
      </c>
      <c r="K197" s="3" t="str">
        <f>IFERROR(__xludf.DUMMYFUNCTION("""COMPUTED_VALUE"""),"1000-1800")</f>
        <v>1000-1800</v>
      </c>
      <c r="L197" s="3">
        <f>IFERROR(__xludf.DUMMYFUNCTION("""COMPUTED_VALUE"""),8.0)</f>
        <v>8</v>
      </c>
      <c r="M197" s="3" t="str">
        <f>IFERROR(__xludf.DUMMYFUNCTION("""COMPUTED_VALUE"""),"ร.ท.เรวัติ วัชรสิทธิ์")</f>
        <v>ร.ท.เรวัติ วัชรสิทธิ์</v>
      </c>
      <c r="N197" s="14" t="str">
        <f>IFERROR(__xludf.DUMMYFUNCTION("""COMPUTED_VALUE"""),"https://lh5.googleusercontent.com/d/11QKbzTmhPLJ6Q91M9yfOUSF_zJmbUyeS")</f>
        <v>https://lh5.googleusercontent.com/d/11QKbzTmhPLJ6Q91M9yfOUSF_zJmbUyeS</v>
      </c>
      <c r="O197" s="14" t="str">
        <f>IFERROR(__xludf.DUMMYFUNCTION("""COMPUTED_VALUE"""),"https://drive.google.com/file/d/1E9qJzaGXGsiaW74fa1YU7JtR63ln82oO/view?usp=drivesdk")</f>
        <v>https://drive.google.com/file/d/1E9qJzaGXGsiaW74fa1YU7JtR63ln82oO/view?usp=drivesdk</v>
      </c>
    </row>
    <row r="198">
      <c r="A198" s="3">
        <f>IFERROR(__xludf.DUMMYFUNCTION("""COMPUTED_VALUE"""),526.0)</f>
        <v>526</v>
      </c>
      <c r="B198" s="11">
        <f>IFERROR(__xludf.DUMMYFUNCTION("""COMPUTED_VALUE"""),45991.42041273148)</f>
        <v>45991.42041</v>
      </c>
      <c r="C198" s="3" t="str">
        <f>IFERROR(__xludf.DUMMYFUNCTION("""COMPUTED_VALUE"""),"ชั้นปีที่ 2")</f>
        <v>ชั้นปีที่ 2</v>
      </c>
      <c r="D198" s="3" t="str">
        <f>IFERROR(__xludf.DUMMYFUNCTION("""COMPUTED_VALUE"""),"6703863")</f>
        <v>6703863</v>
      </c>
      <c r="E198" s="3" t="str">
        <f>IFERROR(__xludf.DUMMYFUNCTION("""COMPUTED_VALUE"""),"45")</f>
        <v>45</v>
      </c>
      <c r="F198" s="3" t="str">
        <f>IFERROR(__xludf.DUMMYFUNCTION("""COMPUTED_VALUE"""),"นพอ.ยศสินี มีมงคล")</f>
        <v>นพอ.ยศสินี มีมงคล</v>
      </c>
      <c r="G19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8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9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8" s="12">
        <f>IFERROR(__xludf.DUMMYFUNCTION("""COMPUTED_VALUE"""),45839.0)</f>
        <v>45839</v>
      </c>
      <c r="K198" s="3" t="str">
        <f>IFERROR(__xludf.DUMMYFUNCTION("""COMPUTED_VALUE"""),"1400-2200")</f>
        <v>1400-2200</v>
      </c>
      <c r="L198" s="3">
        <f>IFERROR(__xludf.DUMMYFUNCTION("""COMPUTED_VALUE"""),8.0)</f>
        <v>8</v>
      </c>
      <c r="M198" s="3" t="str">
        <f>IFERROR(__xludf.DUMMYFUNCTION("""COMPUTED_VALUE"""),"ร.อ.อนุชิต ทำจะดี")</f>
        <v>ร.อ.อนุชิต ทำจะดี</v>
      </c>
      <c r="N198" s="14" t="str">
        <f>IFERROR(__xludf.DUMMYFUNCTION("""COMPUTED_VALUE"""),"https://lh5.googleusercontent.com/d/1KvzAeDpx3LD-1ObgSFxFntPMtEuc1fqg")</f>
        <v>https://lh5.googleusercontent.com/d/1KvzAeDpx3LD-1ObgSFxFntPMtEuc1fqg</v>
      </c>
      <c r="O198" s="14" t="str">
        <f>IFERROR(__xludf.DUMMYFUNCTION("""COMPUTED_VALUE"""),"https://drive.google.com/file/d/1NJ27VdZlLw0BrcMTpc-18jDVGhFJhu7a/view?usp=drivesdk")</f>
        <v>https://drive.google.com/file/d/1NJ27VdZlLw0BrcMTpc-18jDVGhFJhu7a/view?usp=drivesdk</v>
      </c>
    </row>
    <row r="199">
      <c r="A199" s="3">
        <f>IFERROR(__xludf.DUMMYFUNCTION("""COMPUTED_VALUE"""),527.0)</f>
        <v>527</v>
      </c>
      <c r="B199" s="11">
        <f>IFERROR(__xludf.DUMMYFUNCTION("""COMPUTED_VALUE"""),45991.42153295139)</f>
        <v>45991.42153</v>
      </c>
      <c r="C199" s="3" t="str">
        <f>IFERROR(__xludf.DUMMYFUNCTION("""COMPUTED_VALUE"""),"ชั้นปีที่ 2")</f>
        <v>ชั้นปีที่ 2</v>
      </c>
      <c r="D199" s="3" t="str">
        <f>IFERROR(__xludf.DUMMYFUNCTION("""COMPUTED_VALUE"""),"6703863")</f>
        <v>6703863</v>
      </c>
      <c r="E199" s="3" t="str">
        <f>IFERROR(__xludf.DUMMYFUNCTION("""COMPUTED_VALUE"""),"45")</f>
        <v>45</v>
      </c>
      <c r="F199" s="3" t="str">
        <f>IFERROR(__xludf.DUMMYFUNCTION("""COMPUTED_VALUE"""),"นพอ.ยศสินี มีมงคล")</f>
        <v>นพอ.ยศสินี มีมงคล</v>
      </c>
      <c r="G1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99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19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199" s="12">
        <f>IFERROR(__xludf.DUMMYFUNCTION("""COMPUTED_VALUE"""),45840.0)</f>
        <v>45840</v>
      </c>
      <c r="K199" s="3" t="str">
        <f>IFERROR(__xludf.DUMMYFUNCTION("""COMPUTED_VALUE"""),"1400-2200")</f>
        <v>1400-2200</v>
      </c>
      <c r="L199" s="3">
        <f>IFERROR(__xludf.DUMMYFUNCTION("""COMPUTED_VALUE"""),8.0)</f>
        <v>8</v>
      </c>
      <c r="M199" s="3" t="str">
        <f>IFERROR(__xludf.DUMMYFUNCTION("""COMPUTED_VALUE"""),"ร.อ.อนุชิต ทำจะดี")</f>
        <v>ร.อ.อนุชิต ทำจะดี</v>
      </c>
      <c r="N199" s="14" t="str">
        <f>IFERROR(__xludf.DUMMYFUNCTION("""COMPUTED_VALUE"""),"https://lh5.googleusercontent.com/d/1e8rCAfz8ZoaDoOOVC25q4Dmo0dSZEHla")</f>
        <v>https://lh5.googleusercontent.com/d/1e8rCAfz8ZoaDoOOVC25q4Dmo0dSZEHla</v>
      </c>
      <c r="O199" s="14" t="str">
        <f>IFERROR(__xludf.DUMMYFUNCTION("""COMPUTED_VALUE"""),"https://drive.google.com/file/d/1hA-UMpJdI2-1UhIiPUlXGpN4IFDtc-pS/view?usp=drivesdk")</f>
        <v>https://drive.google.com/file/d/1hA-UMpJdI2-1UhIiPUlXGpN4IFDtc-pS/view?usp=drivesdk</v>
      </c>
    </row>
    <row r="200">
      <c r="A200" s="3">
        <f>IFERROR(__xludf.DUMMYFUNCTION("""COMPUTED_VALUE"""),528.0)</f>
        <v>528</v>
      </c>
      <c r="B200" s="11">
        <f>IFERROR(__xludf.DUMMYFUNCTION("""COMPUTED_VALUE"""),45991.42159319444)</f>
        <v>45991.42159</v>
      </c>
      <c r="C200" s="3" t="str">
        <f>IFERROR(__xludf.DUMMYFUNCTION("""COMPUTED_VALUE"""),"ชั้นปีที่ 2")</f>
        <v>ชั้นปีที่ 2</v>
      </c>
      <c r="D200" s="3" t="str">
        <f>IFERROR(__xludf.DUMMYFUNCTION("""COMPUTED_VALUE"""),"6703825")</f>
        <v>6703825</v>
      </c>
      <c r="E200" s="3" t="str">
        <f>IFERROR(__xludf.DUMMYFUNCTION("""COMPUTED_VALUE"""),"8")</f>
        <v>8</v>
      </c>
      <c r="F200" s="3" t="str">
        <f>IFERROR(__xludf.DUMMYFUNCTION("""COMPUTED_VALUE"""),"นพอ.จิราภา กลิ่นมณฑา")</f>
        <v>นพอ.จิราภา กลิ่นมณฑา</v>
      </c>
      <c r="G200" s="3" t="str">
        <f>IFERROR(__xludf.DUMMYFUNCTION("""COMPUTED_VALUE"""),"ช่วยเหลืองานภายใน วพอ.")</f>
        <v>ช่วยเหลืองานภายใน วพอ.</v>
      </c>
      <c r="H200" s="3" t="str">
        <f>IFERROR(__xludf.DUMMYFUNCTION("""COMPUTED_VALUE"""),"จิตอาสารับนรม.")</f>
        <v>จิตอาสารับนรม.</v>
      </c>
      <c r="I200" s="3" t="str">
        <f>IFERROR(__xludf.DUMMYFUNCTION("""COMPUTED_VALUE"""),"วิทยาลัยพยาบาลทหารอากาศ")</f>
        <v>วิทยาลัยพยาบาลทหารอากาศ</v>
      </c>
      <c r="J200" s="12">
        <f>IFERROR(__xludf.DUMMYFUNCTION("""COMPUTED_VALUE"""),45859.0)</f>
        <v>45859</v>
      </c>
      <c r="K200" s="3" t="str">
        <f>IFERROR(__xludf.DUMMYFUNCTION("""COMPUTED_VALUE"""),"0700-1500")</f>
        <v>0700-1500</v>
      </c>
      <c r="L200" s="3">
        <f>IFERROR(__xludf.DUMMYFUNCTION("""COMPUTED_VALUE"""),8.0)</f>
        <v>8</v>
      </c>
      <c r="M200" s="3" t="str">
        <f>IFERROR(__xludf.DUMMYFUNCTION("""COMPUTED_VALUE"""),"ร.อ.อนุชิต ทำจะดี")</f>
        <v>ร.อ.อนุชิต ทำจะดี</v>
      </c>
      <c r="N200" s="14" t="str">
        <f>IFERROR(__xludf.DUMMYFUNCTION("""COMPUTED_VALUE"""),"https://lh5.googleusercontent.com/d/1Lob7qULTcZ7rgny3NFBMur7KAUjhww7v")</f>
        <v>https://lh5.googleusercontent.com/d/1Lob7qULTcZ7rgny3NFBMur7KAUjhww7v</v>
      </c>
      <c r="O200" s="14" t="str">
        <f>IFERROR(__xludf.DUMMYFUNCTION("""COMPUTED_VALUE"""),"https://drive.google.com/file/d/1wFvlGKTUW-X6AcJjnuVbUZMm-aiqpkum/view?usp=drivesdk")</f>
        <v>https://drive.google.com/file/d/1wFvlGKTUW-X6AcJjnuVbUZMm-aiqpkum/view?usp=drivesdk</v>
      </c>
    </row>
    <row r="201">
      <c r="A201" s="3">
        <f>IFERROR(__xludf.DUMMYFUNCTION("""COMPUTED_VALUE"""),529.0)</f>
        <v>529</v>
      </c>
      <c r="B201" s="11">
        <f>IFERROR(__xludf.DUMMYFUNCTION("""COMPUTED_VALUE"""),45991.42357369213)</f>
        <v>45991.42357</v>
      </c>
      <c r="C201" s="3" t="str">
        <f>IFERROR(__xludf.DUMMYFUNCTION("""COMPUTED_VALUE"""),"ชั้นปีที่ 2")</f>
        <v>ชั้นปีที่ 2</v>
      </c>
      <c r="D201" s="3" t="str">
        <f>IFERROR(__xludf.DUMMYFUNCTION("""COMPUTED_VALUE"""),"6703825")</f>
        <v>6703825</v>
      </c>
      <c r="E201" s="3" t="str">
        <f>IFERROR(__xludf.DUMMYFUNCTION("""COMPUTED_VALUE"""),"8")</f>
        <v>8</v>
      </c>
      <c r="F201" s="3" t="str">
        <f>IFERROR(__xludf.DUMMYFUNCTION("""COMPUTED_VALUE"""),"นพอ.จิราภา กลิ่นมณฑา")</f>
        <v>นพอ.จิราภา กลิ่นมณฑา</v>
      </c>
      <c r="G20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1" s="3" t="str">
        <f>IFERROR(__xludf.DUMMYFUNCTION("""COMPUTED_VALUE"""),"ค่ายอบรมเยาวชนพัฒนา")</f>
        <v>ค่ายอบรมเยาวชนพัฒนา</v>
      </c>
      <c r="I201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201" s="12">
        <f>IFERROR(__xludf.DUMMYFUNCTION("""COMPUTED_VALUE"""),45884.0)</f>
        <v>45884</v>
      </c>
      <c r="K201" s="3" t="str">
        <f>IFERROR(__xludf.DUMMYFUNCTION("""COMPUTED_VALUE"""),"1800-2200")</f>
        <v>1800-2200</v>
      </c>
      <c r="L201" s="3">
        <f>IFERROR(__xludf.DUMMYFUNCTION("""COMPUTED_VALUE"""),4.0)</f>
        <v>4</v>
      </c>
      <c r="M20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01" s="14" t="str">
        <f>IFERROR(__xludf.DUMMYFUNCTION("""COMPUTED_VALUE"""),"https://lh5.googleusercontent.com/d/1uojeJkOnVtug_KN3I0NGEMityQDctP8B")</f>
        <v>https://lh5.googleusercontent.com/d/1uojeJkOnVtug_KN3I0NGEMityQDctP8B</v>
      </c>
      <c r="O201" s="14" t="str">
        <f>IFERROR(__xludf.DUMMYFUNCTION("""COMPUTED_VALUE"""),"https://drive.google.com/file/d/16Sld9LqI2ThJronB-2COGWsUiBTtqQ7C/view?usp=drivesdk")</f>
        <v>https://drive.google.com/file/d/16Sld9LqI2ThJronB-2COGWsUiBTtqQ7C/view?usp=drivesdk</v>
      </c>
    </row>
    <row r="202">
      <c r="A202" s="3">
        <f>IFERROR(__xludf.DUMMYFUNCTION("""COMPUTED_VALUE"""),530.0)</f>
        <v>530</v>
      </c>
      <c r="B202" s="11">
        <f>IFERROR(__xludf.DUMMYFUNCTION("""COMPUTED_VALUE"""),45991.42512949074)</f>
        <v>45991.42513</v>
      </c>
      <c r="C202" s="3" t="str">
        <f>IFERROR(__xludf.DUMMYFUNCTION("""COMPUTED_VALUE"""),"ชั้นปีที่ 2")</f>
        <v>ชั้นปีที่ 2</v>
      </c>
      <c r="D202" s="3" t="str">
        <f>IFERROR(__xludf.DUMMYFUNCTION("""COMPUTED_VALUE"""),"6703825")</f>
        <v>6703825</v>
      </c>
      <c r="E202" s="3" t="str">
        <f>IFERROR(__xludf.DUMMYFUNCTION("""COMPUTED_VALUE"""),"8")</f>
        <v>8</v>
      </c>
      <c r="F202" s="3" t="str">
        <f>IFERROR(__xludf.DUMMYFUNCTION("""COMPUTED_VALUE"""),"นพอ.จิราภา กลิ่นมณฑา")</f>
        <v>นพอ.จิราภา กลิ่นมณฑา</v>
      </c>
      <c r="G20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2" s="3" t="str">
        <f>IFERROR(__xludf.DUMMYFUNCTION("""COMPUTED_VALUE"""),"ค่ายอบรมเยาวชนพัฒนา")</f>
        <v>ค่ายอบรมเยาวชนพัฒนา</v>
      </c>
      <c r="I202" s="3" t="str">
        <f>IFERROR(__xludf.DUMMYFUNCTION("""COMPUTED_VALUE"""),"โรงเรียนเทศบาล 1 สถาวร จ.ชลบุรี")</f>
        <v>โรงเรียนเทศบาล 1 สถาวร จ.ชลบุรี</v>
      </c>
      <c r="J202" s="12">
        <f>IFERROR(__xludf.DUMMYFUNCTION("""COMPUTED_VALUE"""),45885.0)</f>
        <v>45885</v>
      </c>
      <c r="K202" s="3" t="str">
        <f>IFERROR(__xludf.DUMMYFUNCTION("""COMPUTED_VALUE"""),"0800-1600")</f>
        <v>0800-1600</v>
      </c>
      <c r="L202" s="3">
        <f>IFERROR(__xludf.DUMMYFUNCTION("""COMPUTED_VALUE"""),8.0)</f>
        <v>8</v>
      </c>
      <c r="M20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02" s="14" t="str">
        <f>IFERROR(__xludf.DUMMYFUNCTION("""COMPUTED_VALUE"""),"https://lh5.googleusercontent.com/d/1ud0W1AHDFXGVg2-maC4S6QB244Y6bNO4")</f>
        <v>https://lh5.googleusercontent.com/d/1ud0W1AHDFXGVg2-maC4S6QB244Y6bNO4</v>
      </c>
      <c r="O202" s="14" t="str">
        <f>IFERROR(__xludf.DUMMYFUNCTION("""COMPUTED_VALUE"""),"https://drive.google.com/file/d/1m4gLQU2tej_KpCpz_p64DzwkBQFiV6p9/view?usp=drivesdk")</f>
        <v>https://drive.google.com/file/d/1m4gLQU2tej_KpCpz_p64DzwkBQFiV6p9/view?usp=drivesdk</v>
      </c>
    </row>
    <row r="203">
      <c r="A203" s="3">
        <f>IFERROR(__xludf.DUMMYFUNCTION("""COMPUTED_VALUE"""),531.0)</f>
        <v>531</v>
      </c>
      <c r="B203" s="11">
        <f>IFERROR(__xludf.DUMMYFUNCTION("""COMPUTED_VALUE"""),45991.426474432876)</f>
        <v>45991.42647</v>
      </c>
      <c r="C203" s="3" t="str">
        <f>IFERROR(__xludf.DUMMYFUNCTION("""COMPUTED_VALUE"""),"ชั้นปีที่ 2")</f>
        <v>ชั้นปีที่ 2</v>
      </c>
      <c r="D203" s="3" t="str">
        <f>IFERROR(__xludf.DUMMYFUNCTION("""COMPUTED_VALUE"""),"6703825")</f>
        <v>6703825</v>
      </c>
      <c r="E203" s="3" t="str">
        <f>IFERROR(__xludf.DUMMYFUNCTION("""COMPUTED_VALUE"""),"8")</f>
        <v>8</v>
      </c>
      <c r="F203" s="3" t="str">
        <f>IFERROR(__xludf.DUMMYFUNCTION("""COMPUTED_VALUE"""),"นพอ.จิราภา กลิ่นมณฑา")</f>
        <v>นพอ.จิราภา กลิ่นมณฑา</v>
      </c>
      <c r="G20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3" s="3" t="str">
        <f>IFERROR(__xludf.DUMMYFUNCTION("""COMPUTED_VALUE"""),"ค่ายอบรมเยาวชนพัฒนา")</f>
        <v>ค่ายอบรมเยาวชนพัฒนา</v>
      </c>
      <c r="I203" s="3" t="str">
        <f>IFERROR(__xludf.DUMMYFUNCTION("""COMPUTED_VALUE"""),"โีรงเรียนเทศบาล 1 สถาวร จ.ชลบุรี")</f>
        <v>โีรงเรียนเทศบาล 1 สถาวร จ.ชลบุรี</v>
      </c>
      <c r="J203" s="12">
        <f>IFERROR(__xludf.DUMMYFUNCTION("""COMPUTED_VALUE"""),45886.0)</f>
        <v>45886</v>
      </c>
      <c r="K203" s="3" t="str">
        <f>IFERROR(__xludf.DUMMYFUNCTION("""COMPUTED_VALUE"""),"0800-1600")</f>
        <v>0800-1600</v>
      </c>
      <c r="L203" s="3">
        <f>IFERROR(__xludf.DUMMYFUNCTION("""COMPUTED_VALUE"""),8.0)</f>
        <v>8</v>
      </c>
      <c r="M20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03" s="14" t="str">
        <f>IFERROR(__xludf.DUMMYFUNCTION("""COMPUTED_VALUE"""),"https://lh5.googleusercontent.com/d/1TaULK0C3pB_GeJ2ecttVobjRr-d6iq-i")</f>
        <v>https://lh5.googleusercontent.com/d/1TaULK0C3pB_GeJ2ecttVobjRr-d6iq-i</v>
      </c>
      <c r="O203" s="14" t="str">
        <f>IFERROR(__xludf.DUMMYFUNCTION("""COMPUTED_VALUE"""),"https://drive.google.com/file/d/1vwO4yZTdAZb1L9AOkW4RSqHIbJBuP25a/view?usp=drivesdk")</f>
        <v>https://drive.google.com/file/d/1vwO4yZTdAZb1L9AOkW4RSqHIbJBuP25a/view?usp=drivesdk</v>
      </c>
    </row>
    <row r="204">
      <c r="A204" s="3">
        <f>IFERROR(__xludf.DUMMYFUNCTION("""COMPUTED_VALUE"""),532.0)</f>
        <v>532</v>
      </c>
      <c r="B204" s="11">
        <f>IFERROR(__xludf.DUMMYFUNCTION("""COMPUTED_VALUE"""),45991.42816552083)</f>
        <v>45991.42817</v>
      </c>
      <c r="C204" s="3" t="str">
        <f>IFERROR(__xludf.DUMMYFUNCTION("""COMPUTED_VALUE"""),"ชั้นปีที่ 2")</f>
        <v>ชั้นปีที่ 2</v>
      </c>
      <c r="D204" s="3" t="str">
        <f>IFERROR(__xludf.DUMMYFUNCTION("""COMPUTED_VALUE"""),"6703825")</f>
        <v>6703825</v>
      </c>
      <c r="E204" s="3" t="str">
        <f>IFERROR(__xludf.DUMMYFUNCTION("""COMPUTED_VALUE"""),"8")</f>
        <v>8</v>
      </c>
      <c r="F204" s="3" t="str">
        <f>IFERROR(__xludf.DUMMYFUNCTION("""COMPUTED_VALUE"""),"นพอ.จิราภา กลิ่นมณฑา")</f>
        <v>นพอ.จิราภา กลิ่นมณฑา</v>
      </c>
      <c r="G204" s="3" t="str">
        <f>IFERROR(__xludf.DUMMYFUNCTION("""COMPUTED_VALUE"""),"ช่วยเหลืองานภายใน วพอ.")</f>
        <v>ช่วยเหลืองานภายใน วพอ.</v>
      </c>
      <c r="H204" s="3" t="str">
        <f>IFERROR(__xludf.DUMMYFUNCTION("""COMPUTED_VALUE"""),"ซ้อมงานรับขวัญสวีแด")</f>
        <v>ซ้อมงานรับขวัญสวีแด</v>
      </c>
      <c r="I204" s="3" t="str">
        <f>IFERROR(__xludf.DUMMYFUNCTION("""COMPUTED_VALUE"""),"วิทยาลัยพยาบาลทหารอากาศ")</f>
        <v>วิทยาลัยพยาบาลทหารอากาศ</v>
      </c>
      <c r="J204" s="12">
        <f>IFERROR(__xludf.DUMMYFUNCTION("""COMPUTED_VALUE"""),45887.0)</f>
        <v>45887</v>
      </c>
      <c r="K204" s="3" t="str">
        <f>IFERROR(__xludf.DUMMYFUNCTION("""COMPUTED_VALUE"""),"1800-2000")</f>
        <v>1800-2000</v>
      </c>
      <c r="L204" s="3">
        <f>IFERROR(__xludf.DUMMYFUNCTION("""COMPUTED_VALUE"""),2.0)</f>
        <v>2</v>
      </c>
      <c r="M204" s="3" t="str">
        <f>IFERROR(__xludf.DUMMYFUNCTION("""COMPUTED_VALUE"""),"ร.อ.หญิง ขนัฏฐา นาดี")</f>
        <v>ร.อ.หญิง ขนัฏฐา นาดี</v>
      </c>
      <c r="N204" s="14" t="str">
        <f>IFERROR(__xludf.DUMMYFUNCTION("""COMPUTED_VALUE"""),"https://lh5.googleusercontent.com/d/1CfWelTKyYHHm7yC4TreSNVY24hygFrga")</f>
        <v>https://lh5.googleusercontent.com/d/1CfWelTKyYHHm7yC4TreSNVY24hygFrga</v>
      </c>
      <c r="O204" s="14" t="str">
        <f>IFERROR(__xludf.DUMMYFUNCTION("""COMPUTED_VALUE"""),"https://drive.google.com/file/d/1IxY1MZTVgr2e6QHU9mAfNjB7kI9YkHLB/view?usp=drivesdk")</f>
        <v>https://drive.google.com/file/d/1IxY1MZTVgr2e6QHU9mAfNjB7kI9YkHLB/view?usp=drivesdk</v>
      </c>
    </row>
    <row r="205">
      <c r="A205" s="3">
        <f>IFERROR(__xludf.DUMMYFUNCTION("""COMPUTED_VALUE"""),533.0)</f>
        <v>533</v>
      </c>
      <c r="B205" s="11">
        <f>IFERROR(__xludf.DUMMYFUNCTION("""COMPUTED_VALUE"""),45991.429053391206)</f>
        <v>45991.42905</v>
      </c>
      <c r="C205" s="3" t="str">
        <f>IFERROR(__xludf.DUMMYFUNCTION("""COMPUTED_VALUE"""),"ชั้นปีที่ 2")</f>
        <v>ชั้นปีที่ 2</v>
      </c>
      <c r="D205" s="3" t="str">
        <f>IFERROR(__xludf.DUMMYFUNCTION("""COMPUTED_VALUE"""),"6703878")</f>
        <v>6703878</v>
      </c>
      <c r="E205" s="3" t="str">
        <f>IFERROR(__xludf.DUMMYFUNCTION("""COMPUTED_VALUE"""),"59")</f>
        <v>59</v>
      </c>
      <c r="F205" s="3" t="str">
        <f>IFERROR(__xludf.DUMMYFUNCTION("""COMPUTED_VALUE"""),"นพอ.สุชาสินี ป้อมพยัคฆ์")</f>
        <v>นพอ.สุชาสินี ป้อมพยัคฆ์</v>
      </c>
      <c r="G20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5" s="3" t="str">
        <f>IFERROR(__xludf.DUMMYFUNCTION("""COMPUTED_VALUE"""),"ซ้อมดนตรีไทยวงรวม10สถาบัน งานไหว้ครูดนตรีไทย10สถาบัน")</f>
        <v>ซ้อมดนตรีไทยวงรวม10สถาบัน งานไหว้ครูดนตรีไทย10สถาบัน</v>
      </c>
      <c r="I205" s="3" t="str">
        <f>IFERROR(__xludf.DUMMYFUNCTION("""COMPUTED_VALUE"""),"วพ.ตร.")</f>
        <v>วพ.ตร.</v>
      </c>
      <c r="J205" s="12">
        <f>IFERROR(__xludf.DUMMYFUNCTION("""COMPUTED_VALUE"""),45822.0)</f>
        <v>45822</v>
      </c>
      <c r="K205" s="3" t="str">
        <f>IFERROR(__xludf.DUMMYFUNCTION("""COMPUTED_VALUE"""),"0700-1400")</f>
        <v>0700-1400</v>
      </c>
      <c r="L205" s="3">
        <f>IFERROR(__xludf.DUMMYFUNCTION("""COMPUTED_VALUE"""),7.0)</f>
        <v>7</v>
      </c>
      <c r="M205" s="3" t="str">
        <f>IFERROR(__xludf.DUMMYFUNCTION("""COMPUTED_VALUE"""),"ร.อ.หญิง ขนัฏฐา นาดี")</f>
        <v>ร.อ.หญิง ขนัฏฐา นาดี</v>
      </c>
      <c r="N205" s="14" t="str">
        <f>IFERROR(__xludf.DUMMYFUNCTION("""COMPUTED_VALUE"""),"https://lh5.googleusercontent.com/d/1kFNb7T3-_qY6F9g4RPQ-1wN1X23eaLRe")</f>
        <v>https://lh5.googleusercontent.com/d/1kFNb7T3-_qY6F9g4RPQ-1wN1X23eaLRe</v>
      </c>
      <c r="O205" s="14" t="str">
        <f>IFERROR(__xludf.DUMMYFUNCTION("""COMPUTED_VALUE"""),"https://drive.google.com/file/d/1p-o5xsgvCzsLZE38g7dsMh5Fb-Dq9u5g/view?usp=drivesdk")</f>
        <v>https://drive.google.com/file/d/1p-o5xsgvCzsLZE38g7dsMh5Fb-Dq9u5g/view?usp=drivesdk</v>
      </c>
    </row>
    <row r="206">
      <c r="A206" s="3">
        <f>IFERROR(__xludf.DUMMYFUNCTION("""COMPUTED_VALUE"""),534.0)</f>
        <v>534</v>
      </c>
      <c r="B206" s="11">
        <f>IFERROR(__xludf.DUMMYFUNCTION("""COMPUTED_VALUE"""),45991.429499062506)</f>
        <v>45991.4295</v>
      </c>
      <c r="C206" s="3" t="str">
        <f>IFERROR(__xludf.DUMMYFUNCTION("""COMPUTED_VALUE"""),"ชั้นปีที่ 2")</f>
        <v>ชั้นปีที่ 2</v>
      </c>
      <c r="D206" s="3" t="str">
        <f>IFERROR(__xludf.DUMMYFUNCTION("""COMPUTED_VALUE"""),"6703825")</f>
        <v>6703825</v>
      </c>
      <c r="E206" s="3" t="str">
        <f>IFERROR(__xludf.DUMMYFUNCTION("""COMPUTED_VALUE"""),"8")</f>
        <v>8</v>
      </c>
      <c r="F206" s="3" t="str">
        <f>IFERROR(__xludf.DUMMYFUNCTION("""COMPUTED_VALUE"""),"นพอ.จิราภา กลิ่นมณฑา")</f>
        <v>นพอ.จิราภา กลิ่นมณฑา</v>
      </c>
      <c r="G206" s="3" t="str">
        <f>IFERROR(__xludf.DUMMYFUNCTION("""COMPUTED_VALUE"""),"ช่วยเหลืองานภายใน วพอ.")</f>
        <v>ช่วยเหลืองานภายใน วพอ.</v>
      </c>
      <c r="H206" s="3" t="str">
        <f>IFERROR(__xludf.DUMMYFUNCTION("""COMPUTED_VALUE"""),"ซ้อมงานรับขวัญสวีแด")</f>
        <v>ซ้อมงานรับขวัญสวีแด</v>
      </c>
      <c r="I206" s="3" t="str">
        <f>IFERROR(__xludf.DUMMYFUNCTION("""COMPUTED_VALUE"""),"วิทยาลัยพยาบาลทหารอากาศ")</f>
        <v>วิทยาลัยพยาบาลทหารอากาศ</v>
      </c>
      <c r="J206" s="12">
        <f>IFERROR(__xludf.DUMMYFUNCTION("""COMPUTED_VALUE"""),45888.0)</f>
        <v>45888</v>
      </c>
      <c r="K206" s="3" t="str">
        <f>IFERROR(__xludf.DUMMYFUNCTION("""COMPUTED_VALUE"""),"1800-2000")</f>
        <v>1800-2000</v>
      </c>
      <c r="L206" s="3">
        <f>IFERROR(__xludf.DUMMYFUNCTION("""COMPUTED_VALUE"""),2.0)</f>
        <v>2</v>
      </c>
      <c r="M206" s="3" t="str">
        <f>IFERROR(__xludf.DUMMYFUNCTION("""COMPUTED_VALUE"""),"ร.อ.หญิง ขนัฏฐา นาดี")</f>
        <v>ร.อ.หญิง ขนัฏฐา นาดี</v>
      </c>
      <c r="N206" s="14" t="str">
        <f>IFERROR(__xludf.DUMMYFUNCTION("""COMPUTED_VALUE"""),"https://lh5.googleusercontent.com/d/1wiolRPpA_wVYIeJPGrcSACNZrfEFex6B")</f>
        <v>https://lh5.googleusercontent.com/d/1wiolRPpA_wVYIeJPGrcSACNZrfEFex6B</v>
      </c>
      <c r="O206" s="14" t="str">
        <f>IFERROR(__xludf.DUMMYFUNCTION("""COMPUTED_VALUE"""),"https://drive.google.com/file/d/1dxM_85T63Hw1zppu9QiKps3-KeP9XnKA/view?usp=drivesdk")</f>
        <v>https://drive.google.com/file/d/1dxM_85T63Hw1zppu9QiKps3-KeP9XnKA/view?usp=drivesdk</v>
      </c>
    </row>
    <row r="207">
      <c r="A207" s="3">
        <f>IFERROR(__xludf.DUMMYFUNCTION("""COMPUTED_VALUE"""),535.0)</f>
        <v>535</v>
      </c>
      <c r="B207" s="11">
        <f>IFERROR(__xludf.DUMMYFUNCTION("""COMPUTED_VALUE"""),45991.4305771875)</f>
        <v>45991.43058</v>
      </c>
      <c r="C207" s="3" t="str">
        <f>IFERROR(__xludf.DUMMYFUNCTION("""COMPUTED_VALUE"""),"ชั้นปีที่ 2")</f>
        <v>ชั้นปีที่ 2</v>
      </c>
      <c r="D207" s="3" t="str">
        <f>IFERROR(__xludf.DUMMYFUNCTION("""COMPUTED_VALUE"""),"6703878")</f>
        <v>6703878</v>
      </c>
      <c r="E207" s="3" t="str">
        <f>IFERROR(__xludf.DUMMYFUNCTION("""COMPUTED_VALUE"""),"59")</f>
        <v>59</v>
      </c>
      <c r="F207" s="3" t="str">
        <f>IFERROR(__xludf.DUMMYFUNCTION("""COMPUTED_VALUE"""),"นพอ.สุชาสินี ป้อมพยัคฆ์")</f>
        <v>นพอ.สุชาสินี ป้อมพยัคฆ์</v>
      </c>
      <c r="G2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7" s="3" t="str">
        <f>IFERROR(__xludf.DUMMYFUNCTION("""COMPUTED_VALUE"""),"ซ้อมดนตรีไทยวงรวม10สถาบัน งานไหว้ครูดนตรีไทย10สถาบัน")</f>
        <v>ซ้อมดนตรีไทยวงรวม10สถาบัน งานไหว้ครูดนตรีไทย10สถาบัน</v>
      </c>
      <c r="I207" s="3" t="str">
        <f>IFERROR(__xludf.DUMMYFUNCTION("""COMPUTED_VALUE"""),"วพ.ตร.")</f>
        <v>วพ.ตร.</v>
      </c>
      <c r="J207" s="12">
        <f>IFERROR(__xludf.DUMMYFUNCTION("""COMPUTED_VALUE"""),45829.0)</f>
        <v>45829</v>
      </c>
      <c r="K207" s="3" t="str">
        <f>IFERROR(__xludf.DUMMYFUNCTION("""COMPUTED_VALUE"""),"0700-1400")</f>
        <v>0700-1400</v>
      </c>
      <c r="L207" s="3">
        <f>IFERROR(__xludf.DUMMYFUNCTION("""COMPUTED_VALUE"""),7.0)</f>
        <v>7</v>
      </c>
      <c r="M207" s="3" t="str">
        <f>IFERROR(__xludf.DUMMYFUNCTION("""COMPUTED_VALUE"""),"ร.อ.หญิง ขนัฏฐา นาดี")</f>
        <v>ร.อ.หญิง ขนัฏฐา นาดี</v>
      </c>
      <c r="N207" s="14" t="str">
        <f>IFERROR(__xludf.DUMMYFUNCTION("""COMPUTED_VALUE"""),"https://lh5.googleusercontent.com/d/1fMcimZhXl8GXHgz8vMmLn9F7OawIx5zv")</f>
        <v>https://lh5.googleusercontent.com/d/1fMcimZhXl8GXHgz8vMmLn9F7OawIx5zv</v>
      </c>
      <c r="O207" s="14" t="str">
        <f>IFERROR(__xludf.DUMMYFUNCTION("""COMPUTED_VALUE"""),"https://drive.google.com/file/d/1a_3Dmwg0YRIR3Z83fqyCIZWcWYFequ0-/view?usp=drivesdk")</f>
        <v>https://drive.google.com/file/d/1a_3Dmwg0YRIR3Z83fqyCIZWcWYFequ0-/view?usp=drivesdk</v>
      </c>
    </row>
    <row r="208">
      <c r="A208" s="3">
        <f>IFERROR(__xludf.DUMMYFUNCTION("""COMPUTED_VALUE"""),536.0)</f>
        <v>536</v>
      </c>
      <c r="B208" s="11">
        <f>IFERROR(__xludf.DUMMYFUNCTION("""COMPUTED_VALUE"""),45991.43184049769)</f>
        <v>45991.43184</v>
      </c>
      <c r="C208" s="3" t="str">
        <f>IFERROR(__xludf.DUMMYFUNCTION("""COMPUTED_VALUE"""),"ชั้นปีที่ 2")</f>
        <v>ชั้นปีที่ 2</v>
      </c>
      <c r="D208" s="3" t="str">
        <f>IFERROR(__xludf.DUMMYFUNCTION("""COMPUTED_VALUE"""),"6703825")</f>
        <v>6703825</v>
      </c>
      <c r="E208" s="3" t="str">
        <f>IFERROR(__xludf.DUMMYFUNCTION("""COMPUTED_VALUE"""),"8")</f>
        <v>8</v>
      </c>
      <c r="F208" s="3" t="str">
        <f>IFERROR(__xludf.DUMMYFUNCTION("""COMPUTED_VALUE"""),"นพอ.จิราภา กลิ่นมณฑา")</f>
        <v>นพอ.จิราภา กลิ่นมณฑา</v>
      </c>
      <c r="G208" s="3" t="str">
        <f>IFERROR(__xludf.DUMMYFUNCTION("""COMPUTED_VALUE"""),"ช่วยเหลืองานภายใน วพอ.")</f>
        <v>ช่วยเหลืองานภายใน วพอ.</v>
      </c>
      <c r="H208" s="3" t="str">
        <f>IFERROR(__xludf.DUMMYFUNCTION("""COMPUTED_VALUE"""),"ซ้อมงานรับขวัญสวีแด")</f>
        <v>ซ้อมงานรับขวัญสวีแด</v>
      </c>
      <c r="I208" s="3" t="str">
        <f>IFERROR(__xludf.DUMMYFUNCTION("""COMPUTED_VALUE"""),"วิทยาลัยพยาบาลทหารอากาศ")</f>
        <v>วิทยาลัยพยาบาลทหารอากาศ</v>
      </c>
      <c r="J208" s="12">
        <f>IFERROR(__xludf.DUMMYFUNCTION("""COMPUTED_VALUE"""),45889.0)</f>
        <v>45889</v>
      </c>
      <c r="K208" s="3" t="str">
        <f>IFERROR(__xludf.DUMMYFUNCTION("""COMPUTED_VALUE"""),"1800-2000")</f>
        <v>1800-2000</v>
      </c>
      <c r="L208" s="3">
        <f>IFERROR(__xludf.DUMMYFUNCTION("""COMPUTED_VALUE"""),2.0)</f>
        <v>2</v>
      </c>
      <c r="M208" s="3" t="str">
        <f>IFERROR(__xludf.DUMMYFUNCTION("""COMPUTED_VALUE"""),"ร.อ.หญิง ขนัฏฐา นาดี")</f>
        <v>ร.อ.หญิง ขนัฏฐา นาดี</v>
      </c>
      <c r="N208" s="14" t="str">
        <f>IFERROR(__xludf.DUMMYFUNCTION("""COMPUTED_VALUE"""),"https://lh5.googleusercontent.com/d/1ZNOeb8EgDGl1p8dqsjca-qtyoRjAUckj")</f>
        <v>https://lh5.googleusercontent.com/d/1ZNOeb8EgDGl1p8dqsjca-qtyoRjAUckj</v>
      </c>
      <c r="O208" s="14" t="str">
        <f>IFERROR(__xludf.DUMMYFUNCTION("""COMPUTED_VALUE"""),"https://drive.google.com/file/d/1yBepSS57SumDUZF8X7ZNk19rCvX9VqXc/view?usp=drivesdk")</f>
        <v>https://drive.google.com/file/d/1yBepSS57SumDUZF8X7ZNk19rCvX9VqXc/view?usp=drivesdk</v>
      </c>
    </row>
    <row r="209">
      <c r="A209" s="3">
        <f>IFERROR(__xludf.DUMMYFUNCTION("""COMPUTED_VALUE"""),537.0)</f>
        <v>537</v>
      </c>
      <c r="B209" s="11">
        <f>IFERROR(__xludf.DUMMYFUNCTION("""COMPUTED_VALUE"""),45991.43357328703)</f>
        <v>45991.43357</v>
      </c>
      <c r="C209" s="3" t="str">
        <f>IFERROR(__xludf.DUMMYFUNCTION("""COMPUTED_VALUE"""),"ชั้นปีที่ 2")</f>
        <v>ชั้นปีที่ 2</v>
      </c>
      <c r="D209" s="3" t="str">
        <f>IFERROR(__xludf.DUMMYFUNCTION("""COMPUTED_VALUE"""),"6703878")</f>
        <v>6703878</v>
      </c>
      <c r="E209" s="3" t="str">
        <f>IFERROR(__xludf.DUMMYFUNCTION("""COMPUTED_VALUE"""),"59")</f>
        <v>59</v>
      </c>
      <c r="F209" s="3" t="str">
        <f>IFERROR(__xludf.DUMMYFUNCTION("""COMPUTED_VALUE"""),"นพอ.สุชาสินี ป้อมพยัคฆ์")</f>
        <v>นพอ.สุชาสินี ป้อมพยัคฆ์</v>
      </c>
      <c r="G20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09" s="3" t="str">
        <f>IFERROR(__xludf.DUMMYFUNCTION("""COMPUTED_VALUE"""),"ซ้อมดนตรีไทยวงรวม10สถาบัน งานไหว้ครูดนตรีไทย10สถาบัน")</f>
        <v>ซ้อมดนตรีไทยวงรวม10สถาบัน งานไหว้ครูดนตรีไทย10สถาบัน</v>
      </c>
      <c r="I209" s="3" t="str">
        <f>IFERROR(__xludf.DUMMYFUNCTION("""COMPUTED_VALUE"""),"วพ.ตร.")</f>
        <v>วพ.ตร.</v>
      </c>
      <c r="J209" s="12">
        <f>IFERROR(__xludf.DUMMYFUNCTION("""COMPUTED_VALUE"""),45836.0)</f>
        <v>45836</v>
      </c>
      <c r="K209" s="3" t="str">
        <f>IFERROR(__xludf.DUMMYFUNCTION("""COMPUTED_VALUE"""),"0700-1400")</f>
        <v>0700-1400</v>
      </c>
      <c r="L209" s="3">
        <f>IFERROR(__xludf.DUMMYFUNCTION("""COMPUTED_VALUE"""),7.0)</f>
        <v>7</v>
      </c>
      <c r="M209" s="3" t="str">
        <f>IFERROR(__xludf.DUMMYFUNCTION("""COMPUTED_VALUE"""),"ร.อ.หญิง ขนัฏฐา นาดี")</f>
        <v>ร.อ.หญิง ขนัฏฐา นาดี</v>
      </c>
      <c r="N209" s="14" t="str">
        <f>IFERROR(__xludf.DUMMYFUNCTION("""COMPUTED_VALUE"""),"https://lh5.googleusercontent.com/d/1MfpXEmR-ZJ5_dpcGoyZhHXOOEVCoFrcu")</f>
        <v>https://lh5.googleusercontent.com/d/1MfpXEmR-ZJ5_dpcGoyZhHXOOEVCoFrcu</v>
      </c>
      <c r="O209" s="14" t="str">
        <f>IFERROR(__xludf.DUMMYFUNCTION("""COMPUTED_VALUE"""),"https://drive.google.com/file/d/1xLdlAE6hoG5sI6SMixEJBPUZ2VkVCiDR/view?usp=drivesdk")</f>
        <v>https://drive.google.com/file/d/1xLdlAE6hoG5sI6SMixEJBPUZ2VkVCiDR/view?usp=drivesdk</v>
      </c>
    </row>
    <row r="210">
      <c r="A210" s="3">
        <f>IFERROR(__xludf.DUMMYFUNCTION("""COMPUTED_VALUE"""),538.0)</f>
        <v>538</v>
      </c>
      <c r="B210" s="11">
        <f>IFERROR(__xludf.DUMMYFUNCTION("""COMPUTED_VALUE"""),45991.434535532404)</f>
        <v>45991.43454</v>
      </c>
      <c r="C210" s="3" t="str">
        <f>IFERROR(__xludf.DUMMYFUNCTION("""COMPUTED_VALUE"""),"ชั้นปีที่ 2")</f>
        <v>ชั้นปีที่ 2</v>
      </c>
      <c r="D210" s="3" t="str">
        <f>IFERROR(__xludf.DUMMYFUNCTION("""COMPUTED_VALUE"""),"6703825")</f>
        <v>6703825</v>
      </c>
      <c r="E210" s="3" t="str">
        <f>IFERROR(__xludf.DUMMYFUNCTION("""COMPUTED_VALUE"""),"8")</f>
        <v>8</v>
      </c>
      <c r="F210" s="3" t="str">
        <f>IFERROR(__xludf.DUMMYFUNCTION("""COMPUTED_VALUE"""),"นพอ.จิราภา กลิ่นมณฑา")</f>
        <v>นพอ.จิราภา กลิ่นมณฑา</v>
      </c>
      <c r="G210" s="3" t="str">
        <f>IFERROR(__xludf.DUMMYFUNCTION("""COMPUTED_VALUE"""),"ช่วยเหลืองานภายใน วพอ.")</f>
        <v>ช่วยเหลืองานภายใน วพอ.</v>
      </c>
      <c r="H210" s="3" t="str">
        <f>IFERROR(__xludf.DUMMYFUNCTION("""COMPUTED_VALUE"""),"ช่วยท่านอาจารย์แพ็คเสื้อ")</f>
        <v>ช่วยท่านอาจารย์แพ็คเสื้อ</v>
      </c>
      <c r="I210" s="3" t="str">
        <f>IFERROR(__xludf.DUMMYFUNCTION("""COMPUTED_VALUE"""),"ห้องปกครอง วพอ.")</f>
        <v>ห้องปกครอง วพอ.</v>
      </c>
      <c r="J210" s="12">
        <f>IFERROR(__xludf.DUMMYFUNCTION("""COMPUTED_VALUE"""),45895.0)</f>
        <v>45895</v>
      </c>
      <c r="K210" s="3" t="str">
        <f>IFERROR(__xludf.DUMMYFUNCTION("""COMPUTED_VALUE"""),"1600-1800")</f>
        <v>1600-1800</v>
      </c>
      <c r="L210" s="3">
        <f>IFERROR(__xludf.DUMMYFUNCTION("""COMPUTED_VALUE"""),2.0)</f>
        <v>2</v>
      </c>
      <c r="M210" s="3" t="str">
        <f>IFERROR(__xludf.DUMMYFUNCTION("""COMPUTED_VALUE"""),"ร.อ.หญิง ขนัฏฐา นาดี")</f>
        <v>ร.อ.หญิง ขนัฏฐา นาดี</v>
      </c>
      <c r="N210" s="14" t="str">
        <f>IFERROR(__xludf.DUMMYFUNCTION("""COMPUTED_VALUE"""),"https://lh5.googleusercontent.com/d/14yiD9lDcZmANB-D4S2op5C5rhyf1liUe")</f>
        <v>https://lh5.googleusercontent.com/d/14yiD9lDcZmANB-D4S2op5C5rhyf1liUe</v>
      </c>
      <c r="O210" s="14" t="str">
        <f>IFERROR(__xludf.DUMMYFUNCTION("""COMPUTED_VALUE"""),"https://drive.google.com/file/d/1HVN2AorvDFh48Ob1-x2nN7m-PfY5nsVo/view?usp=drivesdk")</f>
        <v>https://drive.google.com/file/d/1HVN2AorvDFh48Ob1-x2nN7m-PfY5nsVo/view?usp=drivesdk</v>
      </c>
    </row>
    <row r="211">
      <c r="A211" s="3">
        <f>IFERROR(__xludf.DUMMYFUNCTION("""COMPUTED_VALUE"""),542.0)</f>
        <v>542</v>
      </c>
      <c r="B211" s="11">
        <f>IFERROR(__xludf.DUMMYFUNCTION("""COMPUTED_VALUE"""),45991.458468020835)</f>
        <v>45991.45847</v>
      </c>
      <c r="C211" s="3" t="str">
        <f>IFERROR(__xludf.DUMMYFUNCTION("""COMPUTED_VALUE"""),"ชั้นปีที่ 2")</f>
        <v>ชั้นปีที่ 2</v>
      </c>
      <c r="D211" s="3" t="str">
        <f>IFERROR(__xludf.DUMMYFUNCTION("""COMPUTED_VALUE"""),"6703849")</f>
        <v>6703849</v>
      </c>
      <c r="E211" s="3" t="str">
        <f>IFERROR(__xludf.DUMMYFUNCTION("""COMPUTED_VALUE"""),"31")</f>
        <v>31</v>
      </c>
      <c r="F211" s="3" t="str">
        <f>IFERROR(__xludf.DUMMYFUNCTION("""COMPUTED_VALUE"""),"นพอ.ปภาดา สุจิณณานนท์")</f>
        <v>นพอ.ปภาดา สุจิณณานนท์</v>
      </c>
      <c r="G2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1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1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11" s="12">
        <f>IFERROR(__xludf.DUMMYFUNCTION("""COMPUTED_VALUE"""),45840.0)</f>
        <v>45840</v>
      </c>
      <c r="K211" s="3" t="str">
        <f>IFERROR(__xludf.DUMMYFUNCTION("""COMPUTED_VALUE"""),"0800-1600")</f>
        <v>0800-1600</v>
      </c>
      <c r="L211" s="3">
        <f>IFERROR(__xludf.DUMMYFUNCTION("""COMPUTED_VALUE"""),8.0)</f>
        <v>8</v>
      </c>
      <c r="M211" s="3" t="str">
        <f>IFERROR(__xludf.DUMMYFUNCTION("""COMPUTED_VALUE"""),"ร.อ.อนุชิต ทำจะดี")</f>
        <v>ร.อ.อนุชิต ทำจะดี</v>
      </c>
      <c r="N211" s="14" t="str">
        <f>IFERROR(__xludf.DUMMYFUNCTION("""COMPUTED_VALUE"""),"https://lh5.googleusercontent.com/d/1_qsJdQJaDpzYOA8tLlQnk0kLeKFILUiI")</f>
        <v>https://lh5.googleusercontent.com/d/1_qsJdQJaDpzYOA8tLlQnk0kLeKFILUiI</v>
      </c>
      <c r="O211" s="14" t="str">
        <f>IFERROR(__xludf.DUMMYFUNCTION("""COMPUTED_VALUE"""),"https://drive.google.com/file/d/1tzg_eHNIAr2HkW2sERP_qfi5pg8L7bLu/view?usp=drivesdk")</f>
        <v>https://drive.google.com/file/d/1tzg_eHNIAr2HkW2sERP_qfi5pg8L7bLu/view?usp=drivesdk</v>
      </c>
    </row>
    <row r="212">
      <c r="A212" s="3">
        <f>IFERROR(__xludf.DUMMYFUNCTION("""COMPUTED_VALUE"""),543.0)</f>
        <v>543</v>
      </c>
      <c r="B212" s="11">
        <f>IFERROR(__xludf.DUMMYFUNCTION("""COMPUTED_VALUE"""),45991.46074997685)</f>
        <v>45991.46075</v>
      </c>
      <c r="C212" s="3" t="str">
        <f>IFERROR(__xludf.DUMMYFUNCTION("""COMPUTED_VALUE"""),"ชั้นปีที่ 2")</f>
        <v>ชั้นปีที่ 2</v>
      </c>
      <c r="D212" s="3" t="str">
        <f>IFERROR(__xludf.DUMMYFUNCTION("""COMPUTED_VALUE"""),"6703849")</f>
        <v>6703849</v>
      </c>
      <c r="E212" s="3" t="str">
        <f>IFERROR(__xludf.DUMMYFUNCTION("""COMPUTED_VALUE"""),"31")</f>
        <v>31</v>
      </c>
      <c r="F212" s="3" t="str">
        <f>IFERROR(__xludf.DUMMYFUNCTION("""COMPUTED_VALUE"""),"นพอ.ปภาดา สุจิณณานนท์")</f>
        <v>นพอ.ปภาดา สุจิณณานนท์</v>
      </c>
      <c r="G212" s="3" t="str">
        <f>IFERROR(__xludf.DUMMYFUNCTION("""COMPUTED_VALUE"""),"ช่วยเหลืองานภายใน วพอ.")</f>
        <v>ช่วยเหลืองานภายใน วพอ.</v>
      </c>
      <c r="H212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12" s="3" t="str">
        <f>IFERROR(__xludf.DUMMYFUNCTION("""COMPUTED_VALUE"""),"ห้องเรียน นพอ.ชั้นปีที่ 1")</f>
        <v>ห้องเรียน นพอ.ชั้นปีที่ 1</v>
      </c>
      <c r="J212" s="12">
        <f>IFERROR(__xludf.DUMMYFUNCTION("""COMPUTED_VALUE"""),45984.0)</f>
        <v>45984</v>
      </c>
      <c r="K212" s="3" t="str">
        <f>IFERROR(__xludf.DUMMYFUNCTION("""COMPUTED_VALUE"""),"1000-1800")</f>
        <v>1000-1800</v>
      </c>
      <c r="L212" s="3">
        <f>IFERROR(__xludf.DUMMYFUNCTION("""COMPUTED_VALUE"""),8.0)</f>
        <v>8</v>
      </c>
      <c r="M212" s="3" t="str">
        <f>IFERROR(__xludf.DUMMYFUNCTION("""COMPUTED_VALUE"""),"ร.ท.เรวัติ วัชรสิทธิ์")</f>
        <v>ร.ท.เรวัติ วัชรสิทธิ์</v>
      </c>
      <c r="N212" s="14" t="str">
        <f>IFERROR(__xludf.DUMMYFUNCTION("""COMPUTED_VALUE"""),"https://lh5.googleusercontent.com/d/1oP9MdC14uId4EOWIv9LqF9fwRUuLIQGl")</f>
        <v>https://lh5.googleusercontent.com/d/1oP9MdC14uId4EOWIv9LqF9fwRUuLIQGl</v>
      </c>
      <c r="O212" s="14" t="str">
        <f>IFERROR(__xludf.DUMMYFUNCTION("""COMPUTED_VALUE"""),"https://drive.google.com/file/d/12XmLTCTW3s6XqY9yUbfb_XeJzLA9flXj/view?usp=drivesdk")</f>
        <v>https://drive.google.com/file/d/12XmLTCTW3s6XqY9yUbfb_XeJzLA9flXj/view?usp=drivesdk</v>
      </c>
    </row>
    <row r="213">
      <c r="A213" s="3">
        <f>IFERROR(__xludf.DUMMYFUNCTION("""COMPUTED_VALUE"""),544.0)</f>
        <v>544</v>
      </c>
      <c r="B213" s="11">
        <f>IFERROR(__xludf.DUMMYFUNCTION("""COMPUTED_VALUE"""),45991.46337902778)</f>
        <v>45991.46338</v>
      </c>
      <c r="C213" s="3" t="str">
        <f>IFERROR(__xludf.DUMMYFUNCTION("""COMPUTED_VALUE"""),"ชั้นปีที่ 2")</f>
        <v>ชั้นปีที่ 2</v>
      </c>
      <c r="D213" s="3" t="str">
        <f>IFERROR(__xludf.DUMMYFUNCTION("""COMPUTED_VALUE"""),"6703849")</f>
        <v>6703849</v>
      </c>
      <c r="E213" s="3" t="str">
        <f>IFERROR(__xludf.DUMMYFUNCTION("""COMPUTED_VALUE"""),"31")</f>
        <v>31</v>
      </c>
      <c r="F213" s="3" t="str">
        <f>IFERROR(__xludf.DUMMYFUNCTION("""COMPUTED_VALUE"""),"นพอ.ปภาดา สุจิณณานนท์")</f>
        <v>นพอ.ปภาดา สุจิณณานนท์</v>
      </c>
      <c r="G21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3" s="3" t="str">
        <f>IFERROR(__xludf.DUMMYFUNCTION("""COMPUTED_VALUE"""),"เข้าร่วมพิธีถวายพานพุ่มสักการะเนื่องในวันพยาบาลแห่งชาติ")</f>
        <v>เข้าร่วมพิธีถวายพานพุ่มสักการะเนื่องในวันพยาบาลแห่งชาติ</v>
      </c>
      <c r="I213" s="3" t="str">
        <f>IFERROR(__xludf.DUMMYFUNCTION("""COMPUTED_VALUE"""),"กระทรวงสาธารณสุข จังหวัดนนทบุรี")</f>
        <v>กระทรวงสาธารณสุข จังหวัดนนทบุรี</v>
      </c>
      <c r="J213" s="12">
        <f>IFERROR(__xludf.DUMMYFUNCTION("""COMPUTED_VALUE"""),45951.0)</f>
        <v>45951</v>
      </c>
      <c r="K213" s="3" t="str">
        <f>IFERROR(__xludf.DUMMYFUNCTION("""COMPUTED_VALUE"""),"0500-0700")</f>
        <v>0500-0700</v>
      </c>
      <c r="L213" s="3">
        <f>IFERROR(__xludf.DUMMYFUNCTION("""COMPUTED_VALUE"""),2.0)</f>
        <v>2</v>
      </c>
      <c r="M213" s="3" t="str">
        <f>IFERROR(__xludf.DUMMYFUNCTION("""COMPUTED_VALUE"""),"น.ต.ศักชัย บุญประสิทธิ์")</f>
        <v>น.ต.ศักชัย บุญประสิทธิ์</v>
      </c>
      <c r="N213" s="14" t="str">
        <f>IFERROR(__xludf.DUMMYFUNCTION("""COMPUTED_VALUE"""),"https://lh5.googleusercontent.com/d/17Fp5d68375OCRweXSJ8wOcIiICOR3JS5")</f>
        <v>https://lh5.googleusercontent.com/d/17Fp5d68375OCRweXSJ8wOcIiICOR3JS5</v>
      </c>
      <c r="O213" s="14" t="str">
        <f>IFERROR(__xludf.DUMMYFUNCTION("""COMPUTED_VALUE"""),"https://drive.google.com/file/d/17aGPqM3fR-S5DA8WTQVbZRXSDQrtdYc4/view?usp=drivesdk")</f>
        <v>https://drive.google.com/file/d/17aGPqM3fR-S5DA8WTQVbZRXSDQrtdYc4/view?usp=drivesdk</v>
      </c>
    </row>
    <row r="214">
      <c r="A214" s="3">
        <f>IFERROR(__xludf.DUMMYFUNCTION("""COMPUTED_VALUE"""),545.0)</f>
        <v>545</v>
      </c>
      <c r="B214" s="11">
        <f>IFERROR(__xludf.DUMMYFUNCTION("""COMPUTED_VALUE"""),45991.46695876157)</f>
        <v>45991.46696</v>
      </c>
      <c r="C214" s="3" t="str">
        <f>IFERROR(__xludf.DUMMYFUNCTION("""COMPUTED_VALUE"""),"ชั้นปีที่ 2")</f>
        <v>ชั้นปีที่ 2</v>
      </c>
      <c r="D214" s="3" t="str">
        <f>IFERROR(__xludf.DUMMYFUNCTION("""COMPUTED_VALUE"""),"6703847")</f>
        <v>6703847</v>
      </c>
      <c r="E214" s="3" t="str">
        <f>IFERROR(__xludf.DUMMYFUNCTION("""COMPUTED_VALUE"""),"29")</f>
        <v>29</v>
      </c>
      <c r="F214" s="3" t="str">
        <f>IFERROR(__xludf.DUMMYFUNCTION("""COMPUTED_VALUE"""),"นพอ.นันทัชพร สิงห์โต")</f>
        <v>นพอ.นันทัชพร สิงห์โต</v>
      </c>
      <c r="G214" s="3" t="str">
        <f>IFERROR(__xludf.DUMMYFUNCTION("""COMPUTED_VALUE"""),"ช่วยเหลืองานภายใน วพอ.")</f>
        <v>ช่วยเหลืองานภายใน วพอ.</v>
      </c>
      <c r="H214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14" s="3" t="str">
        <f>IFERROR(__xludf.DUMMYFUNCTION("""COMPUTED_VALUE"""),"ห้องเรียน นพอ.ชั้นปีที่ 1")</f>
        <v>ห้องเรียน นพอ.ชั้นปีที่ 1</v>
      </c>
      <c r="J214" s="12">
        <f>IFERROR(__xludf.DUMMYFUNCTION("""COMPUTED_VALUE"""),45987.0)</f>
        <v>45987</v>
      </c>
      <c r="K214" s="3" t="str">
        <f>IFERROR(__xludf.DUMMYFUNCTION("""COMPUTED_VALUE"""),"1000-1800")</f>
        <v>1000-1800</v>
      </c>
      <c r="L214" s="3">
        <f>IFERROR(__xludf.DUMMYFUNCTION("""COMPUTED_VALUE"""),8.0)</f>
        <v>8</v>
      </c>
      <c r="M214" s="3" t="str">
        <f>IFERROR(__xludf.DUMMYFUNCTION("""COMPUTED_VALUE"""),"ร.ท.เรวัติ วัชรสิทธิ์")</f>
        <v>ร.ท.เรวัติ วัชรสิทธิ์</v>
      </c>
      <c r="N214" s="14" t="str">
        <f>IFERROR(__xludf.DUMMYFUNCTION("""COMPUTED_VALUE"""),"https://lh5.googleusercontent.com/d/1Ir9Bf9pj_zOZl8GqJwx0Hn3xJuUPyBhl")</f>
        <v>https://lh5.googleusercontent.com/d/1Ir9Bf9pj_zOZl8GqJwx0Hn3xJuUPyBhl</v>
      </c>
      <c r="O214" s="14" t="str">
        <f>IFERROR(__xludf.DUMMYFUNCTION("""COMPUTED_VALUE"""),"https://drive.google.com/file/d/1wVUBRi4_-fKR8a9cz4PyK3WBKxYYlrda/view?usp=drivesdk")</f>
        <v>https://drive.google.com/file/d/1wVUBRi4_-fKR8a9cz4PyK3WBKxYYlrda/view?usp=drivesdk</v>
      </c>
    </row>
    <row r="215">
      <c r="A215" s="3">
        <f>IFERROR(__xludf.DUMMYFUNCTION("""COMPUTED_VALUE"""),548.0)</f>
        <v>548</v>
      </c>
      <c r="B215" s="11">
        <f>IFERROR(__xludf.DUMMYFUNCTION("""COMPUTED_VALUE"""),45991.46965037037)</f>
        <v>45991.46965</v>
      </c>
      <c r="C215" s="3" t="str">
        <f>IFERROR(__xludf.DUMMYFUNCTION("""COMPUTED_VALUE"""),"ชั้นปีที่ 2")</f>
        <v>ชั้นปีที่ 2</v>
      </c>
      <c r="D215" s="3" t="str">
        <f>IFERROR(__xludf.DUMMYFUNCTION("""COMPUTED_VALUE"""),"6703823")</f>
        <v>6703823</v>
      </c>
      <c r="E215" s="3" t="str">
        <f>IFERROR(__xludf.DUMMYFUNCTION("""COMPUTED_VALUE"""),"6")</f>
        <v>6</v>
      </c>
      <c r="F215" s="3" t="str">
        <f>IFERROR(__xludf.DUMMYFUNCTION("""COMPUTED_VALUE"""),"นพอ.ข้าวขวัญ ดุจธรรมสาร")</f>
        <v>นพอ.ข้าวขวัญ ดุจธรรมสาร</v>
      </c>
      <c r="G2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5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215" s="3" t="str">
        <f>IFERROR(__xludf.DUMMYFUNCTION("""COMPUTED_VALUE"""),"อุทยานการบินกองทัพอากาศ")</f>
        <v>อุทยานการบินกองทัพอากาศ</v>
      </c>
      <c r="J215" s="12">
        <f>IFERROR(__xludf.DUMMYFUNCTION("""COMPUTED_VALUE"""),45926.0)</f>
        <v>45926</v>
      </c>
      <c r="K215" s="3" t="str">
        <f>IFERROR(__xludf.DUMMYFUNCTION("""COMPUTED_VALUE"""),"1200-1600")</f>
        <v>1200-1600</v>
      </c>
      <c r="L215" s="3">
        <f>IFERROR(__xludf.DUMMYFUNCTION("""COMPUTED_VALUE"""),4.0)</f>
        <v>4</v>
      </c>
      <c r="M215" s="3" t="str">
        <f>IFERROR(__xludf.DUMMYFUNCTION("""COMPUTED_VALUE"""),"น.ท.หญิง สิรินันท์ ชูเชิด")</f>
        <v>น.ท.หญิง สิรินันท์ ชูเชิด</v>
      </c>
      <c r="N215" s="14" t="str">
        <f>IFERROR(__xludf.DUMMYFUNCTION("""COMPUTED_VALUE"""),"https://lh5.googleusercontent.com/d/1FSfjHU925l6KzzVuVwy_XA04O5jRK87j")</f>
        <v>https://lh5.googleusercontent.com/d/1FSfjHU925l6KzzVuVwy_XA04O5jRK87j</v>
      </c>
      <c r="O215" s="14" t="str">
        <f>IFERROR(__xludf.DUMMYFUNCTION("""COMPUTED_VALUE"""),"https://drive.google.com/file/d/1cYA57JrfKluFY3mYchZtv08KuuosqRzY/view?usp=drivesdk")</f>
        <v>https://drive.google.com/file/d/1cYA57JrfKluFY3mYchZtv08KuuosqRzY/view?usp=drivesdk</v>
      </c>
    </row>
    <row r="216">
      <c r="A216" s="3">
        <f>IFERROR(__xludf.DUMMYFUNCTION("""COMPUTED_VALUE"""),549.0)</f>
        <v>549</v>
      </c>
      <c r="B216" s="11">
        <f>IFERROR(__xludf.DUMMYFUNCTION("""COMPUTED_VALUE"""),45991.47355447916)</f>
        <v>45991.47355</v>
      </c>
      <c r="C216" s="3" t="str">
        <f>IFERROR(__xludf.DUMMYFUNCTION("""COMPUTED_VALUE"""),"ชั้นปีที่ 2")</f>
        <v>ชั้นปีที่ 2</v>
      </c>
      <c r="D216" s="3" t="str">
        <f>IFERROR(__xludf.DUMMYFUNCTION("""COMPUTED_VALUE"""),"6703823")</f>
        <v>6703823</v>
      </c>
      <c r="E216" s="3" t="str">
        <f>IFERROR(__xludf.DUMMYFUNCTION("""COMPUTED_VALUE"""),"6")</f>
        <v>6</v>
      </c>
      <c r="F216" s="3" t="str">
        <f>IFERROR(__xludf.DUMMYFUNCTION("""COMPUTED_VALUE"""),"นพอ.ข้าวขวัญ ดุจธรรมสาร")</f>
        <v>นพอ.ข้าวขวัญ ดุจธรรมสาร</v>
      </c>
      <c r="G2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6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216" s="3" t="str">
        <f>IFERROR(__xludf.DUMMYFUNCTION("""COMPUTED_VALUE"""),"อุทยานการบินกองทัพอากาศ")</f>
        <v>อุทยานการบินกองทัพอากาศ</v>
      </c>
      <c r="J216" s="12">
        <f>IFERROR(__xludf.DUMMYFUNCTION("""COMPUTED_VALUE"""),45930.0)</f>
        <v>45930</v>
      </c>
      <c r="K216" s="3" t="str">
        <f>IFERROR(__xludf.DUMMYFUNCTION("""COMPUTED_VALUE"""),"1200-1600")</f>
        <v>1200-1600</v>
      </c>
      <c r="L216" s="3">
        <f>IFERROR(__xludf.DUMMYFUNCTION("""COMPUTED_VALUE"""),4.0)</f>
        <v>4</v>
      </c>
      <c r="M216" s="3" t="str">
        <f>IFERROR(__xludf.DUMMYFUNCTION("""COMPUTED_VALUE"""),"น.ท.หญิง สิรินันท์ ชูเชิด")</f>
        <v>น.ท.หญิง สิรินันท์ ชูเชิด</v>
      </c>
      <c r="N216" s="14" t="str">
        <f>IFERROR(__xludf.DUMMYFUNCTION("""COMPUTED_VALUE"""),"https://lh5.googleusercontent.com/d/1fwxYwn7LjywH6f18gU7as-LX2DK0u043")</f>
        <v>https://lh5.googleusercontent.com/d/1fwxYwn7LjywH6f18gU7as-LX2DK0u043</v>
      </c>
      <c r="O216" s="14" t="str">
        <f>IFERROR(__xludf.DUMMYFUNCTION("""COMPUTED_VALUE"""),"https://drive.google.com/file/d/1SFDq30k2FbGdVOi8j5bk1u5s0jzC93XP/view?usp=drivesdk")</f>
        <v>https://drive.google.com/file/d/1SFDq30k2FbGdVOi8j5bk1u5s0jzC93XP/view?usp=drivesdk</v>
      </c>
    </row>
    <row r="217">
      <c r="A217" s="3">
        <f>IFERROR(__xludf.DUMMYFUNCTION("""COMPUTED_VALUE"""),550.0)</f>
        <v>550</v>
      </c>
      <c r="B217" s="11">
        <f>IFERROR(__xludf.DUMMYFUNCTION("""COMPUTED_VALUE"""),45991.47684204861)</f>
        <v>45991.47684</v>
      </c>
      <c r="C217" s="3" t="str">
        <f>IFERROR(__xludf.DUMMYFUNCTION("""COMPUTED_VALUE"""),"ชั้นปีที่ 2")</f>
        <v>ชั้นปีที่ 2</v>
      </c>
      <c r="D217" s="3" t="str">
        <f>IFERROR(__xludf.DUMMYFUNCTION("""COMPUTED_VALUE"""),"6703823")</f>
        <v>6703823</v>
      </c>
      <c r="E217" s="3" t="str">
        <f>IFERROR(__xludf.DUMMYFUNCTION("""COMPUTED_VALUE"""),"6")</f>
        <v>6</v>
      </c>
      <c r="F217" s="3" t="str">
        <f>IFERROR(__xludf.DUMMYFUNCTION("""COMPUTED_VALUE"""),"นพอ.ข้าวขวัญ ดุจธรรมสาร")</f>
        <v>นพอ.ข้าวขวัญ ดุจธรรมสาร</v>
      </c>
      <c r="G217" s="3" t="str">
        <f>IFERROR(__xludf.DUMMYFUNCTION("""COMPUTED_VALUE"""),"ช่วยเหลืองานภายใน วพอ.")</f>
        <v>ช่วยเหลืองานภายใน วพอ.</v>
      </c>
      <c r="H217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17" s="3" t="str">
        <f>IFERROR(__xludf.DUMMYFUNCTION("""COMPUTED_VALUE"""),"ห้องเรียนนพอ.ชั้นปีที่1")</f>
        <v>ห้องเรียนนพอ.ชั้นปีที่1</v>
      </c>
      <c r="J217" s="12">
        <f>IFERROR(__xludf.DUMMYFUNCTION("""COMPUTED_VALUE"""),45984.0)</f>
        <v>45984</v>
      </c>
      <c r="K217" s="3" t="str">
        <f>IFERROR(__xludf.DUMMYFUNCTION("""COMPUTED_VALUE"""),"1000-1800")</f>
        <v>1000-1800</v>
      </c>
      <c r="L217" s="3">
        <f>IFERROR(__xludf.DUMMYFUNCTION("""COMPUTED_VALUE"""),8.0)</f>
        <v>8</v>
      </c>
      <c r="M217" s="3" t="str">
        <f>IFERROR(__xludf.DUMMYFUNCTION("""COMPUTED_VALUE"""),"ร.ท. เรวัติ วัชรสิทธิ์")</f>
        <v>ร.ท. เรวัติ วัชรสิทธิ์</v>
      </c>
      <c r="N217" s="14" t="str">
        <f>IFERROR(__xludf.DUMMYFUNCTION("""COMPUTED_VALUE"""),"https://lh5.googleusercontent.com/d/1YbMM_2cDX4NlU0IPftPjyHWrOa_eXs5U")</f>
        <v>https://lh5.googleusercontent.com/d/1YbMM_2cDX4NlU0IPftPjyHWrOa_eXs5U</v>
      </c>
      <c r="O217" s="14" t="str">
        <f>IFERROR(__xludf.DUMMYFUNCTION("""COMPUTED_VALUE"""),"https://drive.google.com/file/d/1vzamLopVC52sYkwGdh-nKRGVe3fz0T4P/view?usp=drivesdk")</f>
        <v>https://drive.google.com/file/d/1vzamLopVC52sYkwGdh-nKRGVe3fz0T4P/view?usp=drivesdk</v>
      </c>
    </row>
    <row r="218">
      <c r="A218" s="3">
        <f>IFERROR(__xludf.DUMMYFUNCTION("""COMPUTED_VALUE"""),551.0)</f>
        <v>551</v>
      </c>
      <c r="B218" s="11">
        <f>IFERROR(__xludf.DUMMYFUNCTION("""COMPUTED_VALUE"""),45991.477176562505)</f>
        <v>45991.47718</v>
      </c>
      <c r="C218" s="3" t="str">
        <f>IFERROR(__xludf.DUMMYFUNCTION("""COMPUTED_VALUE"""),"ชั้นปีที่ 2")</f>
        <v>ชั้นปีที่ 2</v>
      </c>
      <c r="D218" s="3" t="str">
        <f>IFERROR(__xludf.DUMMYFUNCTION("""COMPUTED_VALUE"""),"6703843")</f>
        <v>6703843</v>
      </c>
      <c r="E218" s="3" t="str">
        <f>IFERROR(__xludf.DUMMYFUNCTION("""COMPUTED_VALUE"""),"25")</f>
        <v>25</v>
      </c>
      <c r="F218" s="3" t="str">
        <f>IFERROR(__xludf.DUMMYFUNCTION("""COMPUTED_VALUE"""),"นพอ.ธัญชนิต ธนะกองแก้ว")</f>
        <v>นพอ.ธัญชนิต ธนะกองแก้ว</v>
      </c>
      <c r="G2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8" s="3" t="str">
        <f>IFERROR(__xludf.DUMMYFUNCTION("""COMPUTED_VALUE"""),"คอนเสิร์ตทัพฟ้าคู่ไทยเพื่อ”ชัยพัฒนา“ ครั้งที่ 16")</f>
        <v>คอนเสิร์ตทัพฟ้าคู่ไทยเพื่อ”ชัยพัฒนา“ ครั้งที่ 16</v>
      </c>
      <c r="I21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18" s="12">
        <f>IFERROR(__xludf.DUMMYFUNCTION("""COMPUTED_VALUE"""),45839.0)</f>
        <v>45839</v>
      </c>
      <c r="K218" s="3" t="str">
        <f>IFERROR(__xludf.DUMMYFUNCTION("""COMPUTED_VALUE"""),"1400-2200")</f>
        <v>1400-2200</v>
      </c>
      <c r="L218" s="3">
        <f>IFERROR(__xludf.DUMMYFUNCTION("""COMPUTED_VALUE"""),8.0)</f>
        <v>8</v>
      </c>
      <c r="M218" s="3" t="str">
        <f>IFERROR(__xludf.DUMMYFUNCTION("""COMPUTED_VALUE"""),"ร.อ.อนุชิต ทำจะดี")</f>
        <v>ร.อ.อนุชิต ทำจะดี</v>
      </c>
      <c r="N218" s="14" t="str">
        <f>IFERROR(__xludf.DUMMYFUNCTION("""COMPUTED_VALUE"""),"https://lh5.googleusercontent.com/d/19M_23rsdIg3KzN-kc1SA4RXLg8Tb-8ef")</f>
        <v>https://lh5.googleusercontent.com/d/19M_23rsdIg3KzN-kc1SA4RXLg8Tb-8ef</v>
      </c>
      <c r="O218" s="14" t="str">
        <f>IFERROR(__xludf.DUMMYFUNCTION("""COMPUTED_VALUE"""),"https://drive.google.com/file/d/15otmYEpChrFS-en9V7nZE75dYwYaS4kB/view?usp=drivesdk")</f>
        <v>https://drive.google.com/file/d/15otmYEpChrFS-en9V7nZE75dYwYaS4kB/view?usp=drivesdk</v>
      </c>
    </row>
    <row r="219">
      <c r="A219" s="3">
        <f>IFERROR(__xludf.DUMMYFUNCTION("""COMPUTED_VALUE"""),552.0)</f>
        <v>552</v>
      </c>
      <c r="B219" s="11">
        <f>IFERROR(__xludf.DUMMYFUNCTION("""COMPUTED_VALUE"""),45991.48677212963)</f>
        <v>45991.48677</v>
      </c>
      <c r="C219" s="3" t="str">
        <f>IFERROR(__xludf.DUMMYFUNCTION("""COMPUTED_VALUE"""),"ชั้นปีที่ 2")</f>
        <v>ชั้นปีที่ 2</v>
      </c>
      <c r="D219" s="3" t="str">
        <f>IFERROR(__xludf.DUMMYFUNCTION("""COMPUTED_VALUE"""),"6703843")</f>
        <v>6703843</v>
      </c>
      <c r="E219" s="3" t="str">
        <f>IFERROR(__xludf.DUMMYFUNCTION("""COMPUTED_VALUE"""),"25")</f>
        <v>25</v>
      </c>
      <c r="F219" s="3" t="str">
        <f>IFERROR(__xludf.DUMMYFUNCTION("""COMPUTED_VALUE"""),"นพอ.ธัญชนิต ธนะกองแก้ว")</f>
        <v>นพอ.ธัญชนิต ธนะกองแก้ว</v>
      </c>
      <c r="G2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9" s="3" t="str">
        <f>IFERROR(__xludf.DUMMYFUNCTION("""COMPUTED_VALUE"""),"คอนเสิร์ตทัพฟ้าคู่ไทยเพื่อ“ชัยพัฒนา” ครั้งที่ 16 ")</f>
        <v>คอนเสิร์ตทัพฟ้าคู่ไทยเพื่อ“ชัยพัฒนา” ครั้งที่ 16 </v>
      </c>
      <c r="I21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19" s="12">
        <f>IFERROR(__xludf.DUMMYFUNCTION("""COMPUTED_VALUE"""),45840.0)</f>
        <v>45840</v>
      </c>
      <c r="K219" s="3" t="str">
        <f>IFERROR(__xludf.DUMMYFUNCTION("""COMPUTED_VALUE"""),"1400-2200")</f>
        <v>1400-2200</v>
      </c>
      <c r="L219" s="3">
        <f>IFERROR(__xludf.DUMMYFUNCTION("""COMPUTED_VALUE"""),8.0)</f>
        <v>8</v>
      </c>
      <c r="M219" s="3" t="str">
        <f>IFERROR(__xludf.DUMMYFUNCTION("""COMPUTED_VALUE"""),"ร.อ.อนุชิต ทำจะดี")</f>
        <v>ร.อ.อนุชิต ทำจะดี</v>
      </c>
      <c r="N219" s="14" t="str">
        <f>IFERROR(__xludf.DUMMYFUNCTION("""COMPUTED_VALUE"""),"https://lh5.googleusercontent.com/d/1NxpfyO4uEluxqseUw1TZOQusxbIkb5ej")</f>
        <v>https://lh5.googleusercontent.com/d/1NxpfyO4uEluxqseUw1TZOQusxbIkb5ej</v>
      </c>
      <c r="O219" s="14" t="str">
        <f>IFERROR(__xludf.DUMMYFUNCTION("""COMPUTED_VALUE"""),"https://drive.google.com/file/d/1vxTNitjQyzMsg9RheRFTtBqk9A_6eYsA/view?usp=drivesdk")</f>
        <v>https://drive.google.com/file/d/1vxTNitjQyzMsg9RheRFTtBqk9A_6eYsA/view?usp=drivesdk</v>
      </c>
    </row>
    <row r="220">
      <c r="A220" s="3">
        <f>IFERROR(__xludf.DUMMYFUNCTION("""COMPUTED_VALUE"""),553.0)</f>
        <v>553</v>
      </c>
      <c r="B220" s="11">
        <f>IFERROR(__xludf.DUMMYFUNCTION("""COMPUTED_VALUE"""),45991.487118564815)</f>
        <v>45991.48712</v>
      </c>
      <c r="C220" s="3" t="str">
        <f>IFERROR(__xludf.DUMMYFUNCTION("""COMPUTED_VALUE"""),"ชั้นปีที่ 2")</f>
        <v>ชั้นปีที่ 2</v>
      </c>
      <c r="D220" s="3" t="str">
        <f>IFERROR(__xludf.DUMMYFUNCTION("""COMPUTED_VALUE"""),"6703872")</f>
        <v>6703872</v>
      </c>
      <c r="E220" s="3" t="str">
        <f>IFERROR(__xludf.DUMMYFUNCTION("""COMPUTED_VALUE"""),"53")</f>
        <v>53</v>
      </c>
      <c r="F220" s="3" t="str">
        <f>IFERROR(__xludf.DUMMYFUNCTION("""COMPUTED_VALUE"""),"นพอ.ศลิษา สุริยผัส")</f>
        <v>นพอ.ศลิษา สุริยผัส</v>
      </c>
      <c r="G22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0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220" s="3" t="str">
        <f>IFERROR(__xludf.DUMMYFUNCTION("""COMPUTED_VALUE"""),"อุทยานการบินกองทัพอากาศ")</f>
        <v>อุทยานการบินกองทัพอากาศ</v>
      </c>
      <c r="J220" s="12">
        <f>IFERROR(__xludf.DUMMYFUNCTION("""COMPUTED_VALUE"""),45926.0)</f>
        <v>45926</v>
      </c>
      <c r="K220" s="3" t="str">
        <f>IFERROR(__xludf.DUMMYFUNCTION("""COMPUTED_VALUE"""),"1200-1600")</f>
        <v>1200-1600</v>
      </c>
      <c r="L220" s="3">
        <f>IFERROR(__xludf.DUMMYFUNCTION("""COMPUTED_VALUE"""),4.0)</f>
        <v>4</v>
      </c>
      <c r="M220" s="3" t="str">
        <f>IFERROR(__xludf.DUMMYFUNCTION("""COMPUTED_VALUE"""),"น.ท.หญิง สิรินันท์ ชูเชิด")</f>
        <v>น.ท.หญิง สิรินันท์ ชูเชิด</v>
      </c>
      <c r="N220" s="14" t="str">
        <f>IFERROR(__xludf.DUMMYFUNCTION("""COMPUTED_VALUE"""),"https://lh5.googleusercontent.com/d/1TLebtnRtBhBRVUCMNgZ0LaAcoeuRveKs")</f>
        <v>https://lh5.googleusercontent.com/d/1TLebtnRtBhBRVUCMNgZ0LaAcoeuRveKs</v>
      </c>
      <c r="O220" s="14" t="str">
        <f>IFERROR(__xludf.DUMMYFUNCTION("""COMPUTED_VALUE"""),"https://drive.google.com/file/d/1kVQNoNAINe-iF8sKBzPKuYgEmM75iNCa/view?usp=drivesdk")</f>
        <v>https://drive.google.com/file/d/1kVQNoNAINe-iF8sKBzPKuYgEmM75iNCa/view?usp=drivesdk</v>
      </c>
    </row>
    <row r="221">
      <c r="A221" s="3">
        <f>IFERROR(__xludf.DUMMYFUNCTION("""COMPUTED_VALUE"""),554.0)</f>
        <v>554</v>
      </c>
      <c r="B221" s="11">
        <f>IFERROR(__xludf.DUMMYFUNCTION("""COMPUTED_VALUE"""),45991.488519467595)</f>
        <v>45991.48852</v>
      </c>
      <c r="C221" s="3" t="str">
        <f>IFERROR(__xludf.DUMMYFUNCTION("""COMPUTED_VALUE"""),"ชั้นปีที่ 2")</f>
        <v>ชั้นปีที่ 2</v>
      </c>
      <c r="D221" s="3" t="str">
        <f>IFERROR(__xludf.DUMMYFUNCTION("""COMPUTED_VALUE"""),"นพอ.ศลิษา สุริยผัส")</f>
        <v>นพอ.ศลิษา สุริยผัส</v>
      </c>
      <c r="E221" s="3" t="str">
        <f>IFERROR(__xludf.DUMMYFUNCTION("""COMPUTED_VALUE"""),"53")</f>
        <v>53</v>
      </c>
      <c r="F221" s="3" t="str">
        <f>IFERROR(__xludf.DUMMYFUNCTION("""COMPUTED_VALUE"""),"นพอ.ศลิษา สุริยผัส")</f>
        <v>นพอ.ศลิษา สุริยผัส</v>
      </c>
      <c r="G22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1" s="3" t="str">
        <f>IFERROR(__xludf.DUMMYFUNCTION("""COMPUTED_VALUE"""),"พิธีรับ-ส่งหน้าที่ผู้บัญชาการทหารอากาศ")</f>
        <v>พิธีรับ-ส่งหน้าที่ผู้บัญชาการทหารอากาศ</v>
      </c>
      <c r="I221" s="3" t="str">
        <f>IFERROR(__xludf.DUMMYFUNCTION("""COMPUTED_VALUE"""),"อุทยานการบินกองทัพอากาศ")</f>
        <v>อุทยานการบินกองทัพอากาศ</v>
      </c>
      <c r="J221" s="12">
        <f>IFERROR(__xludf.DUMMYFUNCTION("""COMPUTED_VALUE"""),45930.0)</f>
        <v>45930</v>
      </c>
      <c r="K221" s="3" t="str">
        <f>IFERROR(__xludf.DUMMYFUNCTION("""COMPUTED_VALUE"""),"1200-1600")</f>
        <v>1200-1600</v>
      </c>
      <c r="L221" s="3">
        <f>IFERROR(__xludf.DUMMYFUNCTION("""COMPUTED_VALUE"""),4.0)</f>
        <v>4</v>
      </c>
      <c r="M221" s="3" t="str">
        <f>IFERROR(__xludf.DUMMYFUNCTION("""COMPUTED_VALUE"""),"น.ท.หญิง สิรินันท์ ชูเชิด")</f>
        <v>น.ท.หญิง สิรินันท์ ชูเชิด</v>
      </c>
      <c r="N221" s="14" t="str">
        <f>IFERROR(__xludf.DUMMYFUNCTION("""COMPUTED_VALUE"""),"https://lh5.googleusercontent.com/d/18GCLXDLuy5aYHeDyJI_eBuntUQsJcI-M")</f>
        <v>https://lh5.googleusercontent.com/d/18GCLXDLuy5aYHeDyJI_eBuntUQsJcI-M</v>
      </c>
      <c r="O221" s="14" t="str">
        <f>IFERROR(__xludf.DUMMYFUNCTION("""COMPUTED_VALUE"""),"https://drive.google.com/file/d/1snG3RsV_T5QmHpygW3zCG4Htp4TQEQDC/view?usp=drivesdk")</f>
        <v>https://drive.google.com/file/d/1snG3RsV_T5QmHpygW3zCG4Htp4TQEQDC/view?usp=drivesdk</v>
      </c>
    </row>
    <row r="222">
      <c r="A222" s="3">
        <f>IFERROR(__xludf.DUMMYFUNCTION("""COMPUTED_VALUE"""),557.0)</f>
        <v>557</v>
      </c>
      <c r="B222" s="11">
        <f>IFERROR(__xludf.DUMMYFUNCTION("""COMPUTED_VALUE"""),45991.53204702546)</f>
        <v>45991.53205</v>
      </c>
      <c r="C222" s="3" t="str">
        <f>IFERROR(__xludf.DUMMYFUNCTION("""COMPUTED_VALUE"""),"ชั้นปีที่ 2")</f>
        <v>ชั้นปีที่ 2</v>
      </c>
      <c r="D222" s="3" t="str">
        <f>IFERROR(__xludf.DUMMYFUNCTION("""COMPUTED_VALUE"""),"6703823")</f>
        <v>6703823</v>
      </c>
      <c r="E222" s="3" t="str">
        <f>IFERROR(__xludf.DUMMYFUNCTION("""COMPUTED_VALUE"""),"6")</f>
        <v>6</v>
      </c>
      <c r="F222" s="3" t="str">
        <f>IFERROR(__xludf.DUMMYFUNCTION("""COMPUTED_VALUE"""),"นพอ.ข้าวขวัญ ดุจธรรมสาร")</f>
        <v>นพอ.ข้าวขวัญ ดุจธรรมสาร</v>
      </c>
      <c r="G222" s="3" t="str">
        <f>IFERROR(__xludf.DUMMYFUNCTION("""COMPUTED_VALUE"""),"ช่วยเหลืองานภายใน วพอ.")</f>
        <v>ช่วยเหลืองานภายใน วพอ.</v>
      </c>
      <c r="H222" s="3" t="str">
        <f>IFERROR(__xludf.DUMMYFUNCTION("""COMPUTED_VALUE"""),"ซ้อมรับขวัญสวีแด")</f>
        <v>ซ้อมรับขวัญสวีแด</v>
      </c>
      <c r="I222" s="3" t="str">
        <f>IFERROR(__xludf.DUMMYFUNCTION("""COMPUTED_VALUE"""),"วิทยาลัยพยาบาลทหารอากาศ")</f>
        <v>วิทยาลัยพยาบาลทหารอากาศ</v>
      </c>
      <c r="J222" s="12">
        <f>IFERROR(__xludf.DUMMYFUNCTION("""COMPUTED_VALUE"""),45887.0)</f>
        <v>45887</v>
      </c>
      <c r="K222" s="3" t="str">
        <f>IFERROR(__xludf.DUMMYFUNCTION("""COMPUTED_VALUE"""),"1800-2000")</f>
        <v>1800-2000</v>
      </c>
      <c r="L222" s="3">
        <f>IFERROR(__xludf.DUMMYFUNCTION("""COMPUTED_VALUE"""),2.0)</f>
        <v>2</v>
      </c>
      <c r="M222" s="3" t="str">
        <f>IFERROR(__xludf.DUMMYFUNCTION("""COMPUTED_VALUE"""),"ร.อ.หญิง ขนัฏฐา นาดี")</f>
        <v>ร.อ.หญิง ขนัฏฐา นาดี</v>
      </c>
      <c r="N222" s="14" t="str">
        <f>IFERROR(__xludf.DUMMYFUNCTION("""COMPUTED_VALUE"""),"https://lh5.googleusercontent.com/d/1FRASG3NTy992D3abfzW3MP7IKxSk37ls")</f>
        <v>https://lh5.googleusercontent.com/d/1FRASG3NTy992D3abfzW3MP7IKxSk37ls</v>
      </c>
      <c r="O222" s="14" t="str">
        <f>IFERROR(__xludf.DUMMYFUNCTION("""COMPUTED_VALUE"""),"https://drive.google.com/file/d/1wI6jPwTe2Yng95ZbnlN-a4Y4G-5L_pko/view?usp=drivesdk")</f>
        <v>https://drive.google.com/file/d/1wI6jPwTe2Yng95ZbnlN-a4Y4G-5L_pko/view?usp=drivesdk</v>
      </c>
    </row>
    <row r="223">
      <c r="A223" s="3">
        <f>IFERROR(__xludf.DUMMYFUNCTION("""COMPUTED_VALUE"""),561.0)</f>
        <v>561</v>
      </c>
      <c r="B223" s="11">
        <f>IFERROR(__xludf.DUMMYFUNCTION("""COMPUTED_VALUE"""),45991.54598163194)</f>
        <v>45991.54598</v>
      </c>
      <c r="C223" s="3" t="str">
        <f>IFERROR(__xludf.DUMMYFUNCTION("""COMPUTED_VALUE"""),"ชั้นปีที่ 2")</f>
        <v>ชั้นปีที่ 2</v>
      </c>
      <c r="D223" s="3" t="str">
        <f>IFERROR(__xludf.DUMMYFUNCTION("""COMPUTED_VALUE"""),"6703823")</f>
        <v>6703823</v>
      </c>
      <c r="E223" s="3" t="str">
        <f>IFERROR(__xludf.DUMMYFUNCTION("""COMPUTED_VALUE"""),"6")</f>
        <v>6</v>
      </c>
      <c r="F223" s="3" t="str">
        <f>IFERROR(__xludf.DUMMYFUNCTION("""COMPUTED_VALUE"""),"นพอ.ข้าวขวัญ ดุจธรรมสาร")</f>
        <v>นพอ.ข้าวขวัญ ดุจธรรมสาร</v>
      </c>
      <c r="G223" s="3" t="str">
        <f>IFERROR(__xludf.DUMMYFUNCTION("""COMPUTED_VALUE"""),"ช่วยเหลืองานภายใน วพอ.")</f>
        <v>ช่วยเหลืองานภายใน วพอ.</v>
      </c>
      <c r="H223" s="3" t="str">
        <f>IFERROR(__xludf.DUMMYFUNCTION("""COMPUTED_VALUE"""),"ซ้อมรับขวัญสวีแด")</f>
        <v>ซ้อมรับขวัญสวีแด</v>
      </c>
      <c r="I223" s="3" t="str">
        <f>IFERROR(__xludf.DUMMYFUNCTION("""COMPUTED_VALUE"""),"วิทยาลัยพยาบาลทหารอากาศ")</f>
        <v>วิทยาลัยพยาบาลทหารอากาศ</v>
      </c>
      <c r="J223" s="12">
        <f>IFERROR(__xludf.DUMMYFUNCTION("""COMPUTED_VALUE"""),45888.0)</f>
        <v>45888</v>
      </c>
      <c r="K223" s="3" t="str">
        <f>IFERROR(__xludf.DUMMYFUNCTION("""COMPUTED_VALUE"""),"1800-2000")</f>
        <v>1800-2000</v>
      </c>
      <c r="L223" s="3">
        <f>IFERROR(__xludf.DUMMYFUNCTION("""COMPUTED_VALUE"""),2.0)</f>
        <v>2</v>
      </c>
      <c r="M223" s="3" t="str">
        <f>IFERROR(__xludf.DUMMYFUNCTION("""COMPUTED_VALUE"""),"ร.อ.หญิง ขนัฏฐา นาดี")</f>
        <v>ร.อ.หญิง ขนัฏฐา นาดี</v>
      </c>
      <c r="N223" s="14" t="str">
        <f>IFERROR(__xludf.DUMMYFUNCTION("""COMPUTED_VALUE"""),"https://lh5.googleusercontent.com/d/1hkE-RSHgirWsNTEKtfx36sdOgqffEvP2")</f>
        <v>https://lh5.googleusercontent.com/d/1hkE-RSHgirWsNTEKtfx36sdOgqffEvP2</v>
      </c>
      <c r="O223" s="14" t="str">
        <f>IFERROR(__xludf.DUMMYFUNCTION("""COMPUTED_VALUE"""),"https://drive.google.com/file/d/1X9RsdnFXzFWQIS6KMvF2vq3eIq_jl7Sx/view?usp=drivesdk")</f>
        <v>https://drive.google.com/file/d/1X9RsdnFXzFWQIS6KMvF2vq3eIq_jl7Sx/view?usp=drivesdk</v>
      </c>
    </row>
    <row r="224">
      <c r="A224" s="3">
        <f>IFERROR(__xludf.DUMMYFUNCTION("""COMPUTED_VALUE"""),562.0)</f>
        <v>562</v>
      </c>
      <c r="B224" s="11">
        <f>IFERROR(__xludf.DUMMYFUNCTION("""COMPUTED_VALUE"""),45991.54875310185)</f>
        <v>45991.54875</v>
      </c>
      <c r="C224" s="3" t="str">
        <f>IFERROR(__xludf.DUMMYFUNCTION("""COMPUTED_VALUE"""),"ชั้นปีที่ 2")</f>
        <v>ชั้นปีที่ 2</v>
      </c>
      <c r="D224" s="3" t="str">
        <f>IFERROR(__xludf.DUMMYFUNCTION("""COMPUTED_VALUE"""),"6703823")</f>
        <v>6703823</v>
      </c>
      <c r="E224" s="3" t="str">
        <f>IFERROR(__xludf.DUMMYFUNCTION("""COMPUTED_VALUE"""),"6")</f>
        <v>6</v>
      </c>
      <c r="F224" s="3" t="str">
        <f>IFERROR(__xludf.DUMMYFUNCTION("""COMPUTED_VALUE"""),"นพอ.ข้าวขวัญ ดุจธรรมสาร")</f>
        <v>นพอ.ข้าวขวัญ ดุจธรรมสาร</v>
      </c>
      <c r="G224" s="3" t="str">
        <f>IFERROR(__xludf.DUMMYFUNCTION("""COMPUTED_VALUE"""),"ช่วยเหลืองานภายใน วพอ.")</f>
        <v>ช่วยเหลืองานภายใน วพอ.</v>
      </c>
      <c r="H224" s="3" t="str">
        <f>IFERROR(__xludf.DUMMYFUNCTION("""COMPUTED_VALUE"""),"รับขวัญสวีแด")</f>
        <v>รับขวัญสวีแด</v>
      </c>
      <c r="I224" s="3" t="str">
        <f>IFERROR(__xludf.DUMMYFUNCTION("""COMPUTED_VALUE"""),"วิทยาลัยพยาบาลทหารอากาศ")</f>
        <v>วิทยาลัยพยาบาลทหารอากาศ</v>
      </c>
      <c r="J224" s="12">
        <f>IFERROR(__xludf.DUMMYFUNCTION("""COMPUTED_VALUE"""),45889.0)</f>
        <v>45889</v>
      </c>
      <c r="K224" s="3" t="str">
        <f>IFERROR(__xludf.DUMMYFUNCTION("""COMPUTED_VALUE"""),"1800-2000")</f>
        <v>1800-2000</v>
      </c>
      <c r="L224" s="3">
        <f>IFERROR(__xludf.DUMMYFUNCTION("""COMPUTED_VALUE"""),2.0)</f>
        <v>2</v>
      </c>
      <c r="M224" s="3" t="str">
        <f>IFERROR(__xludf.DUMMYFUNCTION("""COMPUTED_VALUE"""),"ร.อ.หญิง ขนัฏฐา นาดี")</f>
        <v>ร.อ.หญิง ขนัฏฐา นาดี</v>
      </c>
      <c r="N224" s="14" t="str">
        <f>IFERROR(__xludf.DUMMYFUNCTION("""COMPUTED_VALUE"""),"https://lh5.googleusercontent.com/d/1zwAqyT2UJdu1b0BGrBtieEXn5cGttw5w")</f>
        <v>https://lh5.googleusercontent.com/d/1zwAqyT2UJdu1b0BGrBtieEXn5cGttw5w</v>
      </c>
      <c r="O224" s="14" t="str">
        <f>IFERROR(__xludf.DUMMYFUNCTION("""COMPUTED_VALUE"""),"https://drive.google.com/file/d/1kAN-z27SJ8kVXiuPGn2CSv8BIq9vxSZH/view?usp=drivesdk")</f>
        <v>https://drive.google.com/file/d/1kAN-z27SJ8kVXiuPGn2CSv8BIq9vxSZH/view?usp=drivesdk</v>
      </c>
    </row>
    <row r="225">
      <c r="A225" s="3">
        <f>IFERROR(__xludf.DUMMYFUNCTION("""COMPUTED_VALUE"""),565.0)</f>
        <v>565</v>
      </c>
      <c r="B225" s="11">
        <f>IFERROR(__xludf.DUMMYFUNCTION("""COMPUTED_VALUE"""),45991.55207059028)</f>
        <v>45991.55207</v>
      </c>
      <c r="C225" s="3" t="str">
        <f>IFERROR(__xludf.DUMMYFUNCTION("""COMPUTED_VALUE"""),"ชั้นปีที่ 2")</f>
        <v>ชั้นปีที่ 2</v>
      </c>
      <c r="D225" s="3" t="str">
        <f>IFERROR(__xludf.DUMMYFUNCTION("""COMPUTED_VALUE"""),"6703842")</f>
        <v>6703842</v>
      </c>
      <c r="E225" s="3" t="str">
        <f>IFERROR(__xludf.DUMMYFUNCTION("""COMPUTED_VALUE"""),"24")</f>
        <v>24</v>
      </c>
      <c r="F225" s="3" t="str">
        <f>IFERROR(__xludf.DUMMYFUNCTION("""COMPUTED_VALUE"""),"นพอ.ธัญชนก ธนะกองแก้ว")</f>
        <v>นพอ.ธัญชนก ธนะกองแก้ว</v>
      </c>
      <c r="G22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5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225" s="3" t="str">
        <f>IFERROR(__xludf.DUMMYFUNCTION("""COMPUTED_VALUE"""),"อุทยานการบินกองทัพอากาศ")</f>
        <v>อุทยานการบินกองทัพอากาศ</v>
      </c>
      <c r="J225" s="12">
        <f>IFERROR(__xludf.DUMMYFUNCTION("""COMPUTED_VALUE"""),45926.0)</f>
        <v>45926</v>
      </c>
      <c r="K225" s="3" t="str">
        <f>IFERROR(__xludf.DUMMYFUNCTION("""COMPUTED_VALUE"""),"1200-1600")</f>
        <v>1200-1600</v>
      </c>
      <c r="L225" s="3">
        <f>IFERROR(__xludf.DUMMYFUNCTION("""COMPUTED_VALUE"""),4.0)</f>
        <v>4</v>
      </c>
      <c r="M225" s="3" t="str">
        <f>IFERROR(__xludf.DUMMYFUNCTION("""COMPUTED_VALUE"""),"น.ท.หญิง สิรินันท์ ชูเชิด")</f>
        <v>น.ท.หญิง สิรินันท์ ชูเชิด</v>
      </c>
      <c r="N225" s="14" t="str">
        <f>IFERROR(__xludf.DUMMYFUNCTION("""COMPUTED_VALUE"""),"https://lh5.googleusercontent.com/d/1gpro0HloAQ3bXSq2EjQtysFjM54sOUHn")</f>
        <v>https://lh5.googleusercontent.com/d/1gpro0HloAQ3bXSq2EjQtysFjM54sOUHn</v>
      </c>
      <c r="O225" s="14" t="str">
        <f>IFERROR(__xludf.DUMMYFUNCTION("""COMPUTED_VALUE"""),"https://drive.google.com/file/d/1VPXkTGs8ejwM8EF7dMiVHCdWOBYFUU6g/view?usp=drivesdk")</f>
        <v>https://drive.google.com/file/d/1VPXkTGs8ejwM8EF7dMiVHCdWOBYFUU6g/view?usp=drivesdk</v>
      </c>
    </row>
    <row r="226">
      <c r="A226" s="3">
        <f>IFERROR(__xludf.DUMMYFUNCTION("""COMPUTED_VALUE"""),570.0)</f>
        <v>570</v>
      </c>
      <c r="B226" s="11">
        <f>IFERROR(__xludf.DUMMYFUNCTION("""COMPUTED_VALUE"""),45991.554871527784)</f>
        <v>45991.55487</v>
      </c>
      <c r="C226" s="3" t="str">
        <f>IFERROR(__xludf.DUMMYFUNCTION("""COMPUTED_VALUE"""),"ชั้นปีที่ 2")</f>
        <v>ชั้นปีที่ 2</v>
      </c>
      <c r="D226" s="3" t="str">
        <f>IFERROR(__xludf.DUMMYFUNCTION("""COMPUTED_VALUE"""),"6703842")</f>
        <v>6703842</v>
      </c>
      <c r="E226" s="3" t="str">
        <f>IFERROR(__xludf.DUMMYFUNCTION("""COMPUTED_VALUE"""),"24")</f>
        <v>24</v>
      </c>
      <c r="F226" s="3" t="str">
        <f>IFERROR(__xludf.DUMMYFUNCTION("""COMPUTED_VALUE"""),"นพอ.ธัญชนก ธนะกองแก้ว")</f>
        <v>นพอ.ธัญชนก ธนะกองแก้ว</v>
      </c>
      <c r="G22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6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226" s="3" t="str">
        <f>IFERROR(__xludf.DUMMYFUNCTION("""COMPUTED_VALUE"""),"อุทยานการบินกองทัพอากาศ")</f>
        <v>อุทยานการบินกองทัพอากาศ</v>
      </c>
      <c r="J226" s="12">
        <f>IFERROR(__xludf.DUMMYFUNCTION("""COMPUTED_VALUE"""),45930.0)</f>
        <v>45930</v>
      </c>
      <c r="K226" s="3" t="str">
        <f>IFERROR(__xludf.DUMMYFUNCTION("""COMPUTED_VALUE"""),"1200-1600")</f>
        <v>1200-1600</v>
      </c>
      <c r="L226" s="3">
        <f>IFERROR(__xludf.DUMMYFUNCTION("""COMPUTED_VALUE"""),4.0)</f>
        <v>4</v>
      </c>
      <c r="M226" s="3" t="str">
        <f>IFERROR(__xludf.DUMMYFUNCTION("""COMPUTED_VALUE"""),"นงท.หญิง สิรินันท์ ชูเชิด")</f>
        <v>นงท.หญิง สิรินันท์ ชูเชิด</v>
      </c>
      <c r="N226" s="14" t="str">
        <f>IFERROR(__xludf.DUMMYFUNCTION("""COMPUTED_VALUE"""),"https://lh5.googleusercontent.com/d/1G-onwqtvZwy1Wx26f1tKt_GBE3W89JMR")</f>
        <v>https://lh5.googleusercontent.com/d/1G-onwqtvZwy1Wx26f1tKt_GBE3W89JMR</v>
      </c>
      <c r="O226" s="14" t="str">
        <f>IFERROR(__xludf.DUMMYFUNCTION("""COMPUTED_VALUE"""),"https://drive.google.com/file/d/1RMc3zMylf20mYBaee0-V0adglht0dBPH/view?usp=drivesdk")</f>
        <v>https://drive.google.com/file/d/1RMc3zMylf20mYBaee0-V0adglht0dBPH/view?usp=drivesdk</v>
      </c>
    </row>
    <row r="227">
      <c r="A227" s="3">
        <f>IFERROR(__xludf.DUMMYFUNCTION("""COMPUTED_VALUE"""),578.0)</f>
        <v>578</v>
      </c>
      <c r="B227" s="11">
        <f>IFERROR(__xludf.DUMMYFUNCTION("""COMPUTED_VALUE"""),45991.5622312037)</f>
        <v>45991.56223</v>
      </c>
      <c r="C227" s="3" t="str">
        <f>IFERROR(__xludf.DUMMYFUNCTION("""COMPUTED_VALUE"""),"ชั้นปีที่ 2")</f>
        <v>ชั้นปีที่ 2</v>
      </c>
      <c r="D227" s="3" t="str">
        <f>IFERROR(__xludf.DUMMYFUNCTION("""COMPUTED_VALUE"""),"6703835")</f>
        <v>6703835</v>
      </c>
      <c r="E227" s="3" t="str">
        <f>IFERROR(__xludf.DUMMYFUNCTION("""COMPUTED_VALUE"""),"18")</f>
        <v>18</v>
      </c>
      <c r="F227" s="3" t="str">
        <f>IFERROR(__xludf.DUMMYFUNCTION("""COMPUTED_VALUE"""),"นพอ.ณัฐณิชา พิทักษ์สันติ")</f>
        <v>นพอ.ณัฐณิชา พิทักษ์สันติ</v>
      </c>
      <c r="G227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27" s="3" t="str">
        <f>IFERROR(__xludf.DUMMYFUNCTION("""COMPUTED_VALUE"""),"งานแจกของพระราชทานพระบรมศพพระพันปีหลวง")</f>
        <v>งานแจกของพระราชทานพระบรมศพพระพันปีหลวง</v>
      </c>
      <c r="I227" s="3" t="str">
        <f>IFERROR(__xludf.DUMMYFUNCTION("""COMPUTED_VALUE"""),"สนามหลวง")</f>
        <v>สนามหลวง</v>
      </c>
      <c r="J227" s="12">
        <f>IFERROR(__xludf.DUMMYFUNCTION("""COMPUTED_VALUE"""),45990.0)</f>
        <v>45990</v>
      </c>
      <c r="K227" s="3" t="str">
        <f>IFERROR(__xludf.DUMMYFUNCTION("""COMPUTED_VALUE"""),"0800-1200")</f>
        <v>0800-1200</v>
      </c>
      <c r="L227" s="3">
        <f>IFERROR(__xludf.DUMMYFUNCTION("""COMPUTED_VALUE"""),4.0)</f>
        <v>4</v>
      </c>
      <c r="M22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27" s="14" t="str">
        <f>IFERROR(__xludf.DUMMYFUNCTION("""COMPUTED_VALUE"""),"https://lh5.googleusercontent.com/d/1HyNVWzCbN-AAAvNa4IBGL2kRxEPfbg7a")</f>
        <v>https://lh5.googleusercontent.com/d/1HyNVWzCbN-AAAvNa4IBGL2kRxEPfbg7a</v>
      </c>
      <c r="O227" s="14" t="str">
        <f>IFERROR(__xludf.DUMMYFUNCTION("""COMPUTED_VALUE"""),"https://drive.google.com/file/d/1xK1PFIGgoaCAWlA0zNsFaD5_NbMu6Jcz/view?usp=drivesdk")</f>
        <v>https://drive.google.com/file/d/1xK1PFIGgoaCAWlA0zNsFaD5_NbMu6Jcz/view?usp=drivesdk</v>
      </c>
    </row>
    <row r="228">
      <c r="A228" s="3">
        <f>IFERROR(__xludf.DUMMYFUNCTION("""COMPUTED_VALUE"""),581.0)</f>
        <v>581</v>
      </c>
      <c r="B228" s="11">
        <f>IFERROR(__xludf.DUMMYFUNCTION("""COMPUTED_VALUE"""),45991.56623502314)</f>
        <v>45991.56624</v>
      </c>
      <c r="C228" s="3" t="str">
        <f>IFERROR(__xludf.DUMMYFUNCTION("""COMPUTED_VALUE"""),"ชั้นปีที่ 2")</f>
        <v>ชั้นปีที่ 2</v>
      </c>
      <c r="D228" s="3" t="str">
        <f>IFERROR(__xludf.DUMMYFUNCTION("""COMPUTED_VALUE"""),"6703822")</f>
        <v>6703822</v>
      </c>
      <c r="E228" s="3" t="str">
        <f>IFERROR(__xludf.DUMMYFUNCTION("""COMPUTED_VALUE"""),"5")</f>
        <v>5</v>
      </c>
      <c r="F228" s="3" t="str">
        <f>IFERROR(__xludf.DUMMYFUNCTION("""COMPUTED_VALUE"""),"นพอ.กัณยวัลย์ เทียนบัญญัติ")</f>
        <v>นพอ.กัณยวัลย์ เทียนบัญญัติ</v>
      </c>
      <c r="G228" s="3" t="str">
        <f>IFERROR(__xludf.DUMMYFUNCTION("""COMPUTED_VALUE"""),"ช่วยเหลืองานภายใน วพอ.")</f>
        <v>ช่วยเหลืองานภายใน วพอ.</v>
      </c>
      <c r="H228" s="3" t="str">
        <f>IFERROR(__xludf.DUMMYFUNCTION("""COMPUTED_VALUE"""),"ซ้อมดนตรีไทย กิจกรรมวันรับขวัญสวีแด")</f>
        <v>ซ้อมดนตรีไทย กิจกรรมวันรับขวัญสวีแด</v>
      </c>
      <c r="I228" s="3" t="str">
        <f>IFERROR(__xludf.DUMMYFUNCTION("""COMPUTED_VALUE"""),"วพอ.พอ.")</f>
        <v>วพอ.พอ.</v>
      </c>
      <c r="J228" s="12">
        <f>IFERROR(__xludf.DUMMYFUNCTION("""COMPUTED_VALUE"""),45889.0)</f>
        <v>45889</v>
      </c>
      <c r="K228" s="3" t="str">
        <f>IFERROR(__xludf.DUMMYFUNCTION("""COMPUTED_VALUE"""),"1800-2000")</f>
        <v>1800-2000</v>
      </c>
      <c r="L228" s="3">
        <f>IFERROR(__xludf.DUMMYFUNCTION("""COMPUTED_VALUE"""),2.0)</f>
        <v>2</v>
      </c>
      <c r="M228" s="3" t="str">
        <f>IFERROR(__xludf.DUMMYFUNCTION("""COMPUTED_VALUE"""),"ร.อ.หญิง ขนัฏฐา นาดี")</f>
        <v>ร.อ.หญิง ขนัฏฐา นาดี</v>
      </c>
      <c r="N228" s="14" t="str">
        <f>IFERROR(__xludf.DUMMYFUNCTION("""COMPUTED_VALUE"""),"https://lh5.googleusercontent.com/d/1zablIFdexFThVdi-YJMCndh6XvJC4MqO")</f>
        <v>https://lh5.googleusercontent.com/d/1zablIFdexFThVdi-YJMCndh6XvJC4MqO</v>
      </c>
      <c r="O228" s="14" t="str">
        <f>IFERROR(__xludf.DUMMYFUNCTION("""COMPUTED_VALUE"""),"https://drive.google.com/file/d/1xF_2HQ005Su2kijdrYGNNVQCoZu7j5kq/view?usp=drivesdk")</f>
        <v>https://drive.google.com/file/d/1xF_2HQ005Su2kijdrYGNNVQCoZu7j5kq/view?usp=drivesdk</v>
      </c>
    </row>
    <row r="229">
      <c r="A229" s="3">
        <f>IFERROR(__xludf.DUMMYFUNCTION("""COMPUTED_VALUE"""),607.0)</f>
        <v>607</v>
      </c>
      <c r="B229" s="11">
        <f>IFERROR(__xludf.DUMMYFUNCTION("""COMPUTED_VALUE"""),45991.61748371528)</f>
        <v>45991.61748</v>
      </c>
      <c r="C229" s="3" t="str">
        <f>IFERROR(__xludf.DUMMYFUNCTION("""COMPUTED_VALUE"""),"ชั้นปีที่ 2")</f>
        <v>ชั้นปีที่ 2</v>
      </c>
      <c r="D229" s="3" t="str">
        <f>IFERROR(__xludf.DUMMYFUNCTION("""COMPUTED_VALUE"""),"6703881")</f>
        <v>6703881</v>
      </c>
      <c r="E229" s="3" t="str">
        <f>IFERROR(__xludf.DUMMYFUNCTION("""COMPUTED_VALUE"""),"62")</f>
        <v>62</v>
      </c>
      <c r="F229" s="3" t="str">
        <f>IFERROR(__xludf.DUMMYFUNCTION("""COMPUTED_VALUE"""),"นพอ.อัจจิมา สุวรรณประเสริฐ")</f>
        <v>นพอ.อัจจิมา สุวรรณประเสริฐ</v>
      </c>
      <c r="G229" s="3" t="str">
        <f>IFERROR(__xludf.DUMMYFUNCTION("""COMPUTED_VALUE"""),"ช่วยเหลืองานภายใน วพอ.")</f>
        <v>ช่วยเหลืองานภายใน วพอ.</v>
      </c>
      <c r="H229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29" s="3" t="str">
        <f>IFERROR(__xludf.DUMMYFUNCTION("""COMPUTED_VALUE"""),"ห้องเรียนนพอ.ชั้นปีที่ 1")</f>
        <v>ห้องเรียนนพอ.ชั้นปีที่ 1</v>
      </c>
      <c r="J229" s="12">
        <f>IFERROR(__xludf.DUMMYFUNCTION("""COMPUTED_VALUE"""),45984.0)</f>
        <v>45984</v>
      </c>
      <c r="K229" s="3" t="str">
        <f>IFERROR(__xludf.DUMMYFUNCTION("""COMPUTED_VALUE"""),"1000-1800")</f>
        <v>1000-1800</v>
      </c>
      <c r="L229" s="3">
        <f>IFERROR(__xludf.DUMMYFUNCTION("""COMPUTED_VALUE"""),8.0)</f>
        <v>8</v>
      </c>
      <c r="M229" s="3" t="str">
        <f>IFERROR(__xludf.DUMMYFUNCTION("""COMPUTED_VALUE"""),"ร.ท.เรวัติ วัชรสิทธิ์")</f>
        <v>ร.ท.เรวัติ วัชรสิทธิ์</v>
      </c>
      <c r="N229" s="14" t="str">
        <f>IFERROR(__xludf.DUMMYFUNCTION("""COMPUTED_VALUE"""),"https://lh5.googleusercontent.com/d/1OODxrl7SaOgrOoe0RfR50xvuK1MYVVyw")</f>
        <v>https://lh5.googleusercontent.com/d/1OODxrl7SaOgrOoe0RfR50xvuK1MYVVyw</v>
      </c>
      <c r="O229" s="14" t="str">
        <f>IFERROR(__xludf.DUMMYFUNCTION("""COMPUTED_VALUE"""),"https://drive.google.com/file/d/1Udkeh1u2IQ7fRG43GIUFe7mwG6t23uGY/view?usp=drivesdk")</f>
        <v>https://drive.google.com/file/d/1Udkeh1u2IQ7fRG43GIUFe7mwG6t23uGY/view?usp=drivesdk</v>
      </c>
    </row>
    <row r="230">
      <c r="A230" s="3">
        <f>IFERROR(__xludf.DUMMYFUNCTION("""COMPUTED_VALUE"""),609.0)</f>
        <v>609</v>
      </c>
      <c r="B230" s="11">
        <f>IFERROR(__xludf.DUMMYFUNCTION("""COMPUTED_VALUE"""),45991.619686736114)</f>
        <v>45991.61969</v>
      </c>
      <c r="C230" s="3" t="str">
        <f>IFERROR(__xludf.DUMMYFUNCTION("""COMPUTED_VALUE"""),"ชั้นปีที่ 2")</f>
        <v>ชั้นปีที่ 2</v>
      </c>
      <c r="D230" s="3" t="str">
        <f>IFERROR(__xludf.DUMMYFUNCTION("""COMPUTED_VALUE"""),"6703881")</f>
        <v>6703881</v>
      </c>
      <c r="E230" s="3" t="str">
        <f>IFERROR(__xludf.DUMMYFUNCTION("""COMPUTED_VALUE"""),"62")</f>
        <v>62</v>
      </c>
      <c r="F230" s="3" t="str">
        <f>IFERROR(__xludf.DUMMYFUNCTION("""COMPUTED_VALUE"""),"นพอ.อัจจิมา สุวรรณประเสริฐ")</f>
        <v>นพอ.อัจจิมา สุวรรณประเสริฐ</v>
      </c>
      <c r="G230" s="3" t="str">
        <f>IFERROR(__xludf.DUMMYFUNCTION("""COMPUTED_VALUE"""),"ช่วยเหลืองานภายใน วพอ.")</f>
        <v>ช่วยเหลืองานภายใน วพอ.</v>
      </c>
      <c r="H230" s="3" t="str">
        <f>IFERROR(__xludf.DUMMYFUNCTION("""COMPUTED_VALUE"""),"จิตอาสารับนักเรียนใหม่")</f>
        <v>จิตอาสารับนักเรียนใหม่</v>
      </c>
      <c r="I230" s="3" t="str">
        <f>IFERROR(__xludf.DUMMYFUNCTION("""COMPUTED_VALUE"""),"วิทยาลัยพยาบาลทหารอากาศ")</f>
        <v>วิทยาลัยพยาบาลทหารอากาศ</v>
      </c>
      <c r="J230" s="12">
        <f>IFERROR(__xludf.DUMMYFUNCTION("""COMPUTED_VALUE"""),45859.0)</f>
        <v>45859</v>
      </c>
      <c r="K230" s="3" t="str">
        <f>IFERROR(__xludf.DUMMYFUNCTION("""COMPUTED_VALUE"""),"0700-1500")</f>
        <v>0700-1500</v>
      </c>
      <c r="L230" s="3">
        <f>IFERROR(__xludf.DUMMYFUNCTION("""COMPUTED_VALUE"""),8.0)</f>
        <v>8</v>
      </c>
      <c r="M230" s="3" t="str">
        <f>IFERROR(__xludf.DUMMYFUNCTION("""COMPUTED_VALUE"""),"ร.อ.อนุชิต ทำจะดี")</f>
        <v>ร.อ.อนุชิต ทำจะดี</v>
      </c>
      <c r="N230" s="14" t="str">
        <f>IFERROR(__xludf.DUMMYFUNCTION("""COMPUTED_VALUE"""),"https://lh5.googleusercontent.com/d/1sDqc2SKhiJQsMJ1NAaBHzPH_hkfWgz2n")</f>
        <v>https://lh5.googleusercontent.com/d/1sDqc2SKhiJQsMJ1NAaBHzPH_hkfWgz2n</v>
      </c>
      <c r="O230" s="14" t="str">
        <f>IFERROR(__xludf.DUMMYFUNCTION("""COMPUTED_VALUE"""),"https://drive.google.com/file/d/1ouWClIPTeiOG2EDJpZ-ExuVRzGuJwlVS/view?usp=drivesdk")</f>
        <v>https://drive.google.com/file/d/1ouWClIPTeiOG2EDJpZ-ExuVRzGuJwlVS/view?usp=drivesdk</v>
      </c>
    </row>
    <row r="231">
      <c r="A231" s="3">
        <f>IFERROR(__xludf.DUMMYFUNCTION("""COMPUTED_VALUE"""),610.0)</f>
        <v>610</v>
      </c>
      <c r="B231" s="11">
        <f>IFERROR(__xludf.DUMMYFUNCTION("""COMPUTED_VALUE"""),45991.621338414356)</f>
        <v>45991.62134</v>
      </c>
      <c r="C231" s="3" t="str">
        <f>IFERROR(__xludf.DUMMYFUNCTION("""COMPUTED_VALUE"""),"ชั้นปีที่ 2")</f>
        <v>ชั้นปีที่ 2</v>
      </c>
      <c r="D231" s="3" t="str">
        <f>IFERROR(__xludf.DUMMYFUNCTION("""COMPUTED_VALUE"""),"6703881")</f>
        <v>6703881</v>
      </c>
      <c r="E231" s="3" t="str">
        <f>IFERROR(__xludf.DUMMYFUNCTION("""COMPUTED_VALUE"""),"62")</f>
        <v>62</v>
      </c>
      <c r="F231" s="3" t="str">
        <f>IFERROR(__xludf.DUMMYFUNCTION("""COMPUTED_VALUE"""),"นพอ.อัจจิมา สุวรรณประเสริฐ")</f>
        <v>นพอ.อัจจิมา สุวรรณประเสริฐ</v>
      </c>
      <c r="G231" s="3" t="str">
        <f>IFERROR(__xludf.DUMMYFUNCTION("""COMPUTED_VALUE"""),"ช่วยเหลืองานภายใน วพอ.")</f>
        <v>ช่วยเหลืองานภายใน วพอ.</v>
      </c>
      <c r="H231" s="3" t="str">
        <f>IFERROR(__xludf.DUMMYFUNCTION("""COMPUTED_VALUE"""),"จิตอาสารับนักเรียนใหม่")</f>
        <v>จิตอาสารับนักเรียนใหม่</v>
      </c>
      <c r="I231" s="3" t="str">
        <f>IFERROR(__xludf.DUMMYFUNCTION("""COMPUTED_VALUE"""),"วิทยาลัยพยาบาลทหารอากาศ")</f>
        <v>วิทยาลัยพยาบาลทหารอากาศ</v>
      </c>
      <c r="J231" s="12">
        <f>IFERROR(__xludf.DUMMYFUNCTION("""COMPUTED_VALUE"""),45859.0)</f>
        <v>45859</v>
      </c>
      <c r="K231" s="3" t="str">
        <f>IFERROR(__xludf.DUMMYFUNCTION("""COMPUTED_VALUE"""),"0700-1500")</f>
        <v>0700-1500</v>
      </c>
      <c r="L231" s="3">
        <f>IFERROR(__xludf.DUMMYFUNCTION("""COMPUTED_VALUE"""),8.0)</f>
        <v>8</v>
      </c>
      <c r="M231" s="3" t="str">
        <f>IFERROR(__xludf.DUMMYFUNCTION("""COMPUTED_VALUE"""),"ร.อ.อนุชิต ทำจะดี")</f>
        <v>ร.อ.อนุชิต ทำจะดี</v>
      </c>
      <c r="N231" s="14" t="str">
        <f>IFERROR(__xludf.DUMMYFUNCTION("""COMPUTED_VALUE"""),"https://lh5.googleusercontent.com/d/1NwF-xyla2xsIVbU3F-9nYBx0mCS0ATqa")</f>
        <v>https://lh5.googleusercontent.com/d/1NwF-xyla2xsIVbU3F-9nYBx0mCS0ATqa</v>
      </c>
      <c r="O231" s="14" t="str">
        <f>IFERROR(__xludf.DUMMYFUNCTION("""COMPUTED_VALUE"""),"https://drive.google.com/file/d/1D4TRh4oHA_rfKAYiF-HbohrNdnsrroDM/view?usp=drivesdk")</f>
        <v>https://drive.google.com/file/d/1D4TRh4oHA_rfKAYiF-HbohrNdnsrroDM/view?usp=drivesdk</v>
      </c>
    </row>
    <row r="232">
      <c r="A232" s="3">
        <f>IFERROR(__xludf.DUMMYFUNCTION("""COMPUTED_VALUE"""),611.0)</f>
        <v>611</v>
      </c>
      <c r="B232" s="11">
        <f>IFERROR(__xludf.DUMMYFUNCTION("""COMPUTED_VALUE"""),45991.622072060185)</f>
        <v>45991.62207</v>
      </c>
      <c r="C232" s="3" t="str">
        <f>IFERROR(__xludf.DUMMYFUNCTION("""COMPUTED_VALUE"""),"ชั้นปีที่ 2")</f>
        <v>ชั้นปีที่ 2</v>
      </c>
      <c r="D232" s="3" t="str">
        <f>IFERROR(__xludf.DUMMYFUNCTION("""COMPUTED_VALUE"""),"6703879")</f>
        <v>6703879</v>
      </c>
      <c r="E232" s="3" t="str">
        <f>IFERROR(__xludf.DUMMYFUNCTION("""COMPUTED_VALUE"""),"60")</f>
        <v>60</v>
      </c>
      <c r="F232" s="3" t="str">
        <f>IFERROR(__xludf.DUMMYFUNCTION("""COMPUTED_VALUE"""),"นพอ.สุรภา ธีสุระ")</f>
        <v>นพอ.สุรภา ธีสุระ</v>
      </c>
      <c r="G2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2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232" s="3" t="str">
        <f>IFERROR(__xludf.DUMMYFUNCTION("""COMPUTED_VALUE"""),"อุทยานการบินกองทัพอากาศ")</f>
        <v>อุทยานการบินกองทัพอากาศ</v>
      </c>
      <c r="J232" s="12">
        <f>IFERROR(__xludf.DUMMYFUNCTION("""COMPUTED_VALUE"""),45926.0)</f>
        <v>45926</v>
      </c>
      <c r="K232" s="3" t="str">
        <f>IFERROR(__xludf.DUMMYFUNCTION("""COMPUTED_VALUE"""),"1200-1600")</f>
        <v>1200-1600</v>
      </c>
      <c r="L232" s="3">
        <f>IFERROR(__xludf.DUMMYFUNCTION("""COMPUTED_VALUE"""),4.0)</f>
        <v>4</v>
      </c>
      <c r="M232" s="3" t="str">
        <f>IFERROR(__xludf.DUMMYFUNCTION("""COMPUTED_VALUE"""),"น.ท.หญิง สิรินันท์ ชูเชิด")</f>
        <v>น.ท.หญิง สิรินันท์ ชูเชิด</v>
      </c>
      <c r="N232" s="14" t="str">
        <f>IFERROR(__xludf.DUMMYFUNCTION("""COMPUTED_VALUE"""),"https://lh5.googleusercontent.com/d/1fssktThMkk2aJ_GDHlA7nH1k4BoqpehB")</f>
        <v>https://lh5.googleusercontent.com/d/1fssktThMkk2aJ_GDHlA7nH1k4BoqpehB</v>
      </c>
      <c r="O232" s="14" t="str">
        <f>IFERROR(__xludf.DUMMYFUNCTION("""COMPUTED_VALUE"""),"https://drive.google.com/file/d/1N33T24H456RK7C-E9ke9VDd5sWVmw7Fk/view?usp=drivesdk")</f>
        <v>https://drive.google.com/file/d/1N33T24H456RK7C-E9ke9VDd5sWVmw7Fk/view?usp=drivesdk</v>
      </c>
    </row>
    <row r="233">
      <c r="A233" s="3">
        <f>IFERROR(__xludf.DUMMYFUNCTION("""COMPUTED_VALUE"""),612.0)</f>
        <v>612</v>
      </c>
      <c r="B233" s="11">
        <f>IFERROR(__xludf.DUMMYFUNCTION("""COMPUTED_VALUE"""),45991.62331972222)</f>
        <v>45991.62332</v>
      </c>
      <c r="C233" s="3" t="str">
        <f>IFERROR(__xludf.DUMMYFUNCTION("""COMPUTED_VALUE"""),"ชั้นปีที่ 2")</f>
        <v>ชั้นปีที่ 2</v>
      </c>
      <c r="D233" s="3" t="str">
        <f>IFERROR(__xludf.DUMMYFUNCTION("""COMPUTED_VALUE"""),"6703881")</f>
        <v>6703881</v>
      </c>
      <c r="E233" s="3" t="str">
        <f>IFERROR(__xludf.DUMMYFUNCTION("""COMPUTED_VALUE"""),"62")</f>
        <v>62</v>
      </c>
      <c r="F233" s="3" t="str">
        <f>IFERROR(__xludf.DUMMYFUNCTION("""COMPUTED_VALUE"""),"นพอ.อัจจิมา สุวรรณประเสริฐ")</f>
        <v>นพอ.อัจจิมา สุวรรณประเสริฐ</v>
      </c>
      <c r="G23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33" s="3" t="str">
        <f>IFERROR(__xludf.DUMMYFUNCTION("""COMPUTED_VALUE"""),"บริจาคโลหิต")</f>
        <v>บริจาคโลหิต</v>
      </c>
      <c r="I233" s="3" t="str">
        <f>IFERROR(__xludf.DUMMYFUNCTION("""COMPUTED_VALUE"""),"โรงพยาบาลพัทลุง จังหวัดพัทลุง")</f>
        <v>โรงพยาบาลพัทลุง จังหวัดพัทลุง</v>
      </c>
      <c r="J233" s="12">
        <f>IFERROR(__xludf.DUMMYFUNCTION("""COMPUTED_VALUE"""),45856.0)</f>
        <v>45856</v>
      </c>
      <c r="K233" s="3" t="str">
        <f>IFERROR(__xludf.DUMMYFUNCTION("""COMPUTED_VALUE"""),"1000-1800")</f>
        <v>1000-1800</v>
      </c>
      <c r="L233" s="3">
        <f>IFERROR(__xludf.DUMMYFUNCTION("""COMPUTED_VALUE"""),8.0)</f>
        <v>8</v>
      </c>
      <c r="M233" s="3" t="str">
        <f>IFERROR(__xludf.DUMMYFUNCTION("""COMPUTED_VALUE"""),"นางมาลา สุวรรณประเสริฐ")</f>
        <v>นางมาลา สุวรรณประเสริฐ</v>
      </c>
      <c r="N233" s="14" t="str">
        <f>IFERROR(__xludf.DUMMYFUNCTION("""COMPUTED_VALUE"""),"https://lh5.googleusercontent.com/d/1zfM3CYTWYt5YEvvUYGFl1ucmAvhTE35i")</f>
        <v>https://lh5.googleusercontent.com/d/1zfM3CYTWYt5YEvvUYGFl1ucmAvhTE35i</v>
      </c>
      <c r="O233" s="14" t="str">
        <f>IFERROR(__xludf.DUMMYFUNCTION("""COMPUTED_VALUE"""),"https://drive.google.com/file/d/1tl3qhmaGXwhbiffnc9vBr9kXotlgejc2/view?usp=drivesdk")</f>
        <v>https://drive.google.com/file/d/1tl3qhmaGXwhbiffnc9vBr9kXotlgejc2/view?usp=drivesdk</v>
      </c>
    </row>
    <row r="234">
      <c r="A234" s="3">
        <f>IFERROR(__xludf.DUMMYFUNCTION("""COMPUTED_VALUE"""),613.0)</f>
        <v>613</v>
      </c>
      <c r="B234" s="11">
        <f>IFERROR(__xludf.DUMMYFUNCTION("""COMPUTED_VALUE"""),45991.62582653935)</f>
        <v>45991.62583</v>
      </c>
      <c r="C234" s="3" t="str">
        <f>IFERROR(__xludf.DUMMYFUNCTION("""COMPUTED_VALUE"""),"ชั้นปีที่ 2")</f>
        <v>ชั้นปีที่ 2</v>
      </c>
      <c r="D234" s="3" t="str">
        <f>IFERROR(__xludf.DUMMYFUNCTION("""COMPUTED_VALUE"""),"6703881")</f>
        <v>6703881</v>
      </c>
      <c r="E234" s="3" t="str">
        <f>IFERROR(__xludf.DUMMYFUNCTION("""COMPUTED_VALUE"""),"62")</f>
        <v>62</v>
      </c>
      <c r="F234" s="3" t="str">
        <f>IFERROR(__xludf.DUMMYFUNCTION("""COMPUTED_VALUE"""),"นพอ.อัจจิมา สุวรรณประเสริฐ")</f>
        <v>นพอ.อัจจิมา สุวรรณประเสริฐ</v>
      </c>
      <c r="G234" s="3" t="str">
        <f>IFERROR(__xludf.DUMMYFUNCTION("""COMPUTED_VALUE"""),"งานฟรีทั่วไป")</f>
        <v>งานฟรีทั่วไป</v>
      </c>
      <c r="H234" s="3" t="str">
        <f>IFERROR(__xludf.DUMMYFUNCTION("""COMPUTED_VALUE"""),"ช่วยผู้ปกครองรดน้ำต้นปาล์มที่สวน")</f>
        <v>ช่วยผู้ปกครองรดน้ำต้นปาล์มที่สวน</v>
      </c>
      <c r="I234" s="3" t="str">
        <f>IFERROR(__xludf.DUMMYFUNCTION("""COMPUTED_VALUE"""),"สวนปาล์มจังหวัดพัทลุง")</f>
        <v>สวนปาล์มจังหวัดพัทลุง</v>
      </c>
      <c r="J234" s="12">
        <f>IFERROR(__xludf.DUMMYFUNCTION("""COMPUTED_VALUE"""),45853.0)</f>
        <v>45853</v>
      </c>
      <c r="K234" s="3" t="str">
        <f>IFERROR(__xludf.DUMMYFUNCTION("""COMPUTED_VALUE"""),"1600-1700")</f>
        <v>1600-1700</v>
      </c>
      <c r="L234" s="3">
        <f>IFERROR(__xludf.DUMMYFUNCTION("""COMPUTED_VALUE"""),1.0)</f>
        <v>1</v>
      </c>
      <c r="M234" s="3" t="str">
        <f>IFERROR(__xludf.DUMMYFUNCTION("""COMPUTED_VALUE"""),"พ.ท.ประจิม สุวรรณประเสริฐ")</f>
        <v>พ.ท.ประจิม สุวรรณประเสริฐ</v>
      </c>
      <c r="N234" s="14" t="str">
        <f>IFERROR(__xludf.DUMMYFUNCTION("""COMPUTED_VALUE"""),"https://lh5.googleusercontent.com/d/1lel4FKYQQOJJBsXk662me0BiBbMYJm1s")</f>
        <v>https://lh5.googleusercontent.com/d/1lel4FKYQQOJJBsXk662me0BiBbMYJm1s</v>
      </c>
      <c r="O234" s="14" t="str">
        <f>IFERROR(__xludf.DUMMYFUNCTION("""COMPUTED_VALUE"""),"https://drive.google.com/file/d/1g8nTyDHFZ54oM1Iq8bLjMJtOrfzAgONU/view?usp=drivesdk")</f>
        <v>https://drive.google.com/file/d/1g8nTyDHFZ54oM1Iq8bLjMJtOrfzAgONU/view?usp=drivesdk</v>
      </c>
    </row>
    <row r="235">
      <c r="A235" s="3">
        <f>IFERROR(__xludf.DUMMYFUNCTION("""COMPUTED_VALUE"""),616.0)</f>
        <v>616</v>
      </c>
      <c r="B235" s="11">
        <f>IFERROR(__xludf.DUMMYFUNCTION("""COMPUTED_VALUE"""),45991.628172384255)</f>
        <v>45991.62817</v>
      </c>
      <c r="C235" s="3" t="str">
        <f>IFERROR(__xludf.DUMMYFUNCTION("""COMPUTED_VALUE"""),"ชั้นปีที่ 2")</f>
        <v>ชั้นปีที่ 2</v>
      </c>
      <c r="D235" s="3" t="str">
        <f>IFERROR(__xludf.DUMMYFUNCTION("""COMPUTED_VALUE"""),"6703879")</f>
        <v>6703879</v>
      </c>
      <c r="E235" s="3" t="str">
        <f>IFERROR(__xludf.DUMMYFUNCTION("""COMPUTED_VALUE"""),"60")</f>
        <v>60</v>
      </c>
      <c r="F235" s="3" t="str">
        <f>IFERROR(__xludf.DUMMYFUNCTION("""COMPUTED_VALUE"""),"นพอ.สุรภา ธีสุระ")</f>
        <v>นพอ.สุรภา ธีสุระ</v>
      </c>
      <c r="G2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5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235" s="3" t="str">
        <f>IFERROR(__xludf.DUMMYFUNCTION("""COMPUTED_VALUE"""),"อุทยานการบินกองทัพอากาศ")</f>
        <v>อุทยานการบินกองทัพอากาศ</v>
      </c>
      <c r="J235" s="12">
        <f>IFERROR(__xludf.DUMMYFUNCTION("""COMPUTED_VALUE"""),45930.0)</f>
        <v>45930</v>
      </c>
      <c r="K235" s="3" t="str">
        <f>IFERROR(__xludf.DUMMYFUNCTION("""COMPUTED_VALUE"""),"1200-1600")</f>
        <v>1200-1600</v>
      </c>
      <c r="L235" s="3">
        <f>IFERROR(__xludf.DUMMYFUNCTION("""COMPUTED_VALUE"""),4.0)</f>
        <v>4</v>
      </c>
      <c r="M235" s="3" t="str">
        <f>IFERROR(__xludf.DUMMYFUNCTION("""COMPUTED_VALUE"""),"น.ท.หญิง สิรินันท์ ชูเชิด")</f>
        <v>น.ท.หญิง สิรินันท์ ชูเชิด</v>
      </c>
      <c r="N235" s="14" t="str">
        <f>IFERROR(__xludf.DUMMYFUNCTION("""COMPUTED_VALUE"""),"https://lh5.googleusercontent.com/d/1Ll-IJLRpcxUWLwzPXuK2rhOGWFp3J2U1")</f>
        <v>https://lh5.googleusercontent.com/d/1Ll-IJLRpcxUWLwzPXuK2rhOGWFp3J2U1</v>
      </c>
      <c r="O235" s="14" t="str">
        <f>IFERROR(__xludf.DUMMYFUNCTION("""COMPUTED_VALUE"""),"https://drive.google.com/file/d/1q2ptVKdcyp0MzR5UJek12TTHDIktjVED/view?usp=drivesdk")</f>
        <v>https://drive.google.com/file/d/1q2ptVKdcyp0MzR5UJek12TTHDIktjVED/view?usp=drivesdk</v>
      </c>
    </row>
    <row r="236">
      <c r="A236" s="3">
        <f>IFERROR(__xludf.DUMMYFUNCTION("""COMPUTED_VALUE"""),617.0)</f>
        <v>617</v>
      </c>
      <c r="B236" s="11">
        <f>IFERROR(__xludf.DUMMYFUNCTION("""COMPUTED_VALUE"""),45991.62876491898)</f>
        <v>45991.62876</v>
      </c>
      <c r="C236" s="3" t="str">
        <f>IFERROR(__xludf.DUMMYFUNCTION("""COMPUTED_VALUE"""),"ชั้นปีที่ 2")</f>
        <v>ชั้นปีที่ 2</v>
      </c>
      <c r="D236" s="3" t="str">
        <f>IFERROR(__xludf.DUMMYFUNCTION("""COMPUTED_VALUE"""),"6703881")</f>
        <v>6703881</v>
      </c>
      <c r="E236" s="3" t="str">
        <f>IFERROR(__xludf.DUMMYFUNCTION("""COMPUTED_VALUE"""),"62")</f>
        <v>62</v>
      </c>
      <c r="F236" s="3" t="str">
        <f>IFERROR(__xludf.DUMMYFUNCTION("""COMPUTED_VALUE"""),"นพอ.อัจจิมา สุวรรณประเสริฐ")</f>
        <v>นพอ.อัจจิมา สุวรรณประเสริฐ</v>
      </c>
      <c r="G236" s="3" t="str">
        <f>IFERROR(__xludf.DUMMYFUNCTION("""COMPUTED_VALUE"""),"ทำนุบำรุงศาสนสถาน")</f>
        <v>ทำนุบำรุงศาสนสถาน</v>
      </c>
      <c r="H236" s="3" t="str">
        <f>IFERROR(__xludf.DUMMYFUNCTION("""COMPUTED_VALUE"""),"ไหว้พระประจำบ้านเนื่องในโอกาสวันพระ")</f>
        <v>ไหว้พระประจำบ้านเนื่องในโอกาสวันพระ</v>
      </c>
      <c r="I236" s="3" t="str">
        <f>IFERROR(__xludf.DUMMYFUNCTION("""COMPUTED_VALUE"""),"บ้านจังหวัดพัทลุง (316 ถ.อภัยบริรักษ์ ต.คูหาสวรรค์ อ.เมือง จ.พัทลุง 93000)")</f>
        <v>บ้านจังหวัดพัทลุง (316 ถ.อภัยบริรักษ์ ต.คูหาสวรรค์ อ.เมือง จ.พัทลุง 93000)</v>
      </c>
      <c r="J236" s="12">
        <f>IFERROR(__xludf.DUMMYFUNCTION("""COMPUTED_VALUE"""),45856.0)</f>
        <v>45856</v>
      </c>
      <c r="K236" s="3" t="str">
        <f>IFERROR(__xludf.DUMMYFUNCTION("""COMPUTED_VALUE"""),"0700-0800")</f>
        <v>0700-0800</v>
      </c>
      <c r="L236" s="3">
        <f>IFERROR(__xludf.DUMMYFUNCTION("""COMPUTED_VALUE"""),1.0)</f>
        <v>1</v>
      </c>
      <c r="M236" s="3" t="str">
        <f>IFERROR(__xludf.DUMMYFUNCTION("""COMPUTED_VALUE"""),"นางมาลา สุวรรณประเสริฐ")</f>
        <v>นางมาลา สุวรรณประเสริฐ</v>
      </c>
      <c r="N236" s="14" t="str">
        <f>IFERROR(__xludf.DUMMYFUNCTION("""COMPUTED_VALUE"""),"https://lh5.googleusercontent.com/d/1mumJBI4-eVYtyijGTjXEj4KLJIuibAj8")</f>
        <v>https://lh5.googleusercontent.com/d/1mumJBI4-eVYtyijGTjXEj4KLJIuibAj8</v>
      </c>
      <c r="O236" s="14" t="str">
        <f>IFERROR(__xludf.DUMMYFUNCTION("""COMPUTED_VALUE"""),"https://drive.google.com/file/d/1fisCSZxl1GkHu8HcWQ7VRYybFrfDfcmb/view?usp=drivesdk")</f>
        <v>https://drive.google.com/file/d/1fisCSZxl1GkHu8HcWQ7VRYybFrfDfcmb/view?usp=drivesdk</v>
      </c>
    </row>
    <row r="237">
      <c r="A237" s="3">
        <f>IFERROR(__xludf.DUMMYFUNCTION("""COMPUTED_VALUE"""),622.0)</f>
        <v>622</v>
      </c>
      <c r="B237" s="11">
        <f>IFERROR(__xludf.DUMMYFUNCTION("""COMPUTED_VALUE"""),45991.63464664351)</f>
        <v>45991.63465</v>
      </c>
      <c r="C237" s="3" t="str">
        <f>IFERROR(__xludf.DUMMYFUNCTION("""COMPUTED_VALUE"""),"ชั้นปีที่ 2")</f>
        <v>ชั้นปีที่ 2</v>
      </c>
      <c r="D237" s="3" t="str">
        <f>IFERROR(__xludf.DUMMYFUNCTION("""COMPUTED_VALUE"""),"6703879")</f>
        <v>6703879</v>
      </c>
      <c r="E237" s="3" t="str">
        <f>IFERROR(__xludf.DUMMYFUNCTION("""COMPUTED_VALUE"""),"60")</f>
        <v>60</v>
      </c>
      <c r="F237" s="3" t="str">
        <f>IFERROR(__xludf.DUMMYFUNCTION("""COMPUTED_VALUE"""),"นพอ.สุรภา ธีสุระ")</f>
        <v>นพอ.สุรภา ธีสุระ</v>
      </c>
      <c r="G237" s="3" t="str">
        <f>IFERROR(__xludf.DUMMYFUNCTION("""COMPUTED_VALUE"""),"ช่วยเหลืองานภายใน วพอ.")</f>
        <v>ช่วยเหลืองานภายใน วพอ.</v>
      </c>
      <c r="H237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37" s="3" t="str">
        <f>IFERROR(__xludf.DUMMYFUNCTION("""COMPUTED_VALUE""")," ห้องเรียน นพอ.ชั้นปีที่ 1")</f>
        <v> ห้องเรียน นพอ.ชั้นปีที่ 1</v>
      </c>
      <c r="J237" s="12">
        <f>IFERROR(__xludf.DUMMYFUNCTION("""COMPUTED_VALUE"""),45987.0)</f>
        <v>45987</v>
      </c>
      <c r="K237" s="3" t="str">
        <f>IFERROR(__xludf.DUMMYFUNCTION("""COMPUTED_VALUE"""),"1000-1800")</f>
        <v>1000-1800</v>
      </c>
      <c r="L237" s="3">
        <f>IFERROR(__xludf.DUMMYFUNCTION("""COMPUTED_VALUE"""),8.0)</f>
        <v>8</v>
      </c>
      <c r="M237" s="3" t="str">
        <f>IFERROR(__xludf.DUMMYFUNCTION("""COMPUTED_VALUE"""),"ร.ท.เรวัติ วัชรสิทธิ์")</f>
        <v>ร.ท.เรวัติ วัชรสิทธิ์</v>
      </c>
      <c r="N237" s="14" t="str">
        <f>IFERROR(__xludf.DUMMYFUNCTION("""COMPUTED_VALUE"""),"https://lh5.googleusercontent.com/d/1vPPwWaeEwKhAcM2iYms7okSOiD3NMMhA")</f>
        <v>https://lh5.googleusercontent.com/d/1vPPwWaeEwKhAcM2iYms7okSOiD3NMMhA</v>
      </c>
      <c r="O237" s="14" t="str">
        <f>IFERROR(__xludf.DUMMYFUNCTION("""COMPUTED_VALUE"""),"https://drive.google.com/file/d/1Vna4sMQd4xn5mNCD2pMt2ykEVPp5ZMbc/view?usp=drivesdk")</f>
        <v>https://drive.google.com/file/d/1Vna4sMQd4xn5mNCD2pMt2ykEVPp5ZMbc/view?usp=drivesdk</v>
      </c>
    </row>
    <row r="238">
      <c r="A238" s="3">
        <f>IFERROR(__xludf.DUMMYFUNCTION("""COMPUTED_VALUE"""),625.0)</f>
        <v>625</v>
      </c>
      <c r="B238" s="11">
        <f>IFERROR(__xludf.DUMMYFUNCTION("""COMPUTED_VALUE"""),45991.63899177084)</f>
        <v>45991.63899</v>
      </c>
      <c r="C238" s="3" t="str">
        <f>IFERROR(__xludf.DUMMYFUNCTION("""COMPUTED_VALUE"""),"ชั้นปีที่ 2")</f>
        <v>ชั้นปีที่ 2</v>
      </c>
      <c r="D238" s="3" t="str">
        <f>IFERROR(__xludf.DUMMYFUNCTION("""COMPUTED_VALUE"""),"6703879")</f>
        <v>6703879</v>
      </c>
      <c r="E238" s="3" t="str">
        <f>IFERROR(__xludf.DUMMYFUNCTION("""COMPUTED_VALUE"""),"60")</f>
        <v>60</v>
      </c>
      <c r="F238" s="3" t="str">
        <f>IFERROR(__xludf.DUMMYFUNCTION("""COMPUTED_VALUE"""),"นพอ.สุรภา ธีสุระ")</f>
        <v>นพอ.สุรภา ธีสุระ</v>
      </c>
      <c r="G23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8" s="3" t="str">
        <f>IFERROR(__xludf.DUMMYFUNCTION("""COMPUTED_VALUE""")," คอนเสิร์ตทัพฟ้าคู่ไทยเพื่อ ""ชัยพัฒนา"" ครั้งที่ 16")</f>
        <v> คอนเสิร์ตทัพฟ้าคู่ไทยเพื่อ "ชัยพัฒนา" ครั้งที่ 16</v>
      </c>
      <c r="I23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38" s="12">
        <f>IFERROR(__xludf.DUMMYFUNCTION("""COMPUTED_VALUE"""),45839.0)</f>
        <v>45839</v>
      </c>
      <c r="K238" s="3" t="str">
        <f>IFERROR(__xludf.DUMMYFUNCTION("""COMPUTED_VALUE"""),"1400-2200")</f>
        <v>1400-2200</v>
      </c>
      <c r="L238" s="3">
        <f>IFERROR(__xludf.DUMMYFUNCTION("""COMPUTED_VALUE"""),8.0)</f>
        <v>8</v>
      </c>
      <c r="M238" s="3" t="str">
        <f>IFERROR(__xludf.DUMMYFUNCTION("""COMPUTED_VALUE"""),"ร.อ.อนุชิต ทำจะดี")</f>
        <v>ร.อ.อนุชิต ทำจะดี</v>
      </c>
      <c r="N238" s="14" t="str">
        <f>IFERROR(__xludf.DUMMYFUNCTION("""COMPUTED_VALUE"""),"https://lh5.googleusercontent.com/d/1E7RYRbzYcWHeSXI4l8uezGKuHxiGAB8T")</f>
        <v>https://lh5.googleusercontent.com/d/1E7RYRbzYcWHeSXI4l8uezGKuHxiGAB8T</v>
      </c>
      <c r="O238" s="14" t="str">
        <f>IFERROR(__xludf.DUMMYFUNCTION("""COMPUTED_VALUE"""),"https://drive.google.com/file/d/10iDnYbR8Y01hEZ8DZCjgz2QovAgIZof1/view?usp=drivesdk")</f>
        <v>https://drive.google.com/file/d/10iDnYbR8Y01hEZ8DZCjgz2QovAgIZof1/view?usp=drivesdk</v>
      </c>
    </row>
    <row r="239">
      <c r="A239" s="3">
        <f>IFERROR(__xludf.DUMMYFUNCTION("""COMPUTED_VALUE"""),628.0)</f>
        <v>628</v>
      </c>
      <c r="B239" s="11">
        <f>IFERROR(__xludf.DUMMYFUNCTION("""COMPUTED_VALUE"""),45991.64302216435)</f>
        <v>45991.64302</v>
      </c>
      <c r="C239" s="3" t="str">
        <f>IFERROR(__xludf.DUMMYFUNCTION("""COMPUTED_VALUE"""),"ชั้นปีที่ 2")</f>
        <v>ชั้นปีที่ 2</v>
      </c>
      <c r="D239" s="3" t="str">
        <f>IFERROR(__xludf.DUMMYFUNCTION("""COMPUTED_VALUE"""),"6703879")</f>
        <v>6703879</v>
      </c>
      <c r="E239" s="3" t="str">
        <f>IFERROR(__xludf.DUMMYFUNCTION("""COMPUTED_VALUE"""),"60")</f>
        <v>60</v>
      </c>
      <c r="F239" s="3" t="str">
        <f>IFERROR(__xludf.DUMMYFUNCTION("""COMPUTED_VALUE"""),"นพอ.สุรภา ธีสุระ")</f>
        <v>นพอ.สุรภา ธีสุระ</v>
      </c>
      <c r="G2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9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3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39" s="12">
        <f>IFERROR(__xludf.DUMMYFUNCTION("""COMPUTED_VALUE"""),45840.0)</f>
        <v>45840</v>
      </c>
      <c r="K239" s="3" t="str">
        <f>IFERROR(__xludf.DUMMYFUNCTION("""COMPUTED_VALUE"""),"1400-2200")</f>
        <v>1400-2200</v>
      </c>
      <c r="L239" s="3">
        <f>IFERROR(__xludf.DUMMYFUNCTION("""COMPUTED_VALUE"""),8.0)</f>
        <v>8</v>
      </c>
      <c r="M239" s="3" t="str">
        <f>IFERROR(__xludf.DUMMYFUNCTION("""COMPUTED_VALUE"""),"ร.อ.อนุชิต ทำจะดี")</f>
        <v>ร.อ.อนุชิต ทำจะดี</v>
      </c>
      <c r="N239" s="14" t="str">
        <f>IFERROR(__xludf.DUMMYFUNCTION("""COMPUTED_VALUE"""),"https://lh5.googleusercontent.com/d/1O5zP2EkdFk6cjTGuk7BeFzkffYLcX40S")</f>
        <v>https://lh5.googleusercontent.com/d/1O5zP2EkdFk6cjTGuk7BeFzkffYLcX40S</v>
      </c>
      <c r="O239" s="14" t="str">
        <f>IFERROR(__xludf.DUMMYFUNCTION("""COMPUTED_VALUE"""),"https://drive.google.com/file/d/1CHlQKOGVeyZQmq8odvDIPEDqT-600JFX/view?usp=drivesdk")</f>
        <v>https://drive.google.com/file/d/1CHlQKOGVeyZQmq8odvDIPEDqT-600JFX/view?usp=drivesdk</v>
      </c>
    </row>
    <row r="240">
      <c r="A240" s="3">
        <f>IFERROR(__xludf.DUMMYFUNCTION("""COMPUTED_VALUE"""),629.0)</f>
        <v>629</v>
      </c>
      <c r="B240" s="11">
        <f>IFERROR(__xludf.DUMMYFUNCTION("""COMPUTED_VALUE"""),45991.64820947917)</f>
        <v>45991.64821</v>
      </c>
      <c r="C240" s="3" t="str">
        <f>IFERROR(__xludf.DUMMYFUNCTION("""COMPUTED_VALUE"""),"ชั้นปีที่ 2")</f>
        <v>ชั้นปีที่ 2</v>
      </c>
      <c r="D240" s="3" t="str">
        <f>IFERROR(__xludf.DUMMYFUNCTION("""COMPUTED_VALUE"""),"6703879")</f>
        <v>6703879</v>
      </c>
      <c r="E240" s="3" t="str">
        <f>IFERROR(__xludf.DUMMYFUNCTION("""COMPUTED_VALUE"""),"60")</f>
        <v>60</v>
      </c>
      <c r="F240" s="3" t="str">
        <f>IFERROR(__xludf.DUMMYFUNCTION("""COMPUTED_VALUE"""),"นพอ.สุรภา ธีสุระ")</f>
        <v>นพอ.สุรภา ธีสุระ</v>
      </c>
      <c r="G240" s="3" t="str">
        <f>IFERROR(__xludf.DUMMYFUNCTION("""COMPUTED_VALUE"""),"ช่วยเหลืองานภายใน วพอ.")</f>
        <v>ช่วยเหลืองานภายใน วพอ.</v>
      </c>
      <c r="H240" s="3" t="str">
        <f>IFERROR(__xludf.DUMMYFUNCTION("""COMPUTED_VALUE"""),"รับนักเรียนใหม่")</f>
        <v>รับนักเรียนใหม่</v>
      </c>
      <c r="I240" s="3" t="str">
        <f>IFERROR(__xludf.DUMMYFUNCTION("""COMPUTED_VALUE"""),"วพอ.พอ")</f>
        <v>วพอ.พอ</v>
      </c>
      <c r="J240" s="12">
        <f>IFERROR(__xludf.DUMMYFUNCTION("""COMPUTED_VALUE"""),45859.0)</f>
        <v>45859</v>
      </c>
      <c r="K240" s="3" t="str">
        <f>IFERROR(__xludf.DUMMYFUNCTION("""COMPUTED_VALUE"""),"0600- 1200")</f>
        <v>0600- 1200</v>
      </c>
      <c r="L240" s="3">
        <f>IFERROR(__xludf.DUMMYFUNCTION("""COMPUTED_VALUE"""),8.0)</f>
        <v>8</v>
      </c>
      <c r="M240" s="3" t="str">
        <f>IFERROR(__xludf.DUMMYFUNCTION("""COMPUTED_VALUE"""),"ร.อ.อนุชิต ทำจะดี")</f>
        <v>ร.อ.อนุชิต ทำจะดี</v>
      </c>
      <c r="N240" s="14" t="str">
        <f>IFERROR(__xludf.DUMMYFUNCTION("""COMPUTED_VALUE"""),"https://lh5.googleusercontent.com/d/15RpLs9_0nr9_AGQi2kawP3dKVUlQn1Mw")</f>
        <v>https://lh5.googleusercontent.com/d/15RpLs9_0nr9_AGQi2kawP3dKVUlQn1Mw</v>
      </c>
      <c r="O240" s="3"/>
    </row>
    <row r="241">
      <c r="A241" s="3">
        <f>IFERROR(__xludf.DUMMYFUNCTION("""COMPUTED_VALUE"""),630.0)</f>
        <v>630</v>
      </c>
      <c r="B241" s="11">
        <f>IFERROR(__xludf.DUMMYFUNCTION("""COMPUTED_VALUE"""),45991.64821527778)</f>
        <v>45991.64822</v>
      </c>
      <c r="C241" s="3" t="str">
        <f>IFERROR(__xludf.DUMMYFUNCTION("""COMPUTED_VALUE"""),"ชั้นปีที่ 2")</f>
        <v>ชั้นปีที่ 2</v>
      </c>
      <c r="D241" s="3" t="str">
        <f>IFERROR(__xludf.DUMMYFUNCTION("""COMPUTED_VALUE"""),"6703879")</f>
        <v>6703879</v>
      </c>
      <c r="E241" s="3" t="str">
        <f>IFERROR(__xludf.DUMMYFUNCTION("""COMPUTED_VALUE"""),"60")</f>
        <v>60</v>
      </c>
      <c r="F241" s="3" t="str">
        <f>IFERROR(__xludf.DUMMYFUNCTION("""COMPUTED_VALUE"""),"นพอ.สุรภา ธีสุระ")</f>
        <v>นพอ.สุรภา ธีสุระ</v>
      </c>
      <c r="G241" s="3" t="str">
        <f>IFERROR(__xludf.DUMMYFUNCTION("""COMPUTED_VALUE"""),"ช่วยเหลืองานภายใน วพอ.")</f>
        <v>ช่วยเหลืองานภายใน วพอ.</v>
      </c>
      <c r="H241" s="3" t="str">
        <f>IFERROR(__xludf.DUMMYFUNCTION("""COMPUTED_VALUE"""),"รับนักเรียนใหม่")</f>
        <v>รับนักเรียนใหม่</v>
      </c>
      <c r="I241" s="3" t="str">
        <f>IFERROR(__xludf.DUMMYFUNCTION("""COMPUTED_VALUE"""),"วพอ.พอ")</f>
        <v>วพอ.พอ</v>
      </c>
      <c r="J241" s="12">
        <f>IFERROR(__xludf.DUMMYFUNCTION("""COMPUTED_VALUE"""),45859.0)</f>
        <v>45859</v>
      </c>
      <c r="K241" s="3" t="str">
        <f>IFERROR(__xludf.DUMMYFUNCTION("""COMPUTED_VALUE"""),"0600- 1200")</f>
        <v>0600- 1200</v>
      </c>
      <c r="L241" s="3">
        <f>IFERROR(__xludf.DUMMYFUNCTION("""COMPUTED_VALUE"""),8.0)</f>
        <v>8</v>
      </c>
      <c r="M241" s="3" t="str">
        <f>IFERROR(__xludf.DUMMYFUNCTION("""COMPUTED_VALUE"""),"ร.อ.อนุชิต ทำจะดี")</f>
        <v>ร.อ.อนุชิต ทำจะดี</v>
      </c>
      <c r="N241" s="14" t="str">
        <f>IFERROR(__xludf.DUMMYFUNCTION("""COMPUTED_VALUE"""),"https://lh5.googleusercontent.com/d/1df7IloN3yMJJ10N5ZGBCngC_Q68yF2_V")</f>
        <v>https://lh5.googleusercontent.com/d/1df7IloN3yMJJ10N5ZGBCngC_Q68yF2_V</v>
      </c>
      <c r="O241" s="14" t="str">
        <f>IFERROR(__xludf.DUMMYFUNCTION("""COMPUTED_VALUE"""),"https://drive.google.com/file/d/1GN754vox1LmtIWADRIAC7yO_hiblgaim/view?usp=drivesdk")</f>
        <v>https://drive.google.com/file/d/1GN754vox1LmtIWADRIAC7yO_hiblgaim/view?usp=drivesdk</v>
      </c>
    </row>
    <row r="242">
      <c r="A242" s="3">
        <f>IFERROR(__xludf.DUMMYFUNCTION("""COMPUTED_VALUE"""),637.0)</f>
        <v>637</v>
      </c>
      <c r="B242" s="11">
        <f>IFERROR(__xludf.DUMMYFUNCTION("""COMPUTED_VALUE"""),45991.690001435185)</f>
        <v>45991.69</v>
      </c>
      <c r="C242" s="3" t="str">
        <f>IFERROR(__xludf.DUMMYFUNCTION("""COMPUTED_VALUE"""),"ชั้นปีที่ 2")</f>
        <v>ชั้นปีที่ 2</v>
      </c>
      <c r="D242" s="3" t="str">
        <f>IFERROR(__xludf.DUMMYFUNCTION("""COMPUTED_VALUE"""),"6703874")</f>
        <v>6703874</v>
      </c>
      <c r="E242" s="3" t="str">
        <f>IFERROR(__xludf.DUMMYFUNCTION("""COMPUTED_VALUE"""),"55")</f>
        <v>55</v>
      </c>
      <c r="F242" s="3" t="str">
        <f>IFERROR(__xludf.DUMMYFUNCTION("""COMPUTED_VALUE"""),"นพอ.สรารัตน์ หาญจันทร์")</f>
        <v>นพอ.สรารัตน์ หาญจันทร์</v>
      </c>
      <c r="G2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2" s="3" t="str">
        <f>IFERROR(__xludf.DUMMYFUNCTION("""COMPUTED_VALUE"""),"งานกีฬารักบี้ ทอ.")</f>
        <v>งานกีฬารักบี้ ทอ.</v>
      </c>
      <c r="I242" s="3" t="str">
        <f>IFERROR(__xludf.DUMMYFUNCTION("""COMPUTED_VALUE"""),"สนามกีฬาธูปะเตมีย์")</f>
        <v>สนามกีฬาธูปะเตมีย์</v>
      </c>
      <c r="J242" s="12">
        <f>IFERROR(__xludf.DUMMYFUNCTION("""COMPUTED_VALUE"""),45991.0)</f>
        <v>45991</v>
      </c>
      <c r="K242" s="3" t="str">
        <f>IFERROR(__xludf.DUMMYFUNCTION("""COMPUTED_VALUE"""),"1130-2000")</f>
        <v>1130-2000</v>
      </c>
      <c r="L242" s="3">
        <f>IFERROR(__xludf.DUMMYFUNCTION("""COMPUTED_VALUE"""),8.0)</f>
        <v>8</v>
      </c>
      <c r="M242" s="3" t="str">
        <f>IFERROR(__xludf.DUMMYFUNCTION("""COMPUTED_VALUE"""),"น.ท.หญิง อนุกูล บำรุงวงค์")</f>
        <v>น.ท.หญิง อนุกูล บำรุงวงค์</v>
      </c>
      <c r="N242" s="14" t="str">
        <f>IFERROR(__xludf.DUMMYFUNCTION("""COMPUTED_VALUE"""),"https://lh5.googleusercontent.com/d/16indojgoSyW4PYIpO8V50d8PPS4yrokD")</f>
        <v>https://lh5.googleusercontent.com/d/16indojgoSyW4PYIpO8V50d8PPS4yrokD</v>
      </c>
      <c r="O242" s="14" t="str">
        <f>IFERROR(__xludf.DUMMYFUNCTION("""COMPUTED_VALUE"""),"https://drive.google.com/file/d/1ibeET9GxSJefEIcx_8ZuY9FhCGCkpQUg/view?usp=drivesdk")</f>
        <v>https://drive.google.com/file/d/1ibeET9GxSJefEIcx_8ZuY9FhCGCkpQUg/view?usp=drivesdk</v>
      </c>
    </row>
    <row r="243">
      <c r="A243" s="3">
        <f>IFERROR(__xludf.DUMMYFUNCTION("""COMPUTED_VALUE"""),638.0)</f>
        <v>638</v>
      </c>
      <c r="B243" s="11">
        <f>IFERROR(__xludf.DUMMYFUNCTION("""COMPUTED_VALUE"""),45991.69147503473)</f>
        <v>45991.69148</v>
      </c>
      <c r="C243" s="3" t="str">
        <f>IFERROR(__xludf.DUMMYFUNCTION("""COMPUTED_VALUE"""),"ชั้นปีที่ 2")</f>
        <v>ชั้นปีที่ 2</v>
      </c>
      <c r="D243" s="3" t="str">
        <f>IFERROR(__xludf.DUMMYFUNCTION("""COMPUTED_VALUE"""),"6703834")</f>
        <v>6703834</v>
      </c>
      <c r="E243" s="3" t="str">
        <f>IFERROR(__xludf.DUMMYFUNCTION("""COMPUTED_VALUE"""),"17")</f>
        <v>17</v>
      </c>
      <c r="F243" s="3" t="str">
        <f>IFERROR(__xludf.DUMMYFUNCTION("""COMPUTED_VALUE"""),"นพอ.ฑิตถากร แน่นอุดร")</f>
        <v>นพอ.ฑิตถากร แน่นอุดร</v>
      </c>
      <c r="G2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3" s="3" t="str">
        <f>IFERROR(__xludf.DUMMYFUNCTION("""COMPUTED_VALUE"""),"ค่ายแนะแนวรัฐบุรุษ 1")</f>
        <v>ค่ายแนะแนวรัฐบุรุษ 1</v>
      </c>
      <c r="I243" s="3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43" s="12">
        <f>IFERROR(__xludf.DUMMYFUNCTION("""COMPUTED_VALUE"""),45891.0)</f>
        <v>45891</v>
      </c>
      <c r="K243" s="3" t="str">
        <f>IFERROR(__xludf.DUMMYFUNCTION("""COMPUTED_VALUE"""),"1800-2200")</f>
        <v>1800-2200</v>
      </c>
      <c r="L243" s="3">
        <f>IFERROR(__xludf.DUMMYFUNCTION("""COMPUTED_VALUE"""),4.0)</f>
        <v>4</v>
      </c>
      <c r="M24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3" s="14" t="str">
        <f>IFERROR(__xludf.DUMMYFUNCTION("""COMPUTED_VALUE"""),"https://lh5.googleusercontent.com/d/1h6VT4A5NLZAjGNnmFIAB_i38Argy9N6X")</f>
        <v>https://lh5.googleusercontent.com/d/1h6VT4A5NLZAjGNnmFIAB_i38Argy9N6X</v>
      </c>
      <c r="O243" s="14" t="str">
        <f>IFERROR(__xludf.DUMMYFUNCTION("""COMPUTED_VALUE"""),"https://drive.google.com/file/d/1qbjU0-vuoar7WWrsxFmuIxqNaT0lYxvV/view?usp=drivesdk")</f>
        <v>https://drive.google.com/file/d/1qbjU0-vuoar7WWrsxFmuIxqNaT0lYxvV/view?usp=drivesdk</v>
      </c>
    </row>
    <row r="244">
      <c r="A244" s="3">
        <f>IFERROR(__xludf.DUMMYFUNCTION("""COMPUTED_VALUE"""),639.0)</f>
        <v>639</v>
      </c>
      <c r="B244" s="11">
        <f>IFERROR(__xludf.DUMMYFUNCTION("""COMPUTED_VALUE"""),45991.693126192135)</f>
        <v>45991.69313</v>
      </c>
      <c r="C244" s="3" t="str">
        <f>IFERROR(__xludf.DUMMYFUNCTION("""COMPUTED_VALUE"""),"ชั้นปีที่ 2")</f>
        <v>ชั้นปีที่ 2</v>
      </c>
      <c r="D244" s="3" t="str">
        <f>IFERROR(__xludf.DUMMYFUNCTION("""COMPUTED_VALUE"""),"6703834")</f>
        <v>6703834</v>
      </c>
      <c r="E244" s="3" t="str">
        <f>IFERROR(__xludf.DUMMYFUNCTION("""COMPUTED_VALUE"""),"17")</f>
        <v>17</v>
      </c>
      <c r="F244" s="3" t="str">
        <f>IFERROR(__xludf.DUMMYFUNCTION("""COMPUTED_VALUE"""),"นพอ.ฑิตถากร แน่นอุดร")</f>
        <v>นพอ.ฑิตถากร แน่นอุดร</v>
      </c>
      <c r="G2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4" s="3" t="str">
        <f>IFERROR(__xludf.DUMMYFUNCTION("""COMPUTED_VALUE"""),"ค่ายแนะแนวรัฐบุรุษ 1")</f>
        <v>ค่ายแนะแนวรัฐบุรุษ 1</v>
      </c>
      <c r="I244" s="3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44" s="12">
        <f>IFERROR(__xludf.DUMMYFUNCTION("""COMPUTED_VALUE"""),45892.0)</f>
        <v>45892</v>
      </c>
      <c r="K244" s="3" t="str">
        <f>IFERROR(__xludf.DUMMYFUNCTION("""COMPUTED_VALUE"""),"0800-1600")</f>
        <v>0800-1600</v>
      </c>
      <c r="L244" s="3">
        <f>IFERROR(__xludf.DUMMYFUNCTION("""COMPUTED_VALUE"""),8.0)</f>
        <v>8</v>
      </c>
      <c r="M24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4" s="14" t="str">
        <f>IFERROR(__xludf.DUMMYFUNCTION("""COMPUTED_VALUE"""),"https://lh5.googleusercontent.com/d/1SeSs0To9omyx8w2uCXWD1ObvMYkYGHt6")</f>
        <v>https://lh5.googleusercontent.com/d/1SeSs0To9omyx8w2uCXWD1ObvMYkYGHt6</v>
      </c>
      <c r="O244" s="14" t="str">
        <f>IFERROR(__xludf.DUMMYFUNCTION("""COMPUTED_VALUE"""),"https://drive.google.com/file/d/1ooGq2srmucWe6O0G_kdG7LcoJD4sdw6v/view?usp=drivesdk")</f>
        <v>https://drive.google.com/file/d/1ooGq2srmucWe6O0G_kdG7LcoJD4sdw6v/view?usp=drivesdk</v>
      </c>
    </row>
    <row r="245">
      <c r="A245" s="3">
        <f>IFERROR(__xludf.DUMMYFUNCTION("""COMPUTED_VALUE"""),640.0)</f>
        <v>640</v>
      </c>
      <c r="B245" s="11">
        <f>IFERROR(__xludf.DUMMYFUNCTION("""COMPUTED_VALUE"""),45991.694413425925)</f>
        <v>45991.69441</v>
      </c>
      <c r="C245" s="3" t="str">
        <f>IFERROR(__xludf.DUMMYFUNCTION("""COMPUTED_VALUE"""),"ชั้นปีที่ 2")</f>
        <v>ชั้นปีที่ 2</v>
      </c>
      <c r="D245" s="3" t="str">
        <f>IFERROR(__xludf.DUMMYFUNCTION("""COMPUTED_VALUE"""),"6703834")</f>
        <v>6703834</v>
      </c>
      <c r="E245" s="3" t="str">
        <f>IFERROR(__xludf.DUMMYFUNCTION("""COMPUTED_VALUE"""),"17")</f>
        <v>17</v>
      </c>
      <c r="F245" s="3" t="str">
        <f>IFERROR(__xludf.DUMMYFUNCTION("""COMPUTED_VALUE"""),"นพอ.ฑิตถากร แน่นอุดร")</f>
        <v>นพอ.ฑิตถากร แน่นอุดร</v>
      </c>
      <c r="G2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5" s="3" t="str">
        <f>IFERROR(__xludf.DUMMYFUNCTION("""COMPUTED_VALUE"""),"ค่ายแนะแนวรัฐบุรุษ 1")</f>
        <v>ค่ายแนะแนวรัฐบุรุษ 1</v>
      </c>
      <c r="I245" s="3" t="str">
        <f>IFERROR(__xludf.DUMMYFUNCTION("""COMPUTED_VALUE"""),"โรงเรียนเบญจมราชูทิศ จ.ราชบุรี")</f>
        <v>โรงเรียนเบญจมราชูทิศ จ.ราชบุรี</v>
      </c>
      <c r="J245" s="12">
        <f>IFERROR(__xludf.DUMMYFUNCTION("""COMPUTED_VALUE"""),45893.0)</f>
        <v>45893</v>
      </c>
      <c r="K245" s="3" t="str">
        <f>IFERROR(__xludf.DUMMYFUNCTION("""COMPUTED_VALUE"""),"0800-1600")</f>
        <v>0800-1600</v>
      </c>
      <c r="L245" s="3">
        <f>IFERROR(__xludf.DUMMYFUNCTION("""COMPUTED_VALUE"""),8.0)</f>
        <v>8</v>
      </c>
      <c r="M24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5" s="14" t="str">
        <f>IFERROR(__xludf.DUMMYFUNCTION("""COMPUTED_VALUE"""),"https://lh5.googleusercontent.com/d/1WuOo1sxbu0h1vXD-WBc8sw1i2BhLOJOO")</f>
        <v>https://lh5.googleusercontent.com/d/1WuOo1sxbu0h1vXD-WBc8sw1i2BhLOJOO</v>
      </c>
      <c r="O245" s="14" t="str">
        <f>IFERROR(__xludf.DUMMYFUNCTION("""COMPUTED_VALUE"""),"https://drive.google.com/file/d/11Y7lXPuKgjMeFz9g5haFjVs4-sLqqsAf/view?usp=drivesdk")</f>
        <v>https://drive.google.com/file/d/11Y7lXPuKgjMeFz9g5haFjVs4-sLqqsAf/view?usp=drivesdk</v>
      </c>
    </row>
    <row r="246">
      <c r="A246" s="3">
        <f>IFERROR(__xludf.DUMMYFUNCTION("""COMPUTED_VALUE"""),641.0)</f>
        <v>641</v>
      </c>
      <c r="B246" s="11">
        <f>IFERROR(__xludf.DUMMYFUNCTION("""COMPUTED_VALUE"""),45991.69592835649)</f>
        <v>45991.69593</v>
      </c>
      <c r="C246" s="3" t="str">
        <f>IFERROR(__xludf.DUMMYFUNCTION("""COMPUTED_VALUE"""),"ชั้นปีที่ 2")</f>
        <v>ชั้นปีที่ 2</v>
      </c>
      <c r="D246" s="3" t="str">
        <f>IFERROR(__xludf.DUMMYFUNCTION("""COMPUTED_VALUE"""),"6703834")</f>
        <v>6703834</v>
      </c>
      <c r="E246" s="3" t="str">
        <f>IFERROR(__xludf.DUMMYFUNCTION("""COMPUTED_VALUE"""),"17")</f>
        <v>17</v>
      </c>
      <c r="F246" s="3" t="str">
        <f>IFERROR(__xludf.DUMMYFUNCTION("""COMPUTED_VALUE"""),"นพอ.ฑิตถากร แน่นอุดร")</f>
        <v>นพอ.ฑิตถากร แน่นอุดร</v>
      </c>
      <c r="G2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6" s="3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246" s="3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246" s="12">
        <f>IFERROR(__xludf.DUMMYFUNCTION("""COMPUTED_VALUE"""),45977.0)</f>
        <v>45977</v>
      </c>
      <c r="K246" s="3" t="str">
        <f>IFERROR(__xludf.DUMMYFUNCTION("""COMPUTED_VALUE"""),"0600-1000")</f>
        <v>0600-1000</v>
      </c>
      <c r="L246" s="3">
        <f>IFERROR(__xludf.DUMMYFUNCTION("""COMPUTED_VALUE"""),4.0)</f>
        <v>4</v>
      </c>
      <c r="M24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6" s="14" t="str">
        <f>IFERROR(__xludf.DUMMYFUNCTION("""COMPUTED_VALUE"""),"https://lh5.googleusercontent.com/d/1d0XUQ9ovK2pvDGvMFloGS89VCiHmbAFy")</f>
        <v>https://lh5.googleusercontent.com/d/1d0XUQ9ovK2pvDGvMFloGS89VCiHmbAFy</v>
      </c>
      <c r="O246" s="14" t="str">
        <f>IFERROR(__xludf.DUMMYFUNCTION("""COMPUTED_VALUE"""),"https://drive.google.com/file/d/1xRCuP4u7iMlcxBxnScC-bQneWtSN7yPB/view?usp=drivesdk")</f>
        <v>https://drive.google.com/file/d/1xRCuP4u7iMlcxBxnScC-bQneWtSN7yPB/view?usp=drivesdk</v>
      </c>
    </row>
    <row r="247">
      <c r="A247" s="3">
        <f>IFERROR(__xludf.DUMMYFUNCTION("""COMPUTED_VALUE"""),642.0)</f>
        <v>642</v>
      </c>
      <c r="B247" s="11">
        <f>IFERROR(__xludf.DUMMYFUNCTION("""COMPUTED_VALUE"""),45991.69970895833)</f>
        <v>45991.69971</v>
      </c>
      <c r="C247" s="3" t="str">
        <f>IFERROR(__xludf.DUMMYFUNCTION("""COMPUTED_VALUE"""),"ชั้นปีที่ 2")</f>
        <v>ชั้นปีที่ 2</v>
      </c>
      <c r="D247" s="3" t="str">
        <f>IFERROR(__xludf.DUMMYFUNCTION("""COMPUTED_VALUE"""),"6703834")</f>
        <v>6703834</v>
      </c>
      <c r="E247" s="3" t="str">
        <f>IFERROR(__xludf.DUMMYFUNCTION("""COMPUTED_VALUE"""),"17")</f>
        <v>17</v>
      </c>
      <c r="F247" s="3" t="str">
        <f>IFERROR(__xludf.DUMMYFUNCTION("""COMPUTED_VALUE"""),"นพอ.ฑิตถากร แน่นอุดร")</f>
        <v>นพอ.ฑิตถากร แน่นอุดร</v>
      </c>
      <c r="G2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I247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47" s="12">
        <f>IFERROR(__xludf.DUMMYFUNCTION("""COMPUTED_VALUE"""),45961.0)</f>
        <v>45961</v>
      </c>
      <c r="K247" s="3" t="str">
        <f>IFERROR(__xludf.DUMMYFUNCTION("""COMPUTED_VALUE"""),"1800-2200")</f>
        <v>1800-2200</v>
      </c>
      <c r="L247" s="3">
        <f>IFERROR(__xludf.DUMMYFUNCTION("""COMPUTED_VALUE"""),4.0)</f>
        <v>4</v>
      </c>
      <c r="M24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7" s="14" t="str">
        <f>IFERROR(__xludf.DUMMYFUNCTION("""COMPUTED_VALUE"""),"https://lh5.googleusercontent.com/d/1fcdiwyWz2toknXDilD6wdLENHg7SR1SV")</f>
        <v>https://lh5.googleusercontent.com/d/1fcdiwyWz2toknXDilD6wdLENHg7SR1SV</v>
      </c>
      <c r="O247" s="14" t="str">
        <f>IFERROR(__xludf.DUMMYFUNCTION("""COMPUTED_VALUE"""),"https://drive.google.com/file/d/1KG-JUPGHRZsTF2JpFzri00oWlor0V7uk/view?usp=drivesdk")</f>
        <v>https://drive.google.com/file/d/1KG-JUPGHRZsTF2JpFzri00oWlor0V7uk/view?usp=drivesdk</v>
      </c>
    </row>
    <row r="248">
      <c r="A248" s="3">
        <f>IFERROR(__xludf.DUMMYFUNCTION("""COMPUTED_VALUE"""),646.0)</f>
        <v>646</v>
      </c>
      <c r="B248" s="11">
        <f>IFERROR(__xludf.DUMMYFUNCTION("""COMPUTED_VALUE"""),45991.71343528935)</f>
        <v>45991.71344</v>
      </c>
      <c r="C248" s="3" t="str">
        <f>IFERROR(__xludf.DUMMYFUNCTION("""COMPUTED_VALUE"""),"ชั้นปีที่ 2")</f>
        <v>ชั้นปีที่ 2</v>
      </c>
      <c r="D248" s="3" t="str">
        <f>IFERROR(__xludf.DUMMYFUNCTION("""COMPUTED_VALUE"""),"6703834")</f>
        <v>6703834</v>
      </c>
      <c r="E248" s="3" t="str">
        <f>IFERROR(__xludf.DUMMYFUNCTION("""COMPUTED_VALUE"""),"17")</f>
        <v>17</v>
      </c>
      <c r="F248" s="3" t="str">
        <f>IFERROR(__xludf.DUMMYFUNCTION("""COMPUTED_VALUE"""),"นพอ.ฑิตถากร แน่นอุดร")</f>
        <v>นพอ.ฑิตถากร แน่นอุดร</v>
      </c>
      <c r="G24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8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48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48" s="12">
        <f>IFERROR(__xludf.DUMMYFUNCTION("""COMPUTED_VALUE"""),45961.0)</f>
        <v>45961</v>
      </c>
      <c r="K248" s="3" t="str">
        <f>IFERROR(__xludf.DUMMYFUNCTION("""COMPUTED_VALUE"""),"1800-2200")</f>
        <v>1800-2200</v>
      </c>
      <c r="L248" s="3">
        <f>IFERROR(__xludf.DUMMYFUNCTION("""COMPUTED_VALUE"""),4.0)</f>
        <v>4</v>
      </c>
      <c r="M24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8" s="14" t="str">
        <f>IFERROR(__xludf.DUMMYFUNCTION("""COMPUTED_VALUE"""),"https://lh5.googleusercontent.com/d/1-q91GLMugmzpzJpFLZBG6ItLEyi1k7yy")</f>
        <v>https://lh5.googleusercontent.com/d/1-q91GLMugmzpzJpFLZBG6ItLEyi1k7yy</v>
      </c>
      <c r="O248" s="14" t="str">
        <f>IFERROR(__xludf.DUMMYFUNCTION("""COMPUTED_VALUE"""),"https://drive.google.com/file/d/1I9TpQcP60hshX_iUSwoE0oK_OOYf0jeM/view?usp=drivesdk")</f>
        <v>https://drive.google.com/file/d/1I9TpQcP60hshX_iUSwoE0oK_OOYf0jeM/view?usp=drivesdk</v>
      </c>
    </row>
    <row r="249">
      <c r="A249" s="3">
        <f>IFERROR(__xludf.DUMMYFUNCTION("""COMPUTED_VALUE"""),652.0)</f>
        <v>652</v>
      </c>
      <c r="B249" s="11">
        <f>IFERROR(__xludf.DUMMYFUNCTION("""COMPUTED_VALUE"""),45991.71594354167)</f>
        <v>45991.71594</v>
      </c>
      <c r="C249" s="3" t="str">
        <f>IFERROR(__xludf.DUMMYFUNCTION("""COMPUTED_VALUE"""),"ชั้นปีที่ 2")</f>
        <v>ชั้นปีที่ 2</v>
      </c>
      <c r="D249" s="3" t="str">
        <f>IFERROR(__xludf.DUMMYFUNCTION("""COMPUTED_VALUE"""),"6703834")</f>
        <v>6703834</v>
      </c>
      <c r="E249" s="3" t="str">
        <f>IFERROR(__xludf.DUMMYFUNCTION("""COMPUTED_VALUE"""),"17")</f>
        <v>17</v>
      </c>
      <c r="F249" s="3" t="str">
        <f>IFERROR(__xludf.DUMMYFUNCTION("""COMPUTED_VALUE"""),"นพอ.ฑิตถากร แน่นอุดร")</f>
        <v>นพอ.ฑิตถากร แน่นอุดร</v>
      </c>
      <c r="G2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49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49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49" s="12">
        <f>IFERROR(__xludf.DUMMYFUNCTION("""COMPUTED_VALUE"""),45962.0)</f>
        <v>45962</v>
      </c>
      <c r="K249" s="3" t="str">
        <f>IFERROR(__xludf.DUMMYFUNCTION("""COMPUTED_VALUE"""),"0800-1600")</f>
        <v>0800-1600</v>
      </c>
      <c r="L249" s="3">
        <f>IFERROR(__xludf.DUMMYFUNCTION("""COMPUTED_VALUE"""),8.0)</f>
        <v>8</v>
      </c>
      <c r="M24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49" s="14" t="str">
        <f>IFERROR(__xludf.DUMMYFUNCTION("""COMPUTED_VALUE"""),"https://lh5.googleusercontent.com/d/1cCBsTe7tA9RCzvIhsczxq0XyijmwYwmu")</f>
        <v>https://lh5.googleusercontent.com/d/1cCBsTe7tA9RCzvIhsczxq0XyijmwYwmu</v>
      </c>
      <c r="O249" s="14" t="str">
        <f>IFERROR(__xludf.DUMMYFUNCTION("""COMPUTED_VALUE"""),"https://drive.google.com/file/d/1b6agFwx7jfWX8nbZKs7OLG0G6sPypPsC/view?usp=drivesdk")</f>
        <v>https://drive.google.com/file/d/1b6agFwx7jfWX8nbZKs7OLG0G6sPypPsC/view?usp=drivesdk</v>
      </c>
    </row>
    <row r="250">
      <c r="A250" s="3">
        <f>IFERROR(__xludf.DUMMYFUNCTION("""COMPUTED_VALUE"""),658.0)</f>
        <v>658</v>
      </c>
      <c r="B250" s="11">
        <f>IFERROR(__xludf.DUMMYFUNCTION("""COMPUTED_VALUE"""),45991.718040625)</f>
        <v>45991.71804</v>
      </c>
      <c r="C250" s="3" t="str">
        <f>IFERROR(__xludf.DUMMYFUNCTION("""COMPUTED_VALUE"""),"ชั้นปีที่ 2")</f>
        <v>ชั้นปีที่ 2</v>
      </c>
      <c r="D250" s="3" t="str">
        <f>IFERROR(__xludf.DUMMYFUNCTION("""COMPUTED_VALUE"""),"6703834")</f>
        <v>6703834</v>
      </c>
      <c r="E250" s="3" t="str">
        <f>IFERROR(__xludf.DUMMYFUNCTION("""COMPUTED_VALUE"""),"17")</f>
        <v>17</v>
      </c>
      <c r="F250" s="3" t="str">
        <f>IFERROR(__xludf.DUMMYFUNCTION("""COMPUTED_VALUE"""),"นพอ.ฑิตถากร แน่นอุดร")</f>
        <v>นพอ.ฑิตถากร แน่นอุดร</v>
      </c>
      <c r="G2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0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50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50" s="12">
        <f>IFERROR(__xludf.DUMMYFUNCTION("""COMPUTED_VALUE"""),45963.0)</f>
        <v>45963</v>
      </c>
      <c r="K250" s="3" t="str">
        <f>IFERROR(__xludf.DUMMYFUNCTION("""COMPUTED_VALUE"""),"0800-1600")</f>
        <v>0800-1600</v>
      </c>
      <c r="L250" s="3">
        <f>IFERROR(__xludf.DUMMYFUNCTION("""COMPUTED_VALUE"""),8.0)</f>
        <v>8</v>
      </c>
      <c r="M25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0" s="14" t="str">
        <f>IFERROR(__xludf.DUMMYFUNCTION("""COMPUTED_VALUE"""),"https://lh5.googleusercontent.com/d/142pLKNZxFDJ3WKLqd0dgA2GqM8a-Ksl_")</f>
        <v>https://lh5.googleusercontent.com/d/142pLKNZxFDJ3WKLqd0dgA2GqM8a-Ksl_</v>
      </c>
      <c r="O250" s="14" t="str">
        <f>IFERROR(__xludf.DUMMYFUNCTION("""COMPUTED_VALUE"""),"https://drive.google.com/file/d/1PrYt-KdXsihzAKv3vJznYHHIqKb-cC4d/view?usp=drivesdk")</f>
        <v>https://drive.google.com/file/d/1PrYt-KdXsihzAKv3vJznYHHIqKb-cC4d/view?usp=drivesdk</v>
      </c>
    </row>
    <row r="251">
      <c r="A251" s="3">
        <f>IFERROR(__xludf.DUMMYFUNCTION("""COMPUTED_VALUE"""),665.0)</f>
        <v>665</v>
      </c>
      <c r="B251" s="11">
        <f>IFERROR(__xludf.DUMMYFUNCTION("""COMPUTED_VALUE"""),45991.77843277777)</f>
        <v>45991.77843</v>
      </c>
      <c r="C251" s="3" t="str">
        <f>IFERROR(__xludf.DUMMYFUNCTION("""COMPUTED_VALUE"""),"ชั้นปีที่ 2")</f>
        <v>ชั้นปีที่ 2</v>
      </c>
      <c r="D251" s="3" t="str">
        <f>IFERROR(__xludf.DUMMYFUNCTION("""COMPUTED_VALUE"""),"6703867")</f>
        <v>6703867</v>
      </c>
      <c r="E251" s="3" t="str">
        <f>IFERROR(__xludf.DUMMYFUNCTION("""COMPUTED_VALUE"""),"49")</f>
        <v>49</v>
      </c>
      <c r="F251" s="3" t="str">
        <f>IFERROR(__xludf.DUMMYFUNCTION("""COMPUTED_VALUE"""),"นพอ.วรางคณา ปางชาติ")</f>
        <v>นพอ.วรางคณา ปางชาติ</v>
      </c>
      <c r="G2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1" s="3" t="str">
        <f>IFERROR(__xludf.DUMMYFUNCTION("""COMPUTED_VALUE"""),"เข้าร่วมพิธีถวายพานพุ่มสักการะเนื่องในวันพยาบาลแห่งชาติ")</f>
        <v>เข้าร่วมพิธีถวายพานพุ่มสักการะเนื่องในวันพยาบาลแห่งชาติ</v>
      </c>
      <c r="I251" s="3" t="str">
        <f>IFERROR(__xludf.DUMMYFUNCTION("""COMPUTED_VALUE"""),"กระทรวงสาธารณสุข")</f>
        <v>กระทรวงสาธารณสุข</v>
      </c>
      <c r="J251" s="12">
        <f>IFERROR(__xludf.DUMMYFUNCTION("""COMPUTED_VALUE"""),45951.0)</f>
        <v>45951</v>
      </c>
      <c r="K251" s="3" t="str">
        <f>IFERROR(__xludf.DUMMYFUNCTION("""COMPUTED_VALUE"""),"0500-0700")</f>
        <v>0500-0700</v>
      </c>
      <c r="L251" s="3">
        <f>IFERROR(__xludf.DUMMYFUNCTION("""COMPUTED_VALUE"""),2.0)</f>
        <v>2</v>
      </c>
      <c r="M251" s="3" t="str">
        <f>IFERROR(__xludf.DUMMYFUNCTION("""COMPUTED_VALUE"""),"น.ต.ศักชัย บุญประสิทธิ์")</f>
        <v>น.ต.ศักชัย บุญประสิทธิ์</v>
      </c>
      <c r="N251" s="14" t="str">
        <f>IFERROR(__xludf.DUMMYFUNCTION("""COMPUTED_VALUE"""),"https://lh5.googleusercontent.com/d/1B62GNPMty4Xt0hG4KW36CljatBIGvssT")</f>
        <v>https://lh5.googleusercontent.com/d/1B62GNPMty4Xt0hG4KW36CljatBIGvssT</v>
      </c>
      <c r="O251" s="14" t="str">
        <f>IFERROR(__xludf.DUMMYFUNCTION("""COMPUTED_VALUE"""),"https://drive.google.com/file/d/1UciqDnRKkHTIm9U2K2d6c4DygZ0XMoCA/view?usp=drivesdk")</f>
        <v>https://drive.google.com/file/d/1UciqDnRKkHTIm9U2K2d6c4DygZ0XMoCA/view?usp=drivesdk</v>
      </c>
    </row>
    <row r="252">
      <c r="A252" s="3">
        <f>IFERROR(__xludf.DUMMYFUNCTION("""COMPUTED_VALUE"""),670.0)</f>
        <v>670</v>
      </c>
      <c r="B252" s="11">
        <f>IFERROR(__xludf.DUMMYFUNCTION("""COMPUTED_VALUE"""),45991.78337612269)</f>
        <v>45991.78338</v>
      </c>
      <c r="C252" s="3" t="str">
        <f>IFERROR(__xludf.DUMMYFUNCTION("""COMPUTED_VALUE"""),"ชั้นปีที่ 2")</f>
        <v>ชั้นปีที่ 2</v>
      </c>
      <c r="D252" s="3" t="str">
        <f>IFERROR(__xludf.DUMMYFUNCTION("""COMPUTED_VALUE"""),"6703831")</f>
        <v>6703831</v>
      </c>
      <c r="E252" s="3" t="str">
        <f>IFERROR(__xludf.DUMMYFUNCTION("""COMPUTED_VALUE"""),"14")</f>
        <v>14</v>
      </c>
      <c r="F252" s="3" t="str">
        <f>IFERROR(__xludf.DUMMYFUNCTION("""COMPUTED_VALUE"""),"นพอ.ญาณิศา ตุ้งซี่")</f>
        <v>นพอ.ญาณิศา ตุ้งซี่</v>
      </c>
      <c r="G25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52" s="3" t="str">
        <f>IFERROR(__xludf.DUMMYFUNCTION("""COMPUTED_VALUE"""),"งานแจกของพระราชทานพระบรมศพพระพันปีหลวง ")</f>
        <v>งานแจกของพระราชทานพระบรมศพพระพันปีหลวง </v>
      </c>
      <c r="I252" s="3" t="str">
        <f>IFERROR(__xludf.DUMMYFUNCTION("""COMPUTED_VALUE"""),"สนามหลวง")</f>
        <v>สนามหลวง</v>
      </c>
      <c r="J252" s="12">
        <f>IFERROR(__xludf.DUMMYFUNCTION("""COMPUTED_VALUE"""),45990.0)</f>
        <v>45990</v>
      </c>
      <c r="K252" s="3" t="str">
        <f>IFERROR(__xludf.DUMMYFUNCTION("""COMPUTED_VALUE"""),"0800-1200")</f>
        <v>0800-1200</v>
      </c>
      <c r="L252" s="3">
        <f>IFERROR(__xludf.DUMMYFUNCTION("""COMPUTED_VALUE"""),4.0)</f>
        <v>4</v>
      </c>
      <c r="M25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2" s="14" t="str">
        <f>IFERROR(__xludf.DUMMYFUNCTION("""COMPUTED_VALUE"""),"https://lh5.googleusercontent.com/d/1dzo7nG5ciryz2AAioAc7OGP2OtLFEapd")</f>
        <v>https://lh5.googleusercontent.com/d/1dzo7nG5ciryz2AAioAc7OGP2OtLFEapd</v>
      </c>
      <c r="O252" s="14" t="str">
        <f>IFERROR(__xludf.DUMMYFUNCTION("""COMPUTED_VALUE"""),"https://drive.google.com/file/d/1fDK-Dbd6kEay9RUivUP7QFxX6xXFENBR/view?usp=drivesdk")</f>
        <v>https://drive.google.com/file/d/1fDK-Dbd6kEay9RUivUP7QFxX6xXFENBR/view?usp=drivesdk</v>
      </c>
    </row>
    <row r="253">
      <c r="A253" s="3">
        <f>IFERROR(__xludf.DUMMYFUNCTION("""COMPUTED_VALUE"""),675.0)</f>
        <v>675</v>
      </c>
      <c r="B253" s="11">
        <f>IFERROR(__xludf.DUMMYFUNCTION("""COMPUTED_VALUE"""),45991.78743256945)</f>
        <v>45991.78743</v>
      </c>
      <c r="C253" s="3" t="str">
        <f>IFERROR(__xludf.DUMMYFUNCTION("""COMPUTED_VALUE"""),"ชั้นปีที่ 2")</f>
        <v>ชั้นปีที่ 2</v>
      </c>
      <c r="D253" s="3" t="str">
        <f>IFERROR(__xludf.DUMMYFUNCTION("""COMPUTED_VALUE"""),"6703869")</f>
        <v>6703869</v>
      </c>
      <c r="E253" s="3" t="str">
        <f>IFERROR(__xludf.DUMMYFUNCTION("""COMPUTED_VALUE"""),"51")</f>
        <v>51</v>
      </c>
      <c r="F253" s="3" t="str">
        <f>IFERROR(__xludf.DUMMYFUNCTION("""COMPUTED_VALUE"""),"นพอ.วิภาวี กลั่นเมฆ")</f>
        <v>นพอ.วิภาวี กลั่นเมฆ</v>
      </c>
      <c r="G2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3" s="3" t="str">
        <f>IFERROR(__xludf.DUMMYFUNCTION("""COMPUTED_VALUE"""),"คอนเสิร์ตทัพฟ้าคู่ไทยเพื่อ ""ชัยพัฒนา")</f>
        <v>คอนเสิร์ตทัพฟ้าคู่ไทยเพื่อ "ชัยพัฒนา</v>
      </c>
      <c r="I25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53" s="12">
        <f>IFERROR(__xludf.DUMMYFUNCTION("""COMPUTED_VALUE"""),45839.0)</f>
        <v>45839</v>
      </c>
      <c r="K253" s="3" t="str">
        <f>IFERROR(__xludf.DUMMYFUNCTION("""COMPUTED_VALUE"""),"1400-2000")</f>
        <v>1400-2000</v>
      </c>
      <c r="L253" s="3">
        <f>IFERROR(__xludf.DUMMYFUNCTION("""COMPUTED_VALUE"""),8.0)</f>
        <v>8</v>
      </c>
      <c r="M253" s="3" t="str">
        <f>IFERROR(__xludf.DUMMYFUNCTION("""COMPUTED_VALUE"""),"ร.อ.อนุชิต ทำจะดี")</f>
        <v>ร.อ.อนุชิต ทำจะดี</v>
      </c>
      <c r="N253" s="14" t="str">
        <f>IFERROR(__xludf.DUMMYFUNCTION("""COMPUTED_VALUE"""),"https://lh5.googleusercontent.com/d/1VTdRfTCw12JhJETLNL-ZUl1snG-NMYw7")</f>
        <v>https://lh5.googleusercontent.com/d/1VTdRfTCw12JhJETLNL-ZUl1snG-NMYw7</v>
      </c>
      <c r="O253" s="14" t="str">
        <f>IFERROR(__xludf.DUMMYFUNCTION("""COMPUTED_VALUE"""),"https://drive.google.com/file/d/1SRHcfO19c_O2335R1FrqpyhFHJ_ExyBN/view?usp=drivesdk")</f>
        <v>https://drive.google.com/file/d/1SRHcfO19c_O2335R1FrqpyhFHJ_ExyBN/view?usp=drivesdk</v>
      </c>
    </row>
    <row r="254">
      <c r="A254" s="3">
        <f>IFERROR(__xludf.DUMMYFUNCTION("""COMPUTED_VALUE"""),676.0)</f>
        <v>676</v>
      </c>
      <c r="B254" s="11">
        <f>IFERROR(__xludf.DUMMYFUNCTION("""COMPUTED_VALUE"""),45991.78790163194)</f>
        <v>45991.7879</v>
      </c>
      <c r="C254" s="3" t="str">
        <f>IFERROR(__xludf.DUMMYFUNCTION("""COMPUTED_VALUE"""),"ชั้นปีที่ 2")</f>
        <v>ชั้นปีที่ 2</v>
      </c>
      <c r="D254" s="3" t="str">
        <f>IFERROR(__xludf.DUMMYFUNCTION("""COMPUTED_VALUE"""),"6703867")</f>
        <v>6703867</v>
      </c>
      <c r="E254" s="3" t="str">
        <f>IFERROR(__xludf.DUMMYFUNCTION("""COMPUTED_VALUE"""),"49")</f>
        <v>49</v>
      </c>
      <c r="F254" s="3" t="str">
        <f>IFERROR(__xludf.DUMMYFUNCTION("""COMPUTED_VALUE"""),"นพอ.วรางคณา ปางชาติ")</f>
        <v>นพอ.วรางคณา ปางชาติ</v>
      </c>
      <c r="G2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4" s="3" t="str">
        <f>IFERROR(__xludf.DUMMYFUNCTION("""COMPUTED_VALUE"""),"ค่ายแนะแนวรัฐบุรุษ 2")</f>
        <v>ค่ายแนะแนวรัฐบุรุษ 2</v>
      </c>
      <c r="I254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254" s="12">
        <f>IFERROR(__xludf.DUMMYFUNCTION("""COMPUTED_VALUE"""),45968.0)</f>
        <v>45968</v>
      </c>
      <c r="K254" s="3" t="str">
        <f>IFERROR(__xludf.DUMMYFUNCTION("""COMPUTED_VALUE"""),"1800-2200")</f>
        <v>1800-2200</v>
      </c>
      <c r="L254" s="3">
        <f>IFERROR(__xludf.DUMMYFUNCTION("""COMPUTED_VALUE"""),4.0)</f>
        <v>4</v>
      </c>
      <c r="M25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4" s="14" t="str">
        <f>IFERROR(__xludf.DUMMYFUNCTION("""COMPUTED_VALUE"""),"https://lh5.googleusercontent.com/d/1Y9QP3XPorZvSHVDGqA40w0lTWDwejRGq")</f>
        <v>https://lh5.googleusercontent.com/d/1Y9QP3XPorZvSHVDGqA40w0lTWDwejRGq</v>
      </c>
      <c r="O254" s="14" t="str">
        <f>IFERROR(__xludf.DUMMYFUNCTION("""COMPUTED_VALUE"""),"https://drive.google.com/file/d/1QrMIL2ytHrvaHo_JTOXJJ9SMukLBoiMt/view?usp=drivesdk")</f>
        <v>https://drive.google.com/file/d/1QrMIL2ytHrvaHo_JTOXJJ9SMukLBoiMt/view?usp=drivesdk</v>
      </c>
    </row>
    <row r="255">
      <c r="A255" s="3">
        <f>IFERROR(__xludf.DUMMYFUNCTION("""COMPUTED_VALUE"""),677.0)</f>
        <v>677</v>
      </c>
      <c r="B255" s="11">
        <f>IFERROR(__xludf.DUMMYFUNCTION("""COMPUTED_VALUE"""),45991.788267557866)</f>
        <v>45991.78827</v>
      </c>
      <c r="C255" s="3" t="str">
        <f>IFERROR(__xludf.DUMMYFUNCTION("""COMPUTED_VALUE"""),"ชั้นปีที่ 2")</f>
        <v>ชั้นปีที่ 2</v>
      </c>
      <c r="D255" s="3" t="str">
        <f>IFERROR(__xludf.DUMMYFUNCTION("""COMPUTED_VALUE"""),"6703859")</f>
        <v>6703859</v>
      </c>
      <c r="E255" s="3" t="str">
        <f>IFERROR(__xludf.DUMMYFUNCTION("""COMPUTED_VALUE"""),"41")</f>
        <v>41</v>
      </c>
      <c r="F255" s="3" t="str">
        <f>IFERROR(__xludf.DUMMYFUNCTION("""COMPUTED_VALUE"""),"นพอ.พิชญาภา ไชยพงษ์")</f>
        <v>นพอ.พิชญาภา ไชยพงษ์</v>
      </c>
      <c r="G255" s="3" t="str">
        <f>IFERROR(__xludf.DUMMYFUNCTION("""COMPUTED_VALUE"""),"ช่วยเหลืองานภายใน วพอ.")</f>
        <v>ช่วยเหลืองานภายใน วพอ.</v>
      </c>
      <c r="H255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55" s="3" t="str">
        <f>IFERROR(__xludf.DUMMYFUNCTION("""COMPUTED_VALUE"""),"ห้องเรียน นพอ.ชั้นปีที่ 1")</f>
        <v>ห้องเรียน นพอ.ชั้นปีที่ 1</v>
      </c>
      <c r="J255" s="12">
        <f>IFERROR(__xludf.DUMMYFUNCTION("""COMPUTED_VALUE"""),45987.0)</f>
        <v>45987</v>
      </c>
      <c r="K255" s="3" t="str">
        <f>IFERROR(__xludf.DUMMYFUNCTION("""COMPUTED_VALUE"""),"1000-1800")</f>
        <v>1000-1800</v>
      </c>
      <c r="L255" s="3">
        <f>IFERROR(__xludf.DUMMYFUNCTION("""COMPUTED_VALUE"""),8.0)</f>
        <v>8</v>
      </c>
      <c r="M255" s="3" t="str">
        <f>IFERROR(__xludf.DUMMYFUNCTION("""COMPUTED_VALUE"""),"ร.ท.เรวัติ วัชรสิทธิ์")</f>
        <v>ร.ท.เรวัติ วัชรสิทธิ์</v>
      </c>
      <c r="N255" s="14" t="str">
        <f>IFERROR(__xludf.DUMMYFUNCTION("""COMPUTED_VALUE"""),"https://lh5.googleusercontent.com/d/115ODnIL2MSYY9bMEeTbdDvm8ckbkO8TC")</f>
        <v>https://lh5.googleusercontent.com/d/115ODnIL2MSYY9bMEeTbdDvm8ckbkO8TC</v>
      </c>
      <c r="O255" s="14" t="str">
        <f>IFERROR(__xludf.DUMMYFUNCTION("""COMPUTED_VALUE"""),"https://drive.google.com/file/d/1pkgfGY1aAw2IxC8pGqg52I-bkSEng_i3/view?usp=drivesdk")</f>
        <v>https://drive.google.com/file/d/1pkgfGY1aAw2IxC8pGqg52I-bkSEng_i3/view?usp=drivesdk</v>
      </c>
    </row>
    <row r="256">
      <c r="A256" s="3">
        <f>IFERROR(__xludf.DUMMYFUNCTION("""COMPUTED_VALUE"""),678.0)</f>
        <v>678</v>
      </c>
      <c r="B256" s="11">
        <f>IFERROR(__xludf.DUMMYFUNCTION("""COMPUTED_VALUE"""),45991.78975959491)</f>
        <v>45991.78976</v>
      </c>
      <c r="C256" s="3" t="str">
        <f>IFERROR(__xludf.DUMMYFUNCTION("""COMPUTED_VALUE"""),"ชั้นปีที่ 2")</f>
        <v>ชั้นปีที่ 2</v>
      </c>
      <c r="D256" s="3" t="str">
        <f>IFERROR(__xludf.DUMMYFUNCTION("""COMPUTED_VALUE"""),"6703869")</f>
        <v>6703869</v>
      </c>
      <c r="E256" s="3" t="str">
        <f>IFERROR(__xludf.DUMMYFUNCTION("""COMPUTED_VALUE"""),"51")</f>
        <v>51</v>
      </c>
      <c r="F256" s="3" t="str">
        <f>IFERROR(__xludf.DUMMYFUNCTION("""COMPUTED_VALUE"""),"นพอ.วิภาวี กลั่นเมฆ")</f>
        <v>นพอ.วิภาวี กลั่นเมฆ</v>
      </c>
      <c r="G2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6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25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56" s="12">
        <f>IFERROR(__xludf.DUMMYFUNCTION("""COMPUTED_VALUE"""),45840.0)</f>
        <v>45840</v>
      </c>
      <c r="K256" s="3" t="str">
        <f>IFERROR(__xludf.DUMMYFUNCTION("""COMPUTED_VALUE"""),"1400-2200")</f>
        <v>1400-2200</v>
      </c>
      <c r="L256" s="3">
        <f>IFERROR(__xludf.DUMMYFUNCTION("""COMPUTED_VALUE"""),8.0)</f>
        <v>8</v>
      </c>
      <c r="M256" s="3" t="str">
        <f>IFERROR(__xludf.DUMMYFUNCTION("""COMPUTED_VALUE"""),"ร.อ.อนุชิต ทำจะดี")</f>
        <v>ร.อ.อนุชิต ทำจะดี</v>
      </c>
      <c r="N256" s="14" t="str">
        <f>IFERROR(__xludf.DUMMYFUNCTION("""COMPUTED_VALUE"""),"https://lh5.googleusercontent.com/d/1C476f0sJSF5_LgpnEn8HlStQ6NLQnrpX")</f>
        <v>https://lh5.googleusercontent.com/d/1C476f0sJSF5_LgpnEn8HlStQ6NLQnrpX</v>
      </c>
      <c r="O256" s="14" t="str">
        <f>IFERROR(__xludf.DUMMYFUNCTION("""COMPUTED_VALUE"""),"https://drive.google.com/file/d/1tdZ3epM-gXEPi8r4-N2UUWAWD2xxyoPv/view?usp=drivesdk")</f>
        <v>https://drive.google.com/file/d/1tdZ3epM-gXEPi8r4-N2UUWAWD2xxyoPv/view?usp=drivesdk</v>
      </c>
    </row>
    <row r="257">
      <c r="A257" s="3">
        <f>IFERROR(__xludf.DUMMYFUNCTION("""COMPUTED_VALUE"""),683.0)</f>
        <v>683</v>
      </c>
      <c r="B257" s="11">
        <f>IFERROR(__xludf.DUMMYFUNCTION("""COMPUTED_VALUE"""),45991.793381435185)</f>
        <v>45991.79338</v>
      </c>
      <c r="C257" s="3" t="str">
        <f>IFERROR(__xludf.DUMMYFUNCTION("""COMPUTED_VALUE"""),"ชั้นปีที่ 2")</f>
        <v>ชั้นปีที่ 2</v>
      </c>
      <c r="D257" s="3" t="str">
        <f>IFERROR(__xludf.DUMMYFUNCTION("""COMPUTED_VALUE"""),"6703869")</f>
        <v>6703869</v>
      </c>
      <c r="E257" s="3" t="str">
        <f>IFERROR(__xludf.DUMMYFUNCTION("""COMPUTED_VALUE"""),"51")</f>
        <v>51</v>
      </c>
      <c r="F257" s="3" t="str">
        <f>IFERROR(__xludf.DUMMYFUNCTION("""COMPUTED_VALUE"""),"นพอ.วิภาวี กลั่นเมฆ")</f>
        <v>นพอ.วิภาวี กลั่นเมฆ</v>
      </c>
      <c r="G257" s="3" t="str">
        <f>IFERROR(__xludf.DUMMYFUNCTION("""COMPUTED_VALUE"""),"ช่วยเหลืองานภายใน วพอ.")</f>
        <v>ช่วยเหลืองานภายใน วพอ.</v>
      </c>
      <c r="H257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57" s="3" t="str">
        <f>IFERROR(__xludf.DUMMYFUNCTION("""COMPUTED_VALUE"""),"ห้องเรียนนพอ.ชั้นปีที่ 1")</f>
        <v>ห้องเรียนนพอ.ชั้นปีที่ 1</v>
      </c>
      <c r="J257" s="12">
        <f>IFERROR(__xludf.DUMMYFUNCTION("""COMPUTED_VALUE"""),45987.0)</f>
        <v>45987</v>
      </c>
      <c r="K257" s="3" t="str">
        <f>IFERROR(__xludf.DUMMYFUNCTION("""COMPUTED_VALUE"""),"1000-1800")</f>
        <v>1000-1800</v>
      </c>
      <c r="L257" s="3">
        <f>IFERROR(__xludf.DUMMYFUNCTION("""COMPUTED_VALUE"""),8.0)</f>
        <v>8</v>
      </c>
      <c r="M257" s="3" t="str">
        <f>IFERROR(__xludf.DUMMYFUNCTION("""COMPUTED_VALUE"""),"ร.ท.เรวัติ วัชรสิทธิ์")</f>
        <v>ร.ท.เรวัติ วัชรสิทธิ์</v>
      </c>
      <c r="N257" s="14" t="str">
        <f>IFERROR(__xludf.DUMMYFUNCTION("""COMPUTED_VALUE"""),"https://lh5.googleusercontent.com/d/1oy39dl8s_wQyICOZSNQXx-uWYIAFVYZr")</f>
        <v>https://lh5.googleusercontent.com/d/1oy39dl8s_wQyICOZSNQXx-uWYIAFVYZr</v>
      </c>
      <c r="O257" s="14" t="str">
        <f>IFERROR(__xludf.DUMMYFUNCTION("""COMPUTED_VALUE"""),"https://drive.google.com/file/d/1qm3maHnDcNqDrTVcTaCIXjk3ae7290pO/view?usp=drivesdk")</f>
        <v>https://drive.google.com/file/d/1qm3maHnDcNqDrTVcTaCIXjk3ae7290pO/view?usp=drivesdk</v>
      </c>
    </row>
    <row r="258">
      <c r="A258" s="3">
        <f>IFERROR(__xludf.DUMMYFUNCTION("""COMPUTED_VALUE"""),688.0)</f>
        <v>688</v>
      </c>
      <c r="B258" s="11">
        <f>IFERROR(__xludf.DUMMYFUNCTION("""COMPUTED_VALUE"""),45991.79565969908)</f>
        <v>45991.79566</v>
      </c>
      <c r="C258" s="3" t="str">
        <f>IFERROR(__xludf.DUMMYFUNCTION("""COMPUTED_VALUE"""),"ชั้นปีที่ 2")</f>
        <v>ชั้นปีที่ 2</v>
      </c>
      <c r="D258" s="3" t="str">
        <f>IFERROR(__xludf.DUMMYFUNCTION("""COMPUTED_VALUE"""),"6703860")</f>
        <v>6703860</v>
      </c>
      <c r="E258" s="3" t="str">
        <f>IFERROR(__xludf.DUMMYFUNCTION("""COMPUTED_VALUE"""),"42")</f>
        <v>42</v>
      </c>
      <c r="F258" s="3" t="str">
        <f>IFERROR(__xludf.DUMMYFUNCTION("""COMPUTED_VALUE"""),"นพอ.พิมพ์มาดา วงศาโรจน์")</f>
        <v>นพอ.พิมพ์มาดา วงศาโรจน์</v>
      </c>
      <c r="G258" s="3" t="str">
        <f>IFERROR(__xludf.DUMMYFUNCTION("""COMPUTED_VALUE"""),"ช่วยเหลืองานภายใน วพอ.")</f>
        <v>ช่วยเหลืองานภายใน วพอ.</v>
      </c>
      <c r="H258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58" s="3" t="str">
        <f>IFERROR(__xludf.DUMMYFUNCTION("""COMPUTED_VALUE"""),"ห้องเรียน นพอ.ชั้นปีที่ 1")</f>
        <v>ห้องเรียน นพอ.ชั้นปีที่ 1</v>
      </c>
      <c r="J258" s="12">
        <f>IFERROR(__xludf.DUMMYFUNCTION("""COMPUTED_VALUE"""),45984.0)</f>
        <v>45984</v>
      </c>
      <c r="K258" s="3" t="str">
        <f>IFERROR(__xludf.DUMMYFUNCTION("""COMPUTED_VALUE"""),"1000")</f>
        <v>1000</v>
      </c>
      <c r="L258" s="3">
        <f>IFERROR(__xludf.DUMMYFUNCTION("""COMPUTED_VALUE"""),8.0)</f>
        <v>8</v>
      </c>
      <c r="M258" s="3" t="str">
        <f>IFERROR(__xludf.DUMMYFUNCTION("""COMPUTED_VALUE"""),"ร.ท.เรวัติ วัชรสิทธิ์")</f>
        <v>ร.ท.เรวัติ วัชรสิทธิ์</v>
      </c>
      <c r="N258" s="14" t="str">
        <f>IFERROR(__xludf.DUMMYFUNCTION("""COMPUTED_VALUE"""),"https://lh5.googleusercontent.com/d/1yHUJLvvzycsEIKUudV2d_AY-qqwGd709")</f>
        <v>https://lh5.googleusercontent.com/d/1yHUJLvvzycsEIKUudV2d_AY-qqwGd709</v>
      </c>
      <c r="O258" s="14" t="str">
        <f>IFERROR(__xludf.DUMMYFUNCTION("""COMPUTED_VALUE"""),"https://drive.google.com/file/d/1T9fyMZ2aVqCwymxRBfoG2FUUA7IYNP5M/view?usp=drivesdk")</f>
        <v>https://drive.google.com/file/d/1T9fyMZ2aVqCwymxRBfoG2FUUA7IYNP5M/view?usp=drivesdk</v>
      </c>
    </row>
    <row r="259">
      <c r="A259" s="3">
        <f>IFERROR(__xludf.DUMMYFUNCTION("""COMPUTED_VALUE"""),689.0)</f>
        <v>689</v>
      </c>
      <c r="B259" s="11">
        <f>IFERROR(__xludf.DUMMYFUNCTION("""COMPUTED_VALUE"""),45991.79587052084)</f>
        <v>45991.79587</v>
      </c>
      <c r="C259" s="3" t="str">
        <f>IFERROR(__xludf.DUMMYFUNCTION("""COMPUTED_VALUE"""),"ชั้นปีที่ 2")</f>
        <v>ชั้นปีที่ 2</v>
      </c>
      <c r="D259" s="3" t="str">
        <f>IFERROR(__xludf.DUMMYFUNCTION("""COMPUTED_VALUE"""),"6703834")</f>
        <v>6703834</v>
      </c>
      <c r="E259" s="3" t="str">
        <f>IFERROR(__xludf.DUMMYFUNCTION("""COMPUTED_VALUE"""),"17")</f>
        <v>17</v>
      </c>
      <c r="F259" s="3" t="str">
        <f>IFERROR(__xludf.DUMMYFUNCTION("""COMPUTED_VALUE"""),"นพอ.ฑิตถากร แน่นอุดร")</f>
        <v>นพอ.ฑิตถากร แน่นอุดร</v>
      </c>
      <c r="G2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9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59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59" s="12">
        <f>IFERROR(__xludf.DUMMYFUNCTION("""COMPUTED_VALUE"""),45961.0)</f>
        <v>45961</v>
      </c>
      <c r="K259" s="3" t="str">
        <f>IFERROR(__xludf.DUMMYFUNCTION("""COMPUTED_VALUE"""),"1800-2200")</f>
        <v>1800-2200</v>
      </c>
      <c r="L259" s="3">
        <f>IFERROR(__xludf.DUMMYFUNCTION("""COMPUTED_VALUE"""),4.0)</f>
        <v>4</v>
      </c>
      <c r="M25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59" s="14" t="str">
        <f>IFERROR(__xludf.DUMMYFUNCTION("""COMPUTED_VALUE"""),"https://lh5.googleusercontent.com/d/1UmvjLPIZvQwt6Mv0qvWNWl36Jx5QKw7i")</f>
        <v>https://lh5.googleusercontent.com/d/1UmvjLPIZvQwt6Mv0qvWNWl36Jx5QKw7i</v>
      </c>
      <c r="O259" s="14" t="str">
        <f>IFERROR(__xludf.DUMMYFUNCTION("""COMPUTED_VALUE"""),"https://drive.google.com/file/d/1ScUz9uQSj8QGt6_aFylX6jDLVNFHqc7e/view?usp=drivesdk")</f>
        <v>https://drive.google.com/file/d/1ScUz9uQSj8QGt6_aFylX6jDLVNFHqc7e/view?usp=drivesdk</v>
      </c>
    </row>
    <row r="260">
      <c r="A260" s="3">
        <f>IFERROR(__xludf.DUMMYFUNCTION("""COMPUTED_VALUE"""),690.0)</f>
        <v>690</v>
      </c>
      <c r="B260" s="11">
        <f>IFERROR(__xludf.DUMMYFUNCTION("""COMPUTED_VALUE"""),45991.796279259266)</f>
        <v>45991.79628</v>
      </c>
      <c r="C260" s="3" t="str">
        <f>IFERROR(__xludf.DUMMYFUNCTION("""COMPUTED_VALUE"""),"ชั้นปีที่ 2")</f>
        <v>ชั้นปีที่ 2</v>
      </c>
      <c r="D260" s="3" t="str">
        <f>IFERROR(__xludf.DUMMYFUNCTION("""COMPUTED_VALUE"""),"6703869")</f>
        <v>6703869</v>
      </c>
      <c r="E260" s="3" t="str">
        <f>IFERROR(__xludf.DUMMYFUNCTION("""COMPUTED_VALUE"""),"51")</f>
        <v>51</v>
      </c>
      <c r="F260" s="3" t="str">
        <f>IFERROR(__xludf.DUMMYFUNCTION("""COMPUTED_VALUE"""),"นพอ.วิภาวี กลั่นเมฆ")</f>
        <v>นพอ.วิภาวี กลั่นเมฆ</v>
      </c>
      <c r="G26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0" s="3" t="str">
        <f>IFERROR(__xludf.DUMMYFUNCTION("""COMPUTED_VALUE"""),"การแข่งขันกีฬานักเรียนชิงถ้วย ผบ.ทอ. ครั้งที่ 51")</f>
        <v>การแข่งขันกีฬานักเรียนชิงถ้วย ผบ.ทอ. ครั้งที่ 51</v>
      </c>
      <c r="I260" s="3" t="str">
        <f>IFERROR(__xludf.DUMMYFUNCTION("""COMPUTED_VALUE"""),"สนามกีฬาธูปะเตมีย์")</f>
        <v>สนามกีฬาธูปะเตมีย์</v>
      </c>
      <c r="J260" s="12">
        <f>IFERROR(__xludf.DUMMYFUNCTION("""COMPUTED_VALUE"""),45907.0)</f>
        <v>45907</v>
      </c>
      <c r="K260" s="3" t="str">
        <f>IFERROR(__xludf.DUMMYFUNCTION("""COMPUTED_VALUE"""),"1200-2000")</f>
        <v>1200-2000</v>
      </c>
      <c r="L260" s="3">
        <f>IFERROR(__xludf.DUMMYFUNCTION("""COMPUTED_VALUE"""),8.0)</f>
        <v>8</v>
      </c>
      <c r="M260" s="3" t="str">
        <f>IFERROR(__xludf.DUMMYFUNCTION("""COMPUTED_VALUE"""),"น.ท.หญิง อนุกูล บำรุงวงค์")</f>
        <v>น.ท.หญิง อนุกูล บำรุงวงค์</v>
      </c>
      <c r="N260" s="14" t="str">
        <f>IFERROR(__xludf.DUMMYFUNCTION("""COMPUTED_VALUE"""),"https://lh5.googleusercontent.com/d/1OZ16xRv6uu_TEObt9UzmjEddHnS5aonI")</f>
        <v>https://lh5.googleusercontent.com/d/1OZ16xRv6uu_TEObt9UzmjEddHnS5aonI</v>
      </c>
      <c r="O260" s="14" t="str">
        <f>IFERROR(__xludf.DUMMYFUNCTION("""COMPUTED_VALUE"""),"https://drive.google.com/file/d/14hSBG8NpuOLBhRDudsADGX4njawWy-dl/view?usp=drivesdk")</f>
        <v>https://drive.google.com/file/d/14hSBG8NpuOLBhRDudsADGX4njawWy-dl/view?usp=drivesdk</v>
      </c>
    </row>
    <row r="261">
      <c r="A261" s="3">
        <f>IFERROR(__xludf.DUMMYFUNCTION("""COMPUTED_VALUE"""),695.0)</f>
        <v>695</v>
      </c>
      <c r="B261" s="11">
        <f>IFERROR(__xludf.DUMMYFUNCTION("""COMPUTED_VALUE"""),45991.7977609838)</f>
        <v>45991.79776</v>
      </c>
      <c r="C261" s="3" t="str">
        <f>IFERROR(__xludf.DUMMYFUNCTION("""COMPUTED_VALUE"""),"ชั้นปีที่ 2")</f>
        <v>ชั้นปีที่ 2</v>
      </c>
      <c r="D261" s="3" t="str">
        <f>IFERROR(__xludf.DUMMYFUNCTION("""COMPUTED_VALUE"""),"6703880")</f>
        <v>6703880</v>
      </c>
      <c r="E261" s="3" t="str">
        <f>IFERROR(__xludf.DUMMYFUNCTION("""COMPUTED_VALUE"""),"61")</f>
        <v>61</v>
      </c>
      <c r="F261" s="3" t="str">
        <f>IFERROR(__xludf.DUMMYFUNCTION("""COMPUTED_VALUE"""),"นพอ.อริสรา ศรีโพธิ์")</f>
        <v>นพอ.อริสรา ศรีโพธิ์</v>
      </c>
      <c r="G2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1" s="3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26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1" s="12">
        <f>IFERROR(__xludf.DUMMYFUNCTION("""COMPUTED_VALUE"""),45840.0)</f>
        <v>45840</v>
      </c>
      <c r="K261" s="3" t="str">
        <f>IFERROR(__xludf.DUMMYFUNCTION("""COMPUTED_VALUE"""),"1400-2200")</f>
        <v>1400-2200</v>
      </c>
      <c r="L261" s="3">
        <f>IFERROR(__xludf.DUMMYFUNCTION("""COMPUTED_VALUE"""),8.0)</f>
        <v>8</v>
      </c>
      <c r="M261" s="3" t="str">
        <f>IFERROR(__xludf.DUMMYFUNCTION("""COMPUTED_VALUE"""),"ร.อ.อนุชิต ทำจะดี")</f>
        <v>ร.อ.อนุชิต ทำจะดี</v>
      </c>
      <c r="N261" s="14" t="str">
        <f>IFERROR(__xludf.DUMMYFUNCTION("""COMPUTED_VALUE"""),"https://lh5.googleusercontent.com/d/1n0GmVGowzzhZWKC605vAR84EYfX9PdkL")</f>
        <v>https://lh5.googleusercontent.com/d/1n0GmVGowzzhZWKC605vAR84EYfX9PdkL</v>
      </c>
      <c r="O261" s="14" t="str">
        <f>IFERROR(__xludf.DUMMYFUNCTION("""COMPUTED_VALUE"""),"https://drive.google.com/file/d/1ToKopPa3I277pwUKWWzezWpYInU0ecic/view?usp=drivesdk")</f>
        <v>https://drive.google.com/file/d/1ToKopPa3I277pwUKWWzezWpYInU0ecic/view?usp=drivesdk</v>
      </c>
    </row>
    <row r="262">
      <c r="A262" s="3">
        <f>IFERROR(__xludf.DUMMYFUNCTION("""COMPUTED_VALUE"""),697.0)</f>
        <v>697</v>
      </c>
      <c r="B262" s="11">
        <f>IFERROR(__xludf.DUMMYFUNCTION("""COMPUTED_VALUE"""),45991.79920142361)</f>
        <v>45991.7992</v>
      </c>
      <c r="C262" s="3" t="str">
        <f>IFERROR(__xludf.DUMMYFUNCTION("""COMPUTED_VALUE"""),"ชั้นปีที่ 2")</f>
        <v>ชั้นปีที่ 2</v>
      </c>
      <c r="D262" s="3" t="str">
        <f>IFERROR(__xludf.DUMMYFUNCTION("""COMPUTED_VALUE"""),"6703867")</f>
        <v>6703867</v>
      </c>
      <c r="E262" s="3" t="str">
        <f>IFERROR(__xludf.DUMMYFUNCTION("""COMPUTED_VALUE"""),"49")</f>
        <v>49</v>
      </c>
      <c r="F262" s="3" t="str">
        <f>IFERROR(__xludf.DUMMYFUNCTION("""COMPUTED_VALUE"""),"นพอ.วรางคณา ปางชาติ")</f>
        <v>นพอ.วรางคณา ปางชาติ</v>
      </c>
      <c r="G2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2" s="3" t="str">
        <f>IFERROR(__xludf.DUMMYFUNCTION("""COMPUTED_VALUE"""),"ค่ายแนะแนวรัฐบุรุษ 2")</f>
        <v>ค่ายแนะแนวรัฐบุรุษ 2</v>
      </c>
      <c r="I262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262" s="12">
        <f>IFERROR(__xludf.DUMMYFUNCTION("""COMPUTED_VALUE"""),45970.0)</f>
        <v>45970</v>
      </c>
      <c r="K262" s="3" t="str">
        <f>IFERROR(__xludf.DUMMYFUNCTION("""COMPUTED_VALUE"""),"0800-1600")</f>
        <v>0800-1600</v>
      </c>
      <c r="L262" s="3">
        <f>IFERROR(__xludf.DUMMYFUNCTION("""COMPUTED_VALUE"""),8.0)</f>
        <v>8</v>
      </c>
      <c r="M26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62" s="14" t="str">
        <f>IFERROR(__xludf.DUMMYFUNCTION("""COMPUTED_VALUE"""),"https://lh5.googleusercontent.com/d/1gBCvLXPhjH3TwRKV9ErLn0cz-0Zt83gd")</f>
        <v>https://lh5.googleusercontent.com/d/1gBCvLXPhjH3TwRKV9ErLn0cz-0Zt83gd</v>
      </c>
      <c r="O262" s="14" t="str">
        <f>IFERROR(__xludf.DUMMYFUNCTION("""COMPUTED_VALUE"""),"https://drive.google.com/file/d/1P6N_pC728K3qhLfEdmRo6QeVQPUeOLTt/view?usp=drivesdk")</f>
        <v>https://drive.google.com/file/d/1P6N_pC728K3qhLfEdmRo6QeVQPUeOLTt/view?usp=drivesdk</v>
      </c>
    </row>
    <row r="263">
      <c r="A263" s="3">
        <f>IFERROR(__xludf.DUMMYFUNCTION("""COMPUTED_VALUE"""),698.0)</f>
        <v>698</v>
      </c>
      <c r="B263" s="11">
        <f>IFERROR(__xludf.DUMMYFUNCTION("""COMPUTED_VALUE"""),45991.79952778935)</f>
        <v>45991.79953</v>
      </c>
      <c r="C263" s="3" t="str">
        <f>IFERROR(__xludf.DUMMYFUNCTION("""COMPUTED_VALUE"""),"ชั้นปีที่ 2")</f>
        <v>ชั้นปีที่ 2</v>
      </c>
      <c r="D263" s="3" t="str">
        <f>IFERROR(__xludf.DUMMYFUNCTION("""COMPUTED_VALUE"""),"6703869")</f>
        <v>6703869</v>
      </c>
      <c r="E263" s="3" t="str">
        <f>IFERROR(__xludf.DUMMYFUNCTION("""COMPUTED_VALUE"""),"51")</f>
        <v>51</v>
      </c>
      <c r="F263" s="3" t="str">
        <f>IFERROR(__xludf.DUMMYFUNCTION("""COMPUTED_VALUE"""),"นพอ.วิภาวี กลั่นเมฆ")</f>
        <v>นพอ.วิภาวี กลั่นเมฆ</v>
      </c>
      <c r="G2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3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63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63" s="12">
        <f>IFERROR(__xludf.DUMMYFUNCTION("""COMPUTED_VALUE"""),45961.0)</f>
        <v>45961</v>
      </c>
      <c r="K263" s="3" t="str">
        <f>IFERROR(__xludf.DUMMYFUNCTION("""COMPUTED_VALUE"""),"1900-2300")</f>
        <v>1900-2300</v>
      </c>
      <c r="L263" s="3">
        <f>IFERROR(__xludf.DUMMYFUNCTION("""COMPUTED_VALUE"""),4.0)</f>
        <v>4</v>
      </c>
      <c r="M26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63" s="14" t="str">
        <f>IFERROR(__xludf.DUMMYFUNCTION("""COMPUTED_VALUE"""),"https://lh5.googleusercontent.com/d/16v0_3jaw3Kk5oK1gFessCR5Np_VZYfZO")</f>
        <v>https://lh5.googleusercontent.com/d/16v0_3jaw3Kk5oK1gFessCR5Np_VZYfZO</v>
      </c>
      <c r="O263" s="14" t="str">
        <f>IFERROR(__xludf.DUMMYFUNCTION("""COMPUTED_VALUE"""),"https://drive.google.com/file/d/1ZfMt1SK0OPUt_DwZiH4O6lz5dL55jBtW/view?usp=drivesdk")</f>
        <v>https://drive.google.com/file/d/1ZfMt1SK0OPUt_DwZiH4O6lz5dL55jBtW/view?usp=drivesdk</v>
      </c>
    </row>
    <row r="264">
      <c r="A264" s="3">
        <f>IFERROR(__xludf.DUMMYFUNCTION("""COMPUTED_VALUE"""),704.0)</f>
        <v>704</v>
      </c>
      <c r="B264" s="11">
        <f>IFERROR(__xludf.DUMMYFUNCTION("""COMPUTED_VALUE"""),45991.803264861104)</f>
        <v>45991.80326</v>
      </c>
      <c r="C264" s="3" t="str">
        <f>IFERROR(__xludf.DUMMYFUNCTION("""COMPUTED_VALUE"""),"ชั้นปีที่ 2")</f>
        <v>ชั้นปีที่ 2</v>
      </c>
      <c r="D264" s="3" t="str">
        <f>IFERROR(__xludf.DUMMYFUNCTION("""COMPUTED_VALUE"""),"6703869")</f>
        <v>6703869</v>
      </c>
      <c r="E264" s="3" t="str">
        <f>IFERROR(__xludf.DUMMYFUNCTION("""COMPUTED_VALUE"""),"51")</f>
        <v>51</v>
      </c>
      <c r="F264" s="3" t="str">
        <f>IFERROR(__xludf.DUMMYFUNCTION("""COMPUTED_VALUE"""),"นพอ.วิภาวี กลั่นเมฆ")</f>
        <v>นพอ.วิภาวี กลั่นเมฆ</v>
      </c>
      <c r="G26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4" s="3" t="str">
        <f>IFERROR(__xludf.DUMMYFUNCTION("""COMPUTED_VALUE"""),"ค่ายพัฒนาเยาวชน โรงเรียนฌยธินบูรณะ")</f>
        <v>ค่ายพัฒนาเยาวชน โรงเรียนฌยธินบูรณะ</v>
      </c>
      <c r="I264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64" s="12">
        <f>IFERROR(__xludf.DUMMYFUNCTION("""COMPUTED_VALUE"""),45962.0)</f>
        <v>45962</v>
      </c>
      <c r="K264" s="3" t="str">
        <f>IFERROR(__xludf.DUMMYFUNCTION("""COMPUTED_VALUE"""),"1000-1800")</f>
        <v>1000-1800</v>
      </c>
      <c r="L264" s="3">
        <f>IFERROR(__xludf.DUMMYFUNCTION("""COMPUTED_VALUE"""),8.0)</f>
        <v>8</v>
      </c>
      <c r="M26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64" s="14" t="str">
        <f>IFERROR(__xludf.DUMMYFUNCTION("""COMPUTED_VALUE"""),"https://lh5.googleusercontent.com/d/1bNhZ-rBmRjQHlO0eT1QuN-2kqngbrMqg")</f>
        <v>https://lh5.googleusercontent.com/d/1bNhZ-rBmRjQHlO0eT1QuN-2kqngbrMqg</v>
      </c>
      <c r="O264" s="14" t="str">
        <f>IFERROR(__xludf.DUMMYFUNCTION("""COMPUTED_VALUE"""),"https://drive.google.com/file/d/19OsgI8qKhBocBPognHXe6ve655dUdPA2/view?usp=drivesdk")</f>
        <v>https://drive.google.com/file/d/19OsgI8qKhBocBPognHXe6ve655dUdPA2/view?usp=drivesdk</v>
      </c>
    </row>
    <row r="265">
      <c r="A265" s="3">
        <f>IFERROR(__xludf.DUMMYFUNCTION("""COMPUTED_VALUE"""),706.0)</f>
        <v>706</v>
      </c>
      <c r="B265" s="11">
        <f>IFERROR(__xludf.DUMMYFUNCTION("""COMPUTED_VALUE"""),45991.80480603009)</f>
        <v>45991.80481</v>
      </c>
      <c r="C265" s="3" t="str">
        <f>IFERROR(__xludf.DUMMYFUNCTION("""COMPUTED_VALUE"""),"ชั้นปีที่ 2")</f>
        <v>ชั้นปีที่ 2</v>
      </c>
      <c r="D265" s="3" t="str">
        <f>IFERROR(__xludf.DUMMYFUNCTION("""COMPUTED_VALUE"""),"6703867")</f>
        <v>6703867</v>
      </c>
      <c r="E265" s="3" t="str">
        <f>IFERROR(__xludf.DUMMYFUNCTION("""COMPUTED_VALUE"""),"49")</f>
        <v>49</v>
      </c>
      <c r="F265" s="3" t="str">
        <f>IFERROR(__xludf.DUMMYFUNCTION("""COMPUTED_VALUE"""),"นพอ.วรางคณา ปางชาติ")</f>
        <v>นพอ.วรางคณา ปางชาติ</v>
      </c>
      <c r="G2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5" s="3" t="str">
        <f>IFERROR(__xludf.DUMMYFUNCTION("""COMPUTED_VALUE"""),"ซ้อมร้องประสานเสียง")</f>
        <v>ซ้อมร้องประสานเสียง</v>
      </c>
      <c r="I265" s="3" t="str">
        <f>IFERROR(__xludf.DUMMYFUNCTION("""COMPUTED_VALUE"""),"ดุริยางค์ทหารอากาศ")</f>
        <v>ดุริยางค์ทหารอากาศ</v>
      </c>
      <c r="J265" s="12">
        <f>IFERROR(__xludf.DUMMYFUNCTION("""COMPUTED_VALUE"""),45825.0)</f>
        <v>45825</v>
      </c>
      <c r="K265" s="3" t="str">
        <f>IFERROR(__xludf.DUMMYFUNCTION("""COMPUTED_VALUE"""),"0800-1600")</f>
        <v>0800-1600</v>
      </c>
      <c r="L265" s="3">
        <f>IFERROR(__xludf.DUMMYFUNCTION("""COMPUTED_VALUE"""),8.0)</f>
        <v>8</v>
      </c>
      <c r="M265" s="3" t="str">
        <f>IFERROR(__xludf.DUMMYFUNCTION("""COMPUTED_VALUE"""),"ร.อ.อนุชิต ทำจะดี")</f>
        <v>ร.อ.อนุชิต ทำจะดี</v>
      </c>
      <c r="N265" s="14" t="str">
        <f>IFERROR(__xludf.DUMMYFUNCTION("""COMPUTED_VALUE"""),"https://lh5.googleusercontent.com/d/1NYCq0B4UDTJL919pRamoT5oJBKU7bqDN")</f>
        <v>https://lh5.googleusercontent.com/d/1NYCq0B4UDTJL919pRamoT5oJBKU7bqDN</v>
      </c>
      <c r="O265" s="14" t="str">
        <f>IFERROR(__xludf.DUMMYFUNCTION("""COMPUTED_VALUE"""),"https://drive.google.com/file/d/1u88FiXtHFtKLubtj_p-8XqhJYXu7qB1A/view?usp=drivesdk")</f>
        <v>https://drive.google.com/file/d/1u88FiXtHFtKLubtj_p-8XqhJYXu7qB1A/view?usp=drivesdk</v>
      </c>
    </row>
    <row r="266">
      <c r="A266" s="3">
        <f>IFERROR(__xludf.DUMMYFUNCTION("""COMPUTED_VALUE"""),707.0)</f>
        <v>707</v>
      </c>
      <c r="B266" s="11">
        <f>IFERROR(__xludf.DUMMYFUNCTION("""COMPUTED_VALUE"""),45991.805278148146)</f>
        <v>45991.80528</v>
      </c>
      <c r="C266" s="3" t="str">
        <f>IFERROR(__xludf.DUMMYFUNCTION("""COMPUTED_VALUE"""),"ชั้นปีที่ 2")</f>
        <v>ชั้นปีที่ 2</v>
      </c>
      <c r="D266" s="3" t="str">
        <f>IFERROR(__xludf.DUMMYFUNCTION("""COMPUTED_VALUE"""),"6703869")</f>
        <v>6703869</v>
      </c>
      <c r="E266" s="3" t="str">
        <f>IFERROR(__xludf.DUMMYFUNCTION("""COMPUTED_VALUE"""),"51")</f>
        <v>51</v>
      </c>
      <c r="F266" s="3" t="str">
        <f>IFERROR(__xludf.DUMMYFUNCTION("""COMPUTED_VALUE"""),"นพอ.วิภาวี กลั่นเมฆ")</f>
        <v>นพอ.วิภาวี กลั่นเมฆ</v>
      </c>
      <c r="G2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6" s="3" t="str">
        <f>IFERROR(__xludf.DUMMYFUNCTION("""COMPUTED_VALUE"""),"ค่ายพัฒนาเยาวชน โรงเรียนโยธินบูรณะ")</f>
        <v>ค่ายพัฒนาเยาวชน โรงเรียนโยธินบูรณะ</v>
      </c>
      <c r="I266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66" s="12">
        <f>IFERROR(__xludf.DUMMYFUNCTION("""COMPUTED_VALUE"""),45963.0)</f>
        <v>45963</v>
      </c>
      <c r="K266" s="3" t="str">
        <f>IFERROR(__xludf.DUMMYFUNCTION("""COMPUTED_VALUE"""),"0700-1500")</f>
        <v>0700-1500</v>
      </c>
      <c r="L266" s="3">
        <f>IFERROR(__xludf.DUMMYFUNCTION("""COMPUTED_VALUE"""),8.0)</f>
        <v>8</v>
      </c>
      <c r="M26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66" s="14" t="str">
        <f>IFERROR(__xludf.DUMMYFUNCTION("""COMPUTED_VALUE"""),"https://lh5.googleusercontent.com/d/1qGUJ0NexKGIvOsvjvMdbT2DilqwfjiqQ")</f>
        <v>https://lh5.googleusercontent.com/d/1qGUJ0NexKGIvOsvjvMdbT2DilqwfjiqQ</v>
      </c>
      <c r="O266" s="14" t="str">
        <f>IFERROR(__xludf.DUMMYFUNCTION("""COMPUTED_VALUE"""),"https://drive.google.com/file/d/172uMt0Ev_fmXxsp5g_pYvKM_S_QYe_vw/view?usp=drivesdk")</f>
        <v>https://drive.google.com/file/d/172uMt0Ev_fmXxsp5g_pYvKM_S_QYe_vw/view?usp=drivesdk</v>
      </c>
    </row>
    <row r="267">
      <c r="A267" s="3">
        <f>IFERROR(__xludf.DUMMYFUNCTION("""COMPUTED_VALUE"""),712.0)</f>
        <v>712</v>
      </c>
      <c r="B267" s="11">
        <f>IFERROR(__xludf.DUMMYFUNCTION("""COMPUTED_VALUE"""),45991.80737997685)</f>
        <v>45991.80738</v>
      </c>
      <c r="C267" s="3" t="str">
        <f>IFERROR(__xludf.DUMMYFUNCTION("""COMPUTED_VALUE"""),"ชั้นปีที่ 2")</f>
        <v>ชั้นปีที่ 2</v>
      </c>
      <c r="D267" s="3" t="str">
        <f>IFERROR(__xludf.DUMMYFUNCTION("""COMPUTED_VALUE"""),"6703867")</f>
        <v>6703867</v>
      </c>
      <c r="E267" s="3" t="str">
        <f>IFERROR(__xludf.DUMMYFUNCTION("""COMPUTED_VALUE"""),"49")</f>
        <v>49</v>
      </c>
      <c r="F267" s="3" t="str">
        <f>IFERROR(__xludf.DUMMYFUNCTION("""COMPUTED_VALUE"""),"นพอ.วรางคณา ปางชาติ")</f>
        <v>นพอ.วรางคณา ปางชาติ</v>
      </c>
      <c r="G26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7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67" s="3" t="str">
        <f>IFERROR(__xludf.DUMMYFUNCTION("""COMPUTED_VALUE"""),"กองบัญชาการกองทัพอากาศ")</f>
        <v>กองบัญชาการกองทัพอากาศ</v>
      </c>
      <c r="J267" s="12">
        <f>IFERROR(__xludf.DUMMYFUNCTION("""COMPUTED_VALUE"""),45833.0)</f>
        <v>45833</v>
      </c>
      <c r="K267" s="3" t="str">
        <f>IFERROR(__xludf.DUMMYFUNCTION("""COMPUTED_VALUE"""),"0800-1600")</f>
        <v>0800-1600</v>
      </c>
      <c r="L267" s="3">
        <f>IFERROR(__xludf.DUMMYFUNCTION("""COMPUTED_VALUE"""),8.0)</f>
        <v>8</v>
      </c>
      <c r="M267" s="3" t="str">
        <f>IFERROR(__xludf.DUMMYFUNCTION("""COMPUTED_VALUE"""),"ร.อ.อนุชิต ทำจะดี")</f>
        <v>ร.อ.อนุชิต ทำจะดี</v>
      </c>
      <c r="N267" s="14" t="str">
        <f>IFERROR(__xludf.DUMMYFUNCTION("""COMPUTED_VALUE"""),"https://lh5.googleusercontent.com/d/1t9ArfUCNRb0682U8uu789b4HrnIgyYAw")</f>
        <v>https://lh5.googleusercontent.com/d/1t9ArfUCNRb0682U8uu789b4HrnIgyYAw</v>
      </c>
      <c r="O267" s="14" t="str">
        <f>IFERROR(__xludf.DUMMYFUNCTION("""COMPUTED_VALUE"""),"https://drive.google.com/file/d/1hUO1dto7zL0UiLQAW12FSVX9EsXarLZx/view?usp=drivesdk")</f>
        <v>https://drive.google.com/file/d/1hUO1dto7zL0UiLQAW12FSVX9EsXarLZx/view?usp=drivesdk</v>
      </c>
    </row>
    <row r="268">
      <c r="A268" s="3">
        <f>IFERROR(__xludf.DUMMYFUNCTION("""COMPUTED_VALUE"""),713.0)</f>
        <v>713</v>
      </c>
      <c r="B268" s="11">
        <f>IFERROR(__xludf.DUMMYFUNCTION("""COMPUTED_VALUE"""),45991.8076996875)</f>
        <v>45991.8077</v>
      </c>
      <c r="C268" s="3" t="str">
        <f>IFERROR(__xludf.DUMMYFUNCTION("""COMPUTED_VALUE"""),"ชั้นปีที่ 2")</f>
        <v>ชั้นปีที่ 2</v>
      </c>
      <c r="D268" s="3" t="str">
        <f>IFERROR(__xludf.DUMMYFUNCTION("""COMPUTED_VALUE"""),"6703832")</f>
        <v>6703832</v>
      </c>
      <c r="E268" s="3" t="str">
        <f>IFERROR(__xludf.DUMMYFUNCTION("""COMPUTED_VALUE"""),"15")</f>
        <v>15</v>
      </c>
      <c r="F268" s="3" t="str">
        <f>IFERROR(__xludf.DUMMYFUNCTION("""COMPUTED_VALUE"""),"นพอ. ญาตาวี บุญภิละ")</f>
        <v>นพอ. ญาตาวี บุญภิละ</v>
      </c>
      <c r="G26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8" s="3" t="str">
        <f>IFERROR(__xludf.DUMMYFUNCTION("""COMPUTED_VALUE"""),"คอนเสิร์ตทัพฟ้าคู่ไทยเพื่อ ชัยพัฒนา ครั้งที่ 16")</f>
        <v>คอนเสิร์ตทัพฟ้าคู่ไทยเพื่อ ชัยพัฒนา ครั้งที่ 16</v>
      </c>
      <c r="I26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8" s="12">
        <f>IFERROR(__xludf.DUMMYFUNCTION("""COMPUTED_VALUE"""),45839.0)</f>
        <v>45839</v>
      </c>
      <c r="K268" s="3" t="str">
        <f>IFERROR(__xludf.DUMMYFUNCTION("""COMPUTED_VALUE"""),"1400-2200")</f>
        <v>1400-2200</v>
      </c>
      <c r="L268" s="3">
        <f>IFERROR(__xludf.DUMMYFUNCTION("""COMPUTED_VALUE"""),8.0)</f>
        <v>8</v>
      </c>
      <c r="M268" s="3" t="str">
        <f>IFERROR(__xludf.DUMMYFUNCTION("""COMPUTED_VALUE"""),"ร.อ. อนุชิต ทำจะดี")</f>
        <v>ร.อ. อนุชิต ทำจะดี</v>
      </c>
      <c r="N268" s="14" t="str">
        <f>IFERROR(__xludf.DUMMYFUNCTION("""COMPUTED_VALUE"""),"https://lh5.googleusercontent.com/d/143RV2Th3bwM1OgSVmSWnq5JhrkksQcZj")</f>
        <v>https://lh5.googleusercontent.com/d/143RV2Th3bwM1OgSVmSWnq5JhrkksQcZj</v>
      </c>
      <c r="O268" s="14" t="str">
        <f>IFERROR(__xludf.DUMMYFUNCTION("""COMPUTED_VALUE"""),"https://drive.google.com/file/d/1RPZUScr_9IzFMyWOoa6dIvpfJb2WiNUV/view?usp=drivesdk")</f>
        <v>https://drive.google.com/file/d/1RPZUScr_9IzFMyWOoa6dIvpfJb2WiNUV/view?usp=drivesdk</v>
      </c>
    </row>
    <row r="269">
      <c r="A269" s="3">
        <f>IFERROR(__xludf.DUMMYFUNCTION("""COMPUTED_VALUE"""),717.0)</f>
        <v>717</v>
      </c>
      <c r="B269" s="11">
        <f>IFERROR(__xludf.DUMMYFUNCTION("""COMPUTED_VALUE"""),45991.81049841436)</f>
        <v>45991.8105</v>
      </c>
      <c r="C269" s="3" t="str">
        <f>IFERROR(__xludf.DUMMYFUNCTION("""COMPUTED_VALUE"""),"ชั้นปีที่ 2")</f>
        <v>ชั้นปีที่ 2</v>
      </c>
      <c r="D269" s="3" t="str">
        <f>IFERROR(__xludf.DUMMYFUNCTION("""COMPUTED_VALUE"""),"6703867")</f>
        <v>6703867</v>
      </c>
      <c r="E269" s="3" t="str">
        <f>IFERROR(__xludf.DUMMYFUNCTION("""COMPUTED_VALUE"""),"49")</f>
        <v>49</v>
      </c>
      <c r="F269" s="3" t="str">
        <f>IFERROR(__xludf.DUMMYFUNCTION("""COMPUTED_VALUE"""),"นพอ.วรางคณา ปางชาติ")</f>
        <v>นพอ.วรางคณา ปางชาติ</v>
      </c>
      <c r="G26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9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6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69" s="12">
        <f>IFERROR(__xludf.DUMMYFUNCTION("""COMPUTED_VALUE"""),45838.0)</f>
        <v>45838</v>
      </c>
      <c r="K269" s="3" t="str">
        <f>IFERROR(__xludf.DUMMYFUNCTION("""COMPUTED_VALUE"""),"0800-1600")</f>
        <v>0800-1600</v>
      </c>
      <c r="L269" s="3">
        <f>IFERROR(__xludf.DUMMYFUNCTION("""COMPUTED_VALUE"""),8.0)</f>
        <v>8</v>
      </c>
      <c r="M269" s="3" t="str">
        <f>IFERROR(__xludf.DUMMYFUNCTION("""COMPUTED_VALUE"""),"ร.อ.อนุชิต ทำจะดี")</f>
        <v>ร.อ.อนุชิต ทำจะดี</v>
      </c>
      <c r="N269" s="14" t="str">
        <f>IFERROR(__xludf.DUMMYFUNCTION("""COMPUTED_VALUE"""),"https://lh5.googleusercontent.com/d/1ppEKADooHlADNeXS-Jod9QHam793ElHC")</f>
        <v>https://lh5.googleusercontent.com/d/1ppEKADooHlADNeXS-Jod9QHam793ElHC</v>
      </c>
      <c r="O269" s="14" t="str">
        <f>IFERROR(__xludf.DUMMYFUNCTION("""COMPUTED_VALUE"""),"https://drive.google.com/file/d/1ms4vfMKvobkDelyeHFwWODXs3eLLtZXY/view?usp=drivesdk")</f>
        <v>https://drive.google.com/file/d/1ms4vfMKvobkDelyeHFwWODXs3eLLtZXY/view?usp=drivesdk</v>
      </c>
    </row>
    <row r="270">
      <c r="A270" s="3">
        <f>IFERROR(__xludf.DUMMYFUNCTION("""COMPUTED_VALUE"""),719.0)</f>
        <v>719</v>
      </c>
      <c r="B270" s="11">
        <f>IFERROR(__xludf.DUMMYFUNCTION("""COMPUTED_VALUE"""),45991.81141112268)</f>
        <v>45991.81141</v>
      </c>
      <c r="C270" s="3" t="str">
        <f>IFERROR(__xludf.DUMMYFUNCTION("""COMPUTED_VALUE"""),"ชั้นปีที่ 2")</f>
        <v>ชั้นปีที่ 2</v>
      </c>
      <c r="D270" s="3" t="str">
        <f>IFERROR(__xludf.DUMMYFUNCTION("""COMPUTED_VALUE"""),"6703834")</f>
        <v>6703834</v>
      </c>
      <c r="E270" s="3" t="str">
        <f>IFERROR(__xludf.DUMMYFUNCTION("""COMPUTED_VALUE"""),"17")</f>
        <v>17</v>
      </c>
      <c r="F270" s="3" t="str">
        <f>IFERROR(__xludf.DUMMYFUNCTION("""COMPUTED_VALUE"""),"นพอ.ฑิตถากร แน่นอุดร")</f>
        <v>นพอ.ฑิตถากร แน่นอุดร</v>
      </c>
      <c r="G2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0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70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70" s="12">
        <f>IFERROR(__xludf.DUMMYFUNCTION("""COMPUTED_VALUE"""),45961.0)</f>
        <v>45961</v>
      </c>
      <c r="K270" s="3" t="str">
        <f>IFERROR(__xludf.DUMMYFUNCTION("""COMPUTED_VALUE"""),"1800-2200")</f>
        <v>1800-2200</v>
      </c>
      <c r="L270" s="3">
        <f>IFERROR(__xludf.DUMMYFUNCTION("""COMPUTED_VALUE"""),4.0)</f>
        <v>4</v>
      </c>
      <c r="M27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70" s="14" t="str">
        <f>IFERROR(__xludf.DUMMYFUNCTION("""COMPUTED_VALUE"""),"https://lh5.googleusercontent.com/d/19OEE2OZiO6xqkR0kXi3TE9Qiwo4zr38j")</f>
        <v>https://lh5.googleusercontent.com/d/19OEE2OZiO6xqkR0kXi3TE9Qiwo4zr38j</v>
      </c>
      <c r="O270" s="14" t="str">
        <f>IFERROR(__xludf.DUMMYFUNCTION("""COMPUTED_VALUE"""),"https://drive.google.com/file/d/1FxBuEM0fyp0Ri3Ht1bY4dXi2i9IJLIQt/view?usp=drivesdk")</f>
        <v>https://drive.google.com/file/d/1FxBuEM0fyp0Ri3Ht1bY4dXi2i9IJLIQt/view?usp=drivesdk</v>
      </c>
    </row>
    <row r="271">
      <c r="A271" s="3">
        <f>IFERROR(__xludf.DUMMYFUNCTION("""COMPUTED_VALUE"""),726.0)</f>
        <v>726</v>
      </c>
      <c r="B271" s="11">
        <f>IFERROR(__xludf.DUMMYFUNCTION("""COMPUTED_VALUE"""),45991.81377071759)</f>
        <v>45991.81377</v>
      </c>
      <c r="C271" s="3" t="str">
        <f>IFERROR(__xludf.DUMMYFUNCTION("""COMPUTED_VALUE"""),"ชั้นปีที่ 2")</f>
        <v>ชั้นปีที่ 2</v>
      </c>
      <c r="D271" s="3" t="str">
        <f>IFERROR(__xludf.DUMMYFUNCTION("""COMPUTED_VALUE"""),"6703832")</f>
        <v>6703832</v>
      </c>
      <c r="E271" s="3" t="str">
        <f>IFERROR(__xludf.DUMMYFUNCTION("""COMPUTED_VALUE"""),"15")</f>
        <v>15</v>
      </c>
      <c r="F271" s="3" t="str">
        <f>IFERROR(__xludf.DUMMYFUNCTION("""COMPUTED_VALUE"""),"นพอ. ญาตาวี บุญภิละ")</f>
        <v>นพอ. ญาตาวี บุญภิละ</v>
      </c>
      <c r="G27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1" s="3" t="str">
        <f>IFERROR(__xludf.DUMMYFUNCTION("""COMPUTED_VALUE"""),"คอนเสิร์ตทัพฟ้าคู่ไทยเพื่อ ชัยพัฒนา ครั้งที่ 16")</f>
        <v>คอนเสิร์ตทัพฟ้าคู่ไทยเพื่อ ชัยพัฒนา ครั้งที่ 16</v>
      </c>
      <c r="I27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1" s="12">
        <f>IFERROR(__xludf.DUMMYFUNCTION("""COMPUTED_VALUE"""),45840.0)</f>
        <v>45840</v>
      </c>
      <c r="K271" s="3" t="str">
        <f>IFERROR(__xludf.DUMMYFUNCTION("""COMPUTED_VALUE"""),"1400-2200")</f>
        <v>1400-2200</v>
      </c>
      <c r="L271" s="3">
        <f>IFERROR(__xludf.DUMMYFUNCTION("""COMPUTED_VALUE"""),8.0)</f>
        <v>8</v>
      </c>
      <c r="M271" s="3" t="str">
        <f>IFERROR(__xludf.DUMMYFUNCTION("""COMPUTED_VALUE"""),"ร.อ. อนุชิต ทำจะดี")</f>
        <v>ร.อ. อนุชิต ทำจะดี</v>
      </c>
      <c r="N271" s="14" t="str">
        <f>IFERROR(__xludf.DUMMYFUNCTION("""COMPUTED_VALUE"""),"https://lh5.googleusercontent.com/d/1j4LpR3Xu8BFTPix-MGjFoHl8-J6O0TEK")</f>
        <v>https://lh5.googleusercontent.com/d/1j4LpR3Xu8BFTPix-MGjFoHl8-J6O0TEK</v>
      </c>
      <c r="O271" s="14" t="str">
        <f>IFERROR(__xludf.DUMMYFUNCTION("""COMPUTED_VALUE"""),"https://drive.google.com/file/d/1uy9E5Hlom1wWutBObTpf82HCl0pLvYPi/view?usp=drivesdk")</f>
        <v>https://drive.google.com/file/d/1uy9E5Hlom1wWutBObTpf82HCl0pLvYPi/view?usp=drivesdk</v>
      </c>
    </row>
    <row r="272">
      <c r="A272" s="3">
        <f>IFERROR(__xludf.DUMMYFUNCTION("""COMPUTED_VALUE"""),728.0)</f>
        <v>728</v>
      </c>
      <c r="B272" s="11">
        <f>IFERROR(__xludf.DUMMYFUNCTION("""COMPUTED_VALUE"""),45991.81522883102)</f>
        <v>45991.81523</v>
      </c>
      <c r="C272" s="3" t="str">
        <f>IFERROR(__xludf.DUMMYFUNCTION("""COMPUTED_VALUE"""),"ชั้นปีที่ 2")</f>
        <v>ชั้นปีที่ 2</v>
      </c>
      <c r="D272" s="3" t="str">
        <f>IFERROR(__xludf.DUMMYFUNCTION("""COMPUTED_VALUE"""),"6703867")</f>
        <v>6703867</v>
      </c>
      <c r="E272" s="3" t="str">
        <f>IFERROR(__xludf.DUMMYFUNCTION("""COMPUTED_VALUE"""),"49")</f>
        <v>49</v>
      </c>
      <c r="F272" s="3" t="str">
        <f>IFERROR(__xludf.DUMMYFUNCTION("""COMPUTED_VALUE"""),"นพอ.วรางคณา ปางชาติ")</f>
        <v>นพอ.วรางคณา ปางชาติ</v>
      </c>
      <c r="G2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2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7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2" s="12">
        <f>IFERROR(__xludf.DUMMYFUNCTION("""COMPUTED_VALUE"""),45840.0)</f>
        <v>45840</v>
      </c>
      <c r="K272" s="3" t="str">
        <f>IFERROR(__xludf.DUMMYFUNCTION("""COMPUTED_VALUE"""),"1400-2200")</f>
        <v>1400-2200</v>
      </c>
      <c r="L272" s="3">
        <f>IFERROR(__xludf.DUMMYFUNCTION("""COMPUTED_VALUE"""),8.0)</f>
        <v>8</v>
      </c>
      <c r="M272" s="3" t="str">
        <f>IFERROR(__xludf.DUMMYFUNCTION("""COMPUTED_VALUE"""),"ร.อ.อนุชิต ทำจะดี")</f>
        <v>ร.อ.อนุชิต ทำจะดี</v>
      </c>
      <c r="N272" s="14" t="str">
        <f>IFERROR(__xludf.DUMMYFUNCTION("""COMPUTED_VALUE"""),"https://lh5.googleusercontent.com/d/1TnBx7gIs-m1rLMoG9co3c3tjVi9Xzc1O")</f>
        <v>https://lh5.googleusercontent.com/d/1TnBx7gIs-m1rLMoG9co3c3tjVi9Xzc1O</v>
      </c>
      <c r="O272" s="14" t="str">
        <f>IFERROR(__xludf.DUMMYFUNCTION("""COMPUTED_VALUE"""),"https://drive.google.com/file/d/1pb5k-9HPwiHz7Dx7c-lOC9VnNkZijzPF/view?usp=drivesdk")</f>
        <v>https://drive.google.com/file/d/1pb5k-9HPwiHz7Dx7c-lOC9VnNkZijzPF/view?usp=drivesdk</v>
      </c>
    </row>
    <row r="273">
      <c r="A273" s="3">
        <f>IFERROR(__xludf.DUMMYFUNCTION("""COMPUTED_VALUE"""),734.0)</f>
        <v>734</v>
      </c>
      <c r="B273" s="11">
        <f>IFERROR(__xludf.DUMMYFUNCTION("""COMPUTED_VALUE"""),45991.81778104166)</f>
        <v>45991.81778</v>
      </c>
      <c r="C273" s="3" t="str">
        <f>IFERROR(__xludf.DUMMYFUNCTION("""COMPUTED_VALUE"""),"ชั้นปีที่ 2")</f>
        <v>ชั้นปีที่ 2</v>
      </c>
      <c r="D273" s="3" t="str">
        <f>IFERROR(__xludf.DUMMYFUNCTION("""COMPUTED_VALUE"""),"6703867")</f>
        <v>6703867</v>
      </c>
      <c r="E273" s="3" t="str">
        <f>IFERROR(__xludf.DUMMYFUNCTION("""COMPUTED_VALUE"""),"49")</f>
        <v>49</v>
      </c>
      <c r="F273" s="3" t="str">
        <f>IFERROR(__xludf.DUMMYFUNCTION("""COMPUTED_VALUE"""),"นพอ.วรางคณา ปางชาติ")</f>
        <v>นพอ.วรางคณา ปางชาติ</v>
      </c>
      <c r="G27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3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27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73" s="12">
        <f>IFERROR(__xludf.DUMMYFUNCTION("""COMPUTED_VALUE"""),45839.0)</f>
        <v>45839</v>
      </c>
      <c r="K273" s="3" t="str">
        <f>IFERROR(__xludf.DUMMYFUNCTION("""COMPUTED_VALUE"""),"1400-2200")</f>
        <v>1400-2200</v>
      </c>
      <c r="L273" s="3">
        <f>IFERROR(__xludf.DUMMYFUNCTION("""COMPUTED_VALUE"""),8.0)</f>
        <v>8</v>
      </c>
      <c r="M273" s="3" t="str">
        <f>IFERROR(__xludf.DUMMYFUNCTION("""COMPUTED_VALUE"""),"ร.อ.อนุชิต ทำจะดี")</f>
        <v>ร.อ.อนุชิต ทำจะดี</v>
      </c>
      <c r="N273" s="14" t="str">
        <f>IFERROR(__xludf.DUMMYFUNCTION("""COMPUTED_VALUE"""),"https://lh5.googleusercontent.com/d/15bIXnwC0bvQw89fWckS3UWkvGxucKvso")</f>
        <v>https://lh5.googleusercontent.com/d/15bIXnwC0bvQw89fWckS3UWkvGxucKvso</v>
      </c>
      <c r="O273" s="14" t="str">
        <f>IFERROR(__xludf.DUMMYFUNCTION("""COMPUTED_VALUE"""),"https://drive.google.com/file/d/1sb6fx80QuM63ZzrRv5z9chhZk9iUuqgN/view?usp=drivesdk")</f>
        <v>https://drive.google.com/file/d/1sb6fx80QuM63ZzrRv5z9chhZk9iUuqgN/view?usp=drivesdk</v>
      </c>
    </row>
    <row r="274">
      <c r="A274" s="3">
        <f>IFERROR(__xludf.DUMMYFUNCTION("""COMPUTED_VALUE"""),736.0)</f>
        <v>736</v>
      </c>
      <c r="B274" s="11">
        <f>IFERROR(__xludf.DUMMYFUNCTION("""COMPUTED_VALUE"""),45991.818781076385)</f>
        <v>45991.81878</v>
      </c>
      <c r="C274" s="3" t="str">
        <f>IFERROR(__xludf.DUMMYFUNCTION("""COMPUTED_VALUE"""),"ชั้นปีที่ 2")</f>
        <v>ชั้นปีที่ 2</v>
      </c>
      <c r="D274" s="3" t="str">
        <f>IFERROR(__xludf.DUMMYFUNCTION("""COMPUTED_VALUE"""),"6703852")</f>
        <v>6703852</v>
      </c>
      <c r="E274" s="3" t="str">
        <f>IFERROR(__xludf.DUMMYFUNCTION("""COMPUTED_VALUE"""),"34")</f>
        <v>34</v>
      </c>
      <c r="F274" s="3" t="str">
        <f>IFERROR(__xludf.DUMMYFUNCTION("""COMPUTED_VALUE"""),"นพอ.ปุณยาพร เสือสมิง")</f>
        <v>นพอ.ปุณยาพร เสือสมิง</v>
      </c>
      <c r="G274" s="3" t="str">
        <f>IFERROR(__xludf.DUMMYFUNCTION("""COMPUTED_VALUE"""),"ช่วยเหลืองานภายใน วพอ.")</f>
        <v>ช่วยเหลืองานภายใน วพอ.</v>
      </c>
      <c r="H274" s="3" t="str">
        <f>IFERROR(__xludf.DUMMYFUNCTION("""COMPUTED_VALUE"""),"ซ้อมดนตรีไทยรับขวัญสวีแด")</f>
        <v>ซ้อมดนตรีไทยรับขวัญสวีแด</v>
      </c>
      <c r="I274" s="3" t="str">
        <f>IFERROR(__xludf.DUMMYFUNCTION("""COMPUTED_VALUE"""),"วพอ.พอ.")</f>
        <v>วพอ.พอ.</v>
      </c>
      <c r="J274" s="12">
        <f>IFERROR(__xludf.DUMMYFUNCTION("""COMPUTED_VALUE"""),45887.0)</f>
        <v>45887</v>
      </c>
      <c r="K274" s="3" t="str">
        <f>IFERROR(__xludf.DUMMYFUNCTION("""COMPUTED_VALUE"""),"1800-2000")</f>
        <v>1800-2000</v>
      </c>
      <c r="L274" s="3">
        <f>IFERROR(__xludf.DUMMYFUNCTION("""COMPUTED_VALUE"""),2.0)</f>
        <v>2</v>
      </c>
      <c r="M274" s="3" t="str">
        <f>IFERROR(__xludf.DUMMYFUNCTION("""COMPUTED_VALUE"""),"ร.อ.หญิงขนัฏฐา นาดี")</f>
        <v>ร.อ.หญิงขนัฏฐา นาดี</v>
      </c>
      <c r="N274" s="14" t="str">
        <f>IFERROR(__xludf.DUMMYFUNCTION("""COMPUTED_VALUE"""),"https://lh5.googleusercontent.com/d/1mM2tuKyf8nkjEsyVgzR-pZDhPf8CD5y5")</f>
        <v>https://lh5.googleusercontent.com/d/1mM2tuKyf8nkjEsyVgzR-pZDhPf8CD5y5</v>
      </c>
      <c r="O274" s="14" t="str">
        <f>IFERROR(__xludf.DUMMYFUNCTION("""COMPUTED_VALUE"""),"https://drive.google.com/file/d/15JpJrnoZeJvYPS_0PvX1eWXFOQfqJWgu/view?usp=drivesdk")</f>
        <v>https://drive.google.com/file/d/15JpJrnoZeJvYPS_0PvX1eWXFOQfqJWgu/view?usp=drivesdk</v>
      </c>
    </row>
    <row r="275">
      <c r="A275" s="3">
        <f>IFERROR(__xludf.DUMMYFUNCTION("""COMPUTED_VALUE"""),739.0)</f>
        <v>739</v>
      </c>
      <c r="B275" s="11">
        <f>IFERROR(__xludf.DUMMYFUNCTION("""COMPUTED_VALUE"""),45991.8191267014)</f>
        <v>45991.81913</v>
      </c>
      <c r="C275" s="3" t="str">
        <f>IFERROR(__xludf.DUMMYFUNCTION("""COMPUTED_VALUE"""),"ชั้นปีที่ 2")</f>
        <v>ชั้นปีที่ 2</v>
      </c>
      <c r="D275" s="3" t="str">
        <f>IFERROR(__xludf.DUMMYFUNCTION("""COMPUTED_VALUE"""),"6703864")</f>
        <v>6703864</v>
      </c>
      <c r="E275" s="3" t="str">
        <f>IFERROR(__xludf.DUMMYFUNCTION("""COMPUTED_VALUE"""),"46")</f>
        <v>46</v>
      </c>
      <c r="F275" s="3" t="str">
        <f>IFERROR(__xludf.DUMMYFUNCTION("""COMPUTED_VALUE"""),"นพอ.รมิตา ธัยยาวัฒน์")</f>
        <v>นพอ.รมิตา ธัยยาวัฒน์</v>
      </c>
      <c r="G2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5" s="3" t="str">
        <f>IFERROR(__xludf.DUMMYFUNCTION("""COMPUTED_VALUE"""),"ซ้อมวงรวมงานดนตรีไทยไหว้ครู10สถาบัน")</f>
        <v>ซ้อมวงรวมงานดนตรีไทยไหว้ครู10สถาบัน</v>
      </c>
      <c r="I275" s="3" t="str">
        <f>IFERROR(__xludf.DUMMYFUNCTION("""COMPUTED_VALUE"""),"วิทยาลัยพยาบาลตำรวจ")</f>
        <v>วิทยาลัยพยาบาลตำรวจ</v>
      </c>
      <c r="J275" s="12">
        <f>IFERROR(__xludf.DUMMYFUNCTION("""COMPUTED_VALUE"""),45822.0)</f>
        <v>45822</v>
      </c>
      <c r="K275" s="3" t="str">
        <f>IFERROR(__xludf.DUMMYFUNCTION("""COMPUTED_VALUE"""),"0800-1200")</f>
        <v>0800-1200</v>
      </c>
      <c r="L275" s="3">
        <f>IFERROR(__xludf.DUMMYFUNCTION("""COMPUTED_VALUE"""),7.0)</f>
        <v>7</v>
      </c>
      <c r="M275" s="3" t="str">
        <f>IFERROR(__xludf.DUMMYFUNCTION("""COMPUTED_VALUE"""),"ร.อ.หญิง ขนัฏฐา นาดี")</f>
        <v>ร.อ.หญิง ขนัฏฐา นาดี</v>
      </c>
      <c r="N275" s="14" t="str">
        <f>IFERROR(__xludf.DUMMYFUNCTION("""COMPUTED_VALUE"""),"https://lh5.googleusercontent.com/d/1PQSAuX2naHhZZieupker8qDbF58cehq1")</f>
        <v>https://lh5.googleusercontent.com/d/1PQSAuX2naHhZZieupker8qDbF58cehq1</v>
      </c>
      <c r="O275" s="14" t="str">
        <f>IFERROR(__xludf.DUMMYFUNCTION("""COMPUTED_VALUE"""),"https://drive.google.com/file/d/1BXkeYvUQHUNFBq8tx4PLZNXWdaPPFWni/view?usp=drivesdk")</f>
        <v>https://drive.google.com/file/d/1BXkeYvUQHUNFBq8tx4PLZNXWdaPPFWni/view?usp=drivesdk</v>
      </c>
    </row>
    <row r="276">
      <c r="A276" s="3">
        <f>IFERROR(__xludf.DUMMYFUNCTION("""COMPUTED_VALUE"""),741.0)</f>
        <v>741</v>
      </c>
      <c r="B276" s="11">
        <f>IFERROR(__xludf.DUMMYFUNCTION("""COMPUTED_VALUE"""),45991.82002767361)</f>
        <v>45991.82003</v>
      </c>
      <c r="C276" s="3" t="str">
        <f>IFERROR(__xludf.DUMMYFUNCTION("""COMPUTED_VALUE"""),"ชั้นปีที่ 2")</f>
        <v>ชั้นปีที่ 2</v>
      </c>
      <c r="D276" s="3" t="str">
        <f>IFERROR(__xludf.DUMMYFUNCTION("""COMPUTED_VALUE"""),"6703846")</f>
        <v>6703846</v>
      </c>
      <c r="E276" s="3" t="str">
        <f>IFERROR(__xludf.DUMMYFUNCTION("""COMPUTED_VALUE"""),"28")</f>
        <v>28</v>
      </c>
      <c r="F276" s="3" t="str">
        <f>IFERROR(__xludf.DUMMYFUNCTION("""COMPUTED_VALUE"""),"นพอ.นัฐพร บูรพันธ์")</f>
        <v>นพอ.นัฐพร บูรพันธ์</v>
      </c>
      <c r="G276" s="3" t="str">
        <f>IFERROR(__xludf.DUMMYFUNCTION("""COMPUTED_VALUE"""),"ช่วยเหลืองานภายใน วพอ.")</f>
        <v>ช่วยเหลืองานภายใน วพอ.</v>
      </c>
      <c r="H276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76" s="3" t="str">
        <f>IFERROR(__xludf.DUMMYFUNCTION("""COMPUTED_VALUE"""),"ห้องเรียน นพอ.ชั้นปีที่ 1")</f>
        <v>ห้องเรียน นพอ.ชั้นปีที่ 1</v>
      </c>
      <c r="J276" s="12">
        <f>IFERROR(__xludf.DUMMYFUNCTION("""COMPUTED_VALUE"""),45984.0)</f>
        <v>45984</v>
      </c>
      <c r="K276" s="3" t="str">
        <f>IFERROR(__xludf.DUMMYFUNCTION("""COMPUTED_VALUE"""),"1000-1800")</f>
        <v>1000-1800</v>
      </c>
      <c r="L276" s="3">
        <f>IFERROR(__xludf.DUMMYFUNCTION("""COMPUTED_VALUE"""),8.0)</f>
        <v>8</v>
      </c>
      <c r="M276" s="3" t="str">
        <f>IFERROR(__xludf.DUMMYFUNCTION("""COMPUTED_VALUE"""),"ร.ท.เรวัติ วัชรสิทธิ์")</f>
        <v>ร.ท.เรวัติ วัชรสิทธิ์</v>
      </c>
      <c r="N276" s="14" t="str">
        <f>IFERROR(__xludf.DUMMYFUNCTION("""COMPUTED_VALUE"""),"https://lh5.googleusercontent.com/d/13JU3akCSz9SG7OUUoi4E-reRrIq7NoxS")</f>
        <v>https://lh5.googleusercontent.com/d/13JU3akCSz9SG7OUUoi4E-reRrIq7NoxS</v>
      </c>
      <c r="O276" s="14" t="str">
        <f>IFERROR(__xludf.DUMMYFUNCTION("""COMPUTED_VALUE"""),"https://drive.google.com/file/d/1doZi7R1RJv-i9hN3k0XvHPsqTwHBX9Re/view?usp=drivesdk")</f>
        <v>https://drive.google.com/file/d/1doZi7R1RJv-i9hN3k0XvHPsqTwHBX9Re/view?usp=drivesdk</v>
      </c>
    </row>
    <row r="277">
      <c r="A277" s="3">
        <f>IFERROR(__xludf.DUMMYFUNCTION("""COMPUTED_VALUE"""),742.0)</f>
        <v>742</v>
      </c>
      <c r="B277" s="11">
        <f>IFERROR(__xludf.DUMMYFUNCTION("""COMPUTED_VALUE"""),45991.82034135417)</f>
        <v>45991.82034</v>
      </c>
      <c r="C277" s="3" t="str">
        <f>IFERROR(__xludf.DUMMYFUNCTION("""COMPUTED_VALUE"""),"ชั้นปีที่ 2")</f>
        <v>ชั้นปีที่ 2</v>
      </c>
      <c r="D277" s="3" t="str">
        <f>IFERROR(__xludf.DUMMYFUNCTION("""COMPUTED_VALUE"""),"6703834")</f>
        <v>6703834</v>
      </c>
      <c r="E277" s="3" t="str">
        <f>IFERROR(__xludf.DUMMYFUNCTION("""COMPUTED_VALUE"""),"17")</f>
        <v>17</v>
      </c>
      <c r="F277" s="3" t="str">
        <f>IFERROR(__xludf.DUMMYFUNCTION("""COMPUTED_VALUE"""),"นพอ.ฑิตถากร แน่นอุดร")</f>
        <v>นพอ.ฑิตถากร แน่นอุดร</v>
      </c>
      <c r="G277" s="3" t="str">
        <f>IFERROR(__xludf.DUMMYFUNCTION("""COMPUTED_VALUE"""),"ช่วยเหลืองานภายใน วพอ.")</f>
        <v>ช่วยเหลืองานภายใน วพอ.</v>
      </c>
      <c r="H277" s="3" t="str">
        <f>IFERROR(__xludf.DUMMYFUNCTION("""COMPUTED_VALUE"""),"จิตอาสารับนักเรียนใหม่")</f>
        <v>จิตอาสารับนักเรียนใหม่</v>
      </c>
      <c r="I277" s="3" t="str">
        <f>IFERROR(__xludf.DUMMYFUNCTION("""COMPUTED_VALUE"""),"วิทยาลัยพยาบาลทหารอากาศ")</f>
        <v>วิทยาลัยพยาบาลทหารอากาศ</v>
      </c>
      <c r="J277" s="12">
        <f>IFERROR(__xludf.DUMMYFUNCTION("""COMPUTED_VALUE"""),45859.0)</f>
        <v>45859</v>
      </c>
      <c r="K277" s="3" t="str">
        <f>IFERROR(__xludf.DUMMYFUNCTION("""COMPUTED_VALUE"""),"0600-1400")</f>
        <v>0600-1400</v>
      </c>
      <c r="L277" s="3">
        <f>IFERROR(__xludf.DUMMYFUNCTION("""COMPUTED_VALUE"""),8.0)</f>
        <v>8</v>
      </c>
      <c r="M277" s="3" t="str">
        <f>IFERROR(__xludf.DUMMYFUNCTION("""COMPUTED_VALUE"""),"ร.อ.อนุชิต ทำจะดี")</f>
        <v>ร.อ.อนุชิต ทำจะดี</v>
      </c>
      <c r="N277" s="14" t="str">
        <f>IFERROR(__xludf.DUMMYFUNCTION("""COMPUTED_VALUE"""),"https://lh5.googleusercontent.com/d/1NP9tpXjBVjjoouOoSHgcr5oTcdDSLP5a")</f>
        <v>https://lh5.googleusercontent.com/d/1NP9tpXjBVjjoouOoSHgcr5oTcdDSLP5a</v>
      </c>
      <c r="O277" s="14" t="str">
        <f>IFERROR(__xludf.DUMMYFUNCTION("""COMPUTED_VALUE"""),"https://drive.google.com/file/d/13Xd02WRUOJORhV_-dDntWbve3JSpqxcK/view?usp=drivesdk")</f>
        <v>https://drive.google.com/file/d/13Xd02WRUOJORhV_-dDntWbve3JSpqxcK/view?usp=drivesdk</v>
      </c>
    </row>
    <row r="278">
      <c r="A278" s="3">
        <f>IFERROR(__xludf.DUMMYFUNCTION("""COMPUTED_VALUE"""),743.0)</f>
        <v>743</v>
      </c>
      <c r="B278" s="11">
        <f>IFERROR(__xludf.DUMMYFUNCTION("""COMPUTED_VALUE"""),45991.8209266551)</f>
        <v>45991.82093</v>
      </c>
      <c r="C278" s="3" t="str">
        <f>IFERROR(__xludf.DUMMYFUNCTION("""COMPUTED_VALUE"""),"ชั้นปีที่ 2")</f>
        <v>ชั้นปีที่ 2</v>
      </c>
      <c r="D278" s="3" t="str">
        <f>IFERROR(__xludf.DUMMYFUNCTION("""COMPUTED_VALUE"""),"6703852")</f>
        <v>6703852</v>
      </c>
      <c r="E278" s="3" t="str">
        <f>IFERROR(__xludf.DUMMYFUNCTION("""COMPUTED_VALUE"""),"34")</f>
        <v>34</v>
      </c>
      <c r="F278" s="3" t="str">
        <f>IFERROR(__xludf.DUMMYFUNCTION("""COMPUTED_VALUE"""),"นพอ.ปุณยาพร เสือสมิง")</f>
        <v>นพอ.ปุณยาพร เสือสมิง</v>
      </c>
      <c r="G278" s="3" t="str">
        <f>IFERROR(__xludf.DUMMYFUNCTION("""COMPUTED_VALUE"""),"ช่วยเหลืองานภายใน วพอ.")</f>
        <v>ช่วยเหลืองานภายใน วพอ.</v>
      </c>
      <c r="H278" s="3" t="str">
        <f>IFERROR(__xludf.DUMMYFUNCTION("""COMPUTED_VALUE"""),"ซ้อมดนตรีไทยรับขวัญสวีแด")</f>
        <v>ซ้อมดนตรีไทยรับขวัญสวีแด</v>
      </c>
      <c r="I278" s="3" t="str">
        <f>IFERROR(__xludf.DUMMYFUNCTION("""COMPUTED_VALUE"""),"วพอ.พอ.")</f>
        <v>วพอ.พอ.</v>
      </c>
      <c r="J278" s="12">
        <f>IFERROR(__xludf.DUMMYFUNCTION("""COMPUTED_VALUE"""),45888.0)</f>
        <v>45888</v>
      </c>
      <c r="K278" s="3" t="str">
        <f>IFERROR(__xludf.DUMMYFUNCTION("""COMPUTED_VALUE"""),"1800-2000")</f>
        <v>1800-2000</v>
      </c>
      <c r="L278" s="3">
        <f>IFERROR(__xludf.DUMMYFUNCTION("""COMPUTED_VALUE"""),2.0)</f>
        <v>2</v>
      </c>
      <c r="M278" s="3" t="str">
        <f>IFERROR(__xludf.DUMMYFUNCTION("""COMPUTED_VALUE"""),"ร.อ.หญิงขนัฏฐา นาดี")</f>
        <v>ร.อ.หญิงขนัฏฐา นาดี</v>
      </c>
      <c r="N278" s="14" t="str">
        <f>IFERROR(__xludf.DUMMYFUNCTION("""COMPUTED_VALUE"""),"https://lh5.googleusercontent.com/d/1qCEihLDuHpPQkJoHYIna9QrqjSG7lDCC")</f>
        <v>https://lh5.googleusercontent.com/d/1qCEihLDuHpPQkJoHYIna9QrqjSG7lDCC</v>
      </c>
      <c r="O278" s="14" t="str">
        <f>IFERROR(__xludf.DUMMYFUNCTION("""COMPUTED_VALUE"""),"https://drive.google.com/file/d/1LYuFzgUPp2xy-EZbUzRu0NTyENdf-JZo/view?usp=drivesdk")</f>
        <v>https://drive.google.com/file/d/1LYuFzgUPp2xy-EZbUzRu0NTyENdf-JZo/view?usp=drivesdk</v>
      </c>
    </row>
    <row r="279">
      <c r="A279" s="3">
        <f>IFERROR(__xludf.DUMMYFUNCTION("""COMPUTED_VALUE"""),745.0)</f>
        <v>745</v>
      </c>
      <c r="B279" s="11">
        <f>IFERROR(__xludf.DUMMYFUNCTION("""COMPUTED_VALUE"""),45991.82120766203)</f>
        <v>45991.82121</v>
      </c>
      <c r="C279" s="3" t="str">
        <f>IFERROR(__xludf.DUMMYFUNCTION("""COMPUTED_VALUE"""),"ชั้นปีที่ 2")</f>
        <v>ชั้นปีที่ 2</v>
      </c>
      <c r="D279" s="3" t="str">
        <f>IFERROR(__xludf.DUMMYFUNCTION("""COMPUTED_VALUE"""),"6703880")</f>
        <v>6703880</v>
      </c>
      <c r="E279" s="3" t="str">
        <f>IFERROR(__xludf.DUMMYFUNCTION("""COMPUTED_VALUE"""),"61")</f>
        <v>61</v>
      </c>
      <c r="F279" s="3" t="str">
        <f>IFERROR(__xludf.DUMMYFUNCTION("""COMPUTED_VALUE"""),"นพอ.อริสรา ศรีโพธิ์")</f>
        <v>นพอ.อริสรา ศรีโพธิ์</v>
      </c>
      <c r="G279" s="3" t="str">
        <f>IFERROR(__xludf.DUMMYFUNCTION("""COMPUTED_VALUE"""),"ช่วยเหลืองานภายใน วพอ.")</f>
        <v>ช่วยเหลืองานภายใน วพอ.</v>
      </c>
      <c r="H279" s="3" t="str">
        <f>IFERROR(__xludf.DUMMYFUNCTION("""COMPUTED_VALUE"""),"รับนักเรียนใหม่")</f>
        <v>รับนักเรียนใหม่</v>
      </c>
      <c r="I279" s="3" t="str">
        <f>IFERROR(__xludf.DUMMYFUNCTION("""COMPUTED_VALUE"""),"วพอ.พอ.")</f>
        <v>วพอ.พอ.</v>
      </c>
      <c r="J279" s="12">
        <f>IFERROR(__xludf.DUMMYFUNCTION("""COMPUTED_VALUE"""),45859.0)</f>
        <v>45859</v>
      </c>
      <c r="K279" s="3" t="str">
        <f>IFERROR(__xludf.DUMMYFUNCTION("""COMPUTED_VALUE"""),"0600-1200")</f>
        <v>0600-1200</v>
      </c>
      <c r="L279" s="3">
        <f>IFERROR(__xludf.DUMMYFUNCTION("""COMPUTED_VALUE"""),8.0)</f>
        <v>8</v>
      </c>
      <c r="M279" s="3" t="str">
        <f>IFERROR(__xludf.DUMMYFUNCTION("""COMPUTED_VALUE"""),"ร.อ.อนุชิต ทำจะดี")</f>
        <v>ร.อ.อนุชิต ทำจะดี</v>
      </c>
      <c r="N279" s="14" t="str">
        <f>IFERROR(__xludf.DUMMYFUNCTION("""COMPUTED_VALUE"""),"https://lh5.googleusercontent.com/d/1sDxbIzQr0_TmKga9YMy3PX0d9lhX1-P1")</f>
        <v>https://lh5.googleusercontent.com/d/1sDxbIzQr0_TmKga9YMy3PX0d9lhX1-P1</v>
      </c>
      <c r="O279" s="14" t="str">
        <f>IFERROR(__xludf.DUMMYFUNCTION("""COMPUTED_VALUE"""),"https://drive.google.com/file/d/1lwdcGxCFpMxwQaG5tTifIwKVHvxJbEdH/view?usp=drivesdk")</f>
        <v>https://drive.google.com/file/d/1lwdcGxCFpMxwQaG5tTifIwKVHvxJbEdH/view?usp=drivesdk</v>
      </c>
    </row>
    <row r="280">
      <c r="A280" s="3">
        <f>IFERROR(__xludf.DUMMYFUNCTION("""COMPUTED_VALUE"""),746.0)</f>
        <v>746</v>
      </c>
      <c r="B280" s="11">
        <f>IFERROR(__xludf.DUMMYFUNCTION("""COMPUTED_VALUE"""),45991.821273738424)</f>
        <v>45991.82127</v>
      </c>
      <c r="C280" s="3" t="str">
        <f>IFERROR(__xludf.DUMMYFUNCTION("""COMPUTED_VALUE"""),"ชั้นปีที่ 2")</f>
        <v>ชั้นปีที่ 2</v>
      </c>
      <c r="D280" s="3" t="str">
        <f>IFERROR(__xludf.DUMMYFUNCTION("""COMPUTED_VALUE"""),"6703821")</f>
        <v>6703821</v>
      </c>
      <c r="E280" s="3" t="str">
        <f>IFERROR(__xludf.DUMMYFUNCTION("""COMPUTED_VALUE"""),"4")</f>
        <v>4</v>
      </c>
      <c r="F280" s="3" t="str">
        <f>IFERROR(__xludf.DUMMYFUNCTION("""COMPUTED_VALUE"""),"นพอ.กัญญณัช เดชธนาธันยกร")</f>
        <v>นพอ.กัญญณัช เดชธนาธันยกร</v>
      </c>
      <c r="G28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80" s="3" t="str">
        <f>IFERROR(__xludf.DUMMYFUNCTION("""COMPUTED_VALUE"""),"ธารน้ำใจสู่ชายแดน")</f>
        <v>ธารน้ำใจสู่ชายแดน</v>
      </c>
      <c r="I280" s="3" t="str">
        <f>IFERROR(__xludf.DUMMYFUNCTION("""COMPUTED_VALUE"""),"โรงพยาบาลศรีสะเกษ")</f>
        <v>โรงพยาบาลศรีสะเกษ</v>
      </c>
      <c r="J280" s="12">
        <f>IFERROR(__xludf.DUMMYFUNCTION("""COMPUTED_VALUE"""),45862.0)</f>
        <v>45862</v>
      </c>
      <c r="K280" s="3" t="str">
        <f>IFERROR(__xludf.DUMMYFUNCTION("""COMPUTED_VALUE"""),"1600")</f>
        <v>1600</v>
      </c>
      <c r="L280" s="3">
        <f>IFERROR(__xludf.DUMMYFUNCTION("""COMPUTED_VALUE"""),8.0)</f>
        <v>8</v>
      </c>
      <c r="M280" s="3" t="str">
        <f>IFERROR(__xludf.DUMMYFUNCTION("""COMPUTED_VALUE"""),"นางสาวกัญญาภัทร เดชธนาธันยกร")</f>
        <v>นางสาวกัญญาภัทร เดชธนาธันยกร</v>
      </c>
      <c r="N280" s="14" t="str">
        <f>IFERROR(__xludf.DUMMYFUNCTION("""COMPUTED_VALUE"""),"https://lh5.googleusercontent.com/d/157PL87ebi_XQG5DiqOoTjxrieGOT5CAI")</f>
        <v>https://lh5.googleusercontent.com/d/157PL87ebi_XQG5DiqOoTjxrieGOT5CAI</v>
      </c>
      <c r="O280" s="3"/>
    </row>
    <row r="281">
      <c r="A281" s="3">
        <f>IFERROR(__xludf.DUMMYFUNCTION("""COMPUTED_VALUE"""),750.0)</f>
        <v>750</v>
      </c>
      <c r="B281" s="11">
        <f>IFERROR(__xludf.DUMMYFUNCTION("""COMPUTED_VALUE"""),45991.82302390046)</f>
        <v>45991.82302</v>
      </c>
      <c r="C281" s="3" t="str">
        <f>IFERROR(__xludf.DUMMYFUNCTION("""COMPUTED_VALUE"""),"ชั้นปีที่ 2")</f>
        <v>ชั้นปีที่ 2</v>
      </c>
      <c r="D281" s="3" t="str">
        <f>IFERROR(__xludf.DUMMYFUNCTION("""COMPUTED_VALUE"""),"6703864")</f>
        <v>6703864</v>
      </c>
      <c r="E281" s="3" t="str">
        <f>IFERROR(__xludf.DUMMYFUNCTION("""COMPUTED_VALUE"""),"46")</f>
        <v>46</v>
      </c>
      <c r="F281" s="3" t="str">
        <f>IFERROR(__xludf.DUMMYFUNCTION("""COMPUTED_VALUE"""),"นพอ.รมิตา ธัยยาวัฒน์")</f>
        <v>นพอ.รมิตา ธัยยาวัฒน์</v>
      </c>
      <c r="G2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1" s="3" t="str">
        <f>IFERROR(__xludf.DUMMYFUNCTION("""COMPUTED_VALUE"""),"ซ้อมวงรวมงานไหว้ครูดนตรีไทย10สถาบัน")</f>
        <v>ซ้อมวงรวมงานไหว้ครูดนตรีไทย10สถาบัน</v>
      </c>
      <c r="I281" s="3" t="str">
        <f>IFERROR(__xludf.DUMMYFUNCTION("""COMPUTED_VALUE"""),"วิทยาลัยพยาบาลตำรวจ")</f>
        <v>วิทยาลัยพยาบาลตำรวจ</v>
      </c>
      <c r="J281" s="12">
        <f>IFERROR(__xludf.DUMMYFUNCTION("""COMPUTED_VALUE"""),45829.0)</f>
        <v>45829</v>
      </c>
      <c r="K281" s="3" t="str">
        <f>IFERROR(__xludf.DUMMYFUNCTION("""COMPUTED_VALUE"""),"0800-1200")</f>
        <v>0800-1200</v>
      </c>
      <c r="L281" s="3">
        <f>IFERROR(__xludf.DUMMYFUNCTION("""COMPUTED_VALUE"""),7.0)</f>
        <v>7</v>
      </c>
      <c r="M281" s="3" t="str">
        <f>IFERROR(__xludf.DUMMYFUNCTION("""COMPUTED_VALUE"""),"ร.อ.หญิง ขนัฏฐา นาดี")</f>
        <v>ร.อ.หญิง ขนัฏฐา นาดี</v>
      </c>
      <c r="N281" s="14" t="str">
        <f>IFERROR(__xludf.DUMMYFUNCTION("""COMPUTED_VALUE"""),"https://lh5.googleusercontent.com/d/1oTyc5IKO7RZYjaFg-4ia0CcGwz2Ntrk8")</f>
        <v>https://lh5.googleusercontent.com/d/1oTyc5IKO7RZYjaFg-4ia0CcGwz2Ntrk8</v>
      </c>
      <c r="O281" s="14" t="str">
        <f>IFERROR(__xludf.DUMMYFUNCTION("""COMPUTED_VALUE"""),"https://drive.google.com/file/d/1d933l3LJpqD6aGXZlpdqAn0REbyfQHUf/view?usp=drivesdk")</f>
        <v>https://drive.google.com/file/d/1d933l3LJpqD6aGXZlpdqAn0REbyfQHUf/view?usp=drivesdk</v>
      </c>
    </row>
    <row r="282">
      <c r="A282" s="3">
        <f>IFERROR(__xludf.DUMMYFUNCTION("""COMPUTED_VALUE"""),753.0)</f>
        <v>753</v>
      </c>
      <c r="B282" s="11">
        <f>IFERROR(__xludf.DUMMYFUNCTION("""COMPUTED_VALUE"""),45991.82521630787)</f>
        <v>45991.82522</v>
      </c>
      <c r="C282" s="3" t="str">
        <f>IFERROR(__xludf.DUMMYFUNCTION("""COMPUTED_VALUE"""),"ชั้นปีที่ 2")</f>
        <v>ชั้นปีที่ 2</v>
      </c>
      <c r="D282" s="3" t="str">
        <f>IFERROR(__xludf.DUMMYFUNCTION("""COMPUTED_VALUE"""),"6703832")</f>
        <v>6703832</v>
      </c>
      <c r="E282" s="3" t="str">
        <f>IFERROR(__xludf.DUMMYFUNCTION("""COMPUTED_VALUE"""),"15")</f>
        <v>15</v>
      </c>
      <c r="F282" s="3" t="str">
        <f>IFERROR(__xludf.DUMMYFUNCTION("""COMPUTED_VALUE"""),"นพอ. ญาตาวี บุญภิละ")</f>
        <v>นพอ. ญาตาวี บุญภิละ</v>
      </c>
      <c r="G282" s="3" t="str">
        <f>IFERROR(__xludf.DUMMYFUNCTION("""COMPUTED_VALUE"""),"ช่วยเหลืองานภายใน วพอ.")</f>
        <v>ช่วยเหลืองานภายใน วพอ.</v>
      </c>
      <c r="H282" s="3" t="str">
        <f>IFERROR(__xludf.DUMMYFUNCTION("""COMPUTED_VALUE"""),"ช่วยขนของรับน้องนักเรียนใหม่")</f>
        <v>ช่วยขนของรับน้องนักเรียนใหม่</v>
      </c>
      <c r="I282" s="3" t="str">
        <f>IFERROR(__xludf.DUMMYFUNCTION("""COMPUTED_VALUE"""),"วิทยาลัยพยาบาลทหารอากาศ")</f>
        <v>วิทยาลัยพยาบาลทหารอากาศ</v>
      </c>
      <c r="J282" s="12">
        <f>IFERROR(__xludf.DUMMYFUNCTION("""COMPUTED_VALUE"""),45859.0)</f>
        <v>45859</v>
      </c>
      <c r="K282" s="3" t="str">
        <f>IFERROR(__xludf.DUMMYFUNCTION("""COMPUTED_VALUE"""),"0800-1600")</f>
        <v>0800-1600</v>
      </c>
      <c r="L282" s="3">
        <f>IFERROR(__xludf.DUMMYFUNCTION("""COMPUTED_VALUE"""),8.0)</f>
        <v>8</v>
      </c>
      <c r="M282" s="3" t="str">
        <f>IFERROR(__xludf.DUMMYFUNCTION("""COMPUTED_VALUE"""),"ร.อ. อนุชิต ทำจะดี")</f>
        <v>ร.อ. อนุชิต ทำจะดี</v>
      </c>
      <c r="N282" s="14" t="str">
        <f>IFERROR(__xludf.DUMMYFUNCTION("""COMPUTED_VALUE"""),"https://lh5.googleusercontent.com/d/12YDZStQ7tlCL-eOyd6B-liixj-O_lreQ")</f>
        <v>https://lh5.googleusercontent.com/d/12YDZStQ7tlCL-eOyd6B-liixj-O_lreQ</v>
      </c>
      <c r="O282" s="14" t="str">
        <f>IFERROR(__xludf.DUMMYFUNCTION("""COMPUTED_VALUE"""),"https://drive.google.com/file/d/1A6F-uNCMKilqaFrum6CUuE1RGqzX7mWD/view?usp=drivesdk")</f>
        <v>https://drive.google.com/file/d/1A6F-uNCMKilqaFrum6CUuE1RGqzX7mWD/view?usp=drivesdk</v>
      </c>
    </row>
    <row r="283">
      <c r="A283" s="3">
        <f>IFERROR(__xludf.DUMMYFUNCTION("""COMPUTED_VALUE"""),757.0)</f>
        <v>757</v>
      </c>
      <c r="B283" s="11">
        <f>IFERROR(__xludf.DUMMYFUNCTION("""COMPUTED_VALUE"""),45991.825868182874)</f>
        <v>45991.82587</v>
      </c>
      <c r="C283" s="3" t="str">
        <f>IFERROR(__xludf.DUMMYFUNCTION("""COMPUTED_VALUE"""),"ชั้นปีที่ 2")</f>
        <v>ชั้นปีที่ 2</v>
      </c>
      <c r="D283" s="3" t="str">
        <f>IFERROR(__xludf.DUMMYFUNCTION("""COMPUTED_VALUE"""),"6703852")</f>
        <v>6703852</v>
      </c>
      <c r="E283" s="3" t="str">
        <f>IFERROR(__xludf.DUMMYFUNCTION("""COMPUTED_VALUE"""),"34")</f>
        <v>34</v>
      </c>
      <c r="F283" s="3" t="str">
        <f>IFERROR(__xludf.DUMMYFUNCTION("""COMPUTED_VALUE"""),"นพอ.ปุณยาพร เสือสมิง")</f>
        <v>นพอ.ปุณยาพร เสือสมิง</v>
      </c>
      <c r="G283" s="3" t="str">
        <f>IFERROR(__xludf.DUMMYFUNCTION("""COMPUTED_VALUE"""),"ช่วยเหลืองานภายใน วพอ.")</f>
        <v>ช่วยเหลืองานภายใน วพอ.</v>
      </c>
      <c r="H283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83" s="3" t="str">
        <f>IFERROR(__xludf.DUMMYFUNCTION("""COMPUTED_VALUE"""),"วพอ.พอ.")</f>
        <v>วพอ.พอ.</v>
      </c>
      <c r="J283" s="12">
        <f>IFERROR(__xludf.DUMMYFUNCTION("""COMPUTED_VALUE"""),45984.0)</f>
        <v>45984</v>
      </c>
      <c r="K283" s="3" t="str">
        <f>IFERROR(__xludf.DUMMYFUNCTION("""COMPUTED_VALUE"""),"1000-1800")</f>
        <v>1000-1800</v>
      </c>
      <c r="L283" s="3">
        <f>IFERROR(__xludf.DUMMYFUNCTION("""COMPUTED_VALUE"""),8.0)</f>
        <v>8</v>
      </c>
      <c r="M283" s="3" t="str">
        <f>IFERROR(__xludf.DUMMYFUNCTION("""COMPUTED_VALUE"""),"ร.ท.เรวัติ วัชรสิทธิ์")</f>
        <v>ร.ท.เรวัติ วัชรสิทธิ์</v>
      </c>
      <c r="N283" s="14" t="str">
        <f>IFERROR(__xludf.DUMMYFUNCTION("""COMPUTED_VALUE"""),"https://lh5.googleusercontent.com/d/1-Pp_azjNYsGP6rjkew3ORke4kCJxbATt")</f>
        <v>https://lh5.googleusercontent.com/d/1-Pp_azjNYsGP6rjkew3ORke4kCJxbATt</v>
      </c>
      <c r="O283" s="14" t="str">
        <f>IFERROR(__xludf.DUMMYFUNCTION("""COMPUTED_VALUE"""),"https://drive.google.com/file/d/1JqiA6wJrpCLOcGCFR0i3ScJlPZuMU3IS/view?usp=drivesdk")</f>
        <v>https://drive.google.com/file/d/1JqiA6wJrpCLOcGCFR0i3ScJlPZuMU3IS/view?usp=drivesdk</v>
      </c>
    </row>
    <row r="284">
      <c r="A284" s="3">
        <f>IFERROR(__xludf.DUMMYFUNCTION("""COMPUTED_VALUE"""),759.0)</f>
        <v>759</v>
      </c>
      <c r="B284" s="11">
        <f>IFERROR(__xludf.DUMMYFUNCTION("""COMPUTED_VALUE"""),45991.82731203704)</f>
        <v>45991.82731</v>
      </c>
      <c r="C284" s="3" t="str">
        <f>IFERROR(__xludf.DUMMYFUNCTION("""COMPUTED_VALUE"""),"ชั้นปีที่ 2")</f>
        <v>ชั้นปีที่ 2</v>
      </c>
      <c r="D284" s="3" t="str">
        <f>IFERROR(__xludf.DUMMYFUNCTION("""COMPUTED_VALUE"""),"6703852")</f>
        <v>6703852</v>
      </c>
      <c r="E284" s="3" t="str">
        <f>IFERROR(__xludf.DUMMYFUNCTION("""COMPUTED_VALUE"""),"34")</f>
        <v>34</v>
      </c>
      <c r="F284" s="3" t="str">
        <f>IFERROR(__xludf.DUMMYFUNCTION("""COMPUTED_VALUE"""),"นพอ.ปุณยาพร เสือสมิง")</f>
        <v>นพอ.ปุณยาพร เสือสมิง</v>
      </c>
      <c r="G284" s="3" t="str">
        <f>IFERROR(__xludf.DUMMYFUNCTION("""COMPUTED_VALUE"""),"ช่วยเหลืองานภายใน วพอ.")</f>
        <v>ช่วยเหลืองานภายใน วพอ.</v>
      </c>
      <c r="H284" s="3" t="str">
        <f>IFERROR(__xludf.DUMMYFUNCTION("""COMPUTED_VALUE"""),"รับน้อง นรม.")</f>
        <v>รับน้อง นรม.</v>
      </c>
      <c r="I284" s="3" t="str">
        <f>IFERROR(__xludf.DUMMYFUNCTION("""COMPUTED_VALUE"""),"วพอ.พอ")</f>
        <v>วพอ.พอ</v>
      </c>
      <c r="J284" s="12">
        <f>IFERROR(__xludf.DUMMYFUNCTION("""COMPUTED_VALUE"""),45859.0)</f>
        <v>45859</v>
      </c>
      <c r="K284" s="3" t="str">
        <f>IFERROR(__xludf.DUMMYFUNCTION("""COMPUTED_VALUE"""),"0700-1500")</f>
        <v>0700-1500</v>
      </c>
      <c r="L284" s="3">
        <f>IFERROR(__xludf.DUMMYFUNCTION("""COMPUTED_VALUE"""),8.0)</f>
        <v>8</v>
      </c>
      <c r="M284" s="3" t="str">
        <f>IFERROR(__xludf.DUMMYFUNCTION("""COMPUTED_VALUE"""),"ร.อ.อนุชิต ทำจะดี")</f>
        <v>ร.อ.อนุชิต ทำจะดี</v>
      </c>
      <c r="N284" s="14" t="str">
        <f>IFERROR(__xludf.DUMMYFUNCTION("""COMPUTED_VALUE"""),"https://lh5.googleusercontent.com/d/1ykjOsDyTbS9p4VsJiT-xZJoxzipGO_zY")</f>
        <v>https://lh5.googleusercontent.com/d/1ykjOsDyTbS9p4VsJiT-xZJoxzipGO_zY</v>
      </c>
      <c r="O284" s="14" t="str">
        <f>IFERROR(__xludf.DUMMYFUNCTION("""COMPUTED_VALUE"""),"https://drive.google.com/file/d/1i2_58ysV1fLsiBVeFX5ttke0A9zIuhpu/view?usp=drivesdk")</f>
        <v>https://drive.google.com/file/d/1i2_58ysV1fLsiBVeFX5ttke0A9zIuhpu/view?usp=drivesdk</v>
      </c>
    </row>
    <row r="285">
      <c r="A285" s="3">
        <f>IFERROR(__xludf.DUMMYFUNCTION("""COMPUTED_VALUE"""),760.0)</f>
        <v>760</v>
      </c>
      <c r="B285" s="11">
        <f>IFERROR(__xludf.DUMMYFUNCTION("""COMPUTED_VALUE"""),45991.827948680555)</f>
        <v>45991.82795</v>
      </c>
      <c r="C285" s="3" t="str">
        <f>IFERROR(__xludf.DUMMYFUNCTION("""COMPUTED_VALUE"""),"ชั้นปีที่ 2")</f>
        <v>ชั้นปีที่ 2</v>
      </c>
      <c r="D285" s="3" t="str">
        <f>IFERROR(__xludf.DUMMYFUNCTION("""COMPUTED_VALUE"""),"6703880")</f>
        <v>6703880</v>
      </c>
      <c r="E285" s="3" t="str">
        <f>IFERROR(__xludf.DUMMYFUNCTION("""COMPUTED_VALUE"""),"61")</f>
        <v>61</v>
      </c>
      <c r="F285" s="3" t="str">
        <f>IFERROR(__xludf.DUMMYFUNCTION("""COMPUTED_VALUE"""),"นพอ.อริสรา ศรีโพธิ์")</f>
        <v>นพอ.อริสรา ศรีโพธิ์</v>
      </c>
      <c r="G2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5" s="3" t="str">
        <f>IFERROR(__xludf.DUMMYFUNCTION("""COMPUTED_VALUE"""),"คอนเสิร์ตทัพฟ้าคู่ไทยเพื่อ“ชัยพัฒนา”ครั้งที่ 16")</f>
        <v>คอนเสิร์ตทัพฟ้าคู่ไทยเพื่อ“ชัยพัฒนา”ครั้งที่ 16</v>
      </c>
      <c r="I28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85" s="12">
        <f>IFERROR(__xludf.DUMMYFUNCTION("""COMPUTED_VALUE"""),45839.0)</f>
        <v>45839</v>
      </c>
      <c r="K285" s="3" t="str">
        <f>IFERROR(__xludf.DUMMYFUNCTION("""COMPUTED_VALUE"""),"1400-2200")</f>
        <v>1400-2200</v>
      </c>
      <c r="L285" s="3">
        <f>IFERROR(__xludf.DUMMYFUNCTION("""COMPUTED_VALUE"""),8.0)</f>
        <v>8</v>
      </c>
      <c r="M285" s="3" t="str">
        <f>IFERROR(__xludf.DUMMYFUNCTION("""COMPUTED_VALUE"""),"ร.อ.อนุชิต ทำจะดี")</f>
        <v>ร.อ.อนุชิต ทำจะดี</v>
      </c>
      <c r="N285" s="14" t="str">
        <f>IFERROR(__xludf.DUMMYFUNCTION("""COMPUTED_VALUE"""),"https://lh5.googleusercontent.com/d/1LbzNSYowOthVppFhP2r3xdi6PXPTl5XO")</f>
        <v>https://lh5.googleusercontent.com/d/1LbzNSYowOthVppFhP2r3xdi6PXPTl5XO</v>
      </c>
      <c r="O285" s="14" t="str">
        <f>IFERROR(__xludf.DUMMYFUNCTION("""COMPUTED_VALUE"""),"https://drive.google.com/file/d/1fqNcBKiIgC_UNB0CWMwMG1-hoFSymGqC/view?usp=drivesdk")</f>
        <v>https://drive.google.com/file/d/1fqNcBKiIgC_UNB0CWMwMG1-hoFSymGqC/view?usp=drivesdk</v>
      </c>
    </row>
    <row r="286">
      <c r="A286" s="3">
        <f>IFERROR(__xludf.DUMMYFUNCTION("""COMPUTED_VALUE"""),761.0)</f>
        <v>761</v>
      </c>
      <c r="B286" s="11">
        <f>IFERROR(__xludf.DUMMYFUNCTION("""COMPUTED_VALUE"""),45991.8281749537)</f>
        <v>45991.82817</v>
      </c>
      <c r="C286" s="3" t="str">
        <f>IFERROR(__xludf.DUMMYFUNCTION("""COMPUTED_VALUE"""),"ชั้นปีที่ 2")</f>
        <v>ชั้นปีที่ 2</v>
      </c>
      <c r="D286" s="3" t="str">
        <f>IFERROR(__xludf.DUMMYFUNCTION("""COMPUTED_VALUE"""),"6703826")</f>
        <v>6703826</v>
      </c>
      <c r="E286" s="3" t="str">
        <f>IFERROR(__xludf.DUMMYFUNCTION("""COMPUTED_VALUE"""),"9")</f>
        <v>9</v>
      </c>
      <c r="F286" s="3" t="str">
        <f>IFERROR(__xludf.DUMMYFUNCTION("""COMPUTED_VALUE"""),"นพอ.ชณัฐธิดา ชูชีพ")</f>
        <v>นพอ.ชณัฐธิดา ชูชีพ</v>
      </c>
      <c r="G28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6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286" s="3" t="str">
        <f>IFERROR(__xludf.DUMMYFUNCTION("""COMPUTED_VALUE"""),"อุทยานการบินกองทัพอากาศ")</f>
        <v>อุทยานการบินกองทัพอากาศ</v>
      </c>
      <c r="J286" s="12">
        <f>IFERROR(__xludf.DUMMYFUNCTION("""COMPUTED_VALUE"""),45930.0)</f>
        <v>45930</v>
      </c>
      <c r="K286" s="3" t="str">
        <f>IFERROR(__xludf.DUMMYFUNCTION("""COMPUTED_VALUE"""),"1200-1600")</f>
        <v>1200-1600</v>
      </c>
      <c r="L286" s="3">
        <f>IFERROR(__xludf.DUMMYFUNCTION("""COMPUTED_VALUE"""),4.0)</f>
        <v>4</v>
      </c>
      <c r="M286" s="3" t="str">
        <f>IFERROR(__xludf.DUMMYFUNCTION("""COMPUTED_VALUE"""),"น.ท.หญิง สิรินันท์ ชูเชิด")</f>
        <v>น.ท.หญิง สิรินันท์ ชูเชิด</v>
      </c>
      <c r="N286" s="14" t="str">
        <f>IFERROR(__xludf.DUMMYFUNCTION("""COMPUTED_VALUE"""),"https://lh5.googleusercontent.com/d/1mquZkmX_6Hst0fxtb-IGJZ0AzvhAIDaF")</f>
        <v>https://lh5.googleusercontent.com/d/1mquZkmX_6Hst0fxtb-IGJZ0AzvhAIDaF</v>
      </c>
      <c r="O286" s="14" t="str">
        <f>IFERROR(__xludf.DUMMYFUNCTION("""COMPUTED_VALUE"""),"https://drive.google.com/file/d/1_HiB9j6a-xgsR3ANHTFFwIWxPqk1_MbY/view?usp=drivesdk")</f>
        <v>https://drive.google.com/file/d/1_HiB9j6a-xgsR3ANHTFFwIWxPqk1_MbY/view?usp=drivesdk</v>
      </c>
    </row>
    <row r="287">
      <c r="A287" s="3">
        <f>IFERROR(__xludf.DUMMYFUNCTION("""COMPUTED_VALUE"""),762.0)</f>
        <v>762</v>
      </c>
      <c r="B287" s="11">
        <f>IFERROR(__xludf.DUMMYFUNCTION("""COMPUTED_VALUE"""),45991.82837618055)</f>
        <v>45991.82838</v>
      </c>
      <c r="C287" s="3" t="str">
        <f>IFERROR(__xludf.DUMMYFUNCTION("""COMPUTED_VALUE"""),"ชั้นปีที่ 2")</f>
        <v>ชั้นปีที่ 2</v>
      </c>
      <c r="D287" s="3" t="str">
        <f>IFERROR(__xludf.DUMMYFUNCTION("""COMPUTED_VALUE"""),"6703864")</f>
        <v>6703864</v>
      </c>
      <c r="E287" s="3" t="str">
        <f>IFERROR(__xludf.DUMMYFUNCTION("""COMPUTED_VALUE"""),"46")</f>
        <v>46</v>
      </c>
      <c r="F287" s="3" t="str">
        <f>IFERROR(__xludf.DUMMYFUNCTION("""COMPUTED_VALUE"""),"นพอ.รมิตา ธัยยาวัฒน์")</f>
        <v>นพอ.รมิตา ธัยยาวัฒน์</v>
      </c>
      <c r="G2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7" s="3" t="str">
        <f>IFERROR(__xludf.DUMMYFUNCTION("""COMPUTED_VALUE"""),"ซ้อมวงรวมงานไหว้ครูดนตรีไทย10สถาบัน")</f>
        <v>ซ้อมวงรวมงานไหว้ครูดนตรีไทย10สถาบัน</v>
      </c>
      <c r="I287" s="3" t="str">
        <f>IFERROR(__xludf.DUMMYFUNCTION("""COMPUTED_VALUE"""),"วิทยาลัยพยาบาลตำรวจ")</f>
        <v>วิทยาลัยพยาบาลตำรวจ</v>
      </c>
      <c r="J287" s="12">
        <f>IFERROR(__xludf.DUMMYFUNCTION("""COMPUTED_VALUE"""),45836.0)</f>
        <v>45836</v>
      </c>
      <c r="K287" s="3" t="str">
        <f>IFERROR(__xludf.DUMMYFUNCTION("""COMPUTED_VALUE"""),"0800-1200")</f>
        <v>0800-1200</v>
      </c>
      <c r="L287" s="3">
        <f>IFERROR(__xludf.DUMMYFUNCTION("""COMPUTED_VALUE"""),7.0)</f>
        <v>7</v>
      </c>
      <c r="M287" s="3" t="str">
        <f>IFERROR(__xludf.DUMMYFUNCTION("""COMPUTED_VALUE"""),"ร.อ.หญิง ขนัฏฐา นาดี")</f>
        <v>ร.อ.หญิง ขนัฏฐา นาดี</v>
      </c>
      <c r="N287" s="14" t="str">
        <f>IFERROR(__xludf.DUMMYFUNCTION("""COMPUTED_VALUE"""),"https://lh5.googleusercontent.com/d/14a-dJPt6JYhdXeTHZQR4MdchaNE09fER")</f>
        <v>https://lh5.googleusercontent.com/d/14a-dJPt6JYhdXeTHZQR4MdchaNE09fER</v>
      </c>
      <c r="O287" s="14" t="str">
        <f>IFERROR(__xludf.DUMMYFUNCTION("""COMPUTED_VALUE"""),"https://drive.google.com/file/d/1vB_8E836XvckC-ZvUC9lUwA6Gik5EnEP/view?usp=drivesdk")</f>
        <v>https://drive.google.com/file/d/1vB_8E836XvckC-ZvUC9lUwA6Gik5EnEP/view?usp=drivesdk</v>
      </c>
    </row>
    <row r="288">
      <c r="A288" s="3">
        <f>IFERROR(__xludf.DUMMYFUNCTION("""COMPUTED_VALUE"""),766.0)</f>
        <v>766</v>
      </c>
      <c r="B288" s="11">
        <f>IFERROR(__xludf.DUMMYFUNCTION("""COMPUTED_VALUE"""),45991.82979877314)</f>
        <v>45991.8298</v>
      </c>
      <c r="C288" s="3" t="str">
        <f>IFERROR(__xludf.DUMMYFUNCTION("""COMPUTED_VALUE"""),"ชั้นปีที่ 2")</f>
        <v>ชั้นปีที่ 2</v>
      </c>
      <c r="D288" s="3" t="str">
        <f>IFERROR(__xludf.DUMMYFUNCTION("""COMPUTED_VALUE"""),"6703866")</f>
        <v>6703866</v>
      </c>
      <c r="E288" s="3" t="str">
        <f>IFERROR(__xludf.DUMMYFUNCTION("""COMPUTED_VALUE"""),"48")</f>
        <v>48</v>
      </c>
      <c r="F288" s="3" t="str">
        <f>IFERROR(__xludf.DUMMYFUNCTION("""COMPUTED_VALUE"""),"นพอ.วนัชพร กันทะตา")</f>
        <v>นพอ.วนัชพร กันทะตา</v>
      </c>
      <c r="G28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8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88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88" s="12">
        <f>IFERROR(__xludf.DUMMYFUNCTION("""COMPUTED_VALUE"""),45961.0)</f>
        <v>45961</v>
      </c>
      <c r="K288" s="3" t="str">
        <f>IFERROR(__xludf.DUMMYFUNCTION("""COMPUTED_VALUE"""),"1800-2200")</f>
        <v>1800-2200</v>
      </c>
      <c r="L288" s="3">
        <f>IFERROR(__xludf.DUMMYFUNCTION("""COMPUTED_VALUE"""),4.0)</f>
        <v>4</v>
      </c>
      <c r="M288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88" s="14" t="str">
        <f>IFERROR(__xludf.DUMMYFUNCTION("""COMPUTED_VALUE"""),"https://lh5.googleusercontent.com/d/1FDBB2YZ-BC-5B6jgwiPn6YVEjiR9f7bI")</f>
        <v>https://lh5.googleusercontent.com/d/1FDBB2YZ-BC-5B6jgwiPn6YVEjiR9f7bI</v>
      </c>
      <c r="O288" s="14" t="str">
        <f>IFERROR(__xludf.DUMMYFUNCTION("""COMPUTED_VALUE"""),"https://drive.google.com/file/d/1M00OgZlcPlQdn8uUysFudI4GX_DY3QQK/view?usp=drivesdk")</f>
        <v>https://drive.google.com/file/d/1M00OgZlcPlQdn8uUysFudI4GX_DY3QQK/view?usp=drivesdk</v>
      </c>
    </row>
    <row r="289">
      <c r="A289" s="3">
        <f>IFERROR(__xludf.DUMMYFUNCTION("""COMPUTED_VALUE"""),767.0)</f>
        <v>767</v>
      </c>
      <c r="B289" s="11">
        <f>IFERROR(__xludf.DUMMYFUNCTION("""COMPUTED_VALUE"""),45991.831005520835)</f>
        <v>45991.83101</v>
      </c>
      <c r="C289" s="3" t="str">
        <f>IFERROR(__xludf.DUMMYFUNCTION("""COMPUTED_VALUE"""),"ชั้นปีที่ 2")</f>
        <v>ชั้นปีที่ 2</v>
      </c>
      <c r="D289" s="3" t="str">
        <f>IFERROR(__xludf.DUMMYFUNCTION("""COMPUTED_VALUE"""),"6703852")</f>
        <v>6703852</v>
      </c>
      <c r="E289" s="3" t="str">
        <f>IFERROR(__xludf.DUMMYFUNCTION("""COMPUTED_VALUE"""),"34")</f>
        <v>34</v>
      </c>
      <c r="F289" s="3" t="str">
        <f>IFERROR(__xludf.DUMMYFUNCTION("""COMPUTED_VALUE"""),"นพอ.ปุณยาพร เสือสมิง")</f>
        <v>นพอ.ปุณยาพร เสือสมิง</v>
      </c>
      <c r="G289" s="3" t="str">
        <f>IFERROR(__xludf.DUMMYFUNCTION("""COMPUTED_VALUE"""),"ช่วยเหลืองานภายใน วพอ.")</f>
        <v>ช่วยเหลืองานภายใน วพอ.</v>
      </c>
      <c r="H289" s="3" t="str">
        <f>IFERROR(__xludf.DUMMYFUNCTION("""COMPUTED_VALUE"""),"ซ้อมดนตรีไทยรับขวัญสวีแด")</f>
        <v>ซ้อมดนตรีไทยรับขวัญสวีแด</v>
      </c>
      <c r="I289" s="3" t="str">
        <f>IFERROR(__xludf.DUMMYFUNCTION("""COMPUTED_VALUE"""),"วพอ.พอ")</f>
        <v>วพอ.พอ</v>
      </c>
      <c r="J289" s="12">
        <f>IFERROR(__xludf.DUMMYFUNCTION("""COMPUTED_VALUE"""),45889.0)</f>
        <v>45889</v>
      </c>
      <c r="K289" s="3" t="str">
        <f>IFERROR(__xludf.DUMMYFUNCTION("""COMPUTED_VALUE"""),"1800-2000")</f>
        <v>1800-2000</v>
      </c>
      <c r="L289" s="3">
        <f>IFERROR(__xludf.DUMMYFUNCTION("""COMPUTED_VALUE"""),2.0)</f>
        <v>2</v>
      </c>
      <c r="M289" s="3" t="str">
        <f>IFERROR(__xludf.DUMMYFUNCTION("""COMPUTED_VALUE"""),"ร.อ.หญิงขนัฏฐา นาดี")</f>
        <v>ร.อ.หญิงขนัฏฐา นาดี</v>
      </c>
      <c r="N289" s="14" t="str">
        <f>IFERROR(__xludf.DUMMYFUNCTION("""COMPUTED_VALUE"""),"https://lh5.googleusercontent.com/d/1hkR3XSMOjAywvLJtwIjlysS7eRBAfvt1")</f>
        <v>https://lh5.googleusercontent.com/d/1hkR3XSMOjAywvLJtwIjlysS7eRBAfvt1</v>
      </c>
      <c r="O289" s="14" t="str">
        <f>IFERROR(__xludf.DUMMYFUNCTION("""COMPUTED_VALUE"""),"https://drive.google.com/file/d/1z7kAnhruZn_qSZG8pRTz1_lD33MMsGEj/view?usp=drivesdk")</f>
        <v>https://drive.google.com/file/d/1z7kAnhruZn_qSZG8pRTz1_lD33MMsGEj/view?usp=drivesdk</v>
      </c>
    </row>
    <row r="290">
      <c r="A290" s="3">
        <f>IFERROR(__xludf.DUMMYFUNCTION("""COMPUTED_VALUE"""),769.0)</f>
        <v>769</v>
      </c>
      <c r="B290" s="11">
        <f>IFERROR(__xludf.DUMMYFUNCTION("""COMPUTED_VALUE"""),45991.831547326394)</f>
        <v>45991.83155</v>
      </c>
      <c r="C290" s="3" t="str">
        <f>IFERROR(__xludf.DUMMYFUNCTION("""COMPUTED_VALUE"""),"ชั้นปีที่ 2")</f>
        <v>ชั้นปีที่ 2</v>
      </c>
      <c r="D290" s="3" t="str">
        <f>IFERROR(__xludf.DUMMYFUNCTION("""COMPUTED_VALUE"""),"6703820")</f>
        <v>6703820</v>
      </c>
      <c r="E290" s="3" t="str">
        <f>IFERROR(__xludf.DUMMYFUNCTION("""COMPUTED_VALUE"""),"3")</f>
        <v>3</v>
      </c>
      <c r="F290" s="3" t="str">
        <f>IFERROR(__xludf.DUMMYFUNCTION("""COMPUTED_VALUE"""),"นพอ.กฤตพร พิทักษ์")</f>
        <v>นพอ.กฤตพร พิทักษ์</v>
      </c>
      <c r="G29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0" s="3" t="str">
        <f>IFERROR(__xludf.DUMMYFUNCTION("""COMPUTED_VALUE"""),"คอนเสิร์ตทัพฟ้าคู่ไทยเพื่อ“ชัยพัฒนา”ครั้งที่16")</f>
        <v>คอนเสิร์ตทัพฟ้าคู่ไทยเพื่อ“ชัยพัฒนา”ครั้งที่16</v>
      </c>
      <c r="I29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90" s="12">
        <f>IFERROR(__xludf.DUMMYFUNCTION("""COMPUTED_VALUE"""),45840.0)</f>
        <v>45840</v>
      </c>
      <c r="K290" s="3" t="str">
        <f>IFERROR(__xludf.DUMMYFUNCTION("""COMPUTED_VALUE"""),"1400-2200")</f>
        <v>1400-2200</v>
      </c>
      <c r="L290" s="3">
        <f>IFERROR(__xludf.DUMMYFUNCTION("""COMPUTED_VALUE"""),8.0)</f>
        <v>8</v>
      </c>
      <c r="M290" s="3" t="str">
        <f>IFERROR(__xludf.DUMMYFUNCTION("""COMPUTED_VALUE"""),"ร.อ.อนุชิต ทำจะดี")</f>
        <v>ร.อ.อนุชิต ทำจะดี</v>
      </c>
      <c r="N290" s="14" t="str">
        <f>IFERROR(__xludf.DUMMYFUNCTION("""COMPUTED_VALUE"""),"https://lh5.googleusercontent.com/d/1c8uc8a6a7rR9Ys-ygdBOLBEAtJUd0a5W")</f>
        <v>https://lh5.googleusercontent.com/d/1c8uc8a6a7rR9Ys-ygdBOLBEAtJUd0a5W</v>
      </c>
      <c r="O290" s="14" t="str">
        <f>IFERROR(__xludf.DUMMYFUNCTION("""COMPUTED_VALUE"""),"https://drive.google.com/file/d/16hFpc52CELLxk9caA5oxiOI9cOGWW94i/view?usp=drivesdk")</f>
        <v>https://drive.google.com/file/d/16hFpc52CELLxk9caA5oxiOI9cOGWW94i/view?usp=drivesdk</v>
      </c>
    </row>
    <row r="291">
      <c r="A291" s="3">
        <f>IFERROR(__xludf.DUMMYFUNCTION("""COMPUTED_VALUE"""),770.0)</f>
        <v>770</v>
      </c>
      <c r="B291" s="11">
        <f>IFERROR(__xludf.DUMMYFUNCTION("""COMPUTED_VALUE"""),45991.831748576384)</f>
        <v>45991.83175</v>
      </c>
      <c r="C291" s="3" t="str">
        <f>IFERROR(__xludf.DUMMYFUNCTION("""COMPUTED_VALUE"""),"ชั้นปีที่ 2")</f>
        <v>ชั้นปีที่ 2</v>
      </c>
      <c r="D291" s="3" t="str">
        <f>IFERROR(__xludf.DUMMYFUNCTION("""COMPUTED_VALUE"""),"6703864")</f>
        <v>6703864</v>
      </c>
      <c r="E291" s="3" t="str">
        <f>IFERROR(__xludf.DUMMYFUNCTION("""COMPUTED_VALUE"""),"46")</f>
        <v>46</v>
      </c>
      <c r="F291" s="3" t="str">
        <f>IFERROR(__xludf.DUMMYFUNCTION("""COMPUTED_VALUE"""),"นพอ.รมิตา ธัยยาวัฒน์")</f>
        <v>นพอ.รมิตา ธัยยาวัฒน์</v>
      </c>
      <c r="G29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1" s="3" t="str">
        <f>IFERROR(__xludf.DUMMYFUNCTION("""COMPUTED_VALUE"""),"ซ้อมวงรวมงานไหว้ครูดนตรีไทย10สถาบัน")</f>
        <v>ซ้อมวงรวมงานไหว้ครูดนตรีไทย10สถาบัน</v>
      </c>
      <c r="I291" s="3" t="str">
        <f>IFERROR(__xludf.DUMMYFUNCTION("""COMPUTED_VALUE"""),"วิทยาลัยพยาบาลตำรวจ")</f>
        <v>วิทยาลัยพยาบาลตำรวจ</v>
      </c>
      <c r="J291" s="12">
        <f>IFERROR(__xludf.DUMMYFUNCTION("""COMPUTED_VALUE"""),45822.0)</f>
        <v>45822</v>
      </c>
      <c r="K291" s="3" t="str">
        <f>IFERROR(__xludf.DUMMYFUNCTION("""COMPUTED_VALUE"""),"0800-1400")</f>
        <v>0800-1400</v>
      </c>
      <c r="L291" s="3">
        <f>IFERROR(__xludf.DUMMYFUNCTION("""COMPUTED_VALUE"""),7.0)</f>
        <v>7</v>
      </c>
      <c r="M291" s="3" t="str">
        <f>IFERROR(__xludf.DUMMYFUNCTION("""COMPUTED_VALUE"""),"ร.อ.หญิง ขนัฏฐา นาดี")</f>
        <v>ร.อ.หญิง ขนัฏฐา นาดี</v>
      </c>
      <c r="N291" s="14" t="str">
        <f>IFERROR(__xludf.DUMMYFUNCTION("""COMPUTED_VALUE"""),"https://lh5.googleusercontent.com/d/1Q5yIEv4YPpzw8tE3RSsL975mN7iJcxwp")</f>
        <v>https://lh5.googleusercontent.com/d/1Q5yIEv4YPpzw8tE3RSsL975mN7iJcxwp</v>
      </c>
      <c r="O291" s="3"/>
    </row>
    <row r="292">
      <c r="A292" s="3">
        <f>IFERROR(__xludf.DUMMYFUNCTION("""COMPUTED_VALUE"""),772.0)</f>
        <v>772</v>
      </c>
      <c r="B292" s="11">
        <f>IFERROR(__xludf.DUMMYFUNCTION("""COMPUTED_VALUE"""),45991.831856956014)</f>
        <v>45991.83186</v>
      </c>
      <c r="C292" s="3" t="str">
        <f>IFERROR(__xludf.DUMMYFUNCTION("""COMPUTED_VALUE"""),"ชั้นปีที่ 2")</f>
        <v>ชั้นปีที่ 2</v>
      </c>
      <c r="D292" s="3" t="str">
        <f>IFERROR(__xludf.DUMMYFUNCTION("""COMPUTED_VALUE"""),"6703866")</f>
        <v>6703866</v>
      </c>
      <c r="E292" s="3" t="str">
        <f>IFERROR(__xludf.DUMMYFUNCTION("""COMPUTED_VALUE"""),"48")</f>
        <v>48</v>
      </c>
      <c r="F292" s="3" t="str">
        <f>IFERROR(__xludf.DUMMYFUNCTION("""COMPUTED_VALUE"""),"นพอ.วนัชพร กันทะตา")</f>
        <v>นพอ.วนัชพร กันทะตา</v>
      </c>
      <c r="G29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2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292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92" s="12">
        <f>IFERROR(__xludf.DUMMYFUNCTION("""COMPUTED_VALUE"""),45962.0)</f>
        <v>45962</v>
      </c>
      <c r="K292" s="3" t="str">
        <f>IFERROR(__xludf.DUMMYFUNCTION("""COMPUTED_VALUE"""),"0800-1600")</f>
        <v>0800-1600</v>
      </c>
      <c r="L292" s="3">
        <f>IFERROR(__xludf.DUMMYFUNCTION("""COMPUTED_VALUE"""),8.0)</f>
        <v>8</v>
      </c>
      <c r="M292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92" s="14" t="str">
        <f>IFERROR(__xludf.DUMMYFUNCTION("""COMPUTED_VALUE"""),"https://lh5.googleusercontent.com/d/17QUViZ__MKTWN28iQkfEW5Nmlq8oPo0f")</f>
        <v>https://lh5.googleusercontent.com/d/17QUViZ__MKTWN28iQkfEW5Nmlq8oPo0f</v>
      </c>
      <c r="O292" s="14" t="str">
        <f>IFERROR(__xludf.DUMMYFUNCTION("""COMPUTED_VALUE"""),"https://drive.google.com/file/d/1IWrowdP_qwXEKECT3FDv7BM66oo_2bBZ/view?usp=drivesdk")</f>
        <v>https://drive.google.com/file/d/1IWrowdP_qwXEKECT3FDv7BM66oo_2bBZ/view?usp=drivesdk</v>
      </c>
    </row>
    <row r="293">
      <c r="A293" s="3">
        <f>IFERROR(__xludf.DUMMYFUNCTION("""COMPUTED_VALUE"""),774.0)</f>
        <v>774</v>
      </c>
      <c r="B293" s="11">
        <f>IFERROR(__xludf.DUMMYFUNCTION("""COMPUTED_VALUE"""),45991.83340379629)</f>
        <v>45991.8334</v>
      </c>
      <c r="C293" s="3" t="str">
        <f>IFERROR(__xludf.DUMMYFUNCTION("""COMPUTED_VALUE"""),"ชั้นปีที่ 2")</f>
        <v>ชั้นปีที่ 2</v>
      </c>
      <c r="D293" s="3" t="str">
        <f>IFERROR(__xludf.DUMMYFUNCTION("""COMPUTED_VALUE"""),"6703846")</f>
        <v>6703846</v>
      </c>
      <c r="E293" s="3" t="str">
        <f>IFERROR(__xludf.DUMMYFUNCTION("""COMPUTED_VALUE"""),"28")</f>
        <v>28</v>
      </c>
      <c r="F293" s="3" t="str">
        <f>IFERROR(__xludf.DUMMYFUNCTION("""COMPUTED_VALUE"""),"นพอ.นัฐพร บูรพันธ์")</f>
        <v>นพอ.นัฐพร บูรพันธ์</v>
      </c>
      <c r="G29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3" s="3" t="str">
        <f>IFERROR(__xludf.DUMMYFUNCTION("""COMPUTED_VALUE"""),"คอนเสิร์ตทัพฟ้าคู่ไทยเพื่อชัยพัฒนา ครั้งที่ 16")</f>
        <v>คอนเสิร์ตทัพฟ้าคู่ไทยเพื่อชัยพัฒนา ครั้งที่ 16</v>
      </c>
      <c r="I293" s="3" t="str">
        <f>IFERROR(__xludf.DUMMYFUNCTION("""COMPUTED_VALUE"""),"ศุนย์วัฒนธรรมแห่งประเทศไทย")</f>
        <v>ศุนย์วัฒนธรรมแห่งประเทศไทย</v>
      </c>
      <c r="J293" s="12">
        <f>IFERROR(__xludf.DUMMYFUNCTION("""COMPUTED_VALUE"""),45840.0)</f>
        <v>45840</v>
      </c>
      <c r="K293" s="3" t="str">
        <f>IFERROR(__xludf.DUMMYFUNCTION("""COMPUTED_VALUE"""),"1400-2200")</f>
        <v>1400-2200</v>
      </c>
      <c r="L293" s="3">
        <f>IFERROR(__xludf.DUMMYFUNCTION("""COMPUTED_VALUE"""),8.0)</f>
        <v>8</v>
      </c>
      <c r="M293" s="3" t="str">
        <f>IFERROR(__xludf.DUMMYFUNCTION("""COMPUTED_VALUE"""),"ร.อ.อนุชิต ทำจะดี")</f>
        <v>ร.อ.อนุชิต ทำจะดี</v>
      </c>
      <c r="N293" s="14" t="str">
        <f>IFERROR(__xludf.DUMMYFUNCTION("""COMPUTED_VALUE"""),"https://lh5.googleusercontent.com/d/1ChVLI7SAwbmqzIF37vuOy9ay4tqTJY7S")</f>
        <v>https://lh5.googleusercontent.com/d/1ChVLI7SAwbmqzIF37vuOy9ay4tqTJY7S</v>
      </c>
      <c r="O293" s="14" t="str">
        <f>IFERROR(__xludf.DUMMYFUNCTION("""COMPUTED_VALUE"""),"https://drive.google.com/file/d/1sdCAE9n4DxgQ5hiP5WPMXeST2KMztU2N/view?usp=drivesdk")</f>
        <v>https://drive.google.com/file/d/1sdCAE9n4DxgQ5hiP5WPMXeST2KMztU2N/view?usp=drivesdk</v>
      </c>
    </row>
    <row r="294">
      <c r="A294" s="3">
        <f>IFERROR(__xludf.DUMMYFUNCTION("""COMPUTED_VALUE"""),776.0)</f>
        <v>776</v>
      </c>
      <c r="B294" s="11">
        <f>IFERROR(__xludf.DUMMYFUNCTION("""COMPUTED_VALUE"""),45991.83448549769)</f>
        <v>45991.83449</v>
      </c>
      <c r="C294" s="3" t="str">
        <f>IFERROR(__xludf.DUMMYFUNCTION("""COMPUTED_VALUE"""),"ชั้นปีที่ 2")</f>
        <v>ชั้นปีที่ 2</v>
      </c>
      <c r="D294" s="3" t="str">
        <f>IFERROR(__xludf.DUMMYFUNCTION("""COMPUTED_VALUE"""),"6703866")</f>
        <v>6703866</v>
      </c>
      <c r="E294" s="3" t="str">
        <f>IFERROR(__xludf.DUMMYFUNCTION("""COMPUTED_VALUE"""),"48")</f>
        <v>48</v>
      </c>
      <c r="F294" s="3" t="str">
        <f>IFERROR(__xludf.DUMMYFUNCTION("""COMPUTED_VALUE"""),"นพอ.วนัชพร กันทะตา")</f>
        <v>นพอ.วนัชพร กันทะตา</v>
      </c>
      <c r="G2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4" s="3" t="str">
        <f>IFERROR(__xludf.DUMMYFUNCTION("""COMPUTED_VALUE"""),"ค่ายอบรมเยาวชนโรงเรียนโยธินบูรณะ")</f>
        <v>ค่ายอบรมเยาวชนโรงเรียนโยธินบูรณะ</v>
      </c>
      <c r="I294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294" s="12">
        <f>IFERROR(__xludf.DUMMYFUNCTION("""COMPUTED_VALUE"""),45963.0)</f>
        <v>45963</v>
      </c>
      <c r="K294" s="3" t="str">
        <f>IFERROR(__xludf.DUMMYFUNCTION("""COMPUTED_VALUE"""),"0800-1600")</f>
        <v>0800-1600</v>
      </c>
      <c r="L294" s="3">
        <f>IFERROR(__xludf.DUMMYFUNCTION("""COMPUTED_VALUE"""),8.0)</f>
        <v>8</v>
      </c>
      <c r="M294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94" s="14" t="str">
        <f>IFERROR(__xludf.DUMMYFUNCTION("""COMPUTED_VALUE"""),"https://lh5.googleusercontent.com/d/1aqtGz95pZX_SNPrBJ8UamjtVujfB2BPY")</f>
        <v>https://lh5.googleusercontent.com/d/1aqtGz95pZX_SNPrBJ8UamjtVujfB2BPY</v>
      </c>
      <c r="O294" s="3"/>
    </row>
    <row r="295">
      <c r="A295" s="3">
        <f>IFERROR(__xludf.DUMMYFUNCTION("""COMPUTED_VALUE"""),777.0)</f>
        <v>777</v>
      </c>
      <c r="B295" s="11">
        <f>IFERROR(__xludf.DUMMYFUNCTION("""COMPUTED_VALUE"""),45991.835321770835)</f>
        <v>45991.83532</v>
      </c>
      <c r="C295" s="3" t="str">
        <f>IFERROR(__xludf.DUMMYFUNCTION("""COMPUTED_VALUE"""),"ชั้นปีที่ 2")</f>
        <v>ชั้นปีที่ 2</v>
      </c>
      <c r="D295" s="3" t="str">
        <f>IFERROR(__xludf.DUMMYFUNCTION("""COMPUTED_VALUE"""),"6703880")</f>
        <v>6703880</v>
      </c>
      <c r="E295" s="3" t="str">
        <f>IFERROR(__xludf.DUMMYFUNCTION("""COMPUTED_VALUE"""),"61")</f>
        <v>61</v>
      </c>
      <c r="F295" s="3" t="str">
        <f>IFERROR(__xludf.DUMMYFUNCTION("""COMPUTED_VALUE"""),"นพอ.อริสรา ศรีโพธิ์")</f>
        <v>นพอ.อริสรา ศรีโพธิ์</v>
      </c>
      <c r="G295" s="3" t="str">
        <f>IFERROR(__xludf.DUMMYFUNCTION("""COMPUTED_VALUE"""),"ช่วยเหลืองานภายใน วพอ.")</f>
        <v>ช่วยเหลืองานภายใน วพอ.</v>
      </c>
      <c r="H295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95" s="3" t="str">
        <f>IFERROR(__xludf.DUMMYFUNCTION("""COMPUTED_VALUE"""),"ห้อง นพอ. ชั้นปีที่ 1")</f>
        <v>ห้อง นพอ. ชั้นปีที่ 1</v>
      </c>
      <c r="J295" s="12">
        <f>IFERROR(__xludf.DUMMYFUNCTION("""COMPUTED_VALUE"""),45987.0)</f>
        <v>45987</v>
      </c>
      <c r="K295" s="3" t="str">
        <f>IFERROR(__xludf.DUMMYFUNCTION("""COMPUTED_VALUE"""),"1000-1800")</f>
        <v>1000-1800</v>
      </c>
      <c r="L295" s="3">
        <f>IFERROR(__xludf.DUMMYFUNCTION("""COMPUTED_VALUE"""),8.0)</f>
        <v>8</v>
      </c>
      <c r="M295" s="3" t="str">
        <f>IFERROR(__xludf.DUMMYFUNCTION("""COMPUTED_VALUE"""),"ร.ท. เรวัติ วัชรสิทธิ์")</f>
        <v>ร.ท. เรวัติ วัชรสิทธิ์</v>
      </c>
      <c r="N295" s="14" t="str">
        <f>IFERROR(__xludf.DUMMYFUNCTION("""COMPUTED_VALUE"""),"https://lh5.googleusercontent.com/d/1OjwA-kAT4veZc491Z5C7e6s8O81vD1O4")</f>
        <v>https://lh5.googleusercontent.com/d/1OjwA-kAT4veZc491Z5C7e6s8O81vD1O4</v>
      </c>
      <c r="O295" s="14" t="str">
        <f>IFERROR(__xludf.DUMMYFUNCTION("""COMPUTED_VALUE"""),"https://drive.google.com/file/d/1_H3U6Ix684MLMaMLMr1bHQfIoPa75GyU/view?usp=drivesdk")</f>
        <v>https://drive.google.com/file/d/1_H3U6Ix684MLMaMLMr1bHQfIoPa75GyU/view?usp=drivesdk</v>
      </c>
    </row>
    <row r="296">
      <c r="A296" s="3">
        <f>IFERROR(__xludf.DUMMYFUNCTION("""COMPUTED_VALUE"""),778.0)</f>
        <v>778</v>
      </c>
      <c r="B296" s="11">
        <f>IFERROR(__xludf.DUMMYFUNCTION("""COMPUTED_VALUE"""),45991.835561840286)</f>
        <v>45991.83556</v>
      </c>
      <c r="C296" s="3" t="str">
        <f>IFERROR(__xludf.DUMMYFUNCTION("""COMPUTED_VALUE"""),"ชั้นปีที่ 2")</f>
        <v>ชั้นปีที่ 2</v>
      </c>
      <c r="D296" s="3" t="str">
        <f>IFERROR(__xludf.DUMMYFUNCTION("""COMPUTED_VALUE"""),"6703821")</f>
        <v>6703821</v>
      </c>
      <c r="E296" s="3" t="str">
        <f>IFERROR(__xludf.DUMMYFUNCTION("""COMPUTED_VALUE"""),"4")</f>
        <v>4</v>
      </c>
      <c r="F296" s="3" t="str">
        <f>IFERROR(__xludf.DUMMYFUNCTION("""COMPUTED_VALUE"""),"นพอ.กัญญณัช เดชธนาธันยกร")</f>
        <v>นพอ.กัญญณัช เดชธนาธันยกร</v>
      </c>
      <c r="G296" s="3" t="str">
        <f>IFERROR(__xludf.DUMMYFUNCTION("""COMPUTED_VALUE"""),"ช่วยเหลืองานภายใน วพอ.")</f>
        <v>ช่วยเหลืองานภายใน วพอ.</v>
      </c>
      <c r="H296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296" s="3" t="str">
        <f>IFERROR(__xludf.DUMMYFUNCTION("""COMPUTED_VALUE"""),"ห้องเรียน นพอ.ปี 1 ")</f>
        <v>ห้องเรียน นพอ.ปี 1 </v>
      </c>
      <c r="J296" s="12">
        <f>IFERROR(__xludf.DUMMYFUNCTION("""COMPUTED_VALUE"""),45987.0)</f>
        <v>45987</v>
      </c>
      <c r="K296" s="3" t="str">
        <f>IFERROR(__xludf.DUMMYFUNCTION("""COMPUTED_VALUE"""),"1000-1800")</f>
        <v>1000-1800</v>
      </c>
      <c r="L296" s="3">
        <f>IFERROR(__xludf.DUMMYFUNCTION("""COMPUTED_VALUE"""),8.0)</f>
        <v>8</v>
      </c>
      <c r="M296" s="3" t="str">
        <f>IFERROR(__xludf.DUMMYFUNCTION("""COMPUTED_VALUE"""),"ร.ท.เรวัติ วัชรสิทธิ์")</f>
        <v>ร.ท.เรวัติ วัชรสิทธิ์</v>
      </c>
      <c r="N296" s="14" t="str">
        <f>IFERROR(__xludf.DUMMYFUNCTION("""COMPUTED_VALUE"""),"https://lh5.googleusercontent.com/d/1M0petjnMtySxUsYKPg7U-CZ9GnZZxoGe")</f>
        <v>https://lh5.googleusercontent.com/d/1M0petjnMtySxUsYKPg7U-CZ9GnZZxoGe</v>
      </c>
      <c r="O296" s="14" t="str">
        <f>IFERROR(__xludf.DUMMYFUNCTION("""COMPUTED_VALUE"""),"https://drive.google.com/file/d/10FYAnYXvdKMzTucJXkQG9sznClUGf64h/view?usp=drivesdk")</f>
        <v>https://drive.google.com/file/d/10FYAnYXvdKMzTucJXkQG9sznClUGf64h/view?usp=drivesdk</v>
      </c>
    </row>
    <row r="297">
      <c r="A297" s="3">
        <f>IFERROR(__xludf.DUMMYFUNCTION("""COMPUTED_VALUE"""),780.0)</f>
        <v>780</v>
      </c>
      <c r="B297" s="11">
        <f>IFERROR(__xludf.DUMMYFUNCTION("""COMPUTED_VALUE"""),45991.836485949076)</f>
        <v>45991.83649</v>
      </c>
      <c r="C297" s="3" t="str">
        <f>IFERROR(__xludf.DUMMYFUNCTION("""COMPUTED_VALUE"""),"ชั้นปีที่ 2")</f>
        <v>ชั้นปีที่ 2</v>
      </c>
      <c r="D297" s="3" t="str">
        <f>IFERROR(__xludf.DUMMYFUNCTION("""COMPUTED_VALUE"""),"6703820")</f>
        <v>6703820</v>
      </c>
      <c r="E297" s="3" t="str">
        <f>IFERROR(__xludf.DUMMYFUNCTION("""COMPUTED_VALUE"""),"3")</f>
        <v>3</v>
      </c>
      <c r="F297" s="3" t="str">
        <f>IFERROR(__xludf.DUMMYFUNCTION("""COMPUTED_VALUE"""),"นพอ.กฤตพร พิทักษ์")</f>
        <v>นพอ.กฤตพร พิทักษ์</v>
      </c>
      <c r="G29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7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29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297" s="12">
        <f>IFERROR(__xludf.DUMMYFUNCTION("""COMPUTED_VALUE"""),45838.0)</f>
        <v>45838</v>
      </c>
      <c r="K297" s="3" t="str">
        <f>IFERROR(__xludf.DUMMYFUNCTION("""COMPUTED_VALUE"""),"1400-2200")</f>
        <v>1400-2200</v>
      </c>
      <c r="L297" s="3">
        <f>IFERROR(__xludf.DUMMYFUNCTION("""COMPUTED_VALUE"""),8.0)</f>
        <v>8</v>
      </c>
      <c r="M297" s="3" t="str">
        <f>IFERROR(__xludf.DUMMYFUNCTION("""COMPUTED_VALUE"""),"ร.อ.อนุชิต ทำจะดี")</f>
        <v>ร.อ.อนุชิต ทำจะดี</v>
      </c>
      <c r="N297" s="14" t="str">
        <f>IFERROR(__xludf.DUMMYFUNCTION("""COMPUTED_VALUE"""),"https://lh5.googleusercontent.com/d/1srjwiTW6Q6iQYA5AO3ospLGZYTOD0Vn_")</f>
        <v>https://lh5.googleusercontent.com/d/1srjwiTW6Q6iQYA5AO3ospLGZYTOD0Vn_</v>
      </c>
      <c r="O297" s="14" t="str">
        <f>IFERROR(__xludf.DUMMYFUNCTION("""COMPUTED_VALUE"""),"https://drive.google.com/file/d/1Q-8Tr5CZEtCaaoxDteGBmGtHWTOA5U2Y/view?usp=drivesdk")</f>
        <v>https://drive.google.com/file/d/1Q-8Tr5CZEtCaaoxDteGBmGtHWTOA5U2Y/view?usp=drivesdk</v>
      </c>
    </row>
    <row r="298">
      <c r="A298" s="3">
        <f>IFERROR(__xludf.DUMMYFUNCTION("""COMPUTED_VALUE"""),781.0)</f>
        <v>781</v>
      </c>
      <c r="B298" s="11">
        <f>IFERROR(__xludf.DUMMYFUNCTION("""COMPUTED_VALUE"""),45991.83737057871)</f>
        <v>45991.83737</v>
      </c>
      <c r="C298" s="3" t="str">
        <f>IFERROR(__xludf.DUMMYFUNCTION("""COMPUTED_VALUE"""),"ชั้นปีที่ 2")</f>
        <v>ชั้นปีที่ 2</v>
      </c>
      <c r="D298" s="3" t="str">
        <f>IFERROR(__xludf.DUMMYFUNCTION("""COMPUTED_VALUE"""),"6703866")</f>
        <v>6703866</v>
      </c>
      <c r="E298" s="3" t="str">
        <f>IFERROR(__xludf.DUMMYFUNCTION("""COMPUTED_VALUE"""),"48")</f>
        <v>48</v>
      </c>
      <c r="F298" s="3" t="str">
        <f>IFERROR(__xludf.DUMMYFUNCTION("""COMPUTED_VALUE"""),"นพอ.วนัชพร กันทะตา")</f>
        <v>นพอ.วนัชพร กันทะตา</v>
      </c>
      <c r="G29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8" s="3" t="str">
        <f>IFERROR(__xludf.DUMMYFUNCTION("""COMPUTED_VALUE"""),"ค่ายอบรมเยาวชน")</f>
        <v>ค่ายอบรมเยาวชน</v>
      </c>
      <c r="I298" s="3" t="str">
        <f>IFERROR(__xludf.DUMMYFUNCTION("""COMPUTED_VALUE"""),"โรงเรียนเทศบาล1 สถาวร จ.ชลบุรี")</f>
        <v>โรงเรียนเทศบาล1 สถาวร จ.ชลบุรี</v>
      </c>
      <c r="J298" s="12">
        <f>IFERROR(__xludf.DUMMYFUNCTION("""COMPUTED_VALUE"""),45884.0)</f>
        <v>45884</v>
      </c>
      <c r="K298" s="3" t="str">
        <f>IFERROR(__xludf.DUMMYFUNCTION("""COMPUTED_VALUE"""),"1800-2200")</f>
        <v>1800-2200</v>
      </c>
      <c r="L298" s="3">
        <f>IFERROR(__xludf.DUMMYFUNCTION("""COMPUTED_VALUE"""),4.0)</f>
        <v>4</v>
      </c>
      <c r="M298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298" s="14" t="str">
        <f>IFERROR(__xludf.DUMMYFUNCTION("""COMPUTED_VALUE"""),"https://lh5.googleusercontent.com/d/1IuVDCTIv_OeHrtdLl2tVRtXayaaciJXV")</f>
        <v>https://lh5.googleusercontent.com/d/1IuVDCTIv_OeHrtdLl2tVRtXayaaciJXV</v>
      </c>
      <c r="O298" s="14" t="str">
        <f>IFERROR(__xludf.DUMMYFUNCTION("""COMPUTED_VALUE"""),"https://drive.google.com/file/d/1-ggGh7rXCUvgYWnL49FKmp8RJhBq-i6f/view?usp=drivesdk")</f>
        <v>https://drive.google.com/file/d/1-ggGh7rXCUvgYWnL49FKmp8RJhBq-i6f/view?usp=drivesdk</v>
      </c>
    </row>
    <row r="299">
      <c r="A299" s="3">
        <f>IFERROR(__xludf.DUMMYFUNCTION("""COMPUTED_VALUE"""),782.0)</f>
        <v>782</v>
      </c>
      <c r="B299" s="11">
        <f>IFERROR(__xludf.DUMMYFUNCTION("""COMPUTED_VALUE"""),45991.83792547454)</f>
        <v>45991.83793</v>
      </c>
      <c r="C299" s="3" t="str">
        <f>IFERROR(__xludf.DUMMYFUNCTION("""COMPUTED_VALUE"""),"ชั้นปีที่ 2")</f>
        <v>ชั้นปีที่ 2</v>
      </c>
      <c r="D299" s="3" t="str">
        <f>IFERROR(__xludf.DUMMYFUNCTION("""COMPUTED_VALUE"""),"6703864")</f>
        <v>6703864</v>
      </c>
      <c r="E299" s="3" t="str">
        <f>IFERROR(__xludf.DUMMYFUNCTION("""COMPUTED_VALUE"""),"46")</f>
        <v>46</v>
      </c>
      <c r="F299" s="3" t="str">
        <f>IFERROR(__xludf.DUMMYFUNCTION("""COMPUTED_VALUE"""),"นพอ.รมิตา ธัยยาวัฒน์")</f>
        <v>นพอ.รมิตา ธัยยาวัฒน์</v>
      </c>
      <c r="G299" s="3" t="str">
        <f>IFERROR(__xludf.DUMMYFUNCTION("""COMPUTED_VALUE"""),"ช่วยเหลืองานภายใน วพอ.")</f>
        <v>ช่วยเหลืองานภายใน วพอ.</v>
      </c>
      <c r="H299" s="3" t="str">
        <f>IFERROR(__xludf.DUMMYFUNCTION("""COMPUTED_VALUE"""),"ซ้อมงานรับขวัญสวีแด68")</f>
        <v>ซ้อมงานรับขวัญสวีแด68</v>
      </c>
      <c r="I299" s="3" t="str">
        <f>IFERROR(__xludf.DUMMYFUNCTION("""COMPUTED_VALUE"""),"วพอ.พอ.")</f>
        <v>วพอ.พอ.</v>
      </c>
      <c r="J299" s="12">
        <f>IFERROR(__xludf.DUMMYFUNCTION("""COMPUTED_VALUE"""),45887.0)</f>
        <v>45887</v>
      </c>
      <c r="K299" s="3" t="str">
        <f>IFERROR(__xludf.DUMMYFUNCTION("""COMPUTED_VALUE"""),"1800-2000")</f>
        <v>1800-2000</v>
      </c>
      <c r="L299" s="3">
        <f>IFERROR(__xludf.DUMMYFUNCTION("""COMPUTED_VALUE"""),2.0)</f>
        <v>2</v>
      </c>
      <c r="M299" s="3" t="str">
        <f>IFERROR(__xludf.DUMMYFUNCTION("""COMPUTED_VALUE"""),"ร.อ.หญิง ขนัฏฐา นาดี")</f>
        <v>ร.อ.หญิง ขนัฏฐา นาดี</v>
      </c>
      <c r="N299" s="14" t="str">
        <f>IFERROR(__xludf.DUMMYFUNCTION("""COMPUTED_VALUE"""),"https://lh5.googleusercontent.com/d/1AtxGOvFDoXWajG5ivtkwg5ZM5oWGaHAM")</f>
        <v>https://lh5.googleusercontent.com/d/1AtxGOvFDoXWajG5ivtkwg5ZM5oWGaHAM</v>
      </c>
      <c r="O299" s="14" t="str">
        <f>IFERROR(__xludf.DUMMYFUNCTION("""COMPUTED_VALUE"""),"https://drive.google.com/file/d/17JeIF5264c831fgU6O1C-m8gf_XevHJj/view?usp=drivesdk")</f>
        <v>https://drive.google.com/file/d/17JeIF5264c831fgU6O1C-m8gf_XevHJj/view?usp=drivesdk</v>
      </c>
    </row>
    <row r="300">
      <c r="A300" s="3">
        <f>IFERROR(__xludf.DUMMYFUNCTION("""COMPUTED_VALUE"""),785.0)</f>
        <v>785</v>
      </c>
      <c r="B300" s="11">
        <f>IFERROR(__xludf.DUMMYFUNCTION("""COMPUTED_VALUE"""),45991.84016819445)</f>
        <v>45991.84017</v>
      </c>
      <c r="C300" s="3" t="str">
        <f>IFERROR(__xludf.DUMMYFUNCTION("""COMPUTED_VALUE"""),"ชั้นปีที่ 2")</f>
        <v>ชั้นปีที่ 2</v>
      </c>
      <c r="D300" s="3" t="str">
        <f>IFERROR(__xludf.DUMMYFUNCTION("""COMPUTED_VALUE"""),"6703821")</f>
        <v>6703821</v>
      </c>
      <c r="E300" s="3" t="str">
        <f>IFERROR(__xludf.DUMMYFUNCTION("""COMPUTED_VALUE"""),"4")</f>
        <v>4</v>
      </c>
      <c r="F300" s="3" t="str">
        <f>IFERROR(__xludf.DUMMYFUNCTION("""COMPUTED_VALUE"""),"นพอ.กัญญณัช เดชธนาธันยกร")</f>
        <v>นพอ.กัญญณัช เดชธนาธันยกร</v>
      </c>
      <c r="G30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00" s="3" t="str">
        <f>IFERROR(__xludf.DUMMYFUNCTION("""COMPUTED_VALUE"""),"ธารน้ำใจสู่ชายแดน")</f>
        <v>ธารน้ำใจสู่ชายแดน</v>
      </c>
      <c r="I300" s="3" t="str">
        <f>IFERROR(__xludf.DUMMYFUNCTION("""COMPUTED_VALUE"""),"โรงพยาบาลศรีสะเกษ")</f>
        <v>โรงพยาบาลศรีสะเกษ</v>
      </c>
      <c r="J300" s="12">
        <f>IFERROR(__xludf.DUMMYFUNCTION("""COMPUTED_VALUE"""),45862.0)</f>
        <v>45862</v>
      </c>
      <c r="K300" s="3" t="str">
        <f>IFERROR(__xludf.DUMMYFUNCTION("""COMPUTED_VALUE"""),"1600")</f>
        <v>1600</v>
      </c>
      <c r="L300" s="3">
        <f>IFERROR(__xludf.DUMMYFUNCTION("""COMPUTED_VALUE"""),8.0)</f>
        <v>8</v>
      </c>
      <c r="M300" s="3" t="str">
        <f>IFERROR(__xludf.DUMMYFUNCTION("""COMPUTED_VALUE"""),"นางสาวกัญญาภัทร เดชธนาธันยกร")</f>
        <v>นางสาวกัญญาภัทร เดชธนาธันยกร</v>
      </c>
      <c r="N300" s="14" t="str">
        <f>IFERROR(__xludf.DUMMYFUNCTION("""COMPUTED_VALUE"""),"https://lh5.googleusercontent.com/d/1P3NNSemaXQgsCGZp4XngLHtQYB6YB8vy")</f>
        <v>https://lh5.googleusercontent.com/d/1P3NNSemaXQgsCGZp4XngLHtQYB6YB8vy</v>
      </c>
      <c r="O300" s="14" t="str">
        <f>IFERROR(__xludf.DUMMYFUNCTION("""COMPUTED_VALUE"""),"https://drive.google.com/file/d/18AjUxmt9P9KRtTz9W3bih8LFBY7DikGl/view?usp=drivesdk")</f>
        <v>https://drive.google.com/file/d/18AjUxmt9P9KRtTz9W3bih8LFBY7DikGl/view?usp=drivesdk</v>
      </c>
    </row>
    <row r="301">
      <c r="A301" s="3">
        <f>IFERROR(__xludf.DUMMYFUNCTION("""COMPUTED_VALUE"""),786.0)</f>
        <v>786</v>
      </c>
      <c r="B301" s="11">
        <f>IFERROR(__xludf.DUMMYFUNCTION("""COMPUTED_VALUE"""),45991.84066502315)</f>
        <v>45991.84067</v>
      </c>
      <c r="C301" s="3" t="str">
        <f>IFERROR(__xludf.DUMMYFUNCTION("""COMPUTED_VALUE"""),"ชั้นปีที่ 2")</f>
        <v>ชั้นปีที่ 2</v>
      </c>
      <c r="D301" s="3" t="str">
        <f>IFERROR(__xludf.DUMMYFUNCTION("""COMPUTED_VALUE"""),"6703864")</f>
        <v>6703864</v>
      </c>
      <c r="E301" s="3" t="str">
        <f>IFERROR(__xludf.DUMMYFUNCTION("""COMPUTED_VALUE"""),"46")</f>
        <v>46</v>
      </c>
      <c r="F301" s="3" t="str">
        <f>IFERROR(__xludf.DUMMYFUNCTION("""COMPUTED_VALUE"""),"นพอ.รมิตา ธัยยาวัฒน์")</f>
        <v>นพอ.รมิตา ธัยยาวัฒน์</v>
      </c>
      <c r="G301" s="3" t="str">
        <f>IFERROR(__xludf.DUMMYFUNCTION("""COMPUTED_VALUE"""),"ช่วยเหลืองานภายใน วพอ.")</f>
        <v>ช่วยเหลืองานภายใน วพอ.</v>
      </c>
      <c r="H301" s="3" t="str">
        <f>IFERROR(__xludf.DUMMYFUNCTION("""COMPUTED_VALUE"""),"ซ้อมงานรับขวัญสวีแด68")</f>
        <v>ซ้อมงานรับขวัญสวีแด68</v>
      </c>
      <c r="I301" s="3" t="str">
        <f>IFERROR(__xludf.DUMMYFUNCTION("""COMPUTED_VALUE"""),"วพอ.พอ.")</f>
        <v>วพอ.พอ.</v>
      </c>
      <c r="J301" s="12">
        <f>IFERROR(__xludf.DUMMYFUNCTION("""COMPUTED_VALUE"""),45888.0)</f>
        <v>45888</v>
      </c>
      <c r="K301" s="3" t="str">
        <f>IFERROR(__xludf.DUMMYFUNCTION("""COMPUTED_VALUE"""),"1800-2000")</f>
        <v>1800-2000</v>
      </c>
      <c r="L301" s="3">
        <f>IFERROR(__xludf.DUMMYFUNCTION("""COMPUTED_VALUE"""),2.0)</f>
        <v>2</v>
      </c>
      <c r="M301" s="3" t="str">
        <f>IFERROR(__xludf.DUMMYFUNCTION("""COMPUTED_VALUE"""),"ร.อ.หญิง ขนัฏฐา นาดี")</f>
        <v>ร.อ.หญิง ขนัฏฐา นาดี</v>
      </c>
      <c r="N301" s="14" t="str">
        <f>IFERROR(__xludf.DUMMYFUNCTION("""COMPUTED_VALUE"""),"https://lh5.googleusercontent.com/d/1cabRnqiG0p6T2RuR3bvVUSN4WPXtfJb8")</f>
        <v>https://lh5.googleusercontent.com/d/1cabRnqiG0p6T2RuR3bvVUSN4WPXtfJb8</v>
      </c>
      <c r="O301" s="14" t="str">
        <f>IFERROR(__xludf.DUMMYFUNCTION("""COMPUTED_VALUE"""),"https://drive.google.com/file/d/1B2_rtxj9fW6aiFIb28zY6iARtvUcD_cG/view?usp=drivesdk")</f>
        <v>https://drive.google.com/file/d/1B2_rtxj9fW6aiFIb28zY6iARtvUcD_cG/view?usp=drivesdk</v>
      </c>
    </row>
    <row r="302">
      <c r="A302" s="3">
        <f>IFERROR(__xludf.DUMMYFUNCTION("""COMPUTED_VALUE"""),787.0)</f>
        <v>787</v>
      </c>
      <c r="B302" s="11">
        <f>IFERROR(__xludf.DUMMYFUNCTION("""COMPUTED_VALUE"""),45991.840862847224)</f>
        <v>45991.84086</v>
      </c>
      <c r="C302" s="3" t="str">
        <f>IFERROR(__xludf.DUMMYFUNCTION("""COMPUTED_VALUE"""),"ชั้นปีที่ 2")</f>
        <v>ชั้นปีที่ 2</v>
      </c>
      <c r="D302" s="3" t="str">
        <f>IFERROR(__xludf.DUMMYFUNCTION("""COMPUTED_VALUE"""),"6703866")</f>
        <v>6703866</v>
      </c>
      <c r="E302" s="3" t="str">
        <f>IFERROR(__xludf.DUMMYFUNCTION("""COMPUTED_VALUE"""),"48")</f>
        <v>48</v>
      </c>
      <c r="F302" s="3" t="str">
        <f>IFERROR(__xludf.DUMMYFUNCTION("""COMPUTED_VALUE"""),"นพอ.วนัชพร กันทะตา")</f>
        <v>นพอ.วนัชพร กันทะตา</v>
      </c>
      <c r="G30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2" s="3" t="str">
        <f>IFERROR(__xludf.DUMMYFUNCTION("""COMPUTED_VALUE"""),"ค่ายอบรมเยาวชน")</f>
        <v>ค่ายอบรมเยาวชน</v>
      </c>
      <c r="I302" s="3" t="str">
        <f>IFERROR(__xludf.DUMMYFUNCTION("""COMPUTED_VALUE"""),"โรงเรียนเทศบาล1 สถาวร จ.ชลบุรี")</f>
        <v>โรงเรียนเทศบาล1 สถาวร จ.ชลบุรี</v>
      </c>
      <c r="J302" s="12">
        <f>IFERROR(__xludf.DUMMYFUNCTION("""COMPUTED_VALUE"""),45885.0)</f>
        <v>45885</v>
      </c>
      <c r="K302" s="3" t="str">
        <f>IFERROR(__xludf.DUMMYFUNCTION("""COMPUTED_VALUE"""),"0800-1600")</f>
        <v>0800-1600</v>
      </c>
      <c r="L302" s="3">
        <f>IFERROR(__xludf.DUMMYFUNCTION("""COMPUTED_VALUE"""),8.0)</f>
        <v>8</v>
      </c>
      <c r="M302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2" s="14" t="str">
        <f>IFERROR(__xludf.DUMMYFUNCTION("""COMPUTED_VALUE"""),"https://lh5.googleusercontent.com/d/16OQjHZ-fNeqrUXeRsZ_weIcVlrkUw0NT")</f>
        <v>https://lh5.googleusercontent.com/d/16OQjHZ-fNeqrUXeRsZ_weIcVlrkUw0NT</v>
      </c>
      <c r="O302" s="14" t="str">
        <f>IFERROR(__xludf.DUMMYFUNCTION("""COMPUTED_VALUE"""),"https://drive.google.com/file/d/1vJ960eI-f5FmSi4IqeJZUldM29MyDEPJ/view?usp=drivesdk")</f>
        <v>https://drive.google.com/file/d/1vJ960eI-f5FmSi4IqeJZUldM29MyDEPJ/view?usp=drivesdk</v>
      </c>
    </row>
    <row r="303">
      <c r="A303" s="3">
        <f>IFERROR(__xludf.DUMMYFUNCTION("""COMPUTED_VALUE"""),789.0)</f>
        <v>789</v>
      </c>
      <c r="B303" s="11">
        <f>IFERROR(__xludf.DUMMYFUNCTION("""COMPUTED_VALUE"""),45991.84205916667)</f>
        <v>45991.84206</v>
      </c>
      <c r="C303" s="3" t="str">
        <f>IFERROR(__xludf.DUMMYFUNCTION("""COMPUTED_VALUE"""),"ชั้นปีที่ 2")</f>
        <v>ชั้นปีที่ 2</v>
      </c>
      <c r="D303" s="3" t="str">
        <f>IFERROR(__xludf.DUMMYFUNCTION("""COMPUTED_VALUE"""),"6703864")</f>
        <v>6703864</v>
      </c>
      <c r="E303" s="3" t="str">
        <f>IFERROR(__xludf.DUMMYFUNCTION("""COMPUTED_VALUE"""),"46")</f>
        <v>46</v>
      </c>
      <c r="F303" s="3" t="str">
        <f>IFERROR(__xludf.DUMMYFUNCTION("""COMPUTED_VALUE"""),"นพอ.รมิตา ธัยยาวัฒน์")</f>
        <v>นพอ.รมิตา ธัยยาวัฒน์</v>
      </c>
      <c r="G303" s="3" t="str">
        <f>IFERROR(__xludf.DUMMYFUNCTION("""COMPUTED_VALUE"""),"ช่วยเหลืองานภายใน วพอ.")</f>
        <v>ช่วยเหลืองานภายใน วพอ.</v>
      </c>
      <c r="H303" s="3" t="str">
        <f>IFERROR(__xludf.DUMMYFUNCTION("""COMPUTED_VALUE"""),"ซ้อมงานรับขวัญสวีแด68")</f>
        <v>ซ้อมงานรับขวัญสวีแด68</v>
      </c>
      <c r="I303" s="3" t="str">
        <f>IFERROR(__xludf.DUMMYFUNCTION("""COMPUTED_VALUE"""),"วพอ.พอ.")</f>
        <v>วพอ.พอ.</v>
      </c>
      <c r="J303" s="12">
        <f>IFERROR(__xludf.DUMMYFUNCTION("""COMPUTED_VALUE"""),45889.0)</f>
        <v>45889</v>
      </c>
      <c r="K303" s="3" t="str">
        <f>IFERROR(__xludf.DUMMYFUNCTION("""COMPUTED_VALUE"""),"1800-2000")</f>
        <v>1800-2000</v>
      </c>
      <c r="L303" s="3">
        <f>IFERROR(__xludf.DUMMYFUNCTION("""COMPUTED_VALUE"""),2.0)</f>
        <v>2</v>
      </c>
      <c r="M303" s="3" t="str">
        <f>IFERROR(__xludf.DUMMYFUNCTION("""COMPUTED_VALUE"""),"ร.อ.หญิง ขนัฏฐา นาดี")</f>
        <v>ร.อ.หญิง ขนัฏฐา นาดี</v>
      </c>
      <c r="N303" s="14" t="str">
        <f>IFERROR(__xludf.DUMMYFUNCTION("""COMPUTED_VALUE"""),"https://lh5.googleusercontent.com/d/19A4pYXk8fN4yQ8uwzmvn-XbVW9XW_-dc")</f>
        <v>https://lh5.googleusercontent.com/d/19A4pYXk8fN4yQ8uwzmvn-XbVW9XW_-dc</v>
      </c>
      <c r="O303" s="3"/>
    </row>
    <row r="304">
      <c r="A304" s="3">
        <f>IFERROR(__xludf.DUMMYFUNCTION("""COMPUTED_VALUE"""),791.0)</f>
        <v>791</v>
      </c>
      <c r="B304" s="11">
        <f>IFERROR(__xludf.DUMMYFUNCTION("""COMPUTED_VALUE"""),45991.84211873843)</f>
        <v>45991.84212</v>
      </c>
      <c r="C304" s="3" t="str">
        <f>IFERROR(__xludf.DUMMYFUNCTION("""COMPUTED_VALUE"""),"ชั้นปีที่ 2")</f>
        <v>ชั้นปีที่ 2</v>
      </c>
      <c r="D304" s="3" t="str">
        <f>IFERROR(__xludf.DUMMYFUNCTION("""COMPUTED_VALUE"""),"6703820")</f>
        <v>6703820</v>
      </c>
      <c r="E304" s="3" t="str">
        <f>IFERROR(__xludf.DUMMYFUNCTION("""COMPUTED_VALUE"""),"3")</f>
        <v>3</v>
      </c>
      <c r="F304" s="3" t="str">
        <f>IFERROR(__xludf.DUMMYFUNCTION("""COMPUTED_VALUE"""),"นพอ.กฤตพร  พิทักษ์")</f>
        <v>นพอ.กฤตพร  พิทักษ์</v>
      </c>
      <c r="G30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4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304" s="3" t="str">
        <f>IFERROR(__xludf.DUMMYFUNCTION("""COMPUTED_VALUE"""),"อุทยานการบินกองทัพอากาศ")</f>
        <v>อุทยานการบินกองทัพอากาศ</v>
      </c>
      <c r="J304" s="12">
        <f>IFERROR(__xludf.DUMMYFUNCTION("""COMPUTED_VALUE"""),45926.0)</f>
        <v>45926</v>
      </c>
      <c r="K304" s="3" t="str">
        <f>IFERROR(__xludf.DUMMYFUNCTION("""COMPUTED_VALUE"""),"1200-1600")</f>
        <v>1200-1600</v>
      </c>
      <c r="L304" s="3">
        <f>IFERROR(__xludf.DUMMYFUNCTION("""COMPUTED_VALUE"""),4.0)</f>
        <v>4</v>
      </c>
      <c r="M304" s="3" t="str">
        <f>IFERROR(__xludf.DUMMYFUNCTION("""COMPUTED_VALUE"""),"น.ท.หญิง สิรินันท์ ชูเชิด")</f>
        <v>น.ท.หญิง สิรินันท์ ชูเชิด</v>
      </c>
      <c r="N304" s="14" t="str">
        <f>IFERROR(__xludf.DUMMYFUNCTION("""COMPUTED_VALUE"""),"https://lh5.googleusercontent.com/d/1eBoFTEDJGKoJA3zu3snb2YRaM3CN5XV1")</f>
        <v>https://lh5.googleusercontent.com/d/1eBoFTEDJGKoJA3zu3snb2YRaM3CN5XV1</v>
      </c>
      <c r="O304" s="14" t="str">
        <f>IFERROR(__xludf.DUMMYFUNCTION("""COMPUTED_VALUE"""),"https://drive.google.com/file/d/1imc40xEVT8nbLM5HuusXMENX2Y0DLyWP/view?usp=drivesdk")</f>
        <v>https://drive.google.com/file/d/1imc40xEVT8nbLM5HuusXMENX2Y0DLyWP/view?usp=drivesdk</v>
      </c>
    </row>
    <row r="305">
      <c r="A305" s="3">
        <f>IFERROR(__xludf.DUMMYFUNCTION("""COMPUTED_VALUE"""),792.0)</f>
        <v>792</v>
      </c>
      <c r="B305" s="11">
        <f>IFERROR(__xludf.DUMMYFUNCTION("""COMPUTED_VALUE"""),45991.84355824075)</f>
        <v>45991.84356</v>
      </c>
      <c r="C305" s="3" t="str">
        <f>IFERROR(__xludf.DUMMYFUNCTION("""COMPUTED_VALUE"""),"ชั้นปีที่ 2")</f>
        <v>ชั้นปีที่ 2</v>
      </c>
      <c r="D305" s="3" t="str">
        <f>IFERROR(__xludf.DUMMYFUNCTION("""COMPUTED_VALUE"""),"6703818")</f>
        <v>6703818</v>
      </c>
      <c r="E305" s="3" t="str">
        <f>IFERROR(__xludf.DUMMYFUNCTION("""COMPUTED_VALUE"""),"1")</f>
        <v>1</v>
      </c>
      <c r="F305" s="3" t="str">
        <f>IFERROR(__xludf.DUMMYFUNCTION("""COMPUTED_VALUE"""),"นพอ.กนกวรรณ จิณเสน")</f>
        <v>นพอ.กนกวรรณ จิณเสน</v>
      </c>
      <c r="G30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5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305" s="3" t="str">
        <f>IFERROR(__xludf.DUMMYFUNCTION("""COMPUTED_VALUE"""),"อุทยานการบินกองทัพอากาศ")</f>
        <v>อุทยานการบินกองทัพอากาศ</v>
      </c>
      <c r="J305" s="12">
        <f>IFERROR(__xludf.DUMMYFUNCTION("""COMPUTED_VALUE"""),45926.0)</f>
        <v>45926</v>
      </c>
      <c r="K305" s="3" t="str">
        <f>IFERROR(__xludf.DUMMYFUNCTION("""COMPUTED_VALUE"""),"1200-1600")</f>
        <v>1200-1600</v>
      </c>
      <c r="L305" s="3">
        <f>IFERROR(__xludf.DUMMYFUNCTION("""COMPUTED_VALUE"""),4.0)</f>
        <v>4</v>
      </c>
      <c r="M305" s="3" t="str">
        <f>IFERROR(__xludf.DUMMYFUNCTION("""COMPUTED_VALUE"""),"น.ท.หญิง สิรินันท์ ชูเชิด")</f>
        <v>น.ท.หญิง สิรินันท์ ชูเชิด</v>
      </c>
      <c r="N305" s="14" t="str">
        <f>IFERROR(__xludf.DUMMYFUNCTION("""COMPUTED_VALUE"""),"https://lh5.googleusercontent.com/d/1lCvVNtvoQlxtpFoytLqBsXCkn2pSHGle")</f>
        <v>https://lh5.googleusercontent.com/d/1lCvVNtvoQlxtpFoytLqBsXCkn2pSHGle</v>
      </c>
      <c r="O305" s="14" t="str">
        <f>IFERROR(__xludf.DUMMYFUNCTION("""COMPUTED_VALUE"""),"https://drive.google.com/file/d/1Z6DifrnPkyckl2CqnMlVvsXjpOBxGPRM/view?usp=drivesdk")</f>
        <v>https://drive.google.com/file/d/1Z6DifrnPkyckl2CqnMlVvsXjpOBxGPRM/view?usp=drivesdk</v>
      </c>
    </row>
    <row r="306">
      <c r="A306" s="3">
        <f>IFERROR(__xludf.DUMMYFUNCTION("""COMPUTED_VALUE"""),793.0)</f>
        <v>793</v>
      </c>
      <c r="B306" s="11">
        <f>IFERROR(__xludf.DUMMYFUNCTION("""COMPUTED_VALUE"""),45991.84423747685)</f>
        <v>45991.84424</v>
      </c>
      <c r="C306" s="3" t="str">
        <f>IFERROR(__xludf.DUMMYFUNCTION("""COMPUTED_VALUE"""),"ชั้นปีที่ 2")</f>
        <v>ชั้นปีที่ 2</v>
      </c>
      <c r="D306" s="3" t="str">
        <f>IFERROR(__xludf.DUMMYFUNCTION("""COMPUTED_VALUE"""),"6703820")</f>
        <v>6703820</v>
      </c>
      <c r="E306" s="3" t="str">
        <f>IFERROR(__xludf.DUMMYFUNCTION("""COMPUTED_VALUE"""),"3")</f>
        <v>3</v>
      </c>
      <c r="F306" s="3" t="str">
        <f>IFERROR(__xludf.DUMMYFUNCTION("""COMPUTED_VALUE"""),"นพอ.กฤตพร พิทักษ์")</f>
        <v>นพอ.กฤตพร พิทักษ์</v>
      </c>
      <c r="G30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6" s="3" t="str">
        <f>IFERROR(__xludf.DUMMYFUNCTION("""COMPUTED_VALUE"""),"คอนเสิร์ตทัพฟ้าคู่ไทยเพื่อ“ชัยพัฒนา”ครั้งที่16")</f>
        <v>คอนเสิร์ตทัพฟ้าคู่ไทยเพื่อ“ชัยพัฒนา”ครั้งที่16</v>
      </c>
      <c r="I30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6" s="12">
        <f>IFERROR(__xludf.DUMMYFUNCTION("""COMPUTED_VALUE"""),45839.0)</f>
        <v>45839</v>
      </c>
      <c r="K306" s="3" t="str">
        <f>IFERROR(__xludf.DUMMYFUNCTION("""COMPUTED_VALUE"""),"1400-2200")</f>
        <v>1400-2200</v>
      </c>
      <c r="L306" s="3">
        <f>IFERROR(__xludf.DUMMYFUNCTION("""COMPUTED_VALUE"""),8.0)</f>
        <v>8</v>
      </c>
      <c r="M306" s="3" t="str">
        <f>IFERROR(__xludf.DUMMYFUNCTION("""COMPUTED_VALUE"""),"ร.อ.อนุชิต ทำจะดี")</f>
        <v>ร.อ.อนุชิต ทำจะดี</v>
      </c>
      <c r="N306" s="14" t="str">
        <f>IFERROR(__xludf.DUMMYFUNCTION("""COMPUTED_VALUE"""),"https://lh5.googleusercontent.com/d/17zl-gG1UwiqWcbKOT9hj7mdSf3QUy_gl")</f>
        <v>https://lh5.googleusercontent.com/d/17zl-gG1UwiqWcbKOT9hj7mdSf3QUy_gl</v>
      </c>
      <c r="O306" s="14" t="str">
        <f>IFERROR(__xludf.DUMMYFUNCTION("""COMPUTED_VALUE"""),"https://drive.google.com/file/d/1D7HObYAU6_oicz4FhrHVusHhUDypaCfi/view?usp=drivesdk")</f>
        <v>https://drive.google.com/file/d/1D7HObYAU6_oicz4FhrHVusHhUDypaCfi/view?usp=drivesdk</v>
      </c>
    </row>
    <row r="307">
      <c r="A307" s="3">
        <f>IFERROR(__xludf.DUMMYFUNCTION("""COMPUTED_VALUE"""),794.0)</f>
        <v>794</v>
      </c>
      <c r="B307" s="11">
        <f>IFERROR(__xludf.DUMMYFUNCTION("""COMPUTED_VALUE"""),45991.84496122686)</f>
        <v>45991.84496</v>
      </c>
      <c r="C307" s="3" t="str">
        <f>IFERROR(__xludf.DUMMYFUNCTION("""COMPUTED_VALUE"""),"ชั้นปีที่ 2")</f>
        <v>ชั้นปีที่ 2</v>
      </c>
      <c r="D307" s="3" t="str">
        <f>IFERROR(__xludf.DUMMYFUNCTION("""COMPUTED_VALUE"""),"6703866")</f>
        <v>6703866</v>
      </c>
      <c r="E307" s="3" t="str">
        <f>IFERROR(__xludf.DUMMYFUNCTION("""COMPUTED_VALUE"""),"48")</f>
        <v>48</v>
      </c>
      <c r="F307" s="3" t="str">
        <f>IFERROR(__xludf.DUMMYFUNCTION("""COMPUTED_VALUE"""),"นพอ.วนัชพร กันทะตา")</f>
        <v>นพอ.วนัชพร กันทะตา</v>
      </c>
      <c r="G3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7" s="3" t="str">
        <f>IFERROR(__xludf.DUMMYFUNCTION("""COMPUTED_VALUE"""),"ค่ายอบรมเยาวชน")</f>
        <v>ค่ายอบรมเยาวชน</v>
      </c>
      <c r="I307" s="3" t="str">
        <f>IFERROR(__xludf.DUMMYFUNCTION("""COMPUTED_VALUE"""),"โรงเรียนเทศบาล1 สถาวร จ.ชลบุรี")</f>
        <v>โรงเรียนเทศบาล1 สถาวร จ.ชลบุรี</v>
      </c>
      <c r="J307" s="12">
        <f>IFERROR(__xludf.DUMMYFUNCTION("""COMPUTED_VALUE"""),45886.0)</f>
        <v>45886</v>
      </c>
      <c r="K307" s="3" t="str">
        <f>IFERROR(__xludf.DUMMYFUNCTION("""COMPUTED_VALUE"""),"0800-1600")</f>
        <v>0800-1600</v>
      </c>
      <c r="L307" s="3">
        <f>IFERROR(__xludf.DUMMYFUNCTION("""COMPUTED_VALUE"""),8.0)</f>
        <v>8</v>
      </c>
      <c r="M307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07" s="14" t="str">
        <f>IFERROR(__xludf.DUMMYFUNCTION("""COMPUTED_VALUE"""),"https://lh5.googleusercontent.com/d/1CSp5CjvTwU6lAzn8RB4jb0nyKm7_nPSp")</f>
        <v>https://lh5.googleusercontent.com/d/1CSp5CjvTwU6lAzn8RB4jb0nyKm7_nPSp</v>
      </c>
      <c r="O307" s="14" t="str">
        <f>IFERROR(__xludf.DUMMYFUNCTION("""COMPUTED_VALUE"""),"https://drive.google.com/file/d/1DJ6pb-QzyalMVU1kt0PxzylSvhtXcd-X/view?usp=drivesdk")</f>
        <v>https://drive.google.com/file/d/1DJ6pb-QzyalMVU1kt0PxzylSvhtXcd-X/view?usp=drivesdk</v>
      </c>
    </row>
    <row r="308">
      <c r="A308" s="3">
        <f>IFERROR(__xludf.DUMMYFUNCTION("""COMPUTED_VALUE"""),795.0)</f>
        <v>795</v>
      </c>
      <c r="B308" s="11">
        <f>IFERROR(__xludf.DUMMYFUNCTION("""COMPUTED_VALUE"""),45991.845127106484)</f>
        <v>45991.84513</v>
      </c>
      <c r="C308" s="3" t="str">
        <f>IFERROR(__xludf.DUMMYFUNCTION("""COMPUTED_VALUE"""),"ชั้นปีที่ 2")</f>
        <v>ชั้นปีที่ 2</v>
      </c>
      <c r="D308" s="3" t="str">
        <f>IFERROR(__xludf.DUMMYFUNCTION("""COMPUTED_VALUE"""),"6703870")</f>
        <v>6703870</v>
      </c>
      <c r="E308" s="3" t="str">
        <f>IFERROR(__xludf.DUMMYFUNCTION("""COMPUTED_VALUE"""),"52")</f>
        <v>52</v>
      </c>
      <c r="F308" s="3" t="str">
        <f>IFERROR(__xludf.DUMMYFUNCTION("""COMPUTED_VALUE"""),"นพอ.วิมลสิริ สิงห์ธนะ")</f>
        <v>นพอ.วิมลสิริ สิงห์ธนะ</v>
      </c>
      <c r="G30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8" s="3" t="str">
        <f>IFERROR(__xludf.DUMMYFUNCTION("""COMPUTED_VALUE"""),"การแข่งขันกีฬานักเรียนแผนกรักบี้ฟุตบอล")</f>
        <v>การแข่งขันกีฬานักเรียนแผนกรักบี้ฟุตบอล</v>
      </c>
      <c r="I308" s="3" t="str">
        <f>IFERROR(__xludf.DUMMYFUNCTION("""COMPUTED_VALUE"""),"สนามกีฬาธูปะเตมีย์")</f>
        <v>สนามกีฬาธูปะเตมีย์</v>
      </c>
      <c r="J308" s="12">
        <f>IFERROR(__xludf.DUMMYFUNCTION("""COMPUTED_VALUE"""),45907.0)</f>
        <v>45907</v>
      </c>
      <c r="K308" s="3" t="str">
        <f>IFERROR(__xludf.DUMMYFUNCTION("""COMPUTED_VALUE"""),"1100-2000")</f>
        <v>1100-2000</v>
      </c>
      <c r="L308" s="3">
        <f>IFERROR(__xludf.DUMMYFUNCTION("""COMPUTED_VALUE"""),8.0)</f>
        <v>8</v>
      </c>
      <c r="M308" s="3" t="str">
        <f>IFERROR(__xludf.DUMMYFUNCTION("""COMPUTED_VALUE"""),"น.ท.หญิง อนุกูล บำรุงวงค์")</f>
        <v>น.ท.หญิง อนุกูล บำรุงวงค์</v>
      </c>
      <c r="N308" s="14" t="str">
        <f>IFERROR(__xludf.DUMMYFUNCTION("""COMPUTED_VALUE"""),"https://lh5.googleusercontent.com/d/1gsXcY6dYGh9esVPECtp_KeUwZGduGsKJ")</f>
        <v>https://lh5.googleusercontent.com/d/1gsXcY6dYGh9esVPECtp_KeUwZGduGsKJ</v>
      </c>
      <c r="O308" s="14" t="str">
        <f>IFERROR(__xludf.DUMMYFUNCTION("""COMPUTED_VALUE"""),"https://drive.google.com/file/d/11cGZn-hC467Dr7wB5JvmhYdB4tAEe6b_/view?usp=drivesdk")</f>
        <v>https://drive.google.com/file/d/11cGZn-hC467Dr7wB5JvmhYdB4tAEe6b_/view?usp=drivesdk</v>
      </c>
    </row>
    <row r="309">
      <c r="A309" s="3">
        <f>IFERROR(__xludf.DUMMYFUNCTION("""COMPUTED_VALUE"""),796.0)</f>
        <v>796</v>
      </c>
      <c r="B309" s="11">
        <f>IFERROR(__xludf.DUMMYFUNCTION("""COMPUTED_VALUE"""),45991.845391481475)</f>
        <v>45991.84539</v>
      </c>
      <c r="C309" s="3" t="str">
        <f>IFERROR(__xludf.DUMMYFUNCTION("""COMPUTED_VALUE"""),"ชั้นปีที่ 2")</f>
        <v>ชั้นปีที่ 2</v>
      </c>
      <c r="D309" s="3" t="str">
        <f>IFERROR(__xludf.DUMMYFUNCTION("""COMPUTED_VALUE"""),"6703821")</f>
        <v>6703821</v>
      </c>
      <c r="E309" s="3" t="str">
        <f>IFERROR(__xludf.DUMMYFUNCTION("""COMPUTED_VALUE"""),"4")</f>
        <v>4</v>
      </c>
      <c r="F309" s="3" t="str">
        <f>IFERROR(__xludf.DUMMYFUNCTION("""COMPUTED_VALUE"""),"นพอ.กัญญณัช เดชธนาธันยกร")</f>
        <v>นพอ.กัญญณัช เดชธนาธันยกร</v>
      </c>
      <c r="G30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09" s="3" t="str">
        <f>IFERROR(__xludf.DUMMYFUNCTION("""COMPUTED_VALUE"""),"คอนเสิร์ตทับฟ้าคู่ไทยเพื่อ “ชัยพัฒนา” ครั้งที่ 16")</f>
        <v>คอนเสิร์ตทับฟ้าคู่ไทยเพื่อ “ชัยพัฒนา” ครั้งที่ 16</v>
      </c>
      <c r="I30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09" s="12">
        <f>IFERROR(__xludf.DUMMYFUNCTION("""COMPUTED_VALUE"""),45839.0)</f>
        <v>45839</v>
      </c>
      <c r="K309" s="3" t="str">
        <f>IFERROR(__xludf.DUMMYFUNCTION("""COMPUTED_VALUE"""),"1400-2200")</f>
        <v>1400-2200</v>
      </c>
      <c r="L309" s="3">
        <f>IFERROR(__xludf.DUMMYFUNCTION("""COMPUTED_VALUE"""),8.0)</f>
        <v>8</v>
      </c>
      <c r="M309" s="3" t="str">
        <f>IFERROR(__xludf.DUMMYFUNCTION("""COMPUTED_VALUE"""),"ร.อ.อนุชิต ทำจะดี")</f>
        <v>ร.อ.อนุชิต ทำจะดี</v>
      </c>
      <c r="N309" s="14" t="str">
        <f>IFERROR(__xludf.DUMMYFUNCTION("""COMPUTED_VALUE"""),"https://lh5.googleusercontent.com/d/1_x0Ffc3Jo0_j67x2T3XZejAgkPdkfSmK")</f>
        <v>https://lh5.googleusercontent.com/d/1_x0Ffc3Jo0_j67x2T3XZejAgkPdkfSmK</v>
      </c>
      <c r="O309" s="14" t="str">
        <f>IFERROR(__xludf.DUMMYFUNCTION("""COMPUTED_VALUE"""),"https://drive.google.com/file/d/1dcpTf6jxEq5fZpeu1DOne37LwfbeCIZ0/view?usp=drivesdk")</f>
        <v>https://drive.google.com/file/d/1dcpTf6jxEq5fZpeu1DOne37LwfbeCIZ0/view?usp=drivesdk</v>
      </c>
    </row>
    <row r="310">
      <c r="A310" s="3">
        <f>IFERROR(__xludf.DUMMYFUNCTION("""COMPUTED_VALUE"""),798.0)</f>
        <v>798</v>
      </c>
      <c r="B310" s="11">
        <f>IFERROR(__xludf.DUMMYFUNCTION("""COMPUTED_VALUE"""),45991.845853819446)</f>
        <v>45991.84585</v>
      </c>
      <c r="C310" s="3" t="str">
        <f>IFERROR(__xludf.DUMMYFUNCTION("""COMPUTED_VALUE"""),"ชั้นปีที่ 2")</f>
        <v>ชั้นปีที่ 2</v>
      </c>
      <c r="D310" s="3" t="str">
        <f>IFERROR(__xludf.DUMMYFUNCTION("""COMPUTED_VALUE"""),"6703818")</f>
        <v>6703818</v>
      </c>
      <c r="E310" s="3" t="str">
        <f>IFERROR(__xludf.DUMMYFUNCTION("""COMPUTED_VALUE"""),"1")</f>
        <v>1</v>
      </c>
      <c r="F310" s="3" t="str">
        <f>IFERROR(__xludf.DUMMYFUNCTION("""COMPUTED_VALUE"""),"นพอ.กนกวรรณ จิณเสน")</f>
        <v>นพอ.กนกวรรณ จิณเสน</v>
      </c>
      <c r="G31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0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310" s="3" t="str">
        <f>IFERROR(__xludf.DUMMYFUNCTION("""COMPUTED_VALUE"""),"อุทยานการบินกองทัพอากาศ")</f>
        <v>อุทยานการบินกองทัพอากาศ</v>
      </c>
      <c r="J310" s="12">
        <f>IFERROR(__xludf.DUMMYFUNCTION("""COMPUTED_VALUE"""),45930.0)</f>
        <v>45930</v>
      </c>
      <c r="K310" s="3" t="str">
        <f>IFERROR(__xludf.DUMMYFUNCTION("""COMPUTED_VALUE"""),"1200-1600")</f>
        <v>1200-1600</v>
      </c>
      <c r="L310" s="3">
        <f>IFERROR(__xludf.DUMMYFUNCTION("""COMPUTED_VALUE"""),4.0)</f>
        <v>4</v>
      </c>
      <c r="M310" s="3" t="str">
        <f>IFERROR(__xludf.DUMMYFUNCTION("""COMPUTED_VALUE"""),"น.ท.หญิง สิรินันท์ ชูเชิด")</f>
        <v>น.ท.หญิง สิรินันท์ ชูเชิด</v>
      </c>
      <c r="N310" s="14" t="str">
        <f>IFERROR(__xludf.DUMMYFUNCTION("""COMPUTED_VALUE"""),"https://lh5.googleusercontent.com/d/1lRasfwUMkE3l_pjcMCbz7Vkt59T3xs55")</f>
        <v>https://lh5.googleusercontent.com/d/1lRasfwUMkE3l_pjcMCbz7Vkt59T3xs55</v>
      </c>
      <c r="O310" s="14" t="str">
        <f>IFERROR(__xludf.DUMMYFUNCTION("""COMPUTED_VALUE"""),"https://drive.google.com/file/d/1yB6OADO3bhvBh4jtYfv9pLEZHtYu1OHn/view?usp=drivesdk")</f>
        <v>https://drive.google.com/file/d/1yB6OADO3bhvBh4jtYfv9pLEZHtYu1OHn/view?usp=drivesdk</v>
      </c>
    </row>
    <row r="311">
      <c r="A311" s="3">
        <f>IFERROR(__xludf.DUMMYFUNCTION("""COMPUTED_VALUE"""),800.0)</f>
        <v>800</v>
      </c>
      <c r="B311" s="11">
        <f>IFERROR(__xludf.DUMMYFUNCTION("""COMPUTED_VALUE"""),45991.84850089121)</f>
        <v>45991.8485</v>
      </c>
      <c r="C311" s="3" t="str">
        <f>IFERROR(__xludf.DUMMYFUNCTION("""COMPUTED_VALUE"""),"ชั้นปีที่ 2")</f>
        <v>ชั้นปีที่ 2</v>
      </c>
      <c r="D311" s="3" t="str">
        <f>IFERROR(__xludf.DUMMYFUNCTION("""COMPUTED_VALUE"""),"6703864")</f>
        <v>6703864</v>
      </c>
      <c r="E311" s="3" t="str">
        <f>IFERROR(__xludf.DUMMYFUNCTION("""COMPUTED_VALUE"""),"46")</f>
        <v>46</v>
      </c>
      <c r="F311" s="3" t="str">
        <f>IFERROR(__xludf.DUMMYFUNCTION("""COMPUTED_VALUE"""),"นพอ.รมิตา ธัยยาวัฒน์")</f>
        <v>นพอ.รมิตา ธัยยาวัฒน์</v>
      </c>
      <c r="G311" s="3" t="str">
        <f>IFERROR(__xludf.DUMMYFUNCTION("""COMPUTED_VALUE"""),"ช่วยเหลืองานภายใน วพอ.")</f>
        <v>ช่วยเหลืองานภายใน วพอ.</v>
      </c>
      <c r="H311" s="3" t="str">
        <f>IFERROR(__xludf.DUMMYFUNCTION("""COMPUTED_VALUE"""),"ซ้อมงานรับขวัญสวีแด68")</f>
        <v>ซ้อมงานรับขวัญสวีแด68</v>
      </c>
      <c r="I311" s="3" t="str">
        <f>IFERROR(__xludf.DUMMYFUNCTION("""COMPUTED_VALUE"""),"วพอ.พอ.")</f>
        <v>วพอ.พอ.</v>
      </c>
      <c r="J311" s="12">
        <f>IFERROR(__xludf.DUMMYFUNCTION("""COMPUTED_VALUE"""),45889.0)</f>
        <v>45889</v>
      </c>
      <c r="K311" s="3" t="str">
        <f>IFERROR(__xludf.DUMMYFUNCTION("""COMPUTED_VALUE"""),"1800-2000")</f>
        <v>1800-2000</v>
      </c>
      <c r="L311" s="3">
        <f>IFERROR(__xludf.DUMMYFUNCTION("""COMPUTED_VALUE"""),2.0)</f>
        <v>2</v>
      </c>
      <c r="M311" s="3" t="str">
        <f>IFERROR(__xludf.DUMMYFUNCTION("""COMPUTED_VALUE"""),"ร.อ.หญิง ขนัฏฐา นาดี")</f>
        <v>ร.อ.หญิง ขนัฏฐา นาดี</v>
      </c>
      <c r="N311" s="14" t="str">
        <f>IFERROR(__xludf.DUMMYFUNCTION("""COMPUTED_VALUE"""),"https://lh5.googleusercontent.com/d/1ygajz8b5eU5gVcGEPr8gXIsmBU0oIgMf")</f>
        <v>https://lh5.googleusercontent.com/d/1ygajz8b5eU5gVcGEPr8gXIsmBU0oIgMf</v>
      </c>
      <c r="O311" s="14" t="str">
        <f>IFERROR(__xludf.DUMMYFUNCTION("""COMPUTED_VALUE"""),"https://drive.google.com/file/d/15IcUrN6JAepZYb7oHhfw4IpOVuR656ue/view?usp=drivesdk")</f>
        <v>https://drive.google.com/file/d/15IcUrN6JAepZYb7oHhfw4IpOVuR656ue/view?usp=drivesdk</v>
      </c>
    </row>
    <row r="312">
      <c r="A312" s="3">
        <f>IFERROR(__xludf.DUMMYFUNCTION("""COMPUTED_VALUE"""),801.0)</f>
        <v>801</v>
      </c>
      <c r="B312" s="11">
        <f>IFERROR(__xludf.DUMMYFUNCTION("""COMPUTED_VALUE"""),45991.84873989583)</f>
        <v>45991.84874</v>
      </c>
      <c r="C312" s="3" t="str">
        <f>IFERROR(__xludf.DUMMYFUNCTION("""COMPUTED_VALUE"""),"ชั้นปีที่ 2")</f>
        <v>ชั้นปีที่ 2</v>
      </c>
      <c r="D312" s="3" t="str">
        <f>IFERROR(__xludf.DUMMYFUNCTION("""COMPUTED_VALUE"""),"6703820")</f>
        <v>6703820</v>
      </c>
      <c r="E312" s="3" t="str">
        <f>IFERROR(__xludf.DUMMYFUNCTION("""COMPUTED_VALUE"""),"3")</f>
        <v>3</v>
      </c>
      <c r="F312" s="3" t="str">
        <f>IFERROR(__xludf.DUMMYFUNCTION("""COMPUTED_VALUE"""),"นพอ.กฤตพร พิทักษ์")</f>
        <v>นพอ.กฤตพร พิทักษ์</v>
      </c>
      <c r="G3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2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312" s="3" t="str">
        <f>IFERROR(__xludf.DUMMYFUNCTION("""COMPUTED_VALUE"""),"อุทยานการบินกองทัพอากาศ")</f>
        <v>อุทยานการบินกองทัพอากาศ</v>
      </c>
      <c r="J312" s="12">
        <f>IFERROR(__xludf.DUMMYFUNCTION("""COMPUTED_VALUE"""),45930.0)</f>
        <v>45930</v>
      </c>
      <c r="K312" s="3" t="str">
        <f>IFERROR(__xludf.DUMMYFUNCTION("""COMPUTED_VALUE"""),"1200-1600")</f>
        <v>1200-1600</v>
      </c>
      <c r="L312" s="3">
        <f>IFERROR(__xludf.DUMMYFUNCTION("""COMPUTED_VALUE"""),4.0)</f>
        <v>4</v>
      </c>
      <c r="M312" s="3" t="str">
        <f>IFERROR(__xludf.DUMMYFUNCTION("""COMPUTED_VALUE"""),"น.ท.หญิง สิรินันท์ ชูเชิด")</f>
        <v>น.ท.หญิง สิรินันท์ ชูเชิด</v>
      </c>
      <c r="N312" s="14" t="str">
        <f>IFERROR(__xludf.DUMMYFUNCTION("""COMPUTED_VALUE"""),"https://lh5.googleusercontent.com/d/1Bv7xHWlWN4xKx_Zf1o_EZOPamIgg6gNJ")</f>
        <v>https://lh5.googleusercontent.com/d/1Bv7xHWlWN4xKx_Zf1o_EZOPamIgg6gNJ</v>
      </c>
      <c r="O312" s="14" t="str">
        <f>IFERROR(__xludf.DUMMYFUNCTION("""COMPUTED_VALUE"""),"https://drive.google.com/file/d/16itpzjM9UssELcWIWWQ2KaY_9evm3OLh/view?usp=drivesdk")</f>
        <v>https://drive.google.com/file/d/16itpzjM9UssELcWIWWQ2KaY_9evm3OLh/view?usp=drivesdk</v>
      </c>
    </row>
    <row r="313">
      <c r="A313" s="3">
        <f>IFERROR(__xludf.DUMMYFUNCTION("""COMPUTED_VALUE"""),802.0)</f>
        <v>802</v>
      </c>
      <c r="B313" s="11">
        <f>IFERROR(__xludf.DUMMYFUNCTION("""COMPUTED_VALUE"""),45991.84946527778)</f>
        <v>45991.84947</v>
      </c>
      <c r="C313" s="3" t="str">
        <f>IFERROR(__xludf.DUMMYFUNCTION("""COMPUTED_VALUE"""),"ชั้นปีที่ 2")</f>
        <v>ชั้นปีที่ 2</v>
      </c>
      <c r="D313" s="3" t="str">
        <f>IFERROR(__xludf.DUMMYFUNCTION("""COMPUTED_VALUE"""),"6703818")</f>
        <v>6703818</v>
      </c>
      <c r="E313" s="3" t="str">
        <f>IFERROR(__xludf.DUMMYFUNCTION("""COMPUTED_VALUE"""),"1")</f>
        <v>1</v>
      </c>
      <c r="F313" s="3" t="str">
        <f>IFERROR(__xludf.DUMMYFUNCTION("""COMPUTED_VALUE"""),"นพอ.กนกวรรณ จิณเสน")</f>
        <v>นพอ.กนกวรรณ จิณเสน</v>
      </c>
      <c r="G31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3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13" s="3" t="str">
        <f>IFERROR(__xludf.DUMMYFUNCTION("""COMPUTED_VALUE"""),"ดุริยางค์ทหารอากาศ")</f>
        <v>ดุริยางค์ทหารอากาศ</v>
      </c>
      <c r="J313" s="12">
        <f>IFERROR(__xludf.DUMMYFUNCTION("""COMPUTED_VALUE"""),45825.0)</f>
        <v>45825</v>
      </c>
      <c r="K313" s="3" t="str">
        <f>IFERROR(__xludf.DUMMYFUNCTION("""COMPUTED_VALUE"""),"0800-1600")</f>
        <v>0800-1600</v>
      </c>
      <c r="L313" s="3">
        <f>IFERROR(__xludf.DUMMYFUNCTION("""COMPUTED_VALUE"""),8.0)</f>
        <v>8</v>
      </c>
      <c r="M313" s="3" t="str">
        <f>IFERROR(__xludf.DUMMYFUNCTION("""COMPUTED_VALUE"""),"ร.อ.อนุชิต ทำจะดี")</f>
        <v>ร.อ.อนุชิต ทำจะดี</v>
      </c>
      <c r="N313" s="14" t="str">
        <f>IFERROR(__xludf.DUMMYFUNCTION("""COMPUTED_VALUE"""),"https://lh5.googleusercontent.com/d/1BF5qfpmzExDKNVeAfNmIGrdIxL71zYWc")</f>
        <v>https://lh5.googleusercontent.com/d/1BF5qfpmzExDKNVeAfNmIGrdIxL71zYWc</v>
      </c>
      <c r="O313" s="3"/>
    </row>
    <row r="314">
      <c r="A314" s="3">
        <f>IFERROR(__xludf.DUMMYFUNCTION("""COMPUTED_VALUE"""),804.0)</f>
        <v>804</v>
      </c>
      <c r="B314" s="11">
        <f>IFERROR(__xludf.DUMMYFUNCTION("""COMPUTED_VALUE"""),45991.84965767361)</f>
        <v>45991.84966</v>
      </c>
      <c r="C314" s="3" t="str">
        <f>IFERROR(__xludf.DUMMYFUNCTION("""COMPUTED_VALUE"""),"ชั้นปีที่ 2")</f>
        <v>ชั้นปีที่ 2</v>
      </c>
      <c r="D314" s="3" t="str">
        <f>IFERROR(__xludf.DUMMYFUNCTION("""COMPUTED_VALUE"""),"6703866")</f>
        <v>6703866</v>
      </c>
      <c r="E314" s="3" t="str">
        <f>IFERROR(__xludf.DUMMYFUNCTION("""COMPUTED_VALUE"""),"48")</f>
        <v>48</v>
      </c>
      <c r="F314" s="3" t="str">
        <f>IFERROR(__xludf.DUMMYFUNCTION("""COMPUTED_VALUE"""),"นพอ.วนัชพร กันทะตา")</f>
        <v>นพอ.วนัชพร กันทะตา</v>
      </c>
      <c r="G314" s="3" t="str">
        <f>IFERROR(__xludf.DUMMYFUNCTION("""COMPUTED_VALUE"""),"ช่วยเหลืองานภายใน วพอ.")</f>
        <v>ช่วยเหลืองานภายใน วพอ.</v>
      </c>
      <c r="H314" s="3" t="str">
        <f>IFERROR(__xludf.DUMMYFUNCTION("""COMPUTED_VALUE"""),"ซ้อมงานรับขวัญสวีแด")</f>
        <v>ซ้อมงานรับขวัญสวีแด</v>
      </c>
      <c r="I314" s="3" t="str">
        <f>IFERROR(__xludf.DUMMYFUNCTION("""COMPUTED_VALUE"""),"วพอ.พอ.")</f>
        <v>วพอ.พอ.</v>
      </c>
      <c r="J314" s="12">
        <f>IFERROR(__xludf.DUMMYFUNCTION("""COMPUTED_VALUE"""),45887.0)</f>
        <v>45887</v>
      </c>
      <c r="K314" s="3" t="str">
        <f>IFERROR(__xludf.DUMMYFUNCTION("""COMPUTED_VALUE"""),"1800-2000")</f>
        <v>1800-2000</v>
      </c>
      <c r="L314" s="3">
        <f>IFERROR(__xludf.DUMMYFUNCTION("""COMPUTED_VALUE"""),2.0)</f>
        <v>2</v>
      </c>
      <c r="M314" s="3" t="str">
        <f>IFERROR(__xludf.DUMMYFUNCTION("""COMPUTED_VALUE"""),"ร.อ.หญิงขนัฏฐา นาดี")</f>
        <v>ร.อ.หญิงขนัฏฐา นาดี</v>
      </c>
      <c r="N314" s="14" t="str">
        <f>IFERROR(__xludf.DUMMYFUNCTION("""COMPUTED_VALUE"""),"https://lh5.googleusercontent.com/d/1WrN8xNdVcqrdZATIK3V3xYRJIWPU1rLL")</f>
        <v>https://lh5.googleusercontent.com/d/1WrN8xNdVcqrdZATIK3V3xYRJIWPU1rLL</v>
      </c>
      <c r="O314" s="14" t="str">
        <f>IFERROR(__xludf.DUMMYFUNCTION("""COMPUTED_VALUE"""),"https://drive.google.com/file/d/1diWJLr2ZgmqBCLB8gJQIAe5Vv7sUl_2D/view?usp=drivesdk")</f>
        <v>https://drive.google.com/file/d/1diWJLr2ZgmqBCLB8gJQIAe5Vv7sUl_2D/view?usp=drivesdk</v>
      </c>
    </row>
    <row r="315">
      <c r="A315" s="3">
        <f>IFERROR(__xludf.DUMMYFUNCTION("""COMPUTED_VALUE"""),805.0)</f>
        <v>805</v>
      </c>
      <c r="B315" s="11">
        <f>IFERROR(__xludf.DUMMYFUNCTION("""COMPUTED_VALUE"""),45991.84979721065)</f>
        <v>45991.8498</v>
      </c>
      <c r="C315" s="3" t="str">
        <f>IFERROR(__xludf.DUMMYFUNCTION("""COMPUTED_VALUE"""),"ชั้นปีที่ 2")</f>
        <v>ชั้นปีที่ 2</v>
      </c>
      <c r="D315" s="3" t="str">
        <f>IFERROR(__xludf.DUMMYFUNCTION("""COMPUTED_VALUE"""),"6703819")</f>
        <v>6703819</v>
      </c>
      <c r="E315" s="3" t="str">
        <f>IFERROR(__xludf.DUMMYFUNCTION("""COMPUTED_VALUE"""),"2")</f>
        <v>2</v>
      </c>
      <c r="F315" s="3" t="str">
        <f>IFERROR(__xludf.DUMMYFUNCTION("""COMPUTED_VALUE"""),"นพอ.กรณิศ เกษแก้ว")</f>
        <v>นพอ.กรณิศ เกษแก้ว</v>
      </c>
      <c r="G3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5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1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5" s="12">
        <f>IFERROR(__xludf.DUMMYFUNCTION("""COMPUTED_VALUE"""),45839.0)</f>
        <v>45839</v>
      </c>
      <c r="K315" s="3" t="str">
        <f>IFERROR(__xludf.DUMMYFUNCTION("""COMPUTED_VALUE"""),"1400-2200")</f>
        <v>1400-2200</v>
      </c>
      <c r="L315" s="3">
        <f>IFERROR(__xludf.DUMMYFUNCTION("""COMPUTED_VALUE"""),8.0)</f>
        <v>8</v>
      </c>
      <c r="M315" s="3" t="str">
        <f>IFERROR(__xludf.DUMMYFUNCTION("""COMPUTED_VALUE"""),"ร.อ.อนุชิต ทำจะดี")</f>
        <v>ร.อ.อนุชิต ทำจะดี</v>
      </c>
      <c r="N315" s="14" t="str">
        <f>IFERROR(__xludf.DUMMYFUNCTION("""COMPUTED_VALUE"""),"https://lh5.googleusercontent.com/d/1YmAUDyu_kiY3SHl1iZ8cmoiC6eBzv9Jm")</f>
        <v>https://lh5.googleusercontent.com/d/1YmAUDyu_kiY3SHl1iZ8cmoiC6eBzv9Jm</v>
      </c>
      <c r="O315" s="14" t="str">
        <f>IFERROR(__xludf.DUMMYFUNCTION("""COMPUTED_VALUE"""),"https://drive.google.com/file/d/1YdK-UGdT3byRx0Dx3YDnV9tuB83WLH-m/view?usp=drivesdk")</f>
        <v>https://drive.google.com/file/d/1YdK-UGdT3byRx0Dx3YDnV9tuB83WLH-m/view?usp=drivesdk</v>
      </c>
    </row>
    <row r="316">
      <c r="A316" s="3">
        <f>IFERROR(__xludf.DUMMYFUNCTION("""COMPUTED_VALUE"""),806.0)</f>
        <v>806</v>
      </c>
      <c r="B316" s="11">
        <f>IFERROR(__xludf.DUMMYFUNCTION("""COMPUTED_VALUE"""),45991.850106412036)</f>
        <v>45991.85011</v>
      </c>
      <c r="C316" s="3" t="str">
        <f>IFERROR(__xludf.DUMMYFUNCTION("""COMPUTED_VALUE"""),"ชั้นปีที่ 2")</f>
        <v>ชั้นปีที่ 2</v>
      </c>
      <c r="D316" s="3" t="str">
        <f>IFERROR(__xludf.DUMMYFUNCTION("""COMPUTED_VALUE"""),"6703821")</f>
        <v>6703821</v>
      </c>
      <c r="E316" s="3" t="str">
        <f>IFERROR(__xludf.DUMMYFUNCTION("""COMPUTED_VALUE"""),"4")</f>
        <v>4</v>
      </c>
      <c r="F316" s="3" t="str">
        <f>IFERROR(__xludf.DUMMYFUNCTION("""COMPUTED_VALUE"""),"นพอ.กัญญณัช เดชธนาธันยกร")</f>
        <v>นพอ.กัญญณัช เดชธนาธันยกร</v>
      </c>
      <c r="G3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16" s="3" t="str">
        <f>IFERROR(__xludf.DUMMYFUNCTION("""COMPUTED_VALUE"""),"คอนเสิร์ตทับฟ้าคู่ไทยเพื่อ “ชัยพัฒนา” ครั้งที่ 16")</f>
        <v>คอนเสิร์ตทับฟ้าคู่ไทยเพื่อ “ชัยพัฒนา” ครั้งที่ 16</v>
      </c>
      <c r="I316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16" s="12">
        <f>IFERROR(__xludf.DUMMYFUNCTION("""COMPUTED_VALUE"""),45963.0)</f>
        <v>45963</v>
      </c>
      <c r="K316" s="3" t="str">
        <f>IFERROR(__xludf.DUMMYFUNCTION("""COMPUTED_VALUE"""),"1400-2200")</f>
        <v>1400-2200</v>
      </c>
      <c r="L316" s="3">
        <f>IFERROR(__xludf.DUMMYFUNCTION("""COMPUTED_VALUE"""),8.0)</f>
        <v>8</v>
      </c>
      <c r="M316" s="3" t="str">
        <f>IFERROR(__xludf.DUMMYFUNCTION("""COMPUTED_VALUE"""),"ร.อ.อนุชิต ทำจะดี")</f>
        <v>ร.อ.อนุชิต ทำจะดี</v>
      </c>
      <c r="N316" s="14" t="str">
        <f>IFERROR(__xludf.DUMMYFUNCTION("""COMPUTED_VALUE"""),"https://lh5.googleusercontent.com/d/1gD96U3yUZTzvBl2nk-wZrNiSeFweIr_x")</f>
        <v>https://lh5.googleusercontent.com/d/1gD96U3yUZTzvBl2nk-wZrNiSeFweIr_x</v>
      </c>
      <c r="O316" s="14" t="str">
        <f>IFERROR(__xludf.DUMMYFUNCTION("""COMPUTED_VALUE"""),"https://drive.google.com/file/d/1WDAzDFaqZwqXR96OcZ38AM9QcYzV-NZq/view?usp=drivesdk")</f>
        <v>https://drive.google.com/file/d/1WDAzDFaqZwqXR96OcZ38AM9QcYzV-NZq/view?usp=drivesdk</v>
      </c>
    </row>
    <row r="317">
      <c r="A317" s="3">
        <f>IFERROR(__xludf.DUMMYFUNCTION("""COMPUTED_VALUE"""),809.0)</f>
        <v>809</v>
      </c>
      <c r="B317" s="11">
        <f>IFERROR(__xludf.DUMMYFUNCTION("""COMPUTED_VALUE"""),45991.85137038195)</f>
        <v>45991.85137</v>
      </c>
      <c r="C317" s="3" t="str">
        <f>IFERROR(__xludf.DUMMYFUNCTION("""COMPUTED_VALUE"""),"ชั้นปีที่ 2")</f>
        <v>ชั้นปีที่ 2</v>
      </c>
      <c r="D317" s="3" t="str">
        <f>IFERROR(__xludf.DUMMYFUNCTION("""COMPUTED_VALUE"""),"6703820")</f>
        <v>6703820</v>
      </c>
      <c r="E317" s="3" t="str">
        <f>IFERROR(__xludf.DUMMYFUNCTION("""COMPUTED_VALUE"""),"3")</f>
        <v>3</v>
      </c>
      <c r="F317" s="3" t="str">
        <f>IFERROR(__xludf.DUMMYFUNCTION("""COMPUTED_VALUE"""),"นพอ.กฤตพร พิทักษ์")</f>
        <v>นพอ.กฤตพร พิทักษ์</v>
      </c>
      <c r="G317" s="3" t="str">
        <f>IFERROR(__xludf.DUMMYFUNCTION("""COMPUTED_VALUE"""),"ช่วยเหลืองานภายใน วพอ.")</f>
        <v>ช่วยเหลืองานภายใน วพอ.</v>
      </c>
      <c r="H317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17" s="3" t="str">
        <f>IFERROR(__xludf.DUMMYFUNCTION("""COMPUTED_VALUE"""),"ห้องเรียน นพอ.ชั้นปีที่1")</f>
        <v>ห้องเรียน นพอ.ชั้นปีที่1</v>
      </c>
      <c r="J317" s="12">
        <f>IFERROR(__xludf.DUMMYFUNCTION("""COMPUTED_VALUE"""),45987.0)</f>
        <v>45987</v>
      </c>
      <c r="K317" s="3" t="str">
        <f>IFERROR(__xludf.DUMMYFUNCTION("""COMPUTED_VALUE"""),"1000-1800")</f>
        <v>1000-1800</v>
      </c>
      <c r="L317" s="3">
        <f>IFERROR(__xludf.DUMMYFUNCTION("""COMPUTED_VALUE"""),8.0)</f>
        <v>8</v>
      </c>
      <c r="M317" s="3" t="str">
        <f>IFERROR(__xludf.DUMMYFUNCTION("""COMPUTED_VALUE"""),"ร.ท.เรวัติ วัชรสิทธิ์")</f>
        <v>ร.ท.เรวัติ วัชรสิทธิ์</v>
      </c>
      <c r="N317" s="14" t="str">
        <f>IFERROR(__xludf.DUMMYFUNCTION("""COMPUTED_VALUE"""),"https://lh5.googleusercontent.com/d/1kGBgj1scfyj1yIz0f6jHGA0YtFobuc3X")</f>
        <v>https://lh5.googleusercontent.com/d/1kGBgj1scfyj1yIz0f6jHGA0YtFobuc3X</v>
      </c>
      <c r="O317" s="14" t="str">
        <f>IFERROR(__xludf.DUMMYFUNCTION("""COMPUTED_VALUE"""),"https://drive.google.com/file/d/11phOy7NhGZjo-GN0OAKgH6j8c-zHVR4W/view?usp=drivesdk")</f>
        <v>https://drive.google.com/file/d/11phOy7NhGZjo-GN0OAKgH6j8c-zHVR4W/view?usp=drivesdk</v>
      </c>
    </row>
    <row r="318">
      <c r="A318" s="3">
        <f>IFERROR(__xludf.DUMMYFUNCTION("""COMPUTED_VALUE"""),810.0)</f>
        <v>810</v>
      </c>
      <c r="B318" s="11">
        <f>IFERROR(__xludf.DUMMYFUNCTION("""COMPUTED_VALUE"""),45991.852109872685)</f>
        <v>45991.85211</v>
      </c>
      <c r="C318" s="3" t="str">
        <f>IFERROR(__xludf.DUMMYFUNCTION("""COMPUTED_VALUE"""),"ชั้นปีที่ 2")</f>
        <v>ชั้นปีที่ 2</v>
      </c>
      <c r="D318" s="3" t="str">
        <f>IFERROR(__xludf.DUMMYFUNCTION("""COMPUTED_VALUE"""),"6703850")</f>
        <v>6703850</v>
      </c>
      <c r="E318" s="3" t="str">
        <f>IFERROR(__xludf.DUMMYFUNCTION("""COMPUTED_VALUE"""),"32")</f>
        <v>32</v>
      </c>
      <c r="F318" s="3" t="str">
        <f>IFERROR(__xludf.DUMMYFUNCTION("""COMPUTED_VALUE"""),"นพอ.ประริชญา ประสิทธิ์พรม")</f>
        <v>นพอ.ประริชญา ประสิทธิ์พรม</v>
      </c>
      <c r="G318" s="3" t="str">
        <f>IFERROR(__xludf.DUMMYFUNCTION("""COMPUTED_VALUE"""),"ช่วยเหลืองานภายใน วพอ.")</f>
        <v>ช่วยเหลืองานภายใน วพอ.</v>
      </c>
      <c r="H318" s="3" t="str">
        <f>IFERROR(__xludf.DUMMYFUNCTION("""COMPUTED_VALUE"""),"ช่วยงานห้องปฏิบัติการพยาบาล")</f>
        <v>ช่วยงานห้องปฏิบัติการพยาบาล</v>
      </c>
      <c r="I318" s="3" t="str">
        <f>IFERROR(__xludf.DUMMYFUNCTION("""COMPUTED_VALUE"""),"ห้องปฏิบัติการพยาบาล")</f>
        <v>ห้องปฏิบัติการพยาบาล</v>
      </c>
      <c r="J318" s="12">
        <f>IFERROR(__xludf.DUMMYFUNCTION("""COMPUTED_VALUE"""),45989.0)</f>
        <v>45989</v>
      </c>
      <c r="K318" s="3" t="str">
        <f>IFERROR(__xludf.DUMMYFUNCTION("""COMPUTED_VALUE"""),"1000-1200")</f>
        <v>1000-1200</v>
      </c>
      <c r="L318" s="3">
        <f>IFERROR(__xludf.DUMMYFUNCTION("""COMPUTED_VALUE"""),2.0)</f>
        <v>2</v>
      </c>
      <c r="M318" s="3" t="str">
        <f>IFERROR(__xludf.DUMMYFUNCTION("""COMPUTED_VALUE"""),"น.ต.ศักชัย บุญประสิทธิ์")</f>
        <v>น.ต.ศักชัย บุญประสิทธิ์</v>
      </c>
      <c r="N318" s="14" t="str">
        <f>IFERROR(__xludf.DUMMYFUNCTION("""COMPUTED_VALUE"""),"https://lh5.googleusercontent.com/d/1jMKN5zNDsp_uMzcagb4dhjraE4uI1H-P")</f>
        <v>https://lh5.googleusercontent.com/d/1jMKN5zNDsp_uMzcagb4dhjraE4uI1H-P</v>
      </c>
      <c r="O318" s="14" t="str">
        <f>IFERROR(__xludf.DUMMYFUNCTION("""COMPUTED_VALUE"""),"https://drive.google.com/file/d/1TwtXaab7J_aqot6JDXepXbHAt9rFl4A4/view?usp=drivesdk")</f>
        <v>https://drive.google.com/file/d/1TwtXaab7J_aqot6JDXepXbHAt9rFl4A4/view?usp=drivesdk</v>
      </c>
    </row>
    <row r="319">
      <c r="A319" s="3">
        <f>IFERROR(__xludf.DUMMYFUNCTION("""COMPUTED_VALUE"""),811.0)</f>
        <v>811</v>
      </c>
      <c r="B319" s="11">
        <f>IFERROR(__xludf.DUMMYFUNCTION("""COMPUTED_VALUE"""),45991.852568159724)</f>
        <v>45991.85257</v>
      </c>
      <c r="C319" s="3" t="str">
        <f>IFERROR(__xludf.DUMMYFUNCTION("""COMPUTED_VALUE"""),"ชั้นปีที่ 2")</f>
        <v>ชั้นปีที่ 2</v>
      </c>
      <c r="D319" s="3" t="str">
        <f>IFERROR(__xludf.DUMMYFUNCTION("""COMPUTED_VALUE"""),"6703866")</f>
        <v>6703866</v>
      </c>
      <c r="E319" s="3" t="str">
        <f>IFERROR(__xludf.DUMMYFUNCTION("""COMPUTED_VALUE"""),"48")</f>
        <v>48</v>
      </c>
      <c r="F319" s="3" t="str">
        <f>IFERROR(__xludf.DUMMYFUNCTION("""COMPUTED_VALUE"""),"นพอ.วนัชพร กันทะตา")</f>
        <v>นพอ.วนัชพร กันทะตา</v>
      </c>
      <c r="G319" s="3" t="str">
        <f>IFERROR(__xludf.DUMMYFUNCTION("""COMPUTED_VALUE"""),"ช่วยเหลืองานภายใน วพอ.")</f>
        <v>ช่วยเหลืองานภายใน วพอ.</v>
      </c>
      <c r="H319" s="3" t="str">
        <f>IFERROR(__xludf.DUMMYFUNCTION("""COMPUTED_VALUE"""),"ซ้องงานรับขวัญสวีแด")</f>
        <v>ซ้องงานรับขวัญสวีแด</v>
      </c>
      <c r="I319" s="3" t="str">
        <f>IFERROR(__xludf.DUMMYFUNCTION("""COMPUTED_VALUE"""),"วพอ.พอ.")</f>
        <v>วพอ.พอ.</v>
      </c>
      <c r="J319" s="12">
        <f>IFERROR(__xludf.DUMMYFUNCTION("""COMPUTED_VALUE"""),45888.0)</f>
        <v>45888</v>
      </c>
      <c r="K319" s="3" t="str">
        <f>IFERROR(__xludf.DUMMYFUNCTION("""COMPUTED_VALUE"""),"1800-2000")</f>
        <v>1800-2000</v>
      </c>
      <c r="L319" s="3">
        <f>IFERROR(__xludf.DUMMYFUNCTION("""COMPUTED_VALUE"""),2.0)</f>
        <v>2</v>
      </c>
      <c r="M319" s="3" t="str">
        <f>IFERROR(__xludf.DUMMYFUNCTION("""COMPUTED_VALUE"""),"ร.อ.หญิงขนัฏฐา นาดี")</f>
        <v>ร.อ.หญิงขนัฏฐา นาดี</v>
      </c>
      <c r="N319" s="14" t="str">
        <f>IFERROR(__xludf.DUMMYFUNCTION("""COMPUTED_VALUE"""),"https://lh5.googleusercontent.com/d/10vpIOAIOm45nCy15NjsnK-PkSdoDns07")</f>
        <v>https://lh5.googleusercontent.com/d/10vpIOAIOm45nCy15NjsnK-PkSdoDns07</v>
      </c>
      <c r="O319" s="14" t="str">
        <f>IFERROR(__xludf.DUMMYFUNCTION("""COMPUTED_VALUE"""),"https://drive.google.com/file/d/1E7gery72OUCFC_iTtll6vFTbpE2qN7no/view?usp=drivesdk")</f>
        <v>https://drive.google.com/file/d/1E7gery72OUCFC_iTtll6vFTbpE2qN7no/view?usp=drivesdk</v>
      </c>
    </row>
    <row r="320">
      <c r="A320" s="3">
        <f>IFERROR(__xludf.DUMMYFUNCTION("""COMPUTED_VALUE"""),812.0)</f>
        <v>812</v>
      </c>
      <c r="B320" s="11">
        <f>IFERROR(__xludf.DUMMYFUNCTION("""COMPUTED_VALUE"""),45991.853155069446)</f>
        <v>45991.85316</v>
      </c>
      <c r="C320" s="3" t="str">
        <f>IFERROR(__xludf.DUMMYFUNCTION("""COMPUTED_VALUE"""),"ชั้นปีที่ 2")</f>
        <v>ชั้นปีที่ 2</v>
      </c>
      <c r="D320" s="3" t="str">
        <f>IFERROR(__xludf.DUMMYFUNCTION("""COMPUTED_VALUE"""),"670819")</f>
        <v>670819</v>
      </c>
      <c r="E320" s="3" t="str">
        <f>IFERROR(__xludf.DUMMYFUNCTION("""COMPUTED_VALUE"""),"2")</f>
        <v>2</v>
      </c>
      <c r="F320" s="3" t="str">
        <f>IFERROR(__xludf.DUMMYFUNCTION("""COMPUTED_VALUE"""),"นพอ.กรณิศ เกษแก้ว")</f>
        <v>นพอ.กรณิศ เกษแก้ว</v>
      </c>
      <c r="G32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0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2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0" s="12">
        <f>IFERROR(__xludf.DUMMYFUNCTION("""COMPUTED_VALUE"""),45840.0)</f>
        <v>45840</v>
      </c>
      <c r="K320" s="3" t="str">
        <f>IFERROR(__xludf.DUMMYFUNCTION("""COMPUTED_VALUE"""),"1400-200")</f>
        <v>1400-200</v>
      </c>
      <c r="L320" s="3">
        <f>IFERROR(__xludf.DUMMYFUNCTION("""COMPUTED_VALUE"""),8.0)</f>
        <v>8</v>
      </c>
      <c r="M320" s="3" t="str">
        <f>IFERROR(__xludf.DUMMYFUNCTION("""COMPUTED_VALUE"""),"ร.อ.อนุชิต ทำจะดี")</f>
        <v>ร.อ.อนุชิต ทำจะดี</v>
      </c>
      <c r="N320" s="14" t="str">
        <f>IFERROR(__xludf.DUMMYFUNCTION("""COMPUTED_VALUE"""),"https://lh5.googleusercontent.com/d/1O_TXeRv0upxrhcNHcy5EtlqI8Y3Dmax9")</f>
        <v>https://lh5.googleusercontent.com/d/1O_TXeRv0upxrhcNHcy5EtlqI8Y3Dmax9</v>
      </c>
      <c r="O320" s="14" t="str">
        <f>IFERROR(__xludf.DUMMYFUNCTION("""COMPUTED_VALUE"""),"https://drive.google.com/file/d/1FBoEbUfi91seGLCCj8QHJfpIS-FVHjX3/view?usp=drivesdk")</f>
        <v>https://drive.google.com/file/d/1FBoEbUfi91seGLCCj8QHJfpIS-FVHjX3/view?usp=drivesdk</v>
      </c>
    </row>
    <row r="321">
      <c r="A321" s="3">
        <f>IFERROR(__xludf.DUMMYFUNCTION("""COMPUTED_VALUE"""),814.0)</f>
        <v>814</v>
      </c>
      <c r="B321" s="11">
        <f>IFERROR(__xludf.DUMMYFUNCTION("""COMPUTED_VALUE"""),45991.8544725463)</f>
        <v>45991.85447</v>
      </c>
      <c r="C321" s="3" t="str">
        <f>IFERROR(__xludf.DUMMYFUNCTION("""COMPUTED_VALUE"""),"ชั้นปีที่ 2")</f>
        <v>ชั้นปีที่ 2</v>
      </c>
      <c r="D321" s="3" t="str">
        <f>IFERROR(__xludf.DUMMYFUNCTION("""COMPUTED_VALUE"""),"6703818")</f>
        <v>6703818</v>
      </c>
      <c r="E321" s="3" t="str">
        <f>IFERROR(__xludf.DUMMYFUNCTION("""COMPUTED_VALUE"""),"1")</f>
        <v>1</v>
      </c>
      <c r="F321" s="3" t="str">
        <f>IFERROR(__xludf.DUMMYFUNCTION("""COMPUTED_VALUE"""),"นพอ.กนกวรรณ จิณเสน")</f>
        <v>นพอ.กนกวรรณ จิณเสน</v>
      </c>
      <c r="G32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1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21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1" s="12">
        <f>IFERROR(__xludf.DUMMYFUNCTION("""COMPUTED_VALUE"""),45838.0)</f>
        <v>45838</v>
      </c>
      <c r="K321" s="3" t="str">
        <f>IFERROR(__xludf.DUMMYFUNCTION("""COMPUTED_VALUE"""),"1400-2200")</f>
        <v>1400-2200</v>
      </c>
      <c r="L321" s="3">
        <f>IFERROR(__xludf.DUMMYFUNCTION("""COMPUTED_VALUE"""),8.0)</f>
        <v>8</v>
      </c>
      <c r="M321" s="3" t="str">
        <f>IFERROR(__xludf.DUMMYFUNCTION("""COMPUTED_VALUE"""),"ร.อ.อนุชิต ทำจะดี")</f>
        <v>ร.อ.อนุชิต ทำจะดี</v>
      </c>
      <c r="N321" s="14" t="str">
        <f>IFERROR(__xludf.DUMMYFUNCTION("""COMPUTED_VALUE"""),"https://lh5.googleusercontent.com/d/1K-IqZNSjhofYwa78g7noiYr0MTvqajyl")</f>
        <v>https://lh5.googleusercontent.com/d/1K-IqZNSjhofYwa78g7noiYr0MTvqajyl</v>
      </c>
      <c r="O321" s="14" t="str">
        <f>IFERROR(__xludf.DUMMYFUNCTION("""COMPUTED_VALUE"""),"https://drive.google.com/file/d/1vyplKbyS9S30zcdE8fbUWdQTZWPesK8w/view?usp=drivesdk")</f>
        <v>https://drive.google.com/file/d/1vyplKbyS9S30zcdE8fbUWdQTZWPesK8w/view?usp=drivesdk</v>
      </c>
    </row>
    <row r="322">
      <c r="A322" s="3">
        <f>IFERROR(__xludf.DUMMYFUNCTION("""COMPUTED_VALUE"""),815.0)</f>
        <v>815</v>
      </c>
      <c r="B322" s="11">
        <f>IFERROR(__xludf.DUMMYFUNCTION("""COMPUTED_VALUE"""),45991.85470871528)</f>
        <v>45991.85471</v>
      </c>
      <c r="C322" s="3" t="str">
        <f>IFERROR(__xludf.DUMMYFUNCTION("""COMPUTED_VALUE"""),"ชั้นปีที่ 2")</f>
        <v>ชั้นปีที่ 2</v>
      </c>
      <c r="D322" s="3" t="str">
        <f>IFERROR(__xludf.DUMMYFUNCTION("""COMPUTED_VALUE"""),"6703832")</f>
        <v>6703832</v>
      </c>
      <c r="E322" s="3" t="str">
        <f>IFERROR(__xludf.DUMMYFUNCTION("""COMPUTED_VALUE"""),"15")</f>
        <v>15</v>
      </c>
      <c r="F322" s="3" t="str">
        <f>IFERROR(__xludf.DUMMYFUNCTION("""COMPUTED_VALUE"""),"นพอ. ญาตาวี บุญภิละ")</f>
        <v>นพอ. ญาตาวี บุญภิละ</v>
      </c>
      <c r="G322" s="3" t="str">
        <f>IFERROR(__xludf.DUMMYFUNCTION("""COMPUTED_VALUE"""),"ช่วยเหลืองานภายใน วพอ.")</f>
        <v>ช่วยเหลืองานภายใน วพอ.</v>
      </c>
      <c r="H322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22" s="3" t="str">
        <f>IFERROR(__xludf.DUMMYFUNCTION("""COMPUTED_VALUE"""),"วิทยาลัยพยาบาลทหารอากาศ")</f>
        <v>วิทยาลัยพยาบาลทหารอากาศ</v>
      </c>
      <c r="J322" s="12">
        <f>IFERROR(__xludf.DUMMYFUNCTION("""COMPUTED_VALUE"""),45987.0)</f>
        <v>45987</v>
      </c>
      <c r="K322" s="3" t="str">
        <f>IFERROR(__xludf.DUMMYFUNCTION("""COMPUTED_VALUE"""),"1000-1800")</f>
        <v>1000-1800</v>
      </c>
      <c r="L322" s="3">
        <f>IFERROR(__xludf.DUMMYFUNCTION("""COMPUTED_VALUE"""),8.0)</f>
        <v>8</v>
      </c>
      <c r="M322" s="3" t="str">
        <f>IFERROR(__xludf.DUMMYFUNCTION("""COMPUTED_VALUE"""),"ร.ท. เรวัติ วัชรสิทธิ์")</f>
        <v>ร.ท. เรวัติ วัชรสิทธิ์</v>
      </c>
      <c r="N322" s="14" t="str">
        <f>IFERROR(__xludf.DUMMYFUNCTION("""COMPUTED_VALUE"""),"https://lh5.googleusercontent.com/d/1--y_0WikxCLbQwPPp0kNg8gSYsUveoLj")</f>
        <v>https://lh5.googleusercontent.com/d/1--y_0WikxCLbQwPPp0kNg8gSYsUveoLj</v>
      </c>
      <c r="O322" s="14" t="str">
        <f>IFERROR(__xludf.DUMMYFUNCTION("""COMPUTED_VALUE"""),"https://drive.google.com/file/d/1Jh3S8OD7b2bwT7JujeJrTuI1z41yu7pG/view?usp=drivesdk")</f>
        <v>https://drive.google.com/file/d/1Jh3S8OD7b2bwT7JujeJrTuI1z41yu7pG/view?usp=drivesdk</v>
      </c>
    </row>
    <row r="323">
      <c r="A323" s="3">
        <f>IFERROR(__xludf.DUMMYFUNCTION("""COMPUTED_VALUE"""),816.0)</f>
        <v>816</v>
      </c>
      <c r="B323" s="11">
        <f>IFERROR(__xludf.DUMMYFUNCTION("""COMPUTED_VALUE"""),45991.855300682866)</f>
        <v>45991.8553</v>
      </c>
      <c r="C323" s="3" t="str">
        <f>IFERROR(__xludf.DUMMYFUNCTION("""COMPUTED_VALUE"""),"ชั้นปีที่ 2")</f>
        <v>ชั้นปีที่ 2</v>
      </c>
      <c r="D323" s="3" t="str">
        <f>IFERROR(__xludf.DUMMYFUNCTION("""COMPUTED_VALUE"""),"6703819")</f>
        <v>6703819</v>
      </c>
      <c r="E323" s="3" t="str">
        <f>IFERROR(__xludf.DUMMYFUNCTION("""COMPUTED_VALUE"""),"2")</f>
        <v>2</v>
      </c>
      <c r="F323" s="3" t="str">
        <f>IFERROR(__xludf.DUMMYFUNCTION("""COMPUTED_VALUE"""),"นพอ.กรณิศ เกษแก้ว")</f>
        <v>นพอ.กรณิศ เกษแก้ว</v>
      </c>
      <c r="G3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3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2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3" s="12">
        <f>IFERROR(__xludf.DUMMYFUNCTION("""COMPUTED_VALUE"""),45840.0)</f>
        <v>45840</v>
      </c>
      <c r="K323" s="3" t="str">
        <f>IFERROR(__xludf.DUMMYFUNCTION("""COMPUTED_VALUE"""),"1400-2200")</f>
        <v>1400-2200</v>
      </c>
      <c r="L323" s="3">
        <f>IFERROR(__xludf.DUMMYFUNCTION("""COMPUTED_VALUE"""),8.0)</f>
        <v>8</v>
      </c>
      <c r="M323" s="3" t="str">
        <f>IFERROR(__xludf.DUMMYFUNCTION("""COMPUTED_VALUE"""),"ร.อ.อนุชิต ทำจะดี")</f>
        <v>ร.อ.อนุชิต ทำจะดี</v>
      </c>
      <c r="N323" s="14" t="str">
        <f>IFERROR(__xludf.DUMMYFUNCTION("""COMPUTED_VALUE"""),"https://lh5.googleusercontent.com/d/13NaJCYcay3hptDpOTJ_-1fmZBb40SNuW")</f>
        <v>https://lh5.googleusercontent.com/d/13NaJCYcay3hptDpOTJ_-1fmZBb40SNuW</v>
      </c>
      <c r="O323" s="14" t="str">
        <f>IFERROR(__xludf.DUMMYFUNCTION("""COMPUTED_VALUE"""),"https://drive.google.com/file/d/10MqZYdGoU6Umuc0lWtqmdW2G_OEjkyqF/view?usp=drivesdk")</f>
        <v>https://drive.google.com/file/d/10MqZYdGoU6Umuc0lWtqmdW2G_OEjkyqF/view?usp=drivesdk</v>
      </c>
    </row>
    <row r="324">
      <c r="A324" s="3">
        <f>IFERROR(__xludf.DUMMYFUNCTION("""COMPUTED_VALUE"""),817.0)</f>
        <v>817</v>
      </c>
      <c r="B324" s="11">
        <f>IFERROR(__xludf.DUMMYFUNCTION("""COMPUTED_VALUE"""),45991.855415995364)</f>
        <v>45991.85542</v>
      </c>
      <c r="C324" s="3" t="str">
        <f>IFERROR(__xludf.DUMMYFUNCTION("""COMPUTED_VALUE"""),"ชั้นปีที่ 2")</f>
        <v>ชั้นปีที่ 2</v>
      </c>
      <c r="D324" s="3" t="str">
        <f>IFERROR(__xludf.DUMMYFUNCTION("""COMPUTED_VALUE"""),"6703866")</f>
        <v>6703866</v>
      </c>
      <c r="E324" s="3" t="str">
        <f>IFERROR(__xludf.DUMMYFUNCTION("""COMPUTED_VALUE"""),"48")</f>
        <v>48</v>
      </c>
      <c r="F324" s="3" t="str">
        <f>IFERROR(__xludf.DUMMYFUNCTION("""COMPUTED_VALUE"""),"นพอ.วนัชพร กันทะตา")</f>
        <v>นพอ.วนัชพร กันทะตา</v>
      </c>
      <c r="G324" s="3" t="str">
        <f>IFERROR(__xludf.DUMMYFUNCTION("""COMPUTED_VALUE"""),"ช่วยเหลืองานภายใน วพอ.")</f>
        <v>ช่วยเหลืองานภายใน วพอ.</v>
      </c>
      <c r="H324" s="3" t="str">
        <f>IFERROR(__xludf.DUMMYFUNCTION("""COMPUTED_VALUE"""),"ซ้อมงานรับขวัญสวีแด")</f>
        <v>ซ้อมงานรับขวัญสวีแด</v>
      </c>
      <c r="I324" s="3" t="str">
        <f>IFERROR(__xludf.DUMMYFUNCTION("""COMPUTED_VALUE"""),"วพอ.พอ.")</f>
        <v>วพอ.พอ.</v>
      </c>
      <c r="J324" s="12">
        <f>IFERROR(__xludf.DUMMYFUNCTION("""COMPUTED_VALUE"""),45889.0)</f>
        <v>45889</v>
      </c>
      <c r="K324" s="3" t="str">
        <f>IFERROR(__xludf.DUMMYFUNCTION("""COMPUTED_VALUE"""),"1800-2000")</f>
        <v>1800-2000</v>
      </c>
      <c r="L324" s="3">
        <f>IFERROR(__xludf.DUMMYFUNCTION("""COMPUTED_VALUE"""),2.0)</f>
        <v>2</v>
      </c>
      <c r="M324" s="3" t="str">
        <f>IFERROR(__xludf.DUMMYFUNCTION("""COMPUTED_VALUE"""),"ร.อ.หญิงขนัฏฐา นาดี")</f>
        <v>ร.อ.หญิงขนัฏฐา นาดี</v>
      </c>
      <c r="N324" s="14" t="str">
        <f>IFERROR(__xludf.DUMMYFUNCTION("""COMPUTED_VALUE"""),"https://lh5.googleusercontent.com/d/1y110JZCvKYkBbhYpf_474ZUjHAb0IWPR")</f>
        <v>https://lh5.googleusercontent.com/d/1y110JZCvKYkBbhYpf_474ZUjHAb0IWPR</v>
      </c>
      <c r="O324" s="14" t="str">
        <f>IFERROR(__xludf.DUMMYFUNCTION("""COMPUTED_VALUE"""),"https://drive.google.com/file/d/1NApDr6yBIwZWoZgpy_1wAe9bLGcm_wGZ/view?usp=drivesdk")</f>
        <v>https://drive.google.com/file/d/1NApDr6yBIwZWoZgpy_1wAe9bLGcm_wGZ/view?usp=drivesdk</v>
      </c>
    </row>
    <row r="325">
      <c r="A325" s="3">
        <f>IFERROR(__xludf.DUMMYFUNCTION("""COMPUTED_VALUE"""),820.0)</f>
        <v>820</v>
      </c>
      <c r="B325" s="11">
        <f>IFERROR(__xludf.DUMMYFUNCTION("""COMPUTED_VALUE"""),45991.85625114583)</f>
        <v>45991.85625</v>
      </c>
      <c r="C325" s="3" t="str">
        <f>IFERROR(__xludf.DUMMYFUNCTION("""COMPUTED_VALUE"""),"ชั้นปีที่ 2")</f>
        <v>ชั้นปีที่ 2</v>
      </c>
      <c r="D325" s="3" t="str">
        <f>IFERROR(__xludf.DUMMYFUNCTION("""COMPUTED_VALUE"""),"6703818")</f>
        <v>6703818</v>
      </c>
      <c r="E325" s="3" t="str">
        <f>IFERROR(__xludf.DUMMYFUNCTION("""COMPUTED_VALUE"""),"1")</f>
        <v>1</v>
      </c>
      <c r="F325" s="3" t="str">
        <f>IFERROR(__xludf.DUMMYFUNCTION("""COMPUTED_VALUE"""),"นพอ.กนกวรรณ จิณเสน")</f>
        <v>นพอ.กนกวรรณ จิณเสน</v>
      </c>
      <c r="G32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5" s="3" t="str">
        <f>IFERROR(__xludf.DUMMYFUNCTION("""COMPUTED_VALUE"""),"คอนเสิร์ตทัพฟ้าคู่ไทยเพื่อ”ชัยพัฒนา”ครั้งที่ 16")</f>
        <v>คอนเสิร์ตทัพฟ้าคู่ไทยเพื่อ”ชัยพัฒนา”ครั้งที่ 16</v>
      </c>
      <c r="I32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5" s="12">
        <f>IFERROR(__xludf.DUMMYFUNCTION("""COMPUTED_VALUE"""),45839.0)</f>
        <v>45839</v>
      </c>
      <c r="K325" s="3" t="str">
        <f>IFERROR(__xludf.DUMMYFUNCTION("""COMPUTED_VALUE"""),"1400-2200")</f>
        <v>1400-2200</v>
      </c>
      <c r="L325" s="3">
        <f>IFERROR(__xludf.DUMMYFUNCTION("""COMPUTED_VALUE"""),8.0)</f>
        <v>8</v>
      </c>
      <c r="M325" s="3" t="str">
        <f>IFERROR(__xludf.DUMMYFUNCTION("""COMPUTED_VALUE"""),"ร.อ.อนุชิต ทำจะดี")</f>
        <v>ร.อ.อนุชิต ทำจะดี</v>
      </c>
      <c r="N325" s="14" t="str">
        <f>IFERROR(__xludf.DUMMYFUNCTION("""COMPUTED_VALUE"""),"https://lh5.googleusercontent.com/d/1p7lGu7tQJ6pMYyFxn9_d56ON26j1KuJm")</f>
        <v>https://lh5.googleusercontent.com/d/1p7lGu7tQJ6pMYyFxn9_d56ON26j1KuJm</v>
      </c>
      <c r="O325" s="14" t="str">
        <f>IFERROR(__xludf.DUMMYFUNCTION("""COMPUTED_VALUE"""),"https://drive.google.com/file/d/1RTmwBh9r2mawhBKlJ1TPvXgQDRTPAwv4/view?usp=drivesdk")</f>
        <v>https://drive.google.com/file/d/1RTmwBh9r2mawhBKlJ1TPvXgQDRTPAwv4/view?usp=drivesdk</v>
      </c>
    </row>
    <row r="326">
      <c r="A326" s="3">
        <f>IFERROR(__xludf.DUMMYFUNCTION("""COMPUTED_VALUE"""),821.0)</f>
        <v>821</v>
      </c>
      <c r="B326" s="11">
        <f>IFERROR(__xludf.DUMMYFUNCTION("""COMPUTED_VALUE"""),45991.85751631945)</f>
        <v>45991.85752</v>
      </c>
      <c r="C326" s="3" t="str">
        <f>IFERROR(__xludf.DUMMYFUNCTION("""COMPUTED_VALUE"""),"ชั้นปีที่ 2")</f>
        <v>ชั้นปีที่ 2</v>
      </c>
      <c r="D326" s="3" t="str">
        <f>IFERROR(__xludf.DUMMYFUNCTION("""COMPUTED_VALUE"""),"6703819")</f>
        <v>6703819</v>
      </c>
      <c r="E326" s="3" t="str">
        <f>IFERROR(__xludf.DUMMYFUNCTION("""COMPUTED_VALUE"""),"2")</f>
        <v>2</v>
      </c>
      <c r="F326" s="3" t="str">
        <f>IFERROR(__xludf.DUMMYFUNCTION("""COMPUTED_VALUE"""),"นพอ.กรณิศ เกษแก้ว")</f>
        <v>นพอ.กรณิศ เกษแก้ว</v>
      </c>
      <c r="G326" s="3" t="str">
        <f>IFERROR(__xludf.DUMMYFUNCTION("""COMPUTED_VALUE"""),"ช่วยเหลืองานภายใน วพอ.")</f>
        <v>ช่วยเหลืองานภายใน วพอ.</v>
      </c>
      <c r="H326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26" s="3" t="str">
        <f>IFERROR(__xludf.DUMMYFUNCTION("""COMPUTED_VALUE"""),"ห้องเรียน นพอ.ชั้นปีที่ 1")</f>
        <v>ห้องเรียน นพอ.ชั้นปีที่ 1</v>
      </c>
      <c r="J326" s="12">
        <f>IFERROR(__xludf.DUMMYFUNCTION("""COMPUTED_VALUE"""),45987.0)</f>
        <v>45987</v>
      </c>
      <c r="K326" s="3" t="str">
        <f>IFERROR(__xludf.DUMMYFUNCTION("""COMPUTED_VALUE"""),"1000-1800")</f>
        <v>1000-1800</v>
      </c>
      <c r="L326" s="3">
        <f>IFERROR(__xludf.DUMMYFUNCTION("""COMPUTED_VALUE"""),8.0)</f>
        <v>8</v>
      </c>
      <c r="M326" s="3" t="str">
        <f>IFERROR(__xludf.DUMMYFUNCTION("""COMPUTED_VALUE"""),"ร.ท.เรวัติ วัชรสิทธิ์")</f>
        <v>ร.ท.เรวัติ วัชรสิทธิ์</v>
      </c>
      <c r="N326" s="14" t="str">
        <f>IFERROR(__xludf.DUMMYFUNCTION("""COMPUTED_VALUE"""),"https://lh5.googleusercontent.com/d/1Ac9OXi2a2amY81UouYKPFy7SEwVfzbvU")</f>
        <v>https://lh5.googleusercontent.com/d/1Ac9OXi2a2amY81UouYKPFy7SEwVfzbvU</v>
      </c>
      <c r="O326" s="14" t="str">
        <f>IFERROR(__xludf.DUMMYFUNCTION("""COMPUTED_VALUE"""),"https://drive.google.com/file/d/1De7L46ND1L8R5tevaYWN2ANtIEVEtZ7I/view?usp=drivesdk")</f>
        <v>https://drive.google.com/file/d/1De7L46ND1L8R5tevaYWN2ANtIEVEtZ7I/view?usp=drivesdk</v>
      </c>
    </row>
    <row r="327">
      <c r="A327" s="3">
        <f>IFERROR(__xludf.DUMMYFUNCTION("""COMPUTED_VALUE"""),824.0)</f>
        <v>824</v>
      </c>
      <c r="B327" s="11">
        <f>IFERROR(__xludf.DUMMYFUNCTION("""COMPUTED_VALUE"""),45991.85792854167)</f>
        <v>45991.85793</v>
      </c>
      <c r="C327" s="3" t="str">
        <f>IFERROR(__xludf.DUMMYFUNCTION("""COMPUTED_VALUE"""),"ชั้นปีที่ 2")</f>
        <v>ชั้นปีที่ 2</v>
      </c>
      <c r="D327" s="3" t="str">
        <f>IFERROR(__xludf.DUMMYFUNCTION("""COMPUTED_VALUE"""),"6703818")</f>
        <v>6703818</v>
      </c>
      <c r="E327" s="3" t="str">
        <f>IFERROR(__xludf.DUMMYFUNCTION("""COMPUTED_VALUE"""),"1")</f>
        <v>1</v>
      </c>
      <c r="F327" s="3" t="str">
        <f>IFERROR(__xludf.DUMMYFUNCTION("""COMPUTED_VALUE"""),"นพอ.กนกวรรณ จิณเสน")</f>
        <v>นพอ.กนกวรรณ จิณเสน</v>
      </c>
      <c r="G32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7" s="3" t="str">
        <f>IFERROR(__xludf.DUMMYFUNCTION("""COMPUTED_VALUE"""),"คอนเสิร์ตทัพฟ้าคู่ไทยเพื่อ”ชัยพัฒนา”ครั้งที่ 16")</f>
        <v>คอนเสิร์ตทัพฟ้าคู่ไทยเพื่อ”ชัยพัฒนา”ครั้งที่ 16</v>
      </c>
      <c r="I327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27" s="12">
        <f>IFERROR(__xludf.DUMMYFUNCTION("""COMPUTED_VALUE"""),45840.0)</f>
        <v>45840</v>
      </c>
      <c r="K327" s="3" t="str">
        <f>IFERROR(__xludf.DUMMYFUNCTION("""COMPUTED_VALUE"""),"1400-2200")</f>
        <v>1400-2200</v>
      </c>
      <c r="L327" s="3">
        <f>IFERROR(__xludf.DUMMYFUNCTION("""COMPUTED_VALUE"""),8.0)</f>
        <v>8</v>
      </c>
      <c r="M327" s="3" t="str">
        <f>IFERROR(__xludf.DUMMYFUNCTION("""COMPUTED_VALUE"""),"ร.อ.อนุชิต ทำจะดี")</f>
        <v>ร.อ.อนุชิต ทำจะดี</v>
      </c>
      <c r="N327" s="14" t="str">
        <f>IFERROR(__xludf.DUMMYFUNCTION("""COMPUTED_VALUE"""),"https://lh5.googleusercontent.com/d/1lk2Vd2GN67ODAgoXpO_jtWLz_nvrpTfS")</f>
        <v>https://lh5.googleusercontent.com/d/1lk2Vd2GN67ODAgoXpO_jtWLz_nvrpTfS</v>
      </c>
      <c r="O327" s="14" t="str">
        <f>IFERROR(__xludf.DUMMYFUNCTION("""COMPUTED_VALUE"""),"https://drive.google.com/file/d/1iDSidqP3l7uJsPXFIBm5K22lsRXjEa44/view?usp=drivesdk")</f>
        <v>https://drive.google.com/file/d/1iDSidqP3l7uJsPXFIBm5K22lsRXjEa44/view?usp=drivesdk</v>
      </c>
    </row>
    <row r="328">
      <c r="A328" s="3">
        <f>IFERROR(__xludf.DUMMYFUNCTION("""COMPUTED_VALUE"""),825.0)</f>
        <v>825</v>
      </c>
      <c r="B328" s="11">
        <f>IFERROR(__xludf.DUMMYFUNCTION("""COMPUTED_VALUE"""),45991.859226099536)</f>
        <v>45991.85923</v>
      </c>
      <c r="C328" s="3" t="str">
        <f>IFERROR(__xludf.DUMMYFUNCTION("""COMPUTED_VALUE"""),"ชั้นปีที่ 2")</f>
        <v>ชั้นปีที่ 2</v>
      </c>
      <c r="D328" s="3" t="str">
        <f>IFERROR(__xludf.DUMMYFUNCTION("""COMPUTED_VALUE"""),"6703819")</f>
        <v>6703819</v>
      </c>
      <c r="E328" s="3" t="str">
        <f>IFERROR(__xludf.DUMMYFUNCTION("""COMPUTED_VALUE"""),"2")</f>
        <v>2</v>
      </c>
      <c r="F328" s="3" t="str">
        <f>IFERROR(__xludf.DUMMYFUNCTION("""COMPUTED_VALUE"""),"นพอ.กรณิศ เกษแก้ว")</f>
        <v>นพอ.กรณิศ เกษแก้ว</v>
      </c>
      <c r="G3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8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328" s="3" t="str">
        <f>IFERROR(__xludf.DUMMYFUNCTION("""COMPUTED_VALUE"""),"อุทยานการบินกองทัพอากาศ")</f>
        <v>อุทยานการบินกองทัพอากาศ</v>
      </c>
      <c r="J328" s="12">
        <f>IFERROR(__xludf.DUMMYFUNCTION("""COMPUTED_VALUE"""),45926.0)</f>
        <v>45926</v>
      </c>
      <c r="K328" s="3" t="str">
        <f>IFERROR(__xludf.DUMMYFUNCTION("""COMPUTED_VALUE"""),"1200-1600")</f>
        <v>1200-1600</v>
      </c>
      <c r="L328" s="3">
        <f>IFERROR(__xludf.DUMMYFUNCTION("""COMPUTED_VALUE"""),4.0)</f>
        <v>4</v>
      </c>
      <c r="M328" s="3" t="str">
        <f>IFERROR(__xludf.DUMMYFUNCTION("""COMPUTED_VALUE"""),"น.ท.หญิง สิรินันท์ ชูเชิด")</f>
        <v>น.ท.หญิง สิรินันท์ ชูเชิด</v>
      </c>
      <c r="N328" s="14" t="str">
        <f>IFERROR(__xludf.DUMMYFUNCTION("""COMPUTED_VALUE"""),"https://lh5.googleusercontent.com/d/1psQeTDbiUx0tD5Y8zXvoMTfC6S_dmJbq")</f>
        <v>https://lh5.googleusercontent.com/d/1psQeTDbiUx0tD5Y8zXvoMTfC6S_dmJbq</v>
      </c>
      <c r="O328" s="14" t="str">
        <f>IFERROR(__xludf.DUMMYFUNCTION("""COMPUTED_VALUE"""),"https://drive.google.com/file/d/1w1NPhuTWByJZkJc0zlAq6yCG6BPoDIo0/view?usp=drivesdk")</f>
        <v>https://drive.google.com/file/d/1w1NPhuTWByJZkJc0zlAq6yCG6BPoDIo0/view?usp=drivesdk</v>
      </c>
    </row>
    <row r="329">
      <c r="A329" s="3">
        <f>IFERROR(__xludf.DUMMYFUNCTION("""COMPUTED_VALUE"""),826.0)</f>
        <v>826</v>
      </c>
      <c r="B329" s="11">
        <f>IFERROR(__xludf.DUMMYFUNCTION("""COMPUTED_VALUE"""),45991.86047565973)</f>
        <v>45991.86048</v>
      </c>
      <c r="C329" s="3" t="str">
        <f>IFERROR(__xludf.DUMMYFUNCTION("""COMPUTED_VALUE"""),"ชั้นปีที่ 2")</f>
        <v>ชั้นปีที่ 2</v>
      </c>
      <c r="D329" s="3" t="str">
        <f>IFERROR(__xludf.DUMMYFUNCTION("""COMPUTED_VALUE"""),"6703866")</f>
        <v>6703866</v>
      </c>
      <c r="E329" s="3" t="str">
        <f>IFERROR(__xludf.DUMMYFUNCTION("""COMPUTED_VALUE"""),"48")</f>
        <v>48</v>
      </c>
      <c r="F329" s="3" t="str">
        <f>IFERROR(__xludf.DUMMYFUNCTION("""COMPUTED_VALUE"""),"นพอ.วนัชพร กันทะตา")</f>
        <v>นพอ.วนัชพร กันทะตา</v>
      </c>
      <c r="G32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9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329" s="3" t="str">
        <f>IFERROR(__xludf.DUMMYFUNCTION("""COMPUTED_VALUE"""),"อุทยานการบินกองทัพอากาศ")</f>
        <v>อุทยานการบินกองทัพอากาศ</v>
      </c>
      <c r="J329" s="12">
        <f>IFERROR(__xludf.DUMMYFUNCTION("""COMPUTED_VALUE"""),45926.0)</f>
        <v>45926</v>
      </c>
      <c r="K329" s="3" t="str">
        <f>IFERROR(__xludf.DUMMYFUNCTION("""COMPUTED_VALUE"""),"1200-1600")</f>
        <v>1200-1600</v>
      </c>
      <c r="L329" s="3">
        <f>IFERROR(__xludf.DUMMYFUNCTION("""COMPUTED_VALUE"""),4.0)</f>
        <v>4</v>
      </c>
      <c r="M329" s="3" t="str">
        <f>IFERROR(__xludf.DUMMYFUNCTION("""COMPUTED_VALUE"""),"น.ท.หญิง สิรินันท์ ชูเชิด")</f>
        <v>น.ท.หญิง สิรินันท์ ชูเชิด</v>
      </c>
      <c r="N329" s="14" t="str">
        <f>IFERROR(__xludf.DUMMYFUNCTION("""COMPUTED_VALUE"""),"https://lh5.googleusercontent.com/d/1OwjPYS18Vw3KGlPNRZMaHsr9hlrL0wIt")</f>
        <v>https://lh5.googleusercontent.com/d/1OwjPYS18Vw3KGlPNRZMaHsr9hlrL0wIt</v>
      </c>
      <c r="O329" s="14" t="str">
        <f>IFERROR(__xludf.DUMMYFUNCTION("""COMPUTED_VALUE"""),"https://drive.google.com/file/d/1vJlsjMW2vBI0HGqB_W5I1ruCNj17Wej3/view?usp=drivesdk")</f>
        <v>https://drive.google.com/file/d/1vJlsjMW2vBI0HGqB_W5I1ruCNj17Wej3/view?usp=drivesdk</v>
      </c>
    </row>
    <row r="330">
      <c r="A330" s="3">
        <f>IFERROR(__xludf.DUMMYFUNCTION("""COMPUTED_VALUE"""),827.0)</f>
        <v>827</v>
      </c>
      <c r="B330" s="11">
        <f>IFERROR(__xludf.DUMMYFUNCTION("""COMPUTED_VALUE"""),45991.86083619213)</f>
        <v>45991.86084</v>
      </c>
      <c r="C330" s="3" t="str">
        <f>IFERROR(__xludf.DUMMYFUNCTION("""COMPUTED_VALUE"""),"ชั้นปีที่ 2")</f>
        <v>ชั้นปีที่ 2</v>
      </c>
      <c r="D330" s="3" t="str">
        <f>IFERROR(__xludf.DUMMYFUNCTION("""COMPUTED_VALUE"""),"6703819")</f>
        <v>6703819</v>
      </c>
      <c r="E330" s="3" t="str">
        <f>IFERROR(__xludf.DUMMYFUNCTION("""COMPUTED_VALUE"""),"2")</f>
        <v>2</v>
      </c>
      <c r="F330" s="3" t="str">
        <f>IFERROR(__xludf.DUMMYFUNCTION("""COMPUTED_VALUE"""),"นพอ.กรณิศ เกษแก้ว")</f>
        <v>นพอ.กรณิศ เกษแก้ว</v>
      </c>
      <c r="G33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0" s="3" t="str">
        <f>IFERROR(__xludf.DUMMYFUNCTION("""COMPUTED_VALUE"""),"ซ้อมพิธีรับ-ส่งหน้าที่ผู้บัญชาการทหารอากาศ")</f>
        <v>ซ้อมพิธีรับ-ส่งหน้าที่ผู้บัญชาการทหารอากาศ</v>
      </c>
      <c r="I330" s="3" t="str">
        <f>IFERROR(__xludf.DUMMYFUNCTION("""COMPUTED_VALUE"""),"อุทยานการบินกองทัพอากาศ")</f>
        <v>อุทยานการบินกองทัพอากาศ</v>
      </c>
      <c r="J330" s="12">
        <f>IFERROR(__xludf.DUMMYFUNCTION("""COMPUTED_VALUE"""),45930.0)</f>
        <v>45930</v>
      </c>
      <c r="K330" s="3" t="str">
        <f>IFERROR(__xludf.DUMMYFUNCTION("""COMPUTED_VALUE"""),"1200-1600")</f>
        <v>1200-1600</v>
      </c>
      <c r="L330" s="3">
        <f>IFERROR(__xludf.DUMMYFUNCTION("""COMPUTED_VALUE"""),4.0)</f>
        <v>4</v>
      </c>
      <c r="M330" s="3" t="str">
        <f>IFERROR(__xludf.DUMMYFUNCTION("""COMPUTED_VALUE"""),"น.ท.หญิง สิรินันท์ ชูเชิด")</f>
        <v>น.ท.หญิง สิรินันท์ ชูเชิด</v>
      </c>
      <c r="N330" s="14" t="str">
        <f>IFERROR(__xludf.DUMMYFUNCTION("""COMPUTED_VALUE"""),"https://lh5.googleusercontent.com/d/1Llt5lEpKDJRCwtRF_93AIw-0WZ0Kd5bt")</f>
        <v>https://lh5.googleusercontent.com/d/1Llt5lEpKDJRCwtRF_93AIw-0WZ0Kd5bt</v>
      </c>
      <c r="O330" s="14" t="str">
        <f>IFERROR(__xludf.DUMMYFUNCTION("""COMPUTED_VALUE"""),"https://drive.google.com/file/d/1gg_ue0pVdyirSRXU9pqMYUF9dD8J1JcZ/view?usp=drivesdk")</f>
        <v>https://drive.google.com/file/d/1gg_ue0pVdyirSRXU9pqMYUF9dD8J1JcZ/view?usp=drivesdk</v>
      </c>
    </row>
    <row r="331">
      <c r="A331" s="3">
        <f>IFERROR(__xludf.DUMMYFUNCTION("""COMPUTED_VALUE"""),829.0)</f>
        <v>829</v>
      </c>
      <c r="B331" s="11">
        <f>IFERROR(__xludf.DUMMYFUNCTION("""COMPUTED_VALUE"""),45991.86437087962)</f>
        <v>45991.86437</v>
      </c>
      <c r="C331" s="3" t="str">
        <f>IFERROR(__xludf.DUMMYFUNCTION("""COMPUTED_VALUE"""),"ชั้นปีที่ 2")</f>
        <v>ชั้นปีที่ 2</v>
      </c>
      <c r="D331" s="3" t="str">
        <f>IFERROR(__xludf.DUMMYFUNCTION("""COMPUTED_VALUE"""),"6703866")</f>
        <v>6703866</v>
      </c>
      <c r="E331" s="3" t="str">
        <f>IFERROR(__xludf.DUMMYFUNCTION("""COMPUTED_VALUE"""),"48")</f>
        <v>48</v>
      </c>
      <c r="F331" s="3" t="str">
        <f>IFERROR(__xludf.DUMMYFUNCTION("""COMPUTED_VALUE"""),"นพอ.วนัชพร กันทะตา")</f>
        <v>นพอ.วนัชพร กันทะตา</v>
      </c>
      <c r="G3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1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331" s="3" t="str">
        <f>IFERROR(__xludf.DUMMYFUNCTION("""COMPUTED_VALUE"""),"อุทยานการบินกองทัพอากาศ")</f>
        <v>อุทยานการบินกองทัพอากาศ</v>
      </c>
      <c r="J331" s="12">
        <f>IFERROR(__xludf.DUMMYFUNCTION("""COMPUTED_VALUE"""),45930.0)</f>
        <v>45930</v>
      </c>
      <c r="K331" s="3" t="str">
        <f>IFERROR(__xludf.DUMMYFUNCTION("""COMPUTED_VALUE"""),"1200-1600")</f>
        <v>1200-1600</v>
      </c>
      <c r="L331" s="3">
        <f>IFERROR(__xludf.DUMMYFUNCTION("""COMPUTED_VALUE"""),4.0)</f>
        <v>4</v>
      </c>
      <c r="M331" s="3" t="str">
        <f>IFERROR(__xludf.DUMMYFUNCTION("""COMPUTED_VALUE"""),"น.ท.หญิง สิรินันท์ ชูเชิด")</f>
        <v>น.ท.หญิง สิรินันท์ ชูเชิด</v>
      </c>
      <c r="N331" s="14" t="str">
        <f>IFERROR(__xludf.DUMMYFUNCTION("""COMPUTED_VALUE"""),"https://lh5.googleusercontent.com/d/1HpbWaAHMbqUNXQf4CzWwBsgliDuUxvsr")</f>
        <v>https://lh5.googleusercontent.com/d/1HpbWaAHMbqUNXQf4CzWwBsgliDuUxvsr</v>
      </c>
      <c r="O331" s="14" t="str">
        <f>IFERROR(__xludf.DUMMYFUNCTION("""COMPUTED_VALUE"""),"https://drive.google.com/file/d/1WbO6fDL2U1Z4IT3Zy1MJUvO0pwrOOc5M/view?usp=drivesdk")</f>
        <v>https://drive.google.com/file/d/1WbO6fDL2U1Z4IT3Zy1MJUvO0pwrOOc5M/view?usp=drivesdk</v>
      </c>
    </row>
    <row r="332">
      <c r="A332" s="3">
        <f>IFERROR(__xludf.DUMMYFUNCTION("""COMPUTED_VALUE"""),873.0)</f>
        <v>873</v>
      </c>
      <c r="B332" s="11">
        <f>IFERROR(__xludf.DUMMYFUNCTION("""COMPUTED_VALUE"""),45991.92123799769)</f>
        <v>45991.92124</v>
      </c>
      <c r="C332" s="3" t="str">
        <f>IFERROR(__xludf.DUMMYFUNCTION("""COMPUTED_VALUE"""),"ชั้นปีที่ 2")</f>
        <v>ชั้นปีที่ 2</v>
      </c>
      <c r="D332" s="3" t="str">
        <f>IFERROR(__xludf.DUMMYFUNCTION("""COMPUTED_VALUE"""),"6703860")</f>
        <v>6703860</v>
      </c>
      <c r="E332" s="3" t="str">
        <f>IFERROR(__xludf.DUMMYFUNCTION("""COMPUTED_VALUE"""),"42")</f>
        <v>42</v>
      </c>
      <c r="F332" s="3" t="str">
        <f>IFERROR(__xludf.DUMMYFUNCTION("""COMPUTED_VALUE"""),"นพอ.พิมพ์มาดา วงศาโรจน์")</f>
        <v>นพอ.พิมพ์มาดา วงศาโรจน์</v>
      </c>
      <c r="G3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2" s="3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332" s="3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332" s="12">
        <f>IFERROR(__xludf.DUMMYFUNCTION("""COMPUTED_VALUE"""),45977.0)</f>
        <v>45977</v>
      </c>
      <c r="K332" s="3" t="str">
        <f>IFERROR(__xludf.DUMMYFUNCTION("""COMPUTED_VALUE"""),"0600")</f>
        <v>0600</v>
      </c>
      <c r="L332" s="3">
        <f>IFERROR(__xludf.DUMMYFUNCTION("""COMPUTED_VALUE"""),4.0)</f>
        <v>4</v>
      </c>
      <c r="M33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32" s="14" t="str">
        <f>IFERROR(__xludf.DUMMYFUNCTION("""COMPUTED_VALUE"""),"https://lh5.googleusercontent.com/d/1s5MmO6_5LBPYCwaWas-LbPm6UmAoeIsO")</f>
        <v>https://lh5.googleusercontent.com/d/1s5MmO6_5LBPYCwaWas-LbPm6UmAoeIsO</v>
      </c>
      <c r="O332" s="14" t="str">
        <f>IFERROR(__xludf.DUMMYFUNCTION("""COMPUTED_VALUE"""),"https://drive.google.com/file/d/1MgZsqOthpt5NveLwGsswttOQSLpRixbK/view?usp=drivesdk")</f>
        <v>https://drive.google.com/file/d/1MgZsqOthpt5NveLwGsswttOQSLpRixbK/view?usp=drivesdk</v>
      </c>
    </row>
    <row r="333">
      <c r="A333" s="3">
        <f>IFERROR(__xludf.DUMMYFUNCTION("""COMPUTED_VALUE"""),916.0)</f>
        <v>916</v>
      </c>
      <c r="B333" s="11">
        <f>IFERROR(__xludf.DUMMYFUNCTION("""COMPUTED_VALUE"""),45991.951488784725)</f>
        <v>45991.95149</v>
      </c>
      <c r="C333" s="3" t="str">
        <f>IFERROR(__xludf.DUMMYFUNCTION("""COMPUTED_VALUE"""),"ชั้นปีที่ 2")</f>
        <v>ชั้นปีที่ 2</v>
      </c>
      <c r="D333" s="3" t="str">
        <f>IFERROR(__xludf.DUMMYFUNCTION("""COMPUTED_VALUE"""),"6703818")</f>
        <v>6703818</v>
      </c>
      <c r="E333" s="3" t="str">
        <f>IFERROR(__xludf.DUMMYFUNCTION("""COMPUTED_VALUE"""),"1")</f>
        <v>1</v>
      </c>
      <c r="F333" s="3" t="str">
        <f>IFERROR(__xludf.DUMMYFUNCTION("""COMPUTED_VALUE"""),"นพอ.กนกวรรณ จิณเสน")</f>
        <v>นพอ.กนกวรรณ จิณเสน</v>
      </c>
      <c r="G33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3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33" s="3" t="str">
        <f>IFERROR(__xludf.DUMMYFUNCTION("""COMPUTED_VALUE"""),"ดุริยางค์ทหารอากาศ")</f>
        <v>ดุริยางค์ทหารอากาศ</v>
      </c>
      <c r="J333" s="12">
        <f>IFERROR(__xludf.DUMMYFUNCTION("""COMPUTED_VALUE"""),45825.0)</f>
        <v>45825</v>
      </c>
      <c r="K333" s="3" t="str">
        <f>IFERROR(__xludf.DUMMYFUNCTION("""COMPUTED_VALUE"""),"0800-1600")</f>
        <v>0800-1600</v>
      </c>
      <c r="L333" s="3">
        <f>IFERROR(__xludf.DUMMYFUNCTION("""COMPUTED_VALUE"""),8.0)</f>
        <v>8</v>
      </c>
      <c r="M333" s="3" t="str">
        <f>IFERROR(__xludf.DUMMYFUNCTION("""COMPUTED_VALUE"""),"ร.อ.อนุชิต ทำจะดี")</f>
        <v>ร.อ.อนุชิต ทำจะดี</v>
      </c>
      <c r="N333" s="14" t="str">
        <f>IFERROR(__xludf.DUMMYFUNCTION("""COMPUTED_VALUE"""),"https://lh5.googleusercontent.com/d/11LyxXOL5eiVlGVYSpJbAsEnntdU6jHKA")</f>
        <v>https://lh5.googleusercontent.com/d/11LyxXOL5eiVlGVYSpJbAsEnntdU6jHKA</v>
      </c>
      <c r="O333" s="14" t="str">
        <f>IFERROR(__xludf.DUMMYFUNCTION("""COMPUTED_VALUE"""),"https://drive.google.com/file/d/13Z57h-e_KfYekm7bJb2l3io1ysOWKjg-/view?usp=drivesdk")</f>
        <v>https://drive.google.com/file/d/13Z57h-e_KfYekm7bJb2l3io1ysOWKjg-/view?usp=drivesdk</v>
      </c>
    </row>
    <row r="334">
      <c r="A334" s="3">
        <f>IFERROR(__xludf.DUMMYFUNCTION("""COMPUTED_VALUE"""),921.0)</f>
        <v>921</v>
      </c>
      <c r="B334" s="11">
        <f>IFERROR(__xludf.DUMMYFUNCTION("""COMPUTED_VALUE"""),45991.95350420139)</f>
        <v>45991.9535</v>
      </c>
      <c r="C334" s="3" t="str">
        <f>IFERROR(__xludf.DUMMYFUNCTION("""COMPUTED_VALUE"""),"ชั้นปีที่ 2")</f>
        <v>ชั้นปีที่ 2</v>
      </c>
      <c r="D334" s="3" t="str">
        <f>IFERROR(__xludf.DUMMYFUNCTION("""COMPUTED_VALUE"""),"6703818")</f>
        <v>6703818</v>
      </c>
      <c r="E334" s="3" t="str">
        <f>IFERROR(__xludf.DUMMYFUNCTION("""COMPUTED_VALUE"""),"1")</f>
        <v>1</v>
      </c>
      <c r="F334" s="3" t="str">
        <f>IFERROR(__xludf.DUMMYFUNCTION("""COMPUTED_VALUE"""),"นพอ.กนกวรรณ จิณเสน")</f>
        <v>นพอ.กนกวรรณ จิณเสน</v>
      </c>
      <c r="G334" s="3" t="str">
        <f>IFERROR(__xludf.DUMMYFUNCTION("""COMPUTED_VALUE"""),"ช่วยเหลืองานภายใน วพอ.")</f>
        <v>ช่วยเหลืองานภายใน วพอ.</v>
      </c>
      <c r="H334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34" s="3" t="str">
        <f>IFERROR(__xludf.DUMMYFUNCTION("""COMPUTED_VALUE"""),"ห้องเรียน นพอ.ชั้นปีที่ 1")</f>
        <v>ห้องเรียน นพอ.ชั้นปีที่ 1</v>
      </c>
      <c r="J334" s="12">
        <f>IFERROR(__xludf.DUMMYFUNCTION("""COMPUTED_VALUE"""),45987.0)</f>
        <v>45987</v>
      </c>
      <c r="K334" s="3" t="str">
        <f>IFERROR(__xludf.DUMMYFUNCTION("""COMPUTED_VALUE"""),"1000-1800")</f>
        <v>1000-1800</v>
      </c>
      <c r="L334" s="3">
        <f>IFERROR(__xludf.DUMMYFUNCTION("""COMPUTED_VALUE"""),8.0)</f>
        <v>8</v>
      </c>
      <c r="M334" s="3" t="str">
        <f>IFERROR(__xludf.DUMMYFUNCTION("""COMPUTED_VALUE"""),"ร.ท.เรวัติ วัชรสิทธิ์")</f>
        <v>ร.ท.เรวัติ วัชรสิทธิ์</v>
      </c>
      <c r="N334" s="14" t="str">
        <f>IFERROR(__xludf.DUMMYFUNCTION("""COMPUTED_VALUE"""),"https://lh5.googleusercontent.com/d/1W_RZM1IMTsOEqjv-73ZDVQURDjYjDv4e")</f>
        <v>https://lh5.googleusercontent.com/d/1W_RZM1IMTsOEqjv-73ZDVQURDjYjDv4e</v>
      </c>
      <c r="O334" s="14" t="str">
        <f>IFERROR(__xludf.DUMMYFUNCTION("""COMPUTED_VALUE"""),"https://drive.google.com/file/d/1q1yDY_ab_ZD5txbErsoFCGCneaeq9mjW/view?usp=drivesdk")</f>
        <v>https://drive.google.com/file/d/1q1yDY_ab_ZD5txbErsoFCGCneaeq9mjW/view?usp=drivesdk</v>
      </c>
    </row>
    <row r="335">
      <c r="A335" s="3">
        <f>IFERROR(__xludf.DUMMYFUNCTION("""COMPUTED_VALUE"""),964.0)</f>
        <v>964</v>
      </c>
      <c r="B335" s="11">
        <f>IFERROR(__xludf.DUMMYFUNCTION("""COMPUTED_VALUE"""),45992.004591342586)</f>
        <v>45992.00459</v>
      </c>
      <c r="C335" s="3" t="str">
        <f>IFERROR(__xludf.DUMMYFUNCTION("""COMPUTED_VALUE"""),"ชั้นปีที่ 2")</f>
        <v>ชั้นปีที่ 2</v>
      </c>
      <c r="D335" s="3" t="str">
        <f>IFERROR(__xludf.DUMMYFUNCTION("""COMPUTED_VALUE"""),"6703820")</f>
        <v>6703820</v>
      </c>
      <c r="E335" s="3" t="str">
        <f>IFERROR(__xludf.DUMMYFUNCTION("""COMPUTED_VALUE"""),"3")</f>
        <v>3</v>
      </c>
      <c r="F335" s="3" t="str">
        <f>IFERROR(__xludf.DUMMYFUNCTION("""COMPUTED_VALUE"""),"นพอ.กฤตพร พิทักษ์")</f>
        <v>นพอ.กฤตพร พิทักษ์</v>
      </c>
      <c r="G3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5" s="3" t="str">
        <f>IFERROR(__xludf.DUMMYFUNCTION("""COMPUTED_VALUE"""),"ซ้อมประสานเสียงงานคอนเสิร์ตทัพฟ้า")</f>
        <v>ซ้อมประสานเสียงงานคอนเสิร์ตทัพฟ้า</v>
      </c>
      <c r="I335" s="3" t="str">
        <f>IFERROR(__xludf.DUMMYFUNCTION("""COMPUTED_VALUE"""),"ดุริยางค์ทหารอากาศ")</f>
        <v>ดุริยางค์ทหารอากาศ</v>
      </c>
      <c r="J335" s="12">
        <f>IFERROR(__xludf.DUMMYFUNCTION("""COMPUTED_VALUE"""),45825.0)</f>
        <v>45825</v>
      </c>
      <c r="K335" s="3" t="str">
        <f>IFERROR(__xludf.DUMMYFUNCTION("""COMPUTED_VALUE"""),"0800-1600")</f>
        <v>0800-1600</v>
      </c>
      <c r="L335" s="3">
        <f>IFERROR(__xludf.DUMMYFUNCTION("""COMPUTED_VALUE"""),8.0)</f>
        <v>8</v>
      </c>
      <c r="M335" s="3" t="str">
        <f>IFERROR(__xludf.DUMMYFUNCTION("""COMPUTED_VALUE"""),"ร.อ.อนุชิต ทำจะดี")</f>
        <v>ร.อ.อนุชิต ทำจะดี</v>
      </c>
      <c r="N335" s="14" t="str">
        <f>IFERROR(__xludf.DUMMYFUNCTION("""COMPUTED_VALUE"""),"https://lh5.googleusercontent.com/d/1rRQYfi0ZEwE6s0R3DMYAazGMep27mBLq")</f>
        <v>https://lh5.googleusercontent.com/d/1rRQYfi0ZEwE6s0R3DMYAazGMep27mBLq</v>
      </c>
      <c r="O335" s="14" t="str">
        <f>IFERROR(__xludf.DUMMYFUNCTION("""COMPUTED_VALUE"""),"https://drive.google.com/file/d/15Jh9TxkqL7GhP9n-24XliItgMjYyQC8C/view?usp=drivesdk")</f>
        <v>https://drive.google.com/file/d/15Jh9TxkqL7GhP9n-24XliItgMjYyQC8C/view?usp=drivesdk</v>
      </c>
    </row>
    <row r="336">
      <c r="A336" s="3">
        <f>IFERROR(__xludf.DUMMYFUNCTION("""COMPUTED_VALUE"""),989.0)</f>
        <v>989</v>
      </c>
      <c r="B336" s="11">
        <f>IFERROR(__xludf.DUMMYFUNCTION("""COMPUTED_VALUE"""),45992.22912928241)</f>
        <v>45992.22913</v>
      </c>
      <c r="C336" s="3" t="str">
        <f>IFERROR(__xludf.DUMMYFUNCTION("""COMPUTED_VALUE"""),"ชั้นปีที่ 2")</f>
        <v>ชั้นปีที่ 2</v>
      </c>
      <c r="D336" s="3" t="str">
        <f>IFERROR(__xludf.DUMMYFUNCTION("""COMPUTED_VALUE"""),"6703846")</f>
        <v>6703846</v>
      </c>
      <c r="E336" s="3" t="str">
        <f>IFERROR(__xludf.DUMMYFUNCTION("""COMPUTED_VALUE"""),"28")</f>
        <v>28</v>
      </c>
      <c r="F336" s="3" t="str">
        <f>IFERROR(__xludf.DUMMYFUNCTION("""COMPUTED_VALUE"""),"นพอ.นัฐพร บูรพันธ์")</f>
        <v>นพอ.นัฐพร บูรพันธ์</v>
      </c>
      <c r="G336" s="3" t="str">
        <f>IFERROR(__xludf.DUMMYFUNCTION("""COMPUTED_VALUE"""),"ช่วยเหลืองานภายใน วพอ.")</f>
        <v>ช่วยเหลืองานภายใน วพอ.</v>
      </c>
      <c r="H336" s="3" t="str">
        <f>IFERROR(__xludf.DUMMYFUNCTION("""COMPUTED_VALUE"""),"ซ้อมรำรับขวัญสวีแด")</f>
        <v>ซ้อมรำรับขวัญสวีแด</v>
      </c>
      <c r="I336" s="3" t="str">
        <f>IFERROR(__xludf.DUMMYFUNCTION("""COMPUTED_VALUE"""),"โถงสำนักงาน")</f>
        <v>โถงสำนักงาน</v>
      </c>
      <c r="J336" s="12">
        <f>IFERROR(__xludf.DUMMYFUNCTION("""COMPUTED_VALUE"""),45887.0)</f>
        <v>45887</v>
      </c>
      <c r="K336" s="3" t="str">
        <f>IFERROR(__xludf.DUMMYFUNCTION("""COMPUTED_VALUE"""),"1800-2000")</f>
        <v>1800-2000</v>
      </c>
      <c r="L336" s="3">
        <f>IFERROR(__xludf.DUMMYFUNCTION("""COMPUTED_VALUE"""),2.0)</f>
        <v>2</v>
      </c>
      <c r="M336" s="3" t="str">
        <f>IFERROR(__xludf.DUMMYFUNCTION("""COMPUTED_VALUE"""),"ร.อ.ขนัฎฐา นาดี")</f>
        <v>ร.อ.ขนัฎฐา นาดี</v>
      </c>
      <c r="N336" s="14" t="str">
        <f>IFERROR(__xludf.DUMMYFUNCTION("""COMPUTED_VALUE"""),"https://lh5.googleusercontent.com/d/1FpQlqbMIEeWX_Sm-IzXJD5ML9he-7TC5")</f>
        <v>https://lh5.googleusercontent.com/d/1FpQlqbMIEeWX_Sm-IzXJD5ML9he-7TC5</v>
      </c>
      <c r="O336" s="14" t="str">
        <f>IFERROR(__xludf.DUMMYFUNCTION("""COMPUTED_VALUE"""),"https://drive.google.com/file/d/18xfAmE2JeEwHK3d1Ijh60bVRVUf5cuwD/view?usp=drivesdk")</f>
        <v>https://drive.google.com/file/d/18xfAmE2JeEwHK3d1Ijh60bVRVUf5cuwD/view?usp=drivesdk</v>
      </c>
    </row>
    <row r="337">
      <c r="A337" s="3">
        <f>IFERROR(__xludf.DUMMYFUNCTION("""COMPUTED_VALUE"""),1000.0)</f>
        <v>1000</v>
      </c>
      <c r="B337" s="11">
        <f>IFERROR(__xludf.DUMMYFUNCTION("""COMPUTED_VALUE"""),45992.45392677084)</f>
        <v>45992.45393</v>
      </c>
      <c r="C337" s="3" t="str">
        <f>IFERROR(__xludf.DUMMYFUNCTION("""COMPUTED_VALUE"""),"ชั้นปีที่ 2")</f>
        <v>ชั้นปีที่ 2</v>
      </c>
      <c r="D337" s="3" t="str">
        <f>IFERROR(__xludf.DUMMYFUNCTION("""COMPUTED_VALUE"""),"6703857")</f>
        <v>6703857</v>
      </c>
      <c r="E337" s="3" t="str">
        <f>IFERROR(__xludf.DUMMYFUNCTION("""COMPUTED_VALUE"""),"39")</f>
        <v>39</v>
      </c>
      <c r="F337" s="3" t="str">
        <f>IFERROR(__xludf.DUMMYFUNCTION("""COMPUTED_VALUE"""),"นพอ.พัณณิตา ศรีเพชร")</f>
        <v>นพอ.พัณณิตา ศรีเพชร</v>
      </c>
      <c r="G3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7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37" s="3" t="str">
        <f>IFERROR(__xludf.DUMMYFUNCTION("""COMPUTED_VALUE"""),"โรงเรียนดุริยางค์ทหารอากาศ")</f>
        <v>โรงเรียนดุริยางค์ทหารอากาศ</v>
      </c>
      <c r="J337" s="12">
        <f>IFERROR(__xludf.DUMMYFUNCTION("""COMPUTED_VALUE"""),45825.0)</f>
        <v>45825</v>
      </c>
      <c r="K337" s="3" t="str">
        <f>IFERROR(__xludf.DUMMYFUNCTION("""COMPUTED_VALUE"""),"0800 - 1600")</f>
        <v>0800 - 1600</v>
      </c>
      <c r="L337" s="3">
        <f>IFERROR(__xludf.DUMMYFUNCTION("""COMPUTED_VALUE"""),8.0)</f>
        <v>8</v>
      </c>
      <c r="M337" s="3" t="str">
        <f>IFERROR(__xludf.DUMMYFUNCTION("""COMPUTED_VALUE"""),"ร.อ.อนุชิต ทำจะดี")</f>
        <v>ร.อ.อนุชิต ทำจะดี</v>
      </c>
      <c r="N337" s="14" t="str">
        <f>IFERROR(__xludf.DUMMYFUNCTION("""COMPUTED_VALUE"""),"https://lh5.googleusercontent.com/d/1AtBEES4suCWg5ay2E-d-hJzmxXhGCb3-")</f>
        <v>https://lh5.googleusercontent.com/d/1AtBEES4suCWg5ay2E-d-hJzmxXhGCb3-</v>
      </c>
      <c r="O337" s="14" t="str">
        <f>IFERROR(__xludf.DUMMYFUNCTION("""COMPUTED_VALUE"""),"https://drive.google.com/file/d/1QvuM3uF5NnnXXgNdOiRUJXjQ-OrabTtL/view?usp=drivesdk")</f>
        <v>https://drive.google.com/file/d/1QvuM3uF5NnnXXgNdOiRUJXjQ-OrabTtL/view?usp=drivesdk</v>
      </c>
    </row>
    <row r="338">
      <c r="A338" s="3">
        <f>IFERROR(__xludf.DUMMYFUNCTION("""COMPUTED_VALUE"""),1001.0)</f>
        <v>1001</v>
      </c>
      <c r="B338" s="11">
        <f>IFERROR(__xludf.DUMMYFUNCTION("""COMPUTED_VALUE"""),45992.465726030096)</f>
        <v>45992.46573</v>
      </c>
      <c r="C338" s="3" t="str">
        <f>IFERROR(__xludf.DUMMYFUNCTION("""COMPUTED_VALUE"""),"ชั้นปีที่ 2")</f>
        <v>ชั้นปีที่ 2</v>
      </c>
      <c r="D338" s="3" t="str">
        <f>IFERROR(__xludf.DUMMYFUNCTION("""COMPUTED_VALUE"""),"6703857")</f>
        <v>6703857</v>
      </c>
      <c r="E338" s="3" t="str">
        <f>IFERROR(__xludf.DUMMYFUNCTION("""COMPUTED_VALUE"""),"39")</f>
        <v>39</v>
      </c>
      <c r="F338" s="3" t="str">
        <f>IFERROR(__xludf.DUMMYFUNCTION("""COMPUTED_VALUE"""),"นพอ.พัณณิตา ศรีเพชร")</f>
        <v>นพอ.พัณณิตา ศรีเพชร</v>
      </c>
      <c r="G33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8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3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38" s="12">
        <f>IFERROR(__xludf.DUMMYFUNCTION("""COMPUTED_VALUE"""),45838.0)</f>
        <v>45838</v>
      </c>
      <c r="K338" s="3" t="str">
        <f>IFERROR(__xludf.DUMMYFUNCTION("""COMPUTED_VALUE"""),"1400 - 2200")</f>
        <v>1400 - 2200</v>
      </c>
      <c r="L338" s="3">
        <f>IFERROR(__xludf.DUMMYFUNCTION("""COMPUTED_VALUE"""),8.0)</f>
        <v>8</v>
      </c>
      <c r="M338" s="3" t="str">
        <f>IFERROR(__xludf.DUMMYFUNCTION("""COMPUTED_VALUE"""),"ร.อ.อนุชิต ทำจะดี")</f>
        <v>ร.อ.อนุชิต ทำจะดี</v>
      </c>
      <c r="N338" s="14" t="str">
        <f>IFERROR(__xludf.DUMMYFUNCTION("""COMPUTED_VALUE"""),"https://lh5.googleusercontent.com/d/1SfLzdb6PRLhVbjoRii9JY9jvpuQNAbdf")</f>
        <v>https://lh5.googleusercontent.com/d/1SfLzdb6PRLhVbjoRii9JY9jvpuQNAbdf</v>
      </c>
      <c r="O338" s="14" t="str">
        <f>IFERROR(__xludf.DUMMYFUNCTION("""COMPUTED_VALUE"""),"https://drive.google.com/file/d/1ASj9shzMNLvnToAN6pev_hNF90DxiK1p/view?usp=drivesdk")</f>
        <v>https://drive.google.com/file/d/1ASj9shzMNLvnToAN6pev_hNF90DxiK1p/view?usp=drivesdk</v>
      </c>
    </row>
    <row r="339">
      <c r="A339" s="3">
        <f>IFERROR(__xludf.DUMMYFUNCTION("""COMPUTED_VALUE"""),1002.0)</f>
        <v>1002</v>
      </c>
      <c r="B339" s="11">
        <f>IFERROR(__xludf.DUMMYFUNCTION("""COMPUTED_VALUE"""),45992.46614142361)</f>
        <v>45992.46614</v>
      </c>
      <c r="C339" s="3" t="str">
        <f>IFERROR(__xludf.DUMMYFUNCTION("""COMPUTED_VALUE"""),"ชั้นปีที่ 2")</f>
        <v>ชั้นปีที่ 2</v>
      </c>
      <c r="D339" s="3" t="str">
        <f>IFERROR(__xludf.DUMMYFUNCTION("""COMPUTED_VALUE"""),"6703877")</f>
        <v>6703877</v>
      </c>
      <c r="E339" s="3" t="str">
        <f>IFERROR(__xludf.DUMMYFUNCTION("""COMPUTED_VALUE"""),"58")</f>
        <v>58</v>
      </c>
      <c r="F339" s="3" t="str">
        <f>IFERROR(__xludf.DUMMYFUNCTION("""COMPUTED_VALUE"""),"นพอ.สุชารัตน์ นิวงษา")</f>
        <v>นพอ.สุชารัตน์ นิวงษา</v>
      </c>
      <c r="G3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9" s="3" t="str">
        <f>IFERROR(__xludf.DUMMYFUNCTION("""COMPUTED_VALUE"""),"ค่ายแนะแนวรัฐบุรุษ")</f>
        <v>ค่ายแนะแนวรัฐบุรุษ</v>
      </c>
      <c r="I339" s="3" t="str">
        <f>IFERROR(__xludf.DUMMYFUNCTION("""COMPUTED_VALUE"""),"รร.เบญจมราชูทิศ จ.ราชบุรี")</f>
        <v>รร.เบญจมราชูทิศ จ.ราชบุรี</v>
      </c>
      <c r="J339" s="12">
        <f>IFERROR(__xludf.DUMMYFUNCTION("""COMPUTED_VALUE"""),45891.0)</f>
        <v>45891</v>
      </c>
      <c r="K339" s="3" t="str">
        <f>IFERROR(__xludf.DUMMYFUNCTION("""COMPUTED_VALUE"""),"1600-2000")</f>
        <v>1600-2000</v>
      </c>
      <c r="L339" s="3">
        <f>IFERROR(__xludf.DUMMYFUNCTION("""COMPUTED_VALUE"""),4.0)</f>
        <v>4</v>
      </c>
      <c r="M33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39" s="14" t="str">
        <f>IFERROR(__xludf.DUMMYFUNCTION("""COMPUTED_VALUE"""),"https://lh5.googleusercontent.com/d/1O1522BACAjNgkFikDBpCdVgMalWi1MyP")</f>
        <v>https://lh5.googleusercontent.com/d/1O1522BACAjNgkFikDBpCdVgMalWi1MyP</v>
      </c>
      <c r="O339" s="14" t="str">
        <f>IFERROR(__xludf.DUMMYFUNCTION("""COMPUTED_VALUE"""),"https://drive.google.com/file/d/1gYifugxRm1JMHFk8MNrFpJclNGC75YZu/view?usp=drivesdk")</f>
        <v>https://drive.google.com/file/d/1gYifugxRm1JMHFk8MNrFpJclNGC75YZu/view?usp=drivesdk</v>
      </c>
    </row>
    <row r="340">
      <c r="A340" s="3">
        <f>IFERROR(__xludf.DUMMYFUNCTION("""COMPUTED_VALUE"""),1004.0)</f>
        <v>1004</v>
      </c>
      <c r="B340" s="11">
        <f>IFERROR(__xludf.DUMMYFUNCTION("""COMPUTED_VALUE"""),45992.46823619213)</f>
        <v>45992.46824</v>
      </c>
      <c r="C340" s="3" t="str">
        <f>IFERROR(__xludf.DUMMYFUNCTION("""COMPUTED_VALUE"""),"ชั้นปีที่ 2")</f>
        <v>ชั้นปีที่ 2</v>
      </c>
      <c r="D340" s="3" t="str">
        <f>IFERROR(__xludf.DUMMYFUNCTION("""COMPUTED_VALUE"""),"6703877")</f>
        <v>6703877</v>
      </c>
      <c r="E340" s="3" t="str">
        <f>IFERROR(__xludf.DUMMYFUNCTION("""COMPUTED_VALUE"""),"58")</f>
        <v>58</v>
      </c>
      <c r="F340" s="3" t="str">
        <f>IFERROR(__xludf.DUMMYFUNCTION("""COMPUTED_VALUE"""),"นพอ.สุชารัตน์ นิวงษา")</f>
        <v>นพอ.สุชารัตน์ นิวงษา</v>
      </c>
      <c r="G34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0" s="3" t="str">
        <f>IFERROR(__xludf.DUMMYFUNCTION("""COMPUTED_VALUE"""),"ค่ายแนะแนวรัฐบุรุษ")</f>
        <v>ค่ายแนะแนวรัฐบุรุษ</v>
      </c>
      <c r="I340" s="3" t="str">
        <f>IFERROR(__xludf.DUMMYFUNCTION("""COMPUTED_VALUE"""),"รร.เบญจมราชูทิศ")</f>
        <v>รร.เบญจมราชูทิศ</v>
      </c>
      <c r="J340" s="12">
        <f>IFERROR(__xludf.DUMMYFUNCTION("""COMPUTED_VALUE"""),45892.0)</f>
        <v>45892</v>
      </c>
      <c r="K340" s="3" t="str">
        <f>IFERROR(__xludf.DUMMYFUNCTION("""COMPUTED_VALUE"""),"0800-1600")</f>
        <v>0800-1600</v>
      </c>
      <c r="L340" s="3">
        <f>IFERROR(__xludf.DUMMYFUNCTION("""COMPUTED_VALUE"""),8.0)</f>
        <v>8</v>
      </c>
      <c r="M34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40" s="14" t="str">
        <f>IFERROR(__xludf.DUMMYFUNCTION("""COMPUTED_VALUE"""),"https://lh5.googleusercontent.com/d/1dO5P_0kIewPDW9-li3-IT7PKSSaQMOET")</f>
        <v>https://lh5.googleusercontent.com/d/1dO5P_0kIewPDW9-li3-IT7PKSSaQMOET</v>
      </c>
      <c r="O340" s="14" t="str">
        <f>IFERROR(__xludf.DUMMYFUNCTION("""COMPUTED_VALUE"""),"https://drive.google.com/file/d/1kfNe2puNzvh2e1bO3_5s0RGwSvvyKRAk/view?usp=drivesdk")</f>
        <v>https://drive.google.com/file/d/1kfNe2puNzvh2e1bO3_5s0RGwSvvyKRAk/view?usp=drivesdk</v>
      </c>
    </row>
    <row r="341">
      <c r="A341" s="3">
        <f>IFERROR(__xludf.DUMMYFUNCTION("""COMPUTED_VALUE"""),1005.0)</f>
        <v>1005</v>
      </c>
      <c r="B341" s="11">
        <f>IFERROR(__xludf.DUMMYFUNCTION("""COMPUTED_VALUE"""),45992.469661655094)</f>
        <v>45992.46966</v>
      </c>
      <c r="C341" s="3" t="str">
        <f>IFERROR(__xludf.DUMMYFUNCTION("""COMPUTED_VALUE"""),"ชั้นปีที่ 2")</f>
        <v>ชั้นปีที่ 2</v>
      </c>
      <c r="D341" s="3" t="str">
        <f>IFERROR(__xludf.DUMMYFUNCTION("""COMPUTED_VALUE"""),"6703877")</f>
        <v>6703877</v>
      </c>
      <c r="E341" s="3" t="str">
        <f>IFERROR(__xludf.DUMMYFUNCTION("""COMPUTED_VALUE"""),"58")</f>
        <v>58</v>
      </c>
      <c r="F341" s="3" t="str">
        <f>IFERROR(__xludf.DUMMYFUNCTION("""COMPUTED_VALUE"""),"นพอ.สุชารัตน์ นิวงษา")</f>
        <v>นพอ.สุชารัตน์ นิวงษา</v>
      </c>
      <c r="G34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1" s="3" t="str">
        <f>IFERROR(__xludf.DUMMYFUNCTION("""COMPUTED_VALUE"""),"ค่ายแนะแนวรัฐบุรุษ")</f>
        <v>ค่ายแนะแนวรัฐบุรุษ</v>
      </c>
      <c r="I341" s="3" t="str">
        <f>IFERROR(__xludf.DUMMYFUNCTION("""COMPUTED_VALUE"""),"รร.เบญจมราชูทิศ จ.ราชบุรี")</f>
        <v>รร.เบญจมราชูทิศ จ.ราชบุรี</v>
      </c>
      <c r="J341" s="12">
        <f>IFERROR(__xludf.DUMMYFUNCTION("""COMPUTED_VALUE"""),45893.0)</f>
        <v>45893</v>
      </c>
      <c r="K341" s="3" t="str">
        <f>IFERROR(__xludf.DUMMYFUNCTION("""COMPUTED_VALUE"""),"0800-160")</f>
        <v>0800-160</v>
      </c>
      <c r="L341" s="3">
        <f>IFERROR(__xludf.DUMMYFUNCTION("""COMPUTED_VALUE"""),8.0)</f>
        <v>8</v>
      </c>
      <c r="M34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41" s="14" t="str">
        <f>IFERROR(__xludf.DUMMYFUNCTION("""COMPUTED_VALUE"""),"https://lh5.googleusercontent.com/d/1Pvr_AHrt2aSeeW3RA7GAxhnlCWM1c8Qx")</f>
        <v>https://lh5.googleusercontent.com/d/1Pvr_AHrt2aSeeW3RA7GAxhnlCWM1c8Qx</v>
      </c>
      <c r="O341" s="14" t="str">
        <f>IFERROR(__xludf.DUMMYFUNCTION("""COMPUTED_VALUE"""),"https://drive.google.com/file/d/1gngIPRoBV7evk0EKJluYg2kP8xEQm4UG/view?usp=drivesdk")</f>
        <v>https://drive.google.com/file/d/1gngIPRoBV7evk0EKJluYg2kP8xEQm4UG/view?usp=drivesdk</v>
      </c>
    </row>
    <row r="342">
      <c r="A342" s="3">
        <f>IFERROR(__xludf.DUMMYFUNCTION("""COMPUTED_VALUE"""),1007.0)</f>
        <v>1007</v>
      </c>
      <c r="B342" s="11">
        <f>IFERROR(__xludf.DUMMYFUNCTION("""COMPUTED_VALUE"""),45992.472731064816)</f>
        <v>45992.47273</v>
      </c>
      <c r="C342" s="3" t="str">
        <f>IFERROR(__xludf.DUMMYFUNCTION("""COMPUTED_VALUE"""),"ชั้นปีที่ 2")</f>
        <v>ชั้นปีที่ 2</v>
      </c>
      <c r="D342" s="3" t="str">
        <f>IFERROR(__xludf.DUMMYFUNCTION("""COMPUTED_VALUE"""),"6703877")</f>
        <v>6703877</v>
      </c>
      <c r="E342" s="3" t="str">
        <f>IFERROR(__xludf.DUMMYFUNCTION("""COMPUTED_VALUE"""),"58")</f>
        <v>58</v>
      </c>
      <c r="F342" s="3" t="str">
        <f>IFERROR(__xludf.DUMMYFUNCTION("""COMPUTED_VALUE"""),"นพอ.สุชารัตน์ นิวงษา")</f>
        <v>นพอ.สุชารัตน์ นิวงษา</v>
      </c>
      <c r="G3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2" s="3" t="str">
        <f>IFERROR(__xludf.DUMMYFUNCTION("""COMPUTED_VALUE"""),"ค่ายพัฒนาเยาวชน รร.โยธินบูรณะ")</f>
        <v>ค่ายพัฒนาเยาวชน รร.โยธินบูรณะ</v>
      </c>
      <c r="I342" s="3" t="str">
        <f>IFERROR(__xludf.DUMMYFUNCTION("""COMPUTED_VALUE"""),"รร.นายร้อยพระจุลจอมเกล้า จ.นครนายก")</f>
        <v>รร.นายร้อยพระจุลจอมเกล้า จ.นครนายก</v>
      </c>
      <c r="J342" s="12">
        <f>IFERROR(__xludf.DUMMYFUNCTION("""COMPUTED_VALUE"""),45961.0)</f>
        <v>45961</v>
      </c>
      <c r="K342" s="3" t="str">
        <f>IFERROR(__xludf.DUMMYFUNCTION("""COMPUTED_VALUE"""),"1600-2000")</f>
        <v>1600-2000</v>
      </c>
      <c r="L342" s="3">
        <f>IFERROR(__xludf.DUMMYFUNCTION("""COMPUTED_VALUE"""),4.0)</f>
        <v>4</v>
      </c>
      <c r="M342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342" s="14" t="str">
        <f>IFERROR(__xludf.DUMMYFUNCTION("""COMPUTED_VALUE"""),"https://lh5.googleusercontent.com/d/1NhR06VWxpEuxQj_r7Y-wsVOM-2EKXYZg")</f>
        <v>https://lh5.googleusercontent.com/d/1NhR06VWxpEuxQj_r7Y-wsVOM-2EKXYZg</v>
      </c>
      <c r="O342" s="14" t="str">
        <f>IFERROR(__xludf.DUMMYFUNCTION("""COMPUTED_VALUE"""),"https://drive.google.com/file/d/1u7_HNdofd4ZvMGUL4tPMcsTl63ABXE0O/view?usp=drivesdk")</f>
        <v>https://drive.google.com/file/d/1u7_HNdofd4ZvMGUL4tPMcsTl63ABXE0O/view?usp=drivesdk</v>
      </c>
    </row>
    <row r="343">
      <c r="A343" s="3">
        <f>IFERROR(__xludf.DUMMYFUNCTION("""COMPUTED_VALUE"""),1008.0)</f>
        <v>1008</v>
      </c>
      <c r="B343" s="11">
        <f>IFERROR(__xludf.DUMMYFUNCTION("""COMPUTED_VALUE"""),45992.47286763889)</f>
        <v>45992.47287</v>
      </c>
      <c r="C343" s="3" t="str">
        <f>IFERROR(__xludf.DUMMYFUNCTION("""COMPUTED_VALUE"""),"ชั้นปีที่ 2")</f>
        <v>ชั้นปีที่ 2</v>
      </c>
      <c r="D343" s="3" t="str">
        <f>IFERROR(__xludf.DUMMYFUNCTION("""COMPUTED_VALUE"""),"6703857")</f>
        <v>6703857</v>
      </c>
      <c r="E343" s="3" t="str">
        <f>IFERROR(__xludf.DUMMYFUNCTION("""COMPUTED_VALUE"""),"39")</f>
        <v>39</v>
      </c>
      <c r="F343" s="3" t="str">
        <f>IFERROR(__xludf.DUMMYFUNCTION("""COMPUTED_VALUE"""),"นพอ.พัณณิตา ศรีเพชร")</f>
        <v>นพอ.พัณณิตา ศรีเพชร</v>
      </c>
      <c r="G3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3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4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3" s="12">
        <f>IFERROR(__xludf.DUMMYFUNCTION("""COMPUTED_VALUE"""),45839.0)</f>
        <v>45839</v>
      </c>
      <c r="K343" s="3" t="str">
        <f>IFERROR(__xludf.DUMMYFUNCTION("""COMPUTED_VALUE"""),"1400 - 2200")</f>
        <v>1400 - 2200</v>
      </c>
      <c r="L343" s="3">
        <f>IFERROR(__xludf.DUMMYFUNCTION("""COMPUTED_VALUE"""),8.0)</f>
        <v>8</v>
      </c>
      <c r="M343" s="3" t="str">
        <f>IFERROR(__xludf.DUMMYFUNCTION("""COMPUTED_VALUE"""),"ร.อ.อนุชิต ทำจะดี")</f>
        <v>ร.อ.อนุชิต ทำจะดี</v>
      </c>
      <c r="N343" s="14" t="str">
        <f>IFERROR(__xludf.DUMMYFUNCTION("""COMPUTED_VALUE"""),"https://lh5.googleusercontent.com/d/19-rvCIjoNPx2Pr9wBHJRVow3fI-4qHeK")</f>
        <v>https://lh5.googleusercontent.com/d/19-rvCIjoNPx2Pr9wBHJRVow3fI-4qHeK</v>
      </c>
      <c r="O343" s="14" t="str">
        <f>IFERROR(__xludf.DUMMYFUNCTION("""COMPUTED_VALUE"""),"https://drive.google.com/file/d/1j83TvN-XFcMnhVKMMPRHFxI7WdrwRKRb/view?usp=drivesdk")</f>
        <v>https://drive.google.com/file/d/1j83TvN-XFcMnhVKMMPRHFxI7WdrwRKRb/view?usp=drivesdk</v>
      </c>
    </row>
    <row r="344">
      <c r="A344" s="3">
        <f>IFERROR(__xludf.DUMMYFUNCTION("""COMPUTED_VALUE"""),1009.0)</f>
        <v>1009</v>
      </c>
      <c r="B344" s="11">
        <f>IFERROR(__xludf.DUMMYFUNCTION("""COMPUTED_VALUE"""),45992.47556179399)</f>
        <v>45992.47556</v>
      </c>
      <c r="C344" s="3" t="str">
        <f>IFERROR(__xludf.DUMMYFUNCTION("""COMPUTED_VALUE"""),"ชั้นปีที่ 2")</f>
        <v>ชั้นปีที่ 2</v>
      </c>
      <c r="D344" s="3" t="str">
        <f>IFERROR(__xludf.DUMMYFUNCTION("""COMPUTED_VALUE"""),"6703857")</f>
        <v>6703857</v>
      </c>
      <c r="E344" s="3" t="str">
        <f>IFERROR(__xludf.DUMMYFUNCTION("""COMPUTED_VALUE"""),"39")</f>
        <v>39</v>
      </c>
      <c r="F344" s="3" t="str">
        <f>IFERROR(__xludf.DUMMYFUNCTION("""COMPUTED_VALUE"""),"นพอ.พัณณิตา ศรีเพชร")</f>
        <v>นพอ.พัณณิตา ศรีเพชร</v>
      </c>
      <c r="G3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4" s="3" t="str">
        <f>IFERROR(__xludf.DUMMYFUNCTION("""COMPUTED_VALUE"""),"คอนเสิร์ตทัพฟ้าคู่ไทยเพื่อ ""ชัยพัฒนา"" ครั้งที่ 16")</f>
        <v>คอนเสิร์ตทัพฟ้าคู่ไทยเพื่อ "ชัยพัฒนา" ครั้งที่ 16</v>
      </c>
      <c r="I34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4" s="12">
        <f>IFERROR(__xludf.DUMMYFUNCTION("""COMPUTED_VALUE"""),45840.0)</f>
        <v>45840</v>
      </c>
      <c r="K344" s="3" t="str">
        <f>IFERROR(__xludf.DUMMYFUNCTION("""COMPUTED_VALUE"""),"1400 -2200")</f>
        <v>1400 -2200</v>
      </c>
      <c r="L344" s="3">
        <f>IFERROR(__xludf.DUMMYFUNCTION("""COMPUTED_VALUE"""),8.0)</f>
        <v>8</v>
      </c>
      <c r="M344" s="3" t="str">
        <f>IFERROR(__xludf.DUMMYFUNCTION("""COMPUTED_VALUE"""),"ร.อ.อนุชิต ทำจะดี")</f>
        <v>ร.อ.อนุชิต ทำจะดี</v>
      </c>
      <c r="N344" s="14" t="str">
        <f>IFERROR(__xludf.DUMMYFUNCTION("""COMPUTED_VALUE"""),"https://lh5.googleusercontent.com/d/1dCll_pfyYQzF35Hs_WY9pobowIhQxjYR")</f>
        <v>https://lh5.googleusercontent.com/d/1dCll_pfyYQzF35Hs_WY9pobowIhQxjYR</v>
      </c>
      <c r="O344" s="14" t="str">
        <f>IFERROR(__xludf.DUMMYFUNCTION("""COMPUTED_VALUE"""),"https://drive.google.com/file/d/12NQ9EzKooI9XrUtQLAopzjILN-dvm9qh/view?usp=drivesdk")</f>
        <v>https://drive.google.com/file/d/12NQ9EzKooI9XrUtQLAopzjILN-dvm9qh/view?usp=drivesdk</v>
      </c>
    </row>
    <row r="345">
      <c r="A345" s="3">
        <f>IFERROR(__xludf.DUMMYFUNCTION("""COMPUTED_VALUE"""),1012.0)</f>
        <v>1012</v>
      </c>
      <c r="B345" s="11">
        <f>IFERROR(__xludf.DUMMYFUNCTION("""COMPUTED_VALUE"""),45992.48054417824)</f>
        <v>45992.48054</v>
      </c>
      <c r="C345" s="3" t="str">
        <f>IFERROR(__xludf.DUMMYFUNCTION("""COMPUTED_VALUE"""),"ชั้นปีที่ 2")</f>
        <v>ชั้นปีที่ 2</v>
      </c>
      <c r="D345" s="3" t="str">
        <f>IFERROR(__xludf.DUMMYFUNCTION("""COMPUTED_VALUE"""),"6703857")</f>
        <v>6703857</v>
      </c>
      <c r="E345" s="3" t="str">
        <f>IFERROR(__xludf.DUMMYFUNCTION("""COMPUTED_VALUE"""),"39")</f>
        <v>39</v>
      </c>
      <c r="F345" s="3" t="str">
        <f>IFERROR(__xludf.DUMMYFUNCTION("""COMPUTED_VALUE"""),"นพอ.พัณณิตา ศรีเพชร")</f>
        <v>นพอ.พัณณิตา ศรีเพชร</v>
      </c>
      <c r="G34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45" s="3" t="str">
        <f>IFERROR(__xludf.DUMMYFUNCTION("""COMPUTED_VALUE"""),"บริจาคโลหิต")</f>
        <v>บริจาคโลหิต</v>
      </c>
      <c r="I345" s="3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345" s="12">
        <f>IFERROR(__xludf.DUMMYFUNCTION("""COMPUTED_VALUE"""),45935.0)</f>
        <v>45935</v>
      </c>
      <c r="K345" s="3" t="str">
        <f>IFERROR(__xludf.DUMMYFUNCTION("""COMPUTED_VALUE"""),"0800 - 1600")</f>
        <v>0800 - 1600</v>
      </c>
      <c r="L345" s="3">
        <f>IFERROR(__xludf.DUMMYFUNCTION("""COMPUTED_VALUE"""),8.0)</f>
        <v>8</v>
      </c>
      <c r="M345" s="3" t="str">
        <f>IFERROR(__xludf.DUMMYFUNCTION("""COMPUTED_VALUE"""),"นางอุษณีย์ ศรีเพชร")</f>
        <v>นางอุษณีย์ ศรีเพชร</v>
      </c>
      <c r="N345" s="14" t="str">
        <f>IFERROR(__xludf.DUMMYFUNCTION("""COMPUTED_VALUE"""),"https://lh5.googleusercontent.com/d/1WGj0u37rtWUj3PAk200eUg0HN_pZB8IL")</f>
        <v>https://lh5.googleusercontent.com/d/1WGj0u37rtWUj3PAk200eUg0HN_pZB8IL</v>
      </c>
      <c r="O345" s="14" t="str">
        <f>IFERROR(__xludf.DUMMYFUNCTION("""COMPUTED_VALUE"""),"https://drive.google.com/file/d/1GmbDgj7umWjPB-PxNPj4MC5IvzvJWnfx/view?usp=drivesdk")</f>
        <v>https://drive.google.com/file/d/1GmbDgj7umWjPB-PxNPj4MC5IvzvJWnfx/view?usp=drivesdk</v>
      </c>
    </row>
    <row r="346">
      <c r="A346" s="3">
        <f>IFERROR(__xludf.DUMMYFUNCTION("""COMPUTED_VALUE"""),1015.0)</f>
        <v>1015</v>
      </c>
      <c r="B346" s="11">
        <f>IFERROR(__xludf.DUMMYFUNCTION("""COMPUTED_VALUE"""),45992.49079568287)</f>
        <v>45992.4908</v>
      </c>
      <c r="C346" s="3" t="str">
        <f>IFERROR(__xludf.DUMMYFUNCTION("""COMPUTED_VALUE"""),"ชั้นปีที่ 2")</f>
        <v>ชั้นปีที่ 2</v>
      </c>
      <c r="D346" s="3" t="str">
        <f>IFERROR(__xludf.DUMMYFUNCTION("""COMPUTED_VALUE"""),"6703857")</f>
        <v>6703857</v>
      </c>
      <c r="E346" s="3" t="str">
        <f>IFERROR(__xludf.DUMMYFUNCTION("""COMPUTED_VALUE"""),"39")</f>
        <v>39</v>
      </c>
      <c r="F346" s="3" t="str">
        <f>IFERROR(__xludf.DUMMYFUNCTION("""COMPUTED_VALUE"""),"นพอ.พัณณิตา ศรีเพชร")</f>
        <v>นพอ.พัณณิตา ศรีเพชร</v>
      </c>
      <c r="G346" s="3" t="str">
        <f>IFERROR(__xludf.DUMMYFUNCTION("""COMPUTED_VALUE"""),"ทำนุบำรุงศาสนสถาน")</f>
        <v>ทำนุบำรุงศาสนสถาน</v>
      </c>
      <c r="H346" s="3" t="str">
        <f>IFERROR(__xludf.DUMMYFUNCTION("""COMPUTED_VALUE"""),"ถวายสังฆทาน")</f>
        <v>ถวายสังฆทาน</v>
      </c>
      <c r="I346" s="3" t="str">
        <f>IFERROR(__xludf.DUMMYFUNCTION("""COMPUTED_VALUE"""),"วัดเวฬุวนาราม")</f>
        <v>วัดเวฬุวนาราม</v>
      </c>
      <c r="J346" s="12">
        <f>IFERROR(__xludf.DUMMYFUNCTION("""COMPUTED_VALUE"""),45990.0)</f>
        <v>45990</v>
      </c>
      <c r="K346" s="3" t="str">
        <f>IFERROR(__xludf.DUMMYFUNCTION("""COMPUTED_VALUE"""),"1100 - 1500")</f>
        <v>1100 - 1500</v>
      </c>
      <c r="L346" s="3">
        <f>IFERROR(__xludf.DUMMYFUNCTION("""COMPUTED_VALUE"""),4.0)</f>
        <v>4</v>
      </c>
      <c r="M346" s="3" t="str">
        <f>IFERROR(__xludf.DUMMYFUNCTION("""COMPUTED_VALUE"""),"นายอภิวัฒน์ ก่ำจำปา")</f>
        <v>นายอภิวัฒน์ ก่ำจำปา</v>
      </c>
      <c r="N346" s="14" t="str">
        <f>IFERROR(__xludf.DUMMYFUNCTION("""COMPUTED_VALUE"""),"https://lh5.googleusercontent.com/d/12xlwykMiVfYT67yUgnQXWYuyf5MfHnHN")</f>
        <v>https://lh5.googleusercontent.com/d/12xlwykMiVfYT67yUgnQXWYuyf5MfHnHN</v>
      </c>
      <c r="O346" s="14" t="str">
        <f>IFERROR(__xludf.DUMMYFUNCTION("""COMPUTED_VALUE"""),"https://drive.google.com/file/d/1TyBn6oKujUrmEZLxvuATER1Co3Fz5J-I/view?usp=drivesdk")</f>
        <v>https://drive.google.com/file/d/1TyBn6oKujUrmEZLxvuATER1Co3Fz5J-I/view?usp=drivesdk</v>
      </c>
    </row>
    <row r="347">
      <c r="A347" s="3">
        <f>IFERROR(__xludf.DUMMYFUNCTION("""COMPUTED_VALUE"""),1018.0)</f>
        <v>1018</v>
      </c>
      <c r="B347" s="11">
        <f>IFERROR(__xludf.DUMMYFUNCTION("""COMPUTED_VALUE"""),45992.536243530085)</f>
        <v>45992.53624</v>
      </c>
      <c r="C347" s="3" t="str">
        <f>IFERROR(__xludf.DUMMYFUNCTION("""COMPUTED_VALUE"""),"ชั้นปีที่ 2")</f>
        <v>ชั้นปีที่ 2</v>
      </c>
      <c r="D347" s="3" t="str">
        <f>IFERROR(__xludf.DUMMYFUNCTION("""COMPUTED_VALUE"""),"6703868")</f>
        <v>6703868</v>
      </c>
      <c r="E347" s="3" t="str">
        <f>IFERROR(__xludf.DUMMYFUNCTION("""COMPUTED_VALUE"""),"50")</f>
        <v>50</v>
      </c>
      <c r="F347" s="3" t="str">
        <f>IFERROR(__xludf.DUMMYFUNCTION("""COMPUTED_VALUE"""),"นพอ.วราภรณ์ กาสี")</f>
        <v>นพอ.วราภรณ์ กาสี</v>
      </c>
      <c r="G34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47" s="3" t="str">
        <f>IFERROR(__xludf.DUMMYFUNCTION("""COMPUTED_VALUE"""),"บริจาคโลหิต")</f>
        <v>บริจาคโลหิต</v>
      </c>
      <c r="I347" s="3" t="str">
        <f>IFERROR(__xludf.DUMMYFUNCTION("""COMPUTED_VALUE"""),"โรงพยาบาลเพชรบูรณ์")</f>
        <v>โรงพยาบาลเพชรบูรณ์</v>
      </c>
      <c r="J347" s="12">
        <f>IFERROR(__xludf.DUMMYFUNCTION("""COMPUTED_VALUE"""),45941.0)</f>
        <v>45941</v>
      </c>
      <c r="K347" s="3" t="str">
        <f>IFERROR(__xludf.DUMMYFUNCTION("""COMPUTED_VALUE"""),"0800-1600")</f>
        <v>0800-1600</v>
      </c>
      <c r="L347" s="3">
        <f>IFERROR(__xludf.DUMMYFUNCTION("""COMPUTED_VALUE"""),8.0)</f>
        <v>8</v>
      </c>
      <c r="M347" s="3" t="str">
        <f>IFERROR(__xludf.DUMMYFUNCTION("""COMPUTED_VALUE"""),"นางอังศนา กาสี")</f>
        <v>นางอังศนา กาสี</v>
      </c>
      <c r="N347" s="14" t="str">
        <f>IFERROR(__xludf.DUMMYFUNCTION("""COMPUTED_VALUE"""),"https://lh5.googleusercontent.com/d/1nxRdi20AjeA49fiPrvOC8OHcXQ3ZN2yz")</f>
        <v>https://lh5.googleusercontent.com/d/1nxRdi20AjeA49fiPrvOC8OHcXQ3ZN2yz</v>
      </c>
      <c r="O347" s="14" t="str">
        <f>IFERROR(__xludf.DUMMYFUNCTION("""COMPUTED_VALUE"""),"https://drive.google.com/file/d/1KZ0xlHc_MnfYySa3oTnu37BIB4UuiJ2P/view?usp=drivesdk")</f>
        <v>https://drive.google.com/file/d/1KZ0xlHc_MnfYySa3oTnu37BIB4UuiJ2P/view?usp=drivesdk</v>
      </c>
    </row>
    <row r="348">
      <c r="A348" s="3">
        <f>IFERROR(__xludf.DUMMYFUNCTION("""COMPUTED_VALUE"""),1020.0)</f>
        <v>1020</v>
      </c>
      <c r="B348" s="11">
        <f>IFERROR(__xludf.DUMMYFUNCTION("""COMPUTED_VALUE"""),45992.53810745371)</f>
        <v>45992.53811</v>
      </c>
      <c r="C348" s="3" t="str">
        <f>IFERROR(__xludf.DUMMYFUNCTION("""COMPUTED_VALUE"""),"ชั้นปีที่ 2")</f>
        <v>ชั้นปีที่ 2</v>
      </c>
      <c r="D348" s="3" t="str">
        <f>IFERROR(__xludf.DUMMYFUNCTION("""COMPUTED_VALUE"""),"6703868")</f>
        <v>6703868</v>
      </c>
      <c r="E348" s="3" t="str">
        <f>IFERROR(__xludf.DUMMYFUNCTION("""COMPUTED_VALUE"""),"50")</f>
        <v>50</v>
      </c>
      <c r="F348" s="3" t="str">
        <f>IFERROR(__xludf.DUMMYFUNCTION("""COMPUTED_VALUE"""),"นพอ.วราภรณ์ กาสี")</f>
        <v>นพอ.วราภรณ์ กาสี</v>
      </c>
      <c r="G34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8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48" s="3" t="str">
        <f>IFERROR(__xludf.DUMMYFUNCTION("""COMPUTED_VALUE"""),"กองบัญชากากองทัพอากาศ")</f>
        <v>กองบัญชากากองทัพอากาศ</v>
      </c>
      <c r="J348" s="12">
        <f>IFERROR(__xludf.DUMMYFUNCTION("""COMPUTED_VALUE"""),45833.0)</f>
        <v>45833</v>
      </c>
      <c r="K348" s="3" t="str">
        <f>IFERROR(__xludf.DUMMYFUNCTION("""COMPUTED_VALUE"""),"0800-1600")</f>
        <v>0800-1600</v>
      </c>
      <c r="L348" s="3">
        <f>IFERROR(__xludf.DUMMYFUNCTION("""COMPUTED_VALUE"""),8.0)</f>
        <v>8</v>
      </c>
      <c r="M348" s="3" t="str">
        <f>IFERROR(__xludf.DUMMYFUNCTION("""COMPUTED_VALUE"""),"ร.อ.อนุชิต ทำจะดี")</f>
        <v>ร.อ.อนุชิต ทำจะดี</v>
      </c>
      <c r="N348" s="14" t="str">
        <f>IFERROR(__xludf.DUMMYFUNCTION("""COMPUTED_VALUE"""),"https://lh5.googleusercontent.com/d/1oxORO01P1Y7L024tw7U--e7Dt7gUYc-E")</f>
        <v>https://lh5.googleusercontent.com/d/1oxORO01P1Y7L024tw7U--e7Dt7gUYc-E</v>
      </c>
      <c r="O348" s="14" t="str">
        <f>IFERROR(__xludf.DUMMYFUNCTION("""COMPUTED_VALUE"""),"https://drive.google.com/file/d/1Grd2Xc6g_AC1t3hmXO8YD-cbeF8yefHp/view?usp=drivesdk")</f>
        <v>https://drive.google.com/file/d/1Grd2Xc6g_AC1t3hmXO8YD-cbeF8yefHp/view?usp=drivesdk</v>
      </c>
    </row>
    <row r="349">
      <c r="A349" s="3">
        <f>IFERROR(__xludf.DUMMYFUNCTION("""COMPUTED_VALUE"""),1021.0)</f>
        <v>1021</v>
      </c>
      <c r="B349" s="11">
        <f>IFERROR(__xludf.DUMMYFUNCTION("""COMPUTED_VALUE"""),45992.54223643518)</f>
        <v>45992.54224</v>
      </c>
      <c r="C349" s="3" t="str">
        <f>IFERROR(__xludf.DUMMYFUNCTION("""COMPUTED_VALUE"""),"ชั้นปีที่ 2")</f>
        <v>ชั้นปีที่ 2</v>
      </c>
      <c r="D349" s="3" t="str">
        <f>IFERROR(__xludf.DUMMYFUNCTION("""COMPUTED_VALUE"""),"6703868")</f>
        <v>6703868</v>
      </c>
      <c r="E349" s="3" t="str">
        <f>IFERROR(__xludf.DUMMYFUNCTION("""COMPUTED_VALUE"""),"50")</f>
        <v>50</v>
      </c>
      <c r="F349" s="3" t="str">
        <f>IFERROR(__xludf.DUMMYFUNCTION("""COMPUTED_VALUE"""),"นพอ.วราภรณ์ กาสี")</f>
        <v>นพอ.วราภรณ์ กาสี</v>
      </c>
      <c r="G3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9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4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49" s="12">
        <f>IFERROR(__xludf.DUMMYFUNCTION("""COMPUTED_VALUE"""),45838.0)</f>
        <v>45838</v>
      </c>
      <c r="K349" s="3" t="str">
        <f>IFERROR(__xludf.DUMMYFUNCTION("""COMPUTED_VALUE"""),"1400-2200")</f>
        <v>1400-2200</v>
      </c>
      <c r="L349" s="3">
        <f>IFERROR(__xludf.DUMMYFUNCTION("""COMPUTED_VALUE"""),8.0)</f>
        <v>8</v>
      </c>
      <c r="M349" s="3" t="str">
        <f>IFERROR(__xludf.DUMMYFUNCTION("""COMPUTED_VALUE"""),"ร.อ.อนุชิต ทำจะดี")</f>
        <v>ร.อ.อนุชิต ทำจะดี</v>
      </c>
      <c r="N349" s="14" t="str">
        <f>IFERROR(__xludf.DUMMYFUNCTION("""COMPUTED_VALUE"""),"https://lh5.googleusercontent.com/d/13ypWfuC0_1TaPjFLyhIXXJTZ-fl-gIr0")</f>
        <v>https://lh5.googleusercontent.com/d/13ypWfuC0_1TaPjFLyhIXXJTZ-fl-gIr0</v>
      </c>
      <c r="O349" s="14" t="str">
        <f>IFERROR(__xludf.DUMMYFUNCTION("""COMPUTED_VALUE"""),"https://drive.google.com/file/d/1V-TVztsm9WDNAhhofFKbCClRqoqaTpFd/view?usp=drivesdk")</f>
        <v>https://drive.google.com/file/d/1V-TVztsm9WDNAhhofFKbCClRqoqaTpFd/view?usp=drivesdk</v>
      </c>
    </row>
    <row r="350">
      <c r="A350" s="3">
        <f>IFERROR(__xludf.DUMMYFUNCTION("""COMPUTED_VALUE"""),1022.0)</f>
        <v>1022</v>
      </c>
      <c r="B350" s="11">
        <f>IFERROR(__xludf.DUMMYFUNCTION("""COMPUTED_VALUE"""),45992.544722962964)</f>
        <v>45992.54472</v>
      </c>
      <c r="C350" s="3" t="str">
        <f>IFERROR(__xludf.DUMMYFUNCTION("""COMPUTED_VALUE"""),"ชั้นปีที่ 2")</f>
        <v>ชั้นปีที่ 2</v>
      </c>
      <c r="D350" s="3" t="str">
        <f>IFERROR(__xludf.DUMMYFUNCTION("""COMPUTED_VALUE"""),"6703857")</f>
        <v>6703857</v>
      </c>
      <c r="E350" s="3" t="str">
        <f>IFERROR(__xludf.DUMMYFUNCTION("""COMPUTED_VALUE"""),"39")</f>
        <v>39</v>
      </c>
      <c r="F350" s="3" t="str">
        <f>IFERROR(__xludf.DUMMYFUNCTION("""COMPUTED_VALUE"""),"นพอ.พัณณิตา ศรีเพชร")</f>
        <v>นพอ.พัณณิตา ศรีเพชร</v>
      </c>
      <c r="G350" s="3" t="str">
        <f>IFERROR(__xludf.DUMMYFUNCTION("""COMPUTED_VALUE"""),"ช่วยเหลืองานภายใน วพอ.")</f>
        <v>ช่วยเหลืองานภายใน วพอ.</v>
      </c>
      <c r="H350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50" s="3" t="str">
        <f>IFERROR(__xludf.DUMMYFUNCTION("""COMPUTED_VALUE"""),"ห้องเรียน นพอ.ชั้นปีที่ 1")</f>
        <v>ห้องเรียน นพอ.ชั้นปีที่ 1</v>
      </c>
      <c r="J350" s="12">
        <f>IFERROR(__xludf.DUMMYFUNCTION("""COMPUTED_VALUE"""),45984.0)</f>
        <v>45984</v>
      </c>
      <c r="K350" s="3" t="str">
        <f>IFERROR(__xludf.DUMMYFUNCTION("""COMPUTED_VALUE"""),"1000 - 1800")</f>
        <v>1000 - 1800</v>
      </c>
      <c r="L350" s="3">
        <f>IFERROR(__xludf.DUMMYFUNCTION("""COMPUTED_VALUE"""),8.0)</f>
        <v>8</v>
      </c>
      <c r="M350" s="3" t="str">
        <f>IFERROR(__xludf.DUMMYFUNCTION("""COMPUTED_VALUE"""),"ร.ท.เรวัติ วัชรสิทธิ์")</f>
        <v>ร.ท.เรวัติ วัชรสิทธิ์</v>
      </c>
      <c r="N350" s="14" t="str">
        <f>IFERROR(__xludf.DUMMYFUNCTION("""COMPUTED_VALUE"""),"https://lh5.googleusercontent.com/d/1VSU3AAAngV_LFkjP26k_x_3ESpBFh3-T")</f>
        <v>https://lh5.googleusercontent.com/d/1VSU3AAAngV_LFkjP26k_x_3ESpBFh3-T</v>
      </c>
      <c r="O350" s="14" t="str">
        <f>IFERROR(__xludf.DUMMYFUNCTION("""COMPUTED_VALUE"""),"https://drive.google.com/file/d/1j-klncCgGm3tezDKmk9S2T3N0TelHv08/view?usp=drivesdk")</f>
        <v>https://drive.google.com/file/d/1j-klncCgGm3tezDKmk9S2T3N0TelHv08/view?usp=drivesdk</v>
      </c>
    </row>
    <row r="351">
      <c r="A351" s="3">
        <f>IFERROR(__xludf.DUMMYFUNCTION("""COMPUTED_VALUE"""),1023.0)</f>
        <v>1023</v>
      </c>
      <c r="B351" s="11">
        <f>IFERROR(__xludf.DUMMYFUNCTION("""COMPUTED_VALUE"""),45992.55113003472)</f>
        <v>45992.55113</v>
      </c>
      <c r="C351" s="3" t="str">
        <f>IFERROR(__xludf.DUMMYFUNCTION("""COMPUTED_VALUE"""),"ชั้นปีที่ 2")</f>
        <v>ชั้นปีที่ 2</v>
      </c>
      <c r="D351" s="3" t="str">
        <f>IFERROR(__xludf.DUMMYFUNCTION("""COMPUTED_VALUE"""),"6703857")</f>
        <v>6703857</v>
      </c>
      <c r="E351" s="3" t="str">
        <f>IFERROR(__xludf.DUMMYFUNCTION("""COMPUTED_VALUE"""),"39")</f>
        <v>39</v>
      </c>
      <c r="F351" s="3" t="str">
        <f>IFERROR(__xludf.DUMMYFUNCTION("""COMPUTED_VALUE"""),"นพอ.พัณณิตา ศรีเพชร")</f>
        <v>นพอ.พัณณิตา ศรีเพชร</v>
      </c>
      <c r="G3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1" s="3" t="str">
        <f>IFERROR(__xludf.DUMMYFUNCTION("""COMPUTED_VALUE"""),"เข้าร่วมพิธีถวายพานพุ่มสักการะเนื่องในวันพยาบาลแห่งชาติ")</f>
        <v>เข้าร่วมพิธีถวายพานพุ่มสักการะเนื่องในวันพยาบาลแห่งชาติ</v>
      </c>
      <c r="I351" s="3" t="str">
        <f>IFERROR(__xludf.DUMMYFUNCTION("""COMPUTED_VALUE"""),"กระทรวงสาธารณสุข จังหวัดนนทบุรี")</f>
        <v>กระทรวงสาธารณสุข จังหวัดนนทบุรี</v>
      </c>
      <c r="J351" s="12">
        <f>IFERROR(__xludf.DUMMYFUNCTION("""COMPUTED_VALUE"""),45951.0)</f>
        <v>45951</v>
      </c>
      <c r="K351" s="3" t="str">
        <f>IFERROR(__xludf.DUMMYFUNCTION("""COMPUTED_VALUE"""),"0600 - 0800")</f>
        <v>0600 - 0800</v>
      </c>
      <c r="L351" s="3">
        <f>IFERROR(__xludf.DUMMYFUNCTION("""COMPUTED_VALUE"""),2.0)</f>
        <v>2</v>
      </c>
      <c r="M351" s="3" t="str">
        <f>IFERROR(__xludf.DUMMYFUNCTION("""COMPUTED_VALUE"""),"น.ต.ศักชัย บุญประสิทธิ์")</f>
        <v>น.ต.ศักชัย บุญประสิทธิ์</v>
      </c>
      <c r="N351" s="14" t="str">
        <f>IFERROR(__xludf.DUMMYFUNCTION("""COMPUTED_VALUE"""),"https://lh5.googleusercontent.com/d/1pShWwp0udgHR0AXRGtvp7zAXnCdwmTxp")</f>
        <v>https://lh5.googleusercontent.com/d/1pShWwp0udgHR0AXRGtvp7zAXnCdwmTxp</v>
      </c>
      <c r="O351" s="14" t="str">
        <f>IFERROR(__xludf.DUMMYFUNCTION("""COMPUTED_VALUE"""),"https://drive.google.com/file/d/1bk-RqK6-hdT1ms59_5T5YpDl9iTy_F0P/view?usp=drivesdk")</f>
        <v>https://drive.google.com/file/d/1bk-RqK6-hdT1ms59_5T5YpDl9iTy_F0P/view?usp=drivesdk</v>
      </c>
    </row>
    <row r="352">
      <c r="A352" s="3">
        <f>IFERROR(__xludf.DUMMYFUNCTION("""COMPUTED_VALUE"""),1027.0)</f>
        <v>1027</v>
      </c>
      <c r="B352" s="11">
        <f>IFERROR(__xludf.DUMMYFUNCTION("""COMPUTED_VALUE"""),45992.56107658564)</f>
        <v>45992.56108</v>
      </c>
      <c r="C352" s="3" t="str">
        <f>IFERROR(__xludf.DUMMYFUNCTION("""COMPUTED_VALUE"""),"ชั้นปีที่ 2")</f>
        <v>ชั้นปีที่ 2</v>
      </c>
      <c r="D352" s="3" t="str">
        <f>IFERROR(__xludf.DUMMYFUNCTION("""COMPUTED_VALUE"""),"6703857")</f>
        <v>6703857</v>
      </c>
      <c r="E352" s="3" t="str">
        <f>IFERROR(__xludf.DUMMYFUNCTION("""COMPUTED_VALUE"""),"39")</f>
        <v>39</v>
      </c>
      <c r="F352" s="3" t="str">
        <f>IFERROR(__xludf.DUMMYFUNCTION("""COMPUTED_VALUE"""),"นพอ.พัณณิตา ศรีเพชร")</f>
        <v>นพอ.พัณณิตา ศรีเพชร</v>
      </c>
      <c r="G352" s="3" t="str">
        <f>IFERROR(__xludf.DUMMYFUNCTION("""COMPUTED_VALUE"""),"งานฟรีทั่วไป")</f>
        <v>งานฟรีทั่วไป</v>
      </c>
      <c r="H352" s="3" t="str">
        <f>IFERROR(__xludf.DUMMYFUNCTION("""COMPUTED_VALUE"""),"บริจาคเงินช่วยเหลือร.พ./ผู้ประสบภัยน้ำท่วมภาคใต้")</f>
        <v>บริจาคเงินช่วยเหลือร.พ./ผู้ประสบภัยน้ำท่วมภาคใต้</v>
      </c>
      <c r="I352" s="3" t="str">
        <f>IFERROR(__xludf.DUMMYFUNCTION("""COMPUTED_VALUE"""),"วิทยาลัยพยาบาลทหารอากาศ")</f>
        <v>วิทยาลัยพยาบาลทหารอากาศ</v>
      </c>
      <c r="J352" s="12">
        <f>IFERROR(__xludf.DUMMYFUNCTION("""COMPUTED_VALUE"""),45988.0)</f>
        <v>45988</v>
      </c>
      <c r="K352" s="3" t="str">
        <f>IFERROR(__xludf.DUMMYFUNCTION("""COMPUTED_VALUE"""),"1300 - 1400")</f>
        <v>1300 - 1400</v>
      </c>
      <c r="L352" s="3">
        <f>IFERROR(__xludf.DUMMYFUNCTION("""COMPUTED_VALUE"""),1.0)</f>
        <v>1</v>
      </c>
      <c r="M352" s="3" t="str">
        <f>IFERROR(__xludf.DUMMYFUNCTION("""COMPUTED_VALUE"""),"นางอุษณีย์ ศรีเพชร")</f>
        <v>นางอุษณีย์ ศรีเพชร</v>
      </c>
      <c r="N352" s="14" t="str">
        <f>IFERROR(__xludf.DUMMYFUNCTION("""COMPUTED_VALUE"""),"https://lh5.googleusercontent.com/d/1_6VU0lj-BJeyw_F-jUDzd9Hxv57uWfDN")</f>
        <v>https://lh5.googleusercontent.com/d/1_6VU0lj-BJeyw_F-jUDzd9Hxv57uWfDN</v>
      </c>
      <c r="O352" s="14" t="str">
        <f>IFERROR(__xludf.DUMMYFUNCTION("""COMPUTED_VALUE"""),"https://drive.google.com/file/d/1V-4QKpk_E4Fh2ypTzsgMZ5sEpeJOGhNt/view?usp=drivesdk")</f>
        <v>https://drive.google.com/file/d/1V-4QKpk_E4Fh2ypTzsgMZ5sEpeJOGhNt/view?usp=drivesdk</v>
      </c>
    </row>
    <row r="353">
      <c r="A353" s="3">
        <f>IFERROR(__xludf.DUMMYFUNCTION("""COMPUTED_VALUE"""),1031.0)</f>
        <v>1031</v>
      </c>
      <c r="B353" s="11">
        <f>IFERROR(__xludf.DUMMYFUNCTION("""COMPUTED_VALUE"""),45992.58168206018)</f>
        <v>45992.58168</v>
      </c>
      <c r="C353" s="3" t="str">
        <f>IFERROR(__xludf.DUMMYFUNCTION("""COMPUTED_VALUE"""),"ชั้นปีที่ 2")</f>
        <v>ชั้นปีที่ 2</v>
      </c>
      <c r="D353" s="3" t="str">
        <f>IFERROR(__xludf.DUMMYFUNCTION("""COMPUTED_VALUE"""),"6703868")</f>
        <v>6703868</v>
      </c>
      <c r="E353" s="3" t="str">
        <f>IFERROR(__xludf.DUMMYFUNCTION("""COMPUTED_VALUE"""),"50")</f>
        <v>50</v>
      </c>
      <c r="F353" s="3" t="str">
        <f>IFERROR(__xludf.DUMMYFUNCTION("""COMPUTED_VALUE"""),"นพอ.วราภรณ์ กาสี")</f>
        <v>นพอ.วราภรณ์ กาสี</v>
      </c>
      <c r="G3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3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35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3" s="12">
        <f>IFERROR(__xludf.DUMMYFUNCTION("""COMPUTED_VALUE"""),45839.0)</f>
        <v>45839</v>
      </c>
      <c r="K353" s="3" t="str">
        <f>IFERROR(__xludf.DUMMYFUNCTION("""COMPUTED_VALUE"""),"1400-2200")</f>
        <v>1400-2200</v>
      </c>
      <c r="L353" s="3">
        <f>IFERROR(__xludf.DUMMYFUNCTION("""COMPUTED_VALUE"""),8.0)</f>
        <v>8</v>
      </c>
      <c r="M353" s="3" t="str">
        <f>IFERROR(__xludf.DUMMYFUNCTION("""COMPUTED_VALUE"""),"ร.อ.อนุชิต ทำจะดี")</f>
        <v>ร.อ.อนุชิต ทำจะดี</v>
      </c>
      <c r="N353" s="14" t="str">
        <f>IFERROR(__xludf.DUMMYFUNCTION("""COMPUTED_VALUE"""),"https://lh5.googleusercontent.com/d/1Z-0bGyYAkEv4WnMYZ5etxggXVPMpXuR7")</f>
        <v>https://lh5.googleusercontent.com/d/1Z-0bGyYAkEv4WnMYZ5etxggXVPMpXuR7</v>
      </c>
      <c r="O353" s="14" t="str">
        <f>IFERROR(__xludf.DUMMYFUNCTION("""COMPUTED_VALUE"""),"https://drive.google.com/file/d/1lw1Wx8UpTB2_VTSB9VAu4dXC1_e31Qoq/view?usp=drivesdk")</f>
        <v>https://drive.google.com/file/d/1lw1Wx8UpTB2_VTSB9VAu4dXC1_e31Qoq/view?usp=drivesdk</v>
      </c>
    </row>
    <row r="354">
      <c r="A354" s="3">
        <f>IFERROR(__xludf.DUMMYFUNCTION("""COMPUTED_VALUE"""),1039.0)</f>
        <v>1039</v>
      </c>
      <c r="B354" s="11">
        <f>IFERROR(__xludf.DUMMYFUNCTION("""COMPUTED_VALUE"""),45992.62397673611)</f>
        <v>45992.62398</v>
      </c>
      <c r="C354" s="3" t="str">
        <f>IFERROR(__xludf.DUMMYFUNCTION("""COMPUTED_VALUE"""),"ชั้นปีที่ 2")</f>
        <v>ชั้นปีที่ 2</v>
      </c>
      <c r="D354" s="3" t="str">
        <f>IFERROR(__xludf.DUMMYFUNCTION("""COMPUTED_VALUE"""),"6703868")</f>
        <v>6703868</v>
      </c>
      <c r="E354" s="3" t="str">
        <f>IFERROR(__xludf.DUMMYFUNCTION("""COMPUTED_VALUE"""),"50")</f>
        <v>50</v>
      </c>
      <c r="F354" s="3" t="str">
        <f>IFERROR(__xludf.DUMMYFUNCTION("""COMPUTED_VALUE"""),"นพอ.วราภรณ์ กาสี")</f>
        <v>นพอ.วราภรณ์ กาสี</v>
      </c>
      <c r="G3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4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35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4" s="12">
        <f>IFERROR(__xludf.DUMMYFUNCTION("""COMPUTED_VALUE"""),45840.0)</f>
        <v>45840</v>
      </c>
      <c r="K354" s="3" t="str">
        <f>IFERROR(__xludf.DUMMYFUNCTION("""COMPUTED_VALUE"""),"1400-2200")</f>
        <v>1400-2200</v>
      </c>
      <c r="L354" s="3">
        <f>IFERROR(__xludf.DUMMYFUNCTION("""COMPUTED_VALUE"""),8.0)</f>
        <v>8</v>
      </c>
      <c r="M354" s="3" t="str">
        <f>IFERROR(__xludf.DUMMYFUNCTION("""COMPUTED_VALUE"""),"ร.อ.อนุชิต ทำจะดี")</f>
        <v>ร.อ.อนุชิต ทำจะดี</v>
      </c>
      <c r="N354" s="14" t="str">
        <f>IFERROR(__xludf.DUMMYFUNCTION("""COMPUTED_VALUE"""),"https://lh5.googleusercontent.com/d/1rHH0Utinysl6uERQvMt6e6gFsRPcJD-U")</f>
        <v>https://lh5.googleusercontent.com/d/1rHH0Utinysl6uERQvMt6e6gFsRPcJD-U</v>
      </c>
      <c r="O354" s="14" t="str">
        <f>IFERROR(__xludf.DUMMYFUNCTION("""COMPUTED_VALUE"""),"https://drive.google.com/file/d/1za7_Y2m-0tqIJkJ_NfiipkJrhpHee4_u/view?usp=drivesdk")</f>
        <v>https://drive.google.com/file/d/1za7_Y2m-0tqIJkJ_NfiipkJrhpHee4_u/view?usp=drivesdk</v>
      </c>
    </row>
    <row r="355">
      <c r="A355" s="3">
        <f>IFERROR(__xludf.DUMMYFUNCTION("""COMPUTED_VALUE"""),1040.0)</f>
        <v>1040</v>
      </c>
      <c r="B355" s="11">
        <f>IFERROR(__xludf.DUMMYFUNCTION("""COMPUTED_VALUE"""),45992.62546935185)</f>
        <v>45992.62547</v>
      </c>
      <c r="C355" s="3" t="str">
        <f>IFERROR(__xludf.DUMMYFUNCTION("""COMPUTED_VALUE"""),"ชั้นปีที่ 2")</f>
        <v>ชั้นปีที่ 2</v>
      </c>
      <c r="D355" s="3" t="str">
        <f>IFERROR(__xludf.DUMMYFUNCTION("""COMPUTED_VALUE"""),"6703872")</f>
        <v>6703872</v>
      </c>
      <c r="E355" s="3" t="str">
        <f>IFERROR(__xludf.DUMMYFUNCTION("""COMPUTED_VALUE"""),"53")</f>
        <v>53</v>
      </c>
      <c r="F355" s="3" t="str">
        <f>IFERROR(__xludf.DUMMYFUNCTION("""COMPUTED_VALUE"""),"นพอ.ศลิษา สุริยผัส")</f>
        <v>นพอ.ศลิษา สุริยผัส</v>
      </c>
      <c r="G35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5" s="3" t="str">
        <f>IFERROR(__xludf.DUMMYFUNCTION("""COMPUTED_VALUE"""),"เข้าร่วมพิธีรับ-ส่งหน้าที่ผู้บัญชาการทหารอากาศ")</f>
        <v>เข้าร่วมพิธีรับ-ส่งหน้าที่ผู้บัญชาการทหารอากาศ</v>
      </c>
      <c r="I355" s="3" t="str">
        <f>IFERROR(__xludf.DUMMYFUNCTION("""COMPUTED_VALUE"""),"อุทยานการบินกองทัพอากาศ")</f>
        <v>อุทยานการบินกองทัพอากาศ</v>
      </c>
      <c r="J355" s="12">
        <f>IFERROR(__xludf.DUMMYFUNCTION("""COMPUTED_VALUE"""),45930.0)</f>
        <v>45930</v>
      </c>
      <c r="K355" s="3" t="str">
        <f>IFERROR(__xludf.DUMMYFUNCTION("""COMPUTED_VALUE"""),"1200-1600")</f>
        <v>1200-1600</v>
      </c>
      <c r="L355" s="3">
        <f>IFERROR(__xludf.DUMMYFUNCTION("""COMPUTED_VALUE"""),4.0)</f>
        <v>4</v>
      </c>
      <c r="M355" s="3" t="str">
        <f>IFERROR(__xludf.DUMMYFUNCTION("""COMPUTED_VALUE"""),"น.ท.หญิง สิรินันท์ ชูเชิด")</f>
        <v>น.ท.หญิง สิรินันท์ ชูเชิด</v>
      </c>
      <c r="N355" s="14" t="str">
        <f>IFERROR(__xludf.DUMMYFUNCTION("""COMPUTED_VALUE"""),"https://lh5.googleusercontent.com/d/1YnbLkL4ONbvUJebRb9Qoadzncx-wfGIA")</f>
        <v>https://lh5.googleusercontent.com/d/1YnbLkL4ONbvUJebRb9Qoadzncx-wfGIA</v>
      </c>
      <c r="O355" s="14" t="str">
        <f>IFERROR(__xludf.DUMMYFUNCTION("""COMPUTED_VALUE"""),"https://drive.google.com/file/d/1LYC-xbyrgHraKZw270cMPypBwhrkfUVE/view?usp=drivesdk")</f>
        <v>https://drive.google.com/file/d/1LYC-xbyrgHraKZw270cMPypBwhrkfUVE/view?usp=drivesdk</v>
      </c>
    </row>
    <row r="356">
      <c r="A356" s="3">
        <f>IFERROR(__xludf.DUMMYFUNCTION("""COMPUTED_VALUE"""),1075.0)</f>
        <v>1075</v>
      </c>
      <c r="B356" s="11">
        <f>IFERROR(__xludf.DUMMYFUNCTION("""COMPUTED_VALUE"""),45992.839841493056)</f>
        <v>45992.83984</v>
      </c>
      <c r="C356" s="3" t="str">
        <f>IFERROR(__xludf.DUMMYFUNCTION("""COMPUTED_VALUE"""),"ชั้นปีที่ 2")</f>
        <v>ชั้นปีที่ 2</v>
      </c>
      <c r="D356" s="3" t="str">
        <f>IFERROR(__xludf.DUMMYFUNCTION("""COMPUTED_VALUE"""),"6703828")</f>
        <v>6703828</v>
      </c>
      <c r="E356" s="3" t="str">
        <f>IFERROR(__xludf.DUMMYFUNCTION("""COMPUTED_VALUE"""),"11")</f>
        <v>11</v>
      </c>
      <c r="F356" s="3" t="str">
        <f>IFERROR(__xludf.DUMMYFUNCTION("""COMPUTED_VALUE"""),"นพอ.ชวพร โมลานิล")</f>
        <v>นพอ.ชวพร โมลานิล</v>
      </c>
      <c r="G3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6" s="3" t="str">
        <f>IFERROR(__xludf.DUMMYFUNCTION("""COMPUTED_VALUE"""),"ซ้อมร้องประสานเสียงงานคอนเสิร์ตทัพ")</f>
        <v>ซ้อมร้องประสานเสียงงานคอนเสิร์ตทัพ</v>
      </c>
      <c r="I356" s="3" t="str">
        <f>IFERROR(__xludf.DUMMYFUNCTION("""COMPUTED_VALUE"""),"ดุริยางค์ทหารอากาศ")</f>
        <v>ดุริยางค์ทหารอากาศ</v>
      </c>
      <c r="J356" s="12">
        <f>IFERROR(__xludf.DUMMYFUNCTION("""COMPUTED_VALUE"""),45825.0)</f>
        <v>45825</v>
      </c>
      <c r="K356" s="3" t="str">
        <f>IFERROR(__xludf.DUMMYFUNCTION("""COMPUTED_VALUE"""),"0800-1600")</f>
        <v>0800-1600</v>
      </c>
      <c r="L356" s="3">
        <f>IFERROR(__xludf.DUMMYFUNCTION("""COMPUTED_VALUE"""),8.0)</f>
        <v>8</v>
      </c>
      <c r="M356" s="3" t="str">
        <f>IFERROR(__xludf.DUMMYFUNCTION("""COMPUTED_VALUE"""),"ร.อ.อนุชิต ทำจะดี")</f>
        <v>ร.อ.อนุชิต ทำจะดี</v>
      </c>
      <c r="N356" s="14" t="str">
        <f>IFERROR(__xludf.DUMMYFUNCTION("""COMPUTED_VALUE"""),"https://lh5.googleusercontent.com/d/169zMweX_WoVlMO3grmpfDuokEBuhI9ME")</f>
        <v>https://lh5.googleusercontent.com/d/169zMweX_WoVlMO3grmpfDuokEBuhI9ME</v>
      </c>
      <c r="O356" s="14" t="str">
        <f>IFERROR(__xludf.DUMMYFUNCTION("""COMPUTED_VALUE"""),"https://drive.google.com/file/d/1NV_z8RkWpVYm29-tKGVP6zwcRldid7Iq/view?usp=drivesdk")</f>
        <v>https://drive.google.com/file/d/1NV_z8RkWpVYm29-tKGVP6zwcRldid7Iq/view?usp=drivesdk</v>
      </c>
    </row>
    <row r="357">
      <c r="A357" s="3">
        <f>IFERROR(__xludf.DUMMYFUNCTION("""COMPUTED_VALUE"""),1076.0)</f>
        <v>1076</v>
      </c>
      <c r="B357" s="11">
        <f>IFERROR(__xludf.DUMMYFUNCTION("""COMPUTED_VALUE"""),45992.84240422453)</f>
        <v>45992.8424</v>
      </c>
      <c r="C357" s="3" t="str">
        <f>IFERROR(__xludf.DUMMYFUNCTION("""COMPUTED_VALUE"""),"ชั้นปีที่ 2")</f>
        <v>ชั้นปีที่ 2</v>
      </c>
      <c r="D357" s="3" t="str">
        <f>IFERROR(__xludf.DUMMYFUNCTION("""COMPUTED_VALUE"""),"6703828")</f>
        <v>6703828</v>
      </c>
      <c r="E357" s="3" t="str">
        <f>IFERROR(__xludf.DUMMYFUNCTION("""COMPUTED_VALUE"""),"11")</f>
        <v>11</v>
      </c>
      <c r="F357" s="3" t="str">
        <f>IFERROR(__xludf.DUMMYFUNCTION("""COMPUTED_VALUE"""),"นพอ.ชวพร โมลานิล")</f>
        <v>นพอ.ชวพร โมลานิล</v>
      </c>
      <c r="G3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7" s="3" t="str">
        <f>IFERROR(__xludf.DUMMYFUNCTION("""COMPUTED_VALUE"""),"ซ้อมร้องเพลงประสานเสียงงานคอนเสิร์ตทัพฟ้า")</f>
        <v>ซ้อมร้องเพลงประสานเสียงงานคอนเสิร์ตทัพฟ้า</v>
      </c>
      <c r="I357" s="3" t="str">
        <f>IFERROR(__xludf.DUMMYFUNCTION("""COMPUTED_VALUE"""),"กองบัญชาการกองทัพอากาศ")</f>
        <v>กองบัญชาการกองทัพอากาศ</v>
      </c>
      <c r="J357" s="12">
        <f>IFERROR(__xludf.DUMMYFUNCTION("""COMPUTED_VALUE"""),45833.0)</f>
        <v>45833</v>
      </c>
      <c r="K357" s="3" t="str">
        <f>IFERROR(__xludf.DUMMYFUNCTION("""COMPUTED_VALUE"""),"0800-1600")</f>
        <v>0800-1600</v>
      </c>
      <c r="L357" s="3">
        <f>IFERROR(__xludf.DUMMYFUNCTION("""COMPUTED_VALUE"""),8.0)</f>
        <v>8</v>
      </c>
      <c r="M357" s="3" t="str">
        <f>IFERROR(__xludf.DUMMYFUNCTION("""COMPUTED_VALUE"""),"ร.อ.อนุชิต ทำจะดี")</f>
        <v>ร.อ.อนุชิต ทำจะดี</v>
      </c>
      <c r="N357" s="14" t="str">
        <f>IFERROR(__xludf.DUMMYFUNCTION("""COMPUTED_VALUE"""),"https://lh5.googleusercontent.com/d/1x-rSVLfTv0zr_C4LpsfhaH9ekm7BFT3R")</f>
        <v>https://lh5.googleusercontent.com/d/1x-rSVLfTv0zr_C4LpsfhaH9ekm7BFT3R</v>
      </c>
      <c r="O357" s="14" t="str">
        <f>IFERROR(__xludf.DUMMYFUNCTION("""COMPUTED_VALUE"""),"https://drive.google.com/file/d/1TgOOhTUsRi22vdDQcFmHoYBJBVXLKtSa/view?usp=drivesdk")</f>
        <v>https://drive.google.com/file/d/1TgOOhTUsRi22vdDQcFmHoYBJBVXLKtSa/view?usp=drivesdk</v>
      </c>
    </row>
    <row r="358">
      <c r="A358" s="3">
        <f>IFERROR(__xludf.DUMMYFUNCTION("""COMPUTED_VALUE"""),1077.0)</f>
        <v>1077</v>
      </c>
      <c r="B358" s="11">
        <f>IFERROR(__xludf.DUMMYFUNCTION("""COMPUTED_VALUE"""),45992.843905208334)</f>
        <v>45992.84391</v>
      </c>
      <c r="C358" s="3" t="str">
        <f>IFERROR(__xludf.DUMMYFUNCTION("""COMPUTED_VALUE"""),"ชั้นปีที่ 2")</f>
        <v>ชั้นปีที่ 2</v>
      </c>
      <c r="D358" s="3" t="str">
        <f>IFERROR(__xludf.DUMMYFUNCTION("""COMPUTED_VALUE"""),"6703828")</f>
        <v>6703828</v>
      </c>
      <c r="E358" s="3" t="str">
        <f>IFERROR(__xludf.DUMMYFUNCTION("""COMPUTED_VALUE"""),"11")</f>
        <v>11</v>
      </c>
      <c r="F358" s="3" t="str">
        <f>IFERROR(__xludf.DUMMYFUNCTION("""COMPUTED_VALUE"""),"นพอ.ชวพร โมลานิล")</f>
        <v>นพอ.ชวพร โมลานิล</v>
      </c>
      <c r="G3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8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5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8" s="12">
        <f>IFERROR(__xludf.DUMMYFUNCTION("""COMPUTED_VALUE"""),45839.0)</f>
        <v>45839</v>
      </c>
      <c r="K358" s="3" t="str">
        <f>IFERROR(__xludf.DUMMYFUNCTION("""COMPUTED_VALUE"""),"1400-2200")</f>
        <v>1400-2200</v>
      </c>
      <c r="L358" s="3">
        <f>IFERROR(__xludf.DUMMYFUNCTION("""COMPUTED_VALUE"""),8.0)</f>
        <v>8</v>
      </c>
      <c r="M358" s="3" t="str">
        <f>IFERROR(__xludf.DUMMYFUNCTION("""COMPUTED_VALUE"""),"ร.อ.อนุชิต ทำจะดี")</f>
        <v>ร.อ.อนุชิต ทำจะดี</v>
      </c>
      <c r="N358" s="14" t="str">
        <f>IFERROR(__xludf.DUMMYFUNCTION("""COMPUTED_VALUE"""),"https://lh5.googleusercontent.com/d/1Xw1E_LQX54pfdVUDVNxjOTX-CP7UQF5_")</f>
        <v>https://lh5.googleusercontent.com/d/1Xw1E_LQX54pfdVUDVNxjOTX-CP7UQF5_</v>
      </c>
      <c r="O358" s="14" t="str">
        <f>IFERROR(__xludf.DUMMYFUNCTION("""COMPUTED_VALUE"""),"https://drive.google.com/file/d/1R7bfpFTnWkdFUnMlFqCqP_k0pGt9ZubH/view?usp=drivesdk")</f>
        <v>https://drive.google.com/file/d/1R7bfpFTnWkdFUnMlFqCqP_k0pGt9ZubH/view?usp=drivesdk</v>
      </c>
    </row>
    <row r="359">
      <c r="A359" s="3">
        <f>IFERROR(__xludf.DUMMYFUNCTION("""COMPUTED_VALUE"""),1079.0)</f>
        <v>1079</v>
      </c>
      <c r="B359" s="11">
        <f>IFERROR(__xludf.DUMMYFUNCTION("""COMPUTED_VALUE"""),45992.84745299768)</f>
        <v>45992.84745</v>
      </c>
      <c r="C359" s="3" t="str">
        <f>IFERROR(__xludf.DUMMYFUNCTION("""COMPUTED_VALUE"""),"ชั้นปีที่ 2")</f>
        <v>ชั้นปีที่ 2</v>
      </c>
      <c r="D359" s="3" t="str">
        <f>IFERROR(__xludf.DUMMYFUNCTION("""COMPUTED_VALUE"""),"6703828")</f>
        <v>6703828</v>
      </c>
      <c r="E359" s="3" t="str">
        <f>IFERROR(__xludf.DUMMYFUNCTION("""COMPUTED_VALUE"""),"11")</f>
        <v>11</v>
      </c>
      <c r="F359" s="3" t="str">
        <f>IFERROR(__xludf.DUMMYFUNCTION("""COMPUTED_VALUE"""),"นพอ.ชวพร โมลานิล")</f>
        <v>นพอ.ชวพร โมลานิล</v>
      </c>
      <c r="G3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9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5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59" s="12">
        <f>IFERROR(__xludf.DUMMYFUNCTION("""COMPUTED_VALUE"""),45840.0)</f>
        <v>45840</v>
      </c>
      <c r="K359" s="3" t="str">
        <f>IFERROR(__xludf.DUMMYFUNCTION("""COMPUTED_VALUE"""),"1400-2200")</f>
        <v>1400-2200</v>
      </c>
      <c r="L359" s="3">
        <f>IFERROR(__xludf.DUMMYFUNCTION("""COMPUTED_VALUE"""),8.0)</f>
        <v>8</v>
      </c>
      <c r="M359" s="3" t="str">
        <f>IFERROR(__xludf.DUMMYFUNCTION("""COMPUTED_VALUE"""),"ร.อ.อนุชิต ทำจะดี")</f>
        <v>ร.อ.อนุชิต ทำจะดี</v>
      </c>
      <c r="N359" s="14" t="str">
        <f>IFERROR(__xludf.DUMMYFUNCTION("""COMPUTED_VALUE"""),"https://lh5.googleusercontent.com/d/1B4XRl-ozPbY9m3l1Vl1YQk9RooXTHl-h")</f>
        <v>https://lh5.googleusercontent.com/d/1B4XRl-ozPbY9m3l1Vl1YQk9RooXTHl-h</v>
      </c>
      <c r="O359" s="14" t="str">
        <f>IFERROR(__xludf.DUMMYFUNCTION("""COMPUTED_VALUE"""),"https://drive.google.com/file/d/1I6jzIp6260mtxTdLK4H2Gh3ej9DKLzQ_/view?usp=drivesdk")</f>
        <v>https://drive.google.com/file/d/1I6jzIp6260mtxTdLK4H2Gh3ej9DKLzQ_/view?usp=drivesdk</v>
      </c>
    </row>
    <row r="360">
      <c r="A360" s="3">
        <f>IFERROR(__xludf.DUMMYFUNCTION("""COMPUTED_VALUE"""),1080.0)</f>
        <v>1080</v>
      </c>
      <c r="B360" s="11">
        <f>IFERROR(__xludf.DUMMYFUNCTION("""COMPUTED_VALUE"""),45992.84920251158)</f>
        <v>45992.8492</v>
      </c>
      <c r="C360" s="3" t="str">
        <f>IFERROR(__xludf.DUMMYFUNCTION("""COMPUTED_VALUE"""),"ชั้นปีที่ 2")</f>
        <v>ชั้นปีที่ 2</v>
      </c>
      <c r="D360" s="3" t="str">
        <f>IFERROR(__xludf.DUMMYFUNCTION("""COMPUTED_VALUE"""),"6703828")</f>
        <v>6703828</v>
      </c>
      <c r="E360" s="3" t="str">
        <f>IFERROR(__xludf.DUMMYFUNCTION("""COMPUTED_VALUE"""),"11")</f>
        <v>11</v>
      </c>
      <c r="F360" s="3" t="str">
        <f>IFERROR(__xludf.DUMMYFUNCTION("""COMPUTED_VALUE"""),"นพอ.ชวพร โมลานิล")</f>
        <v>นพอ.ชวพร โมลานิล</v>
      </c>
      <c r="G360" s="3" t="str">
        <f>IFERROR(__xludf.DUMMYFUNCTION("""COMPUTED_VALUE"""),"ช่วยเหลืองานภายใน วพอ.")</f>
        <v>ช่วยเหลืองานภายใน วพอ.</v>
      </c>
      <c r="H360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60" s="3" t="str">
        <f>IFERROR(__xludf.DUMMYFUNCTION("""COMPUTED_VALUE"""),"ห้องเรียน นพอ.ชั้นปีที่1")</f>
        <v>ห้องเรียน นพอ.ชั้นปีที่1</v>
      </c>
      <c r="J360" s="12">
        <f>IFERROR(__xludf.DUMMYFUNCTION("""COMPUTED_VALUE"""),45987.0)</f>
        <v>45987</v>
      </c>
      <c r="K360" s="3" t="str">
        <f>IFERROR(__xludf.DUMMYFUNCTION("""COMPUTED_VALUE"""),"1000-1800")</f>
        <v>1000-1800</v>
      </c>
      <c r="L360" s="3">
        <f>IFERROR(__xludf.DUMMYFUNCTION("""COMPUTED_VALUE"""),8.0)</f>
        <v>8</v>
      </c>
      <c r="M360" s="3" t="str">
        <f>IFERROR(__xludf.DUMMYFUNCTION("""COMPUTED_VALUE"""),"ร.ท.เรวัติ วัชรสิทธิ์")</f>
        <v>ร.ท.เรวัติ วัชรสิทธิ์</v>
      </c>
      <c r="N360" s="14" t="str">
        <f>IFERROR(__xludf.DUMMYFUNCTION("""COMPUTED_VALUE"""),"https://lh5.googleusercontent.com/d/1qKwfeeAnVZ_gCdfNmNPSlqmKy9A_51bM")</f>
        <v>https://lh5.googleusercontent.com/d/1qKwfeeAnVZ_gCdfNmNPSlqmKy9A_51bM</v>
      </c>
      <c r="O360" s="14" t="str">
        <f>IFERROR(__xludf.DUMMYFUNCTION("""COMPUTED_VALUE"""),"https://drive.google.com/file/d/1oTlb5ypv1LLl1sFLdwFEjJG-75NOwU1H/view?usp=drivesdk")</f>
        <v>https://drive.google.com/file/d/1oTlb5ypv1LLl1sFLdwFEjJG-75NOwU1H/view?usp=drivesdk</v>
      </c>
    </row>
    <row r="361">
      <c r="A361" s="3">
        <f>IFERROR(__xludf.DUMMYFUNCTION("""COMPUTED_VALUE"""),1159.0)</f>
        <v>1159</v>
      </c>
      <c r="B361" s="11">
        <f>IFERROR(__xludf.DUMMYFUNCTION("""COMPUTED_VALUE"""),45994.7878341551)</f>
        <v>45994.78783</v>
      </c>
      <c r="C361" s="3" t="str">
        <f>IFERROR(__xludf.DUMMYFUNCTION("""COMPUTED_VALUE"""),"ชั้นปีที่ 2")</f>
        <v>ชั้นปีที่ 2</v>
      </c>
      <c r="D361" s="3" t="str">
        <f>IFERROR(__xludf.DUMMYFUNCTION("""COMPUTED_VALUE"""),"6703872")</f>
        <v>6703872</v>
      </c>
      <c r="E361" s="3" t="str">
        <f>IFERROR(__xludf.DUMMYFUNCTION("""COMPUTED_VALUE"""),"53")</f>
        <v>53</v>
      </c>
      <c r="F361" s="3" t="str">
        <f>IFERROR(__xludf.DUMMYFUNCTION("""COMPUTED_VALUE"""),"นพอ.ศลิษา สุริยผัส")</f>
        <v>นพอ.ศลิษา สุริยผัส</v>
      </c>
      <c r="G3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1" s="3" t="str">
        <f>IFERROR(__xludf.DUMMYFUNCTION("""COMPUTED_VALUE"""),"Meet The Youth Hacker Thailand 2025")</f>
        <v>Meet The Youth Hacker Thailand 2025</v>
      </c>
      <c r="I361" s="3" t="str">
        <f>IFERROR(__xludf.DUMMYFUNCTION("""COMPUTED_VALUE"""),"กองบัญชาการกองทัพไทย")</f>
        <v>กองบัญชาการกองทัพไทย</v>
      </c>
      <c r="J361" s="12">
        <f>IFERROR(__xludf.DUMMYFUNCTION("""COMPUTED_VALUE"""),45907.0)</f>
        <v>45907</v>
      </c>
      <c r="K361" s="3" t="str">
        <f>IFERROR(__xludf.DUMMYFUNCTION("""COMPUTED_VALUE"""),"0800-1600")</f>
        <v>0800-1600</v>
      </c>
      <c r="L361" s="3">
        <f>IFERROR(__xludf.DUMMYFUNCTION("""COMPUTED_VALUE"""),8.0)</f>
        <v>8</v>
      </c>
      <c r="M361" s="3" t="str">
        <f>IFERROR(__xludf.DUMMYFUNCTION("""COMPUTED_VALUE"""),"ร.อ.อนุชิต ทำจะดี")</f>
        <v>ร.อ.อนุชิต ทำจะดี</v>
      </c>
      <c r="N361" s="14" t="str">
        <f>IFERROR(__xludf.DUMMYFUNCTION("""COMPUTED_VALUE"""),"https://lh5.googleusercontent.com/d/1AUuJs6P9WiRZTux_wlFRag8UrpQKrk4L")</f>
        <v>https://lh5.googleusercontent.com/d/1AUuJs6P9WiRZTux_wlFRag8UrpQKrk4L</v>
      </c>
      <c r="O361" s="14" t="str">
        <f>IFERROR(__xludf.DUMMYFUNCTION("""COMPUTED_VALUE"""),"https://drive.google.com/file/d/1dxJtaQOK3FHINLcQlBf7ZI6oyTPPnaGM/view?usp=drivesdk")</f>
        <v>https://drive.google.com/file/d/1dxJtaQOK3FHINLcQlBf7ZI6oyTPPnaGM/view?usp=drivesdk</v>
      </c>
    </row>
    <row r="362">
      <c r="A362" s="3">
        <f>IFERROR(__xludf.DUMMYFUNCTION("""COMPUTED_VALUE"""),1174.0)</f>
        <v>1174</v>
      </c>
      <c r="B362" s="11">
        <f>IFERROR(__xludf.DUMMYFUNCTION("""COMPUTED_VALUE"""),45995.44214069445)</f>
        <v>45995.44214</v>
      </c>
      <c r="C362" s="3" t="str">
        <f>IFERROR(__xludf.DUMMYFUNCTION("""COMPUTED_VALUE"""),"ชั้นปีที่ 2")</f>
        <v>ชั้นปีที่ 2</v>
      </c>
      <c r="D362" s="3" t="str">
        <f>IFERROR(__xludf.DUMMYFUNCTION("""COMPUTED_VALUE"""),"6703873")</f>
        <v>6703873</v>
      </c>
      <c r="E362" s="3" t="str">
        <f>IFERROR(__xludf.DUMMYFUNCTION("""COMPUTED_VALUE"""),"54")</f>
        <v>54</v>
      </c>
      <c r="F362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3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2" s="3" t="str">
        <f>IFERROR(__xludf.DUMMYFUNCTION("""COMPUTED_VALUE"""),"ซ้อมร้องประสานเสียงงานคอนเสิร์ตทัพฟ้า (ดุริยางค์ทหารอากาศ)")</f>
        <v>ซ้อมร้องประสานเสียงงานคอนเสิร์ตทัพฟ้า (ดุริยางค์ทหารอากาศ)</v>
      </c>
      <c r="I362" s="3" t="str">
        <f>IFERROR(__xludf.DUMMYFUNCTION("""COMPUTED_VALUE"""),"ดุริยางค์ทหารอากาศ")</f>
        <v>ดุริยางค์ทหารอากาศ</v>
      </c>
      <c r="J362" s="12">
        <f>IFERROR(__xludf.DUMMYFUNCTION("""COMPUTED_VALUE"""),45825.0)</f>
        <v>45825</v>
      </c>
      <c r="K362" s="3" t="str">
        <f>IFERROR(__xludf.DUMMYFUNCTION("""COMPUTED_VALUE"""),"0800-1600")</f>
        <v>0800-1600</v>
      </c>
      <c r="L362" s="3">
        <f>IFERROR(__xludf.DUMMYFUNCTION("""COMPUTED_VALUE"""),8.0)</f>
        <v>8</v>
      </c>
      <c r="M362" s="3" t="str">
        <f>IFERROR(__xludf.DUMMYFUNCTION("""COMPUTED_VALUE"""),"ร.อ.อนุชิต  ทำจะดี")</f>
        <v>ร.อ.อนุชิต  ทำจะดี</v>
      </c>
      <c r="N362" s="14" t="str">
        <f>IFERROR(__xludf.DUMMYFUNCTION("""COMPUTED_VALUE"""),"https://lh5.googleusercontent.com/d/1iyM5dVfXDP-VlvG_A_h_a9vqYqQTE5HP")</f>
        <v>https://lh5.googleusercontent.com/d/1iyM5dVfXDP-VlvG_A_h_a9vqYqQTE5HP</v>
      </c>
      <c r="O362" s="14" t="str">
        <f>IFERROR(__xludf.DUMMYFUNCTION("""COMPUTED_VALUE"""),"https://drive.google.com/file/d/1iodbGwIy9AK07tQ-9NVyND9fqDVDlCAO/view?usp=drivesdk")</f>
        <v>https://drive.google.com/file/d/1iodbGwIy9AK07tQ-9NVyND9fqDVDlCAO/view?usp=drivesdk</v>
      </c>
    </row>
    <row r="363">
      <c r="A363" s="3">
        <f>IFERROR(__xludf.DUMMYFUNCTION("""COMPUTED_VALUE"""),1175.0)</f>
        <v>1175</v>
      </c>
      <c r="B363" s="11">
        <f>IFERROR(__xludf.DUMMYFUNCTION("""COMPUTED_VALUE"""),45995.44359753472)</f>
        <v>45995.4436</v>
      </c>
      <c r="C363" s="3" t="str">
        <f>IFERROR(__xludf.DUMMYFUNCTION("""COMPUTED_VALUE"""),"ชั้นปีที่ 2")</f>
        <v>ชั้นปีที่ 2</v>
      </c>
      <c r="D363" s="3" t="str">
        <f>IFERROR(__xludf.DUMMYFUNCTION("""COMPUTED_VALUE"""),"6703873")</f>
        <v>6703873</v>
      </c>
      <c r="E363" s="3" t="str">
        <f>IFERROR(__xludf.DUMMYFUNCTION("""COMPUTED_VALUE"""),"54")</f>
        <v>54</v>
      </c>
      <c r="F363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3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3" s="3" t="str">
        <f>IFERROR(__xludf.DUMMYFUNCTION("""COMPUTED_VALUE"""),"ซ้อมร้องประสานเสียงงานคอนเสิร์ตทัพฟ้า (ดุริยางค์ทหารอากาศ)")</f>
        <v>ซ้อมร้องประสานเสียงงานคอนเสิร์ตทัพฟ้า (ดุริยางค์ทหารอากาศ)</v>
      </c>
      <c r="I363" s="3" t="str">
        <f>IFERROR(__xludf.DUMMYFUNCTION("""COMPUTED_VALUE"""),"ดุริยางค์ทหารอากาศ")</f>
        <v>ดุริยางค์ทหารอากาศ</v>
      </c>
      <c r="J363" s="12">
        <f>IFERROR(__xludf.DUMMYFUNCTION("""COMPUTED_VALUE"""),45833.0)</f>
        <v>45833</v>
      </c>
      <c r="K363" s="3" t="str">
        <f>IFERROR(__xludf.DUMMYFUNCTION("""COMPUTED_VALUE"""),"0800-1600")</f>
        <v>0800-1600</v>
      </c>
      <c r="L363" s="3">
        <f>IFERROR(__xludf.DUMMYFUNCTION("""COMPUTED_VALUE"""),8.0)</f>
        <v>8</v>
      </c>
      <c r="M363" s="3" t="str">
        <f>IFERROR(__xludf.DUMMYFUNCTION("""COMPUTED_VALUE"""),"ร.อ.อนุชิต  ทำจะดี")</f>
        <v>ร.อ.อนุชิต  ทำจะดี</v>
      </c>
      <c r="N363" s="14" t="str">
        <f>IFERROR(__xludf.DUMMYFUNCTION("""COMPUTED_VALUE"""),"https://lh5.googleusercontent.com/d/1rk1oCuMb900clzvgOCMH_jnryt2uJfsB")</f>
        <v>https://lh5.googleusercontent.com/d/1rk1oCuMb900clzvgOCMH_jnryt2uJfsB</v>
      </c>
      <c r="O363" s="14" t="str">
        <f>IFERROR(__xludf.DUMMYFUNCTION("""COMPUTED_VALUE"""),"https://drive.google.com/file/d/1BL4zG-Jr52ab5K1bZTRZg05KhJMK5LjP/view?usp=drivesdk")</f>
        <v>https://drive.google.com/file/d/1BL4zG-Jr52ab5K1bZTRZg05KhJMK5LjP/view?usp=drivesdk</v>
      </c>
    </row>
    <row r="364">
      <c r="A364" s="3">
        <f>IFERROR(__xludf.DUMMYFUNCTION("""COMPUTED_VALUE"""),1176.0)</f>
        <v>1176</v>
      </c>
      <c r="B364" s="11">
        <f>IFERROR(__xludf.DUMMYFUNCTION("""COMPUTED_VALUE"""),45995.44508065972)</f>
        <v>45995.44508</v>
      </c>
      <c r="C364" s="3" t="str">
        <f>IFERROR(__xludf.DUMMYFUNCTION("""COMPUTED_VALUE"""),"ชั้นปีที่ 2")</f>
        <v>ชั้นปีที่ 2</v>
      </c>
      <c r="D364" s="3" t="str">
        <f>IFERROR(__xludf.DUMMYFUNCTION("""COMPUTED_VALUE"""),"6703865")</f>
        <v>6703865</v>
      </c>
      <c r="E364" s="3" t="str">
        <f>IFERROR(__xludf.DUMMYFUNCTION("""COMPUTED_VALUE"""),"47")</f>
        <v>47</v>
      </c>
      <c r="F364" s="3" t="str">
        <f>IFERROR(__xludf.DUMMYFUNCTION("""COMPUTED_VALUE"""),"นพอ.โรจน์ศักดิ์ ทินนา")</f>
        <v>นพอ.โรจน์ศักดิ์ ทินนา</v>
      </c>
      <c r="G36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4" s="3" t="str">
        <f>IFERROR(__xludf.DUMMYFUNCTION("""COMPUTED_VALUE"""),"ซ้อมร้องประสานเสียงงานคอนเสิร์ตทัพฟ้า) ")</f>
        <v>ซ้อมร้องประสานเสียงงานคอนเสิร์ตทัพฟ้า) </v>
      </c>
      <c r="I364" s="3" t="str">
        <f>IFERROR(__xludf.DUMMYFUNCTION("""COMPUTED_VALUE"""),"(ศูนย์วัฒนธรรมแห่งประเทศไทย")</f>
        <v>(ศูนย์วัฒนธรรมแห่งประเทศไทย</v>
      </c>
      <c r="J364" s="12">
        <f>IFERROR(__xludf.DUMMYFUNCTION("""COMPUTED_VALUE"""),45838.0)</f>
        <v>45838</v>
      </c>
      <c r="K364" s="3" t="str">
        <f>IFERROR(__xludf.DUMMYFUNCTION("""COMPUTED_VALUE"""),"1400-2200")</f>
        <v>1400-2200</v>
      </c>
      <c r="L364" s="3">
        <f>IFERROR(__xludf.DUMMYFUNCTION("""COMPUTED_VALUE"""),8.0)</f>
        <v>8</v>
      </c>
      <c r="M364" s="3" t="str">
        <f>IFERROR(__xludf.DUMMYFUNCTION("""COMPUTED_VALUE"""),"ร.อ.อนุชิต ทำจะดี")</f>
        <v>ร.อ.อนุชิต ทำจะดี</v>
      </c>
      <c r="N364" s="14" t="str">
        <f>IFERROR(__xludf.DUMMYFUNCTION("""COMPUTED_VALUE"""),"https://lh5.googleusercontent.com/d/1_qPRMGXS42vMaT1XNCvolXQx-ab-SuQ6")</f>
        <v>https://lh5.googleusercontent.com/d/1_qPRMGXS42vMaT1XNCvolXQx-ab-SuQ6</v>
      </c>
      <c r="O364" s="14" t="str">
        <f>IFERROR(__xludf.DUMMYFUNCTION("""COMPUTED_VALUE"""),"https://drive.google.com/file/d/10WM4_ZHYg0IEfG1dZlMaPs1I9em_s3Yt/view?usp=drivesdk")</f>
        <v>https://drive.google.com/file/d/10WM4_ZHYg0IEfG1dZlMaPs1I9em_s3Yt/view?usp=drivesdk</v>
      </c>
    </row>
    <row r="365">
      <c r="A365" s="3">
        <f>IFERROR(__xludf.DUMMYFUNCTION("""COMPUTED_VALUE"""),1178.0)</f>
        <v>1178</v>
      </c>
      <c r="B365" s="11">
        <f>IFERROR(__xludf.DUMMYFUNCTION("""COMPUTED_VALUE"""),45995.447711863424)</f>
        <v>45995.44771</v>
      </c>
      <c r="C365" s="3" t="str">
        <f>IFERROR(__xludf.DUMMYFUNCTION("""COMPUTED_VALUE"""),"ชั้นปีที่ 2")</f>
        <v>ชั้นปีที่ 2</v>
      </c>
      <c r="D365" s="3" t="str">
        <f>IFERROR(__xludf.DUMMYFUNCTION("""COMPUTED_VALUE"""),"6703865")</f>
        <v>6703865</v>
      </c>
      <c r="E365" s="3" t="str">
        <f>IFERROR(__xludf.DUMMYFUNCTION("""COMPUTED_VALUE"""),"47")</f>
        <v>47</v>
      </c>
      <c r="F365" s="3" t="str">
        <f>IFERROR(__xludf.DUMMYFUNCTION("""COMPUTED_VALUE"""),"นพอ.โรจน์ศักดิ์ ทินนา")</f>
        <v>นพอ.โรจน์ศักดิ์ ทินนา</v>
      </c>
      <c r="G3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5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65" s="3" t="str">
        <f>IFERROR(__xludf.DUMMYFUNCTION("""COMPUTED_VALUE"""),"(ศูนย์วัฒนธรรมแห่งประเทศไทย) ")</f>
        <v>(ศูนย์วัฒนธรรมแห่งประเทศไทย) </v>
      </c>
      <c r="J365" s="12">
        <f>IFERROR(__xludf.DUMMYFUNCTION("""COMPUTED_VALUE"""),45839.0)</f>
        <v>45839</v>
      </c>
      <c r="K365" s="3" t="str">
        <f>IFERROR(__xludf.DUMMYFUNCTION("""COMPUTED_VALUE"""),"1400-2200")</f>
        <v>1400-2200</v>
      </c>
      <c r="L365" s="3">
        <f>IFERROR(__xludf.DUMMYFUNCTION("""COMPUTED_VALUE"""),8.0)</f>
        <v>8</v>
      </c>
      <c r="M365" s="3" t="str">
        <f>IFERROR(__xludf.DUMMYFUNCTION("""COMPUTED_VALUE"""),"ร.อ.อนุชิต ทำจะดี")</f>
        <v>ร.อ.อนุชิต ทำจะดี</v>
      </c>
      <c r="N365" s="14" t="str">
        <f>IFERROR(__xludf.DUMMYFUNCTION("""COMPUTED_VALUE"""),"https://lh5.googleusercontent.com/d/1sTJyq8jlFoa3WVchf0-i23nrbmtfkebD")</f>
        <v>https://lh5.googleusercontent.com/d/1sTJyq8jlFoa3WVchf0-i23nrbmtfkebD</v>
      </c>
      <c r="O365" s="14" t="str">
        <f>IFERROR(__xludf.DUMMYFUNCTION("""COMPUTED_VALUE"""),"https://drive.google.com/file/d/1cHxggPMJvpcOQsuooFukb_bDRJ_12QF2/view?usp=drivesdk")</f>
        <v>https://drive.google.com/file/d/1cHxggPMJvpcOQsuooFukb_bDRJ_12QF2/view?usp=drivesdk</v>
      </c>
    </row>
    <row r="366">
      <c r="A366" s="3">
        <f>IFERROR(__xludf.DUMMYFUNCTION("""COMPUTED_VALUE"""),1179.0)</f>
        <v>1179</v>
      </c>
      <c r="B366" s="11">
        <f>IFERROR(__xludf.DUMMYFUNCTION("""COMPUTED_VALUE"""),45995.449013437494)</f>
        <v>45995.44901</v>
      </c>
      <c r="C366" s="3" t="str">
        <f>IFERROR(__xludf.DUMMYFUNCTION("""COMPUTED_VALUE"""),"ชั้นปีที่ 2")</f>
        <v>ชั้นปีที่ 2</v>
      </c>
      <c r="D366" s="3" t="str">
        <f>IFERROR(__xludf.DUMMYFUNCTION("""COMPUTED_VALUE"""),"6703865")</f>
        <v>6703865</v>
      </c>
      <c r="E366" s="3" t="str">
        <f>IFERROR(__xludf.DUMMYFUNCTION("""COMPUTED_VALUE"""),"47")</f>
        <v>47</v>
      </c>
      <c r="F366" s="3" t="str">
        <f>IFERROR(__xludf.DUMMYFUNCTION("""COMPUTED_VALUE"""),"นพอ.โรจน์ศักดิ์ ทินนา")</f>
        <v>นพอ.โรจน์ศักดิ์ ทินนา</v>
      </c>
      <c r="G3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6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66" s="3" t="str">
        <f>IFERROR(__xludf.DUMMYFUNCTION("""COMPUTED_VALUE"""),"(ศูนย์วัฒนธรรมแห่งประเทศไทย")</f>
        <v>(ศูนย์วัฒนธรรมแห่งประเทศไทย</v>
      </c>
      <c r="J366" s="12">
        <f>IFERROR(__xludf.DUMMYFUNCTION("""COMPUTED_VALUE"""),45840.0)</f>
        <v>45840</v>
      </c>
      <c r="K366" s="3" t="str">
        <f>IFERROR(__xludf.DUMMYFUNCTION("""COMPUTED_VALUE"""),"1400-2200")</f>
        <v>1400-2200</v>
      </c>
      <c r="L366" s="3">
        <f>IFERROR(__xludf.DUMMYFUNCTION("""COMPUTED_VALUE"""),8.0)</f>
        <v>8</v>
      </c>
      <c r="M366" s="3" t="str">
        <f>IFERROR(__xludf.DUMMYFUNCTION("""COMPUTED_VALUE"""),"ร.อ.อนุชิต ทำจะดี")</f>
        <v>ร.อ.อนุชิต ทำจะดี</v>
      </c>
      <c r="N366" s="14" t="str">
        <f>IFERROR(__xludf.DUMMYFUNCTION("""COMPUTED_VALUE"""),"https://lh5.googleusercontent.com/d/11yFMfVxq3xzqaMrpm7H6meXVhs0IEf8M")</f>
        <v>https://lh5.googleusercontent.com/d/11yFMfVxq3xzqaMrpm7H6meXVhs0IEf8M</v>
      </c>
      <c r="O366" s="14" t="str">
        <f>IFERROR(__xludf.DUMMYFUNCTION("""COMPUTED_VALUE"""),"https://drive.google.com/file/d/1kehHfbRZ9drFhGUozjGsBgTwEC3jCjdB/view?usp=drivesdk")</f>
        <v>https://drive.google.com/file/d/1kehHfbRZ9drFhGUozjGsBgTwEC3jCjdB/view?usp=drivesdk</v>
      </c>
    </row>
    <row r="367">
      <c r="A367" s="3">
        <f>IFERROR(__xludf.DUMMYFUNCTION("""COMPUTED_VALUE"""),1181.0)</f>
        <v>1181</v>
      </c>
      <c r="B367" s="11">
        <f>IFERROR(__xludf.DUMMYFUNCTION("""COMPUTED_VALUE"""),45995.452293333336)</f>
        <v>45995.45229</v>
      </c>
      <c r="C367" s="3" t="str">
        <f>IFERROR(__xludf.DUMMYFUNCTION("""COMPUTED_VALUE"""),"ชั้นปีที่ 2")</f>
        <v>ชั้นปีที่ 2</v>
      </c>
      <c r="D367" s="3" t="str">
        <f>IFERROR(__xludf.DUMMYFUNCTION("""COMPUTED_VALUE"""),"6703865")</f>
        <v>6703865</v>
      </c>
      <c r="E367" s="3" t="str">
        <f>IFERROR(__xludf.DUMMYFUNCTION("""COMPUTED_VALUE"""),"47")</f>
        <v>47</v>
      </c>
      <c r="F367" s="3" t="str">
        <f>IFERROR(__xludf.DUMMYFUNCTION("""COMPUTED_VALUE"""),"นพอ.โรจน์ศักดิ์ ทินนา")</f>
        <v>นพอ.โรจน์ศักดิ์ ทินนา</v>
      </c>
      <c r="G36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7" s="3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 ")</f>
        <v>เดินรณรงค์“วันโลกรำลึกถึงผู้สูญเสียจากอุบัติเหตุทางถนน”กับพลังโรทาแรค์ </v>
      </c>
      <c r="I367" s="3" t="str">
        <f>IFERROR(__xludf.DUMMYFUNCTION("""COMPUTED_VALUE"""),"เ ริ่มเดินขบวนจากศาลาว่าการกรุงเทพมหานครไปยังตึกสหประชาชาติ")</f>
        <v>เ ริ่มเดินขบวนจากศาลาว่าการกรุงเทพมหานครไปยังตึกสหประชาชาติ</v>
      </c>
      <c r="J367" s="12">
        <f>IFERROR(__xludf.DUMMYFUNCTION("""COMPUTED_VALUE"""),45977.0)</f>
        <v>45977</v>
      </c>
      <c r="K367" s="3" t="str">
        <f>IFERROR(__xludf.DUMMYFUNCTION("""COMPUTED_VALUE"""),"0700-1100")</f>
        <v>0700-1100</v>
      </c>
      <c r="L367" s="3">
        <f>IFERROR(__xludf.DUMMYFUNCTION("""COMPUTED_VALUE"""),4.0)</f>
        <v>4</v>
      </c>
      <c r="M367" s="3" t="str">
        <f>IFERROR(__xludf.DUMMYFUNCTION("""COMPUTED_VALUE""")," น.ต.หญิง ขวัญชนก พ่วงนาคพันธุ์")</f>
        <v> น.ต.หญิง ขวัญชนก พ่วงนาคพันธุ์</v>
      </c>
      <c r="N367" s="14" t="str">
        <f>IFERROR(__xludf.DUMMYFUNCTION("""COMPUTED_VALUE"""),"https://lh5.googleusercontent.com/d/1BLW5SppzC1OHLK_micsS5K_ly25Fxwn9")</f>
        <v>https://lh5.googleusercontent.com/d/1BLW5SppzC1OHLK_micsS5K_ly25Fxwn9</v>
      </c>
      <c r="O367" s="14" t="str">
        <f>IFERROR(__xludf.DUMMYFUNCTION("""COMPUTED_VALUE"""),"https://drive.google.com/file/d/1V2VmwTbgXV1LC2GWnAiwFwf13Ab3xItN/view?usp=drivesdk")</f>
        <v>https://drive.google.com/file/d/1V2VmwTbgXV1LC2GWnAiwFwf13Ab3xItN/view?usp=drivesdk</v>
      </c>
    </row>
    <row r="368">
      <c r="A368" s="3">
        <f>IFERROR(__xludf.DUMMYFUNCTION("""COMPUTED_VALUE"""),1182.0)</f>
        <v>1182</v>
      </c>
      <c r="B368" s="11">
        <f>IFERROR(__xludf.DUMMYFUNCTION("""COMPUTED_VALUE"""),45995.45384976852)</f>
        <v>45995.45385</v>
      </c>
      <c r="C368" s="3" t="str">
        <f>IFERROR(__xludf.DUMMYFUNCTION("""COMPUTED_VALUE"""),"ชั้นปีที่ 2")</f>
        <v>ชั้นปีที่ 2</v>
      </c>
      <c r="D368" s="3" t="str">
        <f>IFERROR(__xludf.DUMMYFUNCTION("""COMPUTED_VALUE"""),"6703873")</f>
        <v>6703873</v>
      </c>
      <c r="E368" s="3" t="str">
        <f>IFERROR(__xludf.DUMMYFUNCTION("""COMPUTED_VALUE"""),"54")</f>
        <v>54</v>
      </c>
      <c r="F368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36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8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6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68" s="12">
        <f>IFERROR(__xludf.DUMMYFUNCTION("""COMPUTED_VALUE"""),45838.0)</f>
        <v>45838</v>
      </c>
      <c r="K368" s="3" t="str">
        <f>IFERROR(__xludf.DUMMYFUNCTION("""COMPUTED_VALUE"""),"1400-2200")</f>
        <v>1400-2200</v>
      </c>
      <c r="L368" s="3">
        <f>IFERROR(__xludf.DUMMYFUNCTION("""COMPUTED_VALUE"""),8.0)</f>
        <v>8</v>
      </c>
      <c r="M368" s="3" t="str">
        <f>IFERROR(__xludf.DUMMYFUNCTION("""COMPUTED_VALUE"""),"ร.อ.อนุชิต  ทำจะดี")</f>
        <v>ร.อ.อนุชิต  ทำจะดี</v>
      </c>
      <c r="N368" s="14" t="str">
        <f>IFERROR(__xludf.DUMMYFUNCTION("""COMPUTED_VALUE"""),"https://lh5.googleusercontent.com/d/1tAdg8JKpT9hvhw8mQwFeW4CXIqXaK6U9")</f>
        <v>https://lh5.googleusercontent.com/d/1tAdg8JKpT9hvhw8mQwFeW4CXIqXaK6U9</v>
      </c>
      <c r="O368" s="14" t="str">
        <f>IFERROR(__xludf.DUMMYFUNCTION("""COMPUTED_VALUE"""),"https://drive.google.com/file/d/17H10FlUHZW2Eo_wgU7CPIfnV83F9iZZr/view?usp=drivesdk")</f>
        <v>https://drive.google.com/file/d/17H10FlUHZW2Eo_wgU7CPIfnV83F9iZZr/view?usp=drivesdk</v>
      </c>
    </row>
    <row r="369">
      <c r="A369" s="3">
        <f>IFERROR(__xludf.DUMMYFUNCTION("""COMPUTED_VALUE"""),1183.0)</f>
        <v>1183</v>
      </c>
      <c r="B369" s="11">
        <f>IFERROR(__xludf.DUMMYFUNCTION("""COMPUTED_VALUE"""),45995.455777118055)</f>
        <v>45995.45578</v>
      </c>
      <c r="C369" s="3" t="str">
        <f>IFERROR(__xludf.DUMMYFUNCTION("""COMPUTED_VALUE"""),"ชั้นปีที่ 2")</f>
        <v>ชั้นปีที่ 2</v>
      </c>
      <c r="D369" s="3" t="str">
        <f>IFERROR(__xludf.DUMMYFUNCTION("""COMPUTED_VALUE"""),"6703865")</f>
        <v>6703865</v>
      </c>
      <c r="E369" s="3" t="str">
        <f>IFERROR(__xludf.DUMMYFUNCTION("""COMPUTED_VALUE"""),"47")</f>
        <v>47</v>
      </c>
      <c r="F369" s="3" t="str">
        <f>IFERROR(__xludf.DUMMYFUNCTION("""COMPUTED_VALUE"""),"นพอ.โรจน์ศักดิ์ ทินนา")</f>
        <v>นพอ.โรจน์ศักดิ์ ทินนา</v>
      </c>
      <c r="G369" s="3" t="str">
        <f>IFERROR(__xludf.DUMMYFUNCTION("""COMPUTED_VALUE"""),"ช่วยเหลืองานภายใน วพอ.")</f>
        <v>ช่วยเหลืองานภายใน วพอ.</v>
      </c>
      <c r="H369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69" s="3" t="str">
        <f>IFERROR(__xludf.DUMMYFUNCTION("""COMPUTED_VALUE"""),"ห้องเรียน นพอ. ชั้นปีที่ 1")</f>
        <v>ห้องเรียน นพอ. ชั้นปีที่ 1</v>
      </c>
      <c r="J369" s="12">
        <f>IFERROR(__xludf.DUMMYFUNCTION("""COMPUTED_VALUE"""),45987.0)</f>
        <v>45987</v>
      </c>
      <c r="K369" s="3" t="str">
        <f>IFERROR(__xludf.DUMMYFUNCTION("""COMPUTED_VALUE"""),"1000-1800")</f>
        <v>1000-1800</v>
      </c>
      <c r="L369" s="3">
        <f>IFERROR(__xludf.DUMMYFUNCTION("""COMPUTED_VALUE"""),8.0)</f>
        <v>8</v>
      </c>
      <c r="M369" s="3" t="str">
        <f>IFERROR(__xludf.DUMMYFUNCTION("""COMPUTED_VALUE""")," ร.ท.เรวัติ วัชรสิทธิ์")</f>
        <v> ร.ท.เรวัติ วัชรสิทธิ์</v>
      </c>
      <c r="N369" s="14" t="str">
        <f>IFERROR(__xludf.DUMMYFUNCTION("""COMPUTED_VALUE"""),"https://lh5.googleusercontent.com/d/1c54NsqRCxl1rD7HF42lIkEKcw3JsrJS5")</f>
        <v>https://lh5.googleusercontent.com/d/1c54NsqRCxl1rD7HF42lIkEKcw3JsrJS5</v>
      </c>
      <c r="O369" s="14" t="str">
        <f>IFERROR(__xludf.DUMMYFUNCTION("""COMPUTED_VALUE"""),"https://drive.google.com/file/d/1Zhg9OtdFXVWHgYYshDRFX4JqB1BxpPq_/view?usp=drivesdk")</f>
        <v>https://drive.google.com/file/d/1Zhg9OtdFXVWHgYYshDRFX4JqB1BxpPq_/view?usp=drivesdk</v>
      </c>
    </row>
    <row r="370">
      <c r="A370" s="3">
        <f>IFERROR(__xludf.DUMMYFUNCTION("""COMPUTED_VALUE"""),1184.0)</f>
        <v>1184</v>
      </c>
      <c r="B370" s="11">
        <f>IFERROR(__xludf.DUMMYFUNCTION("""COMPUTED_VALUE"""),45995.457819999996)</f>
        <v>45995.45782</v>
      </c>
      <c r="C370" s="3" t="str">
        <f>IFERROR(__xludf.DUMMYFUNCTION("""COMPUTED_VALUE"""),"ชั้นปีที่ 2")</f>
        <v>ชั้นปีที่ 2</v>
      </c>
      <c r="D370" s="3" t="str">
        <f>IFERROR(__xludf.DUMMYFUNCTION("""COMPUTED_VALUE"""),"6703873")</f>
        <v>6703873</v>
      </c>
      <c r="E370" s="3" t="str">
        <f>IFERROR(__xludf.DUMMYFUNCTION("""COMPUTED_VALUE"""),"54")</f>
        <v>54</v>
      </c>
      <c r="F370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3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0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7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0" s="12">
        <f>IFERROR(__xludf.DUMMYFUNCTION("""COMPUTED_VALUE"""),45839.0)</f>
        <v>45839</v>
      </c>
      <c r="K370" s="3" t="str">
        <f>IFERROR(__xludf.DUMMYFUNCTION("""COMPUTED_VALUE"""),"1400-2200")</f>
        <v>1400-2200</v>
      </c>
      <c r="L370" s="3">
        <f>IFERROR(__xludf.DUMMYFUNCTION("""COMPUTED_VALUE"""),8.0)</f>
        <v>8</v>
      </c>
      <c r="M370" s="3" t="str">
        <f>IFERROR(__xludf.DUMMYFUNCTION("""COMPUTED_VALUE"""),"ร.อ.อนุชิต  ทำจะดี")</f>
        <v>ร.อ.อนุชิต  ทำจะดี</v>
      </c>
      <c r="N370" s="14" t="str">
        <f>IFERROR(__xludf.DUMMYFUNCTION("""COMPUTED_VALUE"""),"https://lh5.googleusercontent.com/d/1dcUsvqJM5Xd937PUpyQVl9eQPhD3YzpL")</f>
        <v>https://lh5.googleusercontent.com/d/1dcUsvqJM5Xd937PUpyQVl9eQPhD3YzpL</v>
      </c>
      <c r="O370" s="14" t="str">
        <f>IFERROR(__xludf.DUMMYFUNCTION("""COMPUTED_VALUE"""),"https://drive.google.com/file/d/14uVjX44m-58mNT_P-Qw3tdfFYc28c8kU/view?usp=drivesdk")</f>
        <v>https://drive.google.com/file/d/14uVjX44m-58mNT_P-Qw3tdfFYc28c8kU/view?usp=drivesdk</v>
      </c>
    </row>
    <row r="371">
      <c r="A371" s="3">
        <f>IFERROR(__xludf.DUMMYFUNCTION("""COMPUTED_VALUE"""),1185.0)</f>
        <v>1185</v>
      </c>
      <c r="B371" s="11">
        <f>IFERROR(__xludf.DUMMYFUNCTION("""COMPUTED_VALUE"""),45995.4587125)</f>
        <v>45995.45871</v>
      </c>
      <c r="C371" s="3" t="str">
        <f>IFERROR(__xludf.DUMMYFUNCTION("""COMPUTED_VALUE"""),"ชั้นปีที่ 2")</f>
        <v>ชั้นปีที่ 2</v>
      </c>
      <c r="D371" s="3" t="str">
        <f>IFERROR(__xludf.DUMMYFUNCTION("""COMPUTED_VALUE"""),"6703865")</f>
        <v>6703865</v>
      </c>
      <c r="E371" s="3" t="str">
        <f>IFERROR(__xludf.DUMMYFUNCTION("""COMPUTED_VALUE"""),"47")</f>
        <v>47</v>
      </c>
      <c r="F371" s="3" t="str">
        <f>IFERROR(__xludf.DUMMYFUNCTION("""COMPUTED_VALUE"""),"นพอ.โรจน์ศักดิ์ ทินนา")</f>
        <v>นพอ.โรจน์ศักดิ์ ทินนา</v>
      </c>
      <c r="G37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1" s="3" t="str">
        <f>IFERROR(__xludf.DUMMYFUNCTION("""COMPUTED_VALUE"""),"ฟังการสัมมนาสื่อสร้างสรรค์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</v>
      </c>
      <c r="I371" s="3" t="str">
        <f>IFERROR(__xludf.DUMMYFUNCTION("""COMPUTED_VALUE"""),"สำนักงาน SCG")</f>
        <v>สำนักงาน SCG</v>
      </c>
      <c r="J371" s="12">
        <f>IFERROR(__xludf.DUMMYFUNCTION("""COMPUTED_VALUE"""),45955.0)</f>
        <v>45955</v>
      </c>
      <c r="K371" s="3" t="str">
        <f>IFERROR(__xludf.DUMMYFUNCTION("""COMPUTED_VALUE"""),"0730-1230")</f>
        <v>0730-1230</v>
      </c>
      <c r="L371" s="3">
        <f>IFERROR(__xludf.DUMMYFUNCTION("""COMPUTED_VALUE"""),5.0)</f>
        <v>5</v>
      </c>
      <c r="M371" s="3" t="str">
        <f>IFERROR(__xludf.DUMMYFUNCTION("""COMPUTED_VALUE""")," น.ท.หญิง ฤทัยวรรณ นวมพันธ์")</f>
        <v> น.ท.หญิง ฤทัยวรรณ นวมพันธ์</v>
      </c>
      <c r="N371" s="14" t="str">
        <f>IFERROR(__xludf.DUMMYFUNCTION("""COMPUTED_VALUE"""),"https://lh5.googleusercontent.com/d/1cwQrWZZblfZVKdV_65y02-rijOScGxTZ")</f>
        <v>https://lh5.googleusercontent.com/d/1cwQrWZZblfZVKdV_65y02-rijOScGxTZ</v>
      </c>
      <c r="O371" s="14" t="str">
        <f>IFERROR(__xludf.DUMMYFUNCTION("""COMPUTED_VALUE"""),"https://drive.google.com/file/d/1EA2YeV5lG3E4TKrNtzw6eQcjESVfd8U-/view?usp=drivesdk")</f>
        <v>https://drive.google.com/file/d/1EA2YeV5lG3E4TKrNtzw6eQcjESVfd8U-/view?usp=drivesdk</v>
      </c>
    </row>
    <row r="372">
      <c r="A372" s="3">
        <f>IFERROR(__xludf.DUMMYFUNCTION("""COMPUTED_VALUE"""),1186.0)</f>
        <v>1186</v>
      </c>
      <c r="B372" s="11">
        <f>IFERROR(__xludf.DUMMYFUNCTION("""COMPUTED_VALUE"""),45995.46473158565)</f>
        <v>45995.46473</v>
      </c>
      <c r="C372" s="3" t="str">
        <f>IFERROR(__xludf.DUMMYFUNCTION("""COMPUTED_VALUE"""),"ชั้นปีที่ 2")</f>
        <v>ชั้นปีที่ 2</v>
      </c>
      <c r="D372" s="3" t="str">
        <f>IFERROR(__xludf.DUMMYFUNCTION("""COMPUTED_VALUE"""),"6703873")</f>
        <v>6703873</v>
      </c>
      <c r="E372" s="3" t="str">
        <f>IFERROR(__xludf.DUMMYFUNCTION("""COMPUTED_VALUE"""),"54")</f>
        <v>54</v>
      </c>
      <c r="F372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3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2" s="3" t="str">
        <f>IFERROR(__xludf.DUMMYFUNCTION("""COMPUTED_VALUE"""),"คอนเสิร์ตทัพฟ้าคู่ไทยเพื่อ ""ชัยพัฒนา"" ครั้งที่ 16 ")</f>
        <v>คอนเสิร์ตทัพฟ้าคู่ไทยเพื่อ "ชัยพัฒนา" ครั้งที่ 16 </v>
      </c>
      <c r="I372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2" s="12">
        <f>IFERROR(__xludf.DUMMYFUNCTION("""COMPUTED_VALUE"""),45840.0)</f>
        <v>45840</v>
      </c>
      <c r="K372" s="3" t="str">
        <f>IFERROR(__xludf.DUMMYFUNCTION("""COMPUTED_VALUE"""),"1400-2200")</f>
        <v>1400-2200</v>
      </c>
      <c r="L372" s="3">
        <f>IFERROR(__xludf.DUMMYFUNCTION("""COMPUTED_VALUE"""),8.0)</f>
        <v>8</v>
      </c>
      <c r="M372" s="3" t="str">
        <f>IFERROR(__xludf.DUMMYFUNCTION("""COMPUTED_VALUE"""),"ร.อ.อนุชิต  ทำจะดี")</f>
        <v>ร.อ.อนุชิต  ทำจะดี</v>
      </c>
      <c r="N372" s="14" t="str">
        <f>IFERROR(__xludf.DUMMYFUNCTION("""COMPUTED_VALUE"""),"https://lh5.googleusercontent.com/d/1dkIfatv-6c4poNvpHvYuW8DgUUEg7g9t")</f>
        <v>https://lh5.googleusercontent.com/d/1dkIfatv-6c4poNvpHvYuW8DgUUEg7g9t</v>
      </c>
      <c r="O372" s="14" t="str">
        <f>IFERROR(__xludf.DUMMYFUNCTION("""COMPUTED_VALUE"""),"https://drive.google.com/file/d/1JZzbmZlqktdcqzf08Rydlsi22AinLgIk/view?usp=drivesdk")</f>
        <v>https://drive.google.com/file/d/1JZzbmZlqktdcqzf08Rydlsi22AinLgIk/view?usp=drivesdk</v>
      </c>
    </row>
    <row r="373">
      <c r="A373" s="3">
        <f>IFERROR(__xludf.DUMMYFUNCTION("""COMPUTED_VALUE"""),1187.0)</f>
        <v>1187</v>
      </c>
      <c r="B373" s="11">
        <f>IFERROR(__xludf.DUMMYFUNCTION("""COMPUTED_VALUE"""),45995.473882604165)</f>
        <v>45995.47388</v>
      </c>
      <c r="C373" s="3" t="str">
        <f>IFERROR(__xludf.DUMMYFUNCTION("""COMPUTED_VALUE"""),"ชั้นปีที่ 2")</f>
        <v>ชั้นปีที่ 2</v>
      </c>
      <c r="D373" s="3" t="str">
        <f>IFERROR(__xludf.DUMMYFUNCTION("""COMPUTED_VALUE"""),"6703873")</f>
        <v>6703873</v>
      </c>
      <c r="E373" s="3" t="str">
        <f>IFERROR(__xludf.DUMMYFUNCTION("""COMPUTED_VALUE"""),"54")</f>
        <v>54</v>
      </c>
      <c r="F373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37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3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373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373" s="12">
        <f>IFERROR(__xludf.DUMMYFUNCTION("""COMPUTED_VALUE"""),45961.0)</f>
        <v>45961</v>
      </c>
      <c r="K373" s="3" t="str">
        <f>IFERROR(__xludf.DUMMYFUNCTION("""COMPUTED_VALUE"""),"1800-2200")</f>
        <v>1800-2200</v>
      </c>
      <c r="L373" s="3">
        <f>IFERROR(__xludf.DUMMYFUNCTION("""COMPUTED_VALUE"""),4.0)</f>
        <v>4</v>
      </c>
      <c r="M37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3" s="14" t="str">
        <f>IFERROR(__xludf.DUMMYFUNCTION("""COMPUTED_VALUE"""),"https://lh5.googleusercontent.com/d/13CUXqtCaXsoYpj49qBAzcSRRp4USzkpv")</f>
        <v>https://lh5.googleusercontent.com/d/13CUXqtCaXsoYpj49qBAzcSRRp4USzkpv</v>
      </c>
      <c r="O373" s="14" t="str">
        <f>IFERROR(__xludf.DUMMYFUNCTION("""COMPUTED_VALUE"""),"https://drive.google.com/file/d/1-sQ3jU2wsoYZMLnBtMkFaKGPSltieDww/view?usp=drivesdk")</f>
        <v>https://drive.google.com/file/d/1-sQ3jU2wsoYZMLnBtMkFaKGPSltieDww/view?usp=drivesdk</v>
      </c>
    </row>
    <row r="374">
      <c r="A374" s="3">
        <f>IFERROR(__xludf.DUMMYFUNCTION("""COMPUTED_VALUE"""),1188.0)</f>
        <v>1188</v>
      </c>
      <c r="B374" s="11">
        <f>IFERROR(__xludf.DUMMYFUNCTION("""COMPUTED_VALUE"""),45995.47634627315)</f>
        <v>45995.47635</v>
      </c>
      <c r="C374" s="3" t="str">
        <f>IFERROR(__xludf.DUMMYFUNCTION("""COMPUTED_VALUE"""),"ชั้นปีที่ 2")</f>
        <v>ชั้นปีที่ 2</v>
      </c>
      <c r="D374" s="3" t="str">
        <f>IFERROR(__xludf.DUMMYFUNCTION("""COMPUTED_VALUE"""),"6703873")</f>
        <v>6703873</v>
      </c>
      <c r="E374" s="3" t="str">
        <f>IFERROR(__xludf.DUMMYFUNCTION("""COMPUTED_VALUE"""),"54")</f>
        <v>54</v>
      </c>
      <c r="F374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37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4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374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374" s="12">
        <f>IFERROR(__xludf.DUMMYFUNCTION("""COMPUTED_VALUE"""),45962.0)</f>
        <v>45962</v>
      </c>
      <c r="K374" s="3" t="str">
        <f>IFERROR(__xludf.DUMMYFUNCTION("""COMPUTED_VALUE"""),"0800-2200")</f>
        <v>0800-2200</v>
      </c>
      <c r="L374" s="3">
        <f>IFERROR(__xludf.DUMMYFUNCTION("""COMPUTED_VALUE"""),8.0)</f>
        <v>8</v>
      </c>
      <c r="M37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4" s="14" t="str">
        <f>IFERROR(__xludf.DUMMYFUNCTION("""COMPUTED_VALUE"""),"https://lh5.googleusercontent.com/d/1VjxVYVTCKktUokA0ZUUNMTOuNjcGLRSj")</f>
        <v>https://lh5.googleusercontent.com/d/1VjxVYVTCKktUokA0ZUUNMTOuNjcGLRSj</v>
      </c>
      <c r="O374" s="14" t="str">
        <f>IFERROR(__xludf.DUMMYFUNCTION("""COMPUTED_VALUE"""),"https://drive.google.com/file/d/14Y9PsRFIwABZjMoPLZT1T9D5U1zLr8ZA/view?usp=drivesdk")</f>
        <v>https://drive.google.com/file/d/14Y9PsRFIwABZjMoPLZT1T9D5U1zLr8ZA/view?usp=drivesdk</v>
      </c>
    </row>
    <row r="375">
      <c r="A375" s="3">
        <f>IFERROR(__xludf.DUMMYFUNCTION("""COMPUTED_VALUE"""),1189.0)</f>
        <v>1189</v>
      </c>
      <c r="B375" s="11">
        <f>IFERROR(__xludf.DUMMYFUNCTION("""COMPUTED_VALUE"""),45995.47788533565)</f>
        <v>45995.47789</v>
      </c>
      <c r="C375" s="3" t="str">
        <f>IFERROR(__xludf.DUMMYFUNCTION("""COMPUTED_VALUE"""),"ชั้นปีที่ 2")</f>
        <v>ชั้นปีที่ 2</v>
      </c>
      <c r="D375" s="3" t="str">
        <f>IFERROR(__xludf.DUMMYFUNCTION("""COMPUTED_VALUE"""),"6703873")</f>
        <v>6703873</v>
      </c>
      <c r="E375" s="3" t="str">
        <f>IFERROR(__xludf.DUMMYFUNCTION("""COMPUTED_VALUE"""),"54")</f>
        <v>54</v>
      </c>
      <c r="F375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3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5" s="3" t="str">
        <f>IFERROR(__xludf.DUMMYFUNCTION("""COMPUTED_VALUE"""),"ค่ายอบรมเยาวชนพัฒนา โรงเรียนโยธินบูรณะ")</f>
        <v>ค่ายอบรมเยาวชนพัฒนา โรงเรียนโยธินบูรณะ</v>
      </c>
      <c r="I375" s="3" t="str">
        <f>IFERROR(__xludf.DUMMYFUNCTION("""COMPUTED_VALUE"""),"โรงเรียนนายร้อยพระจุลจอมเกล้า จ.นครนายก")</f>
        <v>โรงเรียนนายร้อยพระจุลจอมเกล้า จ.นครนายก</v>
      </c>
      <c r="J375" s="12">
        <f>IFERROR(__xludf.DUMMYFUNCTION("""COMPUTED_VALUE"""),45963.0)</f>
        <v>45963</v>
      </c>
      <c r="K375" s="3" t="str">
        <f>IFERROR(__xludf.DUMMYFUNCTION("""COMPUTED_VALUE"""),"0800-1600")</f>
        <v>0800-1600</v>
      </c>
      <c r="L375" s="3">
        <f>IFERROR(__xludf.DUMMYFUNCTION("""COMPUTED_VALUE"""),8.0)</f>
        <v>8</v>
      </c>
      <c r="M37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75" s="14" t="str">
        <f>IFERROR(__xludf.DUMMYFUNCTION("""COMPUTED_VALUE"""),"https://lh5.googleusercontent.com/d/1h1Pb259TGflU3K_rP_SaKitiVfjDDkpv")</f>
        <v>https://lh5.googleusercontent.com/d/1h1Pb259TGflU3K_rP_SaKitiVfjDDkpv</v>
      </c>
      <c r="O375" s="14" t="str">
        <f>IFERROR(__xludf.DUMMYFUNCTION("""COMPUTED_VALUE"""),"https://drive.google.com/file/d/1SdTSB4tT63Ej3q9_xX7DDRqGvXCV69qN/view?usp=drivesdk")</f>
        <v>https://drive.google.com/file/d/1SdTSB4tT63Ej3q9_xX7DDRqGvXCV69qN/view?usp=drivesdk</v>
      </c>
    </row>
    <row r="376">
      <c r="A376" s="3">
        <f>IFERROR(__xludf.DUMMYFUNCTION("""COMPUTED_VALUE"""),1190.0)</f>
        <v>1190</v>
      </c>
      <c r="B376" s="11">
        <f>IFERROR(__xludf.DUMMYFUNCTION("""COMPUTED_VALUE"""),45995.489003310184)</f>
        <v>45995.489</v>
      </c>
      <c r="C376" s="3" t="str">
        <f>IFERROR(__xludf.DUMMYFUNCTION("""COMPUTED_VALUE"""),"ชั้นปีที่ 2")</f>
        <v>ชั้นปีที่ 2</v>
      </c>
      <c r="D376" s="3" t="str">
        <f>IFERROR(__xludf.DUMMYFUNCTION("""COMPUTED_VALUE"""),"6703877")</f>
        <v>6703877</v>
      </c>
      <c r="E376" s="3" t="str">
        <f>IFERROR(__xludf.DUMMYFUNCTION("""COMPUTED_VALUE"""),"58")</f>
        <v>58</v>
      </c>
      <c r="F376" s="3" t="str">
        <f>IFERROR(__xludf.DUMMYFUNCTION("""COMPUTED_VALUE"""),"นพอ.สุชารัตน์ นิวงษา")</f>
        <v>นพอ.สุชารัตน์ นิวงษา</v>
      </c>
      <c r="G37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6" s="3" t="str">
        <f>IFERROR(__xludf.DUMMYFUNCTION("""COMPUTED_VALUE"""),"ซ้อมร้องประสานเสียงงานคอนเสิร์ตทัพฟ้า ")</f>
        <v>ซ้อมร้องประสานเสียงงานคอนเสิร์ตทัพฟ้า </v>
      </c>
      <c r="I376" s="3" t="str">
        <f>IFERROR(__xludf.DUMMYFUNCTION("""COMPUTED_VALUE"""),"ดุริยางค์ทหารอากาศ")</f>
        <v>ดุริยางค์ทหารอากาศ</v>
      </c>
      <c r="J376" s="12">
        <f>IFERROR(__xludf.DUMMYFUNCTION("""COMPUTED_VALUE"""),45825.0)</f>
        <v>45825</v>
      </c>
      <c r="K376" s="3" t="str">
        <f>IFERROR(__xludf.DUMMYFUNCTION("""COMPUTED_VALUE"""),"0800-1600")</f>
        <v>0800-1600</v>
      </c>
      <c r="L376" s="3">
        <f>IFERROR(__xludf.DUMMYFUNCTION("""COMPUTED_VALUE"""),8.0)</f>
        <v>8</v>
      </c>
      <c r="M376" s="3" t="str">
        <f>IFERROR(__xludf.DUMMYFUNCTION("""COMPUTED_VALUE"""),"ร.อ.อนุชิต ทำจะดี")</f>
        <v>ร.อ.อนุชิต ทำจะดี</v>
      </c>
      <c r="N376" s="14" t="str">
        <f>IFERROR(__xludf.DUMMYFUNCTION("""COMPUTED_VALUE"""),"https://lh5.googleusercontent.com/d/1n4dy3m2tx3awvyMrUqs8OLo4IdS0J1Hx")</f>
        <v>https://lh5.googleusercontent.com/d/1n4dy3m2tx3awvyMrUqs8OLo4IdS0J1Hx</v>
      </c>
      <c r="O376" s="14" t="str">
        <f>IFERROR(__xludf.DUMMYFUNCTION("""COMPUTED_VALUE"""),"https://drive.google.com/file/d/1cPyUrlD1AgH2BvO81zj_sCbsGSl4rjA1/view?usp=drivesdk")</f>
        <v>https://drive.google.com/file/d/1cPyUrlD1AgH2BvO81zj_sCbsGSl4rjA1/view?usp=drivesdk</v>
      </c>
    </row>
    <row r="377">
      <c r="A377" s="3">
        <f>IFERROR(__xludf.DUMMYFUNCTION("""COMPUTED_VALUE"""),1191.0)</f>
        <v>1191</v>
      </c>
      <c r="B377" s="11">
        <f>IFERROR(__xludf.DUMMYFUNCTION("""COMPUTED_VALUE"""),45995.49275462963)</f>
        <v>45995.49275</v>
      </c>
      <c r="C377" s="3" t="str">
        <f>IFERROR(__xludf.DUMMYFUNCTION("""COMPUTED_VALUE"""),"ชั้นปีที่ 2")</f>
        <v>ชั้นปีที่ 2</v>
      </c>
      <c r="D377" s="3" t="str">
        <f>IFERROR(__xludf.DUMMYFUNCTION("""COMPUTED_VALUE"""),"6703877")</f>
        <v>6703877</v>
      </c>
      <c r="E377" s="3" t="str">
        <f>IFERROR(__xludf.DUMMYFUNCTION("""COMPUTED_VALUE"""),"58")</f>
        <v>58</v>
      </c>
      <c r="F377" s="3" t="str">
        <f>IFERROR(__xludf.DUMMYFUNCTION("""COMPUTED_VALUE"""),"นพอ.สุชารัตน์ นิวงษา")</f>
        <v>นพอ.สุชารัตน์ นิวงษา</v>
      </c>
      <c r="G3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7" s="3" t="str">
        <f>IFERROR(__xludf.DUMMYFUNCTION("""COMPUTED_VALUE"""),"ซ้อมร้องเพลงประสานเสียงงานคอนเสิร์ตทัพฟ้า")</f>
        <v>ซ้อมร้องเพลงประสานเสียงงานคอนเสิร์ตทัพฟ้า</v>
      </c>
      <c r="I377" s="3" t="str">
        <f>IFERROR(__xludf.DUMMYFUNCTION("""COMPUTED_VALUE"""),"กองบัญชาการกองทัพอากาศ")</f>
        <v>กองบัญชาการกองทัพอากาศ</v>
      </c>
      <c r="J377" s="12">
        <f>IFERROR(__xludf.DUMMYFUNCTION("""COMPUTED_VALUE"""),45833.0)</f>
        <v>45833</v>
      </c>
      <c r="K377" s="3" t="str">
        <f>IFERROR(__xludf.DUMMYFUNCTION("""COMPUTED_VALUE"""),"0800-1600")</f>
        <v>0800-1600</v>
      </c>
      <c r="L377" s="3">
        <f>IFERROR(__xludf.DUMMYFUNCTION("""COMPUTED_VALUE"""),8.0)</f>
        <v>8</v>
      </c>
      <c r="M377" s="3" t="str">
        <f>IFERROR(__xludf.DUMMYFUNCTION("""COMPUTED_VALUE"""),"ร.อ.อนุชิต ทำจะดี")</f>
        <v>ร.อ.อนุชิต ทำจะดี</v>
      </c>
      <c r="N377" s="14" t="str">
        <f>IFERROR(__xludf.DUMMYFUNCTION("""COMPUTED_VALUE"""),"https://lh5.googleusercontent.com/d/1XbaKV4m7J-QEihfB_McTAG1EY84WXXuk")</f>
        <v>https://lh5.googleusercontent.com/d/1XbaKV4m7J-QEihfB_McTAG1EY84WXXuk</v>
      </c>
      <c r="O377" s="14" t="str">
        <f>IFERROR(__xludf.DUMMYFUNCTION("""COMPUTED_VALUE"""),"https://drive.google.com/file/d/1aptNze9Peb5l2qpi8TPYkXxkOo_o9YuZ/view?usp=drivesdk")</f>
        <v>https://drive.google.com/file/d/1aptNze9Peb5l2qpi8TPYkXxkOo_o9YuZ/view?usp=drivesdk</v>
      </c>
    </row>
    <row r="378">
      <c r="A378" s="3">
        <f>IFERROR(__xludf.DUMMYFUNCTION("""COMPUTED_VALUE"""),1192.0)</f>
        <v>1192</v>
      </c>
      <c r="B378" s="11">
        <f>IFERROR(__xludf.DUMMYFUNCTION("""COMPUTED_VALUE"""),45995.49492622685)</f>
        <v>45995.49493</v>
      </c>
      <c r="C378" s="3" t="str">
        <f>IFERROR(__xludf.DUMMYFUNCTION("""COMPUTED_VALUE"""),"ชั้นปีที่ 2")</f>
        <v>ชั้นปีที่ 2</v>
      </c>
      <c r="D378" s="3" t="str">
        <f>IFERROR(__xludf.DUMMYFUNCTION("""COMPUTED_VALUE"""),"6703877")</f>
        <v>6703877</v>
      </c>
      <c r="E378" s="3" t="str">
        <f>IFERROR(__xludf.DUMMYFUNCTION("""COMPUTED_VALUE"""),"58")</f>
        <v>58</v>
      </c>
      <c r="F378" s="3" t="str">
        <f>IFERROR(__xludf.DUMMYFUNCTION("""COMPUTED_VALUE"""),"นพอ.สุชารัตน์ นิวงษา")</f>
        <v>นพอ.สุชารัตน์ นิวงษา</v>
      </c>
      <c r="G37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8" s="3" t="str">
        <f>IFERROR(__xludf.DUMMYFUNCTION("""COMPUTED_VALUE"""),"ซ้อมร้องประสานเสียงคอนเสิร์ตทัพฟ้า")</f>
        <v>ซ้อมร้องประสานเสียงคอนเสิร์ตทัพฟ้า</v>
      </c>
      <c r="I378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8" s="12">
        <f>IFERROR(__xludf.DUMMYFUNCTION("""COMPUTED_VALUE"""),45838.0)</f>
        <v>45838</v>
      </c>
      <c r="K378" s="3" t="str">
        <f>IFERROR(__xludf.DUMMYFUNCTION("""COMPUTED_VALUE"""),"1400-2000")</f>
        <v>1400-2000</v>
      </c>
      <c r="L378" s="3">
        <f>IFERROR(__xludf.DUMMYFUNCTION("""COMPUTED_VALUE"""),8.0)</f>
        <v>8</v>
      </c>
      <c r="M378" s="3" t="str">
        <f>IFERROR(__xludf.DUMMYFUNCTION("""COMPUTED_VALUE"""),"ร.อ.อนุชิต ทำจะดี")</f>
        <v>ร.อ.อนุชิต ทำจะดี</v>
      </c>
      <c r="N378" s="14" t="str">
        <f>IFERROR(__xludf.DUMMYFUNCTION("""COMPUTED_VALUE"""),"https://lh5.googleusercontent.com/d/1B5WikWhqgDjcQijkrKzIcNDhuKBrTPHG")</f>
        <v>https://lh5.googleusercontent.com/d/1B5WikWhqgDjcQijkrKzIcNDhuKBrTPHG</v>
      </c>
      <c r="O378" s="14" t="str">
        <f>IFERROR(__xludf.DUMMYFUNCTION("""COMPUTED_VALUE"""),"https://drive.google.com/file/d/1OkxWg8z_vOIkSU_0Vb6o9vDE5A_VzHwQ/view?usp=drivesdk")</f>
        <v>https://drive.google.com/file/d/1OkxWg8z_vOIkSU_0Vb6o9vDE5A_VzHwQ/view?usp=drivesdk</v>
      </c>
    </row>
    <row r="379">
      <c r="A379" s="3">
        <f>IFERROR(__xludf.DUMMYFUNCTION("""COMPUTED_VALUE"""),1212.0)</f>
        <v>1212</v>
      </c>
      <c r="B379" s="11">
        <f>IFERROR(__xludf.DUMMYFUNCTION("""COMPUTED_VALUE"""),45996.59970070602)</f>
        <v>45996.5997</v>
      </c>
      <c r="C379" s="3" t="str">
        <f>IFERROR(__xludf.DUMMYFUNCTION("""COMPUTED_VALUE"""),"ชั้นปีที่ 2")</f>
        <v>ชั้นปีที่ 2</v>
      </c>
      <c r="D379" s="3" t="str">
        <f>IFERROR(__xludf.DUMMYFUNCTION("""COMPUTED_VALUE"""),"6703877")</f>
        <v>6703877</v>
      </c>
      <c r="E379" s="3" t="str">
        <f>IFERROR(__xludf.DUMMYFUNCTION("""COMPUTED_VALUE"""),"58")</f>
        <v>58</v>
      </c>
      <c r="F379" s="3" t="str">
        <f>IFERROR(__xludf.DUMMYFUNCTION("""COMPUTED_VALUE"""),"นพอ.สุชารัตน์ นิวงษา")</f>
        <v>นพอ.สุชารัตน์ นิวงษา</v>
      </c>
      <c r="G3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9" s="3" t="str">
        <f>IFERROR(__xludf.DUMMYFUNCTION("""COMPUTED_VALUE"""),"คอนเสิร์ตทัพฟ้าคู่ไทยเพื่อ“ชัยพัฒนา”ครั้งที่16")</f>
        <v>คอนเสิร์ตทัพฟ้าคู่ไทยเพื่อ“ชัยพัฒนา”ครั้งที่16</v>
      </c>
      <c r="I379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79" s="12">
        <f>IFERROR(__xludf.DUMMYFUNCTION("""COMPUTED_VALUE"""),45839.0)</f>
        <v>45839</v>
      </c>
      <c r="K379" s="3" t="str">
        <f>IFERROR(__xludf.DUMMYFUNCTION("""COMPUTED_VALUE"""),"1400-2200")</f>
        <v>1400-2200</v>
      </c>
      <c r="L379" s="3">
        <f>IFERROR(__xludf.DUMMYFUNCTION("""COMPUTED_VALUE"""),8.0)</f>
        <v>8</v>
      </c>
      <c r="M379" s="3" t="str">
        <f>IFERROR(__xludf.DUMMYFUNCTION("""COMPUTED_VALUE"""),"ร.อ.อนุชิต ทำจะดี")</f>
        <v>ร.อ.อนุชิต ทำจะดี</v>
      </c>
      <c r="N379" s="14" t="str">
        <f>IFERROR(__xludf.DUMMYFUNCTION("""COMPUTED_VALUE"""),"https://lh5.googleusercontent.com/d/1q985nzQ95dQNw1qikEofsf0fexpVdkmB")</f>
        <v>https://lh5.googleusercontent.com/d/1q985nzQ95dQNw1qikEofsf0fexpVdkmB</v>
      </c>
      <c r="O379" s="14" t="str">
        <f>IFERROR(__xludf.DUMMYFUNCTION("""COMPUTED_VALUE"""),"https://drive.google.com/file/d/10iS5r6RJ4cIl-brMj-Z-fvLiRSwF6g_b/view?usp=drivesdk")</f>
        <v>https://drive.google.com/file/d/10iS5r6RJ4cIl-brMj-Z-fvLiRSwF6g_b/view?usp=drivesdk</v>
      </c>
    </row>
    <row r="380">
      <c r="A380" s="3">
        <f>IFERROR(__xludf.DUMMYFUNCTION("""COMPUTED_VALUE"""),1213.0)</f>
        <v>1213</v>
      </c>
      <c r="B380" s="11">
        <f>IFERROR(__xludf.DUMMYFUNCTION("""COMPUTED_VALUE"""),45996.600976284724)</f>
        <v>45996.60098</v>
      </c>
      <c r="C380" s="3" t="str">
        <f>IFERROR(__xludf.DUMMYFUNCTION("""COMPUTED_VALUE"""),"ชั้นปีที่ 2")</f>
        <v>ชั้นปีที่ 2</v>
      </c>
      <c r="D380" s="3" t="str">
        <f>IFERROR(__xludf.DUMMYFUNCTION("""COMPUTED_VALUE"""),"6703877")</f>
        <v>6703877</v>
      </c>
      <c r="E380" s="3" t="str">
        <f>IFERROR(__xludf.DUMMYFUNCTION("""COMPUTED_VALUE"""),"58")</f>
        <v>58</v>
      </c>
      <c r="F380" s="3" t="str">
        <f>IFERROR(__xludf.DUMMYFUNCTION("""COMPUTED_VALUE"""),"นพอ.สุชารัตน์ นิวงษา")</f>
        <v>นพอ.สุชารัตน์ นิวงษา</v>
      </c>
      <c r="G3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0" s="3" t="str">
        <f>IFERROR(__xludf.DUMMYFUNCTION("""COMPUTED_VALUE"""),"คอนเสิร์ตทัพฟ้าคู่ไทยเพื่อชัยพัฒนา ครั้งที่16")</f>
        <v>คอนเสิร์ตทัพฟ้าคู่ไทยเพื่อชัยพัฒนา ครั้งที่16</v>
      </c>
      <c r="I380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0" s="12">
        <f>IFERROR(__xludf.DUMMYFUNCTION("""COMPUTED_VALUE"""),45840.0)</f>
        <v>45840</v>
      </c>
      <c r="K380" s="3" t="str">
        <f>IFERROR(__xludf.DUMMYFUNCTION("""COMPUTED_VALUE"""),"1400-2200")</f>
        <v>1400-2200</v>
      </c>
      <c r="L380" s="3">
        <f>IFERROR(__xludf.DUMMYFUNCTION("""COMPUTED_VALUE"""),8.0)</f>
        <v>8</v>
      </c>
      <c r="M380" s="3" t="str">
        <f>IFERROR(__xludf.DUMMYFUNCTION("""COMPUTED_VALUE"""),"ร.อ.อนุชิต ทำจะดี")</f>
        <v>ร.อ.อนุชิต ทำจะดี</v>
      </c>
      <c r="N380" s="14" t="str">
        <f>IFERROR(__xludf.DUMMYFUNCTION("""COMPUTED_VALUE"""),"https://lh5.googleusercontent.com/d/12OF16gQsleZr6qGrxjMeCllyH7TtjBE3")</f>
        <v>https://lh5.googleusercontent.com/d/12OF16gQsleZr6qGrxjMeCllyH7TtjBE3</v>
      </c>
      <c r="O380" s="14" t="str">
        <f>IFERROR(__xludf.DUMMYFUNCTION("""COMPUTED_VALUE"""),"https://drive.google.com/file/d/1ksYNKQX-6fMadX6jsIlbKu_g2-FJpACP/view?usp=drivesdk")</f>
        <v>https://drive.google.com/file/d/1ksYNKQX-6fMadX6jsIlbKu_g2-FJpACP/view?usp=drivesdk</v>
      </c>
    </row>
    <row r="381">
      <c r="A381" s="3">
        <f>IFERROR(__xludf.DUMMYFUNCTION("""COMPUTED_VALUE"""),1225.0)</f>
        <v>1225</v>
      </c>
      <c r="B381" s="11">
        <f>IFERROR(__xludf.DUMMYFUNCTION("""COMPUTED_VALUE"""),45997.77692709491)</f>
        <v>45997.77693</v>
      </c>
      <c r="C381" s="3" t="str">
        <f>IFERROR(__xludf.DUMMYFUNCTION("""COMPUTED_VALUE"""),"ชั้นปีที่ 2")</f>
        <v>ชั้นปีที่ 2</v>
      </c>
      <c r="D381" s="3" t="str">
        <f>IFERROR(__xludf.DUMMYFUNCTION("""COMPUTED_VALUE"""),"6703856")</f>
        <v>6703856</v>
      </c>
      <c r="E381" s="3" t="str">
        <f>IFERROR(__xludf.DUMMYFUNCTION("""COMPUTED_VALUE"""),"38")</f>
        <v>38</v>
      </c>
      <c r="F381" s="3" t="str">
        <f>IFERROR(__xludf.DUMMYFUNCTION("""COMPUTED_VALUE"""),"นพอ.พรรณรายณ์ เย็นประเสริฐ")</f>
        <v>นพอ.พรรณรายณ์ เย็นประเสริฐ</v>
      </c>
      <c r="G3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1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81" s="3" t="str">
        <f>IFERROR(__xludf.DUMMYFUNCTION("""COMPUTED_VALUE"""),"ดุริยางค์ทหารอากาศ")</f>
        <v>ดุริยางค์ทหารอากาศ</v>
      </c>
      <c r="J381" s="12">
        <f>IFERROR(__xludf.DUMMYFUNCTION("""COMPUTED_VALUE"""),45825.0)</f>
        <v>45825</v>
      </c>
      <c r="K381" s="3" t="str">
        <f>IFERROR(__xludf.DUMMYFUNCTION("""COMPUTED_VALUE"""),"0800-1600")</f>
        <v>0800-1600</v>
      </c>
      <c r="L381" s="3">
        <f>IFERROR(__xludf.DUMMYFUNCTION("""COMPUTED_VALUE"""),8.0)</f>
        <v>8</v>
      </c>
      <c r="M381" s="3" t="str">
        <f>IFERROR(__xludf.DUMMYFUNCTION("""COMPUTED_VALUE"""),"ร.อ.อนุชิต ทำจะดี")</f>
        <v>ร.อ.อนุชิต ทำจะดี</v>
      </c>
      <c r="N381" s="14" t="str">
        <f>IFERROR(__xludf.DUMMYFUNCTION("""COMPUTED_VALUE"""),"https://lh5.googleusercontent.com/d/180cjJiGiEgZciZxPkLm7VmunEwa9s4FJ")</f>
        <v>https://lh5.googleusercontent.com/d/180cjJiGiEgZciZxPkLm7VmunEwa9s4FJ</v>
      </c>
      <c r="O381" s="14" t="str">
        <f>IFERROR(__xludf.DUMMYFUNCTION("""COMPUTED_VALUE"""),"https://drive.google.com/file/d/1ZqMdyxu3QnklSetkUtObJNl5LaEIRqCG/view?usp=drivesdk")</f>
        <v>https://drive.google.com/file/d/1ZqMdyxu3QnklSetkUtObJNl5LaEIRqCG/view?usp=drivesdk</v>
      </c>
    </row>
    <row r="382">
      <c r="A382" s="3">
        <f>IFERROR(__xludf.DUMMYFUNCTION("""COMPUTED_VALUE"""),1226.0)</f>
        <v>1226</v>
      </c>
      <c r="B382" s="11">
        <f>IFERROR(__xludf.DUMMYFUNCTION("""COMPUTED_VALUE"""),45997.779754178235)</f>
        <v>45997.77975</v>
      </c>
      <c r="C382" s="3" t="str">
        <f>IFERROR(__xludf.DUMMYFUNCTION("""COMPUTED_VALUE"""),"ชั้นปีที่ 2")</f>
        <v>ชั้นปีที่ 2</v>
      </c>
      <c r="D382" s="3" t="str">
        <f>IFERROR(__xludf.DUMMYFUNCTION("""COMPUTED_VALUE"""),"6703856")</f>
        <v>6703856</v>
      </c>
      <c r="E382" s="3" t="str">
        <f>IFERROR(__xludf.DUMMYFUNCTION("""COMPUTED_VALUE"""),"38")</f>
        <v>38</v>
      </c>
      <c r="F382" s="3" t="str">
        <f>IFERROR(__xludf.DUMMYFUNCTION("""COMPUTED_VALUE"""),"นพอ.พรรณรายณ์ เย็นประเสริฐ")</f>
        <v>นพอ.พรรณรายณ์ เย็นประเสริฐ</v>
      </c>
      <c r="G38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2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82" s="3" t="str">
        <f>IFERROR(__xludf.DUMMYFUNCTION("""COMPUTED_VALUE"""),"กองบัญชาการกองทัพอากาศ")</f>
        <v>กองบัญชาการกองทัพอากาศ</v>
      </c>
      <c r="J382" s="12">
        <f>IFERROR(__xludf.DUMMYFUNCTION("""COMPUTED_VALUE"""),45833.0)</f>
        <v>45833</v>
      </c>
      <c r="K382" s="3" t="str">
        <f>IFERROR(__xludf.DUMMYFUNCTION("""COMPUTED_VALUE"""),"0800-1600")</f>
        <v>0800-1600</v>
      </c>
      <c r="L382" s="3">
        <f>IFERROR(__xludf.DUMMYFUNCTION("""COMPUTED_VALUE"""),8.0)</f>
        <v>8</v>
      </c>
      <c r="M382" s="3" t="str">
        <f>IFERROR(__xludf.DUMMYFUNCTION("""COMPUTED_VALUE"""),"ร.อ.อนุชิต ทำจะดี")</f>
        <v>ร.อ.อนุชิต ทำจะดี</v>
      </c>
      <c r="N382" s="14" t="str">
        <f>IFERROR(__xludf.DUMMYFUNCTION("""COMPUTED_VALUE"""),"https://lh5.googleusercontent.com/d/1HnCSvYrhoT1aN5Ld1wPNQpaWPhM1cK8K")</f>
        <v>https://lh5.googleusercontent.com/d/1HnCSvYrhoT1aN5Ld1wPNQpaWPhM1cK8K</v>
      </c>
      <c r="O382" s="14" t="str">
        <f>IFERROR(__xludf.DUMMYFUNCTION("""COMPUTED_VALUE"""),"https://drive.google.com/file/d/1Hk40fqvL5WXw6zZqbSXxxvjUJEhsfpoy/view?usp=drivesdk")</f>
        <v>https://drive.google.com/file/d/1Hk40fqvL5WXw6zZqbSXxxvjUJEhsfpoy/view?usp=drivesdk</v>
      </c>
    </row>
    <row r="383">
      <c r="A383" s="3">
        <f>IFERROR(__xludf.DUMMYFUNCTION("""COMPUTED_VALUE"""),1228.0)</f>
        <v>1228</v>
      </c>
      <c r="B383" s="11">
        <f>IFERROR(__xludf.DUMMYFUNCTION("""COMPUTED_VALUE"""),45997.78351572916)</f>
        <v>45997.78352</v>
      </c>
      <c r="C383" s="3" t="str">
        <f>IFERROR(__xludf.DUMMYFUNCTION("""COMPUTED_VALUE"""),"ชั้นปีที่ 2")</f>
        <v>ชั้นปีที่ 2</v>
      </c>
      <c r="D383" s="3" t="str">
        <f>IFERROR(__xludf.DUMMYFUNCTION("""COMPUTED_VALUE"""),"6703856")</f>
        <v>6703856</v>
      </c>
      <c r="E383" s="3" t="str">
        <f>IFERROR(__xludf.DUMMYFUNCTION("""COMPUTED_VALUE"""),"38")</f>
        <v>38</v>
      </c>
      <c r="F383" s="3" t="str">
        <f>IFERROR(__xludf.DUMMYFUNCTION("""COMPUTED_VALUE"""),"นพอ.พรรณรายณ์ เย็นประเสริฐ")</f>
        <v>นพอ.พรรณรายณ์ เย็นประเสริฐ</v>
      </c>
      <c r="G38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3" s="3" t="str">
        <f>IFERROR(__xludf.DUMMYFUNCTION("""COMPUTED_VALUE"""),"ซ้อมร้องประสานเสียงงานคอนเสิร์ตทัพฟ้า")</f>
        <v>ซ้อมร้องประสานเสียงงานคอนเสิร์ตทัพฟ้า</v>
      </c>
      <c r="I383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3" s="12">
        <f>IFERROR(__xludf.DUMMYFUNCTION("""COMPUTED_VALUE"""),45838.0)</f>
        <v>45838</v>
      </c>
      <c r="K383" s="3" t="str">
        <f>IFERROR(__xludf.DUMMYFUNCTION("""COMPUTED_VALUE"""),"1400-2200")</f>
        <v>1400-2200</v>
      </c>
      <c r="L383" s="3">
        <f>IFERROR(__xludf.DUMMYFUNCTION("""COMPUTED_VALUE"""),8.0)</f>
        <v>8</v>
      </c>
      <c r="M383" s="3" t="str">
        <f>IFERROR(__xludf.DUMMYFUNCTION("""COMPUTED_VALUE"""),"ร.อ.อนุชิต ทำจะดี")</f>
        <v>ร.อ.อนุชิต ทำจะดี</v>
      </c>
      <c r="N383" s="14" t="str">
        <f>IFERROR(__xludf.DUMMYFUNCTION("""COMPUTED_VALUE"""),"https://lh5.googleusercontent.com/d/126oF0FPneDGVxAcKhhyBbBLK6F4-Je_H")</f>
        <v>https://lh5.googleusercontent.com/d/126oF0FPneDGVxAcKhhyBbBLK6F4-Je_H</v>
      </c>
      <c r="O383" s="14" t="str">
        <f>IFERROR(__xludf.DUMMYFUNCTION("""COMPUTED_VALUE"""),"https://drive.google.com/file/d/1RM3uiqKXrjTFQdsshBGqSsl5mZ8xYUqk/view?usp=drivesdk")</f>
        <v>https://drive.google.com/file/d/1RM3uiqKXrjTFQdsshBGqSsl5mZ8xYUqk/view?usp=drivesdk</v>
      </c>
    </row>
    <row r="384">
      <c r="A384" s="3">
        <f>IFERROR(__xludf.DUMMYFUNCTION("""COMPUTED_VALUE"""),1229.0)</f>
        <v>1229</v>
      </c>
      <c r="B384" s="11">
        <f>IFERROR(__xludf.DUMMYFUNCTION("""COMPUTED_VALUE"""),45997.78798849537)</f>
        <v>45997.78799</v>
      </c>
      <c r="C384" s="3" t="str">
        <f>IFERROR(__xludf.DUMMYFUNCTION("""COMPUTED_VALUE"""),"ชั้นปีที่ 2")</f>
        <v>ชั้นปีที่ 2</v>
      </c>
      <c r="D384" s="3" t="str">
        <f>IFERROR(__xludf.DUMMYFUNCTION("""COMPUTED_VALUE"""),"6703856")</f>
        <v>6703856</v>
      </c>
      <c r="E384" s="3" t="str">
        <f>IFERROR(__xludf.DUMMYFUNCTION("""COMPUTED_VALUE"""),"38")</f>
        <v>38</v>
      </c>
      <c r="F384" s="3" t="str">
        <f>IFERROR(__xludf.DUMMYFUNCTION("""COMPUTED_VALUE"""),"นพอ.พรรณรายณ์ เย็นประเสริฐ")</f>
        <v>นพอ.พรรณรายณ์ เย็นประเสริฐ</v>
      </c>
      <c r="G38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4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384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4" s="12">
        <f>IFERROR(__xludf.DUMMYFUNCTION("""COMPUTED_VALUE"""),45839.0)</f>
        <v>45839</v>
      </c>
      <c r="K384" s="3" t="str">
        <f>IFERROR(__xludf.DUMMYFUNCTION("""COMPUTED_VALUE"""),"1400-2200")</f>
        <v>1400-2200</v>
      </c>
      <c r="L384" s="3">
        <f>IFERROR(__xludf.DUMMYFUNCTION("""COMPUTED_VALUE"""),8.0)</f>
        <v>8</v>
      </c>
      <c r="M384" s="3" t="str">
        <f>IFERROR(__xludf.DUMMYFUNCTION("""COMPUTED_VALUE"""),"ร.อ.อนุชิต ทำจะดี")</f>
        <v>ร.อ.อนุชิต ทำจะดี</v>
      </c>
      <c r="N384" s="14" t="str">
        <f>IFERROR(__xludf.DUMMYFUNCTION("""COMPUTED_VALUE"""),"https://lh5.googleusercontent.com/d/1otYwflUuIKEijXIjpOB4Ssd7s4a5iEKG")</f>
        <v>https://lh5.googleusercontent.com/d/1otYwflUuIKEijXIjpOB4Ssd7s4a5iEKG</v>
      </c>
      <c r="O384" s="14" t="str">
        <f>IFERROR(__xludf.DUMMYFUNCTION("""COMPUTED_VALUE"""),"https://drive.google.com/file/d/1jUDH_CiRs7FNj-XponcPYVvEHauca0Sz/view?usp=drivesdk")</f>
        <v>https://drive.google.com/file/d/1jUDH_CiRs7FNj-XponcPYVvEHauca0Sz/view?usp=drivesdk</v>
      </c>
    </row>
    <row r="385">
      <c r="A385" s="3">
        <f>IFERROR(__xludf.DUMMYFUNCTION("""COMPUTED_VALUE"""),1230.0)</f>
        <v>1230</v>
      </c>
      <c r="B385" s="11">
        <f>IFERROR(__xludf.DUMMYFUNCTION("""COMPUTED_VALUE"""),45997.79236806713)</f>
        <v>45997.79237</v>
      </c>
      <c r="C385" s="3" t="str">
        <f>IFERROR(__xludf.DUMMYFUNCTION("""COMPUTED_VALUE"""),"ชั้นปีที่ 2")</f>
        <v>ชั้นปีที่ 2</v>
      </c>
      <c r="D385" s="3" t="str">
        <f>IFERROR(__xludf.DUMMYFUNCTION("""COMPUTED_VALUE"""),"6703856")</f>
        <v>6703856</v>
      </c>
      <c r="E385" s="3" t="str">
        <f>IFERROR(__xludf.DUMMYFUNCTION("""COMPUTED_VALUE"""),"38")</f>
        <v>38</v>
      </c>
      <c r="F385" s="3" t="str">
        <f>IFERROR(__xludf.DUMMYFUNCTION("""COMPUTED_VALUE"""),"นพอ.พรรณรายณ์ เย็นประเสริฐ")</f>
        <v>นพอ.พรรณรายณ์ เย็นประเสริฐ</v>
      </c>
      <c r="G3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5" s="3" t="str">
        <f>IFERROR(__xludf.DUMMYFUNCTION("""COMPUTED_VALUE"""),"คอนเสิร์ตทัพฟ้าคู่ไทยเพื่อ “ชัยพัฒนา” ครั้งที่ 16")</f>
        <v>คอนเสิร์ตทัพฟ้าคู่ไทยเพื่อ “ชัยพัฒนา” ครั้งที่ 16</v>
      </c>
      <c r="I385" s="3" t="str">
        <f>IFERROR(__xludf.DUMMYFUNCTION("""COMPUTED_VALUE"""),"ศูนย์วัฒนธรรมแห่งประเทศไทย")</f>
        <v>ศูนย์วัฒนธรรมแห่งประเทศไทย</v>
      </c>
      <c r="J385" s="12">
        <f>IFERROR(__xludf.DUMMYFUNCTION("""COMPUTED_VALUE"""),45840.0)</f>
        <v>45840</v>
      </c>
      <c r="K385" s="3" t="str">
        <f>IFERROR(__xludf.DUMMYFUNCTION("""COMPUTED_VALUE"""),"1400-2200")</f>
        <v>1400-2200</v>
      </c>
      <c r="L385" s="3">
        <f>IFERROR(__xludf.DUMMYFUNCTION("""COMPUTED_VALUE"""),8.0)</f>
        <v>8</v>
      </c>
      <c r="M385" s="3" t="str">
        <f>IFERROR(__xludf.DUMMYFUNCTION("""COMPUTED_VALUE"""),"ร.อ.อนุชิต ทำจะดี")</f>
        <v>ร.อ.อนุชิต ทำจะดี</v>
      </c>
      <c r="N385" s="14" t="str">
        <f>IFERROR(__xludf.DUMMYFUNCTION("""COMPUTED_VALUE"""),"https://lh5.googleusercontent.com/d/1NVwfWfgemDHF5X03amoI00vGGY2A7vhU")</f>
        <v>https://lh5.googleusercontent.com/d/1NVwfWfgemDHF5X03amoI00vGGY2A7vhU</v>
      </c>
      <c r="O385" s="14" t="str">
        <f>IFERROR(__xludf.DUMMYFUNCTION("""COMPUTED_VALUE"""),"https://drive.google.com/file/d/1yrGLhj8aY54xukpxDZCseiZQOOLVK3Kh/view?usp=drivesdk")</f>
        <v>https://drive.google.com/file/d/1yrGLhj8aY54xukpxDZCseiZQOOLVK3Kh/view?usp=drivesdk</v>
      </c>
    </row>
    <row r="386">
      <c r="A386" s="3">
        <f>IFERROR(__xludf.DUMMYFUNCTION("""COMPUTED_VALUE"""),1247.0)</f>
        <v>1247</v>
      </c>
      <c r="B386" s="11">
        <f>IFERROR(__xludf.DUMMYFUNCTION("""COMPUTED_VALUE"""),45998.045128136575)</f>
        <v>45998.04513</v>
      </c>
      <c r="C386" s="3" t="str">
        <f>IFERROR(__xludf.DUMMYFUNCTION("""COMPUTED_VALUE"""),"ชั้นปีที่ 2")</f>
        <v>ชั้นปีที่ 2</v>
      </c>
      <c r="D386" s="3" t="str">
        <f>IFERROR(__xludf.DUMMYFUNCTION("""COMPUTED_VALUE"""),"6703853")</f>
        <v>6703853</v>
      </c>
      <c r="E386" s="3" t="str">
        <f>IFERROR(__xludf.DUMMYFUNCTION("""COMPUTED_VALUE"""),"35")</f>
        <v>35</v>
      </c>
      <c r="F386" s="3" t="str">
        <f>IFERROR(__xludf.DUMMYFUNCTION("""COMPUTED_VALUE"""),"นพอ.เปรมยุดา ศรีสุข")</f>
        <v>นพอ.เปรมยุดา ศรีสุข</v>
      </c>
      <c r="G386" s="3" t="str">
        <f>IFERROR(__xludf.DUMMYFUNCTION("""COMPUTED_VALUE"""),"ช่วยเหลืองานภายใน วพอ.")</f>
        <v>ช่วยเหลืองานภายใน วพอ.</v>
      </c>
      <c r="H386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86" s="3" t="str">
        <f>IFERROR(__xludf.DUMMYFUNCTION("""COMPUTED_VALUE"""),"ห้องเรียน นพอ.ปี 1")</f>
        <v>ห้องเรียน นพอ.ปี 1</v>
      </c>
      <c r="J386" s="12">
        <f>IFERROR(__xludf.DUMMYFUNCTION("""COMPUTED_VALUE"""),45984.0)</f>
        <v>45984</v>
      </c>
      <c r="K386" s="3" t="str">
        <f>IFERROR(__xludf.DUMMYFUNCTION("""COMPUTED_VALUE"""),"1000-1800")</f>
        <v>1000-1800</v>
      </c>
      <c r="L386" s="3">
        <f>IFERROR(__xludf.DUMMYFUNCTION("""COMPUTED_VALUE"""),8.0)</f>
        <v>8</v>
      </c>
      <c r="M386" s="3" t="str">
        <f>IFERROR(__xludf.DUMMYFUNCTION("""COMPUTED_VALUE"""),"ร.ท.เรวัติ วัชรสิทธิ์")</f>
        <v>ร.ท.เรวัติ วัชรสิทธิ์</v>
      </c>
      <c r="N386" s="14" t="str">
        <f>IFERROR(__xludf.DUMMYFUNCTION("""COMPUTED_VALUE"""),"https://lh5.googleusercontent.com/d/18Eoj4Cnh6J9J88nuU0GXap0lDXPqQj_J")</f>
        <v>https://lh5.googleusercontent.com/d/18Eoj4Cnh6J9J88nuU0GXap0lDXPqQj_J</v>
      </c>
      <c r="O386" s="14" t="str">
        <f>IFERROR(__xludf.DUMMYFUNCTION("""COMPUTED_VALUE"""),"https://drive.google.com/file/d/1s3_T5uiRRdJMt_nfGkhOCkYZyR3W6_Pi/view?usp=drivesdk")</f>
        <v>https://drive.google.com/file/d/1s3_T5uiRRdJMt_nfGkhOCkYZyR3W6_Pi/view?usp=drivesdk</v>
      </c>
    </row>
    <row r="387">
      <c r="A387" s="3">
        <f>IFERROR(__xludf.DUMMYFUNCTION("""COMPUTED_VALUE"""),1249.0)</f>
        <v>1249</v>
      </c>
      <c r="B387" s="11">
        <f>IFERROR(__xludf.DUMMYFUNCTION("""COMPUTED_VALUE"""),45998.04807035879)</f>
        <v>45998.04807</v>
      </c>
      <c r="C387" s="3" t="str">
        <f>IFERROR(__xludf.DUMMYFUNCTION("""COMPUTED_VALUE"""),"ชั้นปีที่ 2")</f>
        <v>ชั้นปีที่ 2</v>
      </c>
      <c r="D387" s="3" t="str">
        <f>IFERROR(__xludf.DUMMYFUNCTION("""COMPUTED_VALUE"""),"6703853")</f>
        <v>6703853</v>
      </c>
      <c r="E387" s="3" t="str">
        <f>IFERROR(__xludf.DUMMYFUNCTION("""COMPUTED_VALUE"""),"35")</f>
        <v>35</v>
      </c>
      <c r="F387" s="3" t="str">
        <f>IFERROR(__xludf.DUMMYFUNCTION("""COMPUTED_VALUE"""),"นพอ.เปรมยุดา ศรีสุข")</f>
        <v>นพอ.เปรมยุดา ศรีสุข</v>
      </c>
      <c r="G3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7" s="3" t="str">
        <f>IFERROR(__xludf.DUMMYFUNCTION("""COMPUTED_VALUE"""),"ซ้อมร้องประสานเสียงงานคอนเสิร์ตทัพฟ้า (กองบัญชาการกองทัพอากาศ)")</f>
        <v>ซ้อมร้องประสานเสียงงานคอนเสิร์ตทัพฟ้า (กองบัญชาการกองทัพอากาศ)</v>
      </c>
      <c r="I387" s="3" t="str">
        <f>IFERROR(__xludf.DUMMYFUNCTION("""COMPUTED_VALUE"""),"(ศูนย์วัฒนธรรมแห่งประเทศไทย) ")</f>
        <v>(ศูนย์วัฒนธรรมแห่งประเทศไทย) </v>
      </c>
      <c r="J387" s="12">
        <f>IFERROR(__xludf.DUMMYFUNCTION("""COMPUTED_VALUE"""),45838.0)</f>
        <v>45838</v>
      </c>
      <c r="K387" s="3" t="str">
        <f>IFERROR(__xludf.DUMMYFUNCTION("""COMPUTED_VALUE"""),"1400-2200")</f>
        <v>1400-2200</v>
      </c>
      <c r="L387" s="3">
        <f>IFERROR(__xludf.DUMMYFUNCTION("""COMPUTED_VALUE"""),8.0)</f>
        <v>8</v>
      </c>
      <c r="M387" s="3" t="str">
        <f>IFERROR(__xludf.DUMMYFUNCTION("""COMPUTED_VALUE"""),"ร.อ.อนุชิต ทำจะดี")</f>
        <v>ร.อ.อนุชิต ทำจะดี</v>
      </c>
      <c r="N387" s="14" t="str">
        <f>IFERROR(__xludf.DUMMYFUNCTION("""COMPUTED_VALUE"""),"https://lh5.googleusercontent.com/d/1MDfJs7FtdLQq_9S0eW1wCDyV6EcZvwrB")</f>
        <v>https://lh5.googleusercontent.com/d/1MDfJs7FtdLQq_9S0eW1wCDyV6EcZvwrB</v>
      </c>
      <c r="O387" s="14" t="str">
        <f>IFERROR(__xludf.DUMMYFUNCTION("""COMPUTED_VALUE"""),"https://drive.google.com/file/d/1FxgCatXHtFgggK5m84MAUyqt8cHTCsnR/view?usp=drivesdk")</f>
        <v>https://drive.google.com/file/d/1FxgCatXHtFgggK5m84MAUyqt8cHTCsnR/view?usp=drivesdk</v>
      </c>
    </row>
    <row r="388">
      <c r="A388" s="3">
        <f>IFERROR(__xludf.DUMMYFUNCTION("""COMPUTED_VALUE"""),1250.0)</f>
        <v>1250</v>
      </c>
      <c r="B388" s="11">
        <f>IFERROR(__xludf.DUMMYFUNCTION("""COMPUTED_VALUE"""),45998.05409783565)</f>
        <v>45998.0541</v>
      </c>
      <c r="C388" s="3" t="str">
        <f>IFERROR(__xludf.DUMMYFUNCTION("""COMPUTED_VALUE"""),"ชั้นปีที่ 2")</f>
        <v>ชั้นปีที่ 2</v>
      </c>
      <c r="D388" s="3" t="str">
        <f>IFERROR(__xludf.DUMMYFUNCTION("""COMPUTED_VALUE"""),"6703853")</f>
        <v>6703853</v>
      </c>
      <c r="E388" s="3" t="str">
        <f>IFERROR(__xludf.DUMMYFUNCTION("""COMPUTED_VALUE"""),"35")</f>
        <v>35</v>
      </c>
      <c r="F388" s="3" t="str">
        <f>IFERROR(__xludf.DUMMYFUNCTION("""COMPUTED_VALUE"""),"นพอ.เปรมยุดา ศรีสุข")</f>
        <v>นพอ.เปรมยุดา ศรีสุข</v>
      </c>
      <c r="G38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88" s="3" t="str">
        <f>IFERROR(__xludf.DUMMYFUNCTION("""COMPUTED_VALUE"""),"คอนเสิร์ตทัพฟ้าคู่ไทยเพื่อ ""ชัยพัฒนา"" ครั้งที่ 16 (ศูนย์วัฒนธรรมแห่งประเทศไทย) ")</f>
        <v>คอนเสิร์ตทัพฟ้าคู่ไทยเพื่อ "ชัยพัฒนา" ครั้งที่ 16 (ศูนย์วัฒนธรรมแห่งประเทศไทย) </v>
      </c>
      <c r="I388" s="3" t="str">
        <f>IFERROR(__xludf.DUMMYFUNCTION("""COMPUTED_VALUE"""),"(ศูนย์วัฒนธรรมแห่งประเทศไทย) ")</f>
        <v>(ศูนย์วัฒนธรรมแห่งประเทศไทย) </v>
      </c>
      <c r="J388" s="12">
        <f>IFERROR(__xludf.DUMMYFUNCTION("""COMPUTED_VALUE"""),45839.0)</f>
        <v>45839</v>
      </c>
      <c r="K388" s="3" t="str">
        <f>IFERROR(__xludf.DUMMYFUNCTION("""COMPUTED_VALUE"""),"1400-2200")</f>
        <v>1400-2200</v>
      </c>
      <c r="L388" s="3">
        <f>IFERROR(__xludf.DUMMYFUNCTION("""COMPUTED_VALUE"""),8.0)</f>
        <v>8</v>
      </c>
      <c r="M388" s="3" t="str">
        <f>IFERROR(__xludf.DUMMYFUNCTION("""COMPUTED_VALUE"""),"ร.อ.อนุชิต ทำจะดี")</f>
        <v>ร.อ.อนุชิต ทำจะดี</v>
      </c>
      <c r="N388" s="14" t="str">
        <f>IFERROR(__xludf.DUMMYFUNCTION("""COMPUTED_VALUE"""),"https://lh5.googleusercontent.com/d/1Nr09ceHsxha7TTjiEEow0dUOnc9w5qgV")</f>
        <v>https://lh5.googleusercontent.com/d/1Nr09ceHsxha7TTjiEEow0dUOnc9w5qgV</v>
      </c>
      <c r="O388" s="14" t="str">
        <f>IFERROR(__xludf.DUMMYFUNCTION("""COMPUTED_VALUE"""),"https://drive.google.com/file/d/1wu3rgE-hDYVqvPCttXcrOWJ0SYY8ugcj/view?usp=drivesdk")</f>
        <v>https://drive.google.com/file/d/1wu3rgE-hDYVqvPCttXcrOWJ0SYY8ugcj/view?usp=drivesdk</v>
      </c>
    </row>
    <row r="389">
      <c r="A389" s="3">
        <f>IFERROR(__xludf.DUMMYFUNCTION("""COMPUTED_VALUE"""),1251.0)</f>
        <v>1251</v>
      </c>
      <c r="B389" s="11">
        <f>IFERROR(__xludf.DUMMYFUNCTION("""COMPUTED_VALUE"""),45998.05837255787)</f>
        <v>45998.05837</v>
      </c>
      <c r="C389" s="3" t="str">
        <f>IFERROR(__xludf.DUMMYFUNCTION("""COMPUTED_VALUE"""),"ชั้นปีที่ 2")</f>
        <v>ชั้นปีที่ 2</v>
      </c>
      <c r="D389" s="3" t="str">
        <f>IFERROR(__xludf.DUMMYFUNCTION("""COMPUTED_VALUE"""),"6703845")</f>
        <v>6703845</v>
      </c>
      <c r="E389" s="3" t="str">
        <f>IFERROR(__xludf.DUMMYFUNCTION("""COMPUTED_VALUE"""),"27")</f>
        <v>27</v>
      </c>
      <c r="F389" s="3" t="str">
        <f>IFERROR(__xludf.DUMMYFUNCTION("""COMPUTED_VALUE"""),"นพอ.นภันต์กร อินทรแก้ว")</f>
        <v>นพอ.นภันต์กร อินทรแก้ว</v>
      </c>
      <c r="G389" s="3" t="str">
        <f>IFERROR(__xludf.DUMMYFUNCTION("""COMPUTED_VALUE"""),"ช่วยเหลืองานภายใน วพอ.")</f>
        <v>ช่วยเหลืองานภายใน วพอ.</v>
      </c>
      <c r="H389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389" s="3" t="str">
        <f>IFERROR(__xludf.DUMMYFUNCTION("""COMPUTED_VALUE"""),"ห้องเรียน นพอ.ชั้นปีที่ 1")</f>
        <v>ห้องเรียน นพอ.ชั้นปีที่ 1</v>
      </c>
      <c r="J389" s="12">
        <f>IFERROR(__xludf.DUMMYFUNCTION("""COMPUTED_VALUE"""),45984.0)</f>
        <v>45984</v>
      </c>
      <c r="K389" s="3" t="str">
        <f>IFERROR(__xludf.DUMMYFUNCTION("""COMPUTED_VALUE"""),"1000-1800")</f>
        <v>1000-1800</v>
      </c>
      <c r="L389" s="3">
        <f>IFERROR(__xludf.DUMMYFUNCTION("""COMPUTED_VALUE"""),8.0)</f>
        <v>8</v>
      </c>
      <c r="M389" s="3" t="str">
        <f>IFERROR(__xludf.DUMMYFUNCTION("""COMPUTED_VALUE"""),"ร.ท.เรวัติ วัชรสิทธิ์")</f>
        <v>ร.ท.เรวัติ วัชรสิทธิ์</v>
      </c>
      <c r="N389" s="14" t="str">
        <f>IFERROR(__xludf.DUMMYFUNCTION("""COMPUTED_VALUE"""),"https://lh5.googleusercontent.com/d/1fjLBKRM1aV9WuWubkIhg-hxVEh6VfQBO")</f>
        <v>https://lh5.googleusercontent.com/d/1fjLBKRM1aV9WuWubkIhg-hxVEh6VfQBO</v>
      </c>
      <c r="O389" s="14" t="str">
        <f>IFERROR(__xludf.DUMMYFUNCTION("""COMPUTED_VALUE"""),"https://drive.google.com/file/d/1XCbSkbAGzxD1TMR90bldct7GGw5d71yv/view?usp=drivesdk")</f>
        <v>https://drive.google.com/file/d/1XCbSkbAGzxD1TMR90bldct7GGw5d71yv/view?usp=drivesdk</v>
      </c>
    </row>
    <row r="390">
      <c r="A390" s="3">
        <f>IFERROR(__xludf.DUMMYFUNCTION("""COMPUTED_VALUE"""),1252.0)</f>
        <v>1252</v>
      </c>
      <c r="B390" s="11">
        <f>IFERROR(__xludf.DUMMYFUNCTION("""COMPUTED_VALUE"""),45998.07812462963)</f>
        <v>45998.07812</v>
      </c>
      <c r="C390" s="3" t="str">
        <f>IFERROR(__xludf.DUMMYFUNCTION("""COMPUTED_VALUE"""),"ชั้นปีที่ 2")</f>
        <v>ชั้นปีที่ 2</v>
      </c>
      <c r="D390" s="3" t="str">
        <f>IFERROR(__xludf.DUMMYFUNCTION("""COMPUTED_VALUE"""),"6703845")</f>
        <v>6703845</v>
      </c>
      <c r="E390" s="3" t="str">
        <f>IFERROR(__xludf.DUMMYFUNCTION("""COMPUTED_VALUE"""),"27")</f>
        <v>27</v>
      </c>
      <c r="F390" s="3" t="str">
        <f>IFERROR(__xludf.DUMMYFUNCTION("""COMPUTED_VALUE"""),"นพอ.นภันต์กร อินทรแก้ว")</f>
        <v>นพอ.นภันต์กร อินทรแก้ว</v>
      </c>
      <c r="G390" s="3" t="str">
        <f>IFERROR(__xludf.DUMMYFUNCTION("""COMPUTED_VALUE"""),"ช่วยเหลืองานภายใน วพอ.")</f>
        <v>ช่วยเหลืองานภายใน วพอ.</v>
      </c>
      <c r="H390" s="3" t="str">
        <f>IFERROR(__xludf.DUMMYFUNCTION("""COMPUTED_VALUE"""),"จิตอาสาในกิจกรรมปฐมนิเทศ นพอ.ชั้นปีที่ 1")</f>
        <v>จิตอาสาในกิจกรรมปฐมนิเทศ นพอ.ชั้นปีที่ 1</v>
      </c>
      <c r="I390" s="3" t="str">
        <f>IFERROR(__xludf.DUMMYFUNCTION("""COMPUTED_VALUE"""),"วิทยาลัยพยาบาลทหารอากาศ กรมแพทย์ทหารอากาศ")</f>
        <v>วิทยาลัยพยาบาลทหารอากาศ กรมแพทย์ทหารอากาศ</v>
      </c>
      <c r="J390" s="12">
        <f>IFERROR(__xludf.DUMMYFUNCTION("""COMPUTED_VALUE"""),45859.0)</f>
        <v>45859</v>
      </c>
      <c r="K390" s="3" t="str">
        <f>IFERROR(__xludf.DUMMYFUNCTION("""COMPUTED_VALUE"""),"0700-1500")</f>
        <v>0700-1500</v>
      </c>
      <c r="L390" s="3">
        <f>IFERROR(__xludf.DUMMYFUNCTION("""COMPUTED_VALUE"""),8.0)</f>
        <v>8</v>
      </c>
      <c r="M390" s="3" t="str">
        <f>IFERROR(__xludf.DUMMYFUNCTION("""COMPUTED_VALUE"""),"ร.อ. อนุชิต ทำจะดี")</f>
        <v>ร.อ. อนุชิต ทำจะดี</v>
      </c>
      <c r="N390" s="14" t="str">
        <f>IFERROR(__xludf.DUMMYFUNCTION("""COMPUTED_VALUE"""),"https://lh5.googleusercontent.com/d/1AuiaID24-eJMQH2RwwMyzvtJGU3XCkfh")</f>
        <v>https://lh5.googleusercontent.com/d/1AuiaID24-eJMQH2RwwMyzvtJGU3XCkfh</v>
      </c>
      <c r="O390" s="14" t="str">
        <f>IFERROR(__xludf.DUMMYFUNCTION("""COMPUTED_VALUE"""),"https://drive.google.com/file/d/1a0eq--whaz-4lHmCNYk8wOfQkOo8mmHG/view?usp=drivesdk")</f>
        <v>https://drive.google.com/file/d/1a0eq--whaz-4lHmCNYk8wOfQkOo8mmHG/view?usp=drivesdk</v>
      </c>
    </row>
    <row r="391">
      <c r="A391" s="3">
        <f>IFERROR(__xludf.DUMMYFUNCTION("""COMPUTED_VALUE"""),1260.0)</f>
        <v>1260</v>
      </c>
      <c r="B391" s="11">
        <f>IFERROR(__xludf.DUMMYFUNCTION("""COMPUTED_VALUE"""),45998.60657055556)</f>
        <v>45998.60657</v>
      </c>
      <c r="C391" s="3" t="str">
        <f>IFERROR(__xludf.DUMMYFUNCTION("""COMPUTED_VALUE"""),"ชั้นปีที่ 2")</f>
        <v>ชั้นปีที่ 2</v>
      </c>
      <c r="D391" s="3" t="str">
        <f>IFERROR(__xludf.DUMMYFUNCTION("""COMPUTED_VALUE"""),"6703851")</f>
        <v>6703851</v>
      </c>
      <c r="E391" s="3" t="str">
        <f>IFERROR(__xludf.DUMMYFUNCTION("""COMPUTED_VALUE"""),"33")</f>
        <v>33</v>
      </c>
      <c r="F391" s="3" t="str">
        <f>IFERROR(__xludf.DUMMYFUNCTION("""COMPUTED_VALUE"""),"นพอ.ปุญญิศา ฤทธิ์หมุน")</f>
        <v>นพอ.ปุญญิศา ฤทธิ์หมุน</v>
      </c>
      <c r="G39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1" s="3" t="str">
        <f>IFERROR(__xludf.DUMMYFUNCTION("""COMPUTED_VALUE"""),"งานกาชาด")</f>
        <v>งานกาชาด</v>
      </c>
      <c r="I391" s="3" t="str">
        <f>IFERROR(__xludf.DUMMYFUNCTION("""COMPUTED_VALUE"""),"สวนลุมพินี")</f>
        <v>สวนลุมพินี</v>
      </c>
      <c r="J391" s="12">
        <f>IFERROR(__xludf.DUMMYFUNCTION("""COMPUTED_VALUE"""),46008.0)</f>
        <v>46008</v>
      </c>
      <c r="K391" s="3" t="str">
        <f>IFERROR(__xludf.DUMMYFUNCTION("""COMPUTED_VALUE"""),"1300-2100")</f>
        <v>1300-2100</v>
      </c>
      <c r="L391" s="3">
        <f>IFERROR(__xludf.DUMMYFUNCTION("""COMPUTED_VALUE"""),8.0)</f>
        <v>8</v>
      </c>
      <c r="M391" s="3" t="str">
        <f>IFERROR(__xludf.DUMMYFUNCTION("""COMPUTED_VALUE"""),"น.ต. ศักชัย บุญประสิทธิ์")</f>
        <v>น.ต. ศักชัย บุญประสิทธิ์</v>
      </c>
      <c r="N391" s="14" t="str">
        <f>IFERROR(__xludf.DUMMYFUNCTION("""COMPUTED_VALUE"""),"https://lh5.googleusercontent.com/d/1uYhNAwjNOiiqCacexd02T7U0A2SvvHrc")</f>
        <v>https://lh5.googleusercontent.com/d/1uYhNAwjNOiiqCacexd02T7U0A2SvvHrc</v>
      </c>
      <c r="O391" s="14" t="str">
        <f>IFERROR(__xludf.DUMMYFUNCTION("""COMPUTED_VALUE"""),"https://drive.google.com/file/d/1j-w5sx7ZL2e-w2sdlWK_lZ5Qd6YK3k0H/view?usp=drivesdk")</f>
        <v>https://drive.google.com/file/d/1j-w5sx7ZL2e-w2sdlWK_lZ5Qd6YK3k0H/view?usp=drivesdk</v>
      </c>
    </row>
    <row r="392">
      <c r="A392" s="3">
        <f>IFERROR(__xludf.DUMMYFUNCTION("""COMPUTED_VALUE"""),1261.0)</f>
        <v>1261</v>
      </c>
      <c r="B392" s="11">
        <f>IFERROR(__xludf.DUMMYFUNCTION("""COMPUTED_VALUE"""),45998.6143971875)</f>
        <v>45998.6144</v>
      </c>
      <c r="C392" s="3" t="str">
        <f>IFERROR(__xludf.DUMMYFUNCTION("""COMPUTED_VALUE"""),"ชั้นปีที่ 2")</f>
        <v>ชั้นปีที่ 2</v>
      </c>
      <c r="D392" s="3" t="str">
        <f>IFERROR(__xludf.DUMMYFUNCTION("""COMPUTED_VALUE"""),"6703878")</f>
        <v>6703878</v>
      </c>
      <c r="E392" s="3" t="str">
        <f>IFERROR(__xludf.DUMMYFUNCTION("""COMPUTED_VALUE"""),"59")</f>
        <v>59</v>
      </c>
      <c r="F392" s="3" t="str">
        <f>IFERROR(__xludf.DUMMYFUNCTION("""COMPUTED_VALUE"""),"นพอ.สุชาสินี ป้อมพยัคฆ์")</f>
        <v>นพอ.สุชาสินี ป้อมพยัคฆ์</v>
      </c>
      <c r="G39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2" s="3" t="str">
        <f>IFERROR(__xludf.DUMMYFUNCTION("""COMPUTED_VALUE"""),"เข้าร่วมงานกาชาด")</f>
        <v>เข้าร่วมงานกาชาด</v>
      </c>
      <c r="I392" s="3" t="str">
        <f>IFERROR(__xludf.DUMMYFUNCTION("""COMPUTED_VALUE"""),"สวนลุมพินี")</f>
        <v>สวนลุมพินี</v>
      </c>
      <c r="J392" s="12">
        <f>IFERROR(__xludf.DUMMYFUNCTION("""COMPUTED_VALUE"""),46007.0)</f>
        <v>46007</v>
      </c>
      <c r="K392" s="3" t="str">
        <f>IFERROR(__xludf.DUMMYFUNCTION("""COMPUTED_VALUE"""),"1300-2100")</f>
        <v>1300-2100</v>
      </c>
      <c r="L392" s="3">
        <f>IFERROR(__xludf.DUMMYFUNCTION("""COMPUTED_VALUE"""),8.0)</f>
        <v>8</v>
      </c>
      <c r="M392" s="3" t="str">
        <f>IFERROR(__xludf.DUMMYFUNCTION("""COMPUTED_VALUE"""),"น.ต.ศักชัย บุญประสิทธิ์")</f>
        <v>น.ต.ศักชัย บุญประสิทธิ์</v>
      </c>
      <c r="N392" s="14" t="str">
        <f>IFERROR(__xludf.DUMMYFUNCTION("""COMPUTED_VALUE"""),"https://lh5.googleusercontent.com/d/1VuS5wxGUvlp1bACdiJTOZFS5n3eLxroR")</f>
        <v>https://lh5.googleusercontent.com/d/1VuS5wxGUvlp1bACdiJTOZFS5n3eLxroR</v>
      </c>
      <c r="O392" s="14" t="str">
        <f>IFERROR(__xludf.DUMMYFUNCTION("""COMPUTED_VALUE"""),"https://drive.google.com/file/d/1kPi6WQoxXHa2u5Qk2WOfkumrAoale-5Y/view?usp=drivesdk")</f>
        <v>https://drive.google.com/file/d/1kPi6WQoxXHa2u5Qk2WOfkumrAoale-5Y/view?usp=drivesdk</v>
      </c>
    </row>
    <row r="393">
      <c r="A393" s="3">
        <f>IFERROR(__xludf.DUMMYFUNCTION("""COMPUTED_VALUE"""),1262.0)</f>
        <v>1262</v>
      </c>
      <c r="B393" s="11">
        <f>IFERROR(__xludf.DUMMYFUNCTION("""COMPUTED_VALUE"""),45998.63953256944)</f>
        <v>45998.63953</v>
      </c>
      <c r="C393" s="3" t="str">
        <f>IFERROR(__xludf.DUMMYFUNCTION("""COMPUTED_VALUE"""),"ชั้นปีที่ 2")</f>
        <v>ชั้นปีที่ 2</v>
      </c>
      <c r="D393" s="3" t="str">
        <f>IFERROR(__xludf.DUMMYFUNCTION("""COMPUTED_VALUE"""),"6703878")</f>
        <v>6703878</v>
      </c>
      <c r="E393" s="3" t="str">
        <f>IFERROR(__xludf.DUMMYFUNCTION("""COMPUTED_VALUE"""),"59")</f>
        <v>59</v>
      </c>
      <c r="F393" s="3" t="str">
        <f>IFERROR(__xludf.DUMMYFUNCTION("""COMPUTED_VALUE"""),"นพอ.สุชาสินี ป้อมพยัคฆ์")</f>
        <v>นพอ.สุชาสินี ป้อมพยัคฆ์</v>
      </c>
      <c r="G393" s="3" t="str">
        <f>IFERROR(__xludf.DUMMYFUNCTION("""COMPUTED_VALUE"""),"ช่วยเหลืองานภายใน วพอ.")</f>
        <v>ช่วยเหลืองานภายใน วพอ.</v>
      </c>
      <c r="H393" s="3" t="str">
        <f>IFERROR(__xludf.DUMMYFUNCTION("""COMPUTED_VALUE"""),"เข้าร่วมการฝึกการรักษาทารกเเรกเกิดที่มีภาวะตัวเหลืองด้วยเครื่องส่องไฟ")</f>
        <v>เข้าร่วมการฝึกการรักษาทารกเเรกเกิดที่มีภาวะตัวเหลืองด้วยเครื่องส่องไฟ</v>
      </c>
      <c r="I393" s="3" t="str">
        <f>IFERROR(__xludf.DUMMYFUNCTION("""COMPUTED_VALUE"""),"วพอ.พอ.")</f>
        <v>วพอ.พอ.</v>
      </c>
      <c r="J393" s="12">
        <f>IFERROR(__xludf.DUMMYFUNCTION("""COMPUTED_VALUE"""),45987.0)</f>
        <v>45987</v>
      </c>
      <c r="K393" s="3" t="str">
        <f>IFERROR(__xludf.DUMMYFUNCTION("""COMPUTED_VALUE"""),"1000-1800")</f>
        <v>1000-1800</v>
      </c>
      <c r="L393" s="3">
        <f>IFERROR(__xludf.DUMMYFUNCTION("""COMPUTED_VALUE"""),8.0)</f>
        <v>8</v>
      </c>
      <c r="M393" s="3" t="str">
        <f>IFERROR(__xludf.DUMMYFUNCTION("""COMPUTED_VALUE"""),"ร.ท.เรวัติ วัชรสิทธิ์")</f>
        <v>ร.ท.เรวัติ วัชรสิทธิ์</v>
      </c>
      <c r="N393" s="14" t="str">
        <f>IFERROR(__xludf.DUMMYFUNCTION("""COMPUTED_VALUE"""),"https://lh5.googleusercontent.com/d/1aNd6nOGPqq6gzqJEMNDe8CQ147wtWSW3")</f>
        <v>https://lh5.googleusercontent.com/d/1aNd6nOGPqq6gzqJEMNDe8CQ147wtWSW3</v>
      </c>
      <c r="O393" s="14" t="str">
        <f>IFERROR(__xludf.DUMMYFUNCTION("""COMPUTED_VALUE"""),"https://drive.google.com/file/d/1yTvgb5yqu8CTZXd332OQj71_kq7JjV3b/view?usp=drivesdk")</f>
        <v>https://drive.google.com/file/d/1yTvgb5yqu8CTZXd332OQj71_kq7JjV3b/view?usp=drivesdk</v>
      </c>
    </row>
    <row r="394">
      <c r="A394" s="3">
        <f>IFERROR(__xludf.DUMMYFUNCTION("""COMPUTED_VALUE"""),1264.0)</f>
        <v>1264</v>
      </c>
      <c r="B394" s="11">
        <f>IFERROR(__xludf.DUMMYFUNCTION("""COMPUTED_VALUE"""),45998.65395850695)</f>
        <v>45998.65396</v>
      </c>
      <c r="C394" s="3" t="str">
        <f>IFERROR(__xludf.DUMMYFUNCTION("""COMPUTED_VALUE"""),"ชั้นปีที่ 2")</f>
        <v>ชั้นปีที่ 2</v>
      </c>
      <c r="D394" s="3" t="str">
        <f>IFERROR(__xludf.DUMMYFUNCTION("""COMPUTED_VALUE"""),"6703835")</f>
        <v>6703835</v>
      </c>
      <c r="E394" s="3" t="str">
        <f>IFERROR(__xludf.DUMMYFUNCTION("""COMPUTED_VALUE"""),"18")</f>
        <v>18</v>
      </c>
      <c r="F394" s="3" t="str">
        <f>IFERROR(__xludf.DUMMYFUNCTION("""COMPUTED_VALUE"""),"นพอ.ณัฐณิชา พิทักษ์สันติ")</f>
        <v>นพอ.ณัฐณิชา พิทักษ์สันติ</v>
      </c>
      <c r="G3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4" s="3" t="str">
        <f>IFERROR(__xludf.DUMMYFUNCTION("""COMPUTED_VALUE"""),"งานกาชาด ประจำปี2568")</f>
        <v>งานกาชาด ประจำปี2568</v>
      </c>
      <c r="I394" s="3" t="str">
        <f>IFERROR(__xludf.DUMMYFUNCTION("""COMPUTED_VALUE"""),"สวนลุมพินี")</f>
        <v>สวนลุมพินี</v>
      </c>
      <c r="J394" s="12">
        <f>IFERROR(__xludf.DUMMYFUNCTION("""COMPUTED_VALUE"""),46007.0)</f>
        <v>46007</v>
      </c>
      <c r="K394" s="3" t="str">
        <f>IFERROR(__xludf.DUMMYFUNCTION("""COMPUTED_VALUE"""),"1300-2100")</f>
        <v>1300-2100</v>
      </c>
      <c r="L394" s="3">
        <f>IFERROR(__xludf.DUMMYFUNCTION("""COMPUTED_VALUE"""),8.0)</f>
        <v>8</v>
      </c>
      <c r="M394" s="3" t="str">
        <f>IFERROR(__xludf.DUMMYFUNCTION("""COMPUTED_VALUE"""),"น.ต.ศักชัย บุญประสิทธิ์")</f>
        <v>น.ต.ศักชัย บุญประสิทธิ์</v>
      </c>
      <c r="N394" s="14" t="str">
        <f>IFERROR(__xludf.DUMMYFUNCTION("""COMPUTED_VALUE"""),"https://lh5.googleusercontent.com/d/1bxQeFWS69ad7t_eaq2Hm_XKG0LcF6I_P")</f>
        <v>https://lh5.googleusercontent.com/d/1bxQeFWS69ad7t_eaq2Hm_XKG0LcF6I_P</v>
      </c>
      <c r="O394" s="14" t="str">
        <f>IFERROR(__xludf.DUMMYFUNCTION("""COMPUTED_VALUE"""),"https://drive.google.com/file/d/1zbXe_wg8X66s6MZEHEMuPfVBUpRKJ1Jh/view?usp=drivesdk")</f>
        <v>https://drive.google.com/file/d/1zbXe_wg8X66s6MZEHEMuPfVBUpRKJ1Jh/view?usp=drivesdk</v>
      </c>
    </row>
    <row r="395">
      <c r="A395" s="3">
        <f>IFERROR(__xludf.DUMMYFUNCTION("""COMPUTED_VALUE"""),1287.0)</f>
        <v>1287</v>
      </c>
      <c r="B395" s="11">
        <f>IFERROR(__xludf.DUMMYFUNCTION("""COMPUTED_VALUE"""),45998.787094259256)</f>
        <v>45998.78709</v>
      </c>
      <c r="C395" s="3" t="str">
        <f>IFERROR(__xludf.DUMMYFUNCTION("""COMPUTED_VALUE"""),"ชั้นปีที่ 2")</f>
        <v>ชั้นปีที่ 2</v>
      </c>
      <c r="D395" s="3" t="str">
        <f>IFERROR(__xludf.DUMMYFUNCTION("""COMPUTED_VALUE"""),"6703834")</f>
        <v>6703834</v>
      </c>
      <c r="E395" s="3" t="str">
        <f>IFERROR(__xludf.DUMMYFUNCTION("""COMPUTED_VALUE"""),"17")</f>
        <v>17</v>
      </c>
      <c r="F395" s="3" t="str">
        <f>IFERROR(__xludf.DUMMYFUNCTION("""COMPUTED_VALUE"""),"นพอ.ฑิตถากร แน่นอุดร")</f>
        <v>นพอ.ฑิตถากร แน่นอุดร</v>
      </c>
      <c r="G3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5" s="3" t="str">
        <f>IFERROR(__xludf.DUMMYFUNCTION("""COMPUTED_VALUE"""),"งานกาชาด")</f>
        <v>งานกาชาด</v>
      </c>
      <c r="I395" s="3" t="str">
        <f>IFERROR(__xludf.DUMMYFUNCTION("""COMPUTED_VALUE"""),"สวนลุมพินี")</f>
        <v>สวนลุมพินี</v>
      </c>
      <c r="J395" s="12">
        <f>IFERROR(__xludf.DUMMYFUNCTION("""COMPUTED_VALUE"""),46012.0)</f>
        <v>46012</v>
      </c>
      <c r="K395" s="3" t="str">
        <f>IFERROR(__xludf.DUMMYFUNCTION("""COMPUTED_VALUE"""),"1300-2100")</f>
        <v>1300-2100</v>
      </c>
      <c r="L395" s="3">
        <f>IFERROR(__xludf.DUMMYFUNCTION("""COMPUTED_VALUE"""),8.0)</f>
        <v>8</v>
      </c>
      <c r="M395" s="3" t="str">
        <f>IFERROR(__xludf.DUMMYFUNCTION("""COMPUTED_VALUE"""),"น.ต.ศักชัย บุญประสิทธิ์")</f>
        <v>น.ต.ศักชัย บุญประสิทธิ์</v>
      </c>
      <c r="N395" s="14" t="str">
        <f>IFERROR(__xludf.DUMMYFUNCTION("""COMPUTED_VALUE"""),"https://lh5.googleusercontent.com/d/1HPKe7cTu-Sj_KsVgYHvlb3dhVprqgkaR")</f>
        <v>https://lh5.googleusercontent.com/d/1HPKe7cTu-Sj_KsVgYHvlb3dhVprqgkaR</v>
      </c>
      <c r="O395" s="14" t="str">
        <f>IFERROR(__xludf.DUMMYFUNCTION("""COMPUTED_VALUE"""),"https://drive.google.com/file/d/1hSkhvMFJ-VePoyX6sskHzOlWUK0Jwgda/view?usp=drivesdk")</f>
        <v>https://drive.google.com/file/d/1hSkhvMFJ-VePoyX6sskHzOlWUK0Jwgda/view?usp=drivesdk</v>
      </c>
    </row>
    <row r="396">
      <c r="A396" s="3">
        <f>IFERROR(__xludf.DUMMYFUNCTION("""COMPUTED_VALUE"""),1298.0)</f>
        <v>1298</v>
      </c>
      <c r="B396" s="11">
        <f>IFERROR(__xludf.DUMMYFUNCTION("""COMPUTED_VALUE"""),45998.815376377315)</f>
        <v>45998.81538</v>
      </c>
      <c r="C396" s="3" t="str">
        <f>IFERROR(__xludf.DUMMYFUNCTION("""COMPUTED_VALUE"""),"ชั้นปีที่ 2")</f>
        <v>ชั้นปีที่ 2</v>
      </c>
      <c r="D396" s="3" t="str">
        <f>IFERROR(__xludf.DUMMYFUNCTION("""COMPUTED_VALUE"""),"6703850")</f>
        <v>6703850</v>
      </c>
      <c r="E396" s="3" t="str">
        <f>IFERROR(__xludf.DUMMYFUNCTION("""COMPUTED_VALUE"""),"32")</f>
        <v>32</v>
      </c>
      <c r="F396" s="3" t="str">
        <f>IFERROR(__xludf.DUMMYFUNCTION("""COMPUTED_VALUE"""),"นพอ.ประริชญา ประสิทธิ์พรม")</f>
        <v>นพอ.ประริชญา ประสิทธิ์พรม</v>
      </c>
      <c r="G39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6" s="3" t="str">
        <f>IFERROR(__xludf.DUMMYFUNCTION("""COMPUTED_VALUE"""),"งานกาชาด")</f>
        <v>งานกาชาด</v>
      </c>
      <c r="I396" s="3" t="str">
        <f>IFERROR(__xludf.DUMMYFUNCTION("""COMPUTED_VALUE"""),"สวนลุมพินี")</f>
        <v>สวนลุมพินี</v>
      </c>
      <c r="J396" s="12">
        <f>IFERROR(__xludf.DUMMYFUNCTION("""COMPUTED_VALUE"""),46009.0)</f>
        <v>46009</v>
      </c>
      <c r="K396" s="3" t="str">
        <f>IFERROR(__xludf.DUMMYFUNCTION("""COMPUTED_VALUE"""),"1300-2100")</f>
        <v>1300-2100</v>
      </c>
      <c r="L396" s="3">
        <f>IFERROR(__xludf.DUMMYFUNCTION("""COMPUTED_VALUE"""),8.0)</f>
        <v>8</v>
      </c>
      <c r="M396" s="3" t="str">
        <f>IFERROR(__xludf.DUMMYFUNCTION("""COMPUTED_VALUE"""),"น.ต.ศักชัย บุญประสิทธิ์")</f>
        <v>น.ต.ศักชัย บุญประสิทธิ์</v>
      </c>
      <c r="N396" s="14" t="str">
        <f>IFERROR(__xludf.DUMMYFUNCTION("""COMPUTED_VALUE"""),"https://lh5.googleusercontent.com/d/1AIlZcdZHUHNhb0uiVOE1JObQrEJnce6i")</f>
        <v>https://lh5.googleusercontent.com/d/1AIlZcdZHUHNhb0uiVOE1JObQrEJnce6i</v>
      </c>
      <c r="O396" s="14" t="str">
        <f>IFERROR(__xludf.DUMMYFUNCTION("""COMPUTED_VALUE"""),"https://drive.google.com/file/d/163FWr-BBx_2pE1TJPBVxrYigu6KWkKyj/view?usp=drivesdk")</f>
        <v>https://drive.google.com/file/d/163FWr-BBx_2pE1TJPBVxrYigu6KWkKyj/view?usp=drivesdk</v>
      </c>
    </row>
    <row r="397">
      <c r="A397" s="3">
        <f>IFERROR(__xludf.DUMMYFUNCTION("""COMPUTED_VALUE"""),1299.0)</f>
        <v>1299</v>
      </c>
      <c r="B397" s="11">
        <f>IFERROR(__xludf.DUMMYFUNCTION("""COMPUTED_VALUE"""),45998.81556645833)</f>
        <v>45998.81557</v>
      </c>
      <c r="C397" s="3" t="str">
        <f>IFERROR(__xludf.DUMMYFUNCTION("""COMPUTED_VALUE"""),"ชั้นปีที่ 2")</f>
        <v>ชั้นปีที่ 2</v>
      </c>
      <c r="D397" s="3" t="str">
        <f>IFERROR(__xludf.DUMMYFUNCTION("""COMPUTED_VALUE"""),"6703823")</f>
        <v>6703823</v>
      </c>
      <c r="E397" s="3" t="str">
        <f>IFERROR(__xludf.DUMMYFUNCTION("""COMPUTED_VALUE"""),"6")</f>
        <v>6</v>
      </c>
      <c r="F397" s="3" t="str">
        <f>IFERROR(__xludf.DUMMYFUNCTION("""COMPUTED_VALUE"""),"นพอ.ข้าวขวัญ ดุจธรรมสาร")</f>
        <v>นพอ.ข้าวขวัญ ดุจธรรมสาร</v>
      </c>
      <c r="G39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7" s="3" t="str">
        <f>IFERROR(__xludf.DUMMYFUNCTION("""COMPUTED_VALUE"""),"เข้าร่วมงานกาชาด")</f>
        <v>เข้าร่วมงานกาชาด</v>
      </c>
      <c r="I397" s="3" t="str">
        <f>IFERROR(__xludf.DUMMYFUNCTION("""COMPUTED_VALUE"""),"สวนลุมพินี")</f>
        <v>สวนลุมพินี</v>
      </c>
      <c r="J397" s="12">
        <f>IFERROR(__xludf.DUMMYFUNCTION("""COMPUTED_VALUE"""),46009.0)</f>
        <v>46009</v>
      </c>
      <c r="K397" s="3" t="str">
        <f>IFERROR(__xludf.DUMMYFUNCTION("""COMPUTED_VALUE"""),"1300-2100")</f>
        <v>1300-2100</v>
      </c>
      <c r="L397" s="3">
        <f>IFERROR(__xludf.DUMMYFUNCTION("""COMPUTED_VALUE"""),8.0)</f>
        <v>8</v>
      </c>
      <c r="M397" s="3" t="str">
        <f>IFERROR(__xludf.DUMMYFUNCTION("""COMPUTED_VALUE"""),"น.ต.ศักดิ์ชัย บุญประสิทธิ์")</f>
        <v>น.ต.ศักดิ์ชัย บุญประสิทธิ์</v>
      </c>
      <c r="N397" s="14" t="str">
        <f>IFERROR(__xludf.DUMMYFUNCTION("""COMPUTED_VALUE"""),"https://lh5.googleusercontent.com/d/10Yh4CT6RwVsoHQCMGqIxb4xZ5Mw0Nyvc")</f>
        <v>https://lh5.googleusercontent.com/d/10Yh4CT6RwVsoHQCMGqIxb4xZ5Mw0Nyvc</v>
      </c>
      <c r="O397" s="14" t="str">
        <f>IFERROR(__xludf.DUMMYFUNCTION("""COMPUTED_VALUE"""),"https://drive.google.com/file/d/1Rg2yNNSTWlMrVpsBfmkNbu2879EnDnho/view?usp=drivesdk")</f>
        <v>https://drive.google.com/file/d/1Rg2yNNSTWlMrVpsBfmkNbu2879EnDnho/view?usp=drivesdk</v>
      </c>
    </row>
    <row r="398">
      <c r="A398" s="3">
        <f>IFERROR(__xludf.DUMMYFUNCTION("""COMPUTED_VALUE"""),1301.0)</f>
        <v>1301</v>
      </c>
      <c r="B398" s="11">
        <f>IFERROR(__xludf.DUMMYFUNCTION("""COMPUTED_VALUE"""),45998.81595267361)</f>
        <v>45998.81595</v>
      </c>
      <c r="C398" s="3" t="str">
        <f>IFERROR(__xludf.DUMMYFUNCTION("""COMPUTED_VALUE"""),"ชั้นปีที่ 2")</f>
        <v>ชั้นปีที่ 2</v>
      </c>
      <c r="D398" s="3" t="str">
        <f>IFERROR(__xludf.DUMMYFUNCTION("""COMPUTED_VALUE"""),"6703834")</f>
        <v>6703834</v>
      </c>
      <c r="E398" s="3" t="str">
        <f>IFERROR(__xludf.DUMMYFUNCTION("""COMPUTED_VALUE"""),"17")</f>
        <v>17</v>
      </c>
      <c r="F398" s="3" t="str">
        <f>IFERROR(__xludf.DUMMYFUNCTION("""COMPUTED_VALUE"""),"นพอ.ฑิตถากร แน่นอุดร")</f>
        <v>นพอ.ฑิตถากร แน่นอุดร</v>
      </c>
      <c r="G39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8" s="3" t="str">
        <f>IFERROR(__xludf.DUMMYFUNCTION("""COMPUTED_VALUE"""),"งานกาชาด")</f>
        <v>งานกาชาด</v>
      </c>
      <c r="I398" s="3" t="str">
        <f>IFERROR(__xludf.DUMMYFUNCTION("""COMPUTED_VALUE"""),"สวนลุมพินี")</f>
        <v>สวนลุมพินี</v>
      </c>
      <c r="J398" s="12">
        <f>IFERROR(__xludf.DUMMYFUNCTION("""COMPUTED_VALUE"""),46007.0)</f>
        <v>46007</v>
      </c>
      <c r="K398" s="3" t="str">
        <f>IFERROR(__xludf.DUMMYFUNCTION("""COMPUTED_VALUE"""),"1300-2100")</f>
        <v>1300-2100</v>
      </c>
      <c r="L398" s="3">
        <f>IFERROR(__xludf.DUMMYFUNCTION("""COMPUTED_VALUE"""),8.0)</f>
        <v>8</v>
      </c>
      <c r="M398" s="3" t="str">
        <f>IFERROR(__xludf.DUMMYFUNCTION("""COMPUTED_VALUE"""),"น.ต.ศักชัย บุญประสิทธิ์")</f>
        <v>น.ต.ศักชัย บุญประสิทธิ์</v>
      </c>
      <c r="N398" s="14" t="str">
        <f>IFERROR(__xludf.DUMMYFUNCTION("""COMPUTED_VALUE"""),"https://lh5.googleusercontent.com/d/12DnN8gdrtEHoPbZTnYQbjTBh3iRzVAF-")</f>
        <v>https://lh5.googleusercontent.com/d/12DnN8gdrtEHoPbZTnYQbjTBh3iRzVAF-</v>
      </c>
      <c r="O398" s="14" t="str">
        <f>IFERROR(__xludf.DUMMYFUNCTION("""COMPUTED_VALUE"""),"https://drive.google.com/file/d/1OqGurlFlXS8D5FRTdhXrT1FWTt3o5U89/view?usp=drivesdk")</f>
        <v>https://drive.google.com/file/d/1OqGurlFlXS8D5FRTdhXrT1FWTt3o5U89/view?usp=drivesdk</v>
      </c>
    </row>
    <row r="399">
      <c r="A399" s="3">
        <f>IFERROR(__xludf.DUMMYFUNCTION("""COMPUTED_VALUE"""),1303.0)</f>
        <v>1303</v>
      </c>
      <c r="B399" s="11">
        <f>IFERROR(__xludf.DUMMYFUNCTION("""COMPUTED_VALUE"""),45998.82301443287)</f>
        <v>45998.82301</v>
      </c>
      <c r="C399" s="3" t="str">
        <f>IFERROR(__xludf.DUMMYFUNCTION("""COMPUTED_VALUE"""),"ชั้นปีที่ 2")</f>
        <v>ชั้นปีที่ 2</v>
      </c>
      <c r="D399" s="3" t="str">
        <f>IFERROR(__xludf.DUMMYFUNCTION("""COMPUTED_VALUE"""),"6703829")</f>
        <v>6703829</v>
      </c>
      <c r="E399" s="3" t="str">
        <f>IFERROR(__xludf.DUMMYFUNCTION("""COMPUTED_VALUE"""),"12")</f>
        <v>12</v>
      </c>
      <c r="F399" s="3" t="str">
        <f>IFERROR(__xludf.DUMMYFUNCTION("""COMPUTED_VALUE"""),"นพอ.ชัญญาพัฒน์ ทัศนวิภาส")</f>
        <v>นพอ.ชัญญาพัฒน์ ทัศนวิภาส</v>
      </c>
      <c r="G3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9" s="3" t="str">
        <f>IFERROR(__xludf.DUMMYFUNCTION("""COMPUTED_VALUE"""),"งานกาชาด")</f>
        <v>งานกาชาด</v>
      </c>
      <c r="I399" s="3" t="str">
        <f>IFERROR(__xludf.DUMMYFUNCTION("""COMPUTED_VALUE"""),"สวนลุมพินี")</f>
        <v>สวนลุมพินี</v>
      </c>
      <c r="J399" s="12">
        <f>IFERROR(__xludf.DUMMYFUNCTION("""COMPUTED_VALUE"""),46009.0)</f>
        <v>46009</v>
      </c>
      <c r="K399" s="3" t="str">
        <f>IFERROR(__xludf.DUMMYFUNCTION("""COMPUTED_VALUE"""),"1300 - 2100")</f>
        <v>1300 - 2100</v>
      </c>
      <c r="L399" s="3">
        <f>IFERROR(__xludf.DUMMYFUNCTION("""COMPUTED_VALUE"""),8.0)</f>
        <v>8</v>
      </c>
      <c r="M399" s="3" t="str">
        <f>IFERROR(__xludf.DUMMYFUNCTION("""COMPUTED_VALUE"""),"น.ต.ศักชัย บุญประสิทธิ์")</f>
        <v>น.ต.ศักชัย บุญประสิทธิ์</v>
      </c>
      <c r="N399" s="14" t="str">
        <f>IFERROR(__xludf.DUMMYFUNCTION("""COMPUTED_VALUE"""),"https://lh5.googleusercontent.com/d/12GPxWN9tHN8coTdCnJsf5kGjNlagF_mf")</f>
        <v>https://lh5.googleusercontent.com/d/12GPxWN9tHN8coTdCnJsf5kGjNlagF_mf</v>
      </c>
      <c r="O399" s="14" t="str">
        <f>IFERROR(__xludf.DUMMYFUNCTION("""COMPUTED_VALUE"""),"https://drive.google.com/file/d/1sz2O_qVsMYe1ZJOkRdEUSCrgGM4emcY8/view?usp=drivesdk")</f>
        <v>https://drive.google.com/file/d/1sz2O_qVsMYe1ZJOkRdEUSCrgGM4emcY8/view?usp=drivesdk</v>
      </c>
    </row>
    <row r="400">
      <c r="A400" s="3">
        <f>IFERROR(__xludf.DUMMYFUNCTION("""COMPUTED_VALUE"""),1304.0)</f>
        <v>1304</v>
      </c>
      <c r="B400" s="11">
        <f>IFERROR(__xludf.DUMMYFUNCTION("""COMPUTED_VALUE"""),45998.82817638889)</f>
        <v>45998.82818</v>
      </c>
      <c r="C400" s="3" t="str">
        <f>IFERROR(__xludf.DUMMYFUNCTION("""COMPUTED_VALUE"""),"ชั้นปีที่ 2")</f>
        <v>ชั้นปีที่ 2</v>
      </c>
      <c r="D400" s="3" t="str">
        <f>IFERROR(__xludf.DUMMYFUNCTION("""COMPUTED_VALUE"""),"6703818")</f>
        <v>6703818</v>
      </c>
      <c r="E400" s="3" t="str">
        <f>IFERROR(__xludf.DUMMYFUNCTION("""COMPUTED_VALUE"""),"1")</f>
        <v>1</v>
      </c>
      <c r="F400" s="3" t="str">
        <f>IFERROR(__xludf.DUMMYFUNCTION("""COMPUTED_VALUE"""),"นพอ.กนกวรรณ จิณเสน")</f>
        <v>นพอ.กนกวรรณ จิณเสน</v>
      </c>
      <c r="G40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0" s="3" t="str">
        <f>IFERROR(__xludf.DUMMYFUNCTION("""COMPUTED_VALUE"""),"เข้าร่วมงานกาชาด")</f>
        <v>เข้าร่วมงานกาชาด</v>
      </c>
      <c r="I400" s="3" t="str">
        <f>IFERROR(__xludf.DUMMYFUNCTION("""COMPUTED_VALUE"""),"สวนลุมพินี")</f>
        <v>สวนลุมพินี</v>
      </c>
      <c r="J400" s="12">
        <f>IFERROR(__xludf.DUMMYFUNCTION("""COMPUTED_VALUE"""),46008.0)</f>
        <v>46008</v>
      </c>
      <c r="K400" s="3" t="str">
        <f>IFERROR(__xludf.DUMMYFUNCTION("""COMPUTED_VALUE"""),"1300-2100")</f>
        <v>1300-2100</v>
      </c>
      <c r="L400" s="3">
        <f>IFERROR(__xludf.DUMMYFUNCTION("""COMPUTED_VALUE"""),8.0)</f>
        <v>8</v>
      </c>
      <c r="M400" s="3" t="str">
        <f>IFERROR(__xludf.DUMMYFUNCTION("""COMPUTED_VALUE"""),"น.ต.ศักชัย บุญประสิทธิ์")</f>
        <v>น.ต.ศักชัย บุญประสิทธิ์</v>
      </c>
      <c r="N400" s="14" t="str">
        <f>IFERROR(__xludf.DUMMYFUNCTION("""COMPUTED_VALUE"""),"https://lh5.googleusercontent.com/d/1G75IQTX6vNGtalBc98IurNYC27cEeOfk")</f>
        <v>https://lh5.googleusercontent.com/d/1G75IQTX6vNGtalBc98IurNYC27cEeOfk</v>
      </c>
      <c r="O400" s="14" t="str">
        <f>IFERROR(__xludf.DUMMYFUNCTION("""COMPUTED_VALUE"""),"https://drive.google.com/file/d/13wYKMsD6QBmvV_CGcsNiZnv0Fm4WvRiN/view?usp=drivesdk")</f>
        <v>https://drive.google.com/file/d/13wYKMsD6QBmvV_CGcsNiZnv0Fm4WvRiN/view?usp=drivesdk</v>
      </c>
    </row>
    <row r="401">
      <c r="A401" s="3">
        <f>IFERROR(__xludf.DUMMYFUNCTION("""COMPUTED_VALUE"""),1456.0)</f>
        <v>1456</v>
      </c>
      <c r="B401" s="11">
        <f>IFERROR(__xludf.DUMMYFUNCTION("""COMPUTED_VALUE"""),45998.94031046296)</f>
        <v>45998.94031</v>
      </c>
      <c r="C401" s="3" t="str">
        <f>IFERROR(__xludf.DUMMYFUNCTION("""COMPUTED_VALUE"""),"ชั้นปีที่ 2")</f>
        <v>ชั้นปีที่ 2</v>
      </c>
      <c r="D401" s="3" t="str">
        <f>IFERROR(__xludf.DUMMYFUNCTION("""COMPUTED_VALUE"""),"6703833")</f>
        <v>6703833</v>
      </c>
      <c r="E401" s="3" t="str">
        <f>IFERROR(__xludf.DUMMYFUNCTION("""COMPUTED_VALUE"""),"16")</f>
        <v>16</v>
      </c>
      <c r="F401" s="3" t="str">
        <f>IFERROR(__xludf.DUMMYFUNCTION("""COMPUTED_VALUE"""),"นพอ.ฐานิดา อ่อนล้อม")</f>
        <v>นพอ.ฐานิดา อ่อนล้อม</v>
      </c>
      <c r="G40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1" s="3" t="str">
        <f>IFERROR(__xludf.DUMMYFUNCTION("""COMPUTED_VALUE"""),"งานกาชาด")</f>
        <v>งานกาชาด</v>
      </c>
      <c r="I401" s="3" t="str">
        <f>IFERROR(__xludf.DUMMYFUNCTION("""COMPUTED_VALUE"""),"สวนลุมพินี")</f>
        <v>สวนลุมพินี</v>
      </c>
      <c r="J401" s="12">
        <f>IFERROR(__xludf.DUMMYFUNCTION("""COMPUTED_VALUE"""),46008.0)</f>
        <v>46008</v>
      </c>
      <c r="K401" s="3" t="str">
        <f>IFERROR(__xludf.DUMMYFUNCTION("""COMPUTED_VALUE"""),"1300-2100")</f>
        <v>1300-2100</v>
      </c>
      <c r="L401" s="3">
        <f>IFERROR(__xludf.DUMMYFUNCTION("""COMPUTED_VALUE"""),8.0)</f>
        <v>8</v>
      </c>
      <c r="M401" s="3" t="str">
        <f>IFERROR(__xludf.DUMMYFUNCTION("""COMPUTED_VALUE"""),"น.ต.ศักดิ์ชัย บุญประสิทธิ์")</f>
        <v>น.ต.ศักดิ์ชัย บุญประสิทธิ์</v>
      </c>
      <c r="N401" s="14" t="str">
        <f>IFERROR(__xludf.DUMMYFUNCTION("""COMPUTED_VALUE"""),"https://lh5.googleusercontent.com/d/1HLVTUkEl5Z33OD0ghwlUuuv8rgdA3C2n")</f>
        <v>https://lh5.googleusercontent.com/d/1HLVTUkEl5Z33OD0ghwlUuuv8rgdA3C2n</v>
      </c>
      <c r="O401" s="14" t="str">
        <f>IFERROR(__xludf.DUMMYFUNCTION("""COMPUTED_VALUE"""),"https://drive.google.com/file/d/1iv_0g_Uxatfxa7Ds4YJeBkX92w5XXQ35/view?usp=drivesdk")</f>
        <v>https://drive.google.com/file/d/1iv_0g_Uxatfxa7Ds4YJeBkX92w5XXQ35/view?usp=drivesdk</v>
      </c>
    </row>
    <row r="402">
      <c r="A402" s="3">
        <f>IFERROR(__xludf.DUMMYFUNCTION("""COMPUTED_VALUE"""),1472.0)</f>
        <v>1472</v>
      </c>
      <c r="B402" s="11">
        <f>IFERROR(__xludf.DUMMYFUNCTION("""COMPUTED_VALUE"""),45998.95189998843)</f>
        <v>45998.9519</v>
      </c>
      <c r="C402" s="3" t="str">
        <f>IFERROR(__xludf.DUMMYFUNCTION("""COMPUTED_VALUE"""),"ชั้นปีที่ 2")</f>
        <v>ชั้นปีที่ 2</v>
      </c>
      <c r="D402" s="3" t="str">
        <f>IFERROR(__xludf.DUMMYFUNCTION("""COMPUTED_VALUE"""),"6703860")</f>
        <v>6703860</v>
      </c>
      <c r="E402" s="3" t="str">
        <f>IFERROR(__xludf.DUMMYFUNCTION("""COMPUTED_VALUE"""),"42")</f>
        <v>42</v>
      </c>
      <c r="F402" s="3" t="str">
        <f>IFERROR(__xludf.DUMMYFUNCTION("""COMPUTED_VALUE"""),"นพอ.พิมพ์มาดา วงศาโรจน์")</f>
        <v>นพอ.พิมพ์มาดา วงศาโรจน์</v>
      </c>
      <c r="G402" s="3" t="str">
        <f>IFERROR(__xludf.DUMMYFUNCTION("""COMPUTED_VALUE"""),"ช่วยเหลืองานภายใน วพอ.")</f>
        <v>ช่วยเหลืองานภายใน วพอ.</v>
      </c>
      <c r="H402" s="3" t="str">
        <f>IFERROR(__xludf.DUMMYFUNCTION("""COMPUTED_VALUE"""),"ช่วยงานเอกสาร")</f>
        <v>ช่วยงานเอกสาร</v>
      </c>
      <c r="I402" s="3" t="str">
        <f>IFERROR(__xludf.DUMMYFUNCTION("""COMPUTED_VALUE"""),"ห้องภาควิชามารดา-ทารกและการผดุงครรภ์")</f>
        <v>ห้องภาควิชามารดา-ทารกและการผดุงครรภ์</v>
      </c>
      <c r="J402" s="12">
        <f>IFERROR(__xludf.DUMMYFUNCTION("""COMPUTED_VALUE"""),45979.0)</f>
        <v>45979</v>
      </c>
      <c r="K402" s="3" t="str">
        <f>IFERROR(__xludf.DUMMYFUNCTION("""COMPUTED_VALUE"""),"1400")</f>
        <v>1400</v>
      </c>
      <c r="L402" s="3">
        <f>IFERROR(__xludf.DUMMYFUNCTION("""COMPUTED_VALUE"""),2.0)</f>
        <v>2</v>
      </c>
      <c r="M402" s="3" t="str">
        <f>IFERROR(__xludf.DUMMYFUNCTION("""COMPUTED_VALUE"""),"น.ต.หญิง จิรปรียา โรจนเกียรติปรีดา")</f>
        <v>น.ต.หญิง จิรปรียา โรจนเกียรติปรีดา</v>
      </c>
      <c r="N402" s="14" t="str">
        <f>IFERROR(__xludf.DUMMYFUNCTION("""COMPUTED_VALUE"""),"https://lh5.googleusercontent.com/d/1FqZLpFD61aQVI_Ys7XgHqw920VURsylG")</f>
        <v>https://lh5.googleusercontent.com/d/1FqZLpFD61aQVI_Ys7XgHqw920VURsylG</v>
      </c>
      <c r="O402" s="14" t="str">
        <f>IFERROR(__xludf.DUMMYFUNCTION("""COMPUTED_VALUE"""),"https://drive.google.com/file/d/1ixns3eiRy7Igp1t3i9w65mA1BvfGqzKr/view?usp=drivesdk")</f>
        <v>https://drive.google.com/file/d/1ixns3eiRy7Igp1t3i9w65mA1BvfGqzKr/view?usp=drivesdk</v>
      </c>
    </row>
    <row r="403">
      <c r="A403" s="3">
        <f>IFERROR(__xludf.DUMMYFUNCTION("""COMPUTED_VALUE"""),1479.0)</f>
        <v>1479</v>
      </c>
      <c r="B403" s="11">
        <f>IFERROR(__xludf.DUMMYFUNCTION("""COMPUTED_VALUE"""),45998.958818726845)</f>
        <v>45998.95882</v>
      </c>
      <c r="C403" s="3" t="str">
        <f>IFERROR(__xludf.DUMMYFUNCTION("""COMPUTED_VALUE"""),"ชั้นปีที่ 2")</f>
        <v>ชั้นปีที่ 2</v>
      </c>
      <c r="D403" s="3" t="str">
        <f>IFERROR(__xludf.DUMMYFUNCTION("""COMPUTED_VALUE"""),"6703860")</f>
        <v>6703860</v>
      </c>
      <c r="E403" s="3" t="str">
        <f>IFERROR(__xludf.DUMMYFUNCTION("""COMPUTED_VALUE"""),"42")</f>
        <v>42</v>
      </c>
      <c r="F403" s="3" t="str">
        <f>IFERROR(__xludf.DUMMYFUNCTION("""COMPUTED_VALUE"""),"นพอ.พิมพ์มาดา วงศาโรจน์")</f>
        <v>นพอ.พิมพ์มาดา วงศาโรจน์</v>
      </c>
      <c r="G403" s="3" t="str">
        <f>IFERROR(__xludf.DUMMYFUNCTION("""COMPUTED_VALUE"""),"ช่วยเหลืองานภายใน วพอ.")</f>
        <v>ช่วยเหลืองานภายใน วพอ.</v>
      </c>
      <c r="H403" s="3" t="str">
        <f>IFERROR(__xludf.DUMMYFUNCTION("""COMPUTED_VALUE"""),"ซ้อมงานรับขวัญสวีเเด")</f>
        <v>ซ้อมงานรับขวัญสวีเเด</v>
      </c>
      <c r="I403" s="3" t="str">
        <f>IFERROR(__xludf.DUMMYFUNCTION("""COMPUTED_VALUE"""),"ห้องชมรมดนตรีไทย")</f>
        <v>ห้องชมรมดนตรีไทย</v>
      </c>
      <c r="J403" s="12">
        <f>IFERROR(__xludf.DUMMYFUNCTION("""COMPUTED_VALUE"""),45887.0)</f>
        <v>45887</v>
      </c>
      <c r="K403" s="3" t="str">
        <f>IFERROR(__xludf.DUMMYFUNCTION("""COMPUTED_VALUE"""),"1800")</f>
        <v>1800</v>
      </c>
      <c r="L403" s="3">
        <f>IFERROR(__xludf.DUMMYFUNCTION("""COMPUTED_VALUE"""),2.0)</f>
        <v>2</v>
      </c>
      <c r="M403" s="3" t="str">
        <f>IFERROR(__xludf.DUMMYFUNCTION("""COMPUTED_VALUE"""),"ร.อ.หญิง ขนัฏฐา นาดี")</f>
        <v>ร.อ.หญิง ขนัฏฐา นาดี</v>
      </c>
      <c r="N403" s="14" t="str">
        <f>IFERROR(__xludf.DUMMYFUNCTION("""COMPUTED_VALUE"""),"https://lh5.googleusercontent.com/d/1pPVwKCoTDRBPzQHtin2X4skSrnCHBCak")</f>
        <v>https://lh5.googleusercontent.com/d/1pPVwKCoTDRBPzQHtin2X4skSrnCHBCak</v>
      </c>
      <c r="O403" s="14" t="str">
        <f>IFERROR(__xludf.DUMMYFUNCTION("""COMPUTED_VALUE"""),"https://drive.google.com/file/d/1mfXnj2P-0r2nlfubmhStVAl2PAERYydv/view?usp=drivesdk")</f>
        <v>https://drive.google.com/file/d/1mfXnj2P-0r2nlfubmhStVAl2PAERYydv/view?usp=drivesdk</v>
      </c>
    </row>
    <row r="404">
      <c r="A404" s="3">
        <f>IFERROR(__xludf.DUMMYFUNCTION("""COMPUTED_VALUE"""),1482.0)</f>
        <v>1482</v>
      </c>
      <c r="B404" s="11">
        <f>IFERROR(__xludf.DUMMYFUNCTION("""COMPUTED_VALUE"""),45998.96372662037)</f>
        <v>45998.96373</v>
      </c>
      <c r="C404" s="3" t="str">
        <f>IFERROR(__xludf.DUMMYFUNCTION("""COMPUTED_VALUE"""),"ชั้นปีที่ 2")</f>
        <v>ชั้นปีที่ 2</v>
      </c>
      <c r="D404" s="3" t="str">
        <f>IFERROR(__xludf.DUMMYFUNCTION("""COMPUTED_VALUE"""),"6703860")</f>
        <v>6703860</v>
      </c>
      <c r="E404" s="3" t="str">
        <f>IFERROR(__xludf.DUMMYFUNCTION("""COMPUTED_VALUE"""),"42")</f>
        <v>42</v>
      </c>
      <c r="F404" s="3" t="str">
        <f>IFERROR(__xludf.DUMMYFUNCTION("""COMPUTED_VALUE"""),"นพอ.พิมพ์มาดา วงศาโรจน์")</f>
        <v>นพอ.พิมพ์มาดา วงศาโรจน์</v>
      </c>
      <c r="G404" s="3" t="str">
        <f>IFERROR(__xludf.DUMMYFUNCTION("""COMPUTED_VALUE"""),"ช่วยเหลืองานภายใน วพอ.")</f>
        <v>ช่วยเหลืองานภายใน วพอ.</v>
      </c>
      <c r="H404" s="3" t="str">
        <f>IFERROR(__xludf.DUMMYFUNCTION("""COMPUTED_VALUE"""),"ซ้อมงานรับขวัญสวีแด")</f>
        <v>ซ้อมงานรับขวัญสวีแด</v>
      </c>
      <c r="I404" s="3" t="str">
        <f>IFERROR(__xludf.DUMMYFUNCTION("""COMPUTED_VALUE"""),"ห้องชมรมดนตรีไทย")</f>
        <v>ห้องชมรมดนตรีไทย</v>
      </c>
      <c r="J404" s="12">
        <f>IFERROR(__xludf.DUMMYFUNCTION("""COMPUTED_VALUE"""),45888.0)</f>
        <v>45888</v>
      </c>
      <c r="K404" s="3" t="str">
        <f>IFERROR(__xludf.DUMMYFUNCTION("""COMPUTED_VALUE"""),"1800")</f>
        <v>1800</v>
      </c>
      <c r="L404" s="3">
        <f>IFERROR(__xludf.DUMMYFUNCTION("""COMPUTED_VALUE"""),2.0)</f>
        <v>2</v>
      </c>
      <c r="M404" s="3" t="str">
        <f>IFERROR(__xludf.DUMMYFUNCTION("""COMPUTED_VALUE"""),"ร.อ.หญิง ขนัฏฐา นาดี")</f>
        <v>ร.อ.หญิง ขนัฏฐา นาดี</v>
      </c>
      <c r="N404" s="14" t="str">
        <f>IFERROR(__xludf.DUMMYFUNCTION("""COMPUTED_VALUE"""),"https://lh5.googleusercontent.com/d/1XSClSjDm8gL9NJOwunB2u4vR1krB-I1d")</f>
        <v>https://lh5.googleusercontent.com/d/1XSClSjDm8gL9NJOwunB2u4vR1krB-I1d</v>
      </c>
      <c r="O404" s="14" t="str">
        <f>IFERROR(__xludf.DUMMYFUNCTION("""COMPUTED_VALUE"""),"https://drive.google.com/file/d/1UipOfl3vS3moxy9yUo6rDTgolEpVGyKJ/view?usp=drivesdk")</f>
        <v>https://drive.google.com/file/d/1UipOfl3vS3moxy9yUo6rDTgolEpVGyKJ/view?usp=drivesdk</v>
      </c>
    </row>
    <row r="405">
      <c r="A405" s="3">
        <f>IFERROR(__xludf.DUMMYFUNCTION("""COMPUTED_VALUE"""),1487.0)</f>
        <v>1487</v>
      </c>
      <c r="B405" s="11">
        <f>IFERROR(__xludf.DUMMYFUNCTION("""COMPUTED_VALUE"""),45998.9683062963)</f>
        <v>45998.96831</v>
      </c>
      <c r="C405" s="3" t="str">
        <f>IFERROR(__xludf.DUMMYFUNCTION("""COMPUTED_VALUE"""),"ชั้นปีที่ 2")</f>
        <v>ชั้นปีที่ 2</v>
      </c>
      <c r="D405" s="3" t="str">
        <f>IFERROR(__xludf.DUMMYFUNCTION("""COMPUTED_VALUE"""),"6703860")</f>
        <v>6703860</v>
      </c>
      <c r="E405" s="3" t="str">
        <f>IFERROR(__xludf.DUMMYFUNCTION("""COMPUTED_VALUE"""),"42")</f>
        <v>42</v>
      </c>
      <c r="F405" s="3" t="str">
        <f>IFERROR(__xludf.DUMMYFUNCTION("""COMPUTED_VALUE"""),"นพอ.พิมพ์มาดา วงศาโรจน์")</f>
        <v>นพอ.พิมพ์มาดา วงศาโรจน์</v>
      </c>
      <c r="G405" s="3" t="str">
        <f>IFERROR(__xludf.DUMMYFUNCTION("""COMPUTED_VALUE"""),"ช่วยเหลืองานภายใน วพอ.")</f>
        <v>ช่วยเหลืองานภายใน วพอ.</v>
      </c>
      <c r="H405" s="3" t="str">
        <f>IFERROR(__xludf.DUMMYFUNCTION("""COMPUTED_VALUE"""),"ซ้อมงานรับขวัญสวีแด")</f>
        <v>ซ้อมงานรับขวัญสวีแด</v>
      </c>
      <c r="I405" s="3" t="str">
        <f>IFERROR(__xludf.DUMMYFUNCTION("""COMPUTED_VALUE"""),"ห้องชมรมดนตรีไทย")</f>
        <v>ห้องชมรมดนตรีไทย</v>
      </c>
      <c r="J405" s="12">
        <f>IFERROR(__xludf.DUMMYFUNCTION("""COMPUTED_VALUE"""),45889.0)</f>
        <v>45889</v>
      </c>
      <c r="K405" s="3" t="str">
        <f>IFERROR(__xludf.DUMMYFUNCTION("""COMPUTED_VALUE"""),"1800")</f>
        <v>1800</v>
      </c>
      <c r="L405" s="3">
        <f>IFERROR(__xludf.DUMMYFUNCTION("""COMPUTED_VALUE"""),2.0)</f>
        <v>2</v>
      </c>
      <c r="M405" s="3" t="str">
        <f>IFERROR(__xludf.DUMMYFUNCTION("""COMPUTED_VALUE"""),"ร.อ.หญิง ขนัฏฐา นาดี")</f>
        <v>ร.อ.หญิง ขนัฏฐา นาดี</v>
      </c>
      <c r="N405" s="14" t="str">
        <f>IFERROR(__xludf.DUMMYFUNCTION("""COMPUTED_VALUE"""),"https://lh5.googleusercontent.com/d/19WSr8Z5FpDYMwWI5i6BqtkeDRdB9Ov-X")</f>
        <v>https://lh5.googleusercontent.com/d/19WSr8Z5FpDYMwWI5i6BqtkeDRdB9Ov-X</v>
      </c>
      <c r="O405" s="14" t="str">
        <f>IFERROR(__xludf.DUMMYFUNCTION("""COMPUTED_VALUE"""),"https://drive.google.com/file/d/1EfIw_Cr3P5ZqbPy_-137P17jRClwGDK2/view?usp=drivesdk")</f>
        <v>https://drive.google.com/file/d/1EfIw_Cr3P5ZqbPy_-137P17jRClwGDK2/view?usp=drivesdk</v>
      </c>
    </row>
    <row r="406">
      <c r="A406" s="3">
        <f>IFERROR(__xludf.DUMMYFUNCTION("""COMPUTED_VALUE"""),1497.0)</f>
        <v>1497</v>
      </c>
      <c r="B406" s="11">
        <f>IFERROR(__xludf.DUMMYFUNCTION("""COMPUTED_VALUE"""),45999.3181419213)</f>
        <v>45999.31814</v>
      </c>
      <c r="C406" s="3" t="str">
        <f>IFERROR(__xludf.DUMMYFUNCTION("""COMPUTED_VALUE"""),"ชั้นปีที่ 2")</f>
        <v>ชั้นปีที่ 2</v>
      </c>
      <c r="D406" s="3" t="str">
        <f>IFERROR(__xludf.DUMMYFUNCTION("""COMPUTED_VALUE"""),"6703826")</f>
        <v>6703826</v>
      </c>
      <c r="E406" s="3" t="str">
        <f>IFERROR(__xludf.DUMMYFUNCTION("""COMPUTED_VALUE"""),"9")</f>
        <v>9</v>
      </c>
      <c r="F406" s="3" t="str">
        <f>IFERROR(__xludf.DUMMYFUNCTION("""COMPUTED_VALUE"""),"นพอ.ชณัฐธิดา ชูชีพ")</f>
        <v>นพอ.ชณัฐธิดา ชูชีพ</v>
      </c>
      <c r="G40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6" s="3" t="str">
        <f>IFERROR(__xludf.DUMMYFUNCTION("""COMPUTED_VALUE"""),"งานกาชาด ประจำปี 2568")</f>
        <v>งานกาชาด ประจำปี 2568</v>
      </c>
      <c r="I406" s="3" t="str">
        <f>IFERROR(__xludf.DUMMYFUNCTION("""COMPUTED_VALUE"""),"สวนลุมพินี")</f>
        <v>สวนลุมพินี</v>
      </c>
      <c r="J406" s="12">
        <f>IFERROR(__xludf.DUMMYFUNCTION("""COMPUTED_VALUE"""),46007.0)</f>
        <v>46007</v>
      </c>
      <c r="K406" s="3" t="str">
        <f>IFERROR(__xludf.DUMMYFUNCTION("""COMPUTED_VALUE"""),"1300-2100")</f>
        <v>1300-2100</v>
      </c>
      <c r="L406" s="3">
        <f>IFERROR(__xludf.DUMMYFUNCTION("""COMPUTED_VALUE"""),8.0)</f>
        <v>8</v>
      </c>
      <c r="M406" s="3" t="str">
        <f>IFERROR(__xludf.DUMMYFUNCTION("""COMPUTED_VALUE"""),"น.ต.ศักชัย บุญประสิทธิ์")</f>
        <v>น.ต.ศักชัย บุญประสิทธิ์</v>
      </c>
      <c r="N406" s="14" t="str">
        <f>IFERROR(__xludf.DUMMYFUNCTION("""COMPUTED_VALUE"""),"https://lh5.googleusercontent.com/d/1KtPewRyRBTXKnOix90ASW6LMoD7qzVPb")</f>
        <v>https://lh5.googleusercontent.com/d/1KtPewRyRBTXKnOix90ASW6LMoD7qzVPb</v>
      </c>
      <c r="O406" s="14" t="str">
        <f>IFERROR(__xludf.DUMMYFUNCTION("""COMPUTED_VALUE"""),"https://drive.google.com/file/d/1SOn7VfIadThHwv0z-QyfDnOBZpsN7SLW/view?usp=drivesdk")</f>
        <v>https://drive.google.com/file/d/1SOn7VfIadThHwv0z-QyfDnOBZpsN7SLW/view?usp=drivesdk</v>
      </c>
    </row>
    <row r="407">
      <c r="A407" s="3">
        <f>IFERROR(__xludf.DUMMYFUNCTION("""COMPUTED_VALUE"""),1498.0)</f>
        <v>1498</v>
      </c>
      <c r="B407" s="11">
        <f>IFERROR(__xludf.DUMMYFUNCTION("""COMPUTED_VALUE"""),45999.318339143516)</f>
        <v>45999.31834</v>
      </c>
      <c r="C407" s="3" t="str">
        <f>IFERROR(__xludf.DUMMYFUNCTION("""COMPUTED_VALUE"""),"ชั้นปีที่ 2")</f>
        <v>ชั้นปีที่ 2</v>
      </c>
      <c r="D407" s="3" t="str">
        <f>IFERROR(__xludf.DUMMYFUNCTION("""COMPUTED_VALUE"""),"6703849")</f>
        <v>6703849</v>
      </c>
      <c r="E407" s="3" t="str">
        <f>IFERROR(__xludf.DUMMYFUNCTION("""COMPUTED_VALUE"""),"31")</f>
        <v>31</v>
      </c>
      <c r="F407" s="3" t="str">
        <f>IFERROR(__xludf.DUMMYFUNCTION("""COMPUTED_VALUE"""),"นพอ.ปภาดา สุจิณณานนท์")</f>
        <v>นพอ.ปภาดา สุจิณณานนท์</v>
      </c>
      <c r="G4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7" s="3" t="str">
        <f>IFERROR(__xludf.DUMMYFUNCTION("""COMPUTED_VALUE"""),"งานกาชาด")</f>
        <v>งานกาชาด</v>
      </c>
      <c r="I407" s="3" t="str">
        <f>IFERROR(__xludf.DUMMYFUNCTION("""COMPUTED_VALUE"""),"สวนลุมพินี")</f>
        <v>สวนลุมพินี</v>
      </c>
      <c r="J407" s="12">
        <f>IFERROR(__xludf.DUMMYFUNCTION("""COMPUTED_VALUE"""),46009.0)</f>
        <v>46009</v>
      </c>
      <c r="K407" s="3" t="str">
        <f>IFERROR(__xludf.DUMMYFUNCTION("""COMPUTED_VALUE"""),"1300-2100")</f>
        <v>1300-2100</v>
      </c>
      <c r="L407" s="3">
        <f>IFERROR(__xludf.DUMMYFUNCTION("""COMPUTED_VALUE"""),8.0)</f>
        <v>8</v>
      </c>
      <c r="M407" s="3" t="str">
        <f>IFERROR(__xludf.DUMMYFUNCTION("""COMPUTED_VALUE"""),"น.ต.ศักชัย บุญประสิทธิ์")</f>
        <v>น.ต.ศักชัย บุญประสิทธิ์</v>
      </c>
      <c r="N407" s="14" t="str">
        <f>IFERROR(__xludf.DUMMYFUNCTION("""COMPUTED_VALUE"""),"https://lh5.googleusercontent.com/d/1P7tBUd9-Z0xseZmXMs8wQETgIMzg5dcU")</f>
        <v>https://lh5.googleusercontent.com/d/1P7tBUd9-Z0xseZmXMs8wQETgIMzg5dcU</v>
      </c>
      <c r="O407" s="14" t="str">
        <f>IFERROR(__xludf.DUMMYFUNCTION("""COMPUTED_VALUE"""),"https://drive.google.com/file/d/1wMshq5SsBM18TU0SWNSf5EflIIpUN8bX/view?usp=drivesdk")</f>
        <v>https://drive.google.com/file/d/1wMshq5SsBM18TU0SWNSf5EflIIpUN8bX/view?usp=drivesdk</v>
      </c>
    </row>
    <row r="408">
      <c r="A408" s="3">
        <f>IFERROR(__xludf.DUMMYFUNCTION("""COMPUTED_VALUE"""),1500.0)</f>
        <v>1500</v>
      </c>
      <c r="B408" s="11">
        <f>IFERROR(__xludf.DUMMYFUNCTION("""COMPUTED_VALUE"""),45999.32367050926)</f>
        <v>45999.32367</v>
      </c>
      <c r="C408" s="3" t="str">
        <f>IFERROR(__xludf.DUMMYFUNCTION("""COMPUTED_VALUE"""),"ชั้นปีที่ 2")</f>
        <v>ชั้นปีที่ 2</v>
      </c>
      <c r="D408" s="3" t="str">
        <f>IFERROR(__xludf.DUMMYFUNCTION("""COMPUTED_VALUE"""),"6703848")</f>
        <v>6703848</v>
      </c>
      <c r="E408" s="3" t="str">
        <f>IFERROR(__xludf.DUMMYFUNCTION("""COMPUTED_VALUE"""),"30")</f>
        <v>30</v>
      </c>
      <c r="F408" s="3" t="str">
        <f>IFERROR(__xludf.DUMMYFUNCTION("""COMPUTED_VALUE"""),"นพอ.บุญสิตา สุสี")</f>
        <v>นพอ.บุญสิตา สุสี</v>
      </c>
      <c r="G40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8" s="3" t="str">
        <f>IFERROR(__xludf.DUMMYFUNCTION("""COMPUTED_VALUE"""),"งานกาชาด")</f>
        <v>งานกาชาด</v>
      </c>
      <c r="I408" s="3" t="str">
        <f>IFERROR(__xludf.DUMMYFUNCTION("""COMPUTED_VALUE"""),"สวนลุมพินี")</f>
        <v>สวนลุมพินี</v>
      </c>
      <c r="J408" s="12">
        <f>IFERROR(__xludf.DUMMYFUNCTION("""COMPUTED_VALUE"""),46009.0)</f>
        <v>46009</v>
      </c>
      <c r="K408" s="3" t="str">
        <f>IFERROR(__xludf.DUMMYFUNCTION("""COMPUTED_VALUE"""),"1300-2100")</f>
        <v>1300-2100</v>
      </c>
      <c r="L408" s="3">
        <f>IFERROR(__xludf.DUMMYFUNCTION("""COMPUTED_VALUE"""),8.0)</f>
        <v>8</v>
      </c>
      <c r="M408" s="3" t="str">
        <f>IFERROR(__xludf.DUMMYFUNCTION("""COMPUTED_VALUE"""),"น.ต.ศักชัย บุญประสิทธิ์")</f>
        <v>น.ต.ศักชัย บุญประสิทธิ์</v>
      </c>
      <c r="N408" s="14" t="str">
        <f>IFERROR(__xludf.DUMMYFUNCTION("""COMPUTED_VALUE"""),"https://lh5.googleusercontent.com/d/19Q7l8wNnF-7nmxOkcUydODdofoxKChBo")</f>
        <v>https://lh5.googleusercontent.com/d/19Q7l8wNnF-7nmxOkcUydODdofoxKChBo</v>
      </c>
      <c r="O408" s="14" t="str">
        <f>IFERROR(__xludf.DUMMYFUNCTION("""COMPUTED_VALUE"""),"https://drive.google.com/file/d/17VdavaEX1kGC5Bjysdlfn_fgVepHUg9h/view?usp=drivesdk")</f>
        <v>https://drive.google.com/file/d/17VdavaEX1kGC5Bjysdlfn_fgVepHUg9h/view?usp=drivesdk</v>
      </c>
    </row>
    <row r="409">
      <c r="A409" s="3">
        <f>IFERROR(__xludf.DUMMYFUNCTION("""COMPUTED_VALUE"""),1502.0)</f>
        <v>1502</v>
      </c>
      <c r="B409" s="11">
        <f>IFERROR(__xludf.DUMMYFUNCTION("""COMPUTED_VALUE"""),45999.32759622685)</f>
        <v>45999.3276</v>
      </c>
      <c r="C409" s="3" t="str">
        <f>IFERROR(__xludf.DUMMYFUNCTION("""COMPUTED_VALUE"""),"ชั้นปีที่ 2")</f>
        <v>ชั้นปีที่ 2</v>
      </c>
      <c r="D409" s="3" t="str">
        <f>IFERROR(__xludf.DUMMYFUNCTION("""COMPUTED_VALUE"""),"6703834")</f>
        <v>6703834</v>
      </c>
      <c r="E409" s="3" t="str">
        <f>IFERROR(__xludf.DUMMYFUNCTION("""COMPUTED_VALUE"""),"17")</f>
        <v>17</v>
      </c>
      <c r="F409" s="3" t="str">
        <f>IFERROR(__xludf.DUMMYFUNCTION("""COMPUTED_VALUE"""),"นพอ.ฑิตถากร แน่นอุดร")</f>
        <v>นพอ.ฑิตถากร แน่นอุดร</v>
      </c>
      <c r="G409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09" s="3" t="str">
        <f>IFERROR(__xludf.DUMMYFUNCTION("""COMPUTED_VALUE"""),"ลงนามถวายพระพร")</f>
        <v>ลงนามถวายพระพร</v>
      </c>
      <c r="I409" s="3" t="str">
        <f>IFERROR(__xludf.DUMMYFUNCTION("""COMPUTED_VALUE"""),"วิทยาลัยพยาบาลทหารอากาศ")</f>
        <v>วิทยาลัยพยาบาลทหารอากาศ</v>
      </c>
      <c r="J409" s="12">
        <f>IFERROR(__xludf.DUMMYFUNCTION("""COMPUTED_VALUE"""),45944.0)</f>
        <v>45944</v>
      </c>
      <c r="K409" s="3" t="str">
        <f>IFERROR(__xludf.DUMMYFUNCTION("""COMPUTED_VALUE"""),"0800-0900")</f>
        <v>0800-0900</v>
      </c>
      <c r="L409" s="3">
        <f>IFERROR(__xludf.DUMMYFUNCTION("""COMPUTED_VALUE"""),1.0)</f>
        <v>1</v>
      </c>
      <c r="M409" s="3" t="str">
        <f>IFERROR(__xludf.DUMMYFUNCTION("""COMPUTED_VALUE"""),"ร.อ.อนุชิต ทำจะดี")</f>
        <v>ร.อ.อนุชิต ทำจะดี</v>
      </c>
      <c r="N409" s="14" t="str">
        <f>IFERROR(__xludf.DUMMYFUNCTION("""COMPUTED_VALUE"""),"https://lh5.googleusercontent.com/d/1s1osZyt6_vukgzY4gvKgoqir2YVgmxsu")</f>
        <v>https://lh5.googleusercontent.com/d/1s1osZyt6_vukgzY4gvKgoqir2YVgmxsu</v>
      </c>
      <c r="O409" s="14" t="str">
        <f>IFERROR(__xludf.DUMMYFUNCTION("""COMPUTED_VALUE"""),"https://drive.google.com/file/d/1rWY_jy-MxY4YxQiT7ZLXIRCc9xy56eQf/view?usp=drivesdk")</f>
        <v>https://drive.google.com/file/d/1rWY_jy-MxY4YxQiT7ZLXIRCc9xy56eQf/view?usp=drivesdk</v>
      </c>
    </row>
    <row r="410">
      <c r="A410" s="3">
        <f>IFERROR(__xludf.DUMMYFUNCTION("""COMPUTED_VALUE"""),1503.0)</f>
        <v>1503</v>
      </c>
      <c r="B410" s="11">
        <f>IFERROR(__xludf.DUMMYFUNCTION("""COMPUTED_VALUE"""),45999.33255136574)</f>
        <v>45999.33255</v>
      </c>
      <c r="C410" s="3" t="str">
        <f>IFERROR(__xludf.DUMMYFUNCTION("""COMPUTED_VALUE"""),"ชั้นปีที่ 2")</f>
        <v>ชั้นปีที่ 2</v>
      </c>
      <c r="D410" s="3" t="str">
        <f>IFERROR(__xludf.DUMMYFUNCTION("""COMPUTED_VALUE"""),"6703860")</f>
        <v>6703860</v>
      </c>
      <c r="E410" s="3" t="str">
        <f>IFERROR(__xludf.DUMMYFUNCTION("""COMPUTED_VALUE"""),"42")</f>
        <v>42</v>
      </c>
      <c r="F410" s="3" t="str">
        <f>IFERROR(__xludf.DUMMYFUNCTION("""COMPUTED_VALUE"""),"นพอ.พิมพ์มาดา วงศาโรจน์")</f>
        <v>นพอ.พิมพ์มาดา วงศาโรจน์</v>
      </c>
      <c r="G41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0" s="3" t="str">
        <f>IFERROR(__xludf.DUMMYFUNCTION("""COMPUTED_VALUE"""),"งานกาชาด")</f>
        <v>งานกาชาด</v>
      </c>
      <c r="I410" s="3" t="str">
        <f>IFERROR(__xludf.DUMMYFUNCTION("""COMPUTED_VALUE"""),"สวนลุมพินี")</f>
        <v>สวนลุมพินี</v>
      </c>
      <c r="J410" s="12">
        <f>IFERROR(__xludf.DUMMYFUNCTION("""COMPUTED_VALUE"""),46007.0)</f>
        <v>46007</v>
      </c>
      <c r="K410" s="3" t="str">
        <f>IFERROR(__xludf.DUMMYFUNCTION("""COMPUTED_VALUE"""),"1300")</f>
        <v>1300</v>
      </c>
      <c r="L410" s="3">
        <f>IFERROR(__xludf.DUMMYFUNCTION("""COMPUTED_VALUE"""),8.0)</f>
        <v>8</v>
      </c>
      <c r="M410" s="3" t="str">
        <f>IFERROR(__xludf.DUMMYFUNCTION("""COMPUTED_VALUE"""),"น.ต.ศักชัย บุญประสิทธิ์")</f>
        <v>น.ต.ศักชัย บุญประสิทธิ์</v>
      </c>
      <c r="N410" s="14" t="str">
        <f>IFERROR(__xludf.DUMMYFUNCTION("""COMPUTED_VALUE"""),"https://lh5.googleusercontent.com/d/1RWtPoHmy35cRsi_q2t3S23zEFCjS1WdB")</f>
        <v>https://lh5.googleusercontent.com/d/1RWtPoHmy35cRsi_q2t3S23zEFCjS1WdB</v>
      </c>
      <c r="O410" s="14" t="str">
        <f>IFERROR(__xludf.DUMMYFUNCTION("""COMPUTED_VALUE"""),"https://drive.google.com/file/d/1aQF0KMpEnlELePKe9RudawRn5p5ucZBK/view?usp=drivesdk")</f>
        <v>https://drive.google.com/file/d/1aQF0KMpEnlELePKe9RudawRn5p5ucZBK/view?usp=drivesdk</v>
      </c>
    </row>
    <row r="411">
      <c r="A411" s="3">
        <f>IFERROR(__xludf.DUMMYFUNCTION("""COMPUTED_VALUE"""),1650.0)</f>
        <v>1650</v>
      </c>
      <c r="B411" s="11">
        <f>IFERROR(__xludf.DUMMYFUNCTION("""COMPUTED_VALUE"""),45999.81057394676)</f>
        <v>45999.81057</v>
      </c>
      <c r="C411" s="3" t="str">
        <f>IFERROR(__xludf.DUMMYFUNCTION("""COMPUTED_VALUE"""),"ชั้นปีที่ 2")</f>
        <v>ชั้นปีที่ 2</v>
      </c>
      <c r="D411" s="3" t="str">
        <f>IFERROR(__xludf.DUMMYFUNCTION("""COMPUTED_VALUE"""),"6703869")</f>
        <v>6703869</v>
      </c>
      <c r="E411" s="3" t="str">
        <f>IFERROR(__xludf.DUMMYFUNCTION("""COMPUTED_VALUE"""),"51")</f>
        <v>51</v>
      </c>
      <c r="F411" s="3" t="str">
        <f>IFERROR(__xludf.DUMMYFUNCTION("""COMPUTED_VALUE"""),"นพอ.วิภาวี กลั่นเมฆ")</f>
        <v>นพอ.วิภาวี กลั่นเมฆ</v>
      </c>
      <c r="G4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1" s="3" t="str">
        <f>IFERROR(__xludf.DUMMYFUNCTION("""COMPUTED_VALUE"""),"ร่วมออกร้านงานกาช่ดสมาคมคู่สมรสทหารอากาศ")</f>
        <v>ร่วมออกร้านงานกาช่ดสมาคมคู่สมรสทหารอากาศ</v>
      </c>
      <c r="I411" s="3" t="str">
        <f>IFERROR(__xludf.DUMMYFUNCTION("""COMPUTED_VALUE"""),"สวนลุมพินี")</f>
        <v>สวนลุมพินี</v>
      </c>
      <c r="J411" s="12">
        <f>IFERROR(__xludf.DUMMYFUNCTION("""COMPUTED_VALUE"""),46012.0)</f>
        <v>46012</v>
      </c>
      <c r="K411" s="3" t="str">
        <f>IFERROR(__xludf.DUMMYFUNCTION("""COMPUTED_VALUE"""),"1300-2100")</f>
        <v>1300-2100</v>
      </c>
      <c r="L411" s="3">
        <f>IFERROR(__xludf.DUMMYFUNCTION("""COMPUTED_VALUE"""),8.0)</f>
        <v>8</v>
      </c>
      <c r="M411" s="3" t="str">
        <f>IFERROR(__xludf.DUMMYFUNCTION("""COMPUTED_VALUE"""),"น.ต.ศักชัย บุญประสิทธิ์")</f>
        <v>น.ต.ศักชัย บุญประสิทธิ์</v>
      </c>
      <c r="N411" s="14" t="str">
        <f>IFERROR(__xludf.DUMMYFUNCTION("""COMPUTED_VALUE"""),"https://lh5.googleusercontent.com/d/1jNiVblYARlxQqYb1VM6bb-j5N5vbv6LX")</f>
        <v>https://lh5.googleusercontent.com/d/1jNiVblYARlxQqYb1VM6bb-j5N5vbv6LX</v>
      </c>
      <c r="O411" s="14" t="str">
        <f>IFERROR(__xludf.DUMMYFUNCTION("""COMPUTED_VALUE"""),"https://drive.google.com/file/d/1m28OH715eKe3FKnVDWyeyACuccBKO535/view?usp=drivesdk")</f>
        <v>https://drive.google.com/file/d/1m28OH715eKe3FKnVDWyeyACuccBKO535/view?usp=drivesdk</v>
      </c>
    </row>
    <row r="412">
      <c r="A412" s="3">
        <f>IFERROR(__xludf.DUMMYFUNCTION("""COMPUTED_VALUE"""),1654.0)</f>
        <v>1654</v>
      </c>
      <c r="B412" s="11">
        <f>IFERROR(__xludf.DUMMYFUNCTION("""COMPUTED_VALUE"""),45999.814467013886)</f>
        <v>45999.81447</v>
      </c>
      <c r="C412" s="3" t="str">
        <f>IFERROR(__xludf.DUMMYFUNCTION("""COMPUTED_VALUE"""),"ชั้นปีที่ 2")</f>
        <v>ชั้นปีที่ 2</v>
      </c>
      <c r="D412" s="3" t="str">
        <f>IFERROR(__xludf.DUMMYFUNCTION("""COMPUTED_VALUE"""),"6703876")</f>
        <v>6703876</v>
      </c>
      <c r="E412" s="3" t="str">
        <f>IFERROR(__xludf.DUMMYFUNCTION("""COMPUTED_VALUE"""),"57")</f>
        <v>57</v>
      </c>
      <c r="F412" s="3" t="str">
        <f>IFERROR(__xludf.DUMMYFUNCTION("""COMPUTED_VALUE"""),"นพอ.สืบสกุล ธรรมขันธ์")</f>
        <v>นพอ.สืบสกุล ธรรมขันธ์</v>
      </c>
      <c r="G412" s="3" t="str">
        <f>IFERROR(__xludf.DUMMYFUNCTION("""COMPUTED_VALUE"""),"ช่วยเหลืองานภายใน วพอ.")</f>
        <v>ช่วยเหลืองานภายใน วพอ.</v>
      </c>
      <c r="H412" s="3" t="str">
        <f>IFERROR(__xludf.DUMMYFUNCTION("""COMPUTED_VALUE"""),"เข้าร่วมการฝึกการรักษาทารกแรกเกิดที่มีภาวะตัวเหลืองด้วยการส่องไฟ")</f>
        <v>เข้าร่วมการฝึกการรักษาทารกแรกเกิดที่มีภาวะตัวเหลืองด้วยการส่องไฟ</v>
      </c>
      <c r="I412" s="3" t="str">
        <f>IFERROR(__xludf.DUMMYFUNCTION("""COMPUTED_VALUE"""),"ห้องเรียนนพอ.ปี1")</f>
        <v>ห้องเรียนนพอ.ปี1</v>
      </c>
      <c r="J412" s="12">
        <f>IFERROR(__xludf.DUMMYFUNCTION("""COMPUTED_VALUE"""),45985.0)</f>
        <v>45985</v>
      </c>
      <c r="K412" s="3" t="str">
        <f>IFERROR(__xludf.DUMMYFUNCTION("""COMPUTED_VALUE"""),"1000-1800")</f>
        <v>1000-1800</v>
      </c>
      <c r="L412" s="3">
        <f>IFERROR(__xludf.DUMMYFUNCTION("""COMPUTED_VALUE"""),8.0)</f>
        <v>8</v>
      </c>
      <c r="M412" s="3" t="str">
        <f>IFERROR(__xludf.DUMMYFUNCTION("""COMPUTED_VALUE"""),"ร.ท.เรวัติ วัชรสิทธิ์")</f>
        <v>ร.ท.เรวัติ วัชรสิทธิ์</v>
      </c>
      <c r="N412" s="14" t="str">
        <f>IFERROR(__xludf.DUMMYFUNCTION("""COMPUTED_VALUE"""),"https://lh5.googleusercontent.com/d/1RwLkjtFPB50VBF5HjzAg2p8SDlwXUCz3")</f>
        <v>https://lh5.googleusercontent.com/d/1RwLkjtFPB50VBF5HjzAg2p8SDlwXUCz3</v>
      </c>
      <c r="O412" s="14" t="str">
        <f>IFERROR(__xludf.DUMMYFUNCTION("""COMPUTED_VALUE"""),"https://drive.google.com/file/d/1bMkeBCDBO9cH6DueQFqmVtBsfq7W0uIi/view?usp=drivesdk")</f>
        <v>https://drive.google.com/file/d/1bMkeBCDBO9cH6DueQFqmVtBsfq7W0uIi/view?usp=drivesdk</v>
      </c>
    </row>
    <row r="413">
      <c r="A413" s="3">
        <f>IFERROR(__xludf.DUMMYFUNCTION("""COMPUTED_VALUE"""),1672.0)</f>
        <v>1672</v>
      </c>
      <c r="B413" s="11">
        <f>IFERROR(__xludf.DUMMYFUNCTION("""COMPUTED_VALUE"""),45999.8216362963)</f>
        <v>45999.82164</v>
      </c>
      <c r="C413" s="3" t="str">
        <f>IFERROR(__xludf.DUMMYFUNCTION("""COMPUTED_VALUE"""),"ชั้นปีที่ 2")</f>
        <v>ชั้นปีที่ 2</v>
      </c>
      <c r="D413" s="3" t="str">
        <f>IFERROR(__xludf.DUMMYFUNCTION("""COMPUTED_VALUE"""),"6703869")</f>
        <v>6703869</v>
      </c>
      <c r="E413" s="3" t="str">
        <f>IFERROR(__xludf.DUMMYFUNCTION("""COMPUTED_VALUE"""),"51")</f>
        <v>51</v>
      </c>
      <c r="F413" s="3" t="str">
        <f>IFERROR(__xludf.DUMMYFUNCTION("""COMPUTED_VALUE"""),"นพอ.วิภาวี กลั่นเมฆ")</f>
        <v>นพอ.วิภาวี กลั่นเมฆ</v>
      </c>
      <c r="G41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3" s="3" t="str">
        <f>IFERROR(__xludf.DUMMYFUNCTION("""COMPUTED_VALUE"""),"ร่วมออกร้านงานกาช่ดสมาคมคู่สมรสทหารอากาศ")</f>
        <v>ร่วมออกร้านงานกาช่ดสมาคมคู่สมรสทหารอากาศ</v>
      </c>
      <c r="I413" s="3" t="str">
        <f>IFERROR(__xludf.DUMMYFUNCTION("""COMPUTED_VALUE"""),"สวนลุมพินี")</f>
        <v>สวนลุมพินี</v>
      </c>
      <c r="J413" s="12">
        <f>IFERROR(__xludf.DUMMYFUNCTION("""COMPUTED_VALUE"""),46012.0)</f>
        <v>46012</v>
      </c>
      <c r="K413" s="3" t="str">
        <f>IFERROR(__xludf.DUMMYFUNCTION("""COMPUTED_VALUE"""),"1300-2100")</f>
        <v>1300-2100</v>
      </c>
      <c r="L413" s="3">
        <f>IFERROR(__xludf.DUMMYFUNCTION("""COMPUTED_VALUE"""),8.0)</f>
        <v>8</v>
      </c>
      <c r="M413" s="3" t="str">
        <f>IFERROR(__xludf.DUMMYFUNCTION("""COMPUTED_VALUE"""),"น.ต.ศักชัย บุญประสิทธิ์")</f>
        <v>น.ต.ศักชัย บุญประสิทธิ์</v>
      </c>
      <c r="N413" s="14" t="str">
        <f>IFERROR(__xludf.DUMMYFUNCTION("""COMPUTED_VALUE"""),"https://lh5.googleusercontent.com/d/1z0IW9_Hopbf5_mTKJF4_-lkcdP9-PAjs")</f>
        <v>https://lh5.googleusercontent.com/d/1z0IW9_Hopbf5_mTKJF4_-lkcdP9-PAjs</v>
      </c>
      <c r="O413" s="14" t="str">
        <f>IFERROR(__xludf.DUMMYFUNCTION("""COMPUTED_VALUE"""),"https://drive.google.com/file/d/1U-hlZL_Dns91JfFhyjOcj1bDzYt6QEVX/view?usp=drivesdk")</f>
        <v>https://drive.google.com/file/d/1U-hlZL_Dns91JfFhyjOcj1bDzYt6QEVX/view?usp=drivesdk</v>
      </c>
    </row>
    <row r="414">
      <c r="A414" s="3">
        <f>IFERROR(__xludf.DUMMYFUNCTION("""COMPUTED_VALUE"""),1951.0)</f>
        <v>1951</v>
      </c>
      <c r="B414" s="11">
        <f>IFERROR(__xludf.DUMMYFUNCTION("""COMPUTED_VALUE"""),46080.504488148144)</f>
        <v>46080.50449</v>
      </c>
      <c r="C414" s="3" t="str">
        <f>IFERROR(__xludf.DUMMYFUNCTION("""COMPUTED_VALUE"""),"ชั้นปีที่ 2")</f>
        <v>ชั้นปีที่ 2</v>
      </c>
      <c r="D414" s="3" t="str">
        <f>IFERROR(__xludf.DUMMYFUNCTION("""COMPUTED_VALUE"""),"999999")</f>
        <v>999999</v>
      </c>
      <c r="E414" s="3" t="str">
        <f>IFERROR(__xludf.DUMMYFUNCTION("""COMPUTED_VALUE"""),"4")</f>
        <v>4</v>
      </c>
      <c r="F414" s="3" t="str">
        <f>IFERROR(__xludf.DUMMYFUNCTION("""COMPUTED_VALUE"""),"5345345t34t543")</f>
        <v>5345345t34t543</v>
      </c>
      <c r="G414" s="3" t="str">
        <f>IFERROR(__xludf.DUMMYFUNCTION("""COMPUTED_VALUE"""),"ช่วยเหลืองานภายใน วพอ.")</f>
        <v>ช่วยเหลืองานภายใน วพอ.</v>
      </c>
      <c r="H414" s="3" t="str">
        <f>IFERROR(__xludf.DUMMYFUNCTION("""COMPUTED_VALUE"""),"345252")</f>
        <v>345252</v>
      </c>
      <c r="I414" s="3" t="str">
        <f>IFERROR(__xludf.DUMMYFUNCTION("""COMPUTED_VALUE"""),"4234")</f>
        <v>4234</v>
      </c>
      <c r="J414" s="12">
        <f>IFERROR(__xludf.DUMMYFUNCTION("""COMPUTED_VALUE"""),46080.0)</f>
        <v>46080</v>
      </c>
      <c r="K414" s="3" t="str">
        <f>IFERROR(__xludf.DUMMYFUNCTION("""COMPUTED_VALUE"""),"1400-2200")</f>
        <v>1400-2200</v>
      </c>
      <c r="L414" s="3">
        <f>IFERROR(__xludf.DUMMYFUNCTION("""COMPUTED_VALUE"""),8.0)</f>
        <v>8</v>
      </c>
      <c r="M414" s="3" t="str">
        <f>IFERROR(__xludf.DUMMYFUNCTION("""COMPUTED_VALUE"""),"น.อ.หญิง ผศ. วัลลภา อันดาราgrdfgsadf")</f>
        <v>น.อ.หญิง ผศ. วัลลภา อันดาราgrdfgsadf</v>
      </c>
      <c r="N414" s="14" t="str">
        <f>IFERROR(__xludf.DUMMYFUNCTION("""COMPUTED_VALUE"""),"https://lh5.googleusercontent.com/d/1vYbQ9owbgXD37XB8F9F6OMO_j_9xwPjv")</f>
        <v>https://lh5.googleusercontent.com/d/1vYbQ9owbgXD37XB8F9F6OMO_j_9xwPjv</v>
      </c>
      <c r="O414" s="14" t="str">
        <f>IFERROR(__xludf.DUMMYFUNCTION("""COMPUTED_VALUE"""),"https://drive.google.com/file/d/1jS6JRwpfclMelDHacP0n-iCMKI9MR6xn/view?usp=drivesdk")</f>
        <v>https://drive.google.com/file/d/1jS6JRwpfclMelDHacP0n-iCMKI9MR6xn/view?usp=drivesdk</v>
      </c>
    </row>
    <row r="415">
      <c r="A415" s="3">
        <f>IFERROR(__xludf.DUMMYFUNCTION("""COMPUTED_VALUE"""),1987.0)</f>
        <v>1987</v>
      </c>
      <c r="B415" s="11">
        <f>IFERROR(__xludf.DUMMYFUNCTION("""COMPUTED_VALUE"""),46150.90970614583)</f>
        <v>46150.90971</v>
      </c>
      <c r="C415" s="3" t="str">
        <f>IFERROR(__xludf.DUMMYFUNCTION("""COMPUTED_VALUE"""),"ชั้นปีที่ 2")</f>
        <v>ชั้นปีที่ 2</v>
      </c>
      <c r="D415" s="3" t="str">
        <f>IFERROR(__xludf.DUMMYFUNCTION("""COMPUTED_VALUE"""),"6703844")</f>
        <v>6703844</v>
      </c>
      <c r="E415" s="3" t="str">
        <f>IFERROR(__xludf.DUMMYFUNCTION("""COMPUTED_VALUE"""),"26")</f>
        <v>26</v>
      </c>
      <c r="F415" s="3" t="str">
        <f>IFERROR(__xludf.DUMMYFUNCTION("""COMPUTED_VALUE"""),"นพอ.นพชกร ทิวแพ")</f>
        <v>นพอ.นพชกร ทิวแพ</v>
      </c>
      <c r="G41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15" s="3" t="str">
        <f>IFERROR(__xludf.DUMMYFUNCTION("""COMPUTED_VALUE"""),"บริจาคเลือด")</f>
        <v>บริจาคเลือด</v>
      </c>
      <c r="I415" s="3" t="str">
        <f>IFERROR(__xludf.DUMMYFUNCTION("""COMPUTED_VALUE"""),"โรงพยาบาลภูมิพลอดุลยเดช")</f>
        <v>โรงพยาบาลภูมิพลอดุลยเดช</v>
      </c>
      <c r="J415" s="12">
        <f>IFERROR(__xludf.DUMMYFUNCTION("""COMPUTED_VALUE"""),46000.0)</f>
        <v>46000</v>
      </c>
      <c r="K415" s="3" t="str">
        <f>IFERROR(__xludf.DUMMYFUNCTION("""COMPUTED_VALUE"""),"1400")</f>
        <v>1400</v>
      </c>
      <c r="L415" s="3">
        <f>IFERROR(__xludf.DUMMYFUNCTION("""COMPUTED_VALUE"""),8.0)</f>
        <v>8</v>
      </c>
      <c r="M41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15" s="14" t="str">
        <f>IFERROR(__xludf.DUMMYFUNCTION("""COMPUTED_VALUE"""),"https://lh5.googleusercontent.com/d/1tcFzLwptO0tPzy5GLlQklkP6N2wTV7-t")</f>
        <v>https://lh5.googleusercontent.com/d/1tcFzLwptO0tPzy5GLlQklkP6N2wTV7-t</v>
      </c>
      <c r="O415" s="14" t="str">
        <f>IFERROR(__xludf.DUMMYFUNCTION("""COMPUTED_VALUE"""),"https://drive.google.com/file/d/1d7IztyruV-PhJiJsUEhNNjI8p3Pr4oTX/view?usp=drivesdk")</f>
        <v>https://drive.google.com/file/d/1d7IztyruV-PhJiJsUEhNNjI8p3Pr4oTX/view?usp=drivesdk</v>
      </c>
    </row>
    <row r="416">
      <c r="A416" s="3">
        <f>IFERROR(__xludf.DUMMYFUNCTION("""COMPUTED_VALUE"""),1989.0)</f>
        <v>1989</v>
      </c>
      <c r="B416" s="11">
        <f>IFERROR(__xludf.DUMMYFUNCTION("""COMPUTED_VALUE"""),46150.91990443286)</f>
        <v>46150.9199</v>
      </c>
      <c r="C416" s="3" t="str">
        <f>IFERROR(__xludf.DUMMYFUNCTION("""COMPUTED_VALUE"""),"ชั้นปีที่ 2")</f>
        <v>ชั้นปีที่ 2</v>
      </c>
      <c r="D416" s="3" t="str">
        <f>IFERROR(__xludf.DUMMYFUNCTION("""COMPUTED_VALUE"""),"6703844")</f>
        <v>6703844</v>
      </c>
      <c r="E416" s="3" t="str">
        <f>IFERROR(__xludf.DUMMYFUNCTION("""COMPUTED_VALUE"""),"26")</f>
        <v>26</v>
      </c>
      <c r="F416" s="3" t="str">
        <f>IFERROR(__xludf.DUMMYFUNCTION("""COMPUTED_VALUE"""),"นพอ.นพชกร ทิวแพ")</f>
        <v>นพอ.นพชกร ทิวแพ</v>
      </c>
      <c r="G4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6" s="3" t="str">
        <f>IFERROR(__xludf.DUMMYFUNCTION("""COMPUTED_VALUE"""),"เข้าร่วมงานวันเด็กแห่งชาติ")</f>
        <v>เข้าร่วมงานวันเด็กแห่งชาติ</v>
      </c>
      <c r="I416" s="3" t="str">
        <f>IFERROR(__xludf.DUMMYFUNCTION("""COMPUTED_VALUE"""),"พิพิธภัณฑ์กองทัพอากาศและการบินแห่งชาติ")</f>
        <v>พิพิธภัณฑ์กองทัพอากาศและการบินแห่งชาติ</v>
      </c>
      <c r="J416" s="12">
        <f>IFERROR(__xludf.DUMMYFUNCTION("""COMPUTED_VALUE"""),46032.0)</f>
        <v>46032</v>
      </c>
      <c r="K416" s="3" t="str">
        <f>IFERROR(__xludf.DUMMYFUNCTION("""COMPUTED_VALUE"""),"0800-1600")</f>
        <v>0800-1600</v>
      </c>
      <c r="L416" s="3">
        <f>IFERROR(__xludf.DUMMYFUNCTION("""COMPUTED_VALUE"""),8.0)</f>
        <v>8</v>
      </c>
      <c r="M416" s="3" t="str">
        <f>IFERROR(__xludf.DUMMYFUNCTION("""COMPUTED_VALUE"""),"น.ต.หญิง ชลินทรา วรรณภักตร์")</f>
        <v>น.ต.หญิง ชลินทรา วรรณภักตร์</v>
      </c>
      <c r="N416" s="14" t="str">
        <f>IFERROR(__xludf.DUMMYFUNCTION("""COMPUTED_VALUE"""),"https://lh5.googleusercontent.com/d/11eXP0_1ziSDzE7krrEqQ_G9VDklXSSGx")</f>
        <v>https://lh5.googleusercontent.com/d/11eXP0_1ziSDzE7krrEqQ_G9VDklXSSGx</v>
      </c>
      <c r="O416" s="14" t="str">
        <f>IFERROR(__xludf.DUMMYFUNCTION("""COMPUTED_VALUE"""),"https://drive.google.com/file/d/1LzAi_uof3y0hGnC6zfGht6PsBZrxbcbJ/view?usp=drivesdk")</f>
        <v>https://drive.google.com/file/d/1LzAi_uof3y0hGnC6zfGht6PsBZrxbcbJ/view?usp=drivesdk</v>
      </c>
    </row>
    <row r="417">
      <c r="A417" s="3">
        <f>IFERROR(__xludf.DUMMYFUNCTION("""COMPUTED_VALUE"""),1990.0)</f>
        <v>1990</v>
      </c>
      <c r="B417" s="11">
        <f>IFERROR(__xludf.DUMMYFUNCTION("""COMPUTED_VALUE"""),46151.932104490734)</f>
        <v>46151.9321</v>
      </c>
      <c r="C417" s="3" t="str">
        <f>IFERROR(__xludf.DUMMYFUNCTION("""COMPUTED_VALUE"""),"ชั้นปีที่ 2")</f>
        <v>ชั้นปีที่ 2</v>
      </c>
      <c r="D417" s="3" t="str">
        <f>IFERROR(__xludf.DUMMYFUNCTION("""COMPUTED_VALUE"""),"6703852")</f>
        <v>6703852</v>
      </c>
      <c r="E417" s="3" t="str">
        <f>IFERROR(__xludf.DUMMYFUNCTION("""COMPUTED_VALUE"""),"33")</f>
        <v>33</v>
      </c>
      <c r="F417" s="3" t="str">
        <f>IFERROR(__xludf.DUMMYFUNCTION("""COMPUTED_VALUE"""),"นพอ.ปุณยาพร เสือสมิง")</f>
        <v>นพอ.ปุณยาพร เสือสมิง</v>
      </c>
      <c r="G4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7" s="3" t="str">
        <f>IFERROR(__xludf.DUMMYFUNCTION("""COMPUTED_VALUE"""),"เข้าร่วมกิจกรรมวันเด็กแห่งชาติ ")</f>
        <v>เข้าร่วมกิจกรรมวันเด็กแห่งชาติ </v>
      </c>
      <c r="I417" s="3" t="str">
        <f>IFERROR(__xludf.DUMMYFUNCTION("""COMPUTED_VALUE"""),"โรงเรียนการบิน กำแพงแสน")</f>
        <v>โรงเรียนการบิน กำแพงแสน</v>
      </c>
      <c r="J417" s="12">
        <f>IFERROR(__xludf.DUMMYFUNCTION("""COMPUTED_VALUE"""),46032.0)</f>
        <v>46032</v>
      </c>
      <c r="K417" s="3" t="str">
        <f>IFERROR(__xludf.DUMMYFUNCTION("""COMPUTED_VALUE"""),"0600-1400")</f>
        <v>0600-1400</v>
      </c>
      <c r="L417" s="3">
        <f>IFERROR(__xludf.DUMMYFUNCTION("""COMPUTED_VALUE"""),8.0)</f>
        <v>8</v>
      </c>
      <c r="M41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17" s="14" t="str">
        <f>IFERROR(__xludf.DUMMYFUNCTION("""COMPUTED_VALUE"""),"https://lh5.googleusercontent.com/d/1BwHlj-TkMH3OQgx4JC-GQMw3JQeRKPa6")</f>
        <v>https://lh5.googleusercontent.com/d/1BwHlj-TkMH3OQgx4JC-GQMw3JQeRKPa6</v>
      </c>
      <c r="O417" s="14" t="str">
        <f>IFERROR(__xludf.DUMMYFUNCTION("""COMPUTED_VALUE"""),"https://drive.google.com/file/d/12_DgCGuFfoES78VixZLYh4Cc9WpOhZo2/view?usp=drivesdk")</f>
        <v>https://drive.google.com/file/d/12_DgCGuFfoES78VixZLYh4Cc9WpOhZo2/view?usp=drivesdk</v>
      </c>
    </row>
    <row r="418">
      <c r="A418" s="3">
        <f>IFERROR(__xludf.DUMMYFUNCTION("""COMPUTED_VALUE"""),2030.0)</f>
        <v>2030</v>
      </c>
      <c r="B418" s="11">
        <f>IFERROR(__xludf.DUMMYFUNCTION("""COMPUTED_VALUE"""),46153.4010693287)</f>
        <v>46153.40107</v>
      </c>
      <c r="C418" s="3" t="str">
        <f>IFERROR(__xludf.DUMMYFUNCTION("""COMPUTED_VALUE"""),"ชั้นปีที่ 2")</f>
        <v>ชั้นปีที่ 2</v>
      </c>
      <c r="D418" s="3" t="str">
        <f>IFERROR(__xludf.DUMMYFUNCTION("""COMPUTED_VALUE"""),"6703854")</f>
        <v>6703854</v>
      </c>
      <c r="E418" s="3" t="str">
        <f>IFERROR(__xludf.DUMMYFUNCTION("""COMPUTED_VALUE"""),"35")</f>
        <v>35</v>
      </c>
      <c r="F418" s="3" t="str">
        <f>IFERROR(__xludf.DUMMYFUNCTION("""COMPUTED_VALUE"""),"นพอ.พชรพร เพ็งภัตรา")</f>
        <v>นพอ.พชรพร เพ็งภัตรา</v>
      </c>
      <c r="G4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8" s="3" t="str">
        <f>IFERROR(__xludf.DUMMYFUNCTION("""COMPUTED_VALUE"""),"ดข้าร่วมงานวันเด็กแห่งชาติ")</f>
        <v>ดข้าร่วมงานวันเด็กแห่งชาติ</v>
      </c>
      <c r="I418" s="3" t="str">
        <f>IFERROR(__xludf.DUMMYFUNCTION("""COMPUTED_VALUE"""),"กองบัญชาการกองทัพไทย")</f>
        <v>กองบัญชาการกองทัพไทย</v>
      </c>
      <c r="J418" s="12">
        <f>IFERROR(__xludf.DUMMYFUNCTION("""COMPUTED_VALUE"""),46032.0)</f>
        <v>46032</v>
      </c>
      <c r="K418" s="3" t="str">
        <f>IFERROR(__xludf.DUMMYFUNCTION("""COMPUTED_VALUE"""),"0600-1400")</f>
        <v>0600-1400</v>
      </c>
      <c r="L418" s="3">
        <f>IFERROR(__xludf.DUMMYFUNCTION("""COMPUTED_VALUE"""),8.0)</f>
        <v>8</v>
      </c>
      <c r="M418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18" s="14" t="str">
        <f>IFERROR(__xludf.DUMMYFUNCTION("""COMPUTED_VALUE"""),"https://lh5.googleusercontent.com/d/18YjlTQRqCBAyXTv8pJwq36F-yMs9U6bd")</f>
        <v>https://lh5.googleusercontent.com/d/18YjlTQRqCBAyXTv8pJwq36F-yMs9U6bd</v>
      </c>
      <c r="O418" s="14" t="str">
        <f>IFERROR(__xludf.DUMMYFUNCTION("""COMPUTED_VALUE"""),"https://drive.google.com/file/d/1nuRngOLbGCHGpb5asomW4DCiWBu0tWGr/view?usp=drivesdk")</f>
        <v>https://drive.google.com/file/d/1nuRngOLbGCHGpb5asomW4DCiWBu0tWGr/view?usp=drivesdk</v>
      </c>
    </row>
    <row r="419">
      <c r="A419" s="3">
        <f>IFERROR(__xludf.DUMMYFUNCTION("""COMPUTED_VALUE"""),2031.0)</f>
        <v>2031</v>
      </c>
      <c r="B419" s="11">
        <f>IFERROR(__xludf.DUMMYFUNCTION("""COMPUTED_VALUE"""),46153.402722824074)</f>
        <v>46153.40272</v>
      </c>
      <c r="C419" s="3" t="str">
        <f>IFERROR(__xludf.DUMMYFUNCTION("""COMPUTED_VALUE"""),"ชั้นปีที่ 2")</f>
        <v>ชั้นปีที่ 2</v>
      </c>
      <c r="D419" s="3" t="str">
        <f>IFERROR(__xludf.DUMMYFUNCTION("""COMPUTED_VALUE"""),"6703870")</f>
        <v>6703870</v>
      </c>
      <c r="E419" s="3" t="str">
        <f>IFERROR(__xludf.DUMMYFUNCTION("""COMPUTED_VALUE"""),"51")</f>
        <v>51</v>
      </c>
      <c r="F419" s="3" t="str">
        <f>IFERROR(__xludf.DUMMYFUNCTION("""COMPUTED_VALUE"""),"นพอ.วิมลสิริ สิงห์ธนะ")</f>
        <v>นพอ.วิมลสิริ สิงห์ธนะ</v>
      </c>
      <c r="G419" s="3" t="str">
        <f>IFERROR(__xludf.DUMMYFUNCTION("""COMPUTED_VALUE"""),"ช่วยเหลืองานภายใน วพอ.")</f>
        <v>ช่วยเหลืองานภายใน วพอ.</v>
      </c>
      <c r="H41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19" s="3" t="str">
        <f>IFERROR(__xludf.DUMMYFUNCTION("""COMPUTED_VALUE"""),"วพอ.พอ.")</f>
        <v>วพอ.พอ.</v>
      </c>
      <c r="J419" s="12">
        <f>IFERROR(__xludf.DUMMYFUNCTION("""COMPUTED_VALUE"""),46133.0)</f>
        <v>46133</v>
      </c>
      <c r="K419" s="3" t="str">
        <f>IFERROR(__xludf.DUMMYFUNCTION("""COMPUTED_VALUE"""),"1700-2100")</f>
        <v>1700-2100</v>
      </c>
      <c r="L419" s="3">
        <f>IFERROR(__xludf.DUMMYFUNCTION("""COMPUTED_VALUE"""),4.0)</f>
        <v>4</v>
      </c>
      <c r="M419" s="3" t="str">
        <f>IFERROR(__xludf.DUMMYFUNCTION("""COMPUTED_VALUE"""),"ร.อ.อนุชิต ทำจะดี")</f>
        <v>ร.อ.อนุชิต ทำจะดี</v>
      </c>
      <c r="N419" s="14" t="str">
        <f>IFERROR(__xludf.DUMMYFUNCTION("""COMPUTED_VALUE"""),"https://lh5.googleusercontent.com/d/1Ui6VAwcP2LhRWSaWWGbibEEh0rxUXOPW")</f>
        <v>https://lh5.googleusercontent.com/d/1Ui6VAwcP2LhRWSaWWGbibEEh0rxUXOPW</v>
      </c>
      <c r="O419" s="14" t="str">
        <f>IFERROR(__xludf.DUMMYFUNCTION("""COMPUTED_VALUE"""),"https://drive.google.com/file/d/1bh2DuCZDwP4YAiuXhvU2JzBU8oSy5VnM/view?usp=drivesdk")</f>
        <v>https://drive.google.com/file/d/1bh2DuCZDwP4YAiuXhvU2JzBU8oSy5VnM/view?usp=drivesdk</v>
      </c>
    </row>
    <row r="420">
      <c r="A420" s="3">
        <f>IFERROR(__xludf.DUMMYFUNCTION("""COMPUTED_VALUE"""),2032.0)</f>
        <v>2032</v>
      </c>
      <c r="B420" s="11">
        <f>IFERROR(__xludf.DUMMYFUNCTION("""COMPUTED_VALUE"""),46153.40521923611)</f>
        <v>46153.40522</v>
      </c>
      <c r="C420" s="3" t="str">
        <f>IFERROR(__xludf.DUMMYFUNCTION("""COMPUTED_VALUE"""),"ชั้นปีที่ 2")</f>
        <v>ชั้นปีที่ 2</v>
      </c>
      <c r="D420" s="3" t="str">
        <f>IFERROR(__xludf.DUMMYFUNCTION("""COMPUTED_VALUE"""),"6703878")</f>
        <v>6703878</v>
      </c>
      <c r="E420" s="3" t="str">
        <f>IFERROR(__xludf.DUMMYFUNCTION("""COMPUTED_VALUE"""),"58")</f>
        <v>58</v>
      </c>
      <c r="F420" s="3" t="str">
        <f>IFERROR(__xludf.DUMMYFUNCTION("""COMPUTED_VALUE"""),"นพอ.สุชาสินี ป้อมพยัคฆ์")</f>
        <v>นพอ.สุชาสินี ป้อมพยัคฆ์</v>
      </c>
      <c r="G42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0" s="3" t="str">
        <f>IFERROR(__xludf.DUMMYFUNCTION("""COMPUTED_VALUE"""),"เข้าร่วมงานวันเด็กแห่งชาติ")</f>
        <v>เข้าร่วมงานวันเด็กแห่งชาติ</v>
      </c>
      <c r="I420" s="3" t="str">
        <f>IFERROR(__xludf.DUMMYFUNCTION("""COMPUTED_VALUE"""),"กองบัญชาการกองทัพไทย")</f>
        <v>กองบัญชาการกองทัพไทย</v>
      </c>
      <c r="J420" s="12">
        <f>IFERROR(__xludf.DUMMYFUNCTION("""COMPUTED_VALUE"""),46032.0)</f>
        <v>46032</v>
      </c>
      <c r="K420" s="3" t="str">
        <f>IFERROR(__xludf.DUMMYFUNCTION("""COMPUTED_VALUE"""),"0600-1400")</f>
        <v>0600-1400</v>
      </c>
      <c r="L420" s="3">
        <f>IFERROR(__xludf.DUMMYFUNCTION("""COMPUTED_VALUE"""),8.0)</f>
        <v>8</v>
      </c>
      <c r="M42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0" s="14" t="str">
        <f>IFERROR(__xludf.DUMMYFUNCTION("""COMPUTED_VALUE"""),"https://lh5.googleusercontent.com/d/1rX45hi-ztvfMR8C5KMQGa09d-tb9qWqB")</f>
        <v>https://lh5.googleusercontent.com/d/1rX45hi-ztvfMR8C5KMQGa09d-tb9qWqB</v>
      </c>
      <c r="O420" s="14" t="str">
        <f>IFERROR(__xludf.DUMMYFUNCTION("""COMPUTED_VALUE"""),"https://drive.google.com/file/d/1oHh3TRBC8jejdQt683Oo872HgWuxJc58/view?usp=drivesdk")</f>
        <v>https://drive.google.com/file/d/1oHh3TRBC8jejdQt683Oo872HgWuxJc58/view?usp=drivesdk</v>
      </c>
    </row>
    <row r="421">
      <c r="A421" s="3">
        <f>IFERROR(__xludf.DUMMYFUNCTION("""COMPUTED_VALUE"""),2033.0)</f>
        <v>2033</v>
      </c>
      <c r="B421" s="11">
        <f>IFERROR(__xludf.DUMMYFUNCTION("""COMPUTED_VALUE"""),46153.405669479165)</f>
        <v>46153.40567</v>
      </c>
      <c r="C421" s="3" t="str">
        <f>IFERROR(__xludf.DUMMYFUNCTION("""COMPUTED_VALUE"""),"ชั้นปีที่ 2")</f>
        <v>ชั้นปีที่ 2</v>
      </c>
      <c r="D421" s="3" t="str">
        <f>IFERROR(__xludf.DUMMYFUNCTION("""COMPUTED_VALUE"""),"6703868")</f>
        <v>6703868</v>
      </c>
      <c r="E421" s="3" t="str">
        <f>IFERROR(__xludf.DUMMYFUNCTION("""COMPUTED_VALUE"""),"49")</f>
        <v>49</v>
      </c>
      <c r="F421" s="3" t="str">
        <f>IFERROR(__xludf.DUMMYFUNCTION("""COMPUTED_VALUE"""),"นพอ.วราภรณ์ กาสี")</f>
        <v>นพอ.วราภรณ์ กาสี</v>
      </c>
      <c r="G421" s="3" t="str">
        <f>IFERROR(__xludf.DUMMYFUNCTION("""COMPUTED_VALUE"""),"ช่วยเหลืองานภายใน วพอ.")</f>
        <v>ช่วยเหลืองานภายใน วพอ.</v>
      </c>
      <c r="H42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1" s="3" t="str">
        <f>IFERROR(__xludf.DUMMYFUNCTION("""COMPUTED_VALUE"""),"วพอ.พอ")</f>
        <v>วพอ.พอ</v>
      </c>
      <c r="J421" s="12">
        <f>IFERROR(__xludf.DUMMYFUNCTION("""COMPUTED_VALUE"""),46133.0)</f>
        <v>46133</v>
      </c>
      <c r="K421" s="3" t="str">
        <f>IFERROR(__xludf.DUMMYFUNCTION("""COMPUTED_VALUE"""),"1700-2100")</f>
        <v>1700-2100</v>
      </c>
      <c r="L421" s="3">
        <f>IFERROR(__xludf.DUMMYFUNCTION("""COMPUTED_VALUE"""),4.0)</f>
        <v>4</v>
      </c>
      <c r="M421" s="3" t="str">
        <f>IFERROR(__xludf.DUMMYFUNCTION("""COMPUTED_VALUE"""),"ร.อ.อนุชิต ทำจะดี")</f>
        <v>ร.อ.อนุชิต ทำจะดี</v>
      </c>
      <c r="N421" s="14" t="str">
        <f>IFERROR(__xludf.DUMMYFUNCTION("""COMPUTED_VALUE"""),"https://lh5.googleusercontent.com/d/1CEaKIQfxjSTFO1_GGZD_UagSTp8V3CZb")</f>
        <v>https://lh5.googleusercontent.com/d/1CEaKIQfxjSTFO1_GGZD_UagSTp8V3CZb</v>
      </c>
      <c r="O421" s="14" t="str">
        <f>IFERROR(__xludf.DUMMYFUNCTION("""COMPUTED_VALUE"""),"https://drive.google.com/file/d/16ZKmannryhSOD4oibwbJqG4t7s3zxw9R/view?usp=drivesdk")</f>
        <v>https://drive.google.com/file/d/16ZKmannryhSOD4oibwbJqG4t7s3zxw9R/view?usp=drivesdk</v>
      </c>
    </row>
    <row r="422">
      <c r="A422" s="3">
        <f>IFERROR(__xludf.DUMMYFUNCTION("""COMPUTED_VALUE"""),2034.0)</f>
        <v>2034</v>
      </c>
      <c r="B422" s="11">
        <f>IFERROR(__xludf.DUMMYFUNCTION("""COMPUTED_VALUE"""),46153.406916597225)</f>
        <v>46153.40692</v>
      </c>
      <c r="C422" s="3" t="str">
        <f>IFERROR(__xludf.DUMMYFUNCTION("""COMPUTED_VALUE"""),"ชั้นปีที่ 2")</f>
        <v>ชั้นปีที่ 2</v>
      </c>
      <c r="D422" s="3" t="str">
        <f>IFERROR(__xludf.DUMMYFUNCTION("""COMPUTED_VALUE"""),"6703875")</f>
        <v>6703875</v>
      </c>
      <c r="E422" s="3" t="str">
        <f>IFERROR(__xludf.DUMMYFUNCTION("""COMPUTED_VALUE"""),"55")</f>
        <v>55</v>
      </c>
      <c r="F422" s="3" t="str">
        <f>IFERROR(__xludf.DUMMYFUNCTION("""COMPUTED_VALUE"""),"นพอ.สิริณัฏฐ์ บรรจงพินิจ")</f>
        <v>นพอ.สิริณัฏฐ์ บรรจงพินิจ</v>
      </c>
      <c r="G422" s="3" t="str">
        <f>IFERROR(__xludf.DUMMYFUNCTION("""COMPUTED_VALUE"""),"ช่วยเหลืองานภายใน วพอ.")</f>
        <v>ช่วยเหลืองานภายใน วพอ.</v>
      </c>
      <c r="H42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2" s="3" t="str">
        <f>IFERROR(__xludf.DUMMYFUNCTION("""COMPUTED_VALUE"""),"วพอ.พอ")</f>
        <v>วพอ.พอ</v>
      </c>
      <c r="J422" s="12">
        <f>IFERROR(__xludf.DUMMYFUNCTION("""COMPUTED_VALUE"""),46133.0)</f>
        <v>46133</v>
      </c>
      <c r="K422" s="3" t="str">
        <f>IFERROR(__xludf.DUMMYFUNCTION("""COMPUTED_VALUE"""),"1700-2100")</f>
        <v>1700-2100</v>
      </c>
      <c r="L422" s="3">
        <f>IFERROR(__xludf.DUMMYFUNCTION("""COMPUTED_VALUE"""),4.0)</f>
        <v>4</v>
      </c>
      <c r="M422" s="3" t="str">
        <f>IFERROR(__xludf.DUMMYFUNCTION("""COMPUTED_VALUE"""),"ร.อ.อนุชิต ทำจะดี")</f>
        <v>ร.อ.อนุชิต ทำจะดี</v>
      </c>
      <c r="N422" s="14" t="str">
        <f>IFERROR(__xludf.DUMMYFUNCTION("""COMPUTED_VALUE"""),"https://lh5.googleusercontent.com/d/1rpYgeWJSkKuvJ72Ug9vWvxJ7fHxyQAtG")</f>
        <v>https://lh5.googleusercontent.com/d/1rpYgeWJSkKuvJ72Ug9vWvxJ7fHxyQAtG</v>
      </c>
      <c r="O422" s="14" t="str">
        <f>IFERROR(__xludf.DUMMYFUNCTION("""COMPUTED_VALUE"""),"https://drive.google.com/file/d/11psHnZfZnoGyLx7uvW_JG1pNHMYI9hXK/view?usp=drivesdk")</f>
        <v>https://drive.google.com/file/d/11psHnZfZnoGyLx7uvW_JG1pNHMYI9hXK/view?usp=drivesdk</v>
      </c>
    </row>
    <row r="423">
      <c r="A423" s="3">
        <f>IFERROR(__xludf.DUMMYFUNCTION("""COMPUTED_VALUE"""),2035.0)</f>
        <v>2035</v>
      </c>
      <c r="B423" s="11">
        <f>IFERROR(__xludf.DUMMYFUNCTION("""COMPUTED_VALUE"""),46153.40695476852)</f>
        <v>46153.40695</v>
      </c>
      <c r="C423" s="3" t="str">
        <f>IFERROR(__xludf.DUMMYFUNCTION("""COMPUTED_VALUE"""),"ชั้นปีที่ 2")</f>
        <v>ชั้นปีที่ 2</v>
      </c>
      <c r="D423" s="3" t="str">
        <f>IFERROR(__xludf.DUMMYFUNCTION("""COMPUTED_VALUE"""),"6703870")</f>
        <v>6703870</v>
      </c>
      <c r="E423" s="3" t="str">
        <f>IFERROR(__xludf.DUMMYFUNCTION("""COMPUTED_VALUE"""),"51")</f>
        <v>51</v>
      </c>
      <c r="F423" s="3" t="str">
        <f>IFERROR(__xludf.DUMMYFUNCTION("""COMPUTED_VALUE"""),"นพอ.วิมลสิริ สิงห์ธนะ")</f>
        <v>นพอ.วิมลสิริ สิงห์ธนะ</v>
      </c>
      <c r="G423" s="3" t="str">
        <f>IFERROR(__xludf.DUMMYFUNCTION("""COMPUTED_VALUE"""),"ช่วยเหลืองานภายใน วพอ.")</f>
        <v>ช่วยเหลืองานภายใน วพอ.</v>
      </c>
      <c r="H42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3" s="3" t="str">
        <f>IFERROR(__xludf.DUMMYFUNCTION("""COMPUTED_VALUE"""),"วพอ.พอ.")</f>
        <v>วพอ.พอ.</v>
      </c>
      <c r="J423" s="12">
        <f>IFERROR(__xludf.DUMMYFUNCTION("""COMPUTED_VALUE"""),46134.0)</f>
        <v>46134</v>
      </c>
      <c r="K423" s="3" t="str">
        <f>IFERROR(__xludf.DUMMYFUNCTION("""COMPUTED_VALUE"""),"1700-2100")</f>
        <v>1700-2100</v>
      </c>
      <c r="L423" s="3">
        <f>IFERROR(__xludf.DUMMYFUNCTION("""COMPUTED_VALUE"""),4.0)</f>
        <v>4</v>
      </c>
      <c r="M423" s="3" t="str">
        <f>IFERROR(__xludf.DUMMYFUNCTION("""COMPUTED_VALUE"""),"ร.อ.อนุชิต ทำจะดี")</f>
        <v>ร.อ.อนุชิต ทำจะดี</v>
      </c>
      <c r="N423" s="14" t="str">
        <f>IFERROR(__xludf.DUMMYFUNCTION("""COMPUTED_VALUE"""),"https://lh5.googleusercontent.com/d/1lKby0ehrVbHsQC-ZMCwmnM_j7z44LhFj")</f>
        <v>https://lh5.googleusercontent.com/d/1lKby0ehrVbHsQC-ZMCwmnM_j7z44LhFj</v>
      </c>
      <c r="O423" s="14" t="str">
        <f>IFERROR(__xludf.DUMMYFUNCTION("""COMPUTED_VALUE"""),"https://drive.google.com/file/d/1edrJLBipNXFLkr0Cu4SMU2X-mKg0xTUh/view?usp=drivesdk")</f>
        <v>https://drive.google.com/file/d/1edrJLBipNXFLkr0Cu4SMU2X-mKg0xTUh/view?usp=drivesdk</v>
      </c>
    </row>
    <row r="424">
      <c r="A424" s="3">
        <f>IFERROR(__xludf.DUMMYFUNCTION("""COMPUTED_VALUE"""),2036.0)</f>
        <v>2036</v>
      </c>
      <c r="B424" s="11">
        <f>IFERROR(__xludf.DUMMYFUNCTION("""COMPUTED_VALUE"""),46153.406971689816)</f>
        <v>46153.40697</v>
      </c>
      <c r="C424" s="3" t="str">
        <f>IFERROR(__xludf.DUMMYFUNCTION("""COMPUTED_VALUE"""),"ชั้นปีที่ 2")</f>
        <v>ชั้นปีที่ 2</v>
      </c>
      <c r="D424" s="3" t="str">
        <f>IFERROR(__xludf.DUMMYFUNCTION("""COMPUTED_VALUE"""),"6703837")</f>
        <v>6703837</v>
      </c>
      <c r="E424" s="3" t="str">
        <f>IFERROR(__xludf.DUMMYFUNCTION("""COMPUTED_VALUE"""),"20")</f>
        <v>20</v>
      </c>
      <c r="F424" s="3" t="str">
        <f>IFERROR(__xludf.DUMMYFUNCTION("""COMPUTED_VALUE"""),"นพอ.ณัฐธิดา เอียดดำ")</f>
        <v>นพอ.ณัฐธิดา เอียดดำ</v>
      </c>
      <c r="G42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4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24" s="3" t="str">
        <f>IFERROR(__xludf.DUMMYFUNCTION("""COMPUTED_VALUE"""),"กองบิน 6")</f>
        <v>กองบิน 6</v>
      </c>
      <c r="J424" s="12">
        <f>IFERROR(__xludf.DUMMYFUNCTION("""COMPUTED_VALUE"""),46032.0)</f>
        <v>46032</v>
      </c>
      <c r="K424" s="3" t="str">
        <f>IFERROR(__xludf.DUMMYFUNCTION("""COMPUTED_VALUE"""),"0600-1400")</f>
        <v>0600-1400</v>
      </c>
      <c r="L424" s="3">
        <f>IFERROR(__xludf.DUMMYFUNCTION("""COMPUTED_VALUE"""),8.0)</f>
        <v>8</v>
      </c>
      <c r="M42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4" s="14" t="str">
        <f>IFERROR(__xludf.DUMMYFUNCTION("""COMPUTED_VALUE"""),"https://lh5.googleusercontent.com/d/1NB1jMLmOYNMKNqr10MbebOI3CGwuT6RB")</f>
        <v>https://lh5.googleusercontent.com/d/1NB1jMLmOYNMKNqr10MbebOI3CGwuT6RB</v>
      </c>
      <c r="O424" s="14" t="str">
        <f>IFERROR(__xludf.DUMMYFUNCTION("""COMPUTED_VALUE"""),"https://drive.google.com/file/d/18KEsK7LZzj9uu2e9W8YC_7Bnwx-UNdBu/view?usp=drivesdk")</f>
        <v>https://drive.google.com/file/d/18KEsK7LZzj9uu2e9W8YC_7Bnwx-UNdBu/view?usp=drivesdk</v>
      </c>
    </row>
    <row r="425">
      <c r="A425" s="3">
        <f>IFERROR(__xludf.DUMMYFUNCTION("""COMPUTED_VALUE"""),2037.0)</f>
        <v>2037</v>
      </c>
      <c r="B425" s="11">
        <f>IFERROR(__xludf.DUMMYFUNCTION("""COMPUTED_VALUE"""),46153.40715009259)</f>
        <v>46153.40715</v>
      </c>
      <c r="C425" s="3" t="str">
        <f>IFERROR(__xludf.DUMMYFUNCTION("""COMPUTED_VALUE"""),"ชั้นปีที่ 2")</f>
        <v>ชั้นปีที่ 2</v>
      </c>
      <c r="D425" s="3" t="str">
        <f>IFERROR(__xludf.DUMMYFUNCTION("""COMPUTED_VALUE"""),"6703856")</f>
        <v>6703856</v>
      </c>
      <c r="E425" s="3" t="str">
        <f>IFERROR(__xludf.DUMMYFUNCTION("""COMPUTED_VALUE"""),"37")</f>
        <v>37</v>
      </c>
      <c r="F425" s="3" t="str">
        <f>IFERROR(__xludf.DUMMYFUNCTION("""COMPUTED_VALUE"""),"นพอ.พรรณรายณ์ เย็นประเสริฐ")</f>
        <v>นพอ.พรรณรายณ์ เย็นประเสริฐ</v>
      </c>
      <c r="G425" s="3" t="str">
        <f>IFERROR(__xludf.DUMMYFUNCTION("""COMPUTED_VALUE"""),"ช่วยเหลืองานภายใน วพอ.")</f>
        <v>ช่วยเหลืองานภายใน วพอ.</v>
      </c>
      <c r="H42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5" s="3" t="str">
        <f>IFERROR(__xludf.DUMMYFUNCTION("""COMPUTED_VALUE"""),"วพอ.พอ.")</f>
        <v>วพอ.พอ.</v>
      </c>
      <c r="J425" s="12">
        <f>IFERROR(__xludf.DUMMYFUNCTION("""COMPUTED_VALUE"""),46133.0)</f>
        <v>46133</v>
      </c>
      <c r="K425" s="3" t="str">
        <f>IFERROR(__xludf.DUMMYFUNCTION("""COMPUTED_VALUE"""),"1700-2100")</f>
        <v>1700-2100</v>
      </c>
      <c r="L425" s="3">
        <f>IFERROR(__xludf.DUMMYFUNCTION("""COMPUTED_VALUE"""),4.0)</f>
        <v>4</v>
      </c>
      <c r="M425" s="3" t="str">
        <f>IFERROR(__xludf.DUMMYFUNCTION("""COMPUTED_VALUE"""),"ร.อ.อนุชิต ทำจะดี")</f>
        <v>ร.อ.อนุชิต ทำจะดี</v>
      </c>
      <c r="N425" s="14" t="str">
        <f>IFERROR(__xludf.DUMMYFUNCTION("""COMPUTED_VALUE"""),"https://lh5.googleusercontent.com/d/1sB3VmT_hDYBPFVKjVXF1fSP9_LV1VcZ4")</f>
        <v>https://lh5.googleusercontent.com/d/1sB3VmT_hDYBPFVKjVXF1fSP9_LV1VcZ4</v>
      </c>
      <c r="O425" s="14" t="str">
        <f>IFERROR(__xludf.DUMMYFUNCTION("""COMPUTED_VALUE"""),"https://drive.google.com/file/d/1Pt7ytzR5FbIj6LtQPNWtflkMCOO_KBjO/view?usp=drivesdk")</f>
        <v>https://drive.google.com/file/d/1Pt7ytzR5FbIj6LtQPNWtflkMCOO_KBjO/view?usp=drivesdk</v>
      </c>
    </row>
    <row r="426">
      <c r="A426" s="3">
        <f>IFERROR(__xludf.DUMMYFUNCTION("""COMPUTED_VALUE"""),2038.0)</f>
        <v>2038</v>
      </c>
      <c r="B426" s="11">
        <f>IFERROR(__xludf.DUMMYFUNCTION("""COMPUTED_VALUE"""),46153.40732341435)</f>
        <v>46153.40732</v>
      </c>
      <c r="C426" s="3" t="str">
        <f>IFERROR(__xludf.DUMMYFUNCTION("""COMPUTED_VALUE"""),"ชั้นปีที่ 2")</f>
        <v>ชั้นปีที่ 2</v>
      </c>
      <c r="D426" s="3" t="str">
        <f>IFERROR(__xludf.DUMMYFUNCTION("""COMPUTED_VALUE"""),"6703824")</f>
        <v>6703824</v>
      </c>
      <c r="E426" s="3" t="str">
        <f>IFERROR(__xludf.DUMMYFUNCTION("""COMPUTED_VALUE"""),"7")</f>
        <v>7</v>
      </c>
      <c r="F426" s="3" t="str">
        <f>IFERROR(__xludf.DUMMYFUNCTION("""COMPUTED_VALUE"""),"นพอ.จินต์จุฑา จงประเสริฐ")</f>
        <v>นพอ.จินต์จุฑา จงประเสริฐ</v>
      </c>
      <c r="G426" s="3" t="str">
        <f>IFERROR(__xludf.DUMMYFUNCTION("""COMPUTED_VALUE"""),"ช่วยเหลืองานภายใน วพอ.")</f>
        <v>ช่วยเหลืองานภายใน วพอ.</v>
      </c>
      <c r="H42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6" s="3" t="str">
        <f>IFERROR(__xludf.DUMMYFUNCTION("""COMPUTED_VALUE"""),"วพอ.พอ.")</f>
        <v>วพอ.พอ.</v>
      </c>
      <c r="J426" s="12">
        <f>IFERROR(__xludf.DUMMYFUNCTION("""COMPUTED_VALUE"""),46133.0)</f>
        <v>46133</v>
      </c>
      <c r="K426" s="3" t="str">
        <f>IFERROR(__xludf.DUMMYFUNCTION("""COMPUTED_VALUE"""),"1700-2100")</f>
        <v>1700-2100</v>
      </c>
      <c r="L426" s="3">
        <f>IFERROR(__xludf.DUMMYFUNCTION("""COMPUTED_VALUE"""),4.0)</f>
        <v>4</v>
      </c>
      <c r="M426" s="3" t="str">
        <f>IFERROR(__xludf.DUMMYFUNCTION("""COMPUTED_VALUE"""),"ร.อ.อนุชิต ทำจะดี")</f>
        <v>ร.อ.อนุชิต ทำจะดี</v>
      </c>
      <c r="N426" s="14" t="str">
        <f>IFERROR(__xludf.DUMMYFUNCTION("""COMPUTED_VALUE"""),"https://lh5.googleusercontent.com/d/16QiHb9Pvt7apRU-ySXB7faW7_Znp_7Oi")</f>
        <v>https://lh5.googleusercontent.com/d/16QiHb9Pvt7apRU-ySXB7faW7_Znp_7Oi</v>
      </c>
      <c r="O426" s="14" t="str">
        <f>IFERROR(__xludf.DUMMYFUNCTION("""COMPUTED_VALUE"""),"https://drive.google.com/file/d/12z8HyfvZMv8pO0rO9m7Djv2b4VjLZZzI/view?usp=drivesdk")</f>
        <v>https://drive.google.com/file/d/12z8HyfvZMv8pO0rO9m7Djv2b4VjLZZzI/view?usp=drivesdk</v>
      </c>
    </row>
    <row r="427">
      <c r="A427" s="3">
        <f>IFERROR(__xludf.DUMMYFUNCTION("""COMPUTED_VALUE"""),2039.0)</f>
        <v>2039</v>
      </c>
      <c r="B427" s="11">
        <f>IFERROR(__xludf.DUMMYFUNCTION("""COMPUTED_VALUE"""),46153.40782262732)</f>
        <v>46153.40782</v>
      </c>
      <c r="C427" s="3" t="str">
        <f>IFERROR(__xludf.DUMMYFUNCTION("""COMPUTED_VALUE"""),"ชั้นปีที่ 2")</f>
        <v>ชั้นปีที่ 2</v>
      </c>
      <c r="D427" s="3" t="str">
        <f>IFERROR(__xludf.DUMMYFUNCTION("""COMPUTED_VALUE"""),"6703875")</f>
        <v>6703875</v>
      </c>
      <c r="E427" s="3" t="str">
        <f>IFERROR(__xludf.DUMMYFUNCTION("""COMPUTED_VALUE"""),"55")</f>
        <v>55</v>
      </c>
      <c r="F427" s="3" t="str">
        <f>IFERROR(__xludf.DUMMYFUNCTION("""COMPUTED_VALUE"""),"นพอ.สิริณัฏฐ์ บรรจงพินิจ")</f>
        <v>นพอ.สิริณัฏฐ์ บรรจงพินิจ</v>
      </c>
      <c r="G427" s="3" t="str">
        <f>IFERROR(__xludf.DUMMYFUNCTION("""COMPUTED_VALUE"""),"ช่วยเหลืองานภายใน วพอ.")</f>
        <v>ช่วยเหลืองานภายใน วพอ.</v>
      </c>
      <c r="H42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7" s="3" t="str">
        <f>IFERROR(__xludf.DUMMYFUNCTION("""COMPUTED_VALUE"""),"วพอ.พอ")</f>
        <v>วพอ.พอ</v>
      </c>
      <c r="J427" s="12">
        <f>IFERROR(__xludf.DUMMYFUNCTION("""COMPUTED_VALUE"""),46134.0)</f>
        <v>46134</v>
      </c>
      <c r="K427" s="3" t="str">
        <f>IFERROR(__xludf.DUMMYFUNCTION("""COMPUTED_VALUE"""),"1700-2100")</f>
        <v>1700-2100</v>
      </c>
      <c r="L427" s="3">
        <f>IFERROR(__xludf.DUMMYFUNCTION("""COMPUTED_VALUE"""),4.0)</f>
        <v>4</v>
      </c>
      <c r="M427" s="3" t="str">
        <f>IFERROR(__xludf.DUMMYFUNCTION("""COMPUTED_VALUE"""),"ร.อ.อนุชิต ทำจะดี")</f>
        <v>ร.อ.อนุชิต ทำจะดี</v>
      </c>
      <c r="N427" s="14" t="str">
        <f>IFERROR(__xludf.DUMMYFUNCTION("""COMPUTED_VALUE"""),"https://lh5.googleusercontent.com/d/1MPn4lAdBc7y4sKEI0gk8BcbIOhIuwMQI")</f>
        <v>https://lh5.googleusercontent.com/d/1MPn4lAdBc7y4sKEI0gk8BcbIOhIuwMQI</v>
      </c>
      <c r="O427" s="14" t="str">
        <f>IFERROR(__xludf.DUMMYFUNCTION("""COMPUTED_VALUE"""),"https://drive.google.com/file/d/1b32PJzGc2yMTkvsUoIk2rNkzTlWa6Jci/view?usp=drivesdk")</f>
        <v>https://drive.google.com/file/d/1b32PJzGc2yMTkvsUoIk2rNkzTlWa6Jci/view?usp=drivesdk</v>
      </c>
    </row>
    <row r="428">
      <c r="A428" s="3">
        <f>IFERROR(__xludf.DUMMYFUNCTION("""COMPUTED_VALUE"""),2040.0)</f>
        <v>2040</v>
      </c>
      <c r="B428" s="11">
        <f>IFERROR(__xludf.DUMMYFUNCTION("""COMPUTED_VALUE"""),46153.40796077546)</f>
        <v>46153.40796</v>
      </c>
      <c r="C428" s="3" t="str">
        <f>IFERROR(__xludf.DUMMYFUNCTION("""COMPUTED_VALUE"""),"ชั้นปีที่ 2")</f>
        <v>ชั้นปีที่ 2</v>
      </c>
      <c r="D428" s="3" t="str">
        <f>IFERROR(__xludf.DUMMYFUNCTION("""COMPUTED_VALUE"""),"6703837")</f>
        <v>6703837</v>
      </c>
      <c r="E428" s="3" t="str">
        <f>IFERROR(__xludf.DUMMYFUNCTION("""COMPUTED_VALUE"""),"20")</f>
        <v>20</v>
      </c>
      <c r="F428" s="3" t="str">
        <f>IFERROR(__xludf.DUMMYFUNCTION("""COMPUTED_VALUE"""),"นพอ.ณัฐธิดา เอียดดำ")</f>
        <v>นพอ.ณัฐธิดา เอียดดำ</v>
      </c>
      <c r="G428" s="3" t="str">
        <f>IFERROR(__xludf.DUMMYFUNCTION("""COMPUTED_VALUE"""),"ช่วยเหลืองานภายใน วพอ.")</f>
        <v>ช่วยเหลืองานภายใน วพอ.</v>
      </c>
      <c r="H42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8" s="3" t="str">
        <f>IFERROR(__xludf.DUMMYFUNCTION("""COMPUTED_VALUE"""),"วพอ.พอ.")</f>
        <v>วพอ.พอ.</v>
      </c>
      <c r="J428" s="12">
        <f>IFERROR(__xludf.DUMMYFUNCTION("""COMPUTED_VALUE"""),46135.0)</f>
        <v>46135</v>
      </c>
      <c r="K428" s="3" t="str">
        <f>IFERROR(__xludf.DUMMYFUNCTION("""COMPUTED_VALUE"""),"1700-2100")</f>
        <v>1700-2100</v>
      </c>
      <c r="L428" s="3">
        <f>IFERROR(__xludf.DUMMYFUNCTION("""COMPUTED_VALUE"""),4.0)</f>
        <v>4</v>
      </c>
      <c r="M428" s="3" t="str">
        <f>IFERROR(__xludf.DUMMYFUNCTION("""COMPUTED_VALUE"""),"ร.อ.อนุชิต ทำจะดี")</f>
        <v>ร.อ.อนุชิต ทำจะดี</v>
      </c>
      <c r="N428" s="14" t="str">
        <f>IFERROR(__xludf.DUMMYFUNCTION("""COMPUTED_VALUE"""),"https://lh5.googleusercontent.com/d/1ZQNlOwgcTzcqGtR4wB8V8ZuGSTMBOD9L")</f>
        <v>https://lh5.googleusercontent.com/d/1ZQNlOwgcTzcqGtR4wB8V8ZuGSTMBOD9L</v>
      </c>
      <c r="O428" s="14" t="str">
        <f>IFERROR(__xludf.DUMMYFUNCTION("""COMPUTED_VALUE"""),"https://drive.google.com/file/d/1h1Br1ap5yijYKRyzqwIZnvluHcTpG4wi/view?usp=drivesdk")</f>
        <v>https://drive.google.com/file/d/1h1Br1ap5yijYKRyzqwIZnvluHcTpG4wi/view?usp=drivesdk</v>
      </c>
    </row>
    <row r="429">
      <c r="A429" s="3">
        <f>IFERROR(__xludf.DUMMYFUNCTION("""COMPUTED_VALUE"""),2041.0)</f>
        <v>2041</v>
      </c>
      <c r="B429" s="11">
        <f>IFERROR(__xludf.DUMMYFUNCTION("""COMPUTED_VALUE"""),46153.408519386576)</f>
        <v>46153.40852</v>
      </c>
      <c r="C429" s="3" t="str">
        <f>IFERROR(__xludf.DUMMYFUNCTION("""COMPUTED_VALUE"""),"ชั้นปีที่ 2")</f>
        <v>ชั้นปีที่ 2</v>
      </c>
      <c r="D429" s="3" t="str">
        <f>IFERROR(__xludf.DUMMYFUNCTION("""COMPUTED_VALUE"""),"6703875")</f>
        <v>6703875</v>
      </c>
      <c r="E429" s="3" t="str">
        <f>IFERROR(__xludf.DUMMYFUNCTION("""COMPUTED_VALUE"""),"55")</f>
        <v>55</v>
      </c>
      <c r="F429" s="3" t="str">
        <f>IFERROR(__xludf.DUMMYFUNCTION("""COMPUTED_VALUE"""),"นพอ.สิริณัฏฐ์ บรรจงพินิจ")</f>
        <v>นพอ.สิริณัฏฐ์ บรรจงพินิจ</v>
      </c>
      <c r="G429" s="3" t="str">
        <f>IFERROR(__xludf.DUMMYFUNCTION("""COMPUTED_VALUE"""),"ช่วยเหลืองานภายใน วพอ.")</f>
        <v>ช่วยเหลืองานภายใน วพอ.</v>
      </c>
      <c r="H42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29" s="3" t="str">
        <f>IFERROR(__xludf.DUMMYFUNCTION("""COMPUTED_VALUE"""),"วพอ.พอ")</f>
        <v>วพอ.พอ</v>
      </c>
      <c r="J429" s="12">
        <f>IFERROR(__xludf.DUMMYFUNCTION("""COMPUTED_VALUE"""),46135.0)</f>
        <v>46135</v>
      </c>
      <c r="K429" s="3" t="str">
        <f>IFERROR(__xludf.DUMMYFUNCTION("""COMPUTED_VALUE"""),"1700-2100")</f>
        <v>1700-2100</v>
      </c>
      <c r="L429" s="3">
        <f>IFERROR(__xludf.DUMMYFUNCTION("""COMPUTED_VALUE"""),4.0)</f>
        <v>4</v>
      </c>
      <c r="M429" s="3" t="str">
        <f>IFERROR(__xludf.DUMMYFUNCTION("""COMPUTED_VALUE"""),"ร.อ.อนุชิต ทำจะดี")</f>
        <v>ร.อ.อนุชิต ทำจะดี</v>
      </c>
      <c r="N429" s="14" t="str">
        <f>IFERROR(__xludf.DUMMYFUNCTION("""COMPUTED_VALUE"""),"https://lh5.googleusercontent.com/d/1cQB9P1OgtV0QjVAm-YE4IiBrTOVTI4wm")</f>
        <v>https://lh5.googleusercontent.com/d/1cQB9P1OgtV0QjVAm-YE4IiBrTOVTI4wm</v>
      </c>
      <c r="O429" s="14" t="str">
        <f>IFERROR(__xludf.DUMMYFUNCTION("""COMPUTED_VALUE"""),"https://drive.google.com/file/d/1QcjhmqwGmV34wf6Djh6AbqzlJ_SnSByY/view?usp=drivesdk")</f>
        <v>https://drive.google.com/file/d/1QcjhmqwGmV34wf6Djh6AbqzlJ_SnSByY/view?usp=drivesdk</v>
      </c>
    </row>
    <row r="430">
      <c r="A430" s="3">
        <f>IFERROR(__xludf.DUMMYFUNCTION("""COMPUTED_VALUE"""),2042.0)</f>
        <v>2042</v>
      </c>
      <c r="B430" s="11">
        <f>IFERROR(__xludf.DUMMYFUNCTION("""COMPUTED_VALUE"""),46153.40870518518)</f>
        <v>46153.40871</v>
      </c>
      <c r="C430" s="3" t="str">
        <f>IFERROR(__xludf.DUMMYFUNCTION("""COMPUTED_VALUE"""),"ชั้นปีที่ 2")</f>
        <v>ชั้นปีที่ 2</v>
      </c>
      <c r="D430" s="3" t="str">
        <f>IFERROR(__xludf.DUMMYFUNCTION("""COMPUTED_VALUE"""),"6703870")</f>
        <v>6703870</v>
      </c>
      <c r="E430" s="3" t="str">
        <f>IFERROR(__xludf.DUMMYFUNCTION("""COMPUTED_VALUE"""),"51")</f>
        <v>51</v>
      </c>
      <c r="F430" s="3" t="str">
        <f>IFERROR(__xludf.DUMMYFUNCTION("""COMPUTED_VALUE"""),"นพอ.วิมลสิริ สิงห์ธนะ")</f>
        <v>นพอ.วิมลสิริ สิงห์ธนะ</v>
      </c>
      <c r="G430" s="3" t="str">
        <f>IFERROR(__xludf.DUMMYFUNCTION("""COMPUTED_VALUE"""),"ช่วยเหลืองานภายใน วพอ.")</f>
        <v>ช่วยเหลืองานภายใน วพอ.</v>
      </c>
      <c r="H43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0" s="3" t="str">
        <f>IFERROR(__xludf.DUMMYFUNCTION("""COMPUTED_VALUE"""),"วพอ.พอ.")</f>
        <v>วพอ.พอ.</v>
      </c>
      <c r="J430" s="12">
        <f>IFERROR(__xludf.DUMMYFUNCTION("""COMPUTED_VALUE"""),46135.0)</f>
        <v>46135</v>
      </c>
      <c r="K430" s="3" t="str">
        <f>IFERROR(__xludf.DUMMYFUNCTION("""COMPUTED_VALUE"""),"1700-2100")</f>
        <v>1700-2100</v>
      </c>
      <c r="L430" s="3">
        <f>IFERROR(__xludf.DUMMYFUNCTION("""COMPUTED_VALUE"""),4.0)</f>
        <v>4</v>
      </c>
      <c r="M430" s="3" t="str">
        <f>IFERROR(__xludf.DUMMYFUNCTION("""COMPUTED_VALUE"""),"ร.อ.อนุชิต ทำจะดี")</f>
        <v>ร.อ.อนุชิต ทำจะดี</v>
      </c>
      <c r="N430" s="14" t="str">
        <f>IFERROR(__xludf.DUMMYFUNCTION("""COMPUTED_VALUE"""),"https://lh5.googleusercontent.com/d/1n8AoL-7zJEzFk3kLhIcdkNVKGIlMOJGk")</f>
        <v>https://lh5.googleusercontent.com/d/1n8AoL-7zJEzFk3kLhIcdkNVKGIlMOJGk</v>
      </c>
      <c r="O430" s="14" t="str">
        <f>IFERROR(__xludf.DUMMYFUNCTION("""COMPUTED_VALUE"""),"https://drive.google.com/file/d/1jhvslPE_QGEefUqE4UXgP54GkaDMxA_4/view?usp=drivesdk")</f>
        <v>https://drive.google.com/file/d/1jhvslPE_QGEefUqE4UXgP54GkaDMxA_4/view?usp=drivesdk</v>
      </c>
    </row>
    <row r="431">
      <c r="A431" s="3">
        <f>IFERROR(__xludf.DUMMYFUNCTION("""COMPUTED_VALUE"""),2043.0)</f>
        <v>2043</v>
      </c>
      <c r="B431" s="11">
        <f>IFERROR(__xludf.DUMMYFUNCTION("""COMPUTED_VALUE"""),46153.40872298611)</f>
        <v>46153.40872</v>
      </c>
      <c r="C431" s="3" t="str">
        <f>IFERROR(__xludf.DUMMYFUNCTION("""COMPUTED_VALUE"""),"ชั้นปีที่ 2")</f>
        <v>ชั้นปีที่ 2</v>
      </c>
      <c r="D431" s="3" t="str">
        <f>IFERROR(__xludf.DUMMYFUNCTION("""COMPUTED_VALUE"""),"6703879")</f>
        <v>6703879</v>
      </c>
      <c r="E431" s="3" t="str">
        <f>IFERROR(__xludf.DUMMYFUNCTION("""COMPUTED_VALUE"""),"59")</f>
        <v>59</v>
      </c>
      <c r="F431" s="3" t="str">
        <f>IFERROR(__xludf.DUMMYFUNCTION("""COMPUTED_VALUE"""),"นพอ.สุรภา ธีสุระ")</f>
        <v>นพอ.สุรภา ธีสุระ</v>
      </c>
      <c r="G4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1" s="3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31" s="3" t="str">
        <f>IFERROR(__xludf.DUMMYFUNCTION("""COMPUTED_VALUE"""),"กองบัญชาการกองทัพไทย")</f>
        <v>กองบัญชาการกองทัพไทย</v>
      </c>
      <c r="J431" s="12">
        <f>IFERROR(__xludf.DUMMYFUNCTION("""COMPUTED_VALUE"""),46032.0)</f>
        <v>46032</v>
      </c>
      <c r="K431" s="3" t="str">
        <f>IFERROR(__xludf.DUMMYFUNCTION("""COMPUTED_VALUE"""),"0600-1400")</f>
        <v>0600-1400</v>
      </c>
      <c r="L431" s="3">
        <f>IFERROR(__xludf.DUMMYFUNCTION("""COMPUTED_VALUE"""),8.0)</f>
        <v>8</v>
      </c>
      <c r="M431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31" s="14" t="str">
        <f>IFERROR(__xludf.DUMMYFUNCTION("""COMPUTED_VALUE"""),"https://lh5.googleusercontent.com/d/1HCCc-d5O3MHErv3WGlc5SFlf1M4LOHY8")</f>
        <v>https://lh5.googleusercontent.com/d/1HCCc-d5O3MHErv3WGlc5SFlf1M4LOHY8</v>
      </c>
      <c r="O431" s="14" t="str">
        <f>IFERROR(__xludf.DUMMYFUNCTION("""COMPUTED_VALUE"""),"https://drive.google.com/file/d/1Nf5Y35ldmYx2CnSK3vTLNqw3JbZiVWQw/view?usp=drivesdk")</f>
        <v>https://drive.google.com/file/d/1Nf5Y35ldmYx2CnSK3vTLNqw3JbZiVWQw/view?usp=drivesdk</v>
      </c>
    </row>
    <row r="432">
      <c r="A432" s="3">
        <f>IFERROR(__xludf.DUMMYFUNCTION("""COMPUTED_VALUE"""),2044.0)</f>
        <v>2044</v>
      </c>
      <c r="B432" s="11">
        <f>IFERROR(__xludf.DUMMYFUNCTION("""COMPUTED_VALUE"""),46153.40995197916)</f>
        <v>46153.40995</v>
      </c>
      <c r="C432" s="3" t="str">
        <f>IFERROR(__xludf.DUMMYFUNCTION("""COMPUTED_VALUE"""),"ชั้นปีที่ 2")</f>
        <v>ชั้นปีที่ 2</v>
      </c>
      <c r="D432" s="3" t="str">
        <f>IFERROR(__xludf.DUMMYFUNCTION("""COMPUTED_VALUE"""),"6703837")</f>
        <v>6703837</v>
      </c>
      <c r="E432" s="3" t="str">
        <f>IFERROR(__xludf.DUMMYFUNCTION("""COMPUTED_VALUE"""),"20")</f>
        <v>20</v>
      </c>
      <c r="F432" s="3" t="str">
        <f>IFERROR(__xludf.DUMMYFUNCTION("""COMPUTED_VALUE"""),"นพอ.ณัฐธิดา เอียดดำ")</f>
        <v>นพอ.ณัฐธิดา เอียดดำ</v>
      </c>
      <c r="G432" s="3" t="str">
        <f>IFERROR(__xludf.DUMMYFUNCTION("""COMPUTED_VALUE"""),"ช่วยเหลืองานภายใน วพอ.")</f>
        <v>ช่วยเหลืองานภายใน วพอ.</v>
      </c>
      <c r="H43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2" s="3" t="str">
        <f>IFERROR(__xludf.DUMMYFUNCTION("""COMPUTED_VALUE"""),"วพอ.พอ.")</f>
        <v>วพอ.พอ.</v>
      </c>
      <c r="J432" s="12">
        <f>IFERROR(__xludf.DUMMYFUNCTION("""COMPUTED_VALUE"""),46138.0)</f>
        <v>46138</v>
      </c>
      <c r="K432" s="3" t="str">
        <f>IFERROR(__xludf.DUMMYFUNCTION("""COMPUTED_VALUE"""),"1500-2100")</f>
        <v>1500-2100</v>
      </c>
      <c r="L432" s="3">
        <f>IFERROR(__xludf.DUMMYFUNCTION("""COMPUTED_VALUE"""),6.0)</f>
        <v>6</v>
      </c>
      <c r="M432" s="3" t="str">
        <f>IFERROR(__xludf.DUMMYFUNCTION("""COMPUTED_VALUE"""),"ร.อ.อนุชิต ทำจะดี")</f>
        <v>ร.อ.อนุชิต ทำจะดี</v>
      </c>
      <c r="N432" s="14" t="str">
        <f>IFERROR(__xludf.DUMMYFUNCTION("""COMPUTED_VALUE"""),"https://lh5.googleusercontent.com/d/1Y40msjKEg1XnsCWF69G0wbmrczTL_vdB")</f>
        <v>https://lh5.googleusercontent.com/d/1Y40msjKEg1XnsCWF69G0wbmrczTL_vdB</v>
      </c>
      <c r="O432" s="14" t="str">
        <f>IFERROR(__xludf.DUMMYFUNCTION("""COMPUTED_VALUE"""),"https://drive.google.com/file/d/1K2IedBq3HmIP5dYRB9uKKxQYm-4qhFng/view?usp=drivesdk")</f>
        <v>https://drive.google.com/file/d/1K2IedBq3HmIP5dYRB9uKKxQYm-4qhFng/view?usp=drivesdk</v>
      </c>
    </row>
    <row r="433">
      <c r="A433" s="3">
        <f>IFERROR(__xludf.DUMMYFUNCTION("""COMPUTED_VALUE"""),2045.0)</f>
        <v>2045</v>
      </c>
      <c r="B433" s="11">
        <f>IFERROR(__xludf.DUMMYFUNCTION("""COMPUTED_VALUE"""),46153.41080502315)</f>
        <v>46153.41081</v>
      </c>
      <c r="C433" s="3" t="str">
        <f>IFERROR(__xludf.DUMMYFUNCTION("""COMPUTED_VALUE"""),"ชั้นปีที่ 2")</f>
        <v>ชั้นปีที่ 2</v>
      </c>
      <c r="D433" s="3" t="str">
        <f>IFERROR(__xludf.DUMMYFUNCTION("""COMPUTED_VALUE"""),"6703875")</f>
        <v>6703875</v>
      </c>
      <c r="E433" s="3" t="str">
        <f>IFERROR(__xludf.DUMMYFUNCTION("""COMPUTED_VALUE"""),"55")</f>
        <v>55</v>
      </c>
      <c r="F433" s="3" t="str">
        <f>IFERROR(__xludf.DUMMYFUNCTION("""COMPUTED_VALUE"""),"นพอ.สิริณัฏฐ์ บรรจงพินิจ")</f>
        <v>นพอ.สิริณัฏฐ์ บรรจงพินิจ</v>
      </c>
      <c r="G433" s="3" t="str">
        <f>IFERROR(__xludf.DUMMYFUNCTION("""COMPUTED_VALUE"""),"ช่วยเหลืองานภายใน วพอ.")</f>
        <v>ช่วยเหลืองานภายใน วพอ.</v>
      </c>
      <c r="H43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3" s="3" t="str">
        <f>IFERROR(__xludf.DUMMYFUNCTION("""COMPUTED_VALUE"""),"วพอ.พอ")</f>
        <v>วพอ.พอ</v>
      </c>
      <c r="J433" s="12">
        <f>IFERROR(__xludf.DUMMYFUNCTION("""COMPUTED_VALUE"""),46138.0)</f>
        <v>46138</v>
      </c>
      <c r="K433" s="3" t="str">
        <f>IFERROR(__xludf.DUMMYFUNCTION("""COMPUTED_VALUE"""),"1300-2100")</f>
        <v>1300-2100</v>
      </c>
      <c r="L433" s="3">
        <f>IFERROR(__xludf.DUMMYFUNCTION("""COMPUTED_VALUE"""),8.0)</f>
        <v>8</v>
      </c>
      <c r="M433" s="3" t="str">
        <f>IFERROR(__xludf.DUMMYFUNCTION("""COMPUTED_VALUE"""),"ร.อ.อนุชิต ทำจะดี")</f>
        <v>ร.อ.อนุชิต ทำจะดี</v>
      </c>
      <c r="N433" s="14" t="str">
        <f>IFERROR(__xludf.DUMMYFUNCTION("""COMPUTED_VALUE"""),"https://lh5.googleusercontent.com/d/1HlwPTCnW9rZj20sx6g4oxctbPPZcf8xs")</f>
        <v>https://lh5.googleusercontent.com/d/1HlwPTCnW9rZj20sx6g4oxctbPPZcf8xs</v>
      </c>
      <c r="O433" s="14" t="str">
        <f>IFERROR(__xludf.DUMMYFUNCTION("""COMPUTED_VALUE"""),"https://drive.google.com/file/d/1qZ7wvpJI26xN_6SEerqUpD1Khz0qproP/view?usp=drivesdk")</f>
        <v>https://drive.google.com/file/d/1qZ7wvpJI26xN_6SEerqUpD1Khz0qproP/view?usp=drivesdk</v>
      </c>
    </row>
    <row r="434">
      <c r="A434" s="3">
        <f>IFERROR(__xludf.DUMMYFUNCTION("""COMPUTED_VALUE"""),2046.0)</f>
        <v>2046</v>
      </c>
      <c r="B434" s="11">
        <f>IFERROR(__xludf.DUMMYFUNCTION("""COMPUTED_VALUE"""),46153.41214322917)</f>
        <v>46153.41214</v>
      </c>
      <c r="C434" s="3" t="str">
        <f>IFERROR(__xludf.DUMMYFUNCTION("""COMPUTED_VALUE"""),"ชั้นปีที่ 2")</f>
        <v>ชั้นปีที่ 2</v>
      </c>
      <c r="D434" s="3" t="str">
        <f>IFERROR(__xludf.DUMMYFUNCTION("""COMPUTED_VALUE"""),"6703837")</f>
        <v>6703837</v>
      </c>
      <c r="E434" s="3" t="str">
        <f>IFERROR(__xludf.DUMMYFUNCTION("""COMPUTED_VALUE"""),"20")</f>
        <v>20</v>
      </c>
      <c r="F434" s="3" t="str">
        <f>IFERROR(__xludf.DUMMYFUNCTION("""COMPUTED_VALUE"""),"นพอ.ณัฐธิดา เอียดดำ")</f>
        <v>นพอ.ณัฐธิดา เอียดดำ</v>
      </c>
      <c r="G434" s="3" t="str">
        <f>IFERROR(__xludf.DUMMYFUNCTION("""COMPUTED_VALUE"""),"ช่วยเหลืองานภายใน วพอ.")</f>
        <v>ช่วยเหลืองานภายใน วพอ.</v>
      </c>
      <c r="H43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4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34" s="12">
        <f>IFERROR(__xludf.DUMMYFUNCTION("""COMPUTED_VALUE"""),46139.0)</f>
        <v>46139</v>
      </c>
      <c r="K434" s="3" t="str">
        <f>IFERROR(__xludf.DUMMYFUNCTION("""COMPUTED_VALUE"""),"1700-2100")</f>
        <v>1700-2100</v>
      </c>
      <c r="L434" s="3">
        <f>IFERROR(__xludf.DUMMYFUNCTION("""COMPUTED_VALUE"""),4.0)</f>
        <v>4</v>
      </c>
      <c r="M434" s="3" t="str">
        <f>IFERROR(__xludf.DUMMYFUNCTION("""COMPUTED_VALUE"""),"ร.อ.อนุชิต ทำจะดี")</f>
        <v>ร.อ.อนุชิต ทำจะดี</v>
      </c>
      <c r="N434" s="14" t="str">
        <f>IFERROR(__xludf.DUMMYFUNCTION("""COMPUTED_VALUE"""),"https://lh5.googleusercontent.com/d/1n64n6V6OqFNMJGdadYJU5Um9hUChHgl-")</f>
        <v>https://lh5.googleusercontent.com/d/1n64n6V6OqFNMJGdadYJU5Um9hUChHgl-</v>
      </c>
      <c r="O434" s="14" t="str">
        <f>IFERROR(__xludf.DUMMYFUNCTION("""COMPUTED_VALUE"""),"https://drive.google.com/file/d/1T1gca9UdKjfwWGgGdEeKzKaNCQAhncT2/view?usp=drivesdk")</f>
        <v>https://drive.google.com/file/d/1T1gca9UdKjfwWGgGdEeKzKaNCQAhncT2/view?usp=drivesdk</v>
      </c>
    </row>
    <row r="435">
      <c r="A435" s="3">
        <f>IFERROR(__xludf.DUMMYFUNCTION("""COMPUTED_VALUE"""),2048.0)</f>
        <v>2048</v>
      </c>
      <c r="B435" s="11">
        <f>IFERROR(__xludf.DUMMYFUNCTION("""COMPUTED_VALUE"""),46153.4124446875)</f>
        <v>46153.41244</v>
      </c>
      <c r="C435" s="3" t="str">
        <f>IFERROR(__xludf.DUMMYFUNCTION("""COMPUTED_VALUE"""),"ชั้นปีที่ 2")</f>
        <v>ชั้นปีที่ 2</v>
      </c>
      <c r="D435" s="3" t="str">
        <f>IFERROR(__xludf.DUMMYFUNCTION("""COMPUTED_VALUE"""),"6703875")</f>
        <v>6703875</v>
      </c>
      <c r="E435" s="3" t="str">
        <f>IFERROR(__xludf.DUMMYFUNCTION("""COMPUTED_VALUE"""),"55")</f>
        <v>55</v>
      </c>
      <c r="F435" s="3" t="str">
        <f>IFERROR(__xludf.DUMMYFUNCTION("""COMPUTED_VALUE"""),"นพอ.สิริณัฏฐ์ บรรจงพินิจ")</f>
        <v>นพอ.สิริณัฏฐ์ บรรจงพินิจ</v>
      </c>
      <c r="G435" s="3" t="str">
        <f>IFERROR(__xludf.DUMMYFUNCTION("""COMPUTED_VALUE"""),"ช่วยเหลืองานภายใน วพอ.")</f>
        <v>ช่วยเหลืองานภายใน วพอ.</v>
      </c>
      <c r="H43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5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35" s="12">
        <f>IFERROR(__xludf.DUMMYFUNCTION("""COMPUTED_VALUE"""),46139.0)</f>
        <v>46139</v>
      </c>
      <c r="K435" s="3" t="str">
        <f>IFERROR(__xludf.DUMMYFUNCTION("""COMPUTED_VALUE"""),"1700-2100")</f>
        <v>1700-2100</v>
      </c>
      <c r="L435" s="3">
        <f>IFERROR(__xludf.DUMMYFUNCTION("""COMPUTED_VALUE"""),4.0)</f>
        <v>4</v>
      </c>
      <c r="M435" s="3" t="str">
        <f>IFERROR(__xludf.DUMMYFUNCTION("""COMPUTED_VALUE"""),"ร.อ.อนุชิต ทำจะดี")</f>
        <v>ร.อ.อนุชิต ทำจะดี</v>
      </c>
      <c r="N435" s="14" t="str">
        <f>IFERROR(__xludf.DUMMYFUNCTION("""COMPUTED_VALUE"""),"https://lh5.googleusercontent.com/d/1PXZ_MRqicPSGh6jxEO5gBia1l2wvCKWZ")</f>
        <v>https://lh5.googleusercontent.com/d/1PXZ_MRqicPSGh6jxEO5gBia1l2wvCKWZ</v>
      </c>
      <c r="O435" s="14" t="str">
        <f>IFERROR(__xludf.DUMMYFUNCTION("""COMPUTED_VALUE"""),"https://drive.google.com/file/d/19-uCJYFKO9mas4ovgkKlC5KrAX4RKA2a/view?usp=drivesdk")</f>
        <v>https://drive.google.com/file/d/19-uCJYFKO9mas4ovgkKlC5KrAX4RKA2a/view?usp=drivesdk</v>
      </c>
    </row>
    <row r="436">
      <c r="A436" s="3">
        <f>IFERROR(__xludf.DUMMYFUNCTION("""COMPUTED_VALUE"""),2049.0)</f>
        <v>2049</v>
      </c>
      <c r="B436" s="11">
        <f>IFERROR(__xludf.DUMMYFUNCTION("""COMPUTED_VALUE"""),46153.41350931713)</f>
        <v>46153.41351</v>
      </c>
      <c r="C436" s="3" t="str">
        <f>IFERROR(__xludf.DUMMYFUNCTION("""COMPUTED_VALUE"""),"ชั้นปีที่ 2")</f>
        <v>ชั้นปีที่ 2</v>
      </c>
      <c r="D436" s="3" t="str">
        <f>IFERROR(__xludf.DUMMYFUNCTION("""COMPUTED_VALUE"""),"6703856")</f>
        <v>6703856</v>
      </c>
      <c r="E436" s="3" t="str">
        <f>IFERROR(__xludf.DUMMYFUNCTION("""COMPUTED_VALUE"""),"37")</f>
        <v>37</v>
      </c>
      <c r="F436" s="3" t="str">
        <f>IFERROR(__xludf.DUMMYFUNCTION("""COMPUTED_VALUE"""),"นพอ.พรรณรายณ์ เย็นประเสริฐ ")</f>
        <v>นพอ.พรรณรายณ์ เย็นประเสริฐ </v>
      </c>
      <c r="G436" s="3" t="str">
        <f>IFERROR(__xludf.DUMMYFUNCTION("""COMPUTED_VALUE"""),"ช่วยเหลืองานภายใน วพอ.")</f>
        <v>ช่วยเหลืองานภายใน วพอ.</v>
      </c>
      <c r="H43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6" s="3" t="str">
        <f>IFERROR(__xludf.DUMMYFUNCTION("""COMPUTED_VALUE"""),"วพอ.พอ.")</f>
        <v>วพอ.พอ.</v>
      </c>
      <c r="J436" s="12">
        <f>IFERROR(__xludf.DUMMYFUNCTION("""COMPUTED_VALUE"""),46134.0)</f>
        <v>46134</v>
      </c>
      <c r="K436" s="3" t="str">
        <f>IFERROR(__xludf.DUMMYFUNCTION("""COMPUTED_VALUE"""),"1700-2100")</f>
        <v>1700-2100</v>
      </c>
      <c r="L436" s="3">
        <f>IFERROR(__xludf.DUMMYFUNCTION("""COMPUTED_VALUE"""),4.0)</f>
        <v>4</v>
      </c>
      <c r="M436" s="3" t="str">
        <f>IFERROR(__xludf.DUMMYFUNCTION("""COMPUTED_VALUE"""),"ร.อ.อนุชิต ทำจะดี")</f>
        <v>ร.อ.อนุชิต ทำจะดี</v>
      </c>
      <c r="N436" s="14" t="str">
        <f>IFERROR(__xludf.DUMMYFUNCTION("""COMPUTED_VALUE"""),"https://lh5.googleusercontent.com/d/1IcVIKM6V5aXynZrt2i886E_7a1jJeI0S")</f>
        <v>https://lh5.googleusercontent.com/d/1IcVIKM6V5aXynZrt2i886E_7a1jJeI0S</v>
      </c>
      <c r="O436" s="14" t="str">
        <f>IFERROR(__xludf.DUMMYFUNCTION("""COMPUTED_VALUE"""),"https://drive.google.com/file/d/1HKAcLgxvveKgkT1jwPejUGKeM95ou-BZ/view?usp=drivesdk")</f>
        <v>https://drive.google.com/file/d/1HKAcLgxvveKgkT1jwPejUGKeM95ou-BZ/view?usp=drivesdk</v>
      </c>
    </row>
    <row r="437">
      <c r="A437" s="3">
        <f>IFERROR(__xludf.DUMMYFUNCTION("""COMPUTED_VALUE"""),2050.0)</f>
        <v>2050</v>
      </c>
      <c r="B437" s="11">
        <f>IFERROR(__xludf.DUMMYFUNCTION("""COMPUTED_VALUE"""),46153.414023564816)</f>
        <v>46153.41402</v>
      </c>
      <c r="C437" s="3" t="str">
        <f>IFERROR(__xludf.DUMMYFUNCTION("""COMPUTED_VALUE"""),"ชั้นปีที่ 2")</f>
        <v>ชั้นปีที่ 2</v>
      </c>
      <c r="D437" s="3" t="str">
        <f>IFERROR(__xludf.DUMMYFUNCTION("""COMPUTED_VALUE"""),"6703824")</f>
        <v>6703824</v>
      </c>
      <c r="E437" s="3" t="str">
        <f>IFERROR(__xludf.DUMMYFUNCTION("""COMPUTED_VALUE"""),"7")</f>
        <v>7</v>
      </c>
      <c r="F437" s="3" t="str">
        <f>IFERROR(__xludf.DUMMYFUNCTION("""COMPUTED_VALUE"""),"นพอ.จินต์จุฑา จงประเสริฐ")</f>
        <v>นพอ.จินต์จุฑา จงประเสริฐ</v>
      </c>
      <c r="G437" s="3" t="str">
        <f>IFERROR(__xludf.DUMMYFUNCTION("""COMPUTED_VALUE"""),"ช่วยเหลืองานภายใน วพอ.")</f>
        <v>ช่วยเหลืองานภายใน วพอ.</v>
      </c>
      <c r="H43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7" s="3" t="str">
        <f>IFERROR(__xludf.DUMMYFUNCTION("""COMPUTED_VALUE"""),"วพอ.พอ.")</f>
        <v>วพอ.พอ.</v>
      </c>
      <c r="J437" s="12">
        <f>IFERROR(__xludf.DUMMYFUNCTION("""COMPUTED_VALUE"""),46135.0)</f>
        <v>46135</v>
      </c>
      <c r="K437" s="3" t="str">
        <f>IFERROR(__xludf.DUMMYFUNCTION("""COMPUTED_VALUE"""),"1700-2100")</f>
        <v>1700-2100</v>
      </c>
      <c r="L437" s="3">
        <f>IFERROR(__xludf.DUMMYFUNCTION("""COMPUTED_VALUE"""),4.0)</f>
        <v>4</v>
      </c>
      <c r="M437" s="3" t="str">
        <f>IFERROR(__xludf.DUMMYFUNCTION("""COMPUTED_VALUE"""),"ร.อ.อนุชิต ทำจะดี")</f>
        <v>ร.อ.อนุชิต ทำจะดี</v>
      </c>
      <c r="N437" s="14" t="str">
        <f>IFERROR(__xludf.DUMMYFUNCTION("""COMPUTED_VALUE"""),"https://lh5.googleusercontent.com/d/1C4_rzZM8VwepHzmJ2AkRLlXJ6D-H_CxQ")</f>
        <v>https://lh5.googleusercontent.com/d/1C4_rzZM8VwepHzmJ2AkRLlXJ6D-H_CxQ</v>
      </c>
      <c r="O437" s="14" t="str">
        <f>IFERROR(__xludf.DUMMYFUNCTION("""COMPUTED_VALUE"""),"https://drive.google.com/file/d/1SkXYA9NUqx1l6COG3FQiZQAyzbL82A4y/view?usp=drivesdk")</f>
        <v>https://drive.google.com/file/d/1SkXYA9NUqx1l6COG3FQiZQAyzbL82A4y/view?usp=drivesdk</v>
      </c>
    </row>
    <row r="438">
      <c r="A438" s="3">
        <f>IFERROR(__xludf.DUMMYFUNCTION("""COMPUTED_VALUE"""),2051.0)</f>
        <v>2051</v>
      </c>
      <c r="B438" s="11">
        <f>IFERROR(__xludf.DUMMYFUNCTION("""COMPUTED_VALUE"""),46153.41437226852)</f>
        <v>46153.41437</v>
      </c>
      <c r="C438" s="3" t="str">
        <f>IFERROR(__xludf.DUMMYFUNCTION("""COMPUTED_VALUE"""),"ชั้นปีที่ 2")</f>
        <v>ชั้นปีที่ 2</v>
      </c>
      <c r="D438" s="3" t="str">
        <f>IFERROR(__xludf.DUMMYFUNCTION("""COMPUTED_VALUE"""),"6703875")</f>
        <v>6703875</v>
      </c>
      <c r="E438" s="3" t="str">
        <f>IFERROR(__xludf.DUMMYFUNCTION("""COMPUTED_VALUE"""),"55")</f>
        <v>55</v>
      </c>
      <c r="F438" s="3" t="str">
        <f>IFERROR(__xludf.DUMMYFUNCTION("""COMPUTED_VALUE"""),"นพอ.สิริณัฏฐ์ บรรจงพินิจ")</f>
        <v>นพอ.สิริณัฏฐ์ บรรจงพินิจ</v>
      </c>
      <c r="G43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8" s="3" t="str">
        <f>IFERROR(__xludf.DUMMYFUNCTION("""COMPUTED_VALUE"""),"เข้าร่วมงานวันเด็กเเห่งชาติ 2569")</f>
        <v>เข้าร่วมงานวันเด็กเเห่งชาติ 2569</v>
      </c>
      <c r="I438" s="3" t="str">
        <f>IFERROR(__xludf.DUMMYFUNCTION("""COMPUTED_VALUE"""),"กองบิน6")</f>
        <v>กองบิน6</v>
      </c>
      <c r="J438" s="12">
        <f>IFERROR(__xludf.DUMMYFUNCTION("""COMPUTED_VALUE"""),46032.0)</f>
        <v>46032</v>
      </c>
      <c r="K438" s="3" t="str">
        <f>IFERROR(__xludf.DUMMYFUNCTION("""COMPUTED_VALUE"""),"0600-1400")</f>
        <v>0600-1400</v>
      </c>
      <c r="L438" s="3">
        <f>IFERROR(__xludf.DUMMYFUNCTION("""COMPUTED_VALUE"""),8.0)</f>
        <v>8</v>
      </c>
      <c r="M43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8" s="14" t="str">
        <f>IFERROR(__xludf.DUMMYFUNCTION("""COMPUTED_VALUE"""),"https://lh5.googleusercontent.com/d/1No9cBR3uaLcNMqr731irDumxsyfBn8QK")</f>
        <v>https://lh5.googleusercontent.com/d/1No9cBR3uaLcNMqr731irDumxsyfBn8QK</v>
      </c>
      <c r="O438" s="14" t="str">
        <f>IFERROR(__xludf.DUMMYFUNCTION("""COMPUTED_VALUE"""),"https://drive.google.com/file/d/1UCbUr5AjBJ5mxKFf_7ozltGRlqq_s8AU/view?usp=drivesdk")</f>
        <v>https://drive.google.com/file/d/1UCbUr5AjBJ5mxKFf_7ozltGRlqq_s8AU/view?usp=drivesdk</v>
      </c>
    </row>
    <row r="439">
      <c r="A439" s="3">
        <f>IFERROR(__xludf.DUMMYFUNCTION("""COMPUTED_VALUE"""),2052.0)</f>
        <v>2052</v>
      </c>
      <c r="B439" s="11">
        <f>IFERROR(__xludf.DUMMYFUNCTION("""COMPUTED_VALUE"""),46153.415047905095)</f>
        <v>46153.41505</v>
      </c>
      <c r="C439" s="3" t="str">
        <f>IFERROR(__xludf.DUMMYFUNCTION("""COMPUTED_VALUE"""),"ชั้นปีที่ 2")</f>
        <v>ชั้นปีที่ 2</v>
      </c>
      <c r="D439" s="3" t="str">
        <f>IFERROR(__xludf.DUMMYFUNCTION("""COMPUTED_VALUE"""),"6703856")</f>
        <v>6703856</v>
      </c>
      <c r="E439" s="3" t="str">
        <f>IFERROR(__xludf.DUMMYFUNCTION("""COMPUTED_VALUE"""),"37")</f>
        <v>37</v>
      </c>
      <c r="F439" s="3" t="str">
        <f>IFERROR(__xludf.DUMMYFUNCTION("""COMPUTED_VALUE"""),"นพอ.พรรณรายณ์ เย็นประเสริฐ")</f>
        <v>นพอ.พรรณรายณ์ เย็นประเสริฐ</v>
      </c>
      <c r="G439" s="3" t="str">
        <f>IFERROR(__xludf.DUMMYFUNCTION("""COMPUTED_VALUE"""),"ช่วยเหลืองานภายใน วพอ.")</f>
        <v>ช่วยเหลืองานภายใน วพอ.</v>
      </c>
      <c r="H43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39" s="3" t="str">
        <f>IFERROR(__xludf.DUMMYFUNCTION("""COMPUTED_VALUE"""),"วพอ.พอ.")</f>
        <v>วพอ.พอ.</v>
      </c>
      <c r="J439" s="12">
        <f>IFERROR(__xludf.DUMMYFUNCTION("""COMPUTED_VALUE"""),46135.0)</f>
        <v>46135</v>
      </c>
      <c r="K439" s="3" t="str">
        <f>IFERROR(__xludf.DUMMYFUNCTION("""COMPUTED_VALUE"""),"1700-2100")</f>
        <v>1700-2100</v>
      </c>
      <c r="L439" s="3">
        <f>IFERROR(__xludf.DUMMYFUNCTION("""COMPUTED_VALUE"""),4.0)</f>
        <v>4</v>
      </c>
      <c r="M439" s="3" t="str">
        <f>IFERROR(__xludf.DUMMYFUNCTION("""COMPUTED_VALUE"""),"ร.อ.อนุชิต ทำจะดี")</f>
        <v>ร.อ.อนุชิต ทำจะดี</v>
      </c>
      <c r="N439" s="14" t="str">
        <f>IFERROR(__xludf.DUMMYFUNCTION("""COMPUTED_VALUE"""),"https://lh5.googleusercontent.com/d/1Fi_du67sOgup8Zk6Cg6N3TgHwojOCCpF")</f>
        <v>https://lh5.googleusercontent.com/d/1Fi_du67sOgup8Zk6Cg6N3TgHwojOCCpF</v>
      </c>
      <c r="O439" s="14" t="str">
        <f>IFERROR(__xludf.DUMMYFUNCTION("""COMPUTED_VALUE"""),"https://drive.google.com/file/d/1FkUeuDnJAluJKKqnmDlcWTv0seYTXnh4/view?usp=drivesdk")</f>
        <v>https://drive.google.com/file/d/1FkUeuDnJAluJKKqnmDlcWTv0seYTXnh4/view?usp=drivesdk</v>
      </c>
    </row>
    <row r="440">
      <c r="A440" s="3">
        <f>IFERROR(__xludf.DUMMYFUNCTION("""COMPUTED_VALUE"""),2053.0)</f>
        <v>2053</v>
      </c>
      <c r="B440" s="11">
        <f>IFERROR(__xludf.DUMMYFUNCTION("""COMPUTED_VALUE"""),46153.41576148148)</f>
        <v>46153.41576</v>
      </c>
      <c r="C440" s="3" t="str">
        <f>IFERROR(__xludf.DUMMYFUNCTION("""COMPUTED_VALUE"""),"ชั้นปีที่ 2")</f>
        <v>ชั้นปีที่ 2</v>
      </c>
      <c r="D440" s="3" t="str">
        <f>IFERROR(__xludf.DUMMYFUNCTION("""COMPUTED_VALUE"""),"6703875")</f>
        <v>6703875</v>
      </c>
      <c r="E440" s="3" t="str">
        <f>IFERROR(__xludf.DUMMYFUNCTION("""COMPUTED_VALUE"""),"55")</f>
        <v>55</v>
      </c>
      <c r="F440" s="3" t="str">
        <f>IFERROR(__xludf.DUMMYFUNCTION("""COMPUTED_VALUE"""),"นพอ.สิริณัฏฐ์ บรรจงพินิจ")</f>
        <v>นพอ.สิริณัฏฐ์ บรรจงพินิจ</v>
      </c>
      <c r="G44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40" s="3" t="str">
        <f>IFERROR(__xludf.DUMMYFUNCTION("""COMPUTED_VALUE"""),"บริจาคโลหิต")</f>
        <v>บริจาคโลหิต</v>
      </c>
      <c r="I440" s="3" t="str">
        <f>IFERROR(__xludf.DUMMYFUNCTION("""COMPUTED_VALUE"""),"ภาคบริการโลหิตแห่งชาติที่2 จังหวัดลพบุรี")</f>
        <v>ภาคบริการโลหิตแห่งชาติที่2 จังหวัดลพบุรี</v>
      </c>
      <c r="J440" s="12">
        <f>IFERROR(__xludf.DUMMYFUNCTION("""COMPUTED_VALUE"""),46074.0)</f>
        <v>46074</v>
      </c>
      <c r="K440" s="3" t="str">
        <f>IFERROR(__xludf.DUMMYFUNCTION("""COMPUTED_VALUE"""),"1200")</f>
        <v>1200</v>
      </c>
      <c r="L440" s="3">
        <f>IFERROR(__xludf.DUMMYFUNCTION("""COMPUTED_VALUE"""),8.0)</f>
        <v>8</v>
      </c>
      <c r="M440" s="3" t="str">
        <f>IFERROR(__xludf.DUMMYFUNCTION("""COMPUTED_VALUE"""),"ร.อ.เกษม บรรจงพินิจ")</f>
        <v>ร.อ.เกษม บรรจงพินิจ</v>
      </c>
      <c r="N440" s="14" t="str">
        <f>IFERROR(__xludf.DUMMYFUNCTION("""COMPUTED_VALUE"""),"https://lh5.googleusercontent.com/d/1is-SpzZQciM2BxlYYyycrFYhVBXK7jV4")</f>
        <v>https://lh5.googleusercontent.com/d/1is-SpzZQciM2BxlYYyycrFYhVBXK7jV4</v>
      </c>
      <c r="O440" s="14" t="str">
        <f>IFERROR(__xludf.DUMMYFUNCTION("""COMPUTED_VALUE"""),"https://drive.google.com/file/d/1_1GMIBTjiqZUhu5oPUUpbgAi8fqvZkrl/view?usp=drivesdk")</f>
        <v>https://drive.google.com/file/d/1_1GMIBTjiqZUhu5oPUUpbgAi8fqvZkrl/view?usp=drivesdk</v>
      </c>
    </row>
    <row r="441">
      <c r="A441" s="3">
        <f>IFERROR(__xludf.DUMMYFUNCTION("""COMPUTED_VALUE"""),2054.0)</f>
        <v>2054</v>
      </c>
      <c r="B441" s="11">
        <f>IFERROR(__xludf.DUMMYFUNCTION("""COMPUTED_VALUE"""),46153.41738112269)</f>
        <v>46153.41738</v>
      </c>
      <c r="C441" s="3" t="str">
        <f>IFERROR(__xludf.DUMMYFUNCTION("""COMPUTED_VALUE"""),"ชั้นปีที่ 2")</f>
        <v>ชั้นปีที่ 2</v>
      </c>
      <c r="D441" s="3" t="str">
        <f>IFERROR(__xludf.DUMMYFUNCTION("""COMPUTED_VALUE"""),"6703856")</f>
        <v>6703856</v>
      </c>
      <c r="E441" s="3" t="str">
        <f>IFERROR(__xludf.DUMMYFUNCTION("""COMPUTED_VALUE"""),"37")</f>
        <v>37</v>
      </c>
      <c r="F441" s="3" t="str">
        <f>IFERROR(__xludf.DUMMYFUNCTION("""COMPUTED_VALUE"""),"นพอ.พรรณรายณ์ เย็นประเสริฐ")</f>
        <v>นพอ.พรรณรายณ์ เย็นประเสริฐ</v>
      </c>
      <c r="G441" s="3" t="str">
        <f>IFERROR(__xludf.DUMMYFUNCTION("""COMPUTED_VALUE"""),"ช่วยเหลืองานภายใน วพอ.")</f>
        <v>ช่วยเหลืองานภายใน วพอ.</v>
      </c>
      <c r="H44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1" s="3" t="str">
        <f>IFERROR(__xludf.DUMMYFUNCTION("""COMPUTED_VALUE"""),"วพอ.พอ.")</f>
        <v>วพอ.พอ.</v>
      </c>
      <c r="J441" s="12">
        <f>IFERROR(__xludf.DUMMYFUNCTION("""COMPUTED_VALUE"""),46138.0)</f>
        <v>46138</v>
      </c>
      <c r="K441" s="3" t="str">
        <f>IFERROR(__xludf.DUMMYFUNCTION("""COMPUTED_VALUE"""),"1300-2100")</f>
        <v>1300-2100</v>
      </c>
      <c r="L441" s="3">
        <f>IFERROR(__xludf.DUMMYFUNCTION("""COMPUTED_VALUE"""),8.0)</f>
        <v>8</v>
      </c>
      <c r="M441" s="3" t="str">
        <f>IFERROR(__xludf.DUMMYFUNCTION("""COMPUTED_VALUE"""),"ร.อ.อนุชิต ทำจะดี")</f>
        <v>ร.อ.อนุชิต ทำจะดี</v>
      </c>
      <c r="N441" s="14" t="str">
        <f>IFERROR(__xludf.DUMMYFUNCTION("""COMPUTED_VALUE"""),"https://lh5.googleusercontent.com/d/10BZyaNdl1koI0cGmbtC75jlKbM-ZHPu2")</f>
        <v>https://lh5.googleusercontent.com/d/10BZyaNdl1koI0cGmbtC75jlKbM-ZHPu2</v>
      </c>
      <c r="O441" s="14" t="str">
        <f>IFERROR(__xludf.DUMMYFUNCTION("""COMPUTED_VALUE"""),"https://drive.google.com/file/d/1dKZd10sZhADMjWRcXsMIJ-_QgNdGHQ5B/view?usp=drivesdk")</f>
        <v>https://drive.google.com/file/d/1dKZd10sZhADMjWRcXsMIJ-_QgNdGHQ5B/view?usp=drivesdk</v>
      </c>
    </row>
    <row r="442">
      <c r="A442" s="3">
        <f>IFERROR(__xludf.DUMMYFUNCTION("""COMPUTED_VALUE"""),2072.0)</f>
        <v>2072</v>
      </c>
      <c r="B442" s="11">
        <f>IFERROR(__xludf.DUMMYFUNCTION("""COMPUTED_VALUE"""),46153.496540520835)</f>
        <v>46153.49654</v>
      </c>
      <c r="C442" s="3" t="str">
        <f>IFERROR(__xludf.DUMMYFUNCTION("""COMPUTED_VALUE"""),"ชั้นปีที่ 2")</f>
        <v>ชั้นปีที่ 2</v>
      </c>
      <c r="D442" s="3" t="str">
        <f>IFERROR(__xludf.DUMMYFUNCTION("""COMPUTED_VALUE"""),"6703834")</f>
        <v>6703834</v>
      </c>
      <c r="E442" s="3" t="str">
        <f>IFERROR(__xludf.DUMMYFUNCTION("""COMPUTED_VALUE"""),"17")</f>
        <v>17</v>
      </c>
      <c r="F442" s="3" t="str">
        <f>IFERROR(__xludf.DUMMYFUNCTION("""COMPUTED_VALUE"""),"นพอ.ฑิตถากร แน่นอุดร")</f>
        <v>นพอ.ฑิตถากร แน่นอุดร</v>
      </c>
      <c r="G442" s="3" t="str">
        <f>IFERROR(__xludf.DUMMYFUNCTION("""COMPUTED_VALUE"""),"ช่วยเหลืองานภายใน วพอ.")</f>
        <v>ช่วยเหลืองานภายใน วพอ.</v>
      </c>
      <c r="H44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2" s="3" t="str">
        <f>IFERROR(__xludf.DUMMYFUNCTION("""COMPUTED_VALUE"""),"วพอ.พอ")</f>
        <v>วพอ.พอ</v>
      </c>
      <c r="J442" s="12">
        <f>IFERROR(__xludf.DUMMYFUNCTION("""COMPUTED_VALUE"""),46133.0)</f>
        <v>46133</v>
      </c>
      <c r="K442" s="3" t="str">
        <f>IFERROR(__xludf.DUMMYFUNCTION("""COMPUTED_VALUE"""),"1700-2100")</f>
        <v>1700-2100</v>
      </c>
      <c r="L442" s="3">
        <f>IFERROR(__xludf.DUMMYFUNCTION("""COMPUTED_VALUE"""),4.0)</f>
        <v>4</v>
      </c>
      <c r="M442" s="3" t="str">
        <f>IFERROR(__xludf.DUMMYFUNCTION("""COMPUTED_VALUE"""),"ร.อ.อนุชิต ทำจะดี")</f>
        <v>ร.อ.อนุชิต ทำจะดี</v>
      </c>
      <c r="N442" s="14" t="str">
        <f>IFERROR(__xludf.DUMMYFUNCTION("""COMPUTED_VALUE"""),"https://lh5.googleusercontent.com/d/1e2P8RppaSSETFu--J6WJlUU0WEh3PBlH")</f>
        <v>https://lh5.googleusercontent.com/d/1e2P8RppaSSETFu--J6WJlUU0WEh3PBlH</v>
      </c>
      <c r="O442" s="14" t="str">
        <f>IFERROR(__xludf.DUMMYFUNCTION("""COMPUTED_VALUE"""),"https://drive.google.com/file/d/1MrooM7WqY_QAomxuk04HVeKwX7aI6_EO/view?usp=drivesdk")</f>
        <v>https://drive.google.com/file/d/1MrooM7WqY_QAomxuk04HVeKwX7aI6_EO/view?usp=drivesdk</v>
      </c>
    </row>
    <row r="443">
      <c r="A443" s="3">
        <f>IFERROR(__xludf.DUMMYFUNCTION("""COMPUTED_VALUE"""),2073.0)</f>
        <v>2073</v>
      </c>
      <c r="B443" s="11">
        <f>IFERROR(__xludf.DUMMYFUNCTION("""COMPUTED_VALUE"""),46153.49791693287)</f>
        <v>46153.49792</v>
      </c>
      <c r="C443" s="3" t="str">
        <f>IFERROR(__xludf.DUMMYFUNCTION("""COMPUTED_VALUE"""),"ชั้นปีที่ 2")</f>
        <v>ชั้นปีที่ 2</v>
      </c>
      <c r="D443" s="3" t="str">
        <f>IFERROR(__xludf.DUMMYFUNCTION("""COMPUTED_VALUE"""),"6703834")</f>
        <v>6703834</v>
      </c>
      <c r="E443" s="3" t="str">
        <f>IFERROR(__xludf.DUMMYFUNCTION("""COMPUTED_VALUE"""),"17")</f>
        <v>17</v>
      </c>
      <c r="F443" s="3" t="str">
        <f>IFERROR(__xludf.DUMMYFUNCTION("""COMPUTED_VALUE"""),"นพอ.ฑิตถากร แน่นอุดร")</f>
        <v>นพอ.ฑิตถากร แน่นอุดร</v>
      </c>
      <c r="G443" s="3" t="str">
        <f>IFERROR(__xludf.DUMMYFUNCTION("""COMPUTED_VALUE"""),"ช่วยเหลืองานภายใน วพอ.")</f>
        <v>ช่วยเหลืองานภายใน วพอ.</v>
      </c>
      <c r="H44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3" s="3" t="str">
        <f>IFERROR(__xludf.DUMMYFUNCTION("""COMPUTED_VALUE"""),"วพอ.พอ")</f>
        <v>วพอ.พอ</v>
      </c>
      <c r="J443" s="12">
        <f>IFERROR(__xludf.DUMMYFUNCTION("""COMPUTED_VALUE"""),46134.0)</f>
        <v>46134</v>
      </c>
      <c r="K443" s="3" t="str">
        <f>IFERROR(__xludf.DUMMYFUNCTION("""COMPUTED_VALUE"""),"1700-2100")</f>
        <v>1700-2100</v>
      </c>
      <c r="L443" s="3">
        <f>IFERROR(__xludf.DUMMYFUNCTION("""COMPUTED_VALUE"""),4.0)</f>
        <v>4</v>
      </c>
      <c r="M443" s="3" t="str">
        <f>IFERROR(__xludf.DUMMYFUNCTION("""COMPUTED_VALUE"""),"ร.อ.อนุชิต ทำจะดี")</f>
        <v>ร.อ.อนุชิต ทำจะดี</v>
      </c>
      <c r="N443" s="14" t="str">
        <f>IFERROR(__xludf.DUMMYFUNCTION("""COMPUTED_VALUE"""),"https://lh5.googleusercontent.com/d/1wGPPbndYHs0K76m8E99zWBNoteqwHg2B")</f>
        <v>https://lh5.googleusercontent.com/d/1wGPPbndYHs0K76m8E99zWBNoteqwHg2B</v>
      </c>
      <c r="O443" s="14" t="str">
        <f>IFERROR(__xludf.DUMMYFUNCTION("""COMPUTED_VALUE"""),"https://drive.google.com/file/d/17aRppDi2lUDUNUXSIWew7ihUjnr5l8st/view?usp=drivesdk")</f>
        <v>https://drive.google.com/file/d/17aRppDi2lUDUNUXSIWew7ihUjnr5l8st/view?usp=drivesdk</v>
      </c>
    </row>
    <row r="444">
      <c r="A444" s="3">
        <f>IFERROR(__xludf.DUMMYFUNCTION("""COMPUTED_VALUE"""),2156.0)</f>
        <v>2156</v>
      </c>
      <c r="B444" s="11">
        <f>IFERROR(__xludf.DUMMYFUNCTION("""COMPUTED_VALUE"""),46166.86186469907)</f>
        <v>46166.86186</v>
      </c>
      <c r="C444" s="3" t="str">
        <f>IFERROR(__xludf.DUMMYFUNCTION("""COMPUTED_VALUE"""),"ชั้นปีที่ 2")</f>
        <v>ชั้นปีที่ 2</v>
      </c>
      <c r="D444" s="3" t="str">
        <f>IFERROR(__xludf.DUMMYFUNCTION("""COMPUTED_VALUE"""),"6703842")</f>
        <v>6703842</v>
      </c>
      <c r="E444" s="3" t="str">
        <f>IFERROR(__xludf.DUMMYFUNCTION("""COMPUTED_VALUE"""),"24")</f>
        <v>24</v>
      </c>
      <c r="F444" s="3" t="str">
        <f>IFERROR(__xludf.DUMMYFUNCTION("""COMPUTED_VALUE"""),"นพอ.ธัญชนก ธนะกองแก้ว")</f>
        <v>นพอ.ธัญชนก ธนะกองแก้ว</v>
      </c>
      <c r="G4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4" s="3" t="str">
        <f>IFERROR(__xludf.DUMMYFUNCTION("""COMPUTED_VALUE"""),"ค่ายเยาวชนพัฒนา ครั้งที่ 215")</f>
        <v>ค่ายเยาวชนพัฒนา ครั้งที่ 215</v>
      </c>
      <c r="I444" s="3" t="str">
        <f>IFERROR(__xludf.DUMMYFUNCTION("""COMPUTED_VALUE"""),"วัดสามบัณฑิต จ.พระนครศรีอยุธยา")</f>
        <v>วัดสามบัณฑิต จ.พระนครศรีอยุธยา</v>
      </c>
      <c r="J444" s="12">
        <f>IFERROR(__xludf.DUMMYFUNCTION("""COMPUTED_VALUE"""),46136.0)</f>
        <v>46136</v>
      </c>
      <c r="K444" s="3" t="str">
        <f>IFERROR(__xludf.DUMMYFUNCTION("""COMPUTED_VALUE"""),"0800-1600")</f>
        <v>0800-1600</v>
      </c>
      <c r="L444" s="3">
        <f>IFERROR(__xludf.DUMMYFUNCTION("""COMPUTED_VALUE"""),8.0)</f>
        <v>8</v>
      </c>
      <c r="M44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4" s="14" t="str">
        <f>IFERROR(__xludf.DUMMYFUNCTION("""COMPUTED_VALUE"""),"https://lh5.googleusercontent.com/d/1XKfsvLw4Rey4_1yk-DDrDoNxb_XbA1fJ")</f>
        <v>https://lh5.googleusercontent.com/d/1XKfsvLw4Rey4_1yk-DDrDoNxb_XbA1fJ</v>
      </c>
      <c r="O444" s="14" t="str">
        <f>IFERROR(__xludf.DUMMYFUNCTION("""COMPUTED_VALUE"""),"https://drive.google.com/file/d/15jSrVzzUGHIMntFTi5qGRDQlPx7clSAv/view?usp=drivesdk")</f>
        <v>https://drive.google.com/file/d/15jSrVzzUGHIMntFTi5qGRDQlPx7clSAv/view?usp=drivesdk</v>
      </c>
    </row>
    <row r="445">
      <c r="A445" s="3">
        <f>IFERROR(__xludf.DUMMYFUNCTION("""COMPUTED_VALUE"""),2157.0)</f>
        <v>2157</v>
      </c>
      <c r="B445" s="11">
        <f>IFERROR(__xludf.DUMMYFUNCTION("""COMPUTED_VALUE"""),46166.86331148149)</f>
        <v>46166.86331</v>
      </c>
      <c r="C445" s="3" t="str">
        <f>IFERROR(__xludf.DUMMYFUNCTION("""COMPUTED_VALUE"""),"ชั้นปีที่ 2")</f>
        <v>ชั้นปีที่ 2</v>
      </c>
      <c r="D445" s="3" t="str">
        <f>IFERROR(__xludf.DUMMYFUNCTION("""COMPUTED_VALUE"""),"6703842")</f>
        <v>6703842</v>
      </c>
      <c r="E445" s="3" t="str">
        <f>IFERROR(__xludf.DUMMYFUNCTION("""COMPUTED_VALUE"""),"24")</f>
        <v>24</v>
      </c>
      <c r="F445" s="3" t="str">
        <f>IFERROR(__xludf.DUMMYFUNCTION("""COMPUTED_VALUE"""),"นพอ.ธัญชนก ธนะกองแก้ว")</f>
        <v>นพอ.ธัญชนก ธนะกองแก้ว</v>
      </c>
      <c r="G4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5" s="3" t="str">
        <f>IFERROR(__xludf.DUMMYFUNCTION("""COMPUTED_VALUE"""),"ค่ายเยาวชนพัฒนา ครั้งที่ 215")</f>
        <v>ค่ายเยาวชนพัฒนา ครั้งที่ 215</v>
      </c>
      <c r="I445" s="3" t="str">
        <f>IFERROR(__xludf.DUMMYFUNCTION("""COMPUTED_VALUE"""),"วัดสามบัณฑิต จ.พระนครศรีอยุธยา")</f>
        <v>วัดสามบัณฑิต จ.พระนครศรีอยุธยา</v>
      </c>
      <c r="J445" s="12">
        <f>IFERROR(__xludf.DUMMYFUNCTION("""COMPUTED_VALUE"""),46137.0)</f>
        <v>46137</v>
      </c>
      <c r="K445" s="3" t="str">
        <f>IFERROR(__xludf.DUMMYFUNCTION("""COMPUTED_VALUE"""),"0800-1600")</f>
        <v>0800-1600</v>
      </c>
      <c r="L445" s="3">
        <f>IFERROR(__xludf.DUMMYFUNCTION("""COMPUTED_VALUE"""),8.0)</f>
        <v>8</v>
      </c>
      <c r="M44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5" s="14" t="str">
        <f>IFERROR(__xludf.DUMMYFUNCTION("""COMPUTED_VALUE"""),"https://lh5.googleusercontent.com/d/1WUtXzRYb-Fsyyy_n84OT1x3crRlZYA5b")</f>
        <v>https://lh5.googleusercontent.com/d/1WUtXzRYb-Fsyyy_n84OT1x3crRlZYA5b</v>
      </c>
      <c r="O445" s="14" t="str">
        <f>IFERROR(__xludf.DUMMYFUNCTION("""COMPUTED_VALUE"""),"https://drive.google.com/file/d/1qn1ePs7oOaLFW3Fxm6HovZjLACf5U07A/view?usp=drivesdk")</f>
        <v>https://drive.google.com/file/d/1qn1ePs7oOaLFW3Fxm6HovZjLACf5U07A/view?usp=drivesdk</v>
      </c>
    </row>
    <row r="446">
      <c r="A446" s="3">
        <f>IFERROR(__xludf.DUMMYFUNCTION("""COMPUTED_VALUE"""),2158.0)</f>
        <v>2158</v>
      </c>
      <c r="B446" s="11">
        <f>IFERROR(__xludf.DUMMYFUNCTION("""COMPUTED_VALUE"""),46166.864687395835)</f>
        <v>46166.86469</v>
      </c>
      <c r="C446" s="3" t="str">
        <f>IFERROR(__xludf.DUMMYFUNCTION("""COMPUTED_VALUE"""),"ชั้นปีที่ 2")</f>
        <v>ชั้นปีที่ 2</v>
      </c>
      <c r="D446" s="3" t="str">
        <f>IFERROR(__xludf.DUMMYFUNCTION("""COMPUTED_VALUE"""),"6703842")</f>
        <v>6703842</v>
      </c>
      <c r="E446" s="3" t="str">
        <f>IFERROR(__xludf.DUMMYFUNCTION("""COMPUTED_VALUE"""),"24")</f>
        <v>24</v>
      </c>
      <c r="F446" s="3" t="str">
        <f>IFERROR(__xludf.DUMMYFUNCTION("""COMPUTED_VALUE"""),"นพอ.ธัญชนก ธนะกองแก้ว")</f>
        <v>นพอ.ธัญชนก ธนะกองแก้ว</v>
      </c>
      <c r="G4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6" s="3" t="str">
        <f>IFERROR(__xludf.DUMMYFUNCTION("""COMPUTED_VALUE"""),"ค่ายเยาวชนพัฒนา ครั้งที่ 215")</f>
        <v>ค่ายเยาวชนพัฒนา ครั้งที่ 215</v>
      </c>
      <c r="I446" s="3" t="str">
        <f>IFERROR(__xludf.DUMMYFUNCTION("""COMPUTED_VALUE"""),"วัดสามบัณฑิต จ.พระนครศรีอยุธยา")</f>
        <v>วัดสามบัณฑิต จ.พระนครศรีอยุธยา</v>
      </c>
      <c r="J446" s="12">
        <f>IFERROR(__xludf.DUMMYFUNCTION("""COMPUTED_VALUE"""),46138.0)</f>
        <v>46138</v>
      </c>
      <c r="K446" s="3" t="str">
        <f>IFERROR(__xludf.DUMMYFUNCTION("""COMPUTED_VALUE"""),"0800-1600")</f>
        <v>0800-1600</v>
      </c>
      <c r="L446" s="3">
        <f>IFERROR(__xludf.DUMMYFUNCTION("""COMPUTED_VALUE"""),8.0)</f>
        <v>8</v>
      </c>
      <c r="M44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6" s="14" t="str">
        <f>IFERROR(__xludf.DUMMYFUNCTION("""COMPUTED_VALUE"""),"https://lh5.googleusercontent.com/d/1FuHAbPZ_AEHTVdNSxkUTfbDmQ4hZls2B")</f>
        <v>https://lh5.googleusercontent.com/d/1FuHAbPZ_AEHTVdNSxkUTfbDmQ4hZls2B</v>
      </c>
      <c r="O446" s="14" t="str">
        <f>IFERROR(__xludf.DUMMYFUNCTION("""COMPUTED_VALUE"""),"https://drive.google.com/file/d/1-W8Lvat9j5N3wzDW3Om1qPe1mGXvkiaT/view?usp=drivesdk")</f>
        <v>https://drive.google.com/file/d/1-W8Lvat9j5N3wzDW3Om1qPe1mGXvkiaT/view?usp=drivesdk</v>
      </c>
    </row>
    <row r="447">
      <c r="A447" s="3">
        <f>IFERROR(__xludf.DUMMYFUNCTION("""COMPUTED_VALUE"""),2159.0)</f>
        <v>2159</v>
      </c>
      <c r="B447" s="11">
        <f>IFERROR(__xludf.DUMMYFUNCTION("""COMPUTED_VALUE"""),46166.86720170138)</f>
        <v>46166.8672</v>
      </c>
      <c r="C447" s="3" t="str">
        <f>IFERROR(__xludf.DUMMYFUNCTION("""COMPUTED_VALUE"""),"ชั้นปีที่ 2")</f>
        <v>ชั้นปีที่ 2</v>
      </c>
      <c r="D447" s="3" t="str">
        <f>IFERROR(__xludf.DUMMYFUNCTION("""COMPUTED_VALUE"""),"6703842")</f>
        <v>6703842</v>
      </c>
      <c r="E447" s="3" t="str">
        <f>IFERROR(__xludf.DUMMYFUNCTION("""COMPUTED_VALUE"""),"24")</f>
        <v>24</v>
      </c>
      <c r="F447" s="3" t="str">
        <f>IFERROR(__xludf.DUMMYFUNCTION("""COMPUTED_VALUE"""),"นพอ.ธัญชนก ธนะกองแก้ว")</f>
        <v>นพอ.ธัญชนก ธนะกองแก้ว</v>
      </c>
      <c r="G4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7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47" s="3" t="str">
        <f>IFERROR(__xludf.DUMMYFUNCTION("""COMPUTED_VALUE"""),"สนามกีฬากองทัพอากาศ ธูปะเตมีย์")</f>
        <v>สนามกีฬากองทัพอากาศ ธูปะเตมีย์</v>
      </c>
      <c r="J447" s="12">
        <f>IFERROR(__xludf.DUMMYFUNCTION("""COMPUTED_VALUE"""),46078.0)</f>
        <v>46078</v>
      </c>
      <c r="K447" s="3" t="str">
        <f>IFERROR(__xludf.DUMMYFUNCTION("""COMPUTED_VALUE"""),"1200-2000")</f>
        <v>1200-2000</v>
      </c>
      <c r="L447" s="3">
        <f>IFERROR(__xludf.DUMMYFUNCTION("""COMPUTED_VALUE"""),8.0)</f>
        <v>8</v>
      </c>
      <c r="M44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7" s="14" t="str">
        <f>IFERROR(__xludf.DUMMYFUNCTION("""COMPUTED_VALUE"""),"https://lh5.googleusercontent.com/d/1iUAE6lE_I6sUJUWFySvHfe-G2l6pTBWc")</f>
        <v>https://lh5.googleusercontent.com/d/1iUAE6lE_I6sUJUWFySvHfe-G2l6pTBWc</v>
      </c>
      <c r="O447" s="14" t="str">
        <f>IFERROR(__xludf.DUMMYFUNCTION("""COMPUTED_VALUE"""),"https://drive.google.com/file/d/1OGAFKSbZjqe5i5MuOdH-iNunjtrqGjFN/view?usp=drivesdk")</f>
        <v>https://drive.google.com/file/d/1OGAFKSbZjqe5i5MuOdH-iNunjtrqGjFN/view?usp=drivesdk</v>
      </c>
    </row>
    <row r="448">
      <c r="A448" s="3">
        <f>IFERROR(__xludf.DUMMYFUNCTION("""COMPUTED_VALUE"""),2160.0)</f>
        <v>2160</v>
      </c>
      <c r="B448" s="11">
        <f>IFERROR(__xludf.DUMMYFUNCTION("""COMPUTED_VALUE"""),46166.88496351852)</f>
        <v>46166.88496</v>
      </c>
      <c r="C448" s="3" t="str">
        <f>IFERROR(__xludf.DUMMYFUNCTION("""COMPUTED_VALUE"""),"ชั้นปีที่ 2")</f>
        <v>ชั้นปีที่ 2</v>
      </c>
      <c r="D448" s="3" t="str">
        <f>IFERROR(__xludf.DUMMYFUNCTION("""COMPUTED_VALUE"""),"6703862")</f>
        <v>6703862</v>
      </c>
      <c r="E448" s="3" t="str">
        <f>IFERROR(__xludf.DUMMYFUNCTION("""COMPUTED_VALUE"""),"43")</f>
        <v>43</v>
      </c>
      <c r="F448" s="3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44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8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48" s="3" t="str">
        <f>IFERROR(__xludf.DUMMYFUNCTION("""COMPUTED_VALUE"""),"สนามธูปเตมีย์")</f>
        <v>สนามธูปเตมีย์</v>
      </c>
      <c r="J448" s="12">
        <f>IFERROR(__xludf.DUMMYFUNCTION("""COMPUTED_VALUE"""),46078.0)</f>
        <v>46078</v>
      </c>
      <c r="K448" s="3" t="str">
        <f>IFERROR(__xludf.DUMMYFUNCTION("""COMPUTED_VALUE"""),"1200-2000")</f>
        <v>1200-2000</v>
      </c>
      <c r="L448" s="3">
        <f>IFERROR(__xludf.DUMMYFUNCTION("""COMPUTED_VALUE"""),8.0)</f>
        <v>8</v>
      </c>
      <c r="M448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48" s="14" t="str">
        <f>IFERROR(__xludf.DUMMYFUNCTION("""COMPUTED_VALUE"""),"https://lh5.googleusercontent.com/d/1EbFIFWZ_kltTFhUtaKo_7wvkGcDSkIul")</f>
        <v>https://lh5.googleusercontent.com/d/1EbFIFWZ_kltTFhUtaKo_7wvkGcDSkIul</v>
      </c>
      <c r="O448" s="14" t="str">
        <f>IFERROR(__xludf.DUMMYFUNCTION("""COMPUTED_VALUE"""),"https://drive.google.com/file/d/1bTGMwMyctdhOi3qPwaZrVS1LHdUhKeGA/view?usp=drivesdk")</f>
        <v>https://drive.google.com/file/d/1bTGMwMyctdhOi3qPwaZrVS1LHdUhKeGA/view?usp=drivesdk</v>
      </c>
    </row>
    <row r="449">
      <c r="A449" s="3">
        <f>IFERROR(__xludf.DUMMYFUNCTION("""COMPUTED_VALUE"""),2161.0)</f>
        <v>2161</v>
      </c>
      <c r="B449" s="11">
        <f>IFERROR(__xludf.DUMMYFUNCTION("""COMPUTED_VALUE"""),46167.266439837964)</f>
        <v>46167.26644</v>
      </c>
      <c r="C449" s="3" t="str">
        <f>IFERROR(__xludf.DUMMYFUNCTION("""COMPUTED_VALUE"""),"ชั้นปีที่ 2")</f>
        <v>ชั้นปีที่ 2</v>
      </c>
      <c r="D449" s="3" t="str">
        <f>IFERROR(__xludf.DUMMYFUNCTION("""COMPUTED_VALUE"""),"6703838")</f>
        <v>6703838</v>
      </c>
      <c r="E449" s="3" t="str">
        <f>IFERROR(__xludf.DUMMYFUNCTION("""COMPUTED_VALUE"""),"21")</f>
        <v>21</v>
      </c>
      <c r="F449" s="3" t="str">
        <f>IFERROR(__xludf.DUMMYFUNCTION("""COMPUTED_VALUE"""),"นพอ.ณัฐพงษ์ วงษ์บัวงาม")</f>
        <v>นพอ.ณัฐพงษ์ วงษ์บัวงาม</v>
      </c>
      <c r="G4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9" s="3" t="str">
        <f>IFERROR(__xludf.DUMMYFUNCTION("""COMPUTED_VALUE"""),"ตอบปัญหาธรรมะทางก้าวหน้า")</f>
        <v>ตอบปัญหาธรรมะทางก้าวหน้า</v>
      </c>
      <c r="I449" s="3" t="str">
        <f>IFERROR(__xludf.DUMMYFUNCTION("""COMPUTED_VALUE"""),"วัดธรรมกาย")</f>
        <v>วัดธรรมกาย</v>
      </c>
      <c r="J449" s="12">
        <f>IFERROR(__xludf.DUMMYFUNCTION("""COMPUTED_VALUE"""),46011.0)</f>
        <v>46011</v>
      </c>
      <c r="K449" s="3" t="str">
        <f>IFERROR(__xludf.DUMMYFUNCTION("""COMPUTED_VALUE"""),"0700-1300")</f>
        <v>0700-1300</v>
      </c>
      <c r="L449" s="3">
        <f>IFERROR(__xludf.DUMMYFUNCTION("""COMPUTED_VALUE"""),6.0)</f>
        <v>6</v>
      </c>
      <c r="M449" s="3" t="str">
        <f>IFERROR(__xludf.DUMMYFUNCTION("""COMPUTED_VALUE"""),"ร.อ.ฤทธิพล อ้วนสิงห์")</f>
        <v>ร.อ.ฤทธิพล อ้วนสิงห์</v>
      </c>
      <c r="N449" s="14" t="str">
        <f>IFERROR(__xludf.DUMMYFUNCTION("""COMPUTED_VALUE"""),"https://lh5.googleusercontent.com/d/1XqQEqE79o4CGBElvxBu7gO-OE-gCuf1Y")</f>
        <v>https://lh5.googleusercontent.com/d/1XqQEqE79o4CGBElvxBu7gO-OE-gCuf1Y</v>
      </c>
      <c r="O449" s="14" t="str">
        <f>IFERROR(__xludf.DUMMYFUNCTION("""COMPUTED_VALUE"""),"https://drive.google.com/file/d/1qKjB9i4rmI8PW1PpVwB52pEkNGWQ3wgc/view?usp=drivesdk")</f>
        <v>https://drive.google.com/file/d/1qKjB9i4rmI8PW1PpVwB52pEkNGWQ3wgc/view?usp=drivesdk</v>
      </c>
    </row>
    <row r="450">
      <c r="A450" s="3">
        <f>IFERROR(__xludf.DUMMYFUNCTION("""COMPUTED_VALUE"""),2164.0)</f>
        <v>2164</v>
      </c>
      <c r="B450" s="11">
        <f>IFERROR(__xludf.DUMMYFUNCTION("""COMPUTED_VALUE"""),46167.315475023155)</f>
        <v>46167.31548</v>
      </c>
      <c r="C450" s="3" t="str">
        <f>IFERROR(__xludf.DUMMYFUNCTION("""COMPUTED_VALUE"""),"ชั้นปีที่ 2")</f>
        <v>ชั้นปีที่ 2</v>
      </c>
      <c r="D450" s="3" t="str">
        <f>IFERROR(__xludf.DUMMYFUNCTION("""COMPUTED_VALUE"""),"6703832")</f>
        <v>6703832</v>
      </c>
      <c r="E450" s="3" t="str">
        <f>IFERROR(__xludf.DUMMYFUNCTION("""COMPUTED_VALUE"""),"15")</f>
        <v>15</v>
      </c>
      <c r="F450" s="3" t="str">
        <f>IFERROR(__xludf.DUMMYFUNCTION("""COMPUTED_VALUE"""),"นพอ. ญาตาวี บุญภิละ")</f>
        <v>นพอ. ญาตาวี บุญภิละ</v>
      </c>
      <c r="G4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0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0" s="3" t="str">
        <f>IFERROR(__xludf.DUMMYFUNCTION("""COMPUTED_VALUE"""),"สนามกีฬากองทัพอากาศ(ธูปะเตมีย์)")</f>
        <v>สนามกีฬากองทัพอากาศ(ธูปะเตมีย์)</v>
      </c>
      <c r="J450" s="12">
        <f>IFERROR(__xludf.DUMMYFUNCTION("""COMPUTED_VALUE"""),46078.0)</f>
        <v>46078</v>
      </c>
      <c r="K450" s="3" t="str">
        <f>IFERROR(__xludf.DUMMYFUNCTION("""COMPUTED_VALUE"""),"1200-2000")</f>
        <v>1200-2000</v>
      </c>
      <c r="L450" s="3">
        <f>IFERROR(__xludf.DUMMYFUNCTION("""COMPUTED_VALUE"""),8.0)</f>
        <v>8</v>
      </c>
      <c r="M450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50" s="14" t="str">
        <f>IFERROR(__xludf.DUMMYFUNCTION("""COMPUTED_VALUE"""),"https://lh5.googleusercontent.com/d/1M9NmYWJENz4AEUc-VzPr4SlrvD8rrYLs")</f>
        <v>https://lh5.googleusercontent.com/d/1M9NmYWJENz4AEUc-VzPr4SlrvD8rrYLs</v>
      </c>
      <c r="O450" s="14" t="str">
        <f>IFERROR(__xludf.DUMMYFUNCTION("""COMPUTED_VALUE"""),"https://drive.google.com/file/d/1KszDcCOLqhmoCgo_Wem47Gyp8cJILQOT/view?usp=drivesdk")</f>
        <v>https://drive.google.com/file/d/1KszDcCOLqhmoCgo_Wem47Gyp8cJILQOT/view?usp=drivesdk</v>
      </c>
    </row>
    <row r="451">
      <c r="A451" s="3">
        <f>IFERROR(__xludf.DUMMYFUNCTION("""COMPUTED_VALUE"""),2166.0)</f>
        <v>2166</v>
      </c>
      <c r="B451" s="11">
        <f>IFERROR(__xludf.DUMMYFUNCTION("""COMPUTED_VALUE"""),46167.317613900464)</f>
        <v>46167.31761</v>
      </c>
      <c r="C451" s="3" t="str">
        <f>IFERROR(__xludf.DUMMYFUNCTION("""COMPUTED_VALUE"""),"ชั้นปีที่ 2")</f>
        <v>ชั้นปีที่ 2</v>
      </c>
      <c r="D451" s="3" t="str">
        <f>IFERROR(__xludf.DUMMYFUNCTION("""COMPUTED_VALUE"""),"6703837")</f>
        <v>6703837</v>
      </c>
      <c r="E451" s="3" t="str">
        <f>IFERROR(__xludf.DUMMYFUNCTION("""COMPUTED_VALUE"""),"20")</f>
        <v>20</v>
      </c>
      <c r="F451" s="3" t="str">
        <f>IFERROR(__xludf.DUMMYFUNCTION("""COMPUTED_VALUE"""),"นพอ.ณัฐธิดา เอียดดำ")</f>
        <v>นพอ.ณัฐธิดา เอียดดำ</v>
      </c>
      <c r="G4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1" s="3" t="str">
        <f>IFERROR(__xludf.DUMMYFUNCTION("""COMPUTED_VALUE"""),"พิธีเปิด-ปิดกีฬาสีภายในกองทัพอากาศ")</f>
        <v>พิธีเปิด-ปิดกีฬาสีภายในกองทัพอากาศ</v>
      </c>
      <c r="I451" s="3" t="str">
        <f>IFERROR(__xludf.DUMMYFUNCTION("""COMPUTED_VALUE"""),"สนามกีฬาธูปะเตมีย์")</f>
        <v>สนามกีฬาธูปะเตมีย์</v>
      </c>
      <c r="J451" s="12">
        <f>IFERROR(__xludf.DUMMYFUNCTION("""COMPUTED_VALUE"""),46078.0)</f>
        <v>46078</v>
      </c>
      <c r="K451" s="3" t="str">
        <f>IFERROR(__xludf.DUMMYFUNCTION("""COMPUTED_VALUE"""),"1200-2000")</f>
        <v>1200-2000</v>
      </c>
      <c r="L451" s="3">
        <f>IFERROR(__xludf.DUMMYFUNCTION("""COMPUTED_VALUE"""),8.0)</f>
        <v>8</v>
      </c>
      <c r="M451" s="3" t="str">
        <f>IFERROR(__xludf.DUMMYFUNCTION("""COMPUTED_VALUE"""),"น.ต.หญิง ขวญชนก พ่วงนาคพันธุ์")</f>
        <v>น.ต.หญิง ขวญชนก พ่วงนาคพันธุ์</v>
      </c>
      <c r="N451" s="14" t="str">
        <f>IFERROR(__xludf.DUMMYFUNCTION("""COMPUTED_VALUE"""),"https://lh5.googleusercontent.com/d/1qmdASsMUTmfqul-sTfYrh3mfc917uhjn")</f>
        <v>https://lh5.googleusercontent.com/d/1qmdASsMUTmfqul-sTfYrh3mfc917uhjn</v>
      </c>
      <c r="O451" s="14" t="str">
        <f>IFERROR(__xludf.DUMMYFUNCTION("""COMPUTED_VALUE"""),"https://drive.google.com/file/d/1i2MLlEMgCKdSqRkpecC4RAuX-Oabm24C/view?usp=drivesdk")</f>
        <v>https://drive.google.com/file/d/1i2MLlEMgCKdSqRkpecC4RAuX-Oabm24C/view?usp=drivesdk</v>
      </c>
    </row>
    <row r="452">
      <c r="A452" s="3">
        <f>IFERROR(__xludf.DUMMYFUNCTION("""COMPUTED_VALUE"""),2168.0)</f>
        <v>2168</v>
      </c>
      <c r="B452" s="11">
        <f>IFERROR(__xludf.DUMMYFUNCTION("""COMPUTED_VALUE"""),46167.32157865741)</f>
        <v>46167.32158</v>
      </c>
      <c r="C452" s="3" t="str">
        <f>IFERROR(__xludf.DUMMYFUNCTION("""COMPUTED_VALUE"""),"ชั้นปีที่ 2")</f>
        <v>ชั้นปีที่ 2</v>
      </c>
      <c r="D452" s="3" t="str">
        <f>IFERROR(__xludf.DUMMYFUNCTION("""COMPUTED_VALUE"""),"6703848")</f>
        <v>6703848</v>
      </c>
      <c r="E452" s="3" t="str">
        <f>IFERROR(__xludf.DUMMYFUNCTION("""COMPUTED_VALUE"""),"30")</f>
        <v>30</v>
      </c>
      <c r="F452" s="3" t="str">
        <f>IFERROR(__xludf.DUMMYFUNCTION("""COMPUTED_VALUE"""),"บุญสิตา สุสี")</f>
        <v>บุญสิตา สุสี</v>
      </c>
      <c r="G4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2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2" s="3" t="str">
        <f>IFERROR(__xludf.DUMMYFUNCTION("""COMPUTED_VALUE"""),"สนามธูปะเตมีย์")</f>
        <v>สนามธูปะเตมีย์</v>
      </c>
      <c r="J452" s="12">
        <f>IFERROR(__xludf.DUMMYFUNCTION("""COMPUTED_VALUE"""),46078.0)</f>
        <v>46078</v>
      </c>
      <c r="K452" s="3" t="str">
        <f>IFERROR(__xludf.DUMMYFUNCTION("""COMPUTED_VALUE"""),"1200-2000")</f>
        <v>1200-2000</v>
      </c>
      <c r="L452" s="3">
        <f>IFERROR(__xludf.DUMMYFUNCTION("""COMPUTED_VALUE"""),8.0)</f>
        <v>8</v>
      </c>
      <c r="M45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2" s="14" t="str">
        <f>IFERROR(__xludf.DUMMYFUNCTION("""COMPUTED_VALUE"""),"https://lh5.googleusercontent.com/d/1VYsRuKaDYe08dv7ng2HfHCQelf0P_WHm")</f>
        <v>https://lh5.googleusercontent.com/d/1VYsRuKaDYe08dv7ng2HfHCQelf0P_WHm</v>
      </c>
      <c r="O452" s="14" t="str">
        <f>IFERROR(__xludf.DUMMYFUNCTION("""COMPUTED_VALUE"""),"https://drive.google.com/file/d/1PZ_ysaNYdKGC0C_WdxPSnPI1luT4PAN8/view?usp=drivesdk")</f>
        <v>https://drive.google.com/file/d/1PZ_ysaNYdKGC0C_WdxPSnPI1luT4PAN8/view?usp=drivesdk</v>
      </c>
    </row>
    <row r="453">
      <c r="A453" s="3">
        <f>IFERROR(__xludf.DUMMYFUNCTION("""COMPUTED_VALUE"""),2169.0)</f>
        <v>2169</v>
      </c>
      <c r="B453" s="11">
        <f>IFERROR(__xludf.DUMMYFUNCTION("""COMPUTED_VALUE"""),46167.32180699074)</f>
        <v>46167.32181</v>
      </c>
      <c r="C453" s="3" t="str">
        <f>IFERROR(__xludf.DUMMYFUNCTION("""COMPUTED_VALUE"""),"ชั้นปีที่ 2")</f>
        <v>ชั้นปีที่ 2</v>
      </c>
      <c r="D453" s="3" t="str">
        <f>IFERROR(__xludf.DUMMYFUNCTION("""COMPUTED_VALUE"""),"3854")</f>
        <v>3854</v>
      </c>
      <c r="E453" s="3" t="str">
        <f>IFERROR(__xludf.DUMMYFUNCTION("""COMPUTED_VALUE"""),"35")</f>
        <v>35</v>
      </c>
      <c r="F453" s="3" t="str">
        <f>IFERROR(__xludf.DUMMYFUNCTION("""COMPUTED_VALUE"""),"นพอ.พชรพร เพ็งภัตรา")</f>
        <v>นพอ.พชรพร เพ็งภัตรา</v>
      </c>
      <c r="G4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3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3" s="3" t="str">
        <f>IFERROR(__xludf.DUMMYFUNCTION("""COMPUTED_VALUE"""),"สนามกีฬาธูปะเตมีย์")</f>
        <v>สนามกีฬาธูปะเตมีย์</v>
      </c>
      <c r="J453" s="12">
        <f>IFERROR(__xludf.DUMMYFUNCTION("""COMPUTED_VALUE"""),46078.0)</f>
        <v>46078</v>
      </c>
      <c r="K453" s="3" t="str">
        <f>IFERROR(__xludf.DUMMYFUNCTION("""COMPUTED_VALUE"""),"1200-2000")</f>
        <v>1200-2000</v>
      </c>
      <c r="L453" s="3">
        <f>IFERROR(__xludf.DUMMYFUNCTION("""COMPUTED_VALUE"""),8.0)</f>
        <v>8</v>
      </c>
      <c r="M453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53" s="14" t="str">
        <f>IFERROR(__xludf.DUMMYFUNCTION("""COMPUTED_VALUE"""),"https://lh5.googleusercontent.com/d/1ssRdxFPSc6uOJEaEEO3NYK0CJXQYHs3S")</f>
        <v>https://lh5.googleusercontent.com/d/1ssRdxFPSc6uOJEaEEO3NYK0CJXQYHs3S</v>
      </c>
      <c r="O453" s="14" t="str">
        <f>IFERROR(__xludf.DUMMYFUNCTION("""COMPUTED_VALUE"""),"https://drive.google.com/file/d/1oFdPKY2-1XupvMwDyWbXN4YBQ2Yb5CyG/view?usp=drivesdk")</f>
        <v>https://drive.google.com/file/d/1oFdPKY2-1XupvMwDyWbXN4YBQ2Yb5CyG/view?usp=drivesdk</v>
      </c>
    </row>
    <row r="454">
      <c r="A454" s="3">
        <f>IFERROR(__xludf.DUMMYFUNCTION("""COMPUTED_VALUE"""),2171.0)</f>
        <v>2171</v>
      </c>
      <c r="B454" s="11">
        <f>IFERROR(__xludf.DUMMYFUNCTION("""COMPUTED_VALUE"""),46167.32373322917)</f>
        <v>46167.32373</v>
      </c>
      <c r="C454" s="3" t="str">
        <f>IFERROR(__xludf.DUMMYFUNCTION("""COMPUTED_VALUE"""),"ชั้นปีที่ 2")</f>
        <v>ชั้นปีที่ 2</v>
      </c>
      <c r="D454" s="3" t="str">
        <f>IFERROR(__xludf.DUMMYFUNCTION("""COMPUTED_VALUE"""),"6703833")</f>
        <v>6703833</v>
      </c>
      <c r="E454" s="3" t="str">
        <f>IFERROR(__xludf.DUMMYFUNCTION("""COMPUTED_VALUE"""),"16")</f>
        <v>16</v>
      </c>
      <c r="F454" s="3" t="str">
        <f>IFERROR(__xludf.DUMMYFUNCTION("""COMPUTED_VALUE"""),"นพอ.ฐานิดา อ่อนล้อม")</f>
        <v>นพอ.ฐานิดา อ่อนล้อม</v>
      </c>
      <c r="G4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4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4" s="3" t="str">
        <f>IFERROR(__xludf.DUMMYFUNCTION("""COMPUTED_VALUE"""),"สนามธูปะเตมีย์")</f>
        <v>สนามธูปะเตมีย์</v>
      </c>
      <c r="J454" s="12">
        <f>IFERROR(__xludf.DUMMYFUNCTION("""COMPUTED_VALUE"""),46078.0)</f>
        <v>46078</v>
      </c>
      <c r="K454" s="3" t="str">
        <f>IFERROR(__xludf.DUMMYFUNCTION("""COMPUTED_VALUE"""),"1200-2000")</f>
        <v>1200-2000</v>
      </c>
      <c r="L454" s="3">
        <f>IFERROR(__xludf.DUMMYFUNCTION("""COMPUTED_VALUE"""),8.0)</f>
        <v>8</v>
      </c>
      <c r="M45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4" s="14" t="str">
        <f>IFERROR(__xludf.DUMMYFUNCTION("""COMPUTED_VALUE"""),"https://lh5.googleusercontent.com/d/1aPPjBGCCNT-q1ASCiDg_rlv79dsDNGQv")</f>
        <v>https://lh5.googleusercontent.com/d/1aPPjBGCCNT-q1ASCiDg_rlv79dsDNGQv</v>
      </c>
      <c r="O454" s="14" t="str">
        <f>IFERROR(__xludf.DUMMYFUNCTION("""COMPUTED_VALUE"""),"https://drive.google.com/file/d/1BtHARUYgyxDP0yEQWZgFk3qPn4jQwaIL/view?usp=drivesdk")</f>
        <v>https://drive.google.com/file/d/1BtHARUYgyxDP0yEQWZgFk3qPn4jQwaIL/view?usp=drivesdk</v>
      </c>
    </row>
    <row r="455">
      <c r="A455" s="3">
        <f>IFERROR(__xludf.DUMMYFUNCTION("""COMPUTED_VALUE"""),2173.0)</f>
        <v>2173</v>
      </c>
      <c r="B455" s="11">
        <f>IFERROR(__xludf.DUMMYFUNCTION("""COMPUTED_VALUE"""),46167.325956851855)</f>
        <v>46167.32596</v>
      </c>
      <c r="C455" s="3" t="str">
        <f>IFERROR(__xludf.DUMMYFUNCTION("""COMPUTED_VALUE"""),"ชั้นปีที่ 2")</f>
        <v>ชั้นปีที่ 2</v>
      </c>
      <c r="D455" s="3" t="str">
        <f>IFERROR(__xludf.DUMMYFUNCTION("""COMPUTED_VALUE"""),"6703834")</f>
        <v>6703834</v>
      </c>
      <c r="E455" s="3" t="str">
        <f>IFERROR(__xludf.DUMMYFUNCTION("""COMPUTED_VALUE"""),"17")</f>
        <v>17</v>
      </c>
      <c r="F455" s="3" t="str">
        <f>IFERROR(__xludf.DUMMYFUNCTION("""COMPUTED_VALUE"""),"นพอ.ฑิตถากร แน่นอุดร")</f>
        <v>นพอ.ฑิตถากร แน่นอุดร</v>
      </c>
      <c r="G455" s="3" t="str">
        <f>IFERROR(__xludf.DUMMYFUNCTION("""COMPUTED_VALUE"""),"ช่วยเหลืองานภายใน วพอ.")</f>
        <v>ช่วยเหลืองานภายใน วพอ.</v>
      </c>
      <c r="H45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55" s="3" t="str">
        <f>IFERROR(__xludf.DUMMYFUNCTION("""COMPUTED_VALUE"""),"วพอ.พอ")</f>
        <v>วพอ.พอ</v>
      </c>
      <c r="J455" s="12">
        <f>IFERROR(__xludf.DUMMYFUNCTION("""COMPUTED_VALUE"""),46135.0)</f>
        <v>46135</v>
      </c>
      <c r="K455" s="3" t="str">
        <f>IFERROR(__xludf.DUMMYFUNCTION("""COMPUTED_VALUE"""),"1700-2100")</f>
        <v>1700-2100</v>
      </c>
      <c r="L455" s="3">
        <f>IFERROR(__xludf.DUMMYFUNCTION("""COMPUTED_VALUE"""),4.0)</f>
        <v>4</v>
      </c>
      <c r="M455" s="3" t="str">
        <f>IFERROR(__xludf.DUMMYFUNCTION("""COMPUTED_VALUE"""),"ร.อ.อนุชิต ทำจะดี")</f>
        <v>ร.อ.อนุชิต ทำจะดี</v>
      </c>
      <c r="N455" s="14" t="str">
        <f>IFERROR(__xludf.DUMMYFUNCTION("""COMPUTED_VALUE"""),"https://lh5.googleusercontent.com/d/1mtb6wYDPSc_asbcuG5IFTAnJa-Qv_FJA")</f>
        <v>https://lh5.googleusercontent.com/d/1mtb6wYDPSc_asbcuG5IFTAnJa-Qv_FJA</v>
      </c>
      <c r="O455" s="14" t="str">
        <f>IFERROR(__xludf.DUMMYFUNCTION("""COMPUTED_VALUE"""),"https://drive.google.com/file/d/1WKeBLPjXIDo5IwMqGktjXH-rgASAr17q/view?usp=drivesdk")</f>
        <v>https://drive.google.com/file/d/1WKeBLPjXIDo5IwMqGktjXH-rgASAr17q/view?usp=drivesdk</v>
      </c>
    </row>
    <row r="456">
      <c r="A456" s="3">
        <f>IFERROR(__xludf.DUMMYFUNCTION("""COMPUTED_VALUE"""),2174.0)</f>
        <v>2174</v>
      </c>
      <c r="B456" s="11">
        <f>IFERROR(__xludf.DUMMYFUNCTION("""COMPUTED_VALUE"""),46167.327378078706)</f>
        <v>46167.32738</v>
      </c>
      <c r="C456" s="3" t="str">
        <f>IFERROR(__xludf.DUMMYFUNCTION("""COMPUTED_VALUE"""),"ชั้นปีที่ 2")</f>
        <v>ชั้นปีที่ 2</v>
      </c>
      <c r="D456" s="3" t="str">
        <f>IFERROR(__xludf.DUMMYFUNCTION("""COMPUTED_VALUE"""),"6703844")</f>
        <v>6703844</v>
      </c>
      <c r="E456" s="3" t="str">
        <f>IFERROR(__xludf.DUMMYFUNCTION("""COMPUTED_VALUE"""),"26")</f>
        <v>26</v>
      </c>
      <c r="F456" s="3" t="str">
        <f>IFERROR(__xludf.DUMMYFUNCTION("""COMPUTED_VALUE"""),"นพอ.นพชกร ทิวแพ")</f>
        <v>นพอ.นพชกร ทิวแพ</v>
      </c>
      <c r="G4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6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456" s="12">
        <f>IFERROR(__xludf.DUMMYFUNCTION("""COMPUTED_VALUE"""),46078.0)</f>
        <v>46078</v>
      </c>
      <c r="K456" s="3" t="str">
        <f>IFERROR(__xludf.DUMMYFUNCTION("""COMPUTED_VALUE"""),"1200-2000")</f>
        <v>1200-2000</v>
      </c>
      <c r="L456" s="3">
        <f>IFERROR(__xludf.DUMMYFUNCTION("""COMPUTED_VALUE"""),8.0)</f>
        <v>8</v>
      </c>
      <c r="M45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6" s="14" t="str">
        <f>IFERROR(__xludf.DUMMYFUNCTION("""COMPUTED_VALUE"""),"https://lh5.googleusercontent.com/d/1uSJJgUJ_RtgfNnrWjCkSyB7Jn2F8IG9x")</f>
        <v>https://lh5.googleusercontent.com/d/1uSJJgUJ_RtgfNnrWjCkSyB7Jn2F8IG9x</v>
      </c>
      <c r="O456" s="14" t="str">
        <f>IFERROR(__xludf.DUMMYFUNCTION("""COMPUTED_VALUE"""),"https://drive.google.com/file/d/1g9N2A2V1ThLznPos9PCjL__o8GEBKz_7/view?usp=drivesdk")</f>
        <v>https://drive.google.com/file/d/1g9N2A2V1ThLznPos9PCjL__o8GEBKz_7/view?usp=drivesdk</v>
      </c>
    </row>
    <row r="457">
      <c r="A457" s="3">
        <f>IFERROR(__xludf.DUMMYFUNCTION("""COMPUTED_VALUE"""),2175.0)</f>
        <v>2175</v>
      </c>
      <c r="B457" s="11">
        <f>IFERROR(__xludf.DUMMYFUNCTION("""COMPUTED_VALUE"""),46167.3278515162)</f>
        <v>46167.32785</v>
      </c>
      <c r="C457" s="3" t="str">
        <f>IFERROR(__xludf.DUMMYFUNCTION("""COMPUTED_VALUE"""),"ชั้นปีที่ 2")</f>
        <v>ชั้นปีที่ 2</v>
      </c>
      <c r="D457" s="3" t="str">
        <f>IFERROR(__xludf.DUMMYFUNCTION("""COMPUTED_VALUE"""),"6703834")</f>
        <v>6703834</v>
      </c>
      <c r="E457" s="3" t="str">
        <f>IFERROR(__xludf.DUMMYFUNCTION("""COMPUTED_VALUE"""),"17")</f>
        <v>17</v>
      </c>
      <c r="F457" s="3" t="str">
        <f>IFERROR(__xludf.DUMMYFUNCTION("""COMPUTED_VALUE"""),"นพอ.ฑิตถากร แน่นอุดร")</f>
        <v>นพอ.ฑิตถากร แน่นอุดร</v>
      </c>
      <c r="G457" s="3" t="str">
        <f>IFERROR(__xludf.DUMMYFUNCTION("""COMPUTED_VALUE"""),"ช่วยเหลืองานภายใน วพอ.")</f>
        <v>ช่วยเหลืองานภายใน วพอ.</v>
      </c>
      <c r="H45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57" s="3" t="str">
        <f>IFERROR(__xludf.DUMMYFUNCTION("""COMPUTED_VALUE"""),"วพอ.พอ")</f>
        <v>วพอ.พอ</v>
      </c>
      <c r="J457" s="12">
        <f>IFERROR(__xludf.DUMMYFUNCTION("""COMPUTED_VALUE"""),46138.0)</f>
        <v>46138</v>
      </c>
      <c r="K457" s="3" t="str">
        <f>IFERROR(__xludf.DUMMYFUNCTION("""COMPUTED_VALUE"""),"1500-2100")</f>
        <v>1500-2100</v>
      </c>
      <c r="L457" s="3">
        <f>IFERROR(__xludf.DUMMYFUNCTION("""COMPUTED_VALUE"""),6.0)</f>
        <v>6</v>
      </c>
      <c r="M457" s="3" t="str">
        <f>IFERROR(__xludf.DUMMYFUNCTION("""COMPUTED_VALUE"""),"ร.อ.อนุชิต ทำจะดี")</f>
        <v>ร.อ.อนุชิต ทำจะดี</v>
      </c>
      <c r="N457" s="14" t="str">
        <f>IFERROR(__xludf.DUMMYFUNCTION("""COMPUTED_VALUE"""),"https://lh5.googleusercontent.com/d/1j_YhQQqr23EXO1BJhUSTI28oEuC8Vz36")</f>
        <v>https://lh5.googleusercontent.com/d/1j_YhQQqr23EXO1BJhUSTI28oEuC8Vz36</v>
      </c>
      <c r="O457" s="14" t="str">
        <f>IFERROR(__xludf.DUMMYFUNCTION("""COMPUTED_VALUE"""),"https://drive.google.com/file/d/1dH2Qfc1athF78MMRgR6jy7nIYGURT4w_/view?usp=drivesdk")</f>
        <v>https://drive.google.com/file/d/1dH2Qfc1athF78MMRgR6jy7nIYGURT4w_/view?usp=drivesdk</v>
      </c>
    </row>
    <row r="458">
      <c r="A458" s="3">
        <f>IFERROR(__xludf.DUMMYFUNCTION("""COMPUTED_VALUE"""),2176.0)</f>
        <v>2176</v>
      </c>
      <c r="B458" s="11">
        <f>IFERROR(__xludf.DUMMYFUNCTION("""COMPUTED_VALUE"""),46167.32820631944)</f>
        <v>46167.32821</v>
      </c>
      <c r="C458" s="3" t="str">
        <f>IFERROR(__xludf.DUMMYFUNCTION("""COMPUTED_VALUE"""),"ชั้นปีที่ 2")</f>
        <v>ชั้นปีที่ 2</v>
      </c>
      <c r="D458" s="3" t="str">
        <f>IFERROR(__xludf.DUMMYFUNCTION("""COMPUTED_VALUE"""),"6703878")</f>
        <v>6703878</v>
      </c>
      <c r="E458" s="3" t="str">
        <f>IFERROR(__xludf.DUMMYFUNCTION("""COMPUTED_VALUE"""),"58")</f>
        <v>58</v>
      </c>
      <c r="F458" s="3" t="str">
        <f>IFERROR(__xludf.DUMMYFUNCTION("""COMPUTED_VALUE"""),"นพอ.สุชาสินี ป้อมพยัคฆ์")</f>
        <v>นพอ.สุชาสินี ป้อมพยัคฆ์</v>
      </c>
      <c r="G4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8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58" s="3" t="str">
        <f>IFERROR(__xludf.DUMMYFUNCTION("""COMPUTED_VALUE"""),"สนามกีฬาธูปเตมี")</f>
        <v>สนามกีฬาธูปเตมี</v>
      </c>
      <c r="J458" s="12">
        <f>IFERROR(__xludf.DUMMYFUNCTION("""COMPUTED_VALUE"""),46078.0)</f>
        <v>46078</v>
      </c>
      <c r="K458" s="3" t="str">
        <f>IFERROR(__xludf.DUMMYFUNCTION("""COMPUTED_VALUE"""),"1200-2000")</f>
        <v>1200-2000</v>
      </c>
      <c r="L458" s="3">
        <f>IFERROR(__xludf.DUMMYFUNCTION("""COMPUTED_VALUE"""),8.0)</f>
        <v>8</v>
      </c>
      <c r="M458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58" s="14" t="str">
        <f>IFERROR(__xludf.DUMMYFUNCTION("""COMPUTED_VALUE"""),"https://lh5.googleusercontent.com/d/1i6KDKL-kMtMOvKxmILwPf_KNOrhA6-22")</f>
        <v>https://lh5.googleusercontent.com/d/1i6KDKL-kMtMOvKxmILwPf_KNOrhA6-22</v>
      </c>
      <c r="O458" s="14" t="str">
        <f>IFERROR(__xludf.DUMMYFUNCTION("""COMPUTED_VALUE"""),"https://drive.google.com/file/d/1w7nRfj8bpy8-b1aTJfEecyI-sUw0RyKW/view?usp=drivesdk")</f>
        <v>https://drive.google.com/file/d/1w7nRfj8bpy8-b1aTJfEecyI-sUw0RyKW/view?usp=drivesdk</v>
      </c>
    </row>
    <row r="459">
      <c r="A459" s="3">
        <f>IFERROR(__xludf.DUMMYFUNCTION("""COMPUTED_VALUE"""),2177.0)</f>
        <v>2177</v>
      </c>
      <c r="B459" s="11">
        <f>IFERROR(__xludf.DUMMYFUNCTION("""COMPUTED_VALUE"""),46167.32849532408)</f>
        <v>46167.3285</v>
      </c>
      <c r="C459" s="3" t="str">
        <f>IFERROR(__xludf.DUMMYFUNCTION("""COMPUTED_VALUE"""),"ชั้นปีที่ 2")</f>
        <v>ชั้นปีที่ 2</v>
      </c>
      <c r="D459" s="3" t="str">
        <f>IFERROR(__xludf.DUMMYFUNCTION("""COMPUTED_VALUE"""),"6703852")</f>
        <v>6703852</v>
      </c>
      <c r="E459" s="3" t="str">
        <f>IFERROR(__xludf.DUMMYFUNCTION("""COMPUTED_VALUE"""),"33")</f>
        <v>33</v>
      </c>
      <c r="F459" s="3" t="str">
        <f>IFERROR(__xludf.DUMMYFUNCTION("""COMPUTED_VALUE"""),"นพอ.ปุณยาพร เสือสมิง")</f>
        <v>นพอ.ปุณยาพร เสือสมิง</v>
      </c>
      <c r="G4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9" s="3" t="str">
        <f>IFERROR(__xludf.DUMMYFUNCTION("""COMPUTED_VALUE"""),"พิธีเปิด-ปิดกีฬาสีภายในกองทัพอากาศ")</f>
        <v>พิธีเปิด-ปิดกีฬาสีภายในกองทัพอากาศ</v>
      </c>
      <c r="I459" s="3" t="str">
        <f>IFERROR(__xludf.DUMMYFUNCTION("""COMPUTED_VALUE"""),"สนามกีฬาธูปะเตมีย์")</f>
        <v>สนามกีฬาธูปะเตมีย์</v>
      </c>
      <c r="J459" s="12">
        <f>IFERROR(__xludf.DUMMYFUNCTION("""COMPUTED_VALUE"""),46078.0)</f>
        <v>46078</v>
      </c>
      <c r="K459" s="3" t="str">
        <f>IFERROR(__xludf.DUMMYFUNCTION("""COMPUTED_VALUE"""),"1200-2000")</f>
        <v>1200-2000</v>
      </c>
      <c r="L459" s="3">
        <f>IFERROR(__xludf.DUMMYFUNCTION("""COMPUTED_VALUE"""),8.0)</f>
        <v>8</v>
      </c>
      <c r="M459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59" s="14" t="str">
        <f>IFERROR(__xludf.DUMMYFUNCTION("""COMPUTED_VALUE"""),"https://lh5.googleusercontent.com/d/1NYp6HIwbC7yuXFVGMcvoPxF9Yk8nrEOv")</f>
        <v>https://lh5.googleusercontent.com/d/1NYp6HIwbC7yuXFVGMcvoPxF9Yk8nrEOv</v>
      </c>
      <c r="O459" s="14" t="str">
        <f>IFERROR(__xludf.DUMMYFUNCTION("""COMPUTED_VALUE"""),"https://drive.google.com/file/d/1vMUh-VsYX8CkaKiPjNkqHgcuE1Nys11p/view?usp=drivesdk")</f>
        <v>https://drive.google.com/file/d/1vMUh-VsYX8CkaKiPjNkqHgcuE1Nys11p/view?usp=drivesdk</v>
      </c>
    </row>
    <row r="460">
      <c r="A460" s="3">
        <f>IFERROR(__xludf.DUMMYFUNCTION("""COMPUTED_VALUE"""),2178.0)</f>
        <v>2178</v>
      </c>
      <c r="B460" s="11">
        <f>IFERROR(__xludf.DUMMYFUNCTION("""COMPUTED_VALUE"""),46167.32854716435)</f>
        <v>46167.32855</v>
      </c>
      <c r="C460" s="3" t="str">
        <f>IFERROR(__xludf.DUMMYFUNCTION("""COMPUTED_VALUE"""),"ชั้นปีที่ 2")</f>
        <v>ชั้นปีที่ 2</v>
      </c>
      <c r="D460" s="3" t="str">
        <f>IFERROR(__xludf.DUMMYFUNCTION("""COMPUTED_VALUE"""),"6703877")</f>
        <v>6703877</v>
      </c>
      <c r="E460" s="3" t="str">
        <f>IFERROR(__xludf.DUMMYFUNCTION("""COMPUTED_VALUE"""),"57")</f>
        <v>57</v>
      </c>
      <c r="F460" s="3" t="str">
        <f>IFERROR(__xludf.DUMMYFUNCTION("""COMPUTED_VALUE"""),"นพอ.สุชารัตน์ นิวงษา")</f>
        <v>นพอ.สุชารัตน์ นิวงษา</v>
      </c>
      <c r="G46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0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60" s="3" t="str">
        <f>IFERROR(__xludf.DUMMYFUNCTION("""COMPUTED_VALUE"""),"สนามกีฬาธูปะเตมีย์")</f>
        <v>สนามกีฬาธูปะเตมีย์</v>
      </c>
      <c r="J460" s="12">
        <f>IFERROR(__xludf.DUMMYFUNCTION("""COMPUTED_VALUE"""),46078.0)</f>
        <v>46078</v>
      </c>
      <c r="K460" s="3" t="str">
        <f>IFERROR(__xludf.DUMMYFUNCTION("""COMPUTED_VALUE"""),"1200-2000")</f>
        <v>1200-2000</v>
      </c>
      <c r="L460" s="3">
        <f>IFERROR(__xludf.DUMMYFUNCTION("""COMPUTED_VALUE"""),8.0)</f>
        <v>8</v>
      </c>
      <c r="M460" s="3" t="str">
        <f>IFERROR(__xludf.DUMMYFUNCTION("""COMPUTED_VALUE"""),"น.ต.หญิงขสัญชนก พ่วงนาคพันธุ์")</f>
        <v>น.ต.หญิงขสัญชนก พ่วงนาคพันธุ์</v>
      </c>
      <c r="N460" s="3"/>
      <c r="O460" s="14" t="str">
        <f>IFERROR(__xludf.DUMMYFUNCTION("""COMPUTED_VALUE"""),"https://drive.google.com/file/d/17FTtsZvwPp-GRRqeFe875hR08Q7zrU90/view?usp=drivesdk")</f>
        <v>https://drive.google.com/file/d/17FTtsZvwPp-GRRqeFe875hR08Q7zrU90/view?usp=drivesdk</v>
      </c>
    </row>
    <row r="461">
      <c r="A461" s="3">
        <f>IFERROR(__xludf.DUMMYFUNCTION("""COMPUTED_VALUE"""),2179.0)</f>
        <v>2179</v>
      </c>
      <c r="B461" s="11">
        <f>IFERROR(__xludf.DUMMYFUNCTION("""COMPUTED_VALUE"""),46167.32890642361)</f>
        <v>46167.32891</v>
      </c>
      <c r="C461" s="3" t="str">
        <f>IFERROR(__xludf.DUMMYFUNCTION("""COMPUTED_VALUE"""),"ชั้นปีที่ 2")</f>
        <v>ชั้นปีที่ 2</v>
      </c>
      <c r="D461" s="3" t="str">
        <f>IFERROR(__xludf.DUMMYFUNCTION("""COMPUTED_VALUE"""),"6703818")</f>
        <v>6703818</v>
      </c>
      <c r="E461" s="3" t="str">
        <f>IFERROR(__xludf.DUMMYFUNCTION("""COMPUTED_VALUE"""),"1")</f>
        <v>1</v>
      </c>
      <c r="F461" s="3" t="str">
        <f>IFERROR(__xludf.DUMMYFUNCTION("""COMPUTED_VALUE"""),"นพอ.กนกวรรณ จิณเสน")</f>
        <v>นพอ.กนกวรรณ จิณเสน</v>
      </c>
      <c r="G4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1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61" s="3" t="str">
        <f>IFERROR(__xludf.DUMMYFUNCTION("""COMPUTED_VALUE"""),"สนามธูปเตมีย์")</f>
        <v>สนามธูปเตมีย์</v>
      </c>
      <c r="J461" s="12">
        <f>IFERROR(__xludf.DUMMYFUNCTION("""COMPUTED_VALUE"""),46078.0)</f>
        <v>46078</v>
      </c>
      <c r="K461" s="3" t="str">
        <f>IFERROR(__xludf.DUMMYFUNCTION("""COMPUTED_VALUE"""),"1200-2000")</f>
        <v>1200-2000</v>
      </c>
      <c r="L461" s="3">
        <f>IFERROR(__xludf.DUMMYFUNCTION("""COMPUTED_VALUE"""),8.0)</f>
        <v>8</v>
      </c>
      <c r="M46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1" s="14" t="str">
        <f>IFERROR(__xludf.DUMMYFUNCTION("""COMPUTED_VALUE"""),"https://lh5.googleusercontent.com/d/156gfAcyl6sH1sgmnSII_OSwsVGog-59V")</f>
        <v>https://lh5.googleusercontent.com/d/156gfAcyl6sH1sgmnSII_OSwsVGog-59V</v>
      </c>
      <c r="O461" s="14" t="str">
        <f>IFERROR(__xludf.DUMMYFUNCTION("""COMPUTED_VALUE"""),"https://drive.google.com/file/d/1zebGRW1z8XhCxR4-S6fwkR8O_PGg9MlN/view?usp=drivesdk")</f>
        <v>https://drive.google.com/file/d/1zebGRW1z8XhCxR4-S6fwkR8O_PGg9MlN/view?usp=drivesdk</v>
      </c>
    </row>
    <row r="462">
      <c r="A462" s="3">
        <f>IFERROR(__xludf.DUMMYFUNCTION("""COMPUTED_VALUE"""),2180.0)</f>
        <v>2180</v>
      </c>
      <c r="B462" s="11">
        <f>IFERROR(__xludf.DUMMYFUNCTION("""COMPUTED_VALUE"""),46167.32921891204)</f>
        <v>46167.32922</v>
      </c>
      <c r="C462" s="3" t="str">
        <f>IFERROR(__xludf.DUMMYFUNCTION("""COMPUTED_VALUE"""),"ชั้นปีที่ 2")</f>
        <v>ชั้นปีที่ 2</v>
      </c>
      <c r="D462" s="3" t="str">
        <f>IFERROR(__xludf.DUMMYFUNCTION("""COMPUTED_VALUE"""),"6703872")</f>
        <v>6703872</v>
      </c>
      <c r="E462" s="3" t="str">
        <f>IFERROR(__xludf.DUMMYFUNCTION("""COMPUTED_VALUE"""),"52")</f>
        <v>52</v>
      </c>
      <c r="F462" s="3" t="str">
        <f>IFERROR(__xludf.DUMMYFUNCTION("""COMPUTED_VALUE"""),"นพอ.ศลิษา สุริยผัส")</f>
        <v>นพอ.ศลิษา สุริยผัส</v>
      </c>
      <c r="G4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2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62" s="3" t="str">
        <f>IFERROR(__xludf.DUMMYFUNCTION("""COMPUTED_VALUE"""),"สนามกีฬาธูปเตย์มี")</f>
        <v>สนามกีฬาธูปเตย์มี</v>
      </c>
      <c r="J462" s="12">
        <f>IFERROR(__xludf.DUMMYFUNCTION("""COMPUTED_VALUE"""),46078.0)</f>
        <v>46078</v>
      </c>
      <c r="K462" s="3" t="str">
        <f>IFERROR(__xludf.DUMMYFUNCTION("""COMPUTED_VALUE"""),"1200-2000")</f>
        <v>1200-2000</v>
      </c>
      <c r="L462" s="3">
        <f>IFERROR(__xludf.DUMMYFUNCTION("""COMPUTED_VALUE"""),8.0)</f>
        <v>8</v>
      </c>
      <c r="M46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2" s="14" t="str">
        <f>IFERROR(__xludf.DUMMYFUNCTION("""COMPUTED_VALUE"""),"https://lh5.googleusercontent.com/d/1Grv_OlQkvCXzSWpcZZ3pCB3ZiQZFzofC")</f>
        <v>https://lh5.googleusercontent.com/d/1Grv_OlQkvCXzSWpcZZ3pCB3ZiQZFzofC</v>
      </c>
      <c r="O462" s="14" t="str">
        <f>IFERROR(__xludf.DUMMYFUNCTION("""COMPUTED_VALUE"""),"https://drive.google.com/file/d/1tniBpGZzknpIzLDqPiSwMl_4heyeGoaK/view?usp=drivesdk")</f>
        <v>https://drive.google.com/file/d/1tniBpGZzknpIzLDqPiSwMl_4heyeGoaK/view?usp=drivesdk</v>
      </c>
    </row>
    <row r="463">
      <c r="A463" s="3">
        <f>IFERROR(__xludf.DUMMYFUNCTION("""COMPUTED_VALUE"""),2181.0)</f>
        <v>2181</v>
      </c>
      <c r="B463" s="11">
        <f>IFERROR(__xludf.DUMMYFUNCTION("""COMPUTED_VALUE"""),46167.32928509259)</f>
        <v>46167.32929</v>
      </c>
      <c r="C463" s="3" t="str">
        <f>IFERROR(__xludf.DUMMYFUNCTION("""COMPUTED_VALUE"""),"ชั้นปีที่ 2")</f>
        <v>ชั้นปีที่ 2</v>
      </c>
      <c r="D463" s="3" t="str">
        <f>IFERROR(__xludf.DUMMYFUNCTION("""COMPUTED_VALUE"""),"6703834")</f>
        <v>6703834</v>
      </c>
      <c r="E463" s="3" t="str">
        <f>IFERROR(__xludf.DUMMYFUNCTION("""COMPUTED_VALUE"""),"17")</f>
        <v>17</v>
      </c>
      <c r="F463" s="3" t="str">
        <f>IFERROR(__xludf.DUMMYFUNCTION("""COMPUTED_VALUE"""),"นพอ.ฑิตถากร แน่นอุดร")</f>
        <v>นพอ.ฑิตถากร แน่นอุดร</v>
      </c>
      <c r="G463" s="3" t="str">
        <f>IFERROR(__xludf.DUMMYFUNCTION("""COMPUTED_VALUE"""),"ช่วยเหลืองานภายใน วพอ.")</f>
        <v>ช่วยเหลืองานภายใน วพอ.</v>
      </c>
      <c r="H46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3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63" s="12">
        <f>IFERROR(__xludf.DUMMYFUNCTION("""COMPUTED_VALUE"""),46139.0)</f>
        <v>46139</v>
      </c>
      <c r="K463" s="3" t="str">
        <f>IFERROR(__xludf.DUMMYFUNCTION("""COMPUTED_VALUE"""),"1700-2100")</f>
        <v>1700-2100</v>
      </c>
      <c r="L463" s="3">
        <f>IFERROR(__xludf.DUMMYFUNCTION("""COMPUTED_VALUE"""),4.0)</f>
        <v>4</v>
      </c>
      <c r="M463" s="3" t="str">
        <f>IFERROR(__xludf.DUMMYFUNCTION("""COMPUTED_VALUE"""),"ร.อ.อนุชิต ทำจะดี")</f>
        <v>ร.อ.อนุชิต ทำจะดี</v>
      </c>
      <c r="N463" s="14" t="str">
        <f>IFERROR(__xludf.DUMMYFUNCTION("""COMPUTED_VALUE"""),"https://lh5.googleusercontent.com/d/1n8DB8zX4nRrmKEut2Fu-r7J47EZra5Za")</f>
        <v>https://lh5.googleusercontent.com/d/1n8DB8zX4nRrmKEut2Fu-r7J47EZra5Za</v>
      </c>
      <c r="O463" s="14" t="str">
        <f>IFERROR(__xludf.DUMMYFUNCTION("""COMPUTED_VALUE"""),"https://drive.google.com/file/d/1Bfh8GePfefqV6RDsGD6fz-eQMfbl4z9M/view?usp=drivesdk")</f>
        <v>https://drive.google.com/file/d/1Bfh8GePfefqV6RDsGD6fz-eQMfbl4z9M/view?usp=drivesdk</v>
      </c>
    </row>
    <row r="464">
      <c r="A464" s="3">
        <f>IFERROR(__xludf.DUMMYFUNCTION("""COMPUTED_VALUE"""),2182.0)</f>
        <v>2182</v>
      </c>
      <c r="B464" s="11">
        <f>IFERROR(__xludf.DUMMYFUNCTION("""COMPUTED_VALUE"""),46167.33006912037)</f>
        <v>46167.33007</v>
      </c>
      <c r="C464" s="3" t="str">
        <f>IFERROR(__xludf.DUMMYFUNCTION("""COMPUTED_VALUE"""),"ชั้นปีที่ 2")</f>
        <v>ชั้นปีที่ 2</v>
      </c>
      <c r="D464" s="3" t="str">
        <f>IFERROR(__xludf.DUMMYFUNCTION("""COMPUTED_VALUE"""),"6703877")</f>
        <v>6703877</v>
      </c>
      <c r="E464" s="3" t="str">
        <f>IFERROR(__xludf.DUMMYFUNCTION("""COMPUTED_VALUE"""),"57")</f>
        <v>57</v>
      </c>
      <c r="F464" s="3" t="str">
        <f>IFERROR(__xludf.DUMMYFUNCTION("""COMPUTED_VALUE"""),"นพอ.สุชารัตน์ นิวงษา")</f>
        <v>นพอ.สุชารัตน์ นิวงษา</v>
      </c>
      <c r="G46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4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64" s="3" t="str">
        <f>IFERROR(__xludf.DUMMYFUNCTION("""COMPUTED_VALUE"""),"สนามกีฬาธูปะเตมีย์")</f>
        <v>สนามกีฬาธูปะเตมีย์</v>
      </c>
      <c r="J464" s="12">
        <f>IFERROR(__xludf.DUMMYFUNCTION("""COMPUTED_VALUE"""),46078.0)</f>
        <v>46078</v>
      </c>
      <c r="K464" s="3" t="str">
        <f>IFERROR(__xludf.DUMMYFUNCTION("""COMPUTED_VALUE"""),"1200-2000")</f>
        <v>1200-2000</v>
      </c>
      <c r="L464" s="3">
        <f>IFERROR(__xludf.DUMMYFUNCTION("""COMPUTED_VALUE"""),8.0)</f>
        <v>8</v>
      </c>
      <c r="M46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4" s="14" t="str">
        <f>IFERROR(__xludf.DUMMYFUNCTION("""COMPUTED_VALUE"""),"https://lh5.googleusercontent.com/d/1ZhX5Fcgie8rLm5N9Sk2Gy9nlttwvCIlU")</f>
        <v>https://lh5.googleusercontent.com/d/1ZhX5Fcgie8rLm5N9Sk2Gy9nlttwvCIlU</v>
      </c>
      <c r="O464" s="14" t="str">
        <f>IFERROR(__xludf.DUMMYFUNCTION("""COMPUTED_VALUE"""),"https://drive.google.com/file/d/1OY0D71d2K1_STBBp6E_wrL5Xq_gMzxSa/view?usp=drivesdk")</f>
        <v>https://drive.google.com/file/d/1OY0D71d2K1_STBBp6E_wrL5Xq_gMzxSa/view?usp=drivesdk</v>
      </c>
    </row>
    <row r="465">
      <c r="A465" s="3">
        <f>IFERROR(__xludf.DUMMYFUNCTION("""COMPUTED_VALUE"""),2183.0)</f>
        <v>2183</v>
      </c>
      <c r="B465" s="11">
        <f>IFERROR(__xludf.DUMMYFUNCTION("""COMPUTED_VALUE"""),46167.3305296412)</f>
        <v>46167.33053</v>
      </c>
      <c r="C465" s="3" t="str">
        <f>IFERROR(__xludf.DUMMYFUNCTION("""COMPUTED_VALUE"""),"ชั้นปีที่ 2")</f>
        <v>ชั้นปีที่ 2</v>
      </c>
      <c r="D465" s="3" t="str">
        <f>IFERROR(__xludf.DUMMYFUNCTION("""COMPUTED_VALUE"""),"6703838")</f>
        <v>6703838</v>
      </c>
      <c r="E465" s="3" t="str">
        <f>IFERROR(__xludf.DUMMYFUNCTION("""COMPUTED_VALUE"""),"21")</f>
        <v>21</v>
      </c>
      <c r="F465" s="3" t="str">
        <f>IFERROR(__xludf.DUMMYFUNCTION("""COMPUTED_VALUE"""),"นพอ.ณัฐพงษ์ วงษ์บัวงาม")</f>
        <v>นพอ.ณัฐพงษ์ วงษ์บัวงาม</v>
      </c>
      <c r="G4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5" s="3" t="str">
        <f>IFERROR(__xludf.DUMMYFUNCTION("""COMPUTED_VALUE"""),"พิธีเปิด-ปิด กีฬาภายในกองทัพอากาศ")</f>
        <v>พิธีเปิด-ปิด กีฬาภายในกองทัพอากาศ</v>
      </c>
      <c r="I465" s="3" t="str">
        <f>IFERROR(__xludf.DUMMYFUNCTION("""COMPUTED_VALUE"""),"สนามกีฬาธูปะเตมีย์")</f>
        <v>สนามกีฬาธูปะเตมีย์</v>
      </c>
      <c r="J465" s="12">
        <f>IFERROR(__xludf.DUMMYFUNCTION("""COMPUTED_VALUE"""),46078.0)</f>
        <v>46078</v>
      </c>
      <c r="K465" s="3" t="str">
        <f>IFERROR(__xludf.DUMMYFUNCTION("""COMPUTED_VALUE"""),"1200-2000")</f>
        <v>1200-2000</v>
      </c>
      <c r="L465" s="3">
        <f>IFERROR(__xludf.DUMMYFUNCTION("""COMPUTED_VALUE"""),8.0)</f>
        <v>8</v>
      </c>
      <c r="M46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5" s="14" t="str">
        <f>IFERROR(__xludf.DUMMYFUNCTION("""COMPUTED_VALUE"""),"https://lh5.googleusercontent.com/d/15oxdzaMytuCkpIBbYWjKICn_njYt-0is")</f>
        <v>https://lh5.googleusercontent.com/d/15oxdzaMytuCkpIBbYWjKICn_njYt-0is</v>
      </c>
      <c r="O465" s="14" t="str">
        <f>IFERROR(__xludf.DUMMYFUNCTION("""COMPUTED_VALUE"""),"https://drive.google.com/file/d/1ggJGDGdGa8vEljstgGDoIeR986ByQv-j/view?usp=drivesdk")</f>
        <v>https://drive.google.com/file/d/1ggJGDGdGa8vEljstgGDoIeR986ByQv-j/view?usp=drivesdk</v>
      </c>
    </row>
    <row r="466">
      <c r="A466" s="3">
        <f>IFERROR(__xludf.DUMMYFUNCTION("""COMPUTED_VALUE"""),2184.0)</f>
        <v>2184</v>
      </c>
      <c r="B466" s="11">
        <f>IFERROR(__xludf.DUMMYFUNCTION("""COMPUTED_VALUE"""),46167.33141641203)</f>
        <v>46167.33142</v>
      </c>
      <c r="C466" s="3" t="str">
        <f>IFERROR(__xludf.DUMMYFUNCTION("""COMPUTED_VALUE"""),"ชั้นปีที่ 2")</f>
        <v>ชั้นปีที่ 2</v>
      </c>
      <c r="D466" s="3" t="str">
        <f>IFERROR(__xludf.DUMMYFUNCTION("""COMPUTED_VALUE"""),"6703834")</f>
        <v>6703834</v>
      </c>
      <c r="E466" s="3" t="str">
        <f>IFERROR(__xludf.DUMMYFUNCTION("""COMPUTED_VALUE"""),"17")</f>
        <v>17</v>
      </c>
      <c r="F466" s="3" t="str">
        <f>IFERROR(__xludf.DUMMYFUNCTION("""COMPUTED_VALUE"""),"นพอ.ฑิตถากร แน่นอุดร")</f>
        <v>นพอ.ฑิตถากร แน่นอุดร</v>
      </c>
      <c r="G4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6" s="3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66" s="3" t="str">
        <f>IFERROR(__xludf.DUMMYFUNCTION("""COMPUTED_VALUE"""),"บน.6")</f>
        <v>บน.6</v>
      </c>
      <c r="J466" s="12">
        <f>IFERROR(__xludf.DUMMYFUNCTION("""COMPUTED_VALUE"""),46032.0)</f>
        <v>46032</v>
      </c>
      <c r="K466" s="3" t="str">
        <f>IFERROR(__xludf.DUMMYFUNCTION("""COMPUTED_VALUE"""),"0600-1400")</f>
        <v>0600-1400</v>
      </c>
      <c r="L466" s="3">
        <f>IFERROR(__xludf.DUMMYFUNCTION("""COMPUTED_VALUE"""),8.0)</f>
        <v>8</v>
      </c>
      <c r="M466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66" s="14" t="str">
        <f>IFERROR(__xludf.DUMMYFUNCTION("""COMPUTED_VALUE"""),"https://lh5.googleusercontent.com/d/1zLdPJbvg9MsGPPPRYiV5ZVhtm9D9_osx")</f>
        <v>https://lh5.googleusercontent.com/d/1zLdPJbvg9MsGPPPRYiV5ZVhtm9D9_osx</v>
      </c>
      <c r="O466" s="14" t="str">
        <f>IFERROR(__xludf.DUMMYFUNCTION("""COMPUTED_VALUE"""),"https://drive.google.com/file/d/19h_RRhQgFDX0LqnFlQ4f_IihBLuJ4Av1/view?usp=drivesdk")</f>
        <v>https://drive.google.com/file/d/19h_RRhQgFDX0LqnFlQ4f_IihBLuJ4Av1/view?usp=drivesdk</v>
      </c>
    </row>
    <row r="467">
      <c r="A467" s="3">
        <f>IFERROR(__xludf.DUMMYFUNCTION("""COMPUTED_VALUE"""),2185.0)</f>
        <v>2185</v>
      </c>
      <c r="B467" s="11">
        <f>IFERROR(__xludf.DUMMYFUNCTION("""COMPUTED_VALUE"""),46167.33315469907)</f>
        <v>46167.33315</v>
      </c>
      <c r="C467" s="3" t="str">
        <f>IFERROR(__xludf.DUMMYFUNCTION("""COMPUTED_VALUE"""),"ชั้นปีที่ 2")</f>
        <v>ชั้นปีที่ 2</v>
      </c>
      <c r="D467" s="3" t="str">
        <f>IFERROR(__xludf.DUMMYFUNCTION("""COMPUTED_VALUE"""),"6703856")</f>
        <v>6703856</v>
      </c>
      <c r="E467" s="3" t="str">
        <f>IFERROR(__xludf.DUMMYFUNCTION("""COMPUTED_VALUE"""),"37")</f>
        <v>37</v>
      </c>
      <c r="F467" s="3" t="str">
        <f>IFERROR(__xludf.DUMMYFUNCTION("""COMPUTED_VALUE"""),"นพอ.พรรณรายณ์ เย็นประเสริฐ")</f>
        <v>นพอ.พรรณรายณ์ เย็นประเสริฐ</v>
      </c>
      <c r="G467" s="3" t="str">
        <f>IFERROR(__xludf.DUMMYFUNCTION("""COMPUTED_VALUE"""),"ช่วยเหลืองานภายใน วพอ.")</f>
        <v>ช่วยเหลืองานภายใน วพอ.</v>
      </c>
      <c r="H46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7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67" s="12">
        <f>IFERROR(__xludf.DUMMYFUNCTION("""COMPUTED_VALUE"""),46139.0)</f>
        <v>46139</v>
      </c>
      <c r="K467" s="3" t="str">
        <f>IFERROR(__xludf.DUMMYFUNCTION("""COMPUTED_VALUE"""),"1700-2100")</f>
        <v>1700-2100</v>
      </c>
      <c r="L467" s="3">
        <f>IFERROR(__xludf.DUMMYFUNCTION("""COMPUTED_VALUE"""),4.0)</f>
        <v>4</v>
      </c>
      <c r="M467" s="3" t="str">
        <f>IFERROR(__xludf.DUMMYFUNCTION("""COMPUTED_VALUE"""),"ร.อ.อนุชิต ทำจะดี ")</f>
        <v>ร.อ.อนุชิต ทำจะดี </v>
      </c>
      <c r="N467" s="14" t="str">
        <f>IFERROR(__xludf.DUMMYFUNCTION("""COMPUTED_VALUE"""),"https://lh5.googleusercontent.com/d/19ghP2Axuqk7ALSGM9DtzxlZx_5pHwpYV")</f>
        <v>https://lh5.googleusercontent.com/d/19ghP2Axuqk7ALSGM9DtzxlZx_5pHwpYV</v>
      </c>
      <c r="O467" s="14" t="str">
        <f>IFERROR(__xludf.DUMMYFUNCTION("""COMPUTED_VALUE"""),"https://drive.google.com/file/d/1TuNP1KnJVJe-cT5f8tdYGVnjueIdcQd6/view?usp=drivesdk")</f>
        <v>https://drive.google.com/file/d/1TuNP1KnJVJe-cT5f8tdYGVnjueIdcQd6/view?usp=drivesdk</v>
      </c>
    </row>
    <row r="468">
      <c r="A468" s="3">
        <f>IFERROR(__xludf.DUMMYFUNCTION("""COMPUTED_VALUE"""),2186.0)</f>
        <v>2186</v>
      </c>
      <c r="B468" s="11">
        <f>IFERROR(__xludf.DUMMYFUNCTION("""COMPUTED_VALUE"""),46167.33335322917)</f>
        <v>46167.33335</v>
      </c>
      <c r="C468" s="3" t="str">
        <f>IFERROR(__xludf.DUMMYFUNCTION("""COMPUTED_VALUE"""),"ชั้นปีที่ 2")</f>
        <v>ชั้นปีที่ 2</v>
      </c>
      <c r="D468" s="3" t="str">
        <f>IFERROR(__xludf.DUMMYFUNCTION("""COMPUTED_VALUE"""),"6703877")</f>
        <v>6703877</v>
      </c>
      <c r="E468" s="3" t="str">
        <f>IFERROR(__xludf.DUMMYFUNCTION("""COMPUTED_VALUE"""),"57")</f>
        <v>57</v>
      </c>
      <c r="F468" s="3" t="str">
        <f>IFERROR(__xludf.DUMMYFUNCTION("""COMPUTED_VALUE"""),"นพอ.สุชารัตน์ นิวงษา")</f>
        <v>นพอ.สุชารัตน์ นิวงษา</v>
      </c>
      <c r="G46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8" s="3" t="str">
        <f>IFERROR(__xludf.DUMMYFUNCTION("""COMPUTED_VALUE"""),"เข้าร่วมงานวันเด็กแห่งชาติ 2569")</f>
        <v>เข้าร่วมงานวันเด็กแห่งชาติ 2569</v>
      </c>
      <c r="I468" s="3" t="str">
        <f>IFERROR(__xludf.DUMMYFUNCTION("""COMPUTED_VALUE"""),"กองบิน 6")</f>
        <v>กองบิน 6</v>
      </c>
      <c r="J468" s="12">
        <f>IFERROR(__xludf.DUMMYFUNCTION("""COMPUTED_VALUE"""),46032.0)</f>
        <v>46032</v>
      </c>
      <c r="K468" s="3" t="str">
        <f>IFERROR(__xludf.DUMMYFUNCTION("""COMPUTED_VALUE"""),"0600-1400")</f>
        <v>0600-1400</v>
      </c>
      <c r="L468" s="3">
        <f>IFERROR(__xludf.DUMMYFUNCTION("""COMPUTED_VALUE"""),8.0)</f>
        <v>8</v>
      </c>
      <c r="M46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8" s="14" t="str">
        <f>IFERROR(__xludf.DUMMYFUNCTION("""COMPUTED_VALUE"""),"https://lh5.googleusercontent.com/d/1WlbP9l1Q4K-BCdiS4OCeGx1_TzBJfs5i")</f>
        <v>https://lh5.googleusercontent.com/d/1WlbP9l1Q4K-BCdiS4OCeGx1_TzBJfs5i</v>
      </c>
      <c r="O468" s="14" t="str">
        <f>IFERROR(__xludf.DUMMYFUNCTION("""COMPUTED_VALUE"""),"https://drive.google.com/file/d/1j6BM8nsZOK0aFIzFPmXXByVYwt0QCfLO/view?usp=drivesdk")</f>
        <v>https://drive.google.com/file/d/1j6BM8nsZOK0aFIzFPmXXByVYwt0QCfLO/view?usp=drivesdk</v>
      </c>
    </row>
    <row r="469">
      <c r="A469" s="3">
        <f>IFERROR(__xludf.DUMMYFUNCTION("""COMPUTED_VALUE"""),2187.0)</f>
        <v>2187</v>
      </c>
      <c r="B469" s="11">
        <f>IFERROR(__xludf.DUMMYFUNCTION("""COMPUTED_VALUE"""),46167.33467144676)</f>
        <v>46167.33467</v>
      </c>
      <c r="C469" s="3" t="str">
        <f>IFERROR(__xludf.DUMMYFUNCTION("""COMPUTED_VALUE"""),"ชั้นปีที่ 2")</f>
        <v>ชั้นปีที่ 2</v>
      </c>
      <c r="D469" s="3" t="str">
        <f>IFERROR(__xludf.DUMMYFUNCTION("""COMPUTED_VALUE"""),"6703838")</f>
        <v>6703838</v>
      </c>
      <c r="E469" s="3" t="str">
        <f>IFERROR(__xludf.DUMMYFUNCTION("""COMPUTED_VALUE"""),"21")</f>
        <v>21</v>
      </c>
      <c r="F469" s="3" t="str">
        <f>IFERROR(__xludf.DUMMYFUNCTION("""COMPUTED_VALUE"""),"นพอ.ณัฐพงษ์ วงษ์บัวงาม")</f>
        <v>นพอ.ณัฐพงษ์ วงษ์บัวงาม</v>
      </c>
      <c r="G469" s="3" t="str">
        <f>IFERROR(__xludf.DUMMYFUNCTION("""COMPUTED_VALUE"""),"ช่วยเหลืองานภายใน วพอ.")</f>
        <v>ช่วยเหลืองานภายใน วพอ.</v>
      </c>
      <c r="H46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69" s="3" t="str">
        <f>IFERROR(__xludf.DUMMYFUNCTION("""COMPUTED_VALUE"""),"วพอ.พอ.")</f>
        <v>วพอ.พอ.</v>
      </c>
      <c r="J469" s="12">
        <f>IFERROR(__xludf.DUMMYFUNCTION("""COMPUTED_VALUE"""),46133.0)</f>
        <v>46133</v>
      </c>
      <c r="K469" s="3" t="str">
        <f>IFERROR(__xludf.DUMMYFUNCTION("""COMPUTED_VALUE"""),"1700-2100")</f>
        <v>1700-2100</v>
      </c>
      <c r="L469" s="3">
        <f>IFERROR(__xludf.DUMMYFUNCTION("""COMPUTED_VALUE"""),4.0)</f>
        <v>4</v>
      </c>
      <c r="M469" s="3" t="str">
        <f>IFERROR(__xludf.DUMMYFUNCTION("""COMPUTED_VALUE"""),"ร.อ.อนุชิต ทำจะดี")</f>
        <v>ร.อ.อนุชิต ทำจะดี</v>
      </c>
      <c r="N469" s="14" t="str">
        <f>IFERROR(__xludf.DUMMYFUNCTION("""COMPUTED_VALUE"""),"https://lh5.googleusercontent.com/d/12UfSBe4q0N_T2gbeaqJFZoLBB-_yUlLF")</f>
        <v>https://lh5.googleusercontent.com/d/12UfSBe4q0N_T2gbeaqJFZoLBB-_yUlLF</v>
      </c>
      <c r="O469" s="14" t="str">
        <f>IFERROR(__xludf.DUMMYFUNCTION("""COMPUTED_VALUE"""),"https://drive.google.com/file/d/13yOqxIgpkej0SWCox2wsfCGbmbKyi1kv/view?usp=drivesdk")</f>
        <v>https://drive.google.com/file/d/13yOqxIgpkej0SWCox2wsfCGbmbKyi1kv/view?usp=drivesdk</v>
      </c>
    </row>
    <row r="470">
      <c r="A470" s="3">
        <f>IFERROR(__xludf.DUMMYFUNCTION("""COMPUTED_VALUE"""),2188.0)</f>
        <v>2188</v>
      </c>
      <c r="B470" s="11">
        <f>IFERROR(__xludf.DUMMYFUNCTION("""COMPUTED_VALUE"""),46167.334856875)</f>
        <v>46167.33486</v>
      </c>
      <c r="C470" s="3" t="str">
        <f>IFERROR(__xludf.DUMMYFUNCTION("""COMPUTED_VALUE"""),"ชั้นปีที่ 2")</f>
        <v>ชั้นปีที่ 2</v>
      </c>
      <c r="D470" s="3" t="str">
        <f>IFERROR(__xludf.DUMMYFUNCTION("""COMPUTED_VALUE"""),"6703834")</f>
        <v>6703834</v>
      </c>
      <c r="E470" s="3" t="str">
        <f>IFERROR(__xludf.DUMMYFUNCTION("""COMPUTED_VALUE"""),"17")</f>
        <v>17</v>
      </c>
      <c r="F470" s="3" t="str">
        <f>IFERROR(__xludf.DUMMYFUNCTION("""COMPUTED_VALUE"""),"นพอ.ฑิตถากร แน่นอุดร")</f>
        <v>นพอ.ฑิตถากร แน่นอุดร</v>
      </c>
      <c r="G4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0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70" s="3" t="str">
        <f>IFERROR(__xludf.DUMMYFUNCTION("""COMPUTED_VALUE"""),"สนามกีฬาธูปะเตมีย์")</f>
        <v>สนามกีฬาธูปะเตมีย์</v>
      </c>
      <c r="J470" s="12">
        <f>IFERROR(__xludf.DUMMYFUNCTION("""COMPUTED_VALUE"""),46078.0)</f>
        <v>46078</v>
      </c>
      <c r="K470" s="3" t="str">
        <f>IFERROR(__xludf.DUMMYFUNCTION("""COMPUTED_VALUE"""),"1200-2000")</f>
        <v>1200-2000</v>
      </c>
      <c r="L470" s="3">
        <f>IFERROR(__xludf.DUMMYFUNCTION("""COMPUTED_VALUE"""),8.0)</f>
        <v>8</v>
      </c>
      <c r="M470" s="3" t="str">
        <f>IFERROR(__xludf.DUMMYFUNCTION("""COMPUTED_VALUE""")," น.ต. หญิง ขวัญชนก พ่วงนาคพันธุ์ ")</f>
        <v> น.ต. หญิง ขวัญชนก พ่วงนาคพันธุ์ </v>
      </c>
      <c r="N470" s="14" t="str">
        <f>IFERROR(__xludf.DUMMYFUNCTION("""COMPUTED_VALUE"""),"https://lh5.googleusercontent.com/d/1UzQqJXBjK309LScv7IWV06gMDluGmvOg")</f>
        <v>https://lh5.googleusercontent.com/d/1UzQqJXBjK309LScv7IWV06gMDluGmvOg</v>
      </c>
      <c r="O470" s="14" t="str">
        <f>IFERROR(__xludf.DUMMYFUNCTION("""COMPUTED_VALUE"""),"https://drive.google.com/file/d/1TBojmQTASRzM-_IlMaIVX1yzS2e0yxRQ/view?usp=drivesdk")</f>
        <v>https://drive.google.com/file/d/1TBojmQTASRzM-_IlMaIVX1yzS2e0yxRQ/view?usp=drivesdk</v>
      </c>
    </row>
    <row r="471">
      <c r="A471" s="3">
        <f>IFERROR(__xludf.DUMMYFUNCTION("""COMPUTED_VALUE"""),2189.0)</f>
        <v>2189</v>
      </c>
      <c r="B471" s="11">
        <f>IFERROR(__xludf.DUMMYFUNCTION("""COMPUTED_VALUE"""),46167.335458298614)</f>
        <v>46167.33546</v>
      </c>
      <c r="C471" s="3" t="str">
        <f>IFERROR(__xludf.DUMMYFUNCTION("""COMPUTED_VALUE"""),"ชั้นปีที่ 2")</f>
        <v>ชั้นปีที่ 2</v>
      </c>
      <c r="D471" s="3" t="str">
        <f>IFERROR(__xludf.DUMMYFUNCTION("""COMPUTED_VALUE"""),"6703824")</f>
        <v>6703824</v>
      </c>
      <c r="E471" s="3" t="str">
        <f>IFERROR(__xludf.DUMMYFUNCTION("""COMPUTED_VALUE"""),"7")</f>
        <v>7</v>
      </c>
      <c r="F471" s="3" t="str">
        <f>IFERROR(__xludf.DUMMYFUNCTION("""COMPUTED_VALUE"""),"นพอ.จินต์จุฑา จงประเสริฐ")</f>
        <v>นพอ.จินต์จุฑา จงประเสริฐ</v>
      </c>
      <c r="G47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1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71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471" s="12">
        <f>IFERROR(__xludf.DUMMYFUNCTION("""COMPUTED_VALUE"""),46078.0)</f>
        <v>46078</v>
      </c>
      <c r="K471" s="3" t="str">
        <f>IFERROR(__xludf.DUMMYFUNCTION("""COMPUTED_VALUE"""),"1200-2000")</f>
        <v>1200-2000</v>
      </c>
      <c r="L471" s="3">
        <f>IFERROR(__xludf.DUMMYFUNCTION("""COMPUTED_VALUE"""),8.0)</f>
        <v>8</v>
      </c>
      <c r="M47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71" s="14" t="str">
        <f>IFERROR(__xludf.DUMMYFUNCTION("""COMPUTED_VALUE"""),"https://lh5.googleusercontent.com/d/1G3tJxbCYQUNC5-hEDk01FQRteyaNb7Op")</f>
        <v>https://lh5.googleusercontent.com/d/1G3tJxbCYQUNC5-hEDk01FQRteyaNb7Op</v>
      </c>
      <c r="O471" s="14" t="str">
        <f>IFERROR(__xludf.DUMMYFUNCTION("""COMPUTED_VALUE"""),"https://drive.google.com/file/d/1Kr7Qz0bi-uO6cusQmX0EuvgZi3vMO0rk/view?usp=drivesdk")</f>
        <v>https://drive.google.com/file/d/1Kr7Qz0bi-uO6cusQmX0EuvgZi3vMO0rk/view?usp=drivesdk</v>
      </c>
    </row>
    <row r="472">
      <c r="A472" s="3">
        <f>IFERROR(__xludf.DUMMYFUNCTION("""COMPUTED_VALUE"""),2190.0)</f>
        <v>2190</v>
      </c>
      <c r="B472" s="11">
        <f>IFERROR(__xludf.DUMMYFUNCTION("""COMPUTED_VALUE"""),46167.33643603009)</f>
        <v>46167.33644</v>
      </c>
      <c r="C472" s="3" t="str">
        <f>IFERROR(__xludf.DUMMYFUNCTION("""COMPUTED_VALUE"""),"ชั้นปีที่ 2")</f>
        <v>ชั้นปีที่ 2</v>
      </c>
      <c r="D472" s="3" t="str">
        <f>IFERROR(__xludf.DUMMYFUNCTION("""COMPUTED_VALUE"""),"6703856")</f>
        <v>6703856</v>
      </c>
      <c r="E472" s="3" t="str">
        <f>IFERROR(__xludf.DUMMYFUNCTION("""COMPUTED_VALUE"""),"37")</f>
        <v>37</v>
      </c>
      <c r="F472" s="3" t="str">
        <f>IFERROR(__xludf.DUMMYFUNCTION("""COMPUTED_VALUE"""),"นพอ.พรรณรายณ์ เย็นประเสริฐ")</f>
        <v>นพอ.พรรณรายณ์ เย็นประเสริฐ</v>
      </c>
      <c r="G4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2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72" s="3" t="str">
        <f>IFERROR(__xludf.DUMMYFUNCTION("""COMPUTED_VALUE"""),"สนามกีฬาธูปะเตมีย์")</f>
        <v>สนามกีฬาธูปะเตมีย์</v>
      </c>
      <c r="J472" s="12">
        <f>IFERROR(__xludf.DUMMYFUNCTION("""COMPUTED_VALUE"""),46078.0)</f>
        <v>46078</v>
      </c>
      <c r="K472" s="3" t="str">
        <f>IFERROR(__xludf.DUMMYFUNCTION("""COMPUTED_VALUE"""),"1200-2000")</f>
        <v>1200-2000</v>
      </c>
      <c r="L472" s="3">
        <f>IFERROR(__xludf.DUMMYFUNCTION("""COMPUTED_VALUE"""),8.0)</f>
        <v>8</v>
      </c>
      <c r="M472" s="3" t="str">
        <f>IFERROR(__xludf.DUMMYFUNCTION("""COMPUTED_VALUE"""),"น.ต.หญิง ชวัญชนก พ่วงนาคพันธุ์")</f>
        <v>น.ต.หญิง ชวัญชนก พ่วงนาคพันธุ์</v>
      </c>
      <c r="N472" s="14" t="str">
        <f>IFERROR(__xludf.DUMMYFUNCTION("""COMPUTED_VALUE"""),"https://lh5.googleusercontent.com/d/1iEj9zEwJ9OGI88OtR-XWiPuYiCyPUzbx")</f>
        <v>https://lh5.googleusercontent.com/d/1iEj9zEwJ9OGI88OtR-XWiPuYiCyPUzbx</v>
      </c>
      <c r="O472" s="14" t="str">
        <f>IFERROR(__xludf.DUMMYFUNCTION("""COMPUTED_VALUE"""),"https://drive.google.com/file/d/1JIHPkauJE_Mh_z_ggcOl582WiYKfKAtO/view?usp=drivesdk")</f>
        <v>https://drive.google.com/file/d/1JIHPkauJE_Mh_z_ggcOl582WiYKfKAtO/view?usp=drivesdk</v>
      </c>
    </row>
    <row r="473">
      <c r="A473" s="3">
        <f>IFERROR(__xludf.DUMMYFUNCTION("""COMPUTED_VALUE"""),2191.0)</f>
        <v>2191</v>
      </c>
      <c r="B473" s="11">
        <f>IFERROR(__xludf.DUMMYFUNCTION("""COMPUTED_VALUE"""),46167.33804159723)</f>
        <v>46167.33804</v>
      </c>
      <c r="C473" s="3" t="str">
        <f>IFERROR(__xludf.DUMMYFUNCTION("""COMPUTED_VALUE"""),"ชั้นปีที่ 2")</f>
        <v>ชั้นปีที่ 2</v>
      </c>
      <c r="D473" s="3" t="str">
        <f>IFERROR(__xludf.DUMMYFUNCTION("""COMPUTED_VALUE"""),"6703838")</f>
        <v>6703838</v>
      </c>
      <c r="E473" s="3" t="str">
        <f>IFERROR(__xludf.DUMMYFUNCTION("""COMPUTED_VALUE"""),"21")</f>
        <v>21</v>
      </c>
      <c r="F473" s="3" t="str">
        <f>IFERROR(__xludf.DUMMYFUNCTION("""COMPUTED_VALUE"""),"นพอ.ณัฐพงษ์ วงษ์บัวงาม")</f>
        <v>นพอ.ณัฐพงษ์ วงษ์บัวงาม</v>
      </c>
      <c r="G473" s="3" t="str">
        <f>IFERROR(__xludf.DUMMYFUNCTION("""COMPUTED_VALUE"""),"ช่วยเหลืองานภายใน วพอ.")</f>
        <v>ช่วยเหลืองานภายใน วพอ.</v>
      </c>
      <c r="H47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3" s="3" t="str">
        <f>IFERROR(__xludf.DUMMYFUNCTION("""COMPUTED_VALUE"""),"วพอ.พอ.")</f>
        <v>วพอ.พอ.</v>
      </c>
      <c r="J473" s="12">
        <f>IFERROR(__xludf.DUMMYFUNCTION("""COMPUTED_VALUE"""),46134.0)</f>
        <v>46134</v>
      </c>
      <c r="K473" s="3" t="str">
        <f>IFERROR(__xludf.DUMMYFUNCTION("""COMPUTED_VALUE"""),"1700-2100")</f>
        <v>1700-2100</v>
      </c>
      <c r="L473" s="3">
        <f>IFERROR(__xludf.DUMMYFUNCTION("""COMPUTED_VALUE"""),4.0)</f>
        <v>4</v>
      </c>
      <c r="M473" s="3" t="str">
        <f>IFERROR(__xludf.DUMMYFUNCTION("""COMPUTED_VALUE"""),"ร.อ.อนุชิต ทำจะดี")</f>
        <v>ร.อ.อนุชิต ทำจะดี</v>
      </c>
      <c r="N473" s="14" t="str">
        <f>IFERROR(__xludf.DUMMYFUNCTION("""COMPUTED_VALUE"""),"https://lh5.googleusercontent.com/d/1srKt_t9YcZ3NuMWaeQAfRmwxan7Ob_D1")</f>
        <v>https://lh5.googleusercontent.com/d/1srKt_t9YcZ3NuMWaeQAfRmwxan7Ob_D1</v>
      </c>
      <c r="O473" s="14" t="str">
        <f>IFERROR(__xludf.DUMMYFUNCTION("""COMPUTED_VALUE"""),"https://drive.google.com/file/d/1mF-hj59snPKh2_1FGIGMoKI14qN7PV0G/view?usp=drivesdk")</f>
        <v>https://drive.google.com/file/d/1mF-hj59snPKh2_1FGIGMoKI14qN7PV0G/view?usp=drivesdk</v>
      </c>
    </row>
    <row r="474">
      <c r="A474" s="3">
        <f>IFERROR(__xludf.DUMMYFUNCTION("""COMPUTED_VALUE"""),2192.0)</f>
        <v>2192</v>
      </c>
      <c r="B474" s="11">
        <f>IFERROR(__xludf.DUMMYFUNCTION("""COMPUTED_VALUE"""),46167.33876178241)</f>
        <v>46167.33876</v>
      </c>
      <c r="C474" s="3" t="str">
        <f>IFERROR(__xludf.DUMMYFUNCTION("""COMPUTED_VALUE"""),"ชั้นปีที่ 2")</f>
        <v>ชั้นปีที่ 2</v>
      </c>
      <c r="D474" s="3" t="str">
        <f>IFERROR(__xludf.DUMMYFUNCTION("""COMPUTED_VALUE"""),"6703824")</f>
        <v>6703824</v>
      </c>
      <c r="E474" s="3" t="str">
        <f>IFERROR(__xludf.DUMMYFUNCTION("""COMPUTED_VALUE"""),"7")</f>
        <v>7</v>
      </c>
      <c r="F474" s="3" t="str">
        <f>IFERROR(__xludf.DUMMYFUNCTION("""COMPUTED_VALUE"""),"นพอ.จินต์จุฑา จงประเสริฐ")</f>
        <v>นพอ.จินต์จุฑา จงประเสริฐ</v>
      </c>
      <c r="G474" s="3" t="str">
        <f>IFERROR(__xludf.DUMMYFUNCTION("""COMPUTED_VALUE"""),"ช่วยเหลืองานภายใน วพอ.")</f>
        <v>ช่วยเหลืองานภายใน วพอ.</v>
      </c>
      <c r="H47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4" s="3" t="str">
        <f>IFERROR(__xludf.DUMMYFUNCTION("""COMPUTED_VALUE"""),"วพอ.พอ.")</f>
        <v>วพอ.พอ.</v>
      </c>
      <c r="J474" s="12">
        <f>IFERROR(__xludf.DUMMYFUNCTION("""COMPUTED_VALUE"""),46138.0)</f>
        <v>46138</v>
      </c>
      <c r="K474" s="3" t="str">
        <f>IFERROR(__xludf.DUMMYFUNCTION("""COMPUTED_VALUE"""),"1300-2100")</f>
        <v>1300-2100</v>
      </c>
      <c r="L474" s="3">
        <f>IFERROR(__xludf.DUMMYFUNCTION("""COMPUTED_VALUE"""),8.0)</f>
        <v>8</v>
      </c>
      <c r="M474" s="3" t="str">
        <f>IFERROR(__xludf.DUMMYFUNCTION("""COMPUTED_VALUE"""),"ร.อ.อนุชิต ทำจะดี")</f>
        <v>ร.อ.อนุชิต ทำจะดี</v>
      </c>
      <c r="N474" s="14" t="str">
        <f>IFERROR(__xludf.DUMMYFUNCTION("""COMPUTED_VALUE"""),"https://lh5.googleusercontent.com/d/1C4h0dr9MJqtBWRVt4ad-aZJsDPbKN90-")</f>
        <v>https://lh5.googleusercontent.com/d/1C4h0dr9MJqtBWRVt4ad-aZJsDPbKN90-</v>
      </c>
      <c r="O474" s="14" t="str">
        <f>IFERROR(__xludf.DUMMYFUNCTION("""COMPUTED_VALUE"""),"https://drive.google.com/file/d/1wO8HT5KSlQuxpukor4PI12qSEWZkHLmw/view?usp=drivesdk")</f>
        <v>https://drive.google.com/file/d/1wO8HT5KSlQuxpukor4PI12qSEWZkHLmw/view?usp=drivesdk</v>
      </c>
    </row>
    <row r="475">
      <c r="A475" s="3">
        <f>IFERROR(__xludf.DUMMYFUNCTION("""COMPUTED_VALUE"""),2193.0)</f>
        <v>2193</v>
      </c>
      <c r="B475" s="11">
        <f>IFERROR(__xludf.DUMMYFUNCTION("""COMPUTED_VALUE"""),46167.3392575)</f>
        <v>46167.33926</v>
      </c>
      <c r="C475" s="3" t="str">
        <f>IFERROR(__xludf.DUMMYFUNCTION("""COMPUTED_VALUE"""),"ชั้นปีที่ 2")</f>
        <v>ชั้นปีที่ 2</v>
      </c>
      <c r="D475" s="3" t="str">
        <f>IFERROR(__xludf.DUMMYFUNCTION("""COMPUTED_VALUE"""),"6703834")</f>
        <v>6703834</v>
      </c>
      <c r="E475" s="3" t="str">
        <f>IFERROR(__xludf.DUMMYFUNCTION("""COMPUTED_VALUE"""),"17")</f>
        <v>17</v>
      </c>
      <c r="F475" s="3" t="str">
        <f>IFERROR(__xludf.DUMMYFUNCTION("""COMPUTED_VALUE"""),"นพอ.ฑิตถากร แน่นอุดร")</f>
        <v>นพอ.ฑิตถากร แน่นอุดร</v>
      </c>
      <c r="G4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5" s="3" t="str">
        <f>IFERROR(__xludf.DUMMYFUNCTION("""COMPUTED_VALUE"""),"ค่ายเยาวชนพัฒนา ครั้งที่ 215")</f>
        <v>ค่ายเยาวชนพัฒนา ครั้งที่ 215</v>
      </c>
      <c r="I475" s="3" t="str">
        <f>IFERROR(__xludf.DUMMYFUNCTION("""COMPUTED_VALUE"""),"วัดสามบัณฑิต จ.อยุธยา")</f>
        <v>วัดสามบัณฑิต จ.อยุธยา</v>
      </c>
      <c r="J475" s="12">
        <f>IFERROR(__xludf.DUMMYFUNCTION("""COMPUTED_VALUE"""),46136.0)</f>
        <v>46136</v>
      </c>
      <c r="K475" s="3" t="str">
        <f>IFERROR(__xludf.DUMMYFUNCTION("""COMPUTED_VALUE"""),"1600-2400")</f>
        <v>1600-2400</v>
      </c>
      <c r="L475" s="3">
        <f>IFERROR(__xludf.DUMMYFUNCTION("""COMPUTED_VALUE"""),8.0)</f>
        <v>8</v>
      </c>
      <c r="M47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75" s="14" t="str">
        <f>IFERROR(__xludf.DUMMYFUNCTION("""COMPUTED_VALUE"""),"https://lh5.googleusercontent.com/d/17-f19lZaTWIjt5VOagEiVRgeltWbLYhq")</f>
        <v>https://lh5.googleusercontent.com/d/17-f19lZaTWIjt5VOagEiVRgeltWbLYhq</v>
      </c>
      <c r="O475" s="14" t="str">
        <f>IFERROR(__xludf.DUMMYFUNCTION("""COMPUTED_VALUE"""),"https://drive.google.com/file/d/116r49uNgRfB-pn3u5EEa730hA6Al3ofD/view?usp=drivesdk")</f>
        <v>https://drive.google.com/file/d/116r49uNgRfB-pn3u5EEa730hA6Al3ofD/view?usp=drivesdk</v>
      </c>
    </row>
    <row r="476">
      <c r="A476" s="3">
        <f>IFERROR(__xludf.DUMMYFUNCTION("""COMPUTED_VALUE"""),2194.0)</f>
        <v>2194</v>
      </c>
      <c r="B476" s="11">
        <f>IFERROR(__xludf.DUMMYFUNCTION("""COMPUTED_VALUE"""),46167.33956069444)</f>
        <v>46167.33956</v>
      </c>
      <c r="C476" s="3" t="str">
        <f>IFERROR(__xludf.DUMMYFUNCTION("""COMPUTED_VALUE"""),"ชั้นปีที่ 2")</f>
        <v>ชั้นปีที่ 2</v>
      </c>
      <c r="D476" s="3" t="str">
        <f>IFERROR(__xludf.DUMMYFUNCTION("""COMPUTED_VALUE"""),"6703838")</f>
        <v>6703838</v>
      </c>
      <c r="E476" s="3" t="str">
        <f>IFERROR(__xludf.DUMMYFUNCTION("""COMPUTED_VALUE"""),"21")</f>
        <v>21</v>
      </c>
      <c r="F476" s="3" t="str">
        <f>IFERROR(__xludf.DUMMYFUNCTION("""COMPUTED_VALUE"""),"นพอ.ณัฐพงษ์ วงษ์บัวงาม")</f>
        <v>นพอ.ณัฐพงษ์ วงษ์บัวงาม</v>
      </c>
      <c r="G476" s="3" t="str">
        <f>IFERROR(__xludf.DUMMYFUNCTION("""COMPUTED_VALUE"""),"ช่วยเหลืองานภายใน วพอ.")</f>
        <v>ช่วยเหลืองานภายใน วพอ.</v>
      </c>
      <c r="H47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6" s="3" t="str">
        <f>IFERROR(__xludf.DUMMYFUNCTION("""COMPUTED_VALUE"""),"วพอ.พอ.")</f>
        <v>วพอ.พอ.</v>
      </c>
      <c r="J476" s="12">
        <f>IFERROR(__xludf.DUMMYFUNCTION("""COMPUTED_VALUE"""),46135.0)</f>
        <v>46135</v>
      </c>
      <c r="K476" s="3" t="str">
        <f>IFERROR(__xludf.DUMMYFUNCTION("""COMPUTED_VALUE"""),"1700-2100")</f>
        <v>1700-2100</v>
      </c>
      <c r="L476" s="3">
        <f>IFERROR(__xludf.DUMMYFUNCTION("""COMPUTED_VALUE"""),4.0)</f>
        <v>4</v>
      </c>
      <c r="M476" s="3" t="str">
        <f>IFERROR(__xludf.DUMMYFUNCTION("""COMPUTED_VALUE"""),"ร.อ.อนุชิต ทำจะดี")</f>
        <v>ร.อ.อนุชิต ทำจะดี</v>
      </c>
      <c r="N476" s="14" t="str">
        <f>IFERROR(__xludf.DUMMYFUNCTION("""COMPUTED_VALUE"""),"https://lh5.googleusercontent.com/d/14RCvHnti6NQKdtT0iuvD09KixCNJDQec")</f>
        <v>https://lh5.googleusercontent.com/d/14RCvHnti6NQKdtT0iuvD09KixCNJDQec</v>
      </c>
      <c r="O476" s="14" t="str">
        <f>IFERROR(__xludf.DUMMYFUNCTION("""COMPUTED_VALUE"""),"https://drive.google.com/file/d/14fr-EWUG3KSKmX9cSafxxn_UD1uvYbQd/view?usp=drivesdk")</f>
        <v>https://drive.google.com/file/d/14fr-EWUG3KSKmX9cSafxxn_UD1uvYbQd/view?usp=drivesdk</v>
      </c>
    </row>
    <row r="477">
      <c r="A477" s="3">
        <f>IFERROR(__xludf.DUMMYFUNCTION("""COMPUTED_VALUE"""),2195.0)</f>
        <v>2195</v>
      </c>
      <c r="B477" s="11">
        <f>IFERROR(__xludf.DUMMYFUNCTION("""COMPUTED_VALUE"""),46167.340265023144)</f>
        <v>46167.34027</v>
      </c>
      <c r="C477" s="3" t="str">
        <f>IFERROR(__xludf.DUMMYFUNCTION("""COMPUTED_VALUE"""),"ชั้นปีที่ 2")</f>
        <v>ชั้นปีที่ 2</v>
      </c>
      <c r="D477" s="3" t="str">
        <f>IFERROR(__xludf.DUMMYFUNCTION("""COMPUTED_VALUE"""),"6703824")</f>
        <v>6703824</v>
      </c>
      <c r="E477" s="3" t="str">
        <f>IFERROR(__xludf.DUMMYFUNCTION("""COMPUTED_VALUE"""),"7")</f>
        <v>7</v>
      </c>
      <c r="F477" s="3" t="str">
        <f>IFERROR(__xludf.DUMMYFUNCTION("""COMPUTED_VALUE"""),"นพอ.จินต์จุฑา จงประเสริฐ")</f>
        <v>นพอ.จินต์จุฑา จงประเสริฐ</v>
      </c>
      <c r="G477" s="3" t="str">
        <f>IFERROR(__xludf.DUMMYFUNCTION("""COMPUTED_VALUE"""),"ช่วยเหลืองานภายใน วพอ.")</f>
        <v>ช่วยเหลืองานภายใน วพอ.</v>
      </c>
      <c r="H47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7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77" s="12">
        <f>IFERROR(__xludf.DUMMYFUNCTION("""COMPUTED_VALUE"""),46139.0)</f>
        <v>46139</v>
      </c>
      <c r="K477" s="3" t="str">
        <f>IFERROR(__xludf.DUMMYFUNCTION("""COMPUTED_VALUE"""),"1700-2100")</f>
        <v>1700-2100</v>
      </c>
      <c r="L477" s="3">
        <f>IFERROR(__xludf.DUMMYFUNCTION("""COMPUTED_VALUE"""),4.0)</f>
        <v>4</v>
      </c>
      <c r="M477" s="3" t="str">
        <f>IFERROR(__xludf.DUMMYFUNCTION("""COMPUTED_VALUE"""),"ร.อ.อนุชิต ทำจะดี")</f>
        <v>ร.อ.อนุชิต ทำจะดี</v>
      </c>
      <c r="N477" s="14" t="str">
        <f>IFERROR(__xludf.DUMMYFUNCTION("""COMPUTED_VALUE"""),"https://lh5.googleusercontent.com/d/1iOVTeFV3OSmuZivGdXb2C86Mmn14OvZL")</f>
        <v>https://lh5.googleusercontent.com/d/1iOVTeFV3OSmuZivGdXb2C86Mmn14OvZL</v>
      </c>
      <c r="O477" s="14" t="str">
        <f>IFERROR(__xludf.DUMMYFUNCTION("""COMPUTED_VALUE"""),"https://drive.google.com/file/d/17XmNuGcECg2mw4dnxpSUBqthDERY6lTQ/view?usp=drivesdk")</f>
        <v>https://drive.google.com/file/d/17XmNuGcECg2mw4dnxpSUBqthDERY6lTQ/view?usp=drivesdk</v>
      </c>
    </row>
    <row r="478">
      <c r="A478" s="3">
        <f>IFERROR(__xludf.DUMMYFUNCTION("""COMPUTED_VALUE"""),2196.0)</f>
        <v>2196</v>
      </c>
      <c r="B478" s="11">
        <f>IFERROR(__xludf.DUMMYFUNCTION("""COMPUTED_VALUE"""),46167.340485347224)</f>
        <v>46167.34049</v>
      </c>
      <c r="C478" s="3" t="str">
        <f>IFERROR(__xludf.DUMMYFUNCTION("""COMPUTED_VALUE"""),"ชั้นปีที่ 2")</f>
        <v>ชั้นปีที่ 2</v>
      </c>
      <c r="D478" s="3" t="str">
        <f>IFERROR(__xludf.DUMMYFUNCTION("""COMPUTED_VALUE"""),"6703838")</f>
        <v>6703838</v>
      </c>
      <c r="E478" s="3" t="str">
        <f>IFERROR(__xludf.DUMMYFUNCTION("""COMPUTED_VALUE"""),"21")</f>
        <v>21</v>
      </c>
      <c r="F478" s="3" t="str">
        <f>IFERROR(__xludf.DUMMYFUNCTION("""COMPUTED_VALUE"""),"นพอ.ณัฐพงษ์ วงษ์บัวงาม")</f>
        <v>นพอ.ณัฐพงษ์ วงษ์บัวงาม</v>
      </c>
      <c r="G478" s="3" t="str">
        <f>IFERROR(__xludf.DUMMYFUNCTION("""COMPUTED_VALUE"""),"ช่วยเหลืองานภายใน วพอ.")</f>
        <v>ช่วยเหลืองานภายใน วพอ.</v>
      </c>
      <c r="H47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78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478" s="12">
        <f>IFERROR(__xludf.DUMMYFUNCTION("""COMPUTED_VALUE"""),46139.0)</f>
        <v>46139</v>
      </c>
      <c r="K478" s="3" t="str">
        <f>IFERROR(__xludf.DUMMYFUNCTION("""COMPUTED_VALUE"""),"1700-2100")</f>
        <v>1700-2100</v>
      </c>
      <c r="L478" s="3">
        <f>IFERROR(__xludf.DUMMYFUNCTION("""COMPUTED_VALUE"""),4.0)</f>
        <v>4</v>
      </c>
      <c r="M478" s="3" t="str">
        <f>IFERROR(__xludf.DUMMYFUNCTION("""COMPUTED_VALUE"""),"ร.อ.อนุชิต ทำจะดี")</f>
        <v>ร.อ.อนุชิต ทำจะดี</v>
      </c>
      <c r="N478" s="14" t="str">
        <f>IFERROR(__xludf.DUMMYFUNCTION("""COMPUTED_VALUE"""),"https://lh5.googleusercontent.com/d/1xJN1ED74Spwk89GACF_SuAX6W7PpC4bu")</f>
        <v>https://lh5.googleusercontent.com/d/1xJN1ED74Spwk89GACF_SuAX6W7PpC4bu</v>
      </c>
      <c r="O478" s="14" t="str">
        <f>IFERROR(__xludf.DUMMYFUNCTION("""COMPUTED_VALUE"""),"https://drive.google.com/file/d/1A9FC3yOx-Xd2dR5j8Vrb-5MlbrLUUSnz/view?usp=drivesdk")</f>
        <v>https://drive.google.com/file/d/1A9FC3yOx-Xd2dR5j8Vrb-5MlbrLUUSnz/view?usp=drivesdk</v>
      </c>
    </row>
    <row r="479">
      <c r="A479" s="3">
        <f>IFERROR(__xludf.DUMMYFUNCTION("""COMPUTED_VALUE"""),2197.0)</f>
        <v>2197</v>
      </c>
      <c r="B479" s="11">
        <f>IFERROR(__xludf.DUMMYFUNCTION("""COMPUTED_VALUE"""),46167.340614039356)</f>
        <v>46167.34061</v>
      </c>
      <c r="C479" s="3" t="str">
        <f>IFERROR(__xludf.DUMMYFUNCTION("""COMPUTED_VALUE"""),"ชั้นปีที่ 2")</f>
        <v>ชั้นปีที่ 2</v>
      </c>
      <c r="D479" s="3" t="str">
        <f>IFERROR(__xludf.DUMMYFUNCTION("""COMPUTED_VALUE"""),"6703859")</f>
        <v>6703859</v>
      </c>
      <c r="E479" s="3" t="str">
        <f>IFERROR(__xludf.DUMMYFUNCTION("""COMPUTED_VALUE"""),"40")</f>
        <v>40</v>
      </c>
      <c r="F479" s="3" t="str">
        <f>IFERROR(__xludf.DUMMYFUNCTION("""COMPUTED_VALUE"""),"นพอ.พิชญาภา ไชยพงษ์")</f>
        <v>นพอ.พิชญาภา ไชยพงษ์</v>
      </c>
      <c r="G4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9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79" s="3" t="str">
        <f>IFERROR(__xludf.DUMMYFUNCTION("""COMPUTED_VALUE"""),"สนามกีฬากองทัพอากาศ")</f>
        <v>สนามกีฬากองทัพอากาศ</v>
      </c>
      <c r="J479" s="12">
        <f>IFERROR(__xludf.DUMMYFUNCTION("""COMPUTED_VALUE"""),46078.0)</f>
        <v>46078</v>
      </c>
      <c r="K479" s="3" t="str">
        <f>IFERROR(__xludf.DUMMYFUNCTION("""COMPUTED_VALUE"""),"1200-2000")</f>
        <v>1200-2000</v>
      </c>
      <c r="L479" s="3">
        <f>IFERROR(__xludf.DUMMYFUNCTION("""COMPUTED_VALUE"""),8.0)</f>
        <v>8</v>
      </c>
      <c r="M479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79" s="14" t="str">
        <f>IFERROR(__xludf.DUMMYFUNCTION("""COMPUTED_VALUE"""),"https://lh5.googleusercontent.com/d/1mPpnbgOFma0kMaW06AqEqn8kveJmgf8g")</f>
        <v>https://lh5.googleusercontent.com/d/1mPpnbgOFma0kMaW06AqEqn8kveJmgf8g</v>
      </c>
      <c r="O479" s="14" t="str">
        <f>IFERROR(__xludf.DUMMYFUNCTION("""COMPUTED_VALUE"""),"https://drive.google.com/file/d/1vLRWqhbkXwtsDO0NuBy0Lh5dq7UbyUgc/view?usp=drivesdk")</f>
        <v>https://drive.google.com/file/d/1vLRWqhbkXwtsDO0NuBy0Lh5dq7UbyUgc/view?usp=drivesdk</v>
      </c>
    </row>
    <row r="480">
      <c r="A480" s="3">
        <f>IFERROR(__xludf.DUMMYFUNCTION("""COMPUTED_VALUE"""),2198.0)</f>
        <v>2198</v>
      </c>
      <c r="B480" s="11">
        <f>IFERROR(__xludf.DUMMYFUNCTION("""COMPUTED_VALUE"""),46167.34083945602)</f>
        <v>46167.34084</v>
      </c>
      <c r="C480" s="3" t="str">
        <f>IFERROR(__xludf.DUMMYFUNCTION("""COMPUTED_VALUE"""),"ชั้นปีที่ 2")</f>
        <v>ชั้นปีที่ 2</v>
      </c>
      <c r="D480" s="3" t="str">
        <f>IFERROR(__xludf.DUMMYFUNCTION("""COMPUTED_VALUE"""),"6703861")</f>
        <v>6703861</v>
      </c>
      <c r="E480" s="3" t="str">
        <f>IFERROR(__xludf.DUMMYFUNCTION("""COMPUTED_VALUE"""),"42")</f>
        <v>42</v>
      </c>
      <c r="F480" s="3" t="str">
        <f>IFERROR(__xludf.DUMMYFUNCTION("""COMPUTED_VALUE"""),"นพอ.เพ็ญพิชชา จันทระพงษ์")</f>
        <v>นพอ.เพ็ญพิชชา จันทระพงษ์</v>
      </c>
      <c r="G4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0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80" s="3" t="str">
        <f>IFERROR(__xludf.DUMMYFUNCTION("""COMPUTED_VALUE"""),"สนามกีฬาธูปะเตมีย์")</f>
        <v>สนามกีฬาธูปะเตมีย์</v>
      </c>
      <c r="J480" s="12">
        <f>IFERROR(__xludf.DUMMYFUNCTION("""COMPUTED_VALUE"""),46078.0)</f>
        <v>46078</v>
      </c>
      <c r="K480" s="3" t="str">
        <f>IFERROR(__xludf.DUMMYFUNCTION("""COMPUTED_VALUE"""),"1200-2000")</f>
        <v>1200-2000</v>
      </c>
      <c r="L480" s="3">
        <f>IFERROR(__xludf.DUMMYFUNCTION("""COMPUTED_VALUE"""),8.0)</f>
        <v>8</v>
      </c>
      <c r="M480" s="3" t="str">
        <f>IFERROR(__xludf.DUMMYFUNCTION("""COMPUTED_VALUE"""),"น.ต. หญิง ขวัญชนก พ่วงนาคพันธุ์ เ")</f>
        <v>น.ต. หญิง ขวัญชนก พ่วงนาคพันธุ์ เ</v>
      </c>
      <c r="N480" s="14" t="str">
        <f>IFERROR(__xludf.DUMMYFUNCTION("""COMPUTED_VALUE"""),"https://lh5.googleusercontent.com/d/15QY-vh9NnVJ7wWwDnCjvalkENfm1X1Kl")</f>
        <v>https://lh5.googleusercontent.com/d/15QY-vh9NnVJ7wWwDnCjvalkENfm1X1Kl</v>
      </c>
      <c r="O480" s="14" t="str">
        <f>IFERROR(__xludf.DUMMYFUNCTION("""COMPUTED_VALUE"""),"https://drive.google.com/file/d/1C8t8ov5FZQhf0VOWUMWLFuy5qsNzw0wG/view?usp=drivesdk")</f>
        <v>https://drive.google.com/file/d/1C8t8ov5FZQhf0VOWUMWLFuy5qsNzw0wG/view?usp=drivesdk</v>
      </c>
    </row>
    <row r="481">
      <c r="A481" s="3">
        <f>IFERROR(__xludf.DUMMYFUNCTION("""COMPUTED_VALUE"""),2199.0)</f>
        <v>2199</v>
      </c>
      <c r="B481" s="11">
        <f>IFERROR(__xludf.DUMMYFUNCTION("""COMPUTED_VALUE"""),46167.34190311343)</f>
        <v>46167.3419</v>
      </c>
      <c r="C481" s="3" t="str">
        <f>IFERROR(__xludf.DUMMYFUNCTION("""COMPUTED_VALUE"""),"ชั้นปีที่ 2")</f>
        <v>ชั้นปีที่ 2</v>
      </c>
      <c r="D481" s="3" t="str">
        <f>IFERROR(__xludf.DUMMYFUNCTION("""COMPUTED_VALUE"""),"6703834")</f>
        <v>6703834</v>
      </c>
      <c r="E481" s="3" t="str">
        <f>IFERROR(__xludf.DUMMYFUNCTION("""COMPUTED_VALUE"""),"17")</f>
        <v>17</v>
      </c>
      <c r="F481" s="3" t="str">
        <f>IFERROR(__xludf.DUMMYFUNCTION("""COMPUTED_VALUE"""),"นพอ.ฑิตถากร แน่นอุดร")</f>
        <v>นพอ.ฑิตถากร แน่นอุดร</v>
      </c>
      <c r="G4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1" s="3" t="str">
        <f>IFERROR(__xludf.DUMMYFUNCTION("""COMPUTED_VALUE"""),"ค่ายเยาวชนพัฒนา ครั้งที่ 215")</f>
        <v>ค่ายเยาวชนพัฒนา ครั้งที่ 215</v>
      </c>
      <c r="I481" s="3" t="str">
        <f>IFERROR(__xludf.DUMMYFUNCTION("""COMPUTED_VALUE"""),"วัดสามบัณฑิต จ.อยุธยา")</f>
        <v>วัดสามบัณฑิต จ.อยุธยา</v>
      </c>
      <c r="J481" s="12">
        <f>IFERROR(__xludf.DUMMYFUNCTION("""COMPUTED_VALUE"""),46137.0)</f>
        <v>46137</v>
      </c>
      <c r="K481" s="3" t="str">
        <f>IFERROR(__xludf.DUMMYFUNCTION("""COMPUTED_VALUE"""),"0800-1600")</f>
        <v>0800-1600</v>
      </c>
      <c r="L481" s="3">
        <f>IFERROR(__xludf.DUMMYFUNCTION("""COMPUTED_VALUE"""),8.0)</f>
        <v>8</v>
      </c>
      <c r="M48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1" s="14" t="str">
        <f>IFERROR(__xludf.DUMMYFUNCTION("""COMPUTED_VALUE"""),"https://lh5.googleusercontent.com/d/1GFhiaNQgaZQWytny57zanG0iwRHAWU7L")</f>
        <v>https://lh5.googleusercontent.com/d/1GFhiaNQgaZQWytny57zanG0iwRHAWU7L</v>
      </c>
      <c r="O481" s="14" t="str">
        <f>IFERROR(__xludf.DUMMYFUNCTION("""COMPUTED_VALUE"""),"https://drive.google.com/file/d/1POUXviyRW0I4MJjQwoezp_uK6kGELBYp/view?usp=drivesdk")</f>
        <v>https://drive.google.com/file/d/1POUXviyRW0I4MJjQwoezp_uK6kGELBYp/view?usp=drivesdk</v>
      </c>
    </row>
    <row r="482">
      <c r="A482" s="3">
        <f>IFERROR(__xludf.DUMMYFUNCTION("""COMPUTED_VALUE"""),2200.0)</f>
        <v>2200</v>
      </c>
      <c r="B482" s="11">
        <f>IFERROR(__xludf.DUMMYFUNCTION("""COMPUTED_VALUE"""),46167.34631769676)</f>
        <v>46167.34632</v>
      </c>
      <c r="C482" s="3" t="str">
        <f>IFERROR(__xludf.DUMMYFUNCTION("""COMPUTED_VALUE"""),"ชั้นปีที่ 2")</f>
        <v>ชั้นปีที่ 2</v>
      </c>
      <c r="D482" s="3" t="str">
        <f>IFERROR(__xludf.DUMMYFUNCTION("""COMPUTED_VALUE"""),"6703859")</f>
        <v>6703859</v>
      </c>
      <c r="E482" s="3" t="str">
        <f>IFERROR(__xludf.DUMMYFUNCTION("""COMPUTED_VALUE"""),"40")</f>
        <v>40</v>
      </c>
      <c r="F482" s="3" t="str">
        <f>IFERROR(__xludf.DUMMYFUNCTION("""COMPUTED_VALUE"""),"นพอ.พิชญาภา ไชยพงษ์")</f>
        <v>นพอ.พิชญาภา ไชยพงษ์</v>
      </c>
      <c r="G48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2" s="3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82" s="3" t="str">
        <f>IFERROR(__xludf.DUMMYFUNCTION("""COMPUTED_VALUE"""),"กองบิน 6")</f>
        <v>กองบิน 6</v>
      </c>
      <c r="J482" s="12">
        <f>IFERROR(__xludf.DUMMYFUNCTION("""COMPUTED_VALUE"""),46032.0)</f>
        <v>46032</v>
      </c>
      <c r="K482" s="3" t="str">
        <f>IFERROR(__xludf.DUMMYFUNCTION("""COMPUTED_VALUE"""),"0600-1400")</f>
        <v>0600-1400</v>
      </c>
      <c r="L482" s="3">
        <f>IFERROR(__xludf.DUMMYFUNCTION("""COMPUTED_VALUE"""),8.0)</f>
        <v>8</v>
      </c>
      <c r="M482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82" s="14" t="str">
        <f>IFERROR(__xludf.DUMMYFUNCTION("""COMPUTED_VALUE"""),"https://lh5.googleusercontent.com/d/167byxzzuAbYHzQcmc_nuBJPSCCBLoqzJ")</f>
        <v>https://lh5.googleusercontent.com/d/167byxzzuAbYHzQcmc_nuBJPSCCBLoqzJ</v>
      </c>
      <c r="O482" s="14" t="str">
        <f>IFERROR(__xludf.DUMMYFUNCTION("""COMPUTED_VALUE"""),"https://drive.google.com/file/d/1Zv94FaynEJU_ekMTR7H67dT_MZ0AMHtl/view?usp=drivesdk")</f>
        <v>https://drive.google.com/file/d/1Zv94FaynEJU_ekMTR7H67dT_MZ0AMHtl/view?usp=drivesdk</v>
      </c>
    </row>
    <row r="483">
      <c r="A483" s="3">
        <f>IFERROR(__xludf.DUMMYFUNCTION("""COMPUTED_VALUE"""),2201.0)</f>
        <v>2201</v>
      </c>
      <c r="B483" s="11">
        <f>IFERROR(__xludf.DUMMYFUNCTION("""COMPUTED_VALUE"""),46167.34834424768)</f>
        <v>46167.34834</v>
      </c>
      <c r="C483" s="3" t="str">
        <f>IFERROR(__xludf.DUMMYFUNCTION("""COMPUTED_VALUE"""),"ชั้นปีที่ 2")</f>
        <v>ชั้นปีที่ 2</v>
      </c>
      <c r="D483" s="3" t="str">
        <f>IFERROR(__xludf.DUMMYFUNCTION("""COMPUTED_VALUE"""),"6703856")</f>
        <v>6703856</v>
      </c>
      <c r="E483" s="3" t="str">
        <f>IFERROR(__xludf.DUMMYFUNCTION("""COMPUTED_VALUE"""),"37")</f>
        <v>37</v>
      </c>
      <c r="F483" s="3" t="str">
        <f>IFERROR(__xludf.DUMMYFUNCTION("""COMPUTED_VALUE"""),"นพอ.พรรณรายณ์ เย็นประเสริฐ")</f>
        <v>นพอ.พรรณรายณ์ เย็นประเสริฐ</v>
      </c>
      <c r="G48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3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83" s="3" t="str">
        <f>IFERROR(__xludf.DUMMYFUNCTION("""COMPUTED_VALUE"""),"กองบัญชาการกองทัพไทย")</f>
        <v>กองบัญชาการกองทัพไทย</v>
      </c>
      <c r="J483" s="12">
        <f>IFERROR(__xludf.DUMMYFUNCTION("""COMPUTED_VALUE"""),46032.0)</f>
        <v>46032</v>
      </c>
      <c r="K483" s="3" t="str">
        <f>IFERROR(__xludf.DUMMYFUNCTION("""COMPUTED_VALUE"""),"0600-1400")</f>
        <v>0600-1400</v>
      </c>
      <c r="L483" s="3">
        <f>IFERROR(__xludf.DUMMYFUNCTION("""COMPUTED_VALUE"""),8.0)</f>
        <v>8</v>
      </c>
      <c r="M48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3" s="14" t="str">
        <f>IFERROR(__xludf.DUMMYFUNCTION("""COMPUTED_VALUE"""),"https://lh5.googleusercontent.com/d/1DNjvH3RKz1tM83KW70VbDvvqkVPXAbrG")</f>
        <v>https://lh5.googleusercontent.com/d/1DNjvH3RKz1tM83KW70VbDvvqkVPXAbrG</v>
      </c>
      <c r="O483" s="14" t="str">
        <f>IFERROR(__xludf.DUMMYFUNCTION("""COMPUTED_VALUE"""),"https://drive.google.com/file/d/1PkdbK_-3msFHeJJVquRX9g0K8SJfS1gl/view?usp=drivesdk")</f>
        <v>https://drive.google.com/file/d/1PkdbK_-3msFHeJJVquRX9g0K8SJfS1gl/view?usp=drivesdk</v>
      </c>
    </row>
    <row r="484">
      <c r="A484" s="3">
        <f>IFERROR(__xludf.DUMMYFUNCTION("""COMPUTED_VALUE"""),2202.0)</f>
        <v>2202</v>
      </c>
      <c r="B484" s="11">
        <f>IFERROR(__xludf.DUMMYFUNCTION("""COMPUTED_VALUE"""),46167.35111092593)</f>
        <v>46167.35111</v>
      </c>
      <c r="C484" s="3" t="str">
        <f>IFERROR(__xludf.DUMMYFUNCTION("""COMPUTED_VALUE"""),"ชั้นปีที่ 2")</f>
        <v>ชั้นปีที่ 2</v>
      </c>
      <c r="D484" s="3" t="str">
        <f>IFERROR(__xludf.DUMMYFUNCTION("""COMPUTED_VALUE"""),"6703856")</f>
        <v>6703856</v>
      </c>
      <c r="E484" s="3" t="str">
        <f>IFERROR(__xludf.DUMMYFUNCTION("""COMPUTED_VALUE"""),"37")</f>
        <v>37</v>
      </c>
      <c r="F484" s="3" t="str">
        <f>IFERROR(__xludf.DUMMYFUNCTION("""COMPUTED_VALUE"""),"นพอ.พรรณรายณ์ เย็นประเสริฐ")</f>
        <v>นพอ.พรรณรายณ์ เย็นประเสริฐ</v>
      </c>
      <c r="G48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4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84" s="3" t="str">
        <f>IFERROR(__xludf.DUMMYFUNCTION("""COMPUTED_VALUE"""),"กองบัญชาการกองทัพไทย")</f>
        <v>กองบัญชาการกองทัพไทย</v>
      </c>
      <c r="J484" s="12">
        <f>IFERROR(__xludf.DUMMYFUNCTION("""COMPUTED_VALUE"""),46032.0)</f>
        <v>46032</v>
      </c>
      <c r="K484" s="3" t="str">
        <f>IFERROR(__xludf.DUMMYFUNCTION("""COMPUTED_VALUE"""),"0600-1400")</f>
        <v>0600-1400</v>
      </c>
      <c r="L484" s="3">
        <f>IFERROR(__xludf.DUMMYFUNCTION("""COMPUTED_VALUE"""),8.0)</f>
        <v>8</v>
      </c>
      <c r="M48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4" s="14" t="str">
        <f>IFERROR(__xludf.DUMMYFUNCTION("""COMPUTED_VALUE"""),"https://lh5.googleusercontent.com/d/14GGGyeDPTDrF9209-UXeilWtEuN91m4G")</f>
        <v>https://lh5.googleusercontent.com/d/14GGGyeDPTDrF9209-UXeilWtEuN91m4G</v>
      </c>
      <c r="O484" s="14" t="str">
        <f>IFERROR(__xludf.DUMMYFUNCTION("""COMPUTED_VALUE"""),"https://drive.google.com/file/d/1hHCZ23rExnxGahXfsk-Mjxn9mSUbVZK2/view?usp=drivesdk")</f>
        <v>https://drive.google.com/file/d/1hHCZ23rExnxGahXfsk-Mjxn9mSUbVZK2/view?usp=drivesdk</v>
      </c>
    </row>
    <row r="485">
      <c r="A485" s="3">
        <f>IFERROR(__xludf.DUMMYFUNCTION("""COMPUTED_VALUE"""),2203.0)</f>
        <v>2203</v>
      </c>
      <c r="B485" s="11">
        <f>IFERROR(__xludf.DUMMYFUNCTION("""COMPUTED_VALUE"""),46167.35162164352)</f>
        <v>46167.35162</v>
      </c>
      <c r="C485" s="3" t="str">
        <f>IFERROR(__xludf.DUMMYFUNCTION("""COMPUTED_VALUE"""),"ชั้นปีที่ 2")</f>
        <v>ชั้นปีที่ 2</v>
      </c>
      <c r="D485" s="3" t="str">
        <f>IFERROR(__xludf.DUMMYFUNCTION("""COMPUTED_VALUE"""),"6703873")</f>
        <v>6703873</v>
      </c>
      <c r="E485" s="3" t="str">
        <f>IFERROR(__xludf.DUMMYFUNCTION("""COMPUTED_VALUE"""),"53")</f>
        <v>53</v>
      </c>
      <c r="F485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4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5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85" s="3" t="str">
        <f>IFERROR(__xludf.DUMMYFUNCTION("""COMPUTED_VALUE"""),"สนามกีฬาธูปะเตมีย์")</f>
        <v>สนามกีฬาธูปะเตมีย์</v>
      </c>
      <c r="J485" s="12">
        <f>IFERROR(__xludf.DUMMYFUNCTION("""COMPUTED_VALUE"""),46078.0)</f>
        <v>46078</v>
      </c>
      <c r="K485" s="3" t="str">
        <f>IFERROR(__xludf.DUMMYFUNCTION("""COMPUTED_VALUE"""),"1200-2000")</f>
        <v>1200-2000</v>
      </c>
      <c r="L485" s="3">
        <f>IFERROR(__xludf.DUMMYFUNCTION("""COMPUTED_VALUE"""),8.0)</f>
        <v>8</v>
      </c>
      <c r="M485" s="3" t="str">
        <f>IFERROR(__xludf.DUMMYFUNCTION("""COMPUTED_VALUE"""),"น.ต.หญิง ขวัญชนก  พ่วงนาคพันธุ์")</f>
        <v>น.ต.หญิง ขวัญชนก  พ่วงนาคพันธุ์</v>
      </c>
      <c r="N485" s="14" t="str">
        <f>IFERROR(__xludf.DUMMYFUNCTION("""COMPUTED_VALUE"""),"https://lh5.googleusercontent.com/d/1dDHFgnjyvlsNcWratZ2Sjoyla8CBCKhH")</f>
        <v>https://lh5.googleusercontent.com/d/1dDHFgnjyvlsNcWratZ2Sjoyla8CBCKhH</v>
      </c>
      <c r="O485" s="14" t="str">
        <f>IFERROR(__xludf.DUMMYFUNCTION("""COMPUTED_VALUE"""),"https://drive.google.com/file/d/10m0QjXuGergL5ifnE3XkGCTJ1Ty6R9UB/view?usp=drivesdk")</f>
        <v>https://drive.google.com/file/d/10m0QjXuGergL5ifnE3XkGCTJ1Ty6R9UB/view?usp=drivesdk</v>
      </c>
    </row>
    <row r="486">
      <c r="A486" s="3">
        <f>IFERROR(__xludf.DUMMYFUNCTION("""COMPUTED_VALUE"""),2204.0)</f>
        <v>2204</v>
      </c>
      <c r="B486" s="11">
        <f>IFERROR(__xludf.DUMMYFUNCTION("""COMPUTED_VALUE"""),46167.35608480324)</f>
        <v>46167.35608</v>
      </c>
      <c r="C486" s="3" t="str">
        <f>IFERROR(__xludf.DUMMYFUNCTION("""COMPUTED_VALUE"""),"ชั้นปีที่ 2")</f>
        <v>ชั้นปีที่ 2</v>
      </c>
      <c r="D486" s="3" t="str">
        <f>IFERROR(__xludf.DUMMYFUNCTION("""COMPUTED_VALUE"""),"6703873")</f>
        <v>6703873</v>
      </c>
      <c r="E486" s="3" t="str">
        <f>IFERROR(__xludf.DUMMYFUNCTION("""COMPUTED_VALUE"""),"53")</f>
        <v>53</v>
      </c>
      <c r="F486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48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6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86" s="3" t="str">
        <f>IFERROR(__xludf.DUMMYFUNCTION("""COMPUTED_VALUE"""),"ฝูงบิน 601 กองบิน 6")</f>
        <v>ฝูงบิน 601 กองบิน 6</v>
      </c>
      <c r="J486" s="12">
        <f>IFERROR(__xludf.DUMMYFUNCTION("""COMPUTED_VALUE"""),46032.0)</f>
        <v>46032</v>
      </c>
      <c r="K486" s="3" t="str">
        <f>IFERROR(__xludf.DUMMYFUNCTION("""COMPUTED_VALUE"""),"0600-1400")</f>
        <v>0600-1400</v>
      </c>
      <c r="L486" s="3">
        <f>IFERROR(__xludf.DUMMYFUNCTION("""COMPUTED_VALUE"""),8.0)</f>
        <v>8</v>
      </c>
      <c r="M48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6" s="14" t="str">
        <f>IFERROR(__xludf.DUMMYFUNCTION("""COMPUTED_VALUE"""),"https://lh5.googleusercontent.com/d/1XyH9t4FZdIPRE6-k5gACUyxlntVGinp7")</f>
        <v>https://lh5.googleusercontent.com/d/1XyH9t4FZdIPRE6-k5gACUyxlntVGinp7</v>
      </c>
      <c r="O486" s="14" t="str">
        <f>IFERROR(__xludf.DUMMYFUNCTION("""COMPUTED_VALUE"""),"https://drive.google.com/file/d/1zwHbYjRD8LOfrANFL0EPAV1a8UjJCCxC/view?usp=drivesdk")</f>
        <v>https://drive.google.com/file/d/1zwHbYjRD8LOfrANFL0EPAV1a8UjJCCxC/view?usp=drivesdk</v>
      </c>
    </row>
    <row r="487">
      <c r="A487" s="3">
        <f>IFERROR(__xludf.DUMMYFUNCTION("""COMPUTED_VALUE"""),2205.0)</f>
        <v>2205</v>
      </c>
      <c r="B487" s="11">
        <f>IFERROR(__xludf.DUMMYFUNCTION("""COMPUTED_VALUE"""),46167.388604699074)</f>
        <v>46167.3886</v>
      </c>
      <c r="C487" s="3" t="str">
        <f>IFERROR(__xludf.DUMMYFUNCTION("""COMPUTED_VALUE"""),"ชั้นปีที่ 2")</f>
        <v>ชั้นปีที่ 2</v>
      </c>
      <c r="D487" s="3" t="str">
        <f>IFERROR(__xludf.DUMMYFUNCTION("""COMPUTED_VALUE"""),"6703824")</f>
        <v>6703824</v>
      </c>
      <c r="E487" s="3" t="str">
        <f>IFERROR(__xludf.DUMMYFUNCTION("""COMPUTED_VALUE"""),"7")</f>
        <v>7</v>
      </c>
      <c r="F487" s="3" t="str">
        <f>IFERROR(__xludf.DUMMYFUNCTION("""COMPUTED_VALUE"""),"นพอ.จินต์จุฑา จงประเสริฐ")</f>
        <v>นพอ.จินต์จุฑา จงประเสริฐ</v>
      </c>
      <c r="G487" s="3" t="str">
        <f>IFERROR(__xludf.DUMMYFUNCTION("""COMPUTED_VALUE"""),"ช่วยเหลืองานภายใน วพอ.")</f>
        <v>ช่วยเหลืองานภายใน วพอ.</v>
      </c>
      <c r="H48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87" s="3" t="str">
        <f>IFERROR(__xludf.DUMMYFUNCTION("""COMPUTED_VALUE"""),"วพอ.พอ.")</f>
        <v>วพอ.พอ.</v>
      </c>
      <c r="J487" s="12">
        <f>IFERROR(__xludf.DUMMYFUNCTION("""COMPUTED_VALUE"""),46134.0)</f>
        <v>46134</v>
      </c>
      <c r="K487" s="3" t="str">
        <f>IFERROR(__xludf.DUMMYFUNCTION("""COMPUTED_VALUE"""),"1700-2100")</f>
        <v>1700-2100</v>
      </c>
      <c r="L487" s="3">
        <f>IFERROR(__xludf.DUMMYFUNCTION("""COMPUTED_VALUE"""),4.0)</f>
        <v>4</v>
      </c>
      <c r="M487" s="3" t="str">
        <f>IFERROR(__xludf.DUMMYFUNCTION("""COMPUTED_VALUE"""),"ร.อ.อนุชิต ทำจะดี")</f>
        <v>ร.อ.อนุชิต ทำจะดี</v>
      </c>
      <c r="N487" s="14" t="str">
        <f>IFERROR(__xludf.DUMMYFUNCTION("""COMPUTED_VALUE"""),"https://lh5.googleusercontent.com/d/1-b8-y6XPLN_qlVkreSykKTyz2J-_-gB3")</f>
        <v>https://lh5.googleusercontent.com/d/1-b8-y6XPLN_qlVkreSykKTyz2J-_-gB3</v>
      </c>
      <c r="O487" s="14" t="str">
        <f>IFERROR(__xludf.DUMMYFUNCTION("""COMPUTED_VALUE"""),"https://drive.google.com/file/d/1blzD6AoJkxj7nmXNzmgadF_oFLnWSnJB/view?usp=drivesdk")</f>
        <v>https://drive.google.com/file/d/1blzD6AoJkxj7nmXNzmgadF_oFLnWSnJB/view?usp=drivesdk</v>
      </c>
    </row>
    <row r="488">
      <c r="A488" s="3">
        <f>IFERROR(__xludf.DUMMYFUNCTION("""COMPUTED_VALUE"""),2206.0)</f>
        <v>2206</v>
      </c>
      <c r="B488" s="11">
        <f>IFERROR(__xludf.DUMMYFUNCTION("""COMPUTED_VALUE"""),46167.436121030085)</f>
        <v>46167.43612</v>
      </c>
      <c r="C488" s="3" t="str">
        <f>IFERROR(__xludf.DUMMYFUNCTION("""COMPUTED_VALUE"""),"ชั้นปีที่ 2")</f>
        <v>ชั้นปีที่ 2</v>
      </c>
      <c r="D488" s="3" t="str">
        <f>IFERROR(__xludf.DUMMYFUNCTION("""COMPUTED_VALUE"""),"6703843")</f>
        <v>6703843</v>
      </c>
      <c r="E488" s="3" t="str">
        <f>IFERROR(__xludf.DUMMYFUNCTION("""COMPUTED_VALUE"""),"25")</f>
        <v>25</v>
      </c>
      <c r="F488" s="3" t="str">
        <f>IFERROR(__xludf.DUMMYFUNCTION("""COMPUTED_VALUE"""),"นพอ.ธัญชนิต ธนะกองแก้ว")</f>
        <v>นพอ.ธัญชนิต ธนะกองแก้ว</v>
      </c>
      <c r="G488" s="3" t="str">
        <f>IFERROR(__xludf.DUMMYFUNCTION("""COMPUTED_VALUE"""),"ช่วยเหลืองานภายใน วพอ.")</f>
        <v>ช่วยเหลืองานภายใน วพอ.</v>
      </c>
      <c r="H488" s="3" t="str">
        <f>IFERROR(__xludf.DUMMYFUNCTION("""COMPUTED_VALUE"""),"ทำป้ายงานสัมภาษณ์นพอ.69")</f>
        <v>ทำป้ายงานสัมภาษณ์นพอ.69</v>
      </c>
      <c r="I488" s="3" t="str">
        <f>IFERROR(__xludf.DUMMYFUNCTION("""COMPUTED_VALUE"""),"อนศ.วพอ.พอ.")</f>
        <v>อนศ.วพอ.พอ.</v>
      </c>
      <c r="J488" s="12">
        <f>IFERROR(__xludf.DUMMYFUNCTION("""COMPUTED_VALUE"""),46146.0)</f>
        <v>46146</v>
      </c>
      <c r="K488" s="3" t="str">
        <f>IFERROR(__xludf.DUMMYFUNCTION("""COMPUTED_VALUE"""),"0800-1300")</f>
        <v>0800-1300</v>
      </c>
      <c r="L488" s="3">
        <f>IFERROR(__xludf.DUMMYFUNCTION("""COMPUTED_VALUE"""),5.0)</f>
        <v>5</v>
      </c>
      <c r="M488" s="3" t="str">
        <f>IFERROR(__xludf.DUMMYFUNCTION("""COMPUTED_VALUE"""),"น.ท.หญิง ผศ.ดร.จิรภิญญา คำรัตน์ และ นางสาวรักษ์สุดา สังข์ทอง")</f>
        <v>น.ท.หญิง ผศ.ดร.จิรภิญญา คำรัตน์ และ นางสาวรักษ์สุดา สังข์ทอง</v>
      </c>
      <c r="N488" s="14" t="str">
        <f>IFERROR(__xludf.DUMMYFUNCTION("""COMPUTED_VALUE"""),"https://lh5.googleusercontent.com/d/1uStvP-Xg-cSKGjQveW7nArr8i8AjnJjX")</f>
        <v>https://lh5.googleusercontent.com/d/1uStvP-Xg-cSKGjQveW7nArr8i8AjnJjX</v>
      </c>
      <c r="O488" s="14" t="str">
        <f>IFERROR(__xludf.DUMMYFUNCTION("""COMPUTED_VALUE"""),"https://drive.google.com/file/d/1P4x4tQuVX86Oq4uF7WVdK0kpqH8HRZPE/view?usp=drivesdk")</f>
        <v>https://drive.google.com/file/d/1P4x4tQuVX86Oq4uF7WVdK0kpqH8HRZPE/view?usp=drivesdk</v>
      </c>
    </row>
    <row r="489">
      <c r="A489" s="3">
        <f>IFERROR(__xludf.DUMMYFUNCTION("""COMPUTED_VALUE"""),2207.0)</f>
        <v>2207</v>
      </c>
      <c r="B489" s="11">
        <f>IFERROR(__xludf.DUMMYFUNCTION("""COMPUTED_VALUE"""),46167.44025045139)</f>
        <v>46167.44025</v>
      </c>
      <c r="C489" s="3" t="str">
        <f>IFERROR(__xludf.DUMMYFUNCTION("""COMPUTED_VALUE"""),"ชั้นปีที่ 2")</f>
        <v>ชั้นปีที่ 2</v>
      </c>
      <c r="D489" s="3" t="str">
        <f>IFERROR(__xludf.DUMMYFUNCTION("""COMPUTED_VALUE"""),"6703843")</f>
        <v>6703843</v>
      </c>
      <c r="E489" s="3" t="str">
        <f>IFERROR(__xludf.DUMMYFUNCTION("""COMPUTED_VALUE"""),"25")</f>
        <v>25</v>
      </c>
      <c r="F489" s="3" t="str">
        <f>IFERROR(__xludf.DUMMYFUNCTION("""COMPUTED_VALUE"""),"นพอ.ธัญชนิต ธนะกองแก้ว")</f>
        <v>นพอ.ธัญชนิต ธนะกองแก้ว</v>
      </c>
      <c r="G489" s="3" t="str">
        <f>IFERROR(__xludf.DUMMYFUNCTION("""COMPUTED_VALUE"""),"ช่วยเหลืองานภายใน วพอ.")</f>
        <v>ช่วยเหลืองานภายใน วพอ.</v>
      </c>
      <c r="H489" s="3" t="str">
        <f>IFERROR(__xludf.DUMMYFUNCTION("""COMPUTED_VALUE"""),"ทำป้ายสัมภาษณ์นพอ.69")</f>
        <v>ทำป้ายสัมภาษณ์นพอ.69</v>
      </c>
      <c r="I489" s="3" t="str">
        <f>IFERROR(__xludf.DUMMYFUNCTION("""COMPUTED_VALUE"""),"อนศ.วพอ.พอ.")</f>
        <v>อนศ.วพอ.พอ.</v>
      </c>
      <c r="J489" s="12">
        <f>IFERROR(__xludf.DUMMYFUNCTION("""COMPUTED_VALUE"""),46143.0)</f>
        <v>46143</v>
      </c>
      <c r="K489" s="3" t="str">
        <f>IFERROR(__xludf.DUMMYFUNCTION("""COMPUTED_VALUE"""),"0800-1300")</f>
        <v>0800-1300</v>
      </c>
      <c r="L489" s="3">
        <f>IFERROR(__xludf.DUMMYFUNCTION("""COMPUTED_VALUE"""),5.0)</f>
        <v>5</v>
      </c>
      <c r="M489" s="3" t="str">
        <f>IFERROR(__xludf.DUMMYFUNCTION("""COMPUTED_VALUE"""),"น.ท.หญิง ผศ.ดร. จิรภิญญา คำรัตน์ และนางสาวรักษ์สุดา สังข์ทอง")</f>
        <v>น.ท.หญิง ผศ.ดร. จิรภิญญา คำรัตน์ และนางสาวรักษ์สุดา สังข์ทอง</v>
      </c>
      <c r="N489" s="14" t="str">
        <f>IFERROR(__xludf.DUMMYFUNCTION("""COMPUTED_VALUE"""),"https://lh5.googleusercontent.com/d/1wHs44O5-xHbM2xKuN9Iu48RsmXIHUraa")</f>
        <v>https://lh5.googleusercontent.com/d/1wHs44O5-xHbM2xKuN9Iu48RsmXIHUraa</v>
      </c>
      <c r="O489" s="14" t="str">
        <f>IFERROR(__xludf.DUMMYFUNCTION("""COMPUTED_VALUE"""),"https://drive.google.com/file/d/1KXwTxdmJ9f_mskLzd0d-NmDegXTFPCEB/view?usp=drivesdk")</f>
        <v>https://drive.google.com/file/d/1KXwTxdmJ9f_mskLzd0d-NmDegXTFPCEB/view?usp=drivesdk</v>
      </c>
    </row>
    <row r="490">
      <c r="A490" s="3">
        <f>IFERROR(__xludf.DUMMYFUNCTION("""COMPUTED_VALUE"""),2208.0)</f>
        <v>2208</v>
      </c>
      <c r="B490" s="11">
        <f>IFERROR(__xludf.DUMMYFUNCTION("""COMPUTED_VALUE"""),46167.44248160879)</f>
        <v>46167.44248</v>
      </c>
      <c r="C490" s="3" t="str">
        <f>IFERROR(__xludf.DUMMYFUNCTION("""COMPUTED_VALUE"""),"ชั้นปีที่ 2")</f>
        <v>ชั้นปีที่ 2</v>
      </c>
      <c r="D490" s="3" t="str">
        <f>IFERROR(__xludf.DUMMYFUNCTION("""COMPUTED_VALUE"""),"6703843")</f>
        <v>6703843</v>
      </c>
      <c r="E490" s="3" t="str">
        <f>IFERROR(__xludf.DUMMYFUNCTION("""COMPUTED_VALUE"""),"25")</f>
        <v>25</v>
      </c>
      <c r="F490" s="3" t="str">
        <f>IFERROR(__xludf.DUMMYFUNCTION("""COMPUTED_VALUE"""),"นพอ.ธัญชนิต ธนะกองแก้ว")</f>
        <v>นพอ.ธัญชนิต ธนะกองแก้ว</v>
      </c>
      <c r="G49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0" s="3" t="str">
        <f>IFERROR(__xludf.DUMMYFUNCTION("""COMPUTED_VALUE"""),"พิธีเปิด-ปิดกีฬาภายในกองทัพอากาศ ")</f>
        <v>พิธีเปิด-ปิดกีฬาภายในกองทัพอากาศ </v>
      </c>
      <c r="I490" s="3" t="str">
        <f>IFERROR(__xludf.DUMMYFUNCTION("""COMPUTED_VALUE"""),"สนามกีฬาธูปะเตมีย์ กองทัพอากาศ")</f>
        <v>สนามกีฬาธูปะเตมีย์ กองทัพอากาศ</v>
      </c>
      <c r="J490" s="12">
        <f>IFERROR(__xludf.DUMMYFUNCTION("""COMPUTED_VALUE"""),46078.0)</f>
        <v>46078</v>
      </c>
      <c r="K490" s="3" t="str">
        <f>IFERROR(__xludf.DUMMYFUNCTION("""COMPUTED_VALUE"""),"1200-2000")</f>
        <v>1200-2000</v>
      </c>
      <c r="L490" s="3">
        <f>IFERROR(__xludf.DUMMYFUNCTION("""COMPUTED_VALUE"""),8.0)</f>
        <v>8</v>
      </c>
      <c r="M49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90" s="14" t="str">
        <f>IFERROR(__xludf.DUMMYFUNCTION("""COMPUTED_VALUE"""),"https://lh5.googleusercontent.com/d/10ByQkQ3Ak-0q0hE-kvrxVJ8ZgsK0EBCF")</f>
        <v>https://lh5.googleusercontent.com/d/10ByQkQ3Ak-0q0hE-kvrxVJ8ZgsK0EBCF</v>
      </c>
      <c r="O490" s="14" t="str">
        <f>IFERROR(__xludf.DUMMYFUNCTION("""COMPUTED_VALUE"""),"https://drive.google.com/file/d/1uY_-d37GXO1HxPbmETL_kJL76HHFQUM_/view?usp=drivesdk")</f>
        <v>https://drive.google.com/file/d/1uY_-d37GXO1HxPbmETL_kJL76HHFQUM_/view?usp=drivesdk</v>
      </c>
    </row>
    <row r="491">
      <c r="A491" s="3">
        <f>IFERROR(__xludf.DUMMYFUNCTION("""COMPUTED_VALUE"""),2209.0)</f>
        <v>2209</v>
      </c>
      <c r="B491" s="11">
        <f>IFERROR(__xludf.DUMMYFUNCTION("""COMPUTED_VALUE"""),46167.44709991897)</f>
        <v>46167.4471</v>
      </c>
      <c r="C491" s="3" t="str">
        <f>IFERROR(__xludf.DUMMYFUNCTION("""COMPUTED_VALUE"""),"ชั้นปีที่ 2")</f>
        <v>ชั้นปีที่ 2</v>
      </c>
      <c r="D491" s="3" t="str">
        <f>IFERROR(__xludf.DUMMYFUNCTION("""COMPUTED_VALUE"""),"6703843")</f>
        <v>6703843</v>
      </c>
      <c r="E491" s="3" t="str">
        <f>IFERROR(__xludf.DUMMYFUNCTION("""COMPUTED_VALUE"""),"25")</f>
        <v>25</v>
      </c>
      <c r="F491" s="3" t="str">
        <f>IFERROR(__xludf.DUMMYFUNCTION("""COMPUTED_VALUE"""),"นพอ.ธัญชนิต ธนะกองแก้ว")</f>
        <v>นพอ.ธัญชนิต ธนะกองแก้ว</v>
      </c>
      <c r="G491" s="3" t="str">
        <f>IFERROR(__xludf.DUMMYFUNCTION("""COMPUTED_VALUE"""),"ช่วยเหลืองานภายใน วพอ.")</f>
        <v>ช่วยเหลืองานภายใน วพอ.</v>
      </c>
      <c r="H491" s="3" t="str">
        <f>IFERROR(__xludf.DUMMYFUNCTION("""COMPUTED_VALUE"""),"ซ้อมงานพิธีมอบหมวกพยาบาลวิชาชีพ ปีการศึกษา 2568 (organize)")</f>
        <v>ซ้อมงานพิธีมอบหมวกพยาบาลวิชาชีพ ปีการศึกษา 2568 (organize)</v>
      </c>
      <c r="I491" s="3" t="str">
        <f>IFERROR(__xludf.DUMMYFUNCTION("""COMPUTED_VALUE"""),"วพอ.พอ.")</f>
        <v>วพอ.พอ.</v>
      </c>
      <c r="J491" s="12">
        <f>IFERROR(__xludf.DUMMYFUNCTION("""COMPUTED_VALUE"""),46138.0)</f>
        <v>46138</v>
      </c>
      <c r="K491" s="3" t="str">
        <f>IFERROR(__xludf.DUMMYFUNCTION("""COMPUTED_VALUE"""),"1500-2100")</f>
        <v>1500-2100</v>
      </c>
      <c r="L491" s="3">
        <f>IFERROR(__xludf.DUMMYFUNCTION("""COMPUTED_VALUE"""),6.0)</f>
        <v>6</v>
      </c>
      <c r="M491" s="3" t="str">
        <f>IFERROR(__xludf.DUMMYFUNCTION("""COMPUTED_VALUE"""),"ร.อ.อนุชิต ทำจะดี ")</f>
        <v>ร.อ.อนุชิต ทำจะดี </v>
      </c>
      <c r="N491" s="14" t="str">
        <f>IFERROR(__xludf.DUMMYFUNCTION("""COMPUTED_VALUE"""),"https://lh5.googleusercontent.com/d/1yzPz0ajR6SpC0uB4tF_t9qRtQrADAaM_")</f>
        <v>https://lh5.googleusercontent.com/d/1yzPz0ajR6SpC0uB4tF_t9qRtQrADAaM_</v>
      </c>
      <c r="O491" s="14" t="str">
        <f>IFERROR(__xludf.DUMMYFUNCTION("""COMPUTED_VALUE"""),"https://drive.google.com/file/d/1_uOmcrXO_oejslrnCOCeEp-eAJrfeRQF/view?usp=drivesdk")</f>
        <v>https://drive.google.com/file/d/1_uOmcrXO_oejslrnCOCeEp-eAJrfeRQF/view?usp=drivesdk</v>
      </c>
    </row>
    <row r="492">
      <c r="A492" s="3">
        <f>IFERROR(__xludf.DUMMYFUNCTION("""COMPUTED_VALUE"""),2210.0)</f>
        <v>2210</v>
      </c>
      <c r="B492" s="11">
        <f>IFERROR(__xludf.DUMMYFUNCTION("""COMPUTED_VALUE"""),46167.45073603009)</f>
        <v>46167.45074</v>
      </c>
      <c r="C492" s="3" t="str">
        <f>IFERROR(__xludf.DUMMYFUNCTION("""COMPUTED_VALUE"""),"ชั้นปีที่ 2")</f>
        <v>ชั้นปีที่ 2</v>
      </c>
      <c r="D492" s="3" t="str">
        <f>IFERROR(__xludf.DUMMYFUNCTION("""COMPUTED_VALUE"""),"6703843")</f>
        <v>6703843</v>
      </c>
      <c r="E492" s="3" t="str">
        <f>IFERROR(__xludf.DUMMYFUNCTION("""COMPUTED_VALUE"""),"25")</f>
        <v>25</v>
      </c>
      <c r="F492" s="3" t="str">
        <f>IFERROR(__xludf.DUMMYFUNCTION("""COMPUTED_VALUE"""),"นพอ.ธัญชนิต ธนะกองแก้ว")</f>
        <v>นพอ.ธัญชนิต ธนะกองแก้ว</v>
      </c>
      <c r="G492" s="3" t="str">
        <f>IFERROR(__xludf.DUMMYFUNCTION("""COMPUTED_VALUE"""),"ช่วยเหลืองานภายใน วพอ.")</f>
        <v>ช่วยเหลืองานภายใน วพอ.</v>
      </c>
      <c r="H492" s="3" t="str">
        <f>IFERROR(__xludf.DUMMYFUNCTION("""COMPUTED_VALUE""")," ซ้อมงานพิธีมอบหมวกพยาบาลวิชาชีพ ปีการศึกษา 2568 (organize)")</f>
        <v> ซ้อมงานพิธีมอบหมวกพยาบาลวิชาชีพ ปีการศึกษา 2568 (organize)</v>
      </c>
      <c r="I492" s="3" t="str">
        <f>IFERROR(__xludf.DUMMYFUNCTION("""COMPUTED_VALUE"""),"หอประชุมธูปะเตมีย์ รพ.ภูมิพลฯ")</f>
        <v>หอประชุมธูปะเตมีย์ รพ.ภูมิพลฯ</v>
      </c>
      <c r="J492" s="12">
        <f>IFERROR(__xludf.DUMMYFUNCTION("""COMPUTED_VALUE"""),46139.0)</f>
        <v>46139</v>
      </c>
      <c r="K492" s="3" t="str">
        <f>IFERROR(__xludf.DUMMYFUNCTION("""COMPUTED_VALUE"""),"1700-2100")</f>
        <v>1700-2100</v>
      </c>
      <c r="L492" s="3">
        <f>IFERROR(__xludf.DUMMYFUNCTION("""COMPUTED_VALUE"""),4.0)</f>
        <v>4</v>
      </c>
      <c r="M492" s="3" t="str">
        <f>IFERROR(__xludf.DUMMYFUNCTION("""COMPUTED_VALUE"""),"ร.อ.อนุชิต ทำจะดี")</f>
        <v>ร.อ.อนุชิต ทำจะดี</v>
      </c>
      <c r="N492" s="14" t="str">
        <f>IFERROR(__xludf.DUMMYFUNCTION("""COMPUTED_VALUE"""),"https://lh5.googleusercontent.com/d/1xnTNw0vgcvXR8ehYD7usDh6Ro8PrB-B2")</f>
        <v>https://lh5.googleusercontent.com/d/1xnTNw0vgcvXR8ehYD7usDh6Ro8PrB-B2</v>
      </c>
      <c r="O492" s="14" t="str">
        <f>IFERROR(__xludf.DUMMYFUNCTION("""COMPUTED_VALUE"""),"https://drive.google.com/file/d/1huA9jEDLRDO7lZaYQ0cIJotDFDcPDACS/view?usp=drivesdk")</f>
        <v>https://drive.google.com/file/d/1huA9jEDLRDO7lZaYQ0cIJotDFDcPDACS/view?usp=drivesdk</v>
      </c>
    </row>
    <row r="493">
      <c r="A493" s="3">
        <f>IFERROR(__xludf.DUMMYFUNCTION("""COMPUTED_VALUE"""),2211.0)</f>
        <v>2211</v>
      </c>
      <c r="B493" s="11">
        <f>IFERROR(__xludf.DUMMYFUNCTION("""COMPUTED_VALUE"""),46167.457145810185)</f>
        <v>46167.45715</v>
      </c>
      <c r="C493" s="3" t="str">
        <f>IFERROR(__xludf.DUMMYFUNCTION("""COMPUTED_VALUE"""),"ชั้นปีที่ 2")</f>
        <v>ชั้นปีที่ 2</v>
      </c>
      <c r="D493" s="3" t="str">
        <f>IFERROR(__xludf.DUMMYFUNCTION("""COMPUTED_VALUE"""),"6703827")</f>
        <v>6703827</v>
      </c>
      <c r="E493" s="3" t="str">
        <f>IFERROR(__xludf.DUMMYFUNCTION("""COMPUTED_VALUE"""),"10")</f>
        <v>10</v>
      </c>
      <c r="F493" s="3" t="str">
        <f>IFERROR(__xludf.DUMMYFUNCTION("""COMPUTED_VALUE"""),"นพอ.ชนัญญา เสาร์แดน")</f>
        <v>นพอ.ชนัญญา เสาร์แดน</v>
      </c>
      <c r="G49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3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93" s="3" t="str">
        <f>IFERROR(__xludf.DUMMYFUNCTION("""COMPUTED_VALUE"""),"กองบิน 6 ดอนเมือง")</f>
        <v>กองบิน 6 ดอนเมือง</v>
      </c>
      <c r="J493" s="12">
        <f>IFERROR(__xludf.DUMMYFUNCTION("""COMPUTED_VALUE"""),46032.0)</f>
        <v>46032</v>
      </c>
      <c r="K493" s="3" t="str">
        <f>IFERROR(__xludf.DUMMYFUNCTION("""COMPUTED_VALUE"""),"0600-1400")</f>
        <v>0600-1400</v>
      </c>
      <c r="L493" s="3">
        <f>IFERROR(__xludf.DUMMYFUNCTION("""COMPUTED_VALUE"""),8.0)</f>
        <v>8</v>
      </c>
      <c r="M49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93" s="14" t="str">
        <f>IFERROR(__xludf.DUMMYFUNCTION("""COMPUTED_VALUE"""),"https://lh5.googleusercontent.com/d/14RZMbFPThBDkG3e1q2nLGhh11UNGEXca")</f>
        <v>https://lh5.googleusercontent.com/d/14RZMbFPThBDkG3e1q2nLGhh11UNGEXca</v>
      </c>
      <c r="O493" s="14" t="str">
        <f>IFERROR(__xludf.DUMMYFUNCTION("""COMPUTED_VALUE"""),"https://drive.google.com/file/d/1C9cOWd8nsB2B-MIrRQpsXX08ddx0fEzj/view?usp=drivesdk")</f>
        <v>https://drive.google.com/file/d/1C9cOWd8nsB2B-MIrRQpsXX08ddx0fEzj/view?usp=drivesdk</v>
      </c>
    </row>
    <row r="494">
      <c r="A494" s="3">
        <f>IFERROR(__xludf.DUMMYFUNCTION("""COMPUTED_VALUE"""),2212.0)</f>
        <v>2212</v>
      </c>
      <c r="B494" s="11">
        <f>IFERROR(__xludf.DUMMYFUNCTION("""COMPUTED_VALUE"""),46167.46404533565)</f>
        <v>46167.46405</v>
      </c>
      <c r="C494" s="3" t="str">
        <f>IFERROR(__xludf.DUMMYFUNCTION("""COMPUTED_VALUE"""),"ชั้นปีที่ 2")</f>
        <v>ชั้นปีที่ 2</v>
      </c>
      <c r="D494" s="3" t="str">
        <f>IFERROR(__xludf.DUMMYFUNCTION("""COMPUTED_VALUE"""),"6703826")</f>
        <v>6703826</v>
      </c>
      <c r="E494" s="3" t="str">
        <f>IFERROR(__xludf.DUMMYFUNCTION("""COMPUTED_VALUE"""),"9")</f>
        <v>9</v>
      </c>
      <c r="F494" s="3" t="str">
        <f>IFERROR(__xludf.DUMMYFUNCTION("""COMPUTED_VALUE"""),"นพอ.ชณัฐธิดา ชูชีพ")</f>
        <v>นพอ.ชณัฐธิดา ชูชีพ</v>
      </c>
      <c r="G4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4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94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494" s="12">
        <f>IFERROR(__xludf.DUMMYFUNCTION("""COMPUTED_VALUE"""),46078.0)</f>
        <v>46078</v>
      </c>
      <c r="K494" s="3" t="str">
        <f>IFERROR(__xludf.DUMMYFUNCTION("""COMPUTED_VALUE"""),"1200-2000")</f>
        <v>1200-2000</v>
      </c>
      <c r="L494" s="3">
        <f>IFERROR(__xludf.DUMMYFUNCTION("""COMPUTED_VALUE"""),8.0)</f>
        <v>8</v>
      </c>
      <c r="M494" s="3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494" s="14" t="str">
        <f>IFERROR(__xludf.DUMMYFUNCTION("""COMPUTED_VALUE"""),"https://lh5.googleusercontent.com/d/1cnrERN9NXvLyRpU9WkvWu640o4pwgHQp")</f>
        <v>https://lh5.googleusercontent.com/d/1cnrERN9NXvLyRpU9WkvWu640o4pwgHQp</v>
      </c>
      <c r="O494" s="14" t="str">
        <f>IFERROR(__xludf.DUMMYFUNCTION("""COMPUTED_VALUE"""),"https://drive.google.com/file/d/1IiL0-UhJxd_YORoYfs2687Yu9Dmc7Gr5/view?usp=drivesdk")</f>
        <v>https://drive.google.com/file/d/1IiL0-UhJxd_YORoYfs2687Yu9Dmc7Gr5/view?usp=drivesdk</v>
      </c>
    </row>
    <row r="495">
      <c r="A495" s="3">
        <f>IFERROR(__xludf.DUMMYFUNCTION("""COMPUTED_VALUE"""),2213.0)</f>
        <v>2213</v>
      </c>
      <c r="B495" s="11">
        <f>IFERROR(__xludf.DUMMYFUNCTION("""COMPUTED_VALUE"""),46167.46771733797)</f>
        <v>46167.46772</v>
      </c>
      <c r="C495" s="3" t="str">
        <f>IFERROR(__xludf.DUMMYFUNCTION("""COMPUTED_VALUE"""),"ชั้นปีที่ 2")</f>
        <v>ชั้นปีที่ 2</v>
      </c>
      <c r="D495" s="3" t="str">
        <f>IFERROR(__xludf.DUMMYFUNCTION("""COMPUTED_VALUE"""),"6703826")</f>
        <v>6703826</v>
      </c>
      <c r="E495" s="3" t="str">
        <f>IFERROR(__xludf.DUMMYFUNCTION("""COMPUTED_VALUE"""),"9")</f>
        <v>9</v>
      </c>
      <c r="F495" s="3" t="str">
        <f>IFERROR(__xludf.DUMMYFUNCTION("""COMPUTED_VALUE"""),"นพอ.ชณัฐธิดา ชูชีพ")</f>
        <v>นพอ.ชณัฐธิดา ชูชีพ</v>
      </c>
      <c r="G4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5" s="3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95" s="3" t="str">
        <f>IFERROR(__xludf.DUMMYFUNCTION("""COMPUTED_VALUE"""),"พิพิธภัณฑ์กองทัพอากาศ")</f>
        <v>พิพิธภัณฑ์กองทัพอากาศ</v>
      </c>
      <c r="J495" s="12">
        <f>IFERROR(__xludf.DUMMYFUNCTION("""COMPUTED_VALUE"""),46032.0)</f>
        <v>46032</v>
      </c>
      <c r="K495" s="3" t="str">
        <f>IFERROR(__xludf.DUMMYFUNCTION("""COMPUTED_VALUE"""),"0600-1400")</f>
        <v>0600-1400</v>
      </c>
      <c r="L495" s="3">
        <f>IFERROR(__xludf.DUMMYFUNCTION("""COMPUTED_VALUE"""),8.0)</f>
        <v>8</v>
      </c>
      <c r="M495" s="3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495" s="14" t="str">
        <f>IFERROR(__xludf.DUMMYFUNCTION("""COMPUTED_VALUE"""),"https://lh5.googleusercontent.com/d/1HvSQmbeASkaYgT9jIsNShHp2EzHV374r")</f>
        <v>https://lh5.googleusercontent.com/d/1HvSQmbeASkaYgT9jIsNShHp2EzHV374r</v>
      </c>
      <c r="O495" s="14" t="str">
        <f>IFERROR(__xludf.DUMMYFUNCTION("""COMPUTED_VALUE"""),"https://drive.google.com/file/d/1-Wpb3PoQ5FIwaDMii1dsECoVokUxzAJU/view?usp=drivesdk")</f>
        <v>https://drive.google.com/file/d/1-Wpb3PoQ5FIwaDMii1dsECoVokUxzAJU/view?usp=drivesdk</v>
      </c>
    </row>
    <row r="496">
      <c r="A496" s="3">
        <f>IFERROR(__xludf.DUMMYFUNCTION("""COMPUTED_VALUE"""),2214.0)</f>
        <v>2214</v>
      </c>
      <c r="B496" s="11">
        <f>IFERROR(__xludf.DUMMYFUNCTION("""COMPUTED_VALUE"""),46167.47424644676)</f>
        <v>46167.47425</v>
      </c>
      <c r="C496" s="3" t="str">
        <f>IFERROR(__xludf.DUMMYFUNCTION("""COMPUTED_VALUE"""),"ชั้นปีที่ 2")</f>
        <v>ชั้นปีที่ 2</v>
      </c>
      <c r="D496" s="3" t="str">
        <f>IFERROR(__xludf.DUMMYFUNCTION("""COMPUTED_VALUE"""),"6703832")</f>
        <v>6703832</v>
      </c>
      <c r="E496" s="3" t="str">
        <f>IFERROR(__xludf.DUMMYFUNCTION("""COMPUTED_VALUE"""),"15")</f>
        <v>15</v>
      </c>
      <c r="F496" s="3" t="str">
        <f>IFERROR(__xludf.DUMMYFUNCTION("""COMPUTED_VALUE"""),"นพอ. ญาตาวี บุญภิละ")</f>
        <v>นพอ. ญาตาวี บุญภิละ</v>
      </c>
      <c r="G49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96" s="3" t="str">
        <f>IFERROR(__xludf.DUMMYFUNCTION("""COMPUTED_VALUE"""),"บริจาคโลหิต")</f>
        <v>บริจาคโลหิต</v>
      </c>
      <c r="I496" s="3" t="str">
        <f>IFERROR(__xludf.DUMMYFUNCTION("""COMPUTED_VALUE"""),"ศูนย์บริจาคโลหิตแห่งชาติ")</f>
        <v>ศูนย์บริจาคโลหิตแห่งชาติ</v>
      </c>
      <c r="J496" s="12">
        <f>IFERROR(__xludf.DUMMYFUNCTION("""COMPUTED_VALUE"""),46158.0)</f>
        <v>46158</v>
      </c>
      <c r="K496" s="3" t="str">
        <f>IFERROR(__xludf.DUMMYFUNCTION("""COMPUTED_VALUE"""),"10000-1800")</f>
        <v>10000-1800</v>
      </c>
      <c r="L496" s="3">
        <f>IFERROR(__xludf.DUMMYFUNCTION("""COMPUTED_VALUE"""),8.0)</f>
        <v>8</v>
      </c>
      <c r="M496" s="3" t="str">
        <f>IFERROR(__xludf.DUMMYFUNCTION("""COMPUTED_VALUE"""),"น.ส. ดาริน ภูรับ")</f>
        <v>น.ส. ดาริน ภูรับ</v>
      </c>
      <c r="N496" s="14" t="str">
        <f>IFERROR(__xludf.DUMMYFUNCTION("""COMPUTED_VALUE"""),"https://lh5.googleusercontent.com/d/1bo2l5Vem9X5M6oU06ecLuT2R7urBibPn")</f>
        <v>https://lh5.googleusercontent.com/d/1bo2l5Vem9X5M6oU06ecLuT2R7urBibPn</v>
      </c>
      <c r="O496" s="14" t="str">
        <f>IFERROR(__xludf.DUMMYFUNCTION("""COMPUTED_VALUE"""),"https://drive.google.com/file/d/1TOgXpPsX_uw7X6ttOGSbZloP9cYtRGSB/view?usp=drivesdk")</f>
        <v>https://drive.google.com/file/d/1TOgXpPsX_uw7X6ttOGSbZloP9cYtRGSB/view?usp=drivesdk</v>
      </c>
    </row>
    <row r="497">
      <c r="A497" s="3">
        <f>IFERROR(__xludf.DUMMYFUNCTION("""COMPUTED_VALUE"""),2215.0)</f>
        <v>2215</v>
      </c>
      <c r="B497" s="11">
        <f>IFERROR(__xludf.DUMMYFUNCTION("""COMPUTED_VALUE"""),46167.47509898148)</f>
        <v>46167.4751</v>
      </c>
      <c r="C497" s="3" t="str">
        <f>IFERROR(__xludf.DUMMYFUNCTION("""COMPUTED_VALUE"""),"ชั้นปีที่ 2")</f>
        <v>ชั้นปีที่ 2</v>
      </c>
      <c r="D497" s="3" t="str">
        <f>IFERROR(__xludf.DUMMYFUNCTION("""COMPUTED_VALUE"""),"6703827")</f>
        <v>6703827</v>
      </c>
      <c r="E497" s="3" t="str">
        <f>IFERROR(__xludf.DUMMYFUNCTION("""COMPUTED_VALUE"""),"10")</f>
        <v>10</v>
      </c>
      <c r="F497" s="3" t="str">
        <f>IFERROR(__xludf.DUMMYFUNCTION("""COMPUTED_VALUE"""),"นพอ.ชนัญญา เสาร์แดน")</f>
        <v>นพอ.ชนัญญา เสาร์แดน</v>
      </c>
      <c r="G497" s="3" t="str">
        <f>IFERROR(__xludf.DUMMYFUNCTION("""COMPUTED_VALUE"""),"ช่วยเหลืองานภายใน วพอ.")</f>
        <v>ช่วยเหลืองานภายใน วพอ.</v>
      </c>
      <c r="H49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7" s="3" t="str">
        <f>IFERROR(__xludf.DUMMYFUNCTION("""COMPUTED_VALUE"""),"วพอ.พอ.")</f>
        <v>วพอ.พอ.</v>
      </c>
      <c r="J497" s="12">
        <f>IFERROR(__xludf.DUMMYFUNCTION("""COMPUTED_VALUE"""),46133.0)</f>
        <v>46133</v>
      </c>
      <c r="K497" s="3" t="str">
        <f>IFERROR(__xludf.DUMMYFUNCTION("""COMPUTED_VALUE"""),"1700-2100")</f>
        <v>1700-2100</v>
      </c>
      <c r="L497" s="3">
        <f>IFERROR(__xludf.DUMMYFUNCTION("""COMPUTED_VALUE"""),4.0)</f>
        <v>4</v>
      </c>
      <c r="M497" s="3" t="str">
        <f>IFERROR(__xludf.DUMMYFUNCTION("""COMPUTED_VALUE"""),"ร.อ.อนุชิต ทำจะดี")</f>
        <v>ร.อ.อนุชิต ทำจะดี</v>
      </c>
      <c r="N497" s="14" t="str">
        <f>IFERROR(__xludf.DUMMYFUNCTION("""COMPUTED_VALUE"""),"https://lh5.googleusercontent.com/d/1OoV5z2bpg4ZeK6oa0VIXEIEjBXaMICpO")</f>
        <v>https://lh5.googleusercontent.com/d/1OoV5z2bpg4ZeK6oa0VIXEIEjBXaMICpO</v>
      </c>
      <c r="O497" s="14" t="str">
        <f>IFERROR(__xludf.DUMMYFUNCTION("""COMPUTED_VALUE"""),"https://drive.google.com/file/d/1Kwgsf79wwO_X3-nxdidiTvWl1SqAyshg/view?usp=drivesdk")</f>
        <v>https://drive.google.com/file/d/1Kwgsf79wwO_X3-nxdidiTvWl1SqAyshg/view?usp=drivesdk</v>
      </c>
    </row>
    <row r="498">
      <c r="A498" s="3">
        <f>IFERROR(__xludf.DUMMYFUNCTION("""COMPUTED_VALUE"""),2216.0)</f>
        <v>2216</v>
      </c>
      <c r="B498" s="11">
        <f>IFERROR(__xludf.DUMMYFUNCTION("""COMPUTED_VALUE"""),46167.47706842593)</f>
        <v>46167.47707</v>
      </c>
      <c r="C498" s="3" t="str">
        <f>IFERROR(__xludf.DUMMYFUNCTION("""COMPUTED_VALUE"""),"ชั้นปีที่ 2")</f>
        <v>ชั้นปีที่ 2</v>
      </c>
      <c r="D498" s="3" t="str">
        <f>IFERROR(__xludf.DUMMYFUNCTION("""COMPUTED_VALUE"""),"6703827")</f>
        <v>6703827</v>
      </c>
      <c r="E498" s="3" t="str">
        <f>IFERROR(__xludf.DUMMYFUNCTION("""COMPUTED_VALUE"""),"10")</f>
        <v>10</v>
      </c>
      <c r="F498" s="3" t="str">
        <f>IFERROR(__xludf.DUMMYFUNCTION("""COMPUTED_VALUE"""),"นพอ.ชนัญญา เสาร์แดน")</f>
        <v>นพอ.ชนัญญา เสาร์แดน</v>
      </c>
      <c r="G498" s="3" t="str">
        <f>IFERROR(__xludf.DUMMYFUNCTION("""COMPUTED_VALUE"""),"ช่วยเหลืองานภายใน วพอ.")</f>
        <v>ช่วยเหลืองานภายใน วพอ.</v>
      </c>
      <c r="H49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8" s="3" t="str">
        <f>IFERROR(__xludf.DUMMYFUNCTION("""COMPUTED_VALUE"""),"วพอ.พอ.")</f>
        <v>วพอ.พอ.</v>
      </c>
      <c r="J498" s="12">
        <f>IFERROR(__xludf.DUMMYFUNCTION("""COMPUTED_VALUE"""),46134.0)</f>
        <v>46134</v>
      </c>
      <c r="K498" s="3" t="str">
        <f>IFERROR(__xludf.DUMMYFUNCTION("""COMPUTED_VALUE"""),"1700-2100")</f>
        <v>1700-2100</v>
      </c>
      <c r="L498" s="3">
        <f>IFERROR(__xludf.DUMMYFUNCTION("""COMPUTED_VALUE"""),4.0)</f>
        <v>4</v>
      </c>
      <c r="M498" s="3" t="str">
        <f>IFERROR(__xludf.DUMMYFUNCTION("""COMPUTED_VALUE"""),"ร.อ.อนุชิต ทำจะดี")</f>
        <v>ร.อ.อนุชิต ทำจะดี</v>
      </c>
      <c r="N498" s="14" t="str">
        <f>IFERROR(__xludf.DUMMYFUNCTION("""COMPUTED_VALUE"""),"https://lh5.googleusercontent.com/d/1dPSpbStqxu_r04oDTChS1_6H8n5YxIzc")</f>
        <v>https://lh5.googleusercontent.com/d/1dPSpbStqxu_r04oDTChS1_6H8n5YxIzc</v>
      </c>
      <c r="O498" s="14" t="str">
        <f>IFERROR(__xludf.DUMMYFUNCTION("""COMPUTED_VALUE"""),"https://drive.google.com/file/d/1naLzNI1InC7tDj2VO6-VILq_gIgu-_C7/view?usp=drivesdk")</f>
        <v>https://drive.google.com/file/d/1naLzNI1InC7tDj2VO6-VILq_gIgu-_C7/view?usp=drivesdk</v>
      </c>
    </row>
    <row r="499">
      <c r="A499" s="3">
        <f>IFERROR(__xludf.DUMMYFUNCTION("""COMPUTED_VALUE"""),2217.0)</f>
        <v>2217</v>
      </c>
      <c r="B499" s="11">
        <f>IFERROR(__xludf.DUMMYFUNCTION("""COMPUTED_VALUE"""),46167.47805164351)</f>
        <v>46167.47805</v>
      </c>
      <c r="C499" s="3" t="str">
        <f>IFERROR(__xludf.DUMMYFUNCTION("""COMPUTED_VALUE"""),"ชั้นปีที่ 2")</f>
        <v>ชั้นปีที่ 2</v>
      </c>
      <c r="D499" s="3" t="str">
        <f>IFERROR(__xludf.DUMMYFUNCTION("""COMPUTED_VALUE"""),"6703832")</f>
        <v>6703832</v>
      </c>
      <c r="E499" s="3" t="str">
        <f>IFERROR(__xludf.DUMMYFUNCTION("""COMPUTED_VALUE"""),"15")</f>
        <v>15</v>
      </c>
      <c r="F499" s="3" t="str">
        <f>IFERROR(__xludf.DUMMYFUNCTION("""COMPUTED_VALUE"""),"นพอ. ญาตาวี บุญภิละ")</f>
        <v>นพอ. ญาตาวี บุญภิละ</v>
      </c>
      <c r="G499" s="3" t="str">
        <f>IFERROR(__xludf.DUMMYFUNCTION("""COMPUTED_VALUE"""),"ทำนุบำรุงศาสนสถาน")</f>
        <v>ทำนุบำรุงศาสนสถาน</v>
      </c>
      <c r="H499" s="3" t="str">
        <f>IFERROR(__xludf.DUMMYFUNCTION("""COMPUTED_VALUE"""),"ทำบุญ ตักบาตร ")</f>
        <v>ทำบุญ ตักบาตร </v>
      </c>
      <c r="I499" s="3" t="str">
        <f>IFERROR(__xludf.DUMMYFUNCTION("""COMPUTED_VALUE"""),"วัดญาณสังข์วราราม")</f>
        <v>วัดญาณสังข์วราราม</v>
      </c>
      <c r="J499" s="12">
        <f>IFERROR(__xludf.DUMMYFUNCTION("""COMPUTED_VALUE"""),46144.0)</f>
        <v>46144</v>
      </c>
      <c r="K499" s="3" t="str">
        <f>IFERROR(__xludf.DUMMYFUNCTION("""COMPUTED_VALUE"""),"0600-1000")</f>
        <v>0600-1000</v>
      </c>
      <c r="L499" s="3">
        <f>IFERROR(__xludf.DUMMYFUNCTION("""COMPUTED_VALUE"""),4.0)</f>
        <v>4</v>
      </c>
      <c r="M499" s="3" t="str">
        <f>IFERROR(__xludf.DUMMYFUNCTION("""COMPUTED_VALUE"""),"น.ส. ดาริน ภูรับ")</f>
        <v>น.ส. ดาริน ภูรับ</v>
      </c>
      <c r="N499" s="14" t="str">
        <f>IFERROR(__xludf.DUMMYFUNCTION("""COMPUTED_VALUE"""),"https://lh5.googleusercontent.com/d/1Wlmj29okGpVIsLt8mik5YBWthhrI-ByI")</f>
        <v>https://lh5.googleusercontent.com/d/1Wlmj29okGpVIsLt8mik5YBWthhrI-ByI</v>
      </c>
      <c r="O499" s="14" t="str">
        <f>IFERROR(__xludf.DUMMYFUNCTION("""COMPUTED_VALUE"""),"https://drive.google.com/file/d/1ya4gqRN9Ty9HBhlLrPqpgS4oyxCcOMFE/view?usp=drivesdk")</f>
        <v>https://drive.google.com/file/d/1ya4gqRN9Ty9HBhlLrPqpgS4oyxCcOMFE/view?usp=drivesdk</v>
      </c>
    </row>
    <row r="500">
      <c r="A500" s="3">
        <f>IFERROR(__xludf.DUMMYFUNCTION("""COMPUTED_VALUE"""),2218.0)</f>
        <v>2218</v>
      </c>
      <c r="B500" s="11">
        <f>IFERROR(__xludf.DUMMYFUNCTION("""COMPUTED_VALUE"""),46167.47885444444)</f>
        <v>46167.47885</v>
      </c>
      <c r="C500" s="3" t="str">
        <f>IFERROR(__xludf.DUMMYFUNCTION("""COMPUTED_VALUE"""),"ชั้นปีที่ 2")</f>
        <v>ชั้นปีที่ 2</v>
      </c>
      <c r="D500" s="3" t="str">
        <f>IFERROR(__xludf.DUMMYFUNCTION("""COMPUTED_VALUE"""),"6703827")</f>
        <v>6703827</v>
      </c>
      <c r="E500" s="3" t="str">
        <f>IFERROR(__xludf.DUMMYFUNCTION("""COMPUTED_VALUE"""),"10")</f>
        <v>10</v>
      </c>
      <c r="F500" s="3" t="str">
        <f>IFERROR(__xludf.DUMMYFUNCTION("""COMPUTED_VALUE"""),"นพอ.ชนัญญา เสาร์แดน")</f>
        <v>นพอ.ชนัญญา เสาร์แดน</v>
      </c>
      <c r="G500" s="3" t="str">
        <f>IFERROR(__xludf.DUMMYFUNCTION("""COMPUTED_VALUE"""),"ช่วยเหลืองานภายใน วพอ.")</f>
        <v>ช่วยเหลืองานภายใน วพอ.</v>
      </c>
      <c r="H50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0" s="3" t="str">
        <f>IFERROR(__xludf.DUMMYFUNCTION("""COMPUTED_VALUE"""),"วพอ.พอ.")</f>
        <v>วพอ.พอ.</v>
      </c>
      <c r="J500" s="12">
        <f>IFERROR(__xludf.DUMMYFUNCTION("""COMPUTED_VALUE"""),46135.0)</f>
        <v>46135</v>
      </c>
      <c r="K500" s="3" t="str">
        <f>IFERROR(__xludf.DUMMYFUNCTION("""COMPUTED_VALUE"""),"1700-2100")</f>
        <v>1700-2100</v>
      </c>
      <c r="L500" s="3">
        <f>IFERROR(__xludf.DUMMYFUNCTION("""COMPUTED_VALUE"""),4.0)</f>
        <v>4</v>
      </c>
      <c r="M500" s="3" t="str">
        <f>IFERROR(__xludf.DUMMYFUNCTION("""COMPUTED_VALUE"""),"ร.อ.อนุชิต ทำจะดี")</f>
        <v>ร.อ.อนุชิต ทำจะดี</v>
      </c>
      <c r="N500" s="14" t="str">
        <f>IFERROR(__xludf.DUMMYFUNCTION("""COMPUTED_VALUE"""),"https://lh5.googleusercontent.com/d/1cr3jGRBeJ4P53aj0KQTxPtnxjITb2SAd")</f>
        <v>https://lh5.googleusercontent.com/d/1cr3jGRBeJ4P53aj0KQTxPtnxjITb2SAd</v>
      </c>
      <c r="O500" s="14" t="str">
        <f>IFERROR(__xludf.DUMMYFUNCTION("""COMPUTED_VALUE"""),"https://drive.google.com/file/d/1wH2FFVhFPVfrYYGEhbwF4vI1iaCPRtLB/view?usp=drivesdk")</f>
        <v>https://drive.google.com/file/d/1wH2FFVhFPVfrYYGEhbwF4vI1iaCPRtLB/view?usp=drivesdk</v>
      </c>
    </row>
    <row r="501">
      <c r="A501" s="3">
        <f>IFERROR(__xludf.DUMMYFUNCTION("""COMPUTED_VALUE"""),2219.0)</f>
        <v>2219</v>
      </c>
      <c r="B501" s="11">
        <f>IFERROR(__xludf.DUMMYFUNCTION("""COMPUTED_VALUE"""),46167.48086484954)</f>
        <v>46167.48086</v>
      </c>
      <c r="C501" s="3" t="str">
        <f>IFERROR(__xludf.DUMMYFUNCTION("""COMPUTED_VALUE"""),"ชั้นปีที่ 2")</f>
        <v>ชั้นปีที่ 2</v>
      </c>
      <c r="D501" s="3" t="str">
        <f>IFERROR(__xludf.DUMMYFUNCTION("""COMPUTED_VALUE"""),"6703827")</f>
        <v>6703827</v>
      </c>
      <c r="E501" s="3" t="str">
        <f>IFERROR(__xludf.DUMMYFUNCTION("""COMPUTED_VALUE"""),"10")</f>
        <v>10</v>
      </c>
      <c r="F501" s="3" t="str">
        <f>IFERROR(__xludf.DUMMYFUNCTION("""COMPUTED_VALUE"""),"นพอ.ชนัญญา เสาร์แดน")</f>
        <v>นพอ.ชนัญญา เสาร์แดน</v>
      </c>
      <c r="G501" s="3" t="str">
        <f>IFERROR(__xludf.DUMMYFUNCTION("""COMPUTED_VALUE"""),"ช่วยเหลืองานภายใน วพอ.")</f>
        <v>ช่วยเหลืองานภายใน วพอ.</v>
      </c>
      <c r="H50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1" s="3" t="str">
        <f>IFERROR(__xludf.DUMMYFUNCTION("""COMPUTED_VALUE"""),"วพอ.พอ.")</f>
        <v>วพอ.พอ.</v>
      </c>
      <c r="J501" s="12">
        <f>IFERROR(__xludf.DUMMYFUNCTION("""COMPUTED_VALUE"""),46138.0)</f>
        <v>46138</v>
      </c>
      <c r="K501" s="3" t="str">
        <f>IFERROR(__xludf.DUMMYFUNCTION("""COMPUTED_VALUE"""),"1500-2100")</f>
        <v>1500-2100</v>
      </c>
      <c r="L501" s="3">
        <f>IFERROR(__xludf.DUMMYFUNCTION("""COMPUTED_VALUE"""),6.0)</f>
        <v>6</v>
      </c>
      <c r="M501" s="3" t="str">
        <f>IFERROR(__xludf.DUMMYFUNCTION("""COMPUTED_VALUE"""),"ร.อ.อนุชิต ทำจะดี")</f>
        <v>ร.อ.อนุชิต ทำจะดี</v>
      </c>
      <c r="N501" s="14" t="str">
        <f>IFERROR(__xludf.DUMMYFUNCTION("""COMPUTED_VALUE"""),"https://lh5.googleusercontent.com/d/1o4hr01soXH66m66PkjlQl5nyg6xVJZi6")</f>
        <v>https://lh5.googleusercontent.com/d/1o4hr01soXH66m66PkjlQl5nyg6xVJZi6</v>
      </c>
      <c r="O501" s="14" t="str">
        <f>IFERROR(__xludf.DUMMYFUNCTION("""COMPUTED_VALUE"""),"https://drive.google.com/file/d/16PJ23trrJe3ahgZw8SUSLV45EgeGZgMK/view?usp=drivesdk")</f>
        <v>https://drive.google.com/file/d/16PJ23trrJe3ahgZw8SUSLV45EgeGZgMK/view?usp=drivesdk</v>
      </c>
    </row>
    <row r="502">
      <c r="A502" s="3">
        <f>IFERROR(__xludf.DUMMYFUNCTION("""COMPUTED_VALUE"""),2220.0)</f>
        <v>2220</v>
      </c>
      <c r="B502" s="11">
        <f>IFERROR(__xludf.DUMMYFUNCTION("""COMPUTED_VALUE"""),46167.48250258101)</f>
        <v>46167.4825</v>
      </c>
      <c r="C502" s="3" t="str">
        <f>IFERROR(__xludf.DUMMYFUNCTION("""COMPUTED_VALUE"""),"ชั้นปีที่ 2")</f>
        <v>ชั้นปีที่ 2</v>
      </c>
      <c r="D502" s="3" t="str">
        <f>IFERROR(__xludf.DUMMYFUNCTION("""COMPUTED_VALUE"""),"6703827")</f>
        <v>6703827</v>
      </c>
      <c r="E502" s="3" t="str">
        <f>IFERROR(__xludf.DUMMYFUNCTION("""COMPUTED_VALUE"""),"10")</f>
        <v>10</v>
      </c>
      <c r="F502" s="3" t="str">
        <f>IFERROR(__xludf.DUMMYFUNCTION("""COMPUTED_VALUE"""),"นพอ.ชนัญญา เสาร์แดน")</f>
        <v>นพอ.ชนัญญา เสาร์แดน</v>
      </c>
      <c r="G502" s="3" t="str">
        <f>IFERROR(__xludf.DUMMYFUNCTION("""COMPUTED_VALUE"""),"ช่วยเหลืองานภายใน วพอ.")</f>
        <v>ช่วยเหลืองานภายใน วพอ.</v>
      </c>
      <c r="H502" s="3" t="str">
        <f>IFERROR(__xludf.DUMMYFUNCTION("""COMPUTED_VALUE"""),"งานพิธีมอบหมวกพยาบาลวิชาชีพ ปีการศึกษา 2568")</f>
        <v>งานพิธีมอบหมวกพยาบาลวิชาชีพ ปีการศึกษา 2568</v>
      </c>
      <c r="I502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02" s="12">
        <f>IFERROR(__xludf.DUMMYFUNCTION("""COMPUTED_VALUE"""),46139.0)</f>
        <v>46139</v>
      </c>
      <c r="K502" s="3" t="str">
        <f>IFERROR(__xludf.DUMMYFUNCTION("""COMPUTED_VALUE"""),"1700-2100")</f>
        <v>1700-2100</v>
      </c>
      <c r="L502" s="3">
        <f>IFERROR(__xludf.DUMMYFUNCTION("""COMPUTED_VALUE"""),4.0)</f>
        <v>4</v>
      </c>
      <c r="M502" s="3" t="str">
        <f>IFERROR(__xludf.DUMMYFUNCTION("""COMPUTED_VALUE"""),"ร.อ.อนุชิต ทำจะดี")</f>
        <v>ร.อ.อนุชิต ทำจะดี</v>
      </c>
      <c r="N502" s="14" t="str">
        <f>IFERROR(__xludf.DUMMYFUNCTION("""COMPUTED_VALUE"""),"https://lh5.googleusercontent.com/d/1vBnMkoi5wbuU0Wq0e0bQoZQWt53C0Duj")</f>
        <v>https://lh5.googleusercontent.com/d/1vBnMkoi5wbuU0Wq0e0bQoZQWt53C0Duj</v>
      </c>
      <c r="O502" s="14" t="str">
        <f>IFERROR(__xludf.DUMMYFUNCTION("""COMPUTED_VALUE"""),"https://drive.google.com/file/d/1USXgJBrItlkXHL6EtnyOI0aTGNJY62pu/view?usp=drivesdk")</f>
        <v>https://drive.google.com/file/d/1USXgJBrItlkXHL6EtnyOI0aTGNJY62pu/view?usp=drivesdk</v>
      </c>
    </row>
    <row r="503">
      <c r="A503" s="3">
        <f>IFERROR(__xludf.DUMMYFUNCTION("""COMPUTED_VALUE"""),2221.0)</f>
        <v>2221</v>
      </c>
      <c r="B503" s="11">
        <f>IFERROR(__xludf.DUMMYFUNCTION("""COMPUTED_VALUE"""),46167.485020416665)</f>
        <v>46167.48502</v>
      </c>
      <c r="C503" s="3" t="str">
        <f>IFERROR(__xludf.DUMMYFUNCTION("""COMPUTED_VALUE"""),"ชั้นปีที่ 2")</f>
        <v>ชั้นปีที่ 2</v>
      </c>
      <c r="D503" s="3" t="str">
        <f>IFERROR(__xludf.DUMMYFUNCTION("""COMPUTED_VALUE"""),"6703827")</f>
        <v>6703827</v>
      </c>
      <c r="E503" s="3" t="str">
        <f>IFERROR(__xludf.DUMMYFUNCTION("""COMPUTED_VALUE"""),"10")</f>
        <v>10</v>
      </c>
      <c r="F503" s="3" t="str">
        <f>IFERROR(__xludf.DUMMYFUNCTION("""COMPUTED_VALUE"""),"นพอ.ชนัญญา เสาร์แดน")</f>
        <v>นพอ.ชนัญญา เสาร์แดน</v>
      </c>
      <c r="G50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3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03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503" s="12">
        <f>IFERROR(__xludf.DUMMYFUNCTION("""COMPUTED_VALUE"""),46078.0)</f>
        <v>46078</v>
      </c>
      <c r="K503" s="3" t="str">
        <f>IFERROR(__xludf.DUMMYFUNCTION("""COMPUTED_VALUE"""),"1200-2000")</f>
        <v>1200-2000</v>
      </c>
      <c r="L503" s="3">
        <f>IFERROR(__xludf.DUMMYFUNCTION("""COMPUTED_VALUE"""),8.0)</f>
        <v>8</v>
      </c>
      <c r="M50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03" s="14" t="str">
        <f>IFERROR(__xludf.DUMMYFUNCTION("""COMPUTED_VALUE"""),"https://lh5.googleusercontent.com/d/1EuZ6IyBGPqSiakozwu5Nh0xqZosbRxCK")</f>
        <v>https://lh5.googleusercontent.com/d/1EuZ6IyBGPqSiakozwu5Nh0xqZosbRxCK</v>
      </c>
      <c r="O503" s="14" t="str">
        <f>IFERROR(__xludf.DUMMYFUNCTION("""COMPUTED_VALUE"""),"https://drive.google.com/file/d/1z5RAWTiNPOvZBsxeEvNaFwkWXAd-hx-z/view?usp=drivesdk")</f>
        <v>https://drive.google.com/file/d/1z5RAWTiNPOvZBsxeEvNaFwkWXAd-hx-z/view?usp=drivesdk</v>
      </c>
    </row>
    <row r="504">
      <c r="A504" s="3">
        <f>IFERROR(__xludf.DUMMYFUNCTION("""COMPUTED_VALUE"""),2222.0)</f>
        <v>2222</v>
      </c>
      <c r="B504" s="11">
        <f>IFERROR(__xludf.DUMMYFUNCTION("""COMPUTED_VALUE"""),46167.52068822916)</f>
        <v>46167.52069</v>
      </c>
      <c r="C504" s="3" t="str">
        <f>IFERROR(__xludf.DUMMYFUNCTION("""COMPUTED_VALUE"""),"ชั้นปีที่ 2")</f>
        <v>ชั้นปีที่ 2</v>
      </c>
      <c r="D504" s="3" t="str">
        <f>IFERROR(__xludf.DUMMYFUNCTION("""COMPUTED_VALUE"""),"6703832")</f>
        <v>6703832</v>
      </c>
      <c r="E504" s="3" t="str">
        <f>IFERROR(__xludf.DUMMYFUNCTION("""COMPUTED_VALUE"""),"15")</f>
        <v>15</v>
      </c>
      <c r="F504" s="3" t="str">
        <f>IFERROR(__xludf.DUMMYFUNCTION("""COMPUTED_VALUE"""),"นพอ. ญาตาวี บุญภิละ")</f>
        <v>นพอ. ญาตาวี บุญภิละ</v>
      </c>
      <c r="G504" s="3" t="str">
        <f>IFERROR(__xludf.DUMMYFUNCTION("""COMPUTED_VALUE"""),"ทำนุบำรุงศาสนสถาน")</f>
        <v>ทำนุบำรุงศาสนสถาน</v>
      </c>
      <c r="H504" s="3" t="str">
        <f>IFERROR(__xludf.DUMMYFUNCTION("""COMPUTED_VALUE"""),"กวาดลานวัด")</f>
        <v>กวาดลานวัด</v>
      </c>
      <c r="I504" s="3" t="str">
        <f>IFERROR(__xludf.DUMMYFUNCTION("""COMPUTED_VALUE"""),"วัดหลวงพ่ออี๋")</f>
        <v>วัดหลวงพ่ออี๋</v>
      </c>
      <c r="J504" s="12">
        <f>IFERROR(__xludf.DUMMYFUNCTION("""COMPUTED_VALUE"""),46137.0)</f>
        <v>46137</v>
      </c>
      <c r="K504" s="3" t="str">
        <f>IFERROR(__xludf.DUMMYFUNCTION("""COMPUTED_VALUE"""),"0600-1000")</f>
        <v>0600-1000</v>
      </c>
      <c r="L504" s="3">
        <f>IFERROR(__xludf.DUMMYFUNCTION("""COMPUTED_VALUE"""),4.0)</f>
        <v>4</v>
      </c>
      <c r="M504" s="3" t="str">
        <f>IFERROR(__xludf.DUMMYFUNCTION("""COMPUTED_VALUE"""),"น.ส. ดาริน ภูรับ")</f>
        <v>น.ส. ดาริน ภูรับ</v>
      </c>
      <c r="N504" s="14" t="str">
        <f>IFERROR(__xludf.DUMMYFUNCTION("""COMPUTED_VALUE"""),"https://lh5.googleusercontent.com/d/1jpJNdFDau87rTnLPRgGFN4XfwL52Xy19")</f>
        <v>https://lh5.googleusercontent.com/d/1jpJNdFDau87rTnLPRgGFN4XfwL52Xy19</v>
      </c>
      <c r="O504" s="14" t="str">
        <f>IFERROR(__xludf.DUMMYFUNCTION("""COMPUTED_VALUE"""),"https://drive.google.com/file/d/1yWRSCtBV5NBT9dThANc5Rf4IAqeOWVDj/view?usp=drivesdk")</f>
        <v>https://drive.google.com/file/d/1yWRSCtBV5NBT9dThANc5Rf4IAqeOWVDj/view?usp=drivesdk</v>
      </c>
    </row>
    <row r="505">
      <c r="A505" s="3">
        <f>IFERROR(__xludf.DUMMYFUNCTION("""COMPUTED_VALUE"""),2223.0)</f>
        <v>2223</v>
      </c>
      <c r="B505" s="11">
        <f>IFERROR(__xludf.DUMMYFUNCTION("""COMPUTED_VALUE"""),46167.52539418981)</f>
        <v>46167.52539</v>
      </c>
      <c r="C505" s="3" t="str">
        <f>IFERROR(__xludf.DUMMYFUNCTION("""COMPUTED_VALUE"""),"ชั้นปีที่ 2")</f>
        <v>ชั้นปีที่ 2</v>
      </c>
      <c r="D505" s="3" t="str">
        <f>IFERROR(__xludf.DUMMYFUNCTION("""COMPUTED_VALUE"""),"6703832")</f>
        <v>6703832</v>
      </c>
      <c r="E505" s="3" t="str">
        <f>IFERROR(__xludf.DUMMYFUNCTION("""COMPUTED_VALUE"""),"15")</f>
        <v>15</v>
      </c>
      <c r="F505" s="3" t="str">
        <f>IFERROR(__xludf.DUMMYFUNCTION("""COMPUTED_VALUE"""),"นพอ. ญาตาวี บุญภิละ")</f>
        <v>นพอ. ญาตาวี บุญภิละ</v>
      </c>
      <c r="G50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05" s="3" t="str">
        <f>IFERROR(__xludf.DUMMYFUNCTION("""COMPUTED_VALUE"""),"เก็บขยะชายหาด")</f>
        <v>เก็บขยะชายหาด</v>
      </c>
      <c r="I505" s="3" t="str">
        <f>IFERROR(__xludf.DUMMYFUNCTION("""COMPUTED_VALUE"""),"หาดเตยงาม")</f>
        <v>หาดเตยงาม</v>
      </c>
      <c r="J505" s="12">
        <f>IFERROR(__xludf.DUMMYFUNCTION("""COMPUTED_VALUE"""),46123.0)</f>
        <v>46123</v>
      </c>
      <c r="K505" s="3" t="str">
        <f>IFERROR(__xludf.DUMMYFUNCTION("""COMPUTED_VALUE"""),"1400-1800")</f>
        <v>1400-1800</v>
      </c>
      <c r="L505" s="3">
        <f>IFERROR(__xludf.DUMMYFUNCTION("""COMPUTED_VALUE"""),4.0)</f>
        <v>4</v>
      </c>
      <c r="M505" s="3" t="str">
        <f>IFERROR(__xludf.DUMMYFUNCTION("""COMPUTED_VALUE"""),"น.ส. ดาริน ภูรับ")</f>
        <v>น.ส. ดาริน ภูรับ</v>
      </c>
      <c r="N505" s="14" t="str">
        <f>IFERROR(__xludf.DUMMYFUNCTION("""COMPUTED_VALUE"""),"https://lh5.googleusercontent.com/d/1uOaVkCz_jZLVR7XXPzwALXr0s9DrFSKs")</f>
        <v>https://lh5.googleusercontent.com/d/1uOaVkCz_jZLVR7XXPzwALXr0s9DrFSKs</v>
      </c>
      <c r="O505" s="14" t="str">
        <f>IFERROR(__xludf.DUMMYFUNCTION("""COMPUTED_VALUE"""),"https://drive.google.com/file/d/1jYANO_YO0TZejbg2-H9JG23mldcXBdYD/view?usp=drivesdk")</f>
        <v>https://drive.google.com/file/d/1jYANO_YO0TZejbg2-H9JG23mldcXBdYD/view?usp=drivesdk</v>
      </c>
    </row>
    <row r="506">
      <c r="A506" s="3">
        <f>IFERROR(__xludf.DUMMYFUNCTION("""COMPUTED_VALUE"""),2224.0)</f>
        <v>2224</v>
      </c>
      <c r="B506" s="11">
        <f>IFERROR(__xludf.DUMMYFUNCTION("""COMPUTED_VALUE"""),46167.56608916666)</f>
        <v>46167.56609</v>
      </c>
      <c r="C506" s="3" t="str">
        <f>IFERROR(__xludf.DUMMYFUNCTION("""COMPUTED_VALUE"""),"ชั้นปีที่ 2")</f>
        <v>ชั้นปีที่ 2</v>
      </c>
      <c r="D506" s="3" t="str">
        <f>IFERROR(__xludf.DUMMYFUNCTION("""COMPUTED_VALUE"""),"6703878")</f>
        <v>6703878</v>
      </c>
      <c r="E506" s="3" t="str">
        <f>IFERROR(__xludf.DUMMYFUNCTION("""COMPUTED_VALUE"""),"58")</f>
        <v>58</v>
      </c>
      <c r="F506" s="3" t="str">
        <f>IFERROR(__xludf.DUMMYFUNCTION("""COMPUTED_VALUE"""),"นพอ.สุชาสินี ป้อมพยัคฆ์")</f>
        <v>นพอ.สุชาสินี ป้อมพยัคฆ์</v>
      </c>
      <c r="G506" s="3" t="str">
        <f>IFERROR(__xludf.DUMMYFUNCTION("""COMPUTED_VALUE"""),"ช่วยเหลืองานภายใน วพอ.")</f>
        <v>ช่วยเหลืองานภายใน วพอ.</v>
      </c>
      <c r="H506" s="3" t="str">
        <f>IFERROR(__xludf.DUMMYFUNCTION("""COMPUTED_VALUE"""),"ทดสอบสมรรถภาพร่างกาย นพอ.69")</f>
        <v>ทดสอบสมรรถภาพร่างกาย นพอ.69</v>
      </c>
      <c r="I506" s="3" t="str">
        <f>IFERROR(__xludf.DUMMYFUNCTION("""COMPUTED_VALUE"""),"สนามกีฬาจันทรุเบกษา")</f>
        <v>สนามกีฬาจันทรุเบกษา</v>
      </c>
      <c r="J506" s="12">
        <f>IFERROR(__xludf.DUMMYFUNCTION("""COMPUTED_VALUE"""),46147.0)</f>
        <v>46147</v>
      </c>
      <c r="K506" s="3" t="str">
        <f>IFERROR(__xludf.DUMMYFUNCTION("""COMPUTED_VALUE"""),"1600-1900")</f>
        <v>1600-1900</v>
      </c>
      <c r="L506" s="3">
        <f>IFERROR(__xludf.DUMMYFUNCTION("""COMPUTED_VALUE"""),3.0)</f>
        <v>3</v>
      </c>
      <c r="M506" s="3" t="str">
        <f>IFERROR(__xludf.DUMMYFUNCTION("""COMPUTED_VALUE"""),"น.ต.ศักชัย บุญประสิทธิ์")</f>
        <v>น.ต.ศักชัย บุญประสิทธิ์</v>
      </c>
      <c r="N506" s="14" t="str">
        <f>IFERROR(__xludf.DUMMYFUNCTION("""COMPUTED_VALUE"""),"https://lh5.googleusercontent.com/d/17zqHcExxC33YW9SOsEWu59YKoNU8SGXK")</f>
        <v>https://lh5.googleusercontent.com/d/17zqHcExxC33YW9SOsEWu59YKoNU8SGXK</v>
      </c>
      <c r="O506" s="14" t="str">
        <f>IFERROR(__xludf.DUMMYFUNCTION("""COMPUTED_VALUE"""),"https://drive.google.com/file/d/1kzkbWMkQ2toxOGHldcTdXQtcgDd19Eyq/view?usp=drivesdk")</f>
        <v>https://drive.google.com/file/d/1kzkbWMkQ2toxOGHldcTdXQtcgDd19Eyq/view?usp=drivesdk</v>
      </c>
    </row>
    <row r="507">
      <c r="A507" s="3">
        <f>IFERROR(__xludf.DUMMYFUNCTION("""COMPUTED_VALUE"""),2225.0)</f>
        <v>2225</v>
      </c>
      <c r="B507" s="11">
        <f>IFERROR(__xludf.DUMMYFUNCTION("""COMPUTED_VALUE"""),46167.56707269676)</f>
        <v>46167.56707</v>
      </c>
      <c r="C507" s="3" t="str">
        <f>IFERROR(__xludf.DUMMYFUNCTION("""COMPUTED_VALUE"""),"ชั้นปีที่ 2")</f>
        <v>ชั้นปีที่ 2</v>
      </c>
      <c r="D507" s="3" t="str">
        <f>IFERROR(__xludf.DUMMYFUNCTION("""COMPUTED_VALUE"""),"6703844")</f>
        <v>6703844</v>
      </c>
      <c r="E507" s="3" t="str">
        <f>IFERROR(__xludf.DUMMYFUNCTION("""COMPUTED_VALUE"""),"26")</f>
        <v>26</v>
      </c>
      <c r="F507" s="3" t="str">
        <f>IFERROR(__xludf.DUMMYFUNCTION("""COMPUTED_VALUE"""),"นพอ.นพชกร ทิวแพ")</f>
        <v>นพอ.นพชกร ทิวแพ</v>
      </c>
      <c r="G507" s="3" t="str">
        <f>IFERROR(__xludf.DUMMYFUNCTION("""COMPUTED_VALUE"""),"ช่วยเหลืองานภายใน วพอ.")</f>
        <v>ช่วยเหลืองานภายใน วพอ.</v>
      </c>
      <c r="H507" s="3" t="str">
        <f>IFERROR(__xludf.DUMMYFUNCTION("""COMPUTED_VALUE"""),"ทดสอบสมรรถภาพร่างกาย นพอ.69")</f>
        <v>ทดสอบสมรรถภาพร่างกาย นพอ.69</v>
      </c>
      <c r="I507" s="3" t="str">
        <f>IFERROR(__xludf.DUMMYFUNCTION("""COMPUTED_VALUE"""),"สนามกีฬาจันทรุเบกษา")</f>
        <v>สนามกีฬาจันทรุเบกษา</v>
      </c>
      <c r="J507" s="12">
        <f>IFERROR(__xludf.DUMMYFUNCTION("""COMPUTED_VALUE"""),46147.0)</f>
        <v>46147</v>
      </c>
      <c r="K507" s="3" t="str">
        <f>IFERROR(__xludf.DUMMYFUNCTION("""COMPUTED_VALUE"""),"1600-1900")</f>
        <v>1600-1900</v>
      </c>
      <c r="L507" s="3">
        <f>IFERROR(__xludf.DUMMYFUNCTION("""COMPUTED_VALUE"""),3.0)</f>
        <v>3</v>
      </c>
      <c r="M507" s="3" t="str">
        <f>IFERROR(__xludf.DUMMYFUNCTION("""COMPUTED_VALUE"""),"น.ต.ศักชัย บุญประสิทธิ์")</f>
        <v>น.ต.ศักชัย บุญประสิทธิ์</v>
      </c>
      <c r="N507" s="14" t="str">
        <f>IFERROR(__xludf.DUMMYFUNCTION("""COMPUTED_VALUE"""),"https://lh5.googleusercontent.com/d/17ISfzTGqPcC4LbrGXroJ5_DSNeJ1f74p")</f>
        <v>https://lh5.googleusercontent.com/d/17ISfzTGqPcC4LbrGXroJ5_DSNeJ1f74p</v>
      </c>
      <c r="O507" s="14" t="str">
        <f>IFERROR(__xludf.DUMMYFUNCTION("""COMPUTED_VALUE"""),"https://drive.google.com/file/d/1y4-3_HvwVy62WnWVMBWBCuJYQuNAIIHx/view?usp=drivesdk")</f>
        <v>https://drive.google.com/file/d/1y4-3_HvwVy62WnWVMBWBCuJYQuNAIIHx/view?usp=drivesdk</v>
      </c>
    </row>
    <row r="508">
      <c r="A508" s="3">
        <f>IFERROR(__xludf.DUMMYFUNCTION("""COMPUTED_VALUE"""),2226.0)</f>
        <v>2226</v>
      </c>
      <c r="B508" s="11">
        <f>IFERROR(__xludf.DUMMYFUNCTION("""COMPUTED_VALUE"""),46167.567659120374)</f>
        <v>46167.56766</v>
      </c>
      <c r="C508" s="3" t="str">
        <f>IFERROR(__xludf.DUMMYFUNCTION("""COMPUTED_VALUE"""),"ชั้นปีที่ 2")</f>
        <v>ชั้นปีที่ 2</v>
      </c>
      <c r="D508" s="3" t="str">
        <f>IFERROR(__xludf.DUMMYFUNCTION("""COMPUTED_VALUE"""),"3854")</f>
        <v>3854</v>
      </c>
      <c r="E508" s="3" t="str">
        <f>IFERROR(__xludf.DUMMYFUNCTION("""COMPUTED_VALUE"""),"35")</f>
        <v>35</v>
      </c>
      <c r="F508" s="3" t="str">
        <f>IFERROR(__xludf.DUMMYFUNCTION("""COMPUTED_VALUE"""),"นพอ.พชรพร เพ็งภัตรา")</f>
        <v>นพอ.พชรพร เพ็งภัตรา</v>
      </c>
      <c r="G508" s="3" t="str">
        <f>IFERROR(__xludf.DUMMYFUNCTION("""COMPUTED_VALUE"""),"ช่วยเหลืองานภายใน วพอ.")</f>
        <v>ช่วยเหลืองานภายใน วพอ.</v>
      </c>
      <c r="H508" s="3" t="str">
        <f>IFERROR(__xludf.DUMMYFUNCTION("""COMPUTED_VALUE"""),"ทดสอบสมรรถภาพร่างกายนพอ.69")</f>
        <v>ทดสอบสมรรถภาพร่างกายนพอ.69</v>
      </c>
      <c r="I508" s="3" t="str">
        <f>IFERROR(__xludf.DUMMYFUNCTION("""COMPUTED_VALUE"""),"สนามจันทรุเบกษา")</f>
        <v>สนามจันทรุเบกษา</v>
      </c>
      <c r="J508" s="12">
        <f>IFERROR(__xludf.DUMMYFUNCTION("""COMPUTED_VALUE"""),46147.0)</f>
        <v>46147</v>
      </c>
      <c r="K508" s="3" t="str">
        <f>IFERROR(__xludf.DUMMYFUNCTION("""COMPUTED_VALUE"""),"1600-1900")</f>
        <v>1600-1900</v>
      </c>
      <c r="L508" s="3">
        <f>IFERROR(__xludf.DUMMYFUNCTION("""COMPUTED_VALUE"""),3.0)</f>
        <v>3</v>
      </c>
      <c r="M508" s="3" t="str">
        <f>IFERROR(__xludf.DUMMYFUNCTION("""COMPUTED_VALUE"""),"น.ต.ศักชัย บุญประสิทธิ์")</f>
        <v>น.ต.ศักชัย บุญประสิทธิ์</v>
      </c>
      <c r="N508" s="14" t="str">
        <f>IFERROR(__xludf.DUMMYFUNCTION("""COMPUTED_VALUE"""),"https://lh5.googleusercontent.com/d/1YhEaYSzEG_yBznlM0RIRZNnr9nEVPMgg")</f>
        <v>https://lh5.googleusercontent.com/d/1YhEaYSzEG_yBznlM0RIRZNnr9nEVPMgg</v>
      </c>
      <c r="O508" s="14" t="str">
        <f>IFERROR(__xludf.DUMMYFUNCTION("""COMPUTED_VALUE"""),"https://drive.google.com/file/d/1ql1OYdGZbqImI_4MsluFzDf6EbGpzT8V/view?usp=drivesdk")</f>
        <v>https://drive.google.com/file/d/1ql1OYdGZbqImI_4MsluFzDf6EbGpzT8V/view?usp=drivesdk</v>
      </c>
    </row>
    <row r="509">
      <c r="A509" s="3">
        <f>IFERROR(__xludf.DUMMYFUNCTION("""COMPUTED_VALUE"""),2227.0)</f>
        <v>2227</v>
      </c>
      <c r="B509" s="11">
        <f>IFERROR(__xludf.DUMMYFUNCTION("""COMPUTED_VALUE"""),46167.56852134259)</f>
        <v>46167.56852</v>
      </c>
      <c r="C509" s="3" t="str">
        <f>IFERROR(__xludf.DUMMYFUNCTION("""COMPUTED_VALUE"""),"ชั้นปีที่ 2")</f>
        <v>ชั้นปีที่ 2</v>
      </c>
      <c r="D509" s="3" t="str">
        <f>IFERROR(__xludf.DUMMYFUNCTION("""COMPUTED_VALUE"""),"6703833")</f>
        <v>6703833</v>
      </c>
      <c r="E509" s="3" t="str">
        <f>IFERROR(__xludf.DUMMYFUNCTION("""COMPUTED_VALUE"""),"16")</f>
        <v>16</v>
      </c>
      <c r="F509" s="3" t="str">
        <f>IFERROR(__xludf.DUMMYFUNCTION("""COMPUTED_VALUE"""),"นพอ.ฐานิดา  อ่อนล้อม")</f>
        <v>นพอ.ฐานิดา  อ่อนล้อม</v>
      </c>
      <c r="G509" s="3" t="str">
        <f>IFERROR(__xludf.DUMMYFUNCTION("""COMPUTED_VALUE"""),"ช่วยเหลืองานภายใน วพอ.")</f>
        <v>ช่วยเหลืองานภายใน วพอ.</v>
      </c>
      <c r="H509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09" s="3" t="str">
        <f>IFERROR(__xludf.DUMMYFUNCTION("""COMPUTED_VALUE"""),"อาคารสำนักงานชั้น4")</f>
        <v>อาคารสำนักงานชั้น4</v>
      </c>
      <c r="J509" s="12">
        <f>IFERROR(__xludf.DUMMYFUNCTION("""COMPUTED_VALUE"""),46147.0)</f>
        <v>46147</v>
      </c>
      <c r="K509" s="3" t="str">
        <f>IFERROR(__xludf.DUMMYFUNCTION("""COMPUTED_VALUE"""),"1500-1800")</f>
        <v>1500-1800</v>
      </c>
      <c r="L509" s="3">
        <f>IFERROR(__xludf.DUMMYFUNCTION("""COMPUTED_VALUE"""),3.0)</f>
        <v>3</v>
      </c>
      <c r="M509" s="3" t="str">
        <f>IFERROR(__xludf.DUMMYFUNCTION("""COMPUTED_VALUE"""),"น.ต.ศักชัย บุญประสิทธิ์")</f>
        <v>น.ต.ศักชัย บุญประสิทธิ์</v>
      </c>
      <c r="N509" s="14" t="str">
        <f>IFERROR(__xludf.DUMMYFUNCTION("""COMPUTED_VALUE"""),"https://lh5.googleusercontent.com/d/1abdAzmAqvlMIp55xmB-GdmcxCppJRAip")</f>
        <v>https://lh5.googleusercontent.com/d/1abdAzmAqvlMIp55xmB-GdmcxCppJRAip</v>
      </c>
      <c r="O509" s="14" t="str">
        <f>IFERROR(__xludf.DUMMYFUNCTION("""COMPUTED_VALUE"""),"https://drive.google.com/file/d/1INz_TAAKbMxmrScE97SoWJ5i4_9CRJBr/view?usp=drivesdk")</f>
        <v>https://drive.google.com/file/d/1INz_TAAKbMxmrScE97SoWJ5i4_9CRJBr/view?usp=drivesdk</v>
      </c>
    </row>
    <row r="510">
      <c r="A510" s="3">
        <f>IFERROR(__xludf.DUMMYFUNCTION("""COMPUTED_VALUE"""),2228.0)</f>
        <v>2228</v>
      </c>
      <c r="B510" s="11">
        <f>IFERROR(__xludf.DUMMYFUNCTION("""COMPUTED_VALUE"""),46167.56945105324)</f>
        <v>46167.56945</v>
      </c>
      <c r="C510" s="3" t="str">
        <f>IFERROR(__xludf.DUMMYFUNCTION("""COMPUTED_VALUE"""),"ชั้นปีที่ 2")</f>
        <v>ชั้นปีที่ 2</v>
      </c>
      <c r="D510" s="3" t="str">
        <f>IFERROR(__xludf.DUMMYFUNCTION("""COMPUTED_VALUE"""),"6703824")</f>
        <v>6703824</v>
      </c>
      <c r="E510" s="3" t="str">
        <f>IFERROR(__xludf.DUMMYFUNCTION("""COMPUTED_VALUE"""),"7")</f>
        <v>7</v>
      </c>
      <c r="F510" s="3" t="str">
        <f>IFERROR(__xludf.DUMMYFUNCTION("""COMPUTED_VALUE"""),"นพอ.จินต์จุฑา จงประเสริฐ")</f>
        <v>นพอ.จินต์จุฑา จงประเสริฐ</v>
      </c>
      <c r="G510" s="3" t="str">
        <f>IFERROR(__xludf.DUMMYFUNCTION("""COMPUTED_VALUE"""),"ช่วยเหลืองานภายใน วพอ.")</f>
        <v>ช่วยเหลืองานภายใน วพอ.</v>
      </c>
      <c r="H510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10" s="3" t="str">
        <f>IFERROR(__xludf.DUMMYFUNCTION("""COMPUTED_VALUE"""),"อาคารสำนักงานชั้น 4")</f>
        <v>อาคารสำนักงานชั้น 4</v>
      </c>
      <c r="J510" s="12">
        <f>IFERROR(__xludf.DUMMYFUNCTION("""COMPUTED_VALUE"""),46147.0)</f>
        <v>46147</v>
      </c>
      <c r="K510" s="3" t="str">
        <f>IFERROR(__xludf.DUMMYFUNCTION("""COMPUTED_VALUE"""),"1500-1800")</f>
        <v>1500-1800</v>
      </c>
      <c r="L510" s="3">
        <f>IFERROR(__xludf.DUMMYFUNCTION("""COMPUTED_VALUE"""),3.0)</f>
        <v>3</v>
      </c>
      <c r="M510" s="3" t="str">
        <f>IFERROR(__xludf.DUMMYFUNCTION("""COMPUTED_VALUE"""),"น.ต.ศักชัย บุญประสิทธิ์")</f>
        <v>น.ต.ศักชัย บุญประสิทธิ์</v>
      </c>
      <c r="N510" s="14" t="str">
        <f>IFERROR(__xludf.DUMMYFUNCTION("""COMPUTED_VALUE"""),"https://lh5.googleusercontent.com/d/1hm-6ecbV2ZX0oE27DCPmx2o_eqessE08")</f>
        <v>https://lh5.googleusercontent.com/d/1hm-6ecbV2ZX0oE27DCPmx2o_eqessE08</v>
      </c>
      <c r="O510" s="14" t="str">
        <f>IFERROR(__xludf.DUMMYFUNCTION("""COMPUTED_VALUE"""),"https://drive.google.com/file/d/1aYrwtsCYdPZMTv6It8Jyg361unUEGTQa/view?usp=drivesdk")</f>
        <v>https://drive.google.com/file/d/1aYrwtsCYdPZMTv6It8Jyg361unUEGTQa/view?usp=drivesdk</v>
      </c>
    </row>
    <row r="511">
      <c r="A511" s="3">
        <f>IFERROR(__xludf.DUMMYFUNCTION("""COMPUTED_VALUE"""),2229.0)</f>
        <v>2229</v>
      </c>
      <c r="B511" s="11">
        <f>IFERROR(__xludf.DUMMYFUNCTION("""COMPUTED_VALUE"""),46167.57353935185)</f>
        <v>46167.57354</v>
      </c>
      <c r="C511" s="3" t="str">
        <f>IFERROR(__xludf.DUMMYFUNCTION("""COMPUTED_VALUE"""),"ชั้นปีที่ 2")</f>
        <v>ชั้นปีที่ 2</v>
      </c>
      <c r="D511" s="3" t="str">
        <f>IFERROR(__xludf.DUMMYFUNCTION("""COMPUTED_VALUE"""),"6703832")</f>
        <v>6703832</v>
      </c>
      <c r="E511" s="3" t="str">
        <f>IFERROR(__xludf.DUMMYFUNCTION("""COMPUTED_VALUE"""),"15")</f>
        <v>15</v>
      </c>
      <c r="F511" s="3" t="str">
        <f>IFERROR(__xludf.DUMMYFUNCTION("""COMPUTED_VALUE"""),"นพอ. ญาตาวี บุญภิละ")</f>
        <v>นพอ. ญาตาวี บุญภิละ</v>
      </c>
      <c r="G511" s="3" t="str">
        <f>IFERROR(__xludf.DUMMYFUNCTION("""COMPUTED_VALUE"""),"ช่วยเหลืองานภายใน วพอ.")</f>
        <v>ช่วยเหลืองานภายใน วพอ.</v>
      </c>
      <c r="H511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11" s="3" t="str">
        <f>IFERROR(__xludf.DUMMYFUNCTION("""COMPUTED_VALUE"""),"อาคารสำนักงานชั้น 4")</f>
        <v>อาคารสำนักงานชั้น 4</v>
      </c>
      <c r="J511" s="12">
        <f>IFERROR(__xludf.DUMMYFUNCTION("""COMPUTED_VALUE"""),46147.0)</f>
        <v>46147</v>
      </c>
      <c r="K511" s="3" t="str">
        <f>IFERROR(__xludf.DUMMYFUNCTION("""COMPUTED_VALUE"""),"1500-1800")</f>
        <v>1500-1800</v>
      </c>
      <c r="L511" s="3">
        <f>IFERROR(__xludf.DUMMYFUNCTION("""COMPUTED_VALUE"""),3.0)</f>
        <v>3</v>
      </c>
      <c r="M511" s="3" t="str">
        <f>IFERROR(__xludf.DUMMYFUNCTION("""COMPUTED_VALUE"""),"น.ต.ศักชัย บุญประสิทธิ์")</f>
        <v>น.ต.ศักชัย บุญประสิทธิ์</v>
      </c>
      <c r="N511" s="14" t="str">
        <f>IFERROR(__xludf.DUMMYFUNCTION("""COMPUTED_VALUE"""),"https://lh5.googleusercontent.com/d/1zTYIUTQPMhzzkjvHaPM3rJVUR1AOBOoe")</f>
        <v>https://lh5.googleusercontent.com/d/1zTYIUTQPMhzzkjvHaPM3rJVUR1AOBOoe</v>
      </c>
      <c r="O511" s="14" t="str">
        <f>IFERROR(__xludf.DUMMYFUNCTION("""COMPUTED_VALUE"""),"https://drive.google.com/file/d/1Nbw9ehqc-mWDHrsCKLYUMr6tG80wN853/view?usp=drivesdk")</f>
        <v>https://drive.google.com/file/d/1Nbw9ehqc-mWDHrsCKLYUMr6tG80wN853/view?usp=drivesdk</v>
      </c>
    </row>
    <row r="512">
      <c r="A512" s="3">
        <f>IFERROR(__xludf.DUMMYFUNCTION("""COMPUTED_VALUE"""),2230.0)</f>
        <v>2230</v>
      </c>
      <c r="B512" s="11">
        <f>IFERROR(__xludf.DUMMYFUNCTION("""COMPUTED_VALUE"""),46167.57585059028)</f>
        <v>46167.57585</v>
      </c>
      <c r="C512" s="3" t="str">
        <f>IFERROR(__xludf.DUMMYFUNCTION("""COMPUTED_VALUE"""),"ชั้นปีที่ 2")</f>
        <v>ชั้นปีที่ 2</v>
      </c>
      <c r="D512" s="3" t="str">
        <f>IFERROR(__xludf.DUMMYFUNCTION("""COMPUTED_VALUE"""),"6703872")</f>
        <v>6703872</v>
      </c>
      <c r="E512" s="3" t="str">
        <f>IFERROR(__xludf.DUMMYFUNCTION("""COMPUTED_VALUE"""),"52")</f>
        <v>52</v>
      </c>
      <c r="F512" s="3" t="str">
        <f>IFERROR(__xludf.DUMMYFUNCTION("""COMPUTED_VALUE"""),"นพอ.ศลิษา สุริยผัส")</f>
        <v>นพอ.ศลิษา สุริยผัส</v>
      </c>
      <c r="G5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2" s="3" t="str">
        <f>IFERROR(__xludf.DUMMYFUNCTION("""COMPUTED_VALUE"""),"งานวันเด็กแห่งชาติ 2569")</f>
        <v>งานวันเด็กแห่งชาติ 2569</v>
      </c>
      <c r="I512" s="3" t="str">
        <f>IFERROR(__xludf.DUMMYFUNCTION("""COMPUTED_VALUE"""),"โรงเรียนการบิน")</f>
        <v>โรงเรียนการบิน</v>
      </c>
      <c r="J512" s="12">
        <f>IFERROR(__xludf.DUMMYFUNCTION("""COMPUTED_VALUE"""),46032.0)</f>
        <v>46032</v>
      </c>
      <c r="K512" s="3" t="str">
        <f>IFERROR(__xludf.DUMMYFUNCTION("""COMPUTED_VALUE"""),"0600-1400")</f>
        <v>0600-1400</v>
      </c>
      <c r="L512" s="3">
        <f>IFERROR(__xludf.DUMMYFUNCTION("""COMPUTED_VALUE"""),8.0)</f>
        <v>8</v>
      </c>
      <c r="M51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12" s="14" t="str">
        <f>IFERROR(__xludf.DUMMYFUNCTION("""COMPUTED_VALUE"""),"https://lh5.googleusercontent.com/d/1iJRNjq7gObYpjyNLlnDIYQu94FV8q1NQ")</f>
        <v>https://lh5.googleusercontent.com/d/1iJRNjq7gObYpjyNLlnDIYQu94FV8q1NQ</v>
      </c>
      <c r="O512" s="14" t="str">
        <f>IFERROR(__xludf.DUMMYFUNCTION("""COMPUTED_VALUE"""),"https://drive.google.com/file/d/1DWc9cHY56nyr8U0WGAmGcbqwNNtUXIPQ/view?usp=drivesdk")</f>
        <v>https://drive.google.com/file/d/1DWc9cHY56nyr8U0WGAmGcbqwNNtUXIPQ/view?usp=drivesdk</v>
      </c>
    </row>
    <row r="513">
      <c r="A513" s="3">
        <f>IFERROR(__xludf.DUMMYFUNCTION("""COMPUTED_VALUE"""),2231.0)</f>
        <v>2231</v>
      </c>
      <c r="B513" s="11">
        <f>IFERROR(__xludf.DUMMYFUNCTION("""COMPUTED_VALUE"""),46167.57639686343)</f>
        <v>46167.5764</v>
      </c>
      <c r="C513" s="3" t="str">
        <f>IFERROR(__xludf.DUMMYFUNCTION("""COMPUTED_VALUE"""),"ชั้นปีที่ 2")</f>
        <v>ชั้นปีที่ 2</v>
      </c>
      <c r="D513" s="3" t="str">
        <f>IFERROR(__xludf.DUMMYFUNCTION("""COMPUTED_VALUE"""),"6703878")</f>
        <v>6703878</v>
      </c>
      <c r="E513" s="3" t="str">
        <f>IFERROR(__xludf.DUMMYFUNCTION("""COMPUTED_VALUE"""),"58")</f>
        <v>58</v>
      </c>
      <c r="F513" s="3" t="str">
        <f>IFERROR(__xludf.DUMMYFUNCTION("""COMPUTED_VALUE"""),"นพอ.สุชาสินี ป้อมพยัคฆ์")</f>
        <v>นพอ.สุชาสินี ป้อมพยัคฆ์</v>
      </c>
      <c r="G513" s="3" t="str">
        <f>IFERROR(__xludf.DUMMYFUNCTION("""COMPUTED_VALUE"""),"ช่วยเหลืองานภายใน วพอ.")</f>
        <v>ช่วยเหลืองานภายใน วพอ.</v>
      </c>
      <c r="H513" s="3" t="str">
        <f>IFERROR(__xludf.DUMMYFUNCTION("""COMPUTED_VALUE"""),"วัดเครื่องแบบนพอ.69")</f>
        <v>วัดเครื่องแบบนพอ.69</v>
      </c>
      <c r="I513" s="3" t="str">
        <f>IFERROR(__xludf.DUMMYFUNCTION("""COMPUTED_VALUE"""),"วพอ.พอ.")</f>
        <v>วพอ.พอ.</v>
      </c>
      <c r="J513" s="12">
        <f>IFERROR(__xludf.DUMMYFUNCTION("""COMPUTED_VALUE"""),46167.0)</f>
        <v>46167</v>
      </c>
      <c r="K513" s="3" t="str">
        <f>IFERROR(__xludf.DUMMYFUNCTION("""COMPUTED_VALUE"""),"1000-1400")</f>
        <v>1000-1400</v>
      </c>
      <c r="L513" s="3">
        <f>IFERROR(__xludf.DUMMYFUNCTION("""COMPUTED_VALUE"""),4.0)</f>
        <v>4</v>
      </c>
      <c r="M513" s="3" t="str">
        <f>IFERROR(__xludf.DUMMYFUNCTION("""COMPUTED_VALUE"""),"ร.อ.อนุชิต ทำจะดี")</f>
        <v>ร.อ.อนุชิต ทำจะดี</v>
      </c>
      <c r="N513" s="14" t="str">
        <f>IFERROR(__xludf.DUMMYFUNCTION("""COMPUTED_VALUE"""),"https://lh5.googleusercontent.com/d/1Glml7vfDwP0OnSDvydKM9OgSdXO-qcp3")</f>
        <v>https://lh5.googleusercontent.com/d/1Glml7vfDwP0OnSDvydKM9OgSdXO-qcp3</v>
      </c>
      <c r="O513" s="14" t="str">
        <f>IFERROR(__xludf.DUMMYFUNCTION("""COMPUTED_VALUE"""),"https://drive.google.com/file/d/1u-j1JYdnfn-_gCtD-twE8uIQg-opZeV4/view?usp=drivesdk")</f>
        <v>https://drive.google.com/file/d/1u-j1JYdnfn-_gCtD-twE8uIQg-opZeV4/view?usp=drivesdk</v>
      </c>
    </row>
    <row r="514">
      <c r="A514" s="3">
        <f>IFERROR(__xludf.DUMMYFUNCTION("""COMPUTED_VALUE"""),2232.0)</f>
        <v>2232</v>
      </c>
      <c r="B514" s="11">
        <f>IFERROR(__xludf.DUMMYFUNCTION("""COMPUTED_VALUE"""),46167.576876099534)</f>
        <v>46167.57688</v>
      </c>
      <c r="C514" s="3" t="str">
        <f>IFERROR(__xludf.DUMMYFUNCTION("""COMPUTED_VALUE"""),"ชั้นปีที่ 2")</f>
        <v>ชั้นปีที่ 2</v>
      </c>
      <c r="D514" s="3" t="str">
        <f>IFERROR(__xludf.DUMMYFUNCTION("""COMPUTED_VALUE"""),"6703869")</f>
        <v>6703869</v>
      </c>
      <c r="E514" s="3" t="str">
        <f>IFERROR(__xludf.DUMMYFUNCTION("""COMPUTED_VALUE"""),"50")</f>
        <v>50</v>
      </c>
      <c r="F514" s="3" t="str">
        <f>IFERROR(__xludf.DUMMYFUNCTION("""COMPUTED_VALUE"""),"นพอ.วิภาวี กลั่นเมฆ")</f>
        <v>นพอ.วิภาวี กลั่นเมฆ</v>
      </c>
      <c r="G514" s="3" t="str">
        <f>IFERROR(__xludf.DUMMYFUNCTION("""COMPUTED_VALUE"""),"ช่วยเหลืองานภายใน วพอ.")</f>
        <v>ช่วยเหลืองานภายใน วพอ.</v>
      </c>
      <c r="H51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4" s="3" t="str">
        <f>IFERROR(__xludf.DUMMYFUNCTION("""COMPUTED_VALUE"""),"วพอ.พอ.")</f>
        <v>วพอ.พอ.</v>
      </c>
      <c r="J514" s="12">
        <f>IFERROR(__xludf.DUMMYFUNCTION("""COMPUTED_VALUE"""),46133.0)</f>
        <v>46133</v>
      </c>
      <c r="K514" s="3" t="str">
        <f>IFERROR(__xludf.DUMMYFUNCTION("""COMPUTED_VALUE"""),"1700-2100")</f>
        <v>1700-2100</v>
      </c>
      <c r="L514" s="3">
        <f>IFERROR(__xludf.DUMMYFUNCTION("""COMPUTED_VALUE"""),4.0)</f>
        <v>4</v>
      </c>
      <c r="M514" s="3" t="str">
        <f>IFERROR(__xludf.DUMMYFUNCTION("""COMPUTED_VALUE"""),"ร.อ.อนุชิต ทำจะดี")</f>
        <v>ร.อ.อนุชิต ทำจะดี</v>
      </c>
      <c r="N514" s="14" t="str">
        <f>IFERROR(__xludf.DUMMYFUNCTION("""COMPUTED_VALUE"""),"https://lh5.googleusercontent.com/d/1WQgoaKkeG5dKklqczQyc1BM_ZB5GDjez")</f>
        <v>https://lh5.googleusercontent.com/d/1WQgoaKkeG5dKklqczQyc1BM_ZB5GDjez</v>
      </c>
      <c r="O514" s="14" t="str">
        <f>IFERROR(__xludf.DUMMYFUNCTION("""COMPUTED_VALUE"""),"https://drive.google.com/file/d/1v7UqjShWNZz0pnyWlZdIgVoc5UfEUzdb/view?usp=drivesdk")</f>
        <v>https://drive.google.com/file/d/1v7UqjShWNZz0pnyWlZdIgVoc5UfEUzdb/view?usp=drivesdk</v>
      </c>
    </row>
    <row r="515">
      <c r="A515" s="3">
        <f>IFERROR(__xludf.DUMMYFUNCTION("""COMPUTED_VALUE"""),2233.0)</f>
        <v>2233</v>
      </c>
      <c r="B515" s="11">
        <f>IFERROR(__xludf.DUMMYFUNCTION("""COMPUTED_VALUE"""),46167.57722186342)</f>
        <v>46167.57722</v>
      </c>
      <c r="C515" s="3" t="str">
        <f>IFERROR(__xludf.DUMMYFUNCTION("""COMPUTED_VALUE"""),"ชั้นปีที่ 2")</f>
        <v>ชั้นปีที่ 2</v>
      </c>
      <c r="D515" s="3" t="str">
        <f>IFERROR(__xludf.DUMMYFUNCTION("""COMPUTED_VALUE"""),"6703872")</f>
        <v>6703872</v>
      </c>
      <c r="E515" s="3" t="str">
        <f>IFERROR(__xludf.DUMMYFUNCTION("""COMPUTED_VALUE"""),"52")</f>
        <v>52</v>
      </c>
      <c r="F515" s="3" t="str">
        <f>IFERROR(__xludf.DUMMYFUNCTION("""COMPUTED_VALUE"""),"นพอ.ศลิษา สุริยผัส")</f>
        <v>นพอ.ศลิษา สุริยผัส</v>
      </c>
      <c r="G515" s="3" t="str">
        <f>IFERROR(__xludf.DUMMYFUNCTION("""COMPUTED_VALUE"""),"ช่วยเหลืองานภายใน วพอ.")</f>
        <v>ช่วยเหลืองานภายใน วพอ.</v>
      </c>
      <c r="H515" s="3" t="str">
        <f>IFERROR(__xludf.DUMMYFUNCTION("""COMPUTED_VALUE"""),"วัดเครื่องแบบ นพอ.69")</f>
        <v>วัดเครื่องแบบ นพอ.69</v>
      </c>
      <c r="I515" s="3" t="str">
        <f>IFERROR(__xludf.DUMMYFUNCTION("""COMPUTED_VALUE"""),"วพอ.พอ.")</f>
        <v>วพอ.พอ.</v>
      </c>
      <c r="J515" s="12">
        <f>IFERROR(__xludf.DUMMYFUNCTION("""COMPUTED_VALUE"""),46167.0)</f>
        <v>46167</v>
      </c>
      <c r="K515" s="3" t="str">
        <f>IFERROR(__xludf.DUMMYFUNCTION("""COMPUTED_VALUE"""),"1000-1400")</f>
        <v>1000-1400</v>
      </c>
      <c r="L515" s="3">
        <f>IFERROR(__xludf.DUMMYFUNCTION("""COMPUTED_VALUE"""),4.0)</f>
        <v>4</v>
      </c>
      <c r="M515" s="3" t="str">
        <f>IFERROR(__xludf.DUMMYFUNCTION("""COMPUTED_VALUE"""),"ร.อ.อนุชิต ทำจะดี")</f>
        <v>ร.อ.อนุชิต ทำจะดี</v>
      </c>
      <c r="N515" s="14" t="str">
        <f>IFERROR(__xludf.DUMMYFUNCTION("""COMPUTED_VALUE"""),"https://lh5.googleusercontent.com/d/1WJR_cIkG9DM75V1SUKVRxHnX6BItqNXh")</f>
        <v>https://lh5.googleusercontent.com/d/1WJR_cIkG9DM75V1SUKVRxHnX6BItqNXh</v>
      </c>
      <c r="O515" s="14" t="str">
        <f>IFERROR(__xludf.DUMMYFUNCTION("""COMPUTED_VALUE"""),"https://drive.google.com/file/d/1LDlzMSqAtb3rbTykf1vQDNYsJQazF3ju/view?usp=drivesdk")</f>
        <v>https://drive.google.com/file/d/1LDlzMSqAtb3rbTykf1vQDNYsJQazF3ju/view?usp=drivesdk</v>
      </c>
    </row>
    <row r="516">
      <c r="A516" s="3">
        <f>IFERROR(__xludf.DUMMYFUNCTION("""COMPUTED_VALUE"""),2234.0)</f>
        <v>2234</v>
      </c>
      <c r="B516" s="11">
        <f>IFERROR(__xludf.DUMMYFUNCTION("""COMPUTED_VALUE"""),46167.5778309375)</f>
        <v>46167.57783</v>
      </c>
      <c r="C516" s="3" t="str">
        <f>IFERROR(__xludf.DUMMYFUNCTION("""COMPUTED_VALUE"""),"ชั้นปีที่ 2")</f>
        <v>ชั้นปีที่ 2</v>
      </c>
      <c r="D516" s="3" t="str">
        <f>IFERROR(__xludf.DUMMYFUNCTION("""COMPUTED_VALUE"""),"6703869")</f>
        <v>6703869</v>
      </c>
      <c r="E516" s="3" t="str">
        <f>IFERROR(__xludf.DUMMYFUNCTION("""COMPUTED_VALUE"""),"50")</f>
        <v>50</v>
      </c>
      <c r="F516" s="3" t="str">
        <f>IFERROR(__xludf.DUMMYFUNCTION("""COMPUTED_VALUE"""),"นพอ.วิภาวี กลั่นเมฆ")</f>
        <v>นพอ.วิภาวี กลั่นเมฆ</v>
      </c>
      <c r="G516" s="3" t="str">
        <f>IFERROR(__xludf.DUMMYFUNCTION("""COMPUTED_VALUE"""),"ช่วยเหลืองานภายใน วพอ.")</f>
        <v>ช่วยเหลืองานภายใน วพอ.</v>
      </c>
      <c r="H51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6" s="3" t="str">
        <f>IFERROR(__xludf.DUMMYFUNCTION("""COMPUTED_VALUE"""),"วพอ.พอ.")</f>
        <v>วพอ.พอ.</v>
      </c>
      <c r="J516" s="12">
        <f>IFERROR(__xludf.DUMMYFUNCTION("""COMPUTED_VALUE"""),46134.0)</f>
        <v>46134</v>
      </c>
      <c r="K516" s="3" t="str">
        <f>IFERROR(__xludf.DUMMYFUNCTION("""COMPUTED_VALUE"""),"1700-2100")</f>
        <v>1700-2100</v>
      </c>
      <c r="L516" s="3">
        <f>IFERROR(__xludf.DUMMYFUNCTION("""COMPUTED_VALUE"""),4.0)</f>
        <v>4</v>
      </c>
      <c r="M516" s="3" t="str">
        <f>IFERROR(__xludf.DUMMYFUNCTION("""COMPUTED_VALUE"""),"ร.อ.อนุชิต ทำจะดี")</f>
        <v>ร.อ.อนุชิต ทำจะดี</v>
      </c>
      <c r="N516" s="14" t="str">
        <f>IFERROR(__xludf.DUMMYFUNCTION("""COMPUTED_VALUE"""),"https://lh5.googleusercontent.com/d/1Kl6Y7LSXuLWMQckjhpizzJZujJ6AA8iN")</f>
        <v>https://lh5.googleusercontent.com/d/1Kl6Y7LSXuLWMQckjhpizzJZujJ6AA8iN</v>
      </c>
      <c r="O516" s="14" t="str">
        <f>IFERROR(__xludf.DUMMYFUNCTION("""COMPUTED_VALUE"""),"https://drive.google.com/file/d/1CgPbs2yvlE9YgsoxtngPRCSabFDr8tH4/view?usp=drivesdk")</f>
        <v>https://drive.google.com/file/d/1CgPbs2yvlE9YgsoxtngPRCSabFDr8tH4/view?usp=drivesdk</v>
      </c>
    </row>
    <row r="517">
      <c r="A517" s="3">
        <f>IFERROR(__xludf.DUMMYFUNCTION("""COMPUTED_VALUE"""),2235.0)</f>
        <v>2235</v>
      </c>
      <c r="B517" s="11">
        <f>IFERROR(__xludf.DUMMYFUNCTION("""COMPUTED_VALUE"""),46167.57857091435)</f>
        <v>46167.57857</v>
      </c>
      <c r="C517" s="3" t="str">
        <f>IFERROR(__xludf.DUMMYFUNCTION("""COMPUTED_VALUE"""),"ชั้นปีที่ 2")</f>
        <v>ชั้นปีที่ 2</v>
      </c>
      <c r="D517" s="3" t="str">
        <f>IFERROR(__xludf.DUMMYFUNCTION("""COMPUTED_VALUE"""),"6703872")</f>
        <v>6703872</v>
      </c>
      <c r="E517" s="3" t="str">
        <f>IFERROR(__xludf.DUMMYFUNCTION("""COMPUTED_VALUE"""),"52")</f>
        <v>52</v>
      </c>
      <c r="F517" s="3" t="str">
        <f>IFERROR(__xludf.DUMMYFUNCTION("""COMPUTED_VALUE"""),"นพอ.ศลิษา สุริยผัส")</f>
        <v>นพอ.ศลิษา สุริยผัส</v>
      </c>
      <c r="G517" s="3" t="str">
        <f>IFERROR(__xludf.DUMMYFUNCTION("""COMPUTED_VALUE"""),"ช่วยเหลืองานภายใน วพอ.")</f>
        <v>ช่วยเหลืองานภายใน วพอ.</v>
      </c>
      <c r="H517" s="3" t="str">
        <f>IFERROR(__xludf.DUMMYFUNCTION("""COMPUTED_VALUE"""),"เก็บสถานที่สอบคัดเลือก นพอ.69")</f>
        <v>เก็บสถานที่สอบคัดเลือก นพอ.69</v>
      </c>
      <c r="I517" s="3" t="str">
        <f>IFERROR(__xludf.DUMMYFUNCTION("""COMPUTED_VALUE"""),"อาคารสำนักงานชั้น 4")</f>
        <v>อาคารสำนักงานชั้น 4</v>
      </c>
      <c r="J517" s="12">
        <f>IFERROR(__xludf.DUMMYFUNCTION("""COMPUTED_VALUE"""),46147.0)</f>
        <v>46147</v>
      </c>
      <c r="K517" s="3" t="str">
        <f>IFERROR(__xludf.DUMMYFUNCTION("""COMPUTED_VALUE"""),"1500-1800")</f>
        <v>1500-1800</v>
      </c>
      <c r="L517" s="3">
        <f>IFERROR(__xludf.DUMMYFUNCTION("""COMPUTED_VALUE"""),3.0)</f>
        <v>3</v>
      </c>
      <c r="M517" s="3" t="str">
        <f>IFERROR(__xludf.DUMMYFUNCTION("""COMPUTED_VALUE"""),"น.ต.ศักชัย บุญประสิทธิ์")</f>
        <v>น.ต.ศักชัย บุญประสิทธิ์</v>
      </c>
      <c r="N517" s="14" t="str">
        <f>IFERROR(__xludf.DUMMYFUNCTION("""COMPUTED_VALUE"""),"https://lh5.googleusercontent.com/d/1zdT-dgbQnKIGfV7JYrFy3TLyQ-4d8FD0")</f>
        <v>https://lh5.googleusercontent.com/d/1zdT-dgbQnKIGfV7JYrFy3TLyQ-4d8FD0</v>
      </c>
      <c r="O517" s="14" t="str">
        <f>IFERROR(__xludf.DUMMYFUNCTION("""COMPUTED_VALUE"""),"https://drive.google.com/file/d/1ajKFijZLQx_TUeiSB2KxRc84gMi_zTV6/view?usp=drivesdk")</f>
        <v>https://drive.google.com/file/d/1ajKFijZLQx_TUeiSB2KxRc84gMi_zTV6/view?usp=drivesdk</v>
      </c>
    </row>
    <row r="518">
      <c r="A518" s="3">
        <f>IFERROR(__xludf.DUMMYFUNCTION("""COMPUTED_VALUE"""),2236.0)</f>
        <v>2236</v>
      </c>
      <c r="B518" s="11">
        <f>IFERROR(__xludf.DUMMYFUNCTION("""COMPUTED_VALUE"""),46167.57926138889)</f>
        <v>46167.57926</v>
      </c>
      <c r="C518" s="3" t="str">
        <f>IFERROR(__xludf.DUMMYFUNCTION("""COMPUTED_VALUE"""),"ชั้นปีที่ 2")</f>
        <v>ชั้นปีที่ 2</v>
      </c>
      <c r="D518" s="3" t="str">
        <f>IFERROR(__xludf.DUMMYFUNCTION("""COMPUTED_VALUE"""),"6703869")</f>
        <v>6703869</v>
      </c>
      <c r="E518" s="3" t="str">
        <f>IFERROR(__xludf.DUMMYFUNCTION("""COMPUTED_VALUE"""),"50")</f>
        <v>50</v>
      </c>
      <c r="F518" s="3" t="str">
        <f>IFERROR(__xludf.DUMMYFUNCTION("""COMPUTED_VALUE"""),"นพอ.วิภาวี กลั่นเมฆ")</f>
        <v>นพอ.วิภาวี กลั่นเมฆ</v>
      </c>
      <c r="G518" s="3" t="str">
        <f>IFERROR(__xludf.DUMMYFUNCTION("""COMPUTED_VALUE"""),"ช่วยเหลืองานภายใน วพอ.")</f>
        <v>ช่วยเหลืองานภายใน วพอ.</v>
      </c>
      <c r="H51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8" s="3" t="str">
        <f>IFERROR(__xludf.DUMMYFUNCTION("""COMPUTED_VALUE"""),"วพอ.พอ.")</f>
        <v>วพอ.พอ.</v>
      </c>
      <c r="J518" s="12">
        <f>IFERROR(__xludf.DUMMYFUNCTION("""COMPUTED_VALUE"""),46135.0)</f>
        <v>46135</v>
      </c>
      <c r="K518" s="3" t="str">
        <f>IFERROR(__xludf.DUMMYFUNCTION("""COMPUTED_VALUE"""),"1700-2100")</f>
        <v>1700-2100</v>
      </c>
      <c r="L518" s="3">
        <f>IFERROR(__xludf.DUMMYFUNCTION("""COMPUTED_VALUE"""),4.0)</f>
        <v>4</v>
      </c>
      <c r="M518" s="3" t="str">
        <f>IFERROR(__xludf.DUMMYFUNCTION("""COMPUTED_VALUE"""),"ร.อ.อนุชิต ทำจะดี")</f>
        <v>ร.อ.อนุชิต ทำจะดี</v>
      </c>
      <c r="N518" s="14" t="str">
        <f>IFERROR(__xludf.DUMMYFUNCTION("""COMPUTED_VALUE"""),"https://lh5.googleusercontent.com/d/10Pl7cbGpaqBBJw1KXKGjnykM-JEcfYvL")</f>
        <v>https://lh5.googleusercontent.com/d/10Pl7cbGpaqBBJw1KXKGjnykM-JEcfYvL</v>
      </c>
      <c r="O518" s="14" t="str">
        <f>IFERROR(__xludf.DUMMYFUNCTION("""COMPUTED_VALUE"""),"https://drive.google.com/file/d/1i2FawhirRDkPy_-yVlgZNWeYcO3mrPvF/view?usp=drivesdk")</f>
        <v>https://drive.google.com/file/d/1i2FawhirRDkPy_-yVlgZNWeYcO3mrPvF/view?usp=drivesdk</v>
      </c>
    </row>
    <row r="519">
      <c r="A519" s="3">
        <f>IFERROR(__xludf.DUMMYFUNCTION("""COMPUTED_VALUE"""),2237.0)</f>
        <v>2237</v>
      </c>
      <c r="B519" s="11">
        <f>IFERROR(__xludf.DUMMYFUNCTION("""COMPUTED_VALUE"""),46167.58047814815)</f>
        <v>46167.58048</v>
      </c>
      <c r="C519" s="3" t="str">
        <f>IFERROR(__xludf.DUMMYFUNCTION("""COMPUTED_VALUE"""),"ชั้นปีที่ 2")</f>
        <v>ชั้นปีที่ 2</v>
      </c>
      <c r="D519" s="3" t="str">
        <f>IFERROR(__xludf.DUMMYFUNCTION("""COMPUTED_VALUE"""),"6703869")</f>
        <v>6703869</v>
      </c>
      <c r="E519" s="3" t="str">
        <f>IFERROR(__xludf.DUMMYFUNCTION("""COMPUTED_VALUE"""),"50")</f>
        <v>50</v>
      </c>
      <c r="F519" s="3" t="str">
        <f>IFERROR(__xludf.DUMMYFUNCTION("""COMPUTED_VALUE"""),"นพอ.วิภาวี กลั่นเมฆ")</f>
        <v>นพอ.วิภาวี กลั่นเมฆ</v>
      </c>
      <c r="G519" s="3" t="str">
        <f>IFERROR(__xludf.DUMMYFUNCTION("""COMPUTED_VALUE"""),"ช่วยเหลืองานภายใน วพอ.")</f>
        <v>ช่วยเหลืองานภายใน วพอ.</v>
      </c>
      <c r="H51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19" s="3" t="str">
        <f>IFERROR(__xludf.DUMMYFUNCTION("""COMPUTED_VALUE"""),"วพอ.พอ.")</f>
        <v>วพอ.พอ.</v>
      </c>
      <c r="J519" s="12">
        <f>IFERROR(__xludf.DUMMYFUNCTION("""COMPUTED_VALUE"""),46138.0)</f>
        <v>46138</v>
      </c>
      <c r="K519" s="3" t="str">
        <f>IFERROR(__xludf.DUMMYFUNCTION("""COMPUTED_VALUE"""),"1500-2100")</f>
        <v>1500-2100</v>
      </c>
      <c r="L519" s="3">
        <f>IFERROR(__xludf.DUMMYFUNCTION("""COMPUTED_VALUE"""),6.0)</f>
        <v>6</v>
      </c>
      <c r="M519" s="3" t="str">
        <f>IFERROR(__xludf.DUMMYFUNCTION("""COMPUTED_VALUE"""),"ร.อ.อนุชิต ทำจะดี")</f>
        <v>ร.อ.อนุชิต ทำจะดี</v>
      </c>
      <c r="N519" s="14" t="str">
        <f>IFERROR(__xludf.DUMMYFUNCTION("""COMPUTED_VALUE"""),"https://lh5.googleusercontent.com/d/12qcjZkTObOfTIaqh2KfgujNQAWrw-go_")</f>
        <v>https://lh5.googleusercontent.com/d/12qcjZkTObOfTIaqh2KfgujNQAWrw-go_</v>
      </c>
      <c r="O519" s="14" t="str">
        <f>IFERROR(__xludf.DUMMYFUNCTION("""COMPUTED_VALUE"""),"https://drive.google.com/file/d/1jyoH1odGfZHj5HZ8P3HUcKJxvu67JqoT/view?usp=drivesdk")</f>
        <v>https://drive.google.com/file/d/1jyoH1odGfZHj5HZ8P3HUcKJxvu67JqoT/view?usp=drivesdk</v>
      </c>
    </row>
    <row r="520">
      <c r="A520" s="3">
        <f>IFERROR(__xludf.DUMMYFUNCTION("""COMPUTED_VALUE"""),2238.0)</f>
        <v>2238</v>
      </c>
      <c r="B520" s="11">
        <f>IFERROR(__xludf.DUMMYFUNCTION("""COMPUTED_VALUE"""),46167.58084390046)</f>
        <v>46167.58084</v>
      </c>
      <c r="C520" s="3" t="str">
        <f>IFERROR(__xludf.DUMMYFUNCTION("""COMPUTED_VALUE"""),"ชั้นปีที่ 2")</f>
        <v>ชั้นปีที่ 2</v>
      </c>
      <c r="D520" s="3" t="str">
        <f>IFERROR(__xludf.DUMMYFUNCTION("""COMPUTED_VALUE"""),"6703859")</f>
        <v>6703859</v>
      </c>
      <c r="E520" s="3" t="str">
        <f>IFERROR(__xludf.DUMMYFUNCTION("""COMPUTED_VALUE"""),"40")</f>
        <v>40</v>
      </c>
      <c r="F520" s="3" t="str">
        <f>IFERROR(__xludf.DUMMYFUNCTION("""COMPUTED_VALUE"""),"นพอ.พิชญาภา ไชยพงษ์")</f>
        <v>นพอ.พิชญาภา ไชยพงษ์</v>
      </c>
      <c r="G520" s="3" t="str">
        <f>IFERROR(__xludf.DUMMYFUNCTION("""COMPUTED_VALUE"""),"ช่วยเหลืองานภายใน วพอ.")</f>
        <v>ช่วยเหลืองานภายใน วพอ.</v>
      </c>
      <c r="H520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0" s="3" t="str">
        <f>IFERROR(__xludf.DUMMYFUNCTION("""COMPUTED_VALUE"""),"อาคารสำนักงานชั้น 4")</f>
        <v>อาคารสำนักงานชั้น 4</v>
      </c>
      <c r="J520" s="12">
        <f>IFERROR(__xludf.DUMMYFUNCTION("""COMPUTED_VALUE"""),46147.0)</f>
        <v>46147</v>
      </c>
      <c r="K520" s="3" t="str">
        <f>IFERROR(__xludf.DUMMYFUNCTION("""COMPUTED_VALUE"""),"1500-1800")</f>
        <v>1500-1800</v>
      </c>
      <c r="L520" s="3">
        <f>IFERROR(__xludf.DUMMYFUNCTION("""COMPUTED_VALUE"""),3.0)</f>
        <v>3</v>
      </c>
      <c r="M520" s="3" t="str">
        <f>IFERROR(__xludf.DUMMYFUNCTION("""COMPUTED_VALUE"""),"น.ต.ศักชัย บุญประสิทธิ์")</f>
        <v>น.ต.ศักชัย บุญประสิทธิ์</v>
      </c>
      <c r="N520" s="14" t="str">
        <f>IFERROR(__xludf.DUMMYFUNCTION("""COMPUTED_VALUE"""),"https://lh5.googleusercontent.com/d/1hpr-mXyhroFGVLO5jeUycYDwx_wdHGLg")</f>
        <v>https://lh5.googleusercontent.com/d/1hpr-mXyhroFGVLO5jeUycYDwx_wdHGLg</v>
      </c>
      <c r="O520" s="14" t="str">
        <f>IFERROR(__xludf.DUMMYFUNCTION("""COMPUTED_VALUE"""),"https://drive.google.com/file/d/1U9jLg4yKCMWjGHmW8qUB9iElGHKRo4fn/view?usp=drivesdk")</f>
        <v>https://drive.google.com/file/d/1U9jLg4yKCMWjGHmW8qUB9iElGHKRo4fn/view?usp=drivesdk</v>
      </c>
    </row>
    <row r="521">
      <c r="A521" s="3">
        <f>IFERROR(__xludf.DUMMYFUNCTION("""COMPUTED_VALUE"""),2239.0)</f>
        <v>2239</v>
      </c>
      <c r="B521" s="11">
        <f>IFERROR(__xludf.DUMMYFUNCTION("""COMPUTED_VALUE"""),46167.58153722222)</f>
        <v>46167.58154</v>
      </c>
      <c r="C521" s="3" t="str">
        <f>IFERROR(__xludf.DUMMYFUNCTION("""COMPUTED_VALUE"""),"ชั้นปีที่ 2")</f>
        <v>ชั้นปีที่ 2</v>
      </c>
      <c r="D521" s="3" t="str">
        <f>IFERROR(__xludf.DUMMYFUNCTION("""COMPUTED_VALUE"""),"6703869")</f>
        <v>6703869</v>
      </c>
      <c r="E521" s="3" t="str">
        <f>IFERROR(__xludf.DUMMYFUNCTION("""COMPUTED_VALUE"""),"50")</f>
        <v>50</v>
      </c>
      <c r="F521" s="3" t="str">
        <f>IFERROR(__xludf.DUMMYFUNCTION("""COMPUTED_VALUE"""),"นพอ.วิภาวี กลั่นเมฆ")</f>
        <v>นพอ.วิภาวี กลั่นเมฆ</v>
      </c>
      <c r="G521" s="3" t="str">
        <f>IFERROR(__xludf.DUMMYFUNCTION("""COMPUTED_VALUE"""),"ช่วยเหลืองานภายใน วพอ.")</f>
        <v>ช่วยเหลืองานภายใน วพอ.</v>
      </c>
      <c r="H52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1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21" s="12">
        <f>IFERROR(__xludf.DUMMYFUNCTION("""COMPUTED_VALUE"""),46139.0)</f>
        <v>46139</v>
      </c>
      <c r="K521" s="3" t="str">
        <f>IFERROR(__xludf.DUMMYFUNCTION("""COMPUTED_VALUE"""),"1700-2100")</f>
        <v>1700-2100</v>
      </c>
      <c r="L521" s="3">
        <f>IFERROR(__xludf.DUMMYFUNCTION("""COMPUTED_VALUE"""),4.0)</f>
        <v>4</v>
      </c>
      <c r="M521" s="3" t="str">
        <f>IFERROR(__xludf.DUMMYFUNCTION("""COMPUTED_VALUE"""),"ร.อ.อนุชิต ทำจะดี")</f>
        <v>ร.อ.อนุชิต ทำจะดี</v>
      </c>
      <c r="N521" s="14" t="str">
        <f>IFERROR(__xludf.DUMMYFUNCTION("""COMPUTED_VALUE"""),"https://lh5.googleusercontent.com/d/1A9h-NXJAON_xl9rbkwiFbdZS7r1yEHkh")</f>
        <v>https://lh5.googleusercontent.com/d/1A9h-NXJAON_xl9rbkwiFbdZS7r1yEHkh</v>
      </c>
      <c r="O521" s="14" t="str">
        <f>IFERROR(__xludf.DUMMYFUNCTION("""COMPUTED_VALUE"""),"https://drive.google.com/file/d/198ixtCVqBk7BEMNuBK3M9YHux1dGN1lr/view?usp=drivesdk")</f>
        <v>https://drive.google.com/file/d/198ixtCVqBk7BEMNuBK3M9YHux1dGN1lr/view?usp=drivesdk</v>
      </c>
    </row>
    <row r="522">
      <c r="A522" s="3">
        <f>IFERROR(__xludf.DUMMYFUNCTION("""COMPUTED_VALUE"""),2264.0)</f>
        <v>2264</v>
      </c>
      <c r="B522" s="11">
        <f>IFERROR(__xludf.DUMMYFUNCTION("""COMPUTED_VALUE"""),46167.60308696759)</f>
        <v>46167.60309</v>
      </c>
      <c r="C522" s="3" t="str">
        <f>IFERROR(__xludf.DUMMYFUNCTION("""COMPUTED_VALUE"""),"ชั้นปีที่ 2")</f>
        <v>ชั้นปีที่ 2</v>
      </c>
      <c r="D522" s="3" t="str">
        <f>IFERROR(__xludf.DUMMYFUNCTION("""COMPUTED_VALUE"""),"6703845")</f>
        <v>6703845</v>
      </c>
      <c r="E522" s="3" t="str">
        <f>IFERROR(__xludf.DUMMYFUNCTION("""COMPUTED_VALUE"""),"27")</f>
        <v>27</v>
      </c>
      <c r="F522" s="3" t="str">
        <f>IFERROR(__xludf.DUMMYFUNCTION("""COMPUTED_VALUE"""),"นพอ.นภันต์กร อินทรแก้ว")</f>
        <v>นพอ.นภันต์กร อินทรแก้ว</v>
      </c>
      <c r="G52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2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22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522" s="12">
        <f>IFERROR(__xludf.DUMMYFUNCTION("""COMPUTED_VALUE"""),46078.0)</f>
        <v>46078</v>
      </c>
      <c r="K522" s="3" t="str">
        <f>IFERROR(__xludf.DUMMYFUNCTION("""COMPUTED_VALUE"""),"1200-2000")</f>
        <v>1200-2000</v>
      </c>
      <c r="L522" s="3">
        <f>IFERROR(__xludf.DUMMYFUNCTION("""COMPUTED_VALUE"""),8.0)</f>
        <v>8</v>
      </c>
      <c r="M52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22" s="14" t="str">
        <f>IFERROR(__xludf.DUMMYFUNCTION("""COMPUTED_VALUE"""),"https://lh5.googleusercontent.com/d/1WuHtLjg0psvrpFWDW8CHk0KTOkqYHhln")</f>
        <v>https://lh5.googleusercontent.com/d/1WuHtLjg0psvrpFWDW8CHk0KTOkqYHhln</v>
      </c>
      <c r="O522" s="14" t="str">
        <f>IFERROR(__xludf.DUMMYFUNCTION("""COMPUTED_VALUE"""),"https://drive.google.com/file/d/13QL1WBQm0DARZSPoQqPp0rCIPjL0F8ud/view?usp=drivesdk")</f>
        <v>https://drive.google.com/file/d/13QL1WBQm0DARZSPoQqPp0rCIPjL0F8ud/view?usp=drivesdk</v>
      </c>
    </row>
    <row r="523">
      <c r="A523" s="3">
        <f>IFERROR(__xludf.DUMMYFUNCTION("""COMPUTED_VALUE"""),2266.0)</f>
        <v>2266</v>
      </c>
      <c r="B523" s="11">
        <f>IFERROR(__xludf.DUMMYFUNCTION("""COMPUTED_VALUE"""),46167.60629395833)</f>
        <v>46167.60629</v>
      </c>
      <c r="C523" s="3" t="str">
        <f>IFERROR(__xludf.DUMMYFUNCTION("""COMPUTED_VALUE"""),"ชั้นปีที่ 2")</f>
        <v>ชั้นปีที่ 2</v>
      </c>
      <c r="D523" s="3" t="str">
        <f>IFERROR(__xludf.DUMMYFUNCTION("""COMPUTED_VALUE"""),"6703845")</f>
        <v>6703845</v>
      </c>
      <c r="E523" s="3" t="str">
        <f>IFERROR(__xludf.DUMMYFUNCTION("""COMPUTED_VALUE"""),"27")</f>
        <v>27</v>
      </c>
      <c r="F523" s="3" t="str">
        <f>IFERROR(__xludf.DUMMYFUNCTION("""COMPUTED_VALUE"""),"นพอ.นภันต์กร อินทรแก้ว")</f>
        <v>นพอ.นภันต์กร อินทรแก้ว</v>
      </c>
      <c r="G523" s="3" t="str">
        <f>IFERROR(__xludf.DUMMYFUNCTION("""COMPUTED_VALUE"""),"ช่วยเหลืองานภายใน วพอ.")</f>
        <v>ช่วยเหลืองานภายใน วพอ.</v>
      </c>
      <c r="H523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3" s="3" t="str">
        <f>IFERROR(__xludf.DUMMYFUNCTION("""COMPUTED_VALUE"""),"อาคารสำนักงานชั้น 4")</f>
        <v>อาคารสำนักงานชั้น 4</v>
      </c>
      <c r="J523" s="12">
        <f>IFERROR(__xludf.DUMMYFUNCTION("""COMPUTED_VALUE"""),46147.0)</f>
        <v>46147</v>
      </c>
      <c r="K523" s="3" t="str">
        <f>IFERROR(__xludf.DUMMYFUNCTION("""COMPUTED_VALUE"""),"1500-1800")</f>
        <v>1500-1800</v>
      </c>
      <c r="L523" s="3">
        <f>IFERROR(__xludf.DUMMYFUNCTION("""COMPUTED_VALUE"""),3.0)</f>
        <v>3</v>
      </c>
      <c r="M523" s="3" t="str">
        <f>IFERROR(__xludf.DUMMYFUNCTION("""COMPUTED_VALUE"""),"น.ต.ศักชัย บุญประสิทธิ์")</f>
        <v>น.ต.ศักชัย บุญประสิทธิ์</v>
      </c>
      <c r="N523" s="14" t="str">
        <f>IFERROR(__xludf.DUMMYFUNCTION("""COMPUTED_VALUE"""),"https://lh5.googleusercontent.com/d/1Lxsq-xqlAamO1DmQXLJbHoSHhD4nmBhx")</f>
        <v>https://lh5.googleusercontent.com/d/1Lxsq-xqlAamO1DmQXLJbHoSHhD4nmBhx</v>
      </c>
      <c r="O523" s="14" t="str">
        <f>IFERROR(__xludf.DUMMYFUNCTION("""COMPUTED_VALUE"""),"https://drive.google.com/file/d/1ftePTOZLZxDFC-Nt6TgmS9cm6_XKAjz8/view?usp=drivesdk")</f>
        <v>https://drive.google.com/file/d/1ftePTOZLZxDFC-Nt6TgmS9cm6_XKAjz8/view?usp=drivesdk</v>
      </c>
    </row>
    <row r="524">
      <c r="A524" s="3">
        <f>IFERROR(__xludf.DUMMYFUNCTION("""COMPUTED_VALUE"""),2269.0)</f>
        <v>2269</v>
      </c>
      <c r="B524" s="11">
        <f>IFERROR(__xludf.DUMMYFUNCTION("""COMPUTED_VALUE"""),46167.61359369213)</f>
        <v>46167.61359</v>
      </c>
      <c r="C524" s="3" t="str">
        <f>IFERROR(__xludf.DUMMYFUNCTION("""COMPUTED_VALUE"""),"ชั้นปีที่ 2")</f>
        <v>ชั้นปีที่ 2</v>
      </c>
      <c r="D524" s="3" t="str">
        <f>IFERROR(__xludf.DUMMYFUNCTION("""COMPUTED_VALUE"""),"6703869")</f>
        <v>6703869</v>
      </c>
      <c r="E524" s="3" t="str">
        <f>IFERROR(__xludf.DUMMYFUNCTION("""COMPUTED_VALUE"""),"50")</f>
        <v>50</v>
      </c>
      <c r="F524" s="3" t="str">
        <f>IFERROR(__xludf.DUMMYFUNCTION("""COMPUTED_VALUE"""),"นพอ.วิภาวี กลั่นเมฆ")</f>
        <v>นพอ.วิภาวี กลั่นเมฆ</v>
      </c>
      <c r="G52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4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24" s="3" t="str">
        <f>IFERROR(__xludf.DUMMYFUNCTION("""COMPUTED_VALUE"""),"สนามกีฬาธูปะเตมีย์")</f>
        <v>สนามกีฬาธูปะเตมีย์</v>
      </c>
      <c r="J524" s="12">
        <f>IFERROR(__xludf.DUMMYFUNCTION("""COMPUTED_VALUE"""),46078.0)</f>
        <v>46078</v>
      </c>
      <c r="K524" s="3" t="str">
        <f>IFERROR(__xludf.DUMMYFUNCTION("""COMPUTED_VALUE"""),"1200-2000")</f>
        <v>1200-2000</v>
      </c>
      <c r="L524" s="3">
        <f>IFERROR(__xludf.DUMMYFUNCTION("""COMPUTED_VALUE"""),8.0)</f>
        <v>8</v>
      </c>
      <c r="M52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24" s="14" t="str">
        <f>IFERROR(__xludf.DUMMYFUNCTION("""COMPUTED_VALUE"""),"https://lh5.googleusercontent.com/d/1quReMVEx7JRrzsN4MDdGv1gN0d146Q_U")</f>
        <v>https://lh5.googleusercontent.com/d/1quReMVEx7JRrzsN4MDdGv1gN0d146Q_U</v>
      </c>
      <c r="O524" s="14" t="str">
        <f>IFERROR(__xludf.DUMMYFUNCTION("""COMPUTED_VALUE"""),"https://drive.google.com/file/d/12Uss0QTb1bHuoGdX7m3jR-puevATKa1D/view?usp=drivesdk")</f>
        <v>https://drive.google.com/file/d/12Uss0QTb1bHuoGdX7m3jR-puevATKa1D/view?usp=drivesdk</v>
      </c>
    </row>
    <row r="525">
      <c r="A525" s="3">
        <f>IFERROR(__xludf.DUMMYFUNCTION("""COMPUTED_VALUE"""),2270.0)</f>
        <v>2270</v>
      </c>
      <c r="B525" s="11">
        <f>IFERROR(__xludf.DUMMYFUNCTION("""COMPUTED_VALUE"""),46167.61475450232)</f>
        <v>46167.61475</v>
      </c>
      <c r="C525" s="3" t="str">
        <f>IFERROR(__xludf.DUMMYFUNCTION("""COMPUTED_VALUE"""),"ชั้นปีที่ 2")</f>
        <v>ชั้นปีที่ 2</v>
      </c>
      <c r="D525" s="3" t="str">
        <f>IFERROR(__xludf.DUMMYFUNCTION("""COMPUTED_VALUE"""),"6703869")</f>
        <v>6703869</v>
      </c>
      <c r="E525" s="3" t="str">
        <f>IFERROR(__xludf.DUMMYFUNCTION("""COMPUTED_VALUE"""),"50")</f>
        <v>50</v>
      </c>
      <c r="F525" s="3" t="str">
        <f>IFERROR(__xludf.DUMMYFUNCTION("""COMPUTED_VALUE"""),"นพอ.วิภาวี กลั่นเมฆ")</f>
        <v>นพอ.วิภาวี กลั่นเมฆ</v>
      </c>
      <c r="G525" s="3" t="str">
        <f>IFERROR(__xludf.DUMMYFUNCTION("""COMPUTED_VALUE"""),"ช่วยเหลืองานภายใน วพอ.")</f>
        <v>ช่วยเหลืองานภายใน วพอ.</v>
      </c>
      <c r="H525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5" s="3" t="str">
        <f>IFERROR(__xludf.DUMMYFUNCTION("""COMPUTED_VALUE"""),"วพอ.พอ.")</f>
        <v>วพอ.พอ.</v>
      </c>
      <c r="J525" s="12">
        <f>IFERROR(__xludf.DUMMYFUNCTION("""COMPUTED_VALUE"""),46147.0)</f>
        <v>46147</v>
      </c>
      <c r="K525" s="3" t="str">
        <f>IFERROR(__xludf.DUMMYFUNCTION("""COMPUTED_VALUE"""),"1500-1800")</f>
        <v>1500-1800</v>
      </c>
      <c r="L525" s="3">
        <f>IFERROR(__xludf.DUMMYFUNCTION("""COMPUTED_VALUE"""),3.0)</f>
        <v>3</v>
      </c>
      <c r="M525" s="3" t="str">
        <f>IFERROR(__xludf.DUMMYFUNCTION("""COMPUTED_VALUE"""),"น.ต.ศักชัย บุญประสิทธิ์")</f>
        <v>น.ต.ศักชัย บุญประสิทธิ์</v>
      </c>
      <c r="N525" s="14" t="str">
        <f>IFERROR(__xludf.DUMMYFUNCTION("""COMPUTED_VALUE"""),"https://lh5.googleusercontent.com/d/1RMRXT1py9gJiEeYB9g6rADFr3QHkOR7I")</f>
        <v>https://lh5.googleusercontent.com/d/1RMRXT1py9gJiEeYB9g6rADFr3QHkOR7I</v>
      </c>
      <c r="O525" s="14" t="str">
        <f>IFERROR(__xludf.DUMMYFUNCTION("""COMPUTED_VALUE"""),"https://drive.google.com/file/d/1BEnFxpyJ1ljQpIHuexEO_2skI39IcSKU/view?usp=drivesdk")</f>
        <v>https://drive.google.com/file/d/1BEnFxpyJ1ljQpIHuexEO_2skI39IcSKU/view?usp=drivesdk</v>
      </c>
    </row>
    <row r="526">
      <c r="A526" s="3">
        <f>IFERROR(__xludf.DUMMYFUNCTION("""COMPUTED_VALUE"""),2271.0)</f>
        <v>2271</v>
      </c>
      <c r="B526" s="11">
        <f>IFERROR(__xludf.DUMMYFUNCTION("""COMPUTED_VALUE"""),46167.62020931713)</f>
        <v>46167.62021</v>
      </c>
      <c r="C526" s="3" t="str">
        <f>IFERROR(__xludf.DUMMYFUNCTION("""COMPUTED_VALUE"""),"ชั้นปีที่ 2")</f>
        <v>ชั้นปีที่ 2</v>
      </c>
      <c r="D526" s="3" t="str">
        <f>IFERROR(__xludf.DUMMYFUNCTION("""COMPUTED_VALUE"""),"6703869")</f>
        <v>6703869</v>
      </c>
      <c r="E526" s="3" t="str">
        <f>IFERROR(__xludf.DUMMYFUNCTION("""COMPUTED_VALUE"""),"50")</f>
        <v>50</v>
      </c>
      <c r="F526" s="3" t="str">
        <f>IFERROR(__xludf.DUMMYFUNCTION("""COMPUTED_VALUE"""),"นพอ.วิภาวี กลั่นเมฆ")</f>
        <v>นพอ.วิภาวี กลั่นเมฆ</v>
      </c>
      <c r="G526" s="3" t="str">
        <f>IFERROR(__xludf.DUMMYFUNCTION("""COMPUTED_VALUE"""),"ช่วยเหลืองานภายใน วพอ.")</f>
        <v>ช่วยเหลืองานภายใน วพอ.</v>
      </c>
      <c r="H526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6" s="3" t="str">
        <f>IFERROR(__xludf.DUMMYFUNCTION("""COMPUTED_VALUE"""),"วพอ.พอ.")</f>
        <v>วพอ.พอ.</v>
      </c>
      <c r="J526" s="12">
        <f>IFERROR(__xludf.DUMMYFUNCTION("""COMPUTED_VALUE"""),46147.0)</f>
        <v>46147</v>
      </c>
      <c r="K526" s="3" t="str">
        <f>IFERROR(__xludf.DUMMYFUNCTION("""COMPUTED_VALUE"""),"1500-1800")</f>
        <v>1500-1800</v>
      </c>
      <c r="L526" s="3">
        <f>IFERROR(__xludf.DUMMYFUNCTION("""COMPUTED_VALUE"""),3.0)</f>
        <v>3</v>
      </c>
      <c r="M526" s="3" t="str">
        <f>IFERROR(__xludf.DUMMYFUNCTION("""COMPUTED_VALUE"""),"น.ต.ศักชัย บุญประสิทธิ์")</f>
        <v>น.ต.ศักชัย บุญประสิทธิ์</v>
      </c>
      <c r="N526" s="14" t="str">
        <f>IFERROR(__xludf.DUMMYFUNCTION("""COMPUTED_VALUE"""),"https://lh5.googleusercontent.com/d/1a24obhat_8kPCA4VNmf5uJzcfJ2jMMhU")</f>
        <v>https://lh5.googleusercontent.com/d/1a24obhat_8kPCA4VNmf5uJzcfJ2jMMhU</v>
      </c>
      <c r="O526" s="14" t="str">
        <f>IFERROR(__xludf.DUMMYFUNCTION("""COMPUTED_VALUE"""),"https://drive.google.com/file/d/1nrrlDRFdg3jJAE8AuJzvnAPCZl7w8z4o/view?usp=drivesdk")</f>
        <v>https://drive.google.com/file/d/1nrrlDRFdg3jJAE8AuJzvnAPCZl7w8z4o/view?usp=drivesdk</v>
      </c>
    </row>
    <row r="527">
      <c r="A527" s="3">
        <f>IFERROR(__xludf.DUMMYFUNCTION("""COMPUTED_VALUE"""),2272.0)</f>
        <v>2272</v>
      </c>
      <c r="B527" s="11">
        <f>IFERROR(__xludf.DUMMYFUNCTION("""COMPUTED_VALUE"""),46167.62043724537)</f>
        <v>46167.62044</v>
      </c>
      <c r="C527" s="3" t="str">
        <f>IFERROR(__xludf.DUMMYFUNCTION("""COMPUTED_VALUE"""),"ชั้นปีที่ 2")</f>
        <v>ชั้นปีที่ 2</v>
      </c>
      <c r="D527" s="3" t="str">
        <f>IFERROR(__xludf.DUMMYFUNCTION("""COMPUTED_VALUE"""),"6703838")</f>
        <v>6703838</v>
      </c>
      <c r="E527" s="3" t="str">
        <f>IFERROR(__xludf.DUMMYFUNCTION("""COMPUTED_VALUE"""),"21")</f>
        <v>21</v>
      </c>
      <c r="F527" s="3" t="str">
        <f>IFERROR(__xludf.DUMMYFUNCTION("""COMPUTED_VALUE"""),"นพอ.ณัฐพงษ์ วงษ์บัวงาม")</f>
        <v>นพอ.ณัฐพงษ์ วงษ์บัวงาม</v>
      </c>
      <c r="G527" s="3" t="str">
        <f>IFERROR(__xludf.DUMMYFUNCTION("""COMPUTED_VALUE"""),"ช่วยเหลืองานภายใน วพอ.")</f>
        <v>ช่วยเหลืองานภายใน วพอ.</v>
      </c>
      <c r="H527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7" s="3" t="str">
        <f>IFERROR(__xludf.DUMMYFUNCTION("""COMPUTED_VALUE"""),"อาคารสำนักงานชั้น 4")</f>
        <v>อาคารสำนักงานชั้น 4</v>
      </c>
      <c r="J527" s="12">
        <f>IFERROR(__xludf.DUMMYFUNCTION("""COMPUTED_VALUE"""),46147.0)</f>
        <v>46147</v>
      </c>
      <c r="K527" s="3" t="str">
        <f>IFERROR(__xludf.DUMMYFUNCTION("""COMPUTED_VALUE"""),"1500-1800")</f>
        <v>1500-1800</v>
      </c>
      <c r="L527" s="3">
        <f>IFERROR(__xludf.DUMMYFUNCTION("""COMPUTED_VALUE"""),3.0)</f>
        <v>3</v>
      </c>
      <c r="M527" s="3" t="str">
        <f>IFERROR(__xludf.DUMMYFUNCTION("""COMPUTED_VALUE"""),"น.ต. ศักชัย บุญประสิทธิ์")</f>
        <v>น.ต. ศักชัย บุญประสิทธิ์</v>
      </c>
      <c r="N527" s="14" t="str">
        <f>IFERROR(__xludf.DUMMYFUNCTION("""COMPUTED_VALUE"""),"https://lh5.googleusercontent.com/d/1lyVubiEKRSR6NIeFW8EdtQBia2RJyXWW")</f>
        <v>https://lh5.googleusercontent.com/d/1lyVubiEKRSR6NIeFW8EdtQBia2RJyXWW</v>
      </c>
      <c r="O527" s="14" t="str">
        <f>IFERROR(__xludf.DUMMYFUNCTION("""COMPUTED_VALUE"""),"https://drive.google.com/file/d/15_HzQeAc3ec0Bo9XTTZHfH82WUDTCFBl/view?usp=drivesdk")</f>
        <v>https://drive.google.com/file/d/15_HzQeAc3ec0Bo9XTTZHfH82WUDTCFBl/view?usp=drivesdk</v>
      </c>
    </row>
    <row r="528">
      <c r="A528" s="3">
        <f>IFERROR(__xludf.DUMMYFUNCTION("""COMPUTED_VALUE"""),2273.0)</f>
        <v>2273</v>
      </c>
      <c r="B528" s="11">
        <f>IFERROR(__xludf.DUMMYFUNCTION("""COMPUTED_VALUE"""),46167.6216007176)</f>
        <v>46167.6216</v>
      </c>
      <c r="C528" s="3" t="str">
        <f>IFERROR(__xludf.DUMMYFUNCTION("""COMPUTED_VALUE"""),"ชั้นปีที่ 2")</f>
        <v>ชั้นปีที่ 2</v>
      </c>
      <c r="D528" s="3" t="str">
        <f>IFERROR(__xludf.DUMMYFUNCTION("""COMPUTED_VALUE"""),"6703869")</f>
        <v>6703869</v>
      </c>
      <c r="E528" s="3" t="str">
        <f>IFERROR(__xludf.DUMMYFUNCTION("""COMPUTED_VALUE"""),"50")</f>
        <v>50</v>
      </c>
      <c r="F528" s="3" t="str">
        <f>IFERROR(__xludf.DUMMYFUNCTION("""COMPUTED_VALUE"""),"นพอ.วิภาวี กลั่นเมฆ")</f>
        <v>นพอ.วิภาวี กลั่นเมฆ</v>
      </c>
      <c r="G5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8" s="3" t="str">
        <f>IFERROR(__xludf.DUMMYFUNCTION("""COMPUTED_VALUE"""),"ค่ายเยาวชนพัฒนาครั้งที่ 215")</f>
        <v>ค่ายเยาวชนพัฒนาครั้งที่ 215</v>
      </c>
      <c r="I528" s="3" t="str">
        <f>IFERROR(__xludf.DUMMYFUNCTION("""COMPUTED_VALUE"""),"วัดสาทบัณฑิต จ.อยุธยา")</f>
        <v>วัดสาทบัณฑิต จ.อยุธยา</v>
      </c>
      <c r="J528" s="12">
        <f>IFERROR(__xludf.DUMMYFUNCTION("""COMPUTED_VALUE"""),46136.0)</f>
        <v>46136</v>
      </c>
      <c r="K528" s="3" t="str">
        <f>IFERROR(__xludf.DUMMYFUNCTION("""COMPUTED_VALUE"""),"1800-2400")</f>
        <v>1800-2400</v>
      </c>
      <c r="L528" s="3">
        <f>IFERROR(__xludf.DUMMYFUNCTION("""COMPUTED_VALUE"""),8.0)</f>
        <v>8</v>
      </c>
      <c r="M52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28" s="14" t="str">
        <f>IFERROR(__xludf.DUMMYFUNCTION("""COMPUTED_VALUE"""),"https://lh5.googleusercontent.com/d/18Uao6Nrkm5yNoy4FEVr1NoVEKySVFIbE")</f>
        <v>https://lh5.googleusercontent.com/d/18Uao6Nrkm5yNoy4FEVr1NoVEKySVFIbE</v>
      </c>
      <c r="O528" s="14" t="str">
        <f>IFERROR(__xludf.DUMMYFUNCTION("""COMPUTED_VALUE"""),"https://drive.google.com/file/d/1iqNElQ4NDZEbeESYhraTlN3GuuWQcbAL/view?usp=drivesdk")</f>
        <v>https://drive.google.com/file/d/1iqNElQ4NDZEbeESYhraTlN3GuuWQcbAL/view?usp=drivesdk</v>
      </c>
    </row>
    <row r="529">
      <c r="A529" s="3">
        <f>IFERROR(__xludf.DUMMYFUNCTION("""COMPUTED_VALUE"""),2274.0)</f>
        <v>2274</v>
      </c>
      <c r="B529" s="11">
        <f>IFERROR(__xludf.DUMMYFUNCTION("""COMPUTED_VALUE"""),46167.62326020833)</f>
        <v>46167.62326</v>
      </c>
      <c r="C529" s="3" t="str">
        <f>IFERROR(__xludf.DUMMYFUNCTION("""COMPUTED_VALUE"""),"ชั้นปีที่ 2")</f>
        <v>ชั้นปีที่ 2</v>
      </c>
      <c r="D529" s="3" t="str">
        <f>IFERROR(__xludf.DUMMYFUNCTION("""COMPUTED_VALUE"""),"6703869")</f>
        <v>6703869</v>
      </c>
      <c r="E529" s="3" t="str">
        <f>IFERROR(__xludf.DUMMYFUNCTION("""COMPUTED_VALUE"""),"50")</f>
        <v>50</v>
      </c>
      <c r="F529" s="3" t="str">
        <f>IFERROR(__xludf.DUMMYFUNCTION("""COMPUTED_VALUE"""),"นพอ.วิภาวี กลั่นเมฆ")</f>
        <v>นพอ.วิภาวี กลั่นเมฆ</v>
      </c>
      <c r="G52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9" s="3" t="str">
        <f>IFERROR(__xludf.DUMMYFUNCTION("""COMPUTED_VALUE"""),"ค่ทยเยาวชนพัฒนา ครั้งที่ 215")</f>
        <v>ค่ทยเยาวชนพัฒนา ครั้งที่ 215</v>
      </c>
      <c r="I529" s="3" t="str">
        <f>IFERROR(__xludf.DUMMYFUNCTION("""COMPUTED_VALUE"""),"วัดสามบัณฑิต จ.อยุธยา")</f>
        <v>วัดสามบัณฑิต จ.อยุธยา</v>
      </c>
      <c r="J529" s="12">
        <f>IFERROR(__xludf.DUMMYFUNCTION("""COMPUTED_VALUE"""),46137.0)</f>
        <v>46137</v>
      </c>
      <c r="K529" s="3" t="str">
        <f>IFERROR(__xludf.DUMMYFUNCTION("""COMPUTED_VALUE"""),"0800-1600")</f>
        <v>0800-1600</v>
      </c>
      <c r="L529" s="3">
        <f>IFERROR(__xludf.DUMMYFUNCTION("""COMPUTED_VALUE"""),8.0)</f>
        <v>8</v>
      </c>
      <c r="M52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29" s="14" t="str">
        <f>IFERROR(__xludf.DUMMYFUNCTION("""COMPUTED_VALUE"""),"https://lh5.googleusercontent.com/d/1YWz3dl-nw8pciokeXL00woOoow0gwUvs")</f>
        <v>https://lh5.googleusercontent.com/d/1YWz3dl-nw8pciokeXL00woOoow0gwUvs</v>
      </c>
      <c r="O529" s="14" t="str">
        <f>IFERROR(__xludf.DUMMYFUNCTION("""COMPUTED_VALUE"""),"https://drive.google.com/file/d/14cb0TaHSoElJqW9MyLHr4O83en0YJfOs/view?usp=drivesdk")</f>
        <v>https://drive.google.com/file/d/14cb0TaHSoElJqW9MyLHr4O83en0YJfOs/view?usp=drivesdk</v>
      </c>
    </row>
    <row r="530">
      <c r="A530" s="3">
        <f>IFERROR(__xludf.DUMMYFUNCTION("""COMPUTED_VALUE"""),2275.0)</f>
        <v>2275</v>
      </c>
      <c r="B530" s="11">
        <f>IFERROR(__xludf.DUMMYFUNCTION("""COMPUTED_VALUE"""),46167.62426703704)</f>
        <v>46167.62427</v>
      </c>
      <c r="C530" s="3" t="str">
        <f>IFERROR(__xludf.DUMMYFUNCTION("""COMPUTED_VALUE"""),"ชั้นปีที่ 2")</f>
        <v>ชั้นปีที่ 2</v>
      </c>
      <c r="D530" s="3" t="str">
        <f>IFERROR(__xludf.DUMMYFUNCTION("""COMPUTED_VALUE"""),"6703869")</f>
        <v>6703869</v>
      </c>
      <c r="E530" s="3" t="str">
        <f>IFERROR(__xludf.DUMMYFUNCTION("""COMPUTED_VALUE"""),"50")</f>
        <v>50</v>
      </c>
      <c r="F530" s="3" t="str">
        <f>IFERROR(__xludf.DUMMYFUNCTION("""COMPUTED_VALUE"""),"นพอ.วิภาวี กลั่นเมฆ")</f>
        <v>นพอ.วิภาวี กลั่นเมฆ</v>
      </c>
      <c r="G53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0" s="3" t="str">
        <f>IFERROR(__xludf.DUMMYFUNCTION("""COMPUTED_VALUE"""),"ค่ายเยาวชนพัฒนาครั้งที่ 215")</f>
        <v>ค่ายเยาวชนพัฒนาครั้งที่ 215</v>
      </c>
      <c r="I530" s="3" t="str">
        <f>IFERROR(__xludf.DUMMYFUNCTION("""COMPUTED_VALUE"""),"วัดสามบัณฑิต จ.อยุธยา")</f>
        <v>วัดสามบัณฑิต จ.อยุธยา</v>
      </c>
      <c r="J530" s="12">
        <f>IFERROR(__xludf.DUMMYFUNCTION("""COMPUTED_VALUE"""),46138.0)</f>
        <v>46138</v>
      </c>
      <c r="K530" s="3" t="str">
        <f>IFERROR(__xludf.DUMMYFUNCTION("""COMPUTED_VALUE"""),"0800-1600")</f>
        <v>0800-1600</v>
      </c>
      <c r="L530" s="3">
        <f>IFERROR(__xludf.DUMMYFUNCTION("""COMPUTED_VALUE"""),8.0)</f>
        <v>8</v>
      </c>
      <c r="M53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0" s="14" t="str">
        <f>IFERROR(__xludf.DUMMYFUNCTION("""COMPUTED_VALUE"""),"https://lh5.googleusercontent.com/d/1WskCqSBALPgwKi6wN9GOrV5fa7FEgdil")</f>
        <v>https://lh5.googleusercontent.com/d/1WskCqSBALPgwKi6wN9GOrV5fa7FEgdil</v>
      </c>
      <c r="O530" s="14" t="str">
        <f>IFERROR(__xludf.DUMMYFUNCTION("""COMPUTED_VALUE"""),"https://drive.google.com/file/d/17X3Wy3PCVEV0cQpJSbv4CV75NftvUAOp/view?usp=drivesdk")</f>
        <v>https://drive.google.com/file/d/17X3Wy3PCVEV0cQpJSbv4CV75NftvUAOp/view?usp=drivesdk</v>
      </c>
    </row>
    <row r="531">
      <c r="A531" s="3">
        <f>IFERROR(__xludf.DUMMYFUNCTION("""COMPUTED_VALUE"""),2288.0)</f>
        <v>2288</v>
      </c>
      <c r="B531" s="11">
        <f>IFERROR(__xludf.DUMMYFUNCTION("""COMPUTED_VALUE"""),46168.440199143515)</f>
        <v>46168.4402</v>
      </c>
      <c r="C531" s="3" t="str">
        <f>IFERROR(__xludf.DUMMYFUNCTION("""COMPUTED_VALUE"""),"ชั้นปีที่ 2")</f>
        <v>ชั้นปีที่ 2</v>
      </c>
      <c r="D531" s="3" t="str">
        <f>IFERROR(__xludf.DUMMYFUNCTION("""COMPUTED_VALUE"""),"6703836")</f>
        <v>6703836</v>
      </c>
      <c r="E531" s="3" t="str">
        <f>IFERROR(__xludf.DUMMYFUNCTION("""COMPUTED_VALUE"""),"19")</f>
        <v>19</v>
      </c>
      <c r="F531" s="3" t="str">
        <f>IFERROR(__xludf.DUMMYFUNCTION("""COMPUTED_VALUE"""),"นพอ.ณัฐธิดา จันทร์อนันต์")</f>
        <v>นพอ.ณัฐธิดา จันทร์อนันต์</v>
      </c>
      <c r="G5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1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531" s="3" t="str">
        <f>IFERROR(__xludf.DUMMYFUNCTION("""COMPUTED_VALUE"""),"กองบิน 6")</f>
        <v>กองบิน 6</v>
      </c>
      <c r="J531" s="12">
        <f>IFERROR(__xludf.DUMMYFUNCTION("""COMPUTED_VALUE"""),46032.0)</f>
        <v>46032</v>
      </c>
      <c r="K531" s="3" t="str">
        <f>IFERROR(__xludf.DUMMYFUNCTION("""COMPUTED_VALUE"""),"0700-1400")</f>
        <v>0700-1400</v>
      </c>
      <c r="L531" s="3">
        <f>IFERROR(__xludf.DUMMYFUNCTION("""COMPUTED_VALUE"""),8.0)</f>
        <v>8</v>
      </c>
      <c r="M53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1" s="14" t="str">
        <f>IFERROR(__xludf.DUMMYFUNCTION("""COMPUTED_VALUE"""),"https://lh5.googleusercontent.com/d/1oxAbLc_mZufunVRyXhny-s4vuMubIW1a")</f>
        <v>https://lh5.googleusercontent.com/d/1oxAbLc_mZufunVRyXhny-s4vuMubIW1a</v>
      </c>
      <c r="O531" s="14" t="str">
        <f>IFERROR(__xludf.DUMMYFUNCTION("""COMPUTED_VALUE"""),"https://drive.google.com/file/d/1CcM7cejAOO8j7WBsHy_n5y5wRpA4KYuT/view?usp=drivesdk")</f>
        <v>https://drive.google.com/file/d/1CcM7cejAOO8j7WBsHy_n5y5wRpA4KYuT/view?usp=drivesdk</v>
      </c>
    </row>
    <row r="532">
      <c r="A532" s="3">
        <f>IFERROR(__xludf.DUMMYFUNCTION("""COMPUTED_VALUE"""),2290.0)</f>
        <v>2290</v>
      </c>
      <c r="B532" s="11">
        <f>IFERROR(__xludf.DUMMYFUNCTION("""COMPUTED_VALUE"""),46168.44374607639)</f>
        <v>46168.44375</v>
      </c>
      <c r="C532" s="3" t="str">
        <f>IFERROR(__xludf.DUMMYFUNCTION("""COMPUTED_VALUE"""),"ชั้นปีที่ 2")</f>
        <v>ชั้นปีที่ 2</v>
      </c>
      <c r="D532" s="3" t="str">
        <f>IFERROR(__xludf.DUMMYFUNCTION("""COMPUTED_VALUE"""),"6703836")</f>
        <v>6703836</v>
      </c>
      <c r="E532" s="3" t="str">
        <f>IFERROR(__xludf.DUMMYFUNCTION("""COMPUTED_VALUE"""),"19")</f>
        <v>19</v>
      </c>
      <c r="F532" s="3" t="str">
        <f>IFERROR(__xludf.DUMMYFUNCTION("""COMPUTED_VALUE"""),"นพอ.ณัฐธิดา จันทร์อนันต์")</f>
        <v>นพอ.ณัฐธิดา จันทร์อนันต์</v>
      </c>
      <c r="G5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2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32" s="3" t="str">
        <f>IFERROR(__xludf.DUMMYFUNCTION("""COMPUTED_VALUE"""),"สนามกีฬาธูปะเตมีย์")</f>
        <v>สนามกีฬาธูปะเตมีย์</v>
      </c>
      <c r="J532" s="12">
        <f>IFERROR(__xludf.DUMMYFUNCTION("""COMPUTED_VALUE"""),46078.0)</f>
        <v>46078</v>
      </c>
      <c r="K532" s="3" t="str">
        <f>IFERROR(__xludf.DUMMYFUNCTION("""COMPUTED_VALUE"""),"1200 - 2000")</f>
        <v>1200 - 2000</v>
      </c>
      <c r="L532" s="3">
        <f>IFERROR(__xludf.DUMMYFUNCTION("""COMPUTED_VALUE"""),8.0)</f>
        <v>8</v>
      </c>
      <c r="M53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2" s="14" t="str">
        <f>IFERROR(__xludf.DUMMYFUNCTION("""COMPUTED_VALUE"""),"https://lh5.googleusercontent.com/d/1H3b2JqYPrCDZnzFi7Gb2lWYXeEYK8DNQ")</f>
        <v>https://lh5.googleusercontent.com/d/1H3b2JqYPrCDZnzFi7Gb2lWYXeEYK8DNQ</v>
      </c>
      <c r="O532" s="14" t="str">
        <f>IFERROR(__xludf.DUMMYFUNCTION("""COMPUTED_VALUE"""),"https://drive.google.com/file/d/15LuU8bu9NuJaBtGUn91oiKWdlP9XjQ6P/view?usp=drivesdk")</f>
        <v>https://drive.google.com/file/d/15LuU8bu9NuJaBtGUn91oiKWdlP9XjQ6P/view?usp=drivesdk</v>
      </c>
    </row>
    <row r="533">
      <c r="A533" s="3">
        <f>IFERROR(__xludf.DUMMYFUNCTION("""COMPUTED_VALUE"""),2291.0)</f>
        <v>2291</v>
      </c>
      <c r="B533" s="11">
        <f>IFERROR(__xludf.DUMMYFUNCTION("""COMPUTED_VALUE"""),46168.44761239583)</f>
        <v>46168.44761</v>
      </c>
      <c r="C533" s="3" t="str">
        <f>IFERROR(__xludf.DUMMYFUNCTION("""COMPUTED_VALUE"""),"ชั้นปีที่ 2")</f>
        <v>ชั้นปีที่ 2</v>
      </c>
      <c r="D533" s="3" t="str">
        <f>IFERROR(__xludf.DUMMYFUNCTION("""COMPUTED_VALUE"""),"6703836")</f>
        <v>6703836</v>
      </c>
      <c r="E533" s="3" t="str">
        <f>IFERROR(__xludf.DUMMYFUNCTION("""COMPUTED_VALUE"""),"19")</f>
        <v>19</v>
      </c>
      <c r="F533" s="3" t="str">
        <f>IFERROR(__xludf.DUMMYFUNCTION("""COMPUTED_VALUE"""),"นพอ.ณัฐธิดา จันทร์อนันต์")</f>
        <v>นพอ.ณัฐธิดา จันทร์อนันต์</v>
      </c>
      <c r="G533" s="3" t="str">
        <f>IFERROR(__xludf.DUMMYFUNCTION("""COMPUTED_VALUE"""),"ช่วยเหลืองานภายใน วพอ.")</f>
        <v>ช่วยเหลืองานภายใน วพอ.</v>
      </c>
      <c r="H533" s="3" t="str">
        <f>IFERROR(__xludf.DUMMYFUNCTION("""COMPUTED_VALUE"""),"เก็บสถานที่สอนคัดเลือกนพอ.69")</f>
        <v>เก็บสถานที่สอนคัดเลือกนพอ.69</v>
      </c>
      <c r="I533" s="3" t="str">
        <f>IFERROR(__xludf.DUMMYFUNCTION("""COMPUTED_VALUE"""),"อาคารสำนักงานชั้น4")</f>
        <v>อาคารสำนักงานชั้น4</v>
      </c>
      <c r="J533" s="12">
        <f>IFERROR(__xludf.DUMMYFUNCTION("""COMPUTED_VALUE"""),46147.0)</f>
        <v>46147</v>
      </c>
      <c r="K533" s="3" t="str">
        <f>IFERROR(__xludf.DUMMYFUNCTION("""COMPUTED_VALUE"""),"1500 - 1800")</f>
        <v>1500 - 1800</v>
      </c>
      <c r="L533" s="3">
        <f>IFERROR(__xludf.DUMMYFUNCTION("""COMPUTED_VALUE"""),3.0)</f>
        <v>3</v>
      </c>
      <c r="M533" s="3" t="str">
        <f>IFERROR(__xludf.DUMMYFUNCTION("""COMPUTED_VALUE"""),"น.ต.ศักชัย บุญประสิทธิ์")</f>
        <v>น.ต.ศักชัย บุญประสิทธิ์</v>
      </c>
      <c r="N533" s="14" t="str">
        <f>IFERROR(__xludf.DUMMYFUNCTION("""COMPUTED_VALUE"""),"https://lh5.googleusercontent.com/d/1I0CyJDMKnqlsBRvk1jATV9F3LCqiwHux")</f>
        <v>https://lh5.googleusercontent.com/d/1I0CyJDMKnqlsBRvk1jATV9F3LCqiwHux</v>
      </c>
      <c r="O533" s="14" t="str">
        <f>IFERROR(__xludf.DUMMYFUNCTION("""COMPUTED_VALUE"""),"https://drive.google.com/file/d/1fhvfeOv3yWEe2VjXtZ9sjS37I5BeIp3N/view?usp=drivesdk")</f>
        <v>https://drive.google.com/file/d/1fhvfeOv3yWEe2VjXtZ9sjS37I5BeIp3N/view?usp=drivesdk</v>
      </c>
    </row>
    <row r="534">
      <c r="A534" s="3">
        <f>IFERROR(__xludf.DUMMYFUNCTION("""COMPUTED_VALUE"""),2294.0)</f>
        <v>2294</v>
      </c>
      <c r="B534" s="11">
        <f>IFERROR(__xludf.DUMMYFUNCTION("""COMPUTED_VALUE"""),46168.50412045139)</f>
        <v>46168.50412</v>
      </c>
      <c r="C534" s="3" t="str">
        <f>IFERROR(__xludf.DUMMYFUNCTION("""COMPUTED_VALUE"""),"ชั้นปีที่ 2")</f>
        <v>ชั้นปีที่ 2</v>
      </c>
      <c r="D534" s="3" t="str">
        <f>IFERROR(__xludf.DUMMYFUNCTION("""COMPUTED_VALUE"""),"6703841")</f>
        <v>6703841</v>
      </c>
      <c r="E534" s="3" t="str">
        <f>IFERROR(__xludf.DUMMYFUNCTION("""COMPUTED_VALUE"""),"23")</f>
        <v>23</v>
      </c>
      <c r="F534" s="3" t="str">
        <f>IFERROR(__xludf.DUMMYFUNCTION("""COMPUTED_VALUE"""),"นพอ.ธนภูมิ กระจ่างจาย")</f>
        <v>นพอ.ธนภูมิ กระจ่างจาย</v>
      </c>
      <c r="G5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4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34" s="3" t="str">
        <f>IFERROR(__xludf.DUMMYFUNCTION("""COMPUTED_VALUE"""),"สนามกีฬากองทัพอากาศ")</f>
        <v>สนามกีฬากองทัพอากาศ</v>
      </c>
      <c r="J534" s="12">
        <f>IFERROR(__xludf.DUMMYFUNCTION("""COMPUTED_VALUE"""),46078.0)</f>
        <v>46078</v>
      </c>
      <c r="K534" s="3" t="str">
        <f>IFERROR(__xludf.DUMMYFUNCTION("""COMPUTED_VALUE"""),"1200-2000")</f>
        <v>1200-2000</v>
      </c>
      <c r="L534" s="3">
        <f>IFERROR(__xludf.DUMMYFUNCTION("""COMPUTED_VALUE"""),8.0)</f>
        <v>8</v>
      </c>
      <c r="M534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534" s="14" t="str">
        <f>IFERROR(__xludf.DUMMYFUNCTION("""COMPUTED_VALUE"""),"https://lh5.googleusercontent.com/d/1MDHHyiFmZXKnzz78YYL1aBGsizrMH3H8")</f>
        <v>https://lh5.googleusercontent.com/d/1MDHHyiFmZXKnzz78YYL1aBGsizrMH3H8</v>
      </c>
      <c r="O534" s="14" t="str">
        <f>IFERROR(__xludf.DUMMYFUNCTION("""COMPUTED_VALUE"""),"https://drive.google.com/file/d/1qzkmbRpfz1fmaUqDm5AX0YGHa__td0Qh/view?usp=drivesdk")</f>
        <v>https://drive.google.com/file/d/1qzkmbRpfz1fmaUqDm5AX0YGHa__td0Qh/view?usp=drivesdk</v>
      </c>
    </row>
    <row r="535">
      <c r="A535" s="3">
        <f>IFERROR(__xludf.DUMMYFUNCTION("""COMPUTED_VALUE"""),2295.0)</f>
        <v>2295</v>
      </c>
      <c r="B535" s="11">
        <f>IFERROR(__xludf.DUMMYFUNCTION("""COMPUTED_VALUE"""),46168.5055250463)</f>
        <v>46168.50553</v>
      </c>
      <c r="C535" s="3" t="str">
        <f>IFERROR(__xludf.DUMMYFUNCTION("""COMPUTED_VALUE"""),"ชั้นปีที่ 2")</f>
        <v>ชั้นปีที่ 2</v>
      </c>
      <c r="D535" s="3" t="str">
        <f>IFERROR(__xludf.DUMMYFUNCTION("""COMPUTED_VALUE"""),"6703839")</f>
        <v>6703839</v>
      </c>
      <c r="E535" s="3" t="str">
        <f>IFERROR(__xludf.DUMMYFUNCTION("""COMPUTED_VALUE"""),"22")</f>
        <v>22</v>
      </c>
      <c r="F535" s="3" t="str">
        <f>IFERROR(__xludf.DUMMYFUNCTION("""COMPUTED_VALUE"""),"นพอ.ณัฐวรรณ เคนสุวรรณ")</f>
        <v>นพอ.ณัฐวรรณ เคนสุวรรณ</v>
      </c>
      <c r="G535" s="3" t="str">
        <f>IFERROR(__xludf.DUMMYFUNCTION("""COMPUTED_VALUE"""),"ช่วยเหลืองานภายใน วพอ.")</f>
        <v>ช่วยเหลืองานภายใน วพอ.</v>
      </c>
      <c r="H535" s="3" t="str">
        <f>IFERROR(__xludf.DUMMYFUNCTION("""COMPUTED_VALUE"""),"ทดสอบสมรรถภาพร่างกาย นพอ.69 ")</f>
        <v>ทดสอบสมรรถภาพร่างกาย นพอ.69 </v>
      </c>
      <c r="I535" s="3" t="str">
        <f>IFERROR(__xludf.DUMMYFUNCTION("""COMPUTED_VALUE"""),"สนามกีฬาจันทรุเบกษา")</f>
        <v>สนามกีฬาจันทรุเบกษา</v>
      </c>
      <c r="J535" s="12">
        <f>IFERROR(__xludf.DUMMYFUNCTION("""COMPUTED_VALUE"""),46147.0)</f>
        <v>46147</v>
      </c>
      <c r="K535" s="3" t="str">
        <f>IFERROR(__xludf.DUMMYFUNCTION("""COMPUTED_VALUE"""),"1600-1900")</f>
        <v>1600-1900</v>
      </c>
      <c r="L535" s="3">
        <f>IFERROR(__xludf.DUMMYFUNCTION("""COMPUTED_VALUE"""),3.0)</f>
        <v>3</v>
      </c>
      <c r="M535" s="3" t="str">
        <f>IFERROR(__xludf.DUMMYFUNCTION("""COMPUTED_VALUE"""),"น.ต.ศักชัย บุญประสิทธิ์")</f>
        <v>น.ต.ศักชัย บุญประสิทธิ์</v>
      </c>
      <c r="N535" s="14" t="str">
        <f>IFERROR(__xludf.DUMMYFUNCTION("""COMPUTED_VALUE"""),"https://lh5.googleusercontent.com/d/1jP7PHb_ae4NlQ1WmpIqnQrpmBvnbsI5G")</f>
        <v>https://lh5.googleusercontent.com/d/1jP7PHb_ae4NlQ1WmpIqnQrpmBvnbsI5G</v>
      </c>
      <c r="O535" s="14" t="str">
        <f>IFERROR(__xludf.DUMMYFUNCTION("""COMPUTED_VALUE"""),"https://drive.google.com/file/d/11fKA91VjFMZunqAqkaM8ff7mvrJPTqHp/view?usp=drivesdk")</f>
        <v>https://drive.google.com/file/d/11fKA91VjFMZunqAqkaM8ff7mvrJPTqHp/view?usp=drivesdk</v>
      </c>
    </row>
    <row r="536">
      <c r="A536" s="3">
        <f>IFERROR(__xludf.DUMMYFUNCTION("""COMPUTED_VALUE"""),2296.0)</f>
        <v>2296</v>
      </c>
      <c r="B536" s="11">
        <f>IFERROR(__xludf.DUMMYFUNCTION("""COMPUTED_VALUE"""),46168.5083340162)</f>
        <v>46168.50833</v>
      </c>
      <c r="C536" s="3" t="str">
        <f>IFERROR(__xludf.DUMMYFUNCTION("""COMPUTED_VALUE"""),"ชั้นปีที่ 2")</f>
        <v>ชั้นปีที่ 2</v>
      </c>
      <c r="D536" s="3" t="str">
        <f>IFERROR(__xludf.DUMMYFUNCTION("""COMPUTED_VALUE"""),"6703839")</f>
        <v>6703839</v>
      </c>
      <c r="E536" s="3" t="str">
        <f>IFERROR(__xludf.DUMMYFUNCTION("""COMPUTED_VALUE"""),"22")</f>
        <v>22</v>
      </c>
      <c r="F536" s="3" t="str">
        <f>IFERROR(__xludf.DUMMYFUNCTION("""COMPUTED_VALUE"""),"นพอ.ณัฐวรรณ เคนสุวรรณ")</f>
        <v>นพอ.ณัฐวรรณ เคนสุวรรณ</v>
      </c>
      <c r="G5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36" s="3" t="str">
        <f>IFERROR(__xludf.DUMMYFUNCTION("""COMPUTED_VALUE"""),"สนามกีฬากองทัพอากาศ ธูปะเตมีย์")</f>
        <v>สนามกีฬากองทัพอากาศ ธูปะเตมีย์</v>
      </c>
      <c r="J536" s="12">
        <f>IFERROR(__xludf.DUMMYFUNCTION("""COMPUTED_VALUE"""),46078.0)</f>
        <v>46078</v>
      </c>
      <c r="K536" s="3" t="str">
        <f>IFERROR(__xludf.DUMMYFUNCTION("""COMPUTED_VALUE"""),"1200-2000")</f>
        <v>1200-2000</v>
      </c>
      <c r="L536" s="3">
        <f>IFERROR(__xludf.DUMMYFUNCTION("""COMPUTED_VALUE"""),8.0)</f>
        <v>8</v>
      </c>
      <c r="M536" s="3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536" s="14" t="str">
        <f>IFERROR(__xludf.DUMMYFUNCTION("""COMPUTED_VALUE"""),"https://lh5.googleusercontent.com/d/1xObmFucL69gdJSQFQVOhD1qcmLBfCU1i")</f>
        <v>https://lh5.googleusercontent.com/d/1xObmFucL69gdJSQFQVOhD1qcmLBfCU1i</v>
      </c>
      <c r="O536" s="14" t="str">
        <f>IFERROR(__xludf.DUMMYFUNCTION("""COMPUTED_VALUE"""),"https://drive.google.com/file/d/1N-cOiSZmLjXzSTU90GcJwiMnHLJe3sjz/view?usp=drivesdk")</f>
        <v>https://drive.google.com/file/d/1N-cOiSZmLjXzSTU90GcJwiMnHLJe3sjz/view?usp=drivesdk</v>
      </c>
    </row>
    <row r="537">
      <c r="A537" s="3">
        <f>IFERROR(__xludf.DUMMYFUNCTION("""COMPUTED_VALUE"""),2297.0)</f>
        <v>2297</v>
      </c>
      <c r="B537" s="11">
        <f>IFERROR(__xludf.DUMMYFUNCTION("""COMPUTED_VALUE"""),46168.51050488426)</f>
        <v>46168.5105</v>
      </c>
      <c r="C537" s="3" t="str">
        <f>IFERROR(__xludf.DUMMYFUNCTION("""COMPUTED_VALUE"""),"ชั้นปีที่ 2")</f>
        <v>ชั้นปีที่ 2</v>
      </c>
      <c r="D537" s="3" t="str">
        <f>IFERROR(__xludf.DUMMYFUNCTION("""COMPUTED_VALUE"""),"6703841")</f>
        <v>6703841</v>
      </c>
      <c r="E537" s="3" t="str">
        <f>IFERROR(__xludf.DUMMYFUNCTION("""COMPUTED_VALUE"""),"23")</f>
        <v>23</v>
      </c>
      <c r="F537" s="3" t="str">
        <f>IFERROR(__xludf.DUMMYFUNCTION("""COMPUTED_VALUE"""),"นพอ.ธนภูมิ กระจ่างจาย")</f>
        <v>นพอ.ธนภูมิ กระจ่างจาย</v>
      </c>
      <c r="G537" s="3" t="str">
        <f>IFERROR(__xludf.DUMMYFUNCTION("""COMPUTED_VALUE"""),"ช่วยเหลืองานภายใน วพอ.")</f>
        <v>ช่วยเหลืองานภายใน วพอ.</v>
      </c>
      <c r="H537" s="3" t="str">
        <f>IFERROR(__xludf.DUMMYFUNCTION("""COMPUTED_VALUE"""),"ทดสอบสมรรถภาพร่างกาย นพอ.69")</f>
        <v>ทดสอบสมรรถภาพร่างกาย นพอ.69</v>
      </c>
      <c r="I537" s="3" t="str">
        <f>IFERROR(__xludf.DUMMYFUNCTION("""COMPUTED_VALUE"""),"สนามกีฬาจันทรุเบกษา")</f>
        <v>สนามกีฬาจันทรุเบกษา</v>
      </c>
      <c r="J537" s="12">
        <f>IFERROR(__xludf.DUMMYFUNCTION("""COMPUTED_VALUE"""),46147.0)</f>
        <v>46147</v>
      </c>
      <c r="K537" s="3" t="str">
        <f>IFERROR(__xludf.DUMMYFUNCTION("""COMPUTED_VALUE"""),"1600-1900")</f>
        <v>1600-1900</v>
      </c>
      <c r="L537" s="3">
        <f>IFERROR(__xludf.DUMMYFUNCTION("""COMPUTED_VALUE"""),3.0)</f>
        <v>3</v>
      </c>
      <c r="M537" s="3" t="str">
        <f>IFERROR(__xludf.DUMMYFUNCTION("""COMPUTED_VALUE"""),"น.ต.ศักชัย บุญประสิทธิ์")</f>
        <v>น.ต.ศักชัย บุญประสิทธิ์</v>
      </c>
      <c r="N537" s="14" t="str">
        <f>IFERROR(__xludf.DUMMYFUNCTION("""COMPUTED_VALUE"""),"https://lh5.googleusercontent.com/d/1ezxcegwsds2dCEvgGGnysTlA5HWkZI8v")</f>
        <v>https://lh5.googleusercontent.com/d/1ezxcegwsds2dCEvgGGnysTlA5HWkZI8v</v>
      </c>
      <c r="O537" s="14" t="str">
        <f>IFERROR(__xludf.DUMMYFUNCTION("""COMPUTED_VALUE"""),"https://drive.google.com/file/d/1GnsCxQc7wIRxyDyjkjEg-MZ4X4pITufE/view?usp=drivesdk")</f>
        <v>https://drive.google.com/file/d/1GnsCxQc7wIRxyDyjkjEg-MZ4X4pITufE/view?usp=drivesdk</v>
      </c>
    </row>
    <row r="538">
      <c r="A538" s="3">
        <f>IFERROR(__xludf.DUMMYFUNCTION("""COMPUTED_VALUE"""),2298.0)</f>
        <v>2298</v>
      </c>
      <c r="B538" s="11">
        <f>IFERROR(__xludf.DUMMYFUNCTION("""COMPUTED_VALUE"""),46168.51169103009)</f>
        <v>46168.51169</v>
      </c>
      <c r="C538" s="3" t="str">
        <f>IFERROR(__xludf.DUMMYFUNCTION("""COMPUTED_VALUE"""),"ชั้นปีที่ 2")</f>
        <v>ชั้นปีที่ 2</v>
      </c>
      <c r="D538" s="3" t="str">
        <f>IFERROR(__xludf.DUMMYFUNCTION("""COMPUTED_VALUE"""),"6703839")</f>
        <v>6703839</v>
      </c>
      <c r="E538" s="3" t="str">
        <f>IFERROR(__xludf.DUMMYFUNCTION("""COMPUTED_VALUE"""),"22")</f>
        <v>22</v>
      </c>
      <c r="F538" s="3" t="str">
        <f>IFERROR(__xludf.DUMMYFUNCTION("""COMPUTED_VALUE"""),"นพอ.ณัฐวรรณ เคนสุวรรณ")</f>
        <v>นพอ.ณัฐวรรณ เคนสุวรรณ</v>
      </c>
      <c r="G53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8" s="3" t="str">
        <f>IFERROR(__xludf.DUMMYFUNCTION("""COMPUTED_VALUE"""),"ค่ายเยาวชนพัฒนา ครั้งที่ 215")</f>
        <v>ค่ายเยาวชนพัฒนา ครั้งที่ 215</v>
      </c>
      <c r="I538" s="3" t="str">
        <f>IFERROR(__xludf.DUMMYFUNCTION("""COMPUTED_VALUE"""),"วัดสามบัณฑิต จ.อยุธยา")</f>
        <v>วัดสามบัณฑิต จ.อยุธยา</v>
      </c>
      <c r="J538" s="12">
        <f>IFERROR(__xludf.DUMMYFUNCTION("""COMPUTED_VALUE"""),46136.0)</f>
        <v>46136</v>
      </c>
      <c r="K538" s="3" t="str">
        <f>IFERROR(__xludf.DUMMYFUNCTION("""COMPUTED_VALUE"""),"1600-2400")</f>
        <v>1600-2400</v>
      </c>
      <c r="L538" s="3">
        <f>IFERROR(__xludf.DUMMYFUNCTION("""COMPUTED_VALUE"""),8.0)</f>
        <v>8</v>
      </c>
      <c r="M53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8" s="14" t="str">
        <f>IFERROR(__xludf.DUMMYFUNCTION("""COMPUTED_VALUE"""),"https://lh5.googleusercontent.com/d/1kSwWIJQmxCmMXYkfqWXRr3ok1Sod9UXD")</f>
        <v>https://lh5.googleusercontent.com/d/1kSwWIJQmxCmMXYkfqWXRr3ok1Sod9UXD</v>
      </c>
      <c r="O538" s="14" t="str">
        <f>IFERROR(__xludf.DUMMYFUNCTION("""COMPUTED_VALUE"""),"https://drive.google.com/file/d/1YAJ_W-ym_nItg9y_zdsAdfcngpAnNsa8/view?usp=drivesdk")</f>
        <v>https://drive.google.com/file/d/1YAJ_W-ym_nItg9y_zdsAdfcngpAnNsa8/view?usp=drivesdk</v>
      </c>
    </row>
    <row r="539">
      <c r="A539" s="3">
        <f>IFERROR(__xludf.DUMMYFUNCTION("""COMPUTED_VALUE"""),2299.0)</f>
        <v>2299</v>
      </c>
      <c r="B539" s="11">
        <f>IFERROR(__xludf.DUMMYFUNCTION("""COMPUTED_VALUE"""),46168.513596215285)</f>
        <v>46168.5136</v>
      </c>
      <c r="C539" s="3" t="str">
        <f>IFERROR(__xludf.DUMMYFUNCTION("""COMPUTED_VALUE"""),"ชั้นปีที่ 2")</f>
        <v>ชั้นปีที่ 2</v>
      </c>
      <c r="D539" s="3" t="str">
        <f>IFERROR(__xludf.DUMMYFUNCTION("""COMPUTED_VALUE"""),"6703839")</f>
        <v>6703839</v>
      </c>
      <c r="E539" s="3" t="str">
        <f>IFERROR(__xludf.DUMMYFUNCTION("""COMPUTED_VALUE"""),"22")</f>
        <v>22</v>
      </c>
      <c r="F539" s="3" t="str">
        <f>IFERROR(__xludf.DUMMYFUNCTION("""COMPUTED_VALUE"""),"นพอ.ณัฐวรรณ เคนสุวรรณ")</f>
        <v>นพอ.ณัฐวรรณ เคนสุวรรณ</v>
      </c>
      <c r="G5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9" s="3" t="str">
        <f>IFERROR(__xludf.DUMMYFUNCTION("""COMPUTED_VALUE"""),"ค่ายเยาวชนพัฒนา ครั้งที่ 215")</f>
        <v>ค่ายเยาวชนพัฒนา ครั้งที่ 215</v>
      </c>
      <c r="I539" s="3" t="str">
        <f>IFERROR(__xludf.DUMMYFUNCTION("""COMPUTED_VALUE"""),"วัดสามบัณฑิต จ.อยุธยา")</f>
        <v>วัดสามบัณฑิต จ.อยุธยา</v>
      </c>
      <c r="J539" s="12">
        <f>IFERROR(__xludf.DUMMYFUNCTION("""COMPUTED_VALUE"""),46137.0)</f>
        <v>46137</v>
      </c>
      <c r="K539" s="3" t="str">
        <f>IFERROR(__xludf.DUMMYFUNCTION("""COMPUTED_VALUE"""),"0800-1600")</f>
        <v>0800-1600</v>
      </c>
      <c r="L539" s="3">
        <f>IFERROR(__xludf.DUMMYFUNCTION("""COMPUTED_VALUE"""),8.0)</f>
        <v>8</v>
      </c>
      <c r="M53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39" s="14" t="str">
        <f>IFERROR(__xludf.DUMMYFUNCTION("""COMPUTED_VALUE"""),"https://lh5.googleusercontent.com/d/1klJX95m9dWqxy5PWW6ewUeJW9v9HHvAx")</f>
        <v>https://lh5.googleusercontent.com/d/1klJX95m9dWqxy5PWW6ewUeJW9v9HHvAx</v>
      </c>
      <c r="O539" s="14" t="str">
        <f>IFERROR(__xludf.DUMMYFUNCTION("""COMPUTED_VALUE"""),"https://drive.google.com/file/d/1JK2waOUiBxKXF-BnIqGm77C36bxcyVjG/view?usp=drivesdk")</f>
        <v>https://drive.google.com/file/d/1JK2waOUiBxKXF-BnIqGm77C36bxcyVjG/view?usp=drivesdk</v>
      </c>
    </row>
    <row r="540">
      <c r="A540" s="3">
        <f>IFERROR(__xludf.DUMMYFUNCTION("""COMPUTED_VALUE"""),2300.0)</f>
        <v>2300</v>
      </c>
      <c r="B540" s="11">
        <f>IFERROR(__xludf.DUMMYFUNCTION("""COMPUTED_VALUE"""),46168.51522335648)</f>
        <v>46168.51522</v>
      </c>
      <c r="C540" s="3" t="str">
        <f>IFERROR(__xludf.DUMMYFUNCTION("""COMPUTED_VALUE"""),"ชั้นปีที่ 2")</f>
        <v>ชั้นปีที่ 2</v>
      </c>
      <c r="D540" s="3" t="str">
        <f>IFERROR(__xludf.DUMMYFUNCTION("""COMPUTED_VALUE"""),"6703839")</f>
        <v>6703839</v>
      </c>
      <c r="E540" s="3" t="str">
        <f>IFERROR(__xludf.DUMMYFUNCTION("""COMPUTED_VALUE"""),"22")</f>
        <v>22</v>
      </c>
      <c r="F540" s="3" t="str">
        <f>IFERROR(__xludf.DUMMYFUNCTION("""COMPUTED_VALUE"""),"นพอ.ณัฐวรรณ เคนสุวรรณ")</f>
        <v>นพอ.ณัฐวรรณ เคนสุวรรณ</v>
      </c>
      <c r="G54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0" s="3" t="str">
        <f>IFERROR(__xludf.DUMMYFUNCTION("""COMPUTED_VALUE"""),"ค่ายเยาวชนพัฒนา ครั้งที่ 215")</f>
        <v>ค่ายเยาวชนพัฒนา ครั้งที่ 215</v>
      </c>
      <c r="I540" s="3" t="str">
        <f>IFERROR(__xludf.DUMMYFUNCTION("""COMPUTED_VALUE"""),"วัดสามบัณฑิต จ.อยุธยา")</f>
        <v>วัดสามบัณฑิต จ.อยุธยา</v>
      </c>
      <c r="J540" s="12">
        <f>IFERROR(__xludf.DUMMYFUNCTION("""COMPUTED_VALUE"""),46138.0)</f>
        <v>46138</v>
      </c>
      <c r="K540" s="3" t="str">
        <f>IFERROR(__xludf.DUMMYFUNCTION("""COMPUTED_VALUE"""),"0800-1600")</f>
        <v>0800-1600</v>
      </c>
      <c r="L540" s="3">
        <f>IFERROR(__xludf.DUMMYFUNCTION("""COMPUTED_VALUE"""),8.0)</f>
        <v>8</v>
      </c>
      <c r="M54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40" s="14" t="str">
        <f>IFERROR(__xludf.DUMMYFUNCTION("""COMPUTED_VALUE"""),"https://lh5.googleusercontent.com/d/1nyX3Cj96Mfa76OqTr1sepSiAOdxwRecC")</f>
        <v>https://lh5.googleusercontent.com/d/1nyX3Cj96Mfa76OqTr1sepSiAOdxwRecC</v>
      </c>
      <c r="O540" s="14" t="str">
        <f>IFERROR(__xludf.DUMMYFUNCTION("""COMPUTED_VALUE"""),"https://drive.google.com/file/d/1SWI1T4o4FS23VvXAbu3E-Zij9goCX6zr/view?usp=drivesdk")</f>
        <v>https://drive.google.com/file/d/1SWI1T4o4FS23VvXAbu3E-Zij9goCX6zr/view?usp=drivesdk</v>
      </c>
    </row>
    <row r="541">
      <c r="A541" s="3">
        <f>IFERROR(__xludf.DUMMYFUNCTION("""COMPUTED_VALUE"""),2305.0)</f>
        <v>2305</v>
      </c>
      <c r="B541" s="11">
        <f>IFERROR(__xludf.DUMMYFUNCTION("""COMPUTED_VALUE"""),46169.65080179398)</f>
        <v>46169.6508</v>
      </c>
      <c r="C541" s="3" t="str">
        <f>IFERROR(__xludf.DUMMYFUNCTION("""COMPUTED_VALUE"""),"ชั้นปีที่ 2")</f>
        <v>ชั้นปีที่ 2</v>
      </c>
      <c r="D541" s="3" t="str">
        <f>IFERROR(__xludf.DUMMYFUNCTION("""COMPUTED_VALUE"""),"6703819")</f>
        <v>6703819</v>
      </c>
      <c r="E541" s="3" t="str">
        <f>IFERROR(__xludf.DUMMYFUNCTION("""COMPUTED_VALUE"""),"2")</f>
        <v>2</v>
      </c>
      <c r="F541" s="3" t="str">
        <f>IFERROR(__xludf.DUMMYFUNCTION("""COMPUTED_VALUE"""),"นพอ.กรณิศ เกษแก้ว")</f>
        <v>นพอ.กรณิศ เกษแก้ว</v>
      </c>
      <c r="G54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1" s="3" t="str">
        <f>IFERROR(__xludf.DUMMYFUNCTION("""COMPUTED_VALUE"""),"พิธีเปิด-ปิดกีฬาสีภายในกองทัพอากาศ")</f>
        <v>พิธีเปิด-ปิดกีฬาสีภายในกองทัพอากาศ</v>
      </c>
      <c r="I541" s="3" t="str">
        <f>IFERROR(__xludf.DUMMYFUNCTION("""COMPUTED_VALUE"""),"สนามธูปะเตมีย์")</f>
        <v>สนามธูปะเตมีย์</v>
      </c>
      <c r="J541" s="12">
        <f>IFERROR(__xludf.DUMMYFUNCTION("""COMPUTED_VALUE"""),46078.0)</f>
        <v>46078</v>
      </c>
      <c r="K541" s="3" t="str">
        <f>IFERROR(__xludf.DUMMYFUNCTION("""COMPUTED_VALUE"""),"1200-2000")</f>
        <v>1200-2000</v>
      </c>
      <c r="L541" s="3">
        <f>IFERROR(__xludf.DUMMYFUNCTION("""COMPUTED_VALUE"""),8.0)</f>
        <v>8</v>
      </c>
      <c r="M54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41" s="14" t="str">
        <f>IFERROR(__xludf.DUMMYFUNCTION("""COMPUTED_VALUE"""),"https://lh5.googleusercontent.com/d/123ioYwLWEg5FgllWQ8-ZZ2cbmBKcdnoO")</f>
        <v>https://lh5.googleusercontent.com/d/123ioYwLWEg5FgllWQ8-ZZ2cbmBKcdnoO</v>
      </c>
      <c r="O541" s="14" t="str">
        <f>IFERROR(__xludf.DUMMYFUNCTION("""COMPUTED_VALUE"""),"https://drive.google.com/file/d/1svZMYzriqglNG7ZeLgJ_UMI_TFr3O7xr/view?usp=drivesdk")</f>
        <v>https://drive.google.com/file/d/1svZMYzriqglNG7ZeLgJ_UMI_TFr3O7xr/view?usp=drivesdk</v>
      </c>
    </row>
    <row r="542">
      <c r="A542" s="3">
        <f>IFERROR(__xludf.DUMMYFUNCTION("""COMPUTED_VALUE"""),2306.0)</f>
        <v>2306</v>
      </c>
      <c r="B542" s="11">
        <f>IFERROR(__xludf.DUMMYFUNCTION("""COMPUTED_VALUE"""),46169.653117905094)</f>
        <v>46169.65312</v>
      </c>
      <c r="C542" s="3" t="str">
        <f>IFERROR(__xludf.DUMMYFUNCTION("""COMPUTED_VALUE"""),"ชั้นปีที่ 2")</f>
        <v>ชั้นปีที่ 2</v>
      </c>
      <c r="D542" s="3" t="str">
        <f>IFERROR(__xludf.DUMMYFUNCTION("""COMPUTED_VALUE"""),"6703819")</f>
        <v>6703819</v>
      </c>
      <c r="E542" s="3" t="str">
        <f>IFERROR(__xludf.DUMMYFUNCTION("""COMPUTED_VALUE"""),"2")</f>
        <v>2</v>
      </c>
      <c r="F542" s="3" t="str">
        <f>IFERROR(__xludf.DUMMYFUNCTION("""COMPUTED_VALUE"""),"นพอ.กรณิศ เกษแก้ว")</f>
        <v>นพอ.กรณิศ เกษแก้ว</v>
      </c>
      <c r="G542" s="3" t="str">
        <f>IFERROR(__xludf.DUMMYFUNCTION("""COMPUTED_VALUE"""),"ช่วยเหลืองานภายใน วพอ.")</f>
        <v>ช่วยเหลืองานภายใน วพอ.</v>
      </c>
      <c r="H542" s="3" t="str">
        <f>IFERROR(__xludf.DUMMYFUNCTION("""COMPUTED_VALUE"""),"ทดสอบสมรรถภาพร่างกายนพอ.69")</f>
        <v>ทดสอบสมรรถภาพร่างกายนพอ.69</v>
      </c>
      <c r="I542" s="3" t="str">
        <f>IFERROR(__xludf.DUMMYFUNCTION("""COMPUTED_VALUE"""),"สนามจันทรุเบกษา")</f>
        <v>สนามจันทรุเบกษา</v>
      </c>
      <c r="J542" s="12">
        <f>IFERROR(__xludf.DUMMYFUNCTION("""COMPUTED_VALUE"""),46147.0)</f>
        <v>46147</v>
      </c>
      <c r="K542" s="3" t="str">
        <f>IFERROR(__xludf.DUMMYFUNCTION("""COMPUTED_VALUE"""),"1600-1900")</f>
        <v>1600-1900</v>
      </c>
      <c r="L542" s="3">
        <f>IFERROR(__xludf.DUMMYFUNCTION("""COMPUTED_VALUE"""),3.0)</f>
        <v>3</v>
      </c>
      <c r="M542" s="3" t="str">
        <f>IFERROR(__xludf.DUMMYFUNCTION("""COMPUTED_VALUE"""),"น.ต.ศักชัย บุญประสิทธิ์")</f>
        <v>น.ต.ศักชัย บุญประสิทธิ์</v>
      </c>
      <c r="N542" s="14" t="str">
        <f>IFERROR(__xludf.DUMMYFUNCTION("""COMPUTED_VALUE"""),"https://lh5.googleusercontent.com/d/1MMbs7ajgp6yMl_cA3E3UOzWAQJ5bpiVJ")</f>
        <v>https://lh5.googleusercontent.com/d/1MMbs7ajgp6yMl_cA3E3UOzWAQJ5bpiVJ</v>
      </c>
      <c r="O542" s="14" t="str">
        <f>IFERROR(__xludf.DUMMYFUNCTION("""COMPUTED_VALUE"""),"https://drive.google.com/file/d/1S5xgFjZ7H3o8AsNpIsX-QVAamBTlH-O2/view?usp=drivesdk")</f>
        <v>https://drive.google.com/file/d/1S5xgFjZ7H3o8AsNpIsX-QVAamBTlH-O2/view?usp=drivesdk</v>
      </c>
    </row>
    <row r="543">
      <c r="A543" s="3">
        <f>IFERROR(__xludf.DUMMYFUNCTION("""COMPUTED_VALUE"""),2307.0)</f>
        <v>2307</v>
      </c>
      <c r="B543" s="11">
        <f>IFERROR(__xludf.DUMMYFUNCTION("""COMPUTED_VALUE"""),46169.657998981485)</f>
        <v>46169.658</v>
      </c>
      <c r="C543" s="3" t="str">
        <f>IFERROR(__xludf.DUMMYFUNCTION("""COMPUTED_VALUE"""),"ชั้นปีที่ 2")</f>
        <v>ชั้นปีที่ 2</v>
      </c>
      <c r="D543" s="3" t="str">
        <f>IFERROR(__xludf.DUMMYFUNCTION("""COMPUTED_VALUE"""),"6703819")</f>
        <v>6703819</v>
      </c>
      <c r="E543" s="3" t="str">
        <f>IFERROR(__xludf.DUMMYFUNCTION("""COMPUTED_VALUE"""),"2")</f>
        <v>2</v>
      </c>
      <c r="F543" s="3" t="str">
        <f>IFERROR(__xludf.DUMMYFUNCTION("""COMPUTED_VALUE"""),"นพอ.กรณิศ เกษแก้ว")</f>
        <v>นพอ.กรณิศ เกษแก้ว</v>
      </c>
      <c r="G5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3" s="3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43" s="3" t="str">
        <f>IFERROR(__xludf.DUMMYFUNCTION("""COMPUTED_VALUE"""),"อาคารรณนภากาศ")</f>
        <v>อาคารรณนภากาศ</v>
      </c>
      <c r="J543" s="12">
        <f>IFERROR(__xludf.DUMMYFUNCTION("""COMPUTED_VALUE"""),46101.0)</f>
        <v>46101</v>
      </c>
      <c r="K543" s="3" t="str">
        <f>IFERROR(__xludf.DUMMYFUNCTION("""COMPUTED_VALUE"""),"1500-1700")</f>
        <v>1500-1700</v>
      </c>
      <c r="L543" s="3">
        <f>IFERROR(__xludf.DUMMYFUNCTION("""COMPUTED_VALUE"""),3.0)</f>
        <v>3</v>
      </c>
      <c r="M543" s="3" t="str">
        <f>IFERROR(__xludf.DUMMYFUNCTION("""COMPUTED_VALUE"""),"ร.อ.ขนัฏฐา นาดี")</f>
        <v>ร.อ.ขนัฏฐา นาดี</v>
      </c>
      <c r="N543" s="14" t="str">
        <f>IFERROR(__xludf.DUMMYFUNCTION("""COMPUTED_VALUE"""),"https://lh5.googleusercontent.com/d/1IOlFCZ3j2adKkql8WiPO-8Wu_JN5Bv5m")</f>
        <v>https://lh5.googleusercontent.com/d/1IOlFCZ3j2adKkql8WiPO-8Wu_JN5Bv5m</v>
      </c>
      <c r="O543" s="14" t="str">
        <f>IFERROR(__xludf.DUMMYFUNCTION("""COMPUTED_VALUE"""),"https://drive.google.com/file/d/1LoGmmUxqFQExnvA4ddNHjQliee6Xks5E/view?usp=drivesdk")</f>
        <v>https://drive.google.com/file/d/1LoGmmUxqFQExnvA4ddNHjQliee6Xks5E/view?usp=drivesdk</v>
      </c>
    </row>
    <row r="544">
      <c r="A544" s="3">
        <f>IFERROR(__xludf.DUMMYFUNCTION("""COMPUTED_VALUE"""),2308.0)</f>
        <v>2308</v>
      </c>
      <c r="B544" s="11">
        <f>IFERROR(__xludf.DUMMYFUNCTION("""COMPUTED_VALUE"""),46169.659306932874)</f>
        <v>46169.65931</v>
      </c>
      <c r="C544" s="3" t="str">
        <f>IFERROR(__xludf.DUMMYFUNCTION("""COMPUTED_VALUE"""),"ชั้นปีที่ 2")</f>
        <v>ชั้นปีที่ 2</v>
      </c>
      <c r="D544" s="3" t="str">
        <f>IFERROR(__xludf.DUMMYFUNCTION("""COMPUTED_VALUE"""),"6703819")</f>
        <v>6703819</v>
      </c>
      <c r="E544" s="3" t="str">
        <f>IFERROR(__xludf.DUMMYFUNCTION("""COMPUTED_VALUE"""),"2")</f>
        <v>2</v>
      </c>
      <c r="F544" s="3" t="str">
        <f>IFERROR(__xludf.DUMMYFUNCTION("""COMPUTED_VALUE"""),"นพอ.กรณิศ เกษแก้ว")</f>
        <v>นพอ.กรณิศ เกษแก้ว</v>
      </c>
      <c r="G5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4" s="3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44" s="3" t="str">
        <f>IFERROR(__xludf.DUMMYFUNCTION("""COMPUTED_VALUE"""),"อาคารรณนภากาศ")</f>
        <v>อาคารรณนภากาศ</v>
      </c>
      <c r="J544" s="12">
        <f>IFERROR(__xludf.DUMMYFUNCTION("""COMPUTED_VALUE"""),46108.0)</f>
        <v>46108</v>
      </c>
      <c r="K544" s="3" t="str">
        <f>IFERROR(__xludf.DUMMYFUNCTION("""COMPUTED_VALUE"""),"1500-1700")</f>
        <v>1500-1700</v>
      </c>
      <c r="L544" s="3">
        <f>IFERROR(__xludf.DUMMYFUNCTION("""COMPUTED_VALUE"""),3.0)</f>
        <v>3</v>
      </c>
      <c r="M544" s="3" t="str">
        <f>IFERROR(__xludf.DUMMYFUNCTION("""COMPUTED_VALUE"""),"ร.อ.หญิง ขนัฏฐา นาดี")</f>
        <v>ร.อ.หญิง ขนัฏฐา นาดี</v>
      </c>
      <c r="N544" s="14" t="str">
        <f>IFERROR(__xludf.DUMMYFUNCTION("""COMPUTED_VALUE"""),"https://lh5.googleusercontent.com/d/1g6lykO5qSnVUulvsYeeSwy6RZ6N2wICX")</f>
        <v>https://lh5.googleusercontent.com/d/1g6lykO5qSnVUulvsYeeSwy6RZ6N2wICX</v>
      </c>
      <c r="O544" s="14" t="str">
        <f>IFERROR(__xludf.DUMMYFUNCTION("""COMPUTED_VALUE"""),"https://drive.google.com/file/d/1mmuE3DVoH8hnTVcRTbJhMgcfscAFniAs/view?usp=drivesdk")</f>
        <v>https://drive.google.com/file/d/1mmuE3DVoH8hnTVcRTbJhMgcfscAFniAs/view?usp=drivesdk</v>
      </c>
    </row>
    <row r="545">
      <c r="A545" s="3">
        <f>IFERROR(__xludf.DUMMYFUNCTION("""COMPUTED_VALUE"""),2309.0)</f>
        <v>2309</v>
      </c>
      <c r="B545" s="11">
        <f>IFERROR(__xludf.DUMMYFUNCTION("""COMPUTED_VALUE"""),46169.66053179398)</f>
        <v>46169.66053</v>
      </c>
      <c r="C545" s="3" t="str">
        <f>IFERROR(__xludf.DUMMYFUNCTION("""COMPUTED_VALUE"""),"ชั้นปีที่ 2")</f>
        <v>ชั้นปีที่ 2</v>
      </c>
      <c r="D545" s="3" t="str">
        <f>IFERROR(__xludf.DUMMYFUNCTION("""COMPUTED_VALUE"""),"6703819")</f>
        <v>6703819</v>
      </c>
      <c r="E545" s="3" t="str">
        <f>IFERROR(__xludf.DUMMYFUNCTION("""COMPUTED_VALUE"""),"2")</f>
        <v>2</v>
      </c>
      <c r="F545" s="3" t="str">
        <f>IFERROR(__xludf.DUMMYFUNCTION("""COMPUTED_VALUE"""),"นพอ.กรณิศ เกษแก้ว")</f>
        <v>นพอ.กรณิศ เกษแก้ว</v>
      </c>
      <c r="G5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5" s="3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45" s="3" t="str">
        <f>IFERROR(__xludf.DUMMYFUNCTION("""COMPUTED_VALUE"""),"อาคารรณภากาศ")</f>
        <v>อาคารรณภากาศ</v>
      </c>
      <c r="J545" s="12">
        <f>IFERROR(__xludf.DUMMYFUNCTION("""COMPUTED_VALUE"""),46115.0)</f>
        <v>46115</v>
      </c>
      <c r="K545" s="3" t="str">
        <f>IFERROR(__xludf.DUMMYFUNCTION("""COMPUTED_VALUE"""),"1500-1700")</f>
        <v>1500-1700</v>
      </c>
      <c r="L545" s="3">
        <f>IFERROR(__xludf.DUMMYFUNCTION("""COMPUTED_VALUE"""),3.0)</f>
        <v>3</v>
      </c>
      <c r="M545" s="3" t="str">
        <f>IFERROR(__xludf.DUMMYFUNCTION("""COMPUTED_VALUE"""),"ร.อ.หญิง ขนัฏฐา นาดี")</f>
        <v>ร.อ.หญิง ขนัฏฐา นาดี</v>
      </c>
      <c r="N545" s="14" t="str">
        <f>IFERROR(__xludf.DUMMYFUNCTION("""COMPUTED_VALUE"""),"https://lh5.googleusercontent.com/d/1duFY4oW6T5F4MisL21mJKC-PnWmn7qyz")</f>
        <v>https://lh5.googleusercontent.com/d/1duFY4oW6T5F4MisL21mJKC-PnWmn7qyz</v>
      </c>
      <c r="O545" s="14" t="str">
        <f>IFERROR(__xludf.DUMMYFUNCTION("""COMPUTED_VALUE"""),"https://drive.google.com/file/d/1xIEmMPb8wd0Oe5Rrs-1ivkAPA_bC9dCZ/view?usp=drivesdk")</f>
        <v>https://drive.google.com/file/d/1xIEmMPb8wd0Oe5Rrs-1ivkAPA_bC9dCZ/view?usp=drivesdk</v>
      </c>
    </row>
    <row r="546">
      <c r="A546" s="3">
        <f>IFERROR(__xludf.DUMMYFUNCTION("""COMPUTED_VALUE"""),2310.0)</f>
        <v>2310</v>
      </c>
      <c r="B546" s="11">
        <f>IFERROR(__xludf.DUMMYFUNCTION("""COMPUTED_VALUE"""),46169.66067709491)</f>
        <v>46169.66068</v>
      </c>
      <c r="C546" s="3" t="str">
        <f>IFERROR(__xludf.DUMMYFUNCTION("""COMPUTED_VALUE"""),"ชั้นปีที่ 2")</f>
        <v>ชั้นปีที่ 2</v>
      </c>
      <c r="D546" s="3" t="str">
        <f>IFERROR(__xludf.DUMMYFUNCTION("""COMPUTED_VALUE"""),"6703869")</f>
        <v>6703869</v>
      </c>
      <c r="E546" s="3" t="str">
        <f>IFERROR(__xludf.DUMMYFUNCTION("""COMPUTED_VALUE"""),"50")</f>
        <v>50</v>
      </c>
      <c r="F546" s="3" t="str">
        <f>IFERROR(__xludf.DUMMYFUNCTION("""COMPUTED_VALUE"""),"นพอ.วิภาวี กลั่นเมฆ")</f>
        <v>นพอ.วิภาวี กลั่นเมฆ</v>
      </c>
      <c r="G5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6" s="3" t="str">
        <f>IFERROR(__xludf.DUMMYFUNCTION("""COMPUTED_VALUE"""),"ซ้อมเดินแบบเนื่องในวันกองทัพอากาศ 2569 ")</f>
        <v>ซ้อมเดินแบบเนื่องในวันกองทัพอากาศ 2569 </v>
      </c>
      <c r="I546" s="3" t="str">
        <f>IFERROR(__xludf.DUMMYFUNCTION("""COMPUTED_VALUE"""),"อาคารรณนภากาศ")</f>
        <v>อาคารรณนภากาศ</v>
      </c>
      <c r="J546" s="12">
        <f>IFERROR(__xludf.DUMMYFUNCTION("""COMPUTED_VALUE"""),46101.0)</f>
        <v>46101</v>
      </c>
      <c r="K546" s="3" t="str">
        <f>IFERROR(__xludf.DUMMYFUNCTION("""COMPUTED_VALUE"""),"1500-1700")</f>
        <v>1500-1700</v>
      </c>
      <c r="L546" s="3">
        <f>IFERROR(__xludf.DUMMYFUNCTION("""COMPUTED_VALUE"""),3.0)</f>
        <v>3</v>
      </c>
      <c r="M546" s="3" t="str">
        <f>IFERROR(__xludf.DUMMYFUNCTION("""COMPUTED_VALUE"""),"ร.อ.หญิง ขนัฏฐา นาดี")</f>
        <v>ร.อ.หญิง ขนัฏฐา นาดี</v>
      </c>
      <c r="N546" s="14" t="str">
        <f>IFERROR(__xludf.DUMMYFUNCTION("""COMPUTED_VALUE"""),"https://lh5.googleusercontent.com/d/1KFMzXr8Q7TDv1AWXpP34Yfeoiu9qw0Qo")</f>
        <v>https://lh5.googleusercontent.com/d/1KFMzXr8Q7TDv1AWXpP34Yfeoiu9qw0Qo</v>
      </c>
      <c r="O546" s="14" t="str">
        <f>IFERROR(__xludf.DUMMYFUNCTION("""COMPUTED_VALUE"""),"https://drive.google.com/file/d/1D4iKdXirvLKo4xVucbFuacclKCLk5vww/view?usp=drivesdk")</f>
        <v>https://drive.google.com/file/d/1D4iKdXirvLKo4xVucbFuacclKCLk5vww/view?usp=drivesdk</v>
      </c>
    </row>
    <row r="547">
      <c r="A547" s="3">
        <f>IFERROR(__xludf.DUMMYFUNCTION("""COMPUTED_VALUE"""),2311.0)</f>
        <v>2311</v>
      </c>
      <c r="B547" s="11">
        <f>IFERROR(__xludf.DUMMYFUNCTION("""COMPUTED_VALUE"""),46169.66181893519)</f>
        <v>46169.66182</v>
      </c>
      <c r="C547" s="3" t="str">
        <f>IFERROR(__xludf.DUMMYFUNCTION("""COMPUTED_VALUE"""),"ชั้นปีที่ 2")</f>
        <v>ชั้นปีที่ 2</v>
      </c>
      <c r="D547" s="3" t="str">
        <f>IFERROR(__xludf.DUMMYFUNCTION("""COMPUTED_VALUE"""),"6703819")</f>
        <v>6703819</v>
      </c>
      <c r="E547" s="3" t="str">
        <f>IFERROR(__xludf.DUMMYFUNCTION("""COMPUTED_VALUE"""),"2")</f>
        <v>2</v>
      </c>
      <c r="F547" s="3" t="str">
        <f>IFERROR(__xludf.DUMMYFUNCTION("""COMPUTED_VALUE"""),"นพอ.กรณิศ เกษแก้ว")</f>
        <v>นพอ.กรณิศ เกษแก้ว</v>
      </c>
      <c r="G5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7" s="3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47" s="3" t="str">
        <f>IFERROR(__xludf.DUMMYFUNCTION("""COMPUTED_VALUE"""),"อาคารรณภากาศ")</f>
        <v>อาคารรณภากาศ</v>
      </c>
      <c r="J547" s="12">
        <f>IFERROR(__xludf.DUMMYFUNCTION("""COMPUTED_VALUE"""),46119.0)</f>
        <v>46119</v>
      </c>
      <c r="K547" s="3" t="str">
        <f>IFERROR(__xludf.DUMMYFUNCTION("""COMPUTED_VALUE"""),"1500-2000")</f>
        <v>1500-2000</v>
      </c>
      <c r="L547" s="3">
        <f>IFERROR(__xludf.DUMMYFUNCTION("""COMPUTED_VALUE"""),6.0)</f>
        <v>6</v>
      </c>
      <c r="M547" s="3" t="str">
        <f>IFERROR(__xludf.DUMMYFUNCTION("""COMPUTED_VALUE"""),"ร.อ.หญิง ขนัฏฐา นาดี")</f>
        <v>ร.อ.หญิง ขนัฏฐา นาดี</v>
      </c>
      <c r="N547" s="14" t="str">
        <f>IFERROR(__xludf.DUMMYFUNCTION("""COMPUTED_VALUE"""),"https://lh5.googleusercontent.com/d/15E66z8CrtytXMJ6nhgpT_H0HpSizjnpn")</f>
        <v>https://lh5.googleusercontent.com/d/15E66z8CrtytXMJ6nhgpT_H0HpSizjnpn</v>
      </c>
      <c r="O547" s="14" t="str">
        <f>IFERROR(__xludf.DUMMYFUNCTION("""COMPUTED_VALUE"""),"https://drive.google.com/file/d/1E4Vmrewy2-XirzU874sRttPqVGZlfkMv/view?usp=drivesdk")</f>
        <v>https://drive.google.com/file/d/1E4Vmrewy2-XirzU874sRttPqVGZlfkMv/view?usp=drivesdk</v>
      </c>
    </row>
    <row r="548">
      <c r="A548" s="3">
        <f>IFERROR(__xludf.DUMMYFUNCTION("""COMPUTED_VALUE"""),2312.0)</f>
        <v>2312</v>
      </c>
      <c r="B548" s="11">
        <f>IFERROR(__xludf.DUMMYFUNCTION("""COMPUTED_VALUE"""),46169.661887407405)</f>
        <v>46169.66189</v>
      </c>
      <c r="C548" s="3" t="str">
        <f>IFERROR(__xludf.DUMMYFUNCTION("""COMPUTED_VALUE"""),"ชั้นปีที่ 2")</f>
        <v>ชั้นปีที่ 2</v>
      </c>
      <c r="D548" s="3" t="str">
        <f>IFERROR(__xludf.DUMMYFUNCTION("""COMPUTED_VALUE"""),"6703869")</f>
        <v>6703869</v>
      </c>
      <c r="E548" s="3" t="str">
        <f>IFERROR(__xludf.DUMMYFUNCTION("""COMPUTED_VALUE"""),"50")</f>
        <v>50</v>
      </c>
      <c r="F548" s="3" t="str">
        <f>IFERROR(__xludf.DUMMYFUNCTION("""COMPUTED_VALUE"""),"นพอ.วิภาวี กลั่นเมฆ")</f>
        <v>นพอ.วิภาวี กลั่นเมฆ</v>
      </c>
      <c r="G54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8" s="3" t="str">
        <f>IFERROR(__xludf.DUMMYFUNCTION("""COMPUTED_VALUE"""),"ซ้อมเดินแบบเนื่องในวันกองทัพอากาศ 2569")</f>
        <v>ซ้อมเดินแบบเนื่องในวันกองทัพอากาศ 2569</v>
      </c>
      <c r="I548" s="3" t="str">
        <f>IFERROR(__xludf.DUMMYFUNCTION("""COMPUTED_VALUE"""),"อาคารรณนภากาศ")</f>
        <v>อาคารรณนภากาศ</v>
      </c>
      <c r="J548" s="12">
        <f>IFERROR(__xludf.DUMMYFUNCTION("""COMPUTED_VALUE"""),46108.0)</f>
        <v>46108</v>
      </c>
      <c r="K548" s="3" t="str">
        <f>IFERROR(__xludf.DUMMYFUNCTION("""COMPUTED_VALUE"""),"1500-1700")</f>
        <v>1500-1700</v>
      </c>
      <c r="L548" s="3">
        <f>IFERROR(__xludf.DUMMYFUNCTION("""COMPUTED_VALUE"""),3.0)</f>
        <v>3</v>
      </c>
      <c r="M548" s="3" t="str">
        <f>IFERROR(__xludf.DUMMYFUNCTION("""COMPUTED_VALUE"""),"ร.อ.หญิง ขนัฏฐา นาดี")</f>
        <v>ร.อ.หญิง ขนัฏฐา นาดี</v>
      </c>
      <c r="N548" s="14" t="str">
        <f>IFERROR(__xludf.DUMMYFUNCTION("""COMPUTED_VALUE"""),"https://lh5.googleusercontent.com/d/1U0Je_h7nRZtQ50TuQLGvMsf_yYRZ_XFe")</f>
        <v>https://lh5.googleusercontent.com/d/1U0Je_h7nRZtQ50TuQLGvMsf_yYRZ_XFe</v>
      </c>
      <c r="O548" s="14" t="str">
        <f>IFERROR(__xludf.DUMMYFUNCTION("""COMPUTED_VALUE"""),"https://drive.google.com/file/d/1VAqhdeOxmi1YV2mPf6WjAcGVKiJ79f68/view?usp=drivesdk")</f>
        <v>https://drive.google.com/file/d/1VAqhdeOxmi1YV2mPf6WjAcGVKiJ79f68/view?usp=drivesdk</v>
      </c>
    </row>
    <row r="549">
      <c r="A549" s="3">
        <f>IFERROR(__xludf.DUMMYFUNCTION("""COMPUTED_VALUE"""),2313.0)</f>
        <v>2313</v>
      </c>
      <c r="B549" s="11">
        <f>IFERROR(__xludf.DUMMYFUNCTION("""COMPUTED_VALUE"""),46169.6628470139)</f>
        <v>46169.66285</v>
      </c>
      <c r="C549" s="3" t="str">
        <f>IFERROR(__xludf.DUMMYFUNCTION("""COMPUTED_VALUE"""),"ชั้นปีที่ 2")</f>
        <v>ชั้นปีที่ 2</v>
      </c>
      <c r="D549" s="3" t="str">
        <f>IFERROR(__xludf.DUMMYFUNCTION("""COMPUTED_VALUE"""),"6703819")</f>
        <v>6703819</v>
      </c>
      <c r="E549" s="3" t="str">
        <f>IFERROR(__xludf.DUMMYFUNCTION("""COMPUTED_VALUE"""),"2")</f>
        <v>2</v>
      </c>
      <c r="F549" s="3" t="str">
        <f>IFERROR(__xludf.DUMMYFUNCTION("""COMPUTED_VALUE"""),"นพอ.กรณิศ เกษแก้ว")</f>
        <v>นพอ.กรณิศ เกษแก้ว</v>
      </c>
      <c r="G5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9" s="3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49" s="3" t="str">
        <f>IFERROR(__xludf.DUMMYFUNCTION("""COMPUTED_VALUE"""),"อาคารรณภากาศ")</f>
        <v>อาคารรณภากาศ</v>
      </c>
      <c r="J549" s="12">
        <f>IFERROR(__xludf.DUMMYFUNCTION("""COMPUTED_VALUE"""),46120.0)</f>
        <v>46120</v>
      </c>
      <c r="K549" s="3" t="str">
        <f>IFERROR(__xludf.DUMMYFUNCTION("""COMPUTED_VALUE"""),"1300-1800")</f>
        <v>1300-1800</v>
      </c>
      <c r="L549" s="3">
        <f>IFERROR(__xludf.DUMMYFUNCTION("""COMPUTED_VALUE"""),6.0)</f>
        <v>6</v>
      </c>
      <c r="M549" s="3" t="str">
        <f>IFERROR(__xludf.DUMMYFUNCTION("""COMPUTED_VALUE"""),"ร.อ.หญิง ขนัฏฐา นาดี")</f>
        <v>ร.อ.หญิง ขนัฏฐา นาดี</v>
      </c>
      <c r="N549" s="14" t="str">
        <f>IFERROR(__xludf.DUMMYFUNCTION("""COMPUTED_VALUE"""),"https://lh5.googleusercontent.com/d/1U_HgWC74-W8FJGUt3eTYNOsYOWtJWi_Z")</f>
        <v>https://lh5.googleusercontent.com/d/1U_HgWC74-W8FJGUt3eTYNOsYOWtJWi_Z</v>
      </c>
      <c r="O549" s="14" t="str">
        <f>IFERROR(__xludf.DUMMYFUNCTION("""COMPUTED_VALUE"""),"https://drive.google.com/file/d/1s7iLbxncjElML6by9s6RcH7pni8kZTEt/view?usp=drivesdk")</f>
        <v>https://drive.google.com/file/d/1s7iLbxncjElML6by9s6RcH7pni8kZTEt/view?usp=drivesdk</v>
      </c>
    </row>
    <row r="550">
      <c r="A550" s="3">
        <f>IFERROR(__xludf.DUMMYFUNCTION("""COMPUTED_VALUE"""),2314.0)</f>
        <v>2314</v>
      </c>
      <c r="B550" s="11">
        <f>IFERROR(__xludf.DUMMYFUNCTION("""COMPUTED_VALUE"""),46169.66309863426)</f>
        <v>46169.6631</v>
      </c>
      <c r="C550" s="3" t="str">
        <f>IFERROR(__xludf.DUMMYFUNCTION("""COMPUTED_VALUE"""),"ชั้นปีที่ 2")</f>
        <v>ชั้นปีที่ 2</v>
      </c>
      <c r="D550" s="3" t="str">
        <f>IFERROR(__xludf.DUMMYFUNCTION("""COMPUTED_VALUE"""),"6703869")</f>
        <v>6703869</v>
      </c>
      <c r="E550" s="3" t="str">
        <f>IFERROR(__xludf.DUMMYFUNCTION("""COMPUTED_VALUE"""),"50")</f>
        <v>50</v>
      </c>
      <c r="F550" s="3" t="str">
        <f>IFERROR(__xludf.DUMMYFUNCTION("""COMPUTED_VALUE"""),"นพอ.วิภาวี กลั่นเมฆ")</f>
        <v>นพอ.วิภาวี กลั่นเมฆ</v>
      </c>
      <c r="G5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0" s="3" t="str">
        <f>IFERROR(__xludf.DUMMYFUNCTION("""COMPUTED_VALUE"""),"ซ้อมเดินแบบเนื่องในวันกองทัพอากาศ 2569")</f>
        <v>ซ้อมเดินแบบเนื่องในวันกองทัพอากาศ 2569</v>
      </c>
      <c r="I550" s="3" t="str">
        <f>IFERROR(__xludf.DUMMYFUNCTION("""COMPUTED_VALUE"""),"อาคารรณนภากาศ")</f>
        <v>อาคารรณนภากาศ</v>
      </c>
      <c r="J550" s="12">
        <f>IFERROR(__xludf.DUMMYFUNCTION("""COMPUTED_VALUE"""),46115.0)</f>
        <v>46115</v>
      </c>
      <c r="K550" s="3" t="str">
        <f>IFERROR(__xludf.DUMMYFUNCTION("""COMPUTED_VALUE"""),"1500-1700")</f>
        <v>1500-1700</v>
      </c>
      <c r="L550" s="3">
        <f>IFERROR(__xludf.DUMMYFUNCTION("""COMPUTED_VALUE"""),3.0)</f>
        <v>3</v>
      </c>
      <c r="M550" s="3" t="str">
        <f>IFERROR(__xludf.DUMMYFUNCTION("""COMPUTED_VALUE"""),"ร.อ.หญิง ขนัฏฐา นาดี")</f>
        <v>ร.อ.หญิง ขนัฏฐา นาดี</v>
      </c>
      <c r="N550" s="14" t="str">
        <f>IFERROR(__xludf.DUMMYFUNCTION("""COMPUTED_VALUE"""),"https://lh5.googleusercontent.com/d/1iaXOoSlvPdYgKEK6TrrrU9Nyan9-Y9mc")</f>
        <v>https://lh5.googleusercontent.com/d/1iaXOoSlvPdYgKEK6TrrrU9Nyan9-Y9mc</v>
      </c>
      <c r="O550" s="14" t="str">
        <f>IFERROR(__xludf.DUMMYFUNCTION("""COMPUTED_VALUE"""),"https://drive.google.com/file/d/1dHse-QzfDXgoWgb7qaBjYIY9fPlhmX8B/view?usp=drivesdk")</f>
        <v>https://drive.google.com/file/d/1dHse-QzfDXgoWgb7qaBjYIY9fPlhmX8B/view?usp=drivesdk</v>
      </c>
    </row>
    <row r="551">
      <c r="A551" s="3">
        <f>IFERROR(__xludf.DUMMYFUNCTION("""COMPUTED_VALUE"""),2315.0)</f>
        <v>2315</v>
      </c>
      <c r="B551" s="11">
        <f>IFERROR(__xludf.DUMMYFUNCTION("""COMPUTED_VALUE"""),46169.66396876157)</f>
        <v>46169.66397</v>
      </c>
      <c r="C551" s="3" t="str">
        <f>IFERROR(__xludf.DUMMYFUNCTION("""COMPUTED_VALUE"""),"ชั้นปีที่ 2")</f>
        <v>ชั้นปีที่ 2</v>
      </c>
      <c r="D551" s="3" t="str">
        <f>IFERROR(__xludf.DUMMYFUNCTION("""COMPUTED_VALUE"""),"6703819")</f>
        <v>6703819</v>
      </c>
      <c r="E551" s="3" t="str">
        <f>IFERROR(__xludf.DUMMYFUNCTION("""COMPUTED_VALUE"""),"2")</f>
        <v>2</v>
      </c>
      <c r="F551" s="3" t="str">
        <f>IFERROR(__xludf.DUMMYFUNCTION("""COMPUTED_VALUE"""),"นพอ.กรณิศ เกษแก้ว")</f>
        <v>นพอ.กรณิศ เกษแก้ว</v>
      </c>
      <c r="G5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1" s="3" t="str">
        <f>IFERROR(__xludf.DUMMYFUNCTION("""COMPUTED_VALUE"""),"เดินแบบเนื่องในวันกองทัพอากาศ2569")</f>
        <v>เดินแบบเนื่องในวันกองทัพอากาศ2569</v>
      </c>
      <c r="I551" s="3" t="str">
        <f>IFERROR(__xludf.DUMMYFUNCTION("""COMPUTED_VALUE"""),"อาครรณภากาศ ")</f>
        <v>อาครรณภากาศ </v>
      </c>
      <c r="J551" s="12">
        <f>IFERROR(__xludf.DUMMYFUNCTION("""COMPUTED_VALUE"""),46121.0)</f>
        <v>46121</v>
      </c>
      <c r="K551" s="3" t="str">
        <f>IFERROR(__xludf.DUMMYFUNCTION("""COMPUTED_VALUE"""),"1300-2000")</f>
        <v>1300-2000</v>
      </c>
      <c r="L551" s="3">
        <f>IFERROR(__xludf.DUMMYFUNCTION("""COMPUTED_VALUE"""),8.0)</f>
        <v>8</v>
      </c>
      <c r="M551" s="3" t="str">
        <f>IFERROR(__xludf.DUMMYFUNCTION("""COMPUTED_VALUE"""),"ร.อ.หญิง ขนัฏฐา นาดี")</f>
        <v>ร.อ.หญิง ขนัฏฐา นาดี</v>
      </c>
      <c r="N551" s="14" t="str">
        <f>IFERROR(__xludf.DUMMYFUNCTION("""COMPUTED_VALUE"""),"https://lh5.googleusercontent.com/d/161s1ea513L_lI4zmGNQ7XKzObdMUYOJb")</f>
        <v>https://lh5.googleusercontent.com/d/161s1ea513L_lI4zmGNQ7XKzObdMUYOJb</v>
      </c>
      <c r="O551" s="14" t="str">
        <f>IFERROR(__xludf.DUMMYFUNCTION("""COMPUTED_VALUE"""),"https://drive.google.com/file/d/1fxPnAFqP7RxzK5yehJjRPXJlnRakOoWd/view?usp=drivesdk")</f>
        <v>https://drive.google.com/file/d/1fxPnAFqP7RxzK5yehJjRPXJlnRakOoWd/view?usp=drivesdk</v>
      </c>
    </row>
    <row r="552">
      <c r="A552" s="3">
        <f>IFERROR(__xludf.DUMMYFUNCTION("""COMPUTED_VALUE"""),2316.0)</f>
        <v>2316</v>
      </c>
      <c r="B552" s="11">
        <f>IFERROR(__xludf.DUMMYFUNCTION("""COMPUTED_VALUE"""),46169.66418046296)</f>
        <v>46169.66418</v>
      </c>
      <c r="C552" s="3" t="str">
        <f>IFERROR(__xludf.DUMMYFUNCTION("""COMPUTED_VALUE"""),"ชั้นปีที่ 2")</f>
        <v>ชั้นปีที่ 2</v>
      </c>
      <c r="D552" s="3" t="str">
        <f>IFERROR(__xludf.DUMMYFUNCTION("""COMPUTED_VALUE"""),"6703869")</f>
        <v>6703869</v>
      </c>
      <c r="E552" s="3" t="str">
        <f>IFERROR(__xludf.DUMMYFUNCTION("""COMPUTED_VALUE"""),"50")</f>
        <v>50</v>
      </c>
      <c r="F552" s="3" t="str">
        <f>IFERROR(__xludf.DUMMYFUNCTION("""COMPUTED_VALUE"""),"นพอ.วิภาวี กลั่นเมฆ")</f>
        <v>นพอ.วิภาวี กลั่นเมฆ</v>
      </c>
      <c r="G5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2" s="3" t="str">
        <f>IFERROR(__xludf.DUMMYFUNCTION("""COMPUTED_VALUE"""),"ซ้อมเดินแบบเนื่องในวันกองทัพอากาศ 2569")</f>
        <v>ซ้อมเดินแบบเนื่องในวันกองทัพอากาศ 2569</v>
      </c>
      <c r="I552" s="3" t="str">
        <f>IFERROR(__xludf.DUMMYFUNCTION("""COMPUTED_VALUE"""),"อาคารรณนภากาศ")</f>
        <v>อาคารรณนภากาศ</v>
      </c>
      <c r="J552" s="12">
        <f>IFERROR(__xludf.DUMMYFUNCTION("""COMPUTED_VALUE"""),46119.0)</f>
        <v>46119</v>
      </c>
      <c r="K552" s="3" t="str">
        <f>IFERROR(__xludf.DUMMYFUNCTION("""COMPUTED_VALUE"""),"1500-2000")</f>
        <v>1500-2000</v>
      </c>
      <c r="L552" s="3">
        <f>IFERROR(__xludf.DUMMYFUNCTION("""COMPUTED_VALUE"""),6.0)</f>
        <v>6</v>
      </c>
      <c r="M552" s="3" t="str">
        <f>IFERROR(__xludf.DUMMYFUNCTION("""COMPUTED_VALUE"""),"ร.อ.หญิง ขนัฏฐา นาดี")</f>
        <v>ร.อ.หญิง ขนัฏฐา นาดี</v>
      </c>
      <c r="N552" s="14" t="str">
        <f>IFERROR(__xludf.DUMMYFUNCTION("""COMPUTED_VALUE"""),"https://lh5.googleusercontent.com/d/1KmRUBssfolDHdEq4T9A5eJg1_1y_wwgb")</f>
        <v>https://lh5.googleusercontent.com/d/1KmRUBssfolDHdEq4T9A5eJg1_1y_wwgb</v>
      </c>
      <c r="O552" s="14" t="str">
        <f>IFERROR(__xludf.DUMMYFUNCTION("""COMPUTED_VALUE"""),"https://drive.google.com/file/d/1kkIgRpE3qYzvsUC7avb-v4GyFADg7XXq/view?usp=drivesdk")</f>
        <v>https://drive.google.com/file/d/1kkIgRpE3qYzvsUC7avb-v4GyFADg7XXq/view?usp=drivesdk</v>
      </c>
    </row>
    <row r="553">
      <c r="A553" s="3">
        <f>IFERROR(__xludf.DUMMYFUNCTION("""COMPUTED_VALUE"""),2317.0)</f>
        <v>2317</v>
      </c>
      <c r="B553" s="11">
        <f>IFERROR(__xludf.DUMMYFUNCTION("""COMPUTED_VALUE"""),46169.66524905092)</f>
        <v>46169.66525</v>
      </c>
      <c r="C553" s="3" t="str">
        <f>IFERROR(__xludf.DUMMYFUNCTION("""COMPUTED_VALUE"""),"ชั้นปีที่ 2")</f>
        <v>ชั้นปีที่ 2</v>
      </c>
      <c r="D553" s="3" t="str">
        <f>IFERROR(__xludf.DUMMYFUNCTION("""COMPUTED_VALUE"""),"6703869")</f>
        <v>6703869</v>
      </c>
      <c r="E553" s="3" t="str">
        <f>IFERROR(__xludf.DUMMYFUNCTION("""COMPUTED_VALUE"""),"50")</f>
        <v>50</v>
      </c>
      <c r="F553" s="3" t="str">
        <f>IFERROR(__xludf.DUMMYFUNCTION("""COMPUTED_VALUE"""),"นพอ.วิภาวี กลั่นเมฆ")</f>
        <v>นพอ.วิภาวี กลั่นเมฆ</v>
      </c>
      <c r="G5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3" s="3" t="str">
        <f>IFERROR(__xludf.DUMMYFUNCTION("""COMPUTED_VALUE"""),"ซ้อมเดินแบบเนื่องในวันกองทัพอากาศ 2569")</f>
        <v>ซ้อมเดินแบบเนื่องในวันกองทัพอากาศ 2569</v>
      </c>
      <c r="I553" s="3" t="str">
        <f>IFERROR(__xludf.DUMMYFUNCTION("""COMPUTED_VALUE"""),"อาคารรณนภากาศ")</f>
        <v>อาคารรณนภากาศ</v>
      </c>
      <c r="J553" s="12">
        <f>IFERROR(__xludf.DUMMYFUNCTION("""COMPUTED_VALUE"""),46120.0)</f>
        <v>46120</v>
      </c>
      <c r="K553" s="3" t="str">
        <f>IFERROR(__xludf.DUMMYFUNCTION("""COMPUTED_VALUE"""),"1300-1800")</f>
        <v>1300-1800</v>
      </c>
      <c r="L553" s="3">
        <f>IFERROR(__xludf.DUMMYFUNCTION("""COMPUTED_VALUE"""),6.0)</f>
        <v>6</v>
      </c>
      <c r="M553" s="3" t="str">
        <f>IFERROR(__xludf.DUMMYFUNCTION("""COMPUTED_VALUE"""),"ร.อ.หญิง ขนัฏฐา นาดี")</f>
        <v>ร.อ.หญิง ขนัฏฐา นาดี</v>
      </c>
      <c r="N553" s="14" t="str">
        <f>IFERROR(__xludf.DUMMYFUNCTION("""COMPUTED_VALUE"""),"https://lh5.googleusercontent.com/d/1-Q0I-kfGBsm0FXj4XLjBaf6H4DAO9VDC")</f>
        <v>https://lh5.googleusercontent.com/d/1-Q0I-kfGBsm0FXj4XLjBaf6H4DAO9VDC</v>
      </c>
      <c r="O553" s="14" t="str">
        <f>IFERROR(__xludf.DUMMYFUNCTION("""COMPUTED_VALUE"""),"https://drive.google.com/file/d/1S3ftKuE30f6iOWAXQDIy7b4o-GRjgYUp/view?usp=drivesdk")</f>
        <v>https://drive.google.com/file/d/1S3ftKuE30f6iOWAXQDIy7b4o-GRjgYUp/view?usp=drivesdk</v>
      </c>
    </row>
    <row r="554">
      <c r="A554" s="3">
        <f>IFERROR(__xludf.DUMMYFUNCTION("""COMPUTED_VALUE"""),2318.0)</f>
        <v>2318</v>
      </c>
      <c r="B554" s="11">
        <f>IFERROR(__xludf.DUMMYFUNCTION("""COMPUTED_VALUE"""),46169.66656734954)</f>
        <v>46169.66657</v>
      </c>
      <c r="C554" s="3" t="str">
        <f>IFERROR(__xludf.DUMMYFUNCTION("""COMPUTED_VALUE"""),"ชั้นปีที่ 2")</f>
        <v>ชั้นปีที่ 2</v>
      </c>
      <c r="D554" s="3" t="str">
        <f>IFERROR(__xludf.DUMMYFUNCTION("""COMPUTED_VALUE"""),"6703869")</f>
        <v>6703869</v>
      </c>
      <c r="E554" s="3" t="str">
        <f>IFERROR(__xludf.DUMMYFUNCTION("""COMPUTED_VALUE"""),"50")</f>
        <v>50</v>
      </c>
      <c r="F554" s="3" t="str">
        <f>IFERROR(__xludf.DUMMYFUNCTION("""COMPUTED_VALUE"""),"นพอ.วิภาวี กลั่นเมฆ")</f>
        <v>นพอ.วิภาวี กลั่นเมฆ</v>
      </c>
      <c r="G5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4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554" s="3" t="str">
        <f>IFERROR(__xludf.DUMMYFUNCTION("""COMPUTED_VALUE"""),"อาคารรณนภากาศ")</f>
        <v>อาคารรณนภากาศ</v>
      </c>
      <c r="J554" s="12">
        <f>IFERROR(__xludf.DUMMYFUNCTION("""COMPUTED_VALUE"""),46121.0)</f>
        <v>46121</v>
      </c>
      <c r="K554" s="3" t="str">
        <f>IFERROR(__xludf.DUMMYFUNCTION("""COMPUTED_VALUE"""),"1300-2000")</f>
        <v>1300-2000</v>
      </c>
      <c r="L554" s="3">
        <f>IFERROR(__xludf.DUMMYFUNCTION("""COMPUTED_VALUE"""),8.0)</f>
        <v>8</v>
      </c>
      <c r="M554" s="3" t="str">
        <f>IFERROR(__xludf.DUMMYFUNCTION("""COMPUTED_VALUE"""),"ร.อ.หญิง ขนัฏฐา นาดี")</f>
        <v>ร.อ.หญิง ขนัฏฐา นาดี</v>
      </c>
      <c r="N554" s="14" t="str">
        <f>IFERROR(__xludf.DUMMYFUNCTION("""COMPUTED_VALUE"""),"https://lh5.googleusercontent.com/d/1pwrMFDPaF_cha5VwaZ4G0WgrvVQjMpCE")</f>
        <v>https://lh5.googleusercontent.com/d/1pwrMFDPaF_cha5VwaZ4G0WgrvVQjMpCE</v>
      </c>
      <c r="O554" s="14" t="str">
        <f>IFERROR(__xludf.DUMMYFUNCTION("""COMPUTED_VALUE"""),"https://drive.google.com/file/d/1A0pRzeDktZMGr4x3pdeMNf_g1VaQb4B_/view?usp=drivesdk")</f>
        <v>https://drive.google.com/file/d/1A0pRzeDktZMGr4x3pdeMNf_g1VaQb4B_/view?usp=drivesdk</v>
      </c>
    </row>
    <row r="555">
      <c r="A555" s="3">
        <f>IFERROR(__xludf.DUMMYFUNCTION("""COMPUTED_VALUE"""),2319.0)</f>
        <v>2319</v>
      </c>
      <c r="B555" s="11">
        <f>IFERROR(__xludf.DUMMYFUNCTION("""COMPUTED_VALUE"""),46169.68837263889)</f>
        <v>46169.68837</v>
      </c>
      <c r="C555" s="3" t="str">
        <f>IFERROR(__xludf.DUMMYFUNCTION("""COMPUTED_VALUE"""),"ชั้นปีที่ 2")</f>
        <v>ชั้นปีที่ 2</v>
      </c>
      <c r="D555" s="3" t="str">
        <f>IFERROR(__xludf.DUMMYFUNCTION("""COMPUTED_VALUE"""),"6703874")</f>
        <v>6703874</v>
      </c>
      <c r="E555" s="3" t="str">
        <f>IFERROR(__xludf.DUMMYFUNCTION("""COMPUTED_VALUE"""),"54")</f>
        <v>54</v>
      </c>
      <c r="F555" s="3" t="str">
        <f>IFERROR(__xludf.DUMMYFUNCTION("""COMPUTED_VALUE"""),"นพอ.สรารัตน์ หาญจันทร์")</f>
        <v>นพอ.สรารัตน์ หาญจันทร์</v>
      </c>
      <c r="G55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5" s="3" t="str">
        <f>IFERROR(__xludf.DUMMYFUNCTION("""COMPUTED_VALUE"""),"วันเด็กแห่งชาติ 2568")</f>
        <v>วันเด็กแห่งชาติ 2568</v>
      </c>
      <c r="I555" s="3" t="str">
        <f>IFERROR(__xludf.DUMMYFUNCTION("""COMPUTED_VALUE"""),"กองบิน 6")</f>
        <v>กองบิน 6</v>
      </c>
      <c r="J555" s="12">
        <f>IFERROR(__xludf.DUMMYFUNCTION("""COMPUTED_VALUE"""),46032.0)</f>
        <v>46032</v>
      </c>
      <c r="K555" s="3" t="str">
        <f>IFERROR(__xludf.DUMMYFUNCTION("""COMPUTED_VALUE"""),"0600-1400")</f>
        <v>0600-1400</v>
      </c>
      <c r="L555" s="3">
        <f>IFERROR(__xludf.DUMMYFUNCTION("""COMPUTED_VALUE"""),8.0)</f>
        <v>8</v>
      </c>
      <c r="M55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55" s="14" t="str">
        <f>IFERROR(__xludf.DUMMYFUNCTION("""COMPUTED_VALUE"""),"https://lh5.googleusercontent.com/d/1804OQdd8JLi0Fm0bm6lr2GtAM6wO80VL")</f>
        <v>https://lh5.googleusercontent.com/d/1804OQdd8JLi0Fm0bm6lr2GtAM6wO80VL</v>
      </c>
      <c r="O555" s="14" t="str">
        <f>IFERROR(__xludf.DUMMYFUNCTION("""COMPUTED_VALUE"""),"https://drive.google.com/file/d/1C5OYlK8CVYB_LDTNnv2bc9DPlJTh_wUr/view?usp=drivesdk")</f>
        <v>https://drive.google.com/file/d/1C5OYlK8CVYB_LDTNnv2bc9DPlJTh_wUr/view?usp=drivesdk</v>
      </c>
    </row>
    <row r="556">
      <c r="A556" s="3">
        <f>IFERROR(__xludf.DUMMYFUNCTION("""COMPUTED_VALUE"""),2475.0)</f>
        <v>2475</v>
      </c>
      <c r="B556" s="11">
        <f>IFERROR(__xludf.DUMMYFUNCTION("""COMPUTED_VALUE"""),46171.63874833334)</f>
        <v>46171.63875</v>
      </c>
      <c r="C556" s="3" t="str">
        <f>IFERROR(__xludf.DUMMYFUNCTION("""COMPUTED_VALUE"""),"ชั้นปีที่ 2")</f>
        <v>ชั้นปีที่ 2</v>
      </c>
      <c r="D556" s="3" t="str">
        <f>IFERROR(__xludf.DUMMYFUNCTION("""COMPUTED_VALUE"""),"6703818")</f>
        <v>6703818</v>
      </c>
      <c r="E556" s="3" t="str">
        <f>IFERROR(__xludf.DUMMYFUNCTION("""COMPUTED_VALUE"""),"1")</f>
        <v>1</v>
      </c>
      <c r="F556" s="3" t="str">
        <f>IFERROR(__xludf.DUMMYFUNCTION("""COMPUTED_VALUE"""),"นพอ.กนกวรรณ จิณเสน")</f>
        <v>นพอ.กนกวรรณ จิณเสน</v>
      </c>
      <c r="G5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6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556" s="3" t="str">
        <f>IFERROR(__xludf.DUMMYFUNCTION("""COMPUTED_VALUE"""),"อาคารรณนภากาศ")</f>
        <v>อาคารรณนภากาศ</v>
      </c>
      <c r="J556" s="12">
        <f>IFERROR(__xludf.DUMMYFUNCTION("""COMPUTED_VALUE"""),46101.0)</f>
        <v>46101</v>
      </c>
      <c r="K556" s="3" t="str">
        <f>IFERROR(__xludf.DUMMYFUNCTION("""COMPUTED_VALUE"""),"1500-1700")</f>
        <v>1500-1700</v>
      </c>
      <c r="L556" s="3">
        <f>IFERROR(__xludf.DUMMYFUNCTION("""COMPUTED_VALUE"""),3.0)</f>
        <v>3</v>
      </c>
      <c r="M556" s="3" t="str">
        <f>IFERROR(__xludf.DUMMYFUNCTION("""COMPUTED_VALUE"""),"ร.อ.หญิง ขนัฏฐา นาดี")</f>
        <v>ร.อ.หญิง ขนัฏฐา นาดี</v>
      </c>
      <c r="N556" s="14" t="str">
        <f>IFERROR(__xludf.DUMMYFUNCTION("""COMPUTED_VALUE"""),"https://lh5.googleusercontent.com/d/1MhzpExeDRGfEQ0vF2Hwq01UgbecGS_nj")</f>
        <v>https://lh5.googleusercontent.com/d/1MhzpExeDRGfEQ0vF2Hwq01UgbecGS_nj</v>
      </c>
      <c r="O556" s="14" t="str">
        <f>IFERROR(__xludf.DUMMYFUNCTION("""COMPUTED_VALUE"""),"https://drive.google.com/file/d/1aYVMFZ923_stFwdBFKwlePAAKTMEvf94/view?usp=drivesdk")</f>
        <v>https://drive.google.com/file/d/1aYVMFZ923_stFwdBFKwlePAAKTMEvf94/view?usp=drivesdk</v>
      </c>
    </row>
    <row r="557">
      <c r="A557" s="3">
        <f>IFERROR(__xludf.DUMMYFUNCTION("""COMPUTED_VALUE"""),2476.0)</f>
        <v>2476</v>
      </c>
      <c r="B557" s="11">
        <f>IFERROR(__xludf.DUMMYFUNCTION("""COMPUTED_VALUE"""),46171.64046238425)</f>
        <v>46171.64046</v>
      </c>
      <c r="C557" s="3" t="str">
        <f>IFERROR(__xludf.DUMMYFUNCTION("""COMPUTED_VALUE"""),"ชั้นปีที่ 2")</f>
        <v>ชั้นปีที่ 2</v>
      </c>
      <c r="D557" s="3" t="str">
        <f>IFERROR(__xludf.DUMMYFUNCTION("""COMPUTED_VALUE"""),"6703818")</f>
        <v>6703818</v>
      </c>
      <c r="E557" s="3" t="str">
        <f>IFERROR(__xludf.DUMMYFUNCTION("""COMPUTED_VALUE"""),"1")</f>
        <v>1</v>
      </c>
      <c r="F557" s="3" t="str">
        <f>IFERROR(__xludf.DUMMYFUNCTION("""COMPUTED_VALUE"""),"นพอ.กนกวรรณ จิณเสน")</f>
        <v>นพอ.กนกวรรณ จิณเสน</v>
      </c>
      <c r="G5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7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557" s="3" t="str">
        <f>IFERROR(__xludf.DUMMYFUNCTION("""COMPUTED_VALUE"""),"อาคารรณนภากาศ")</f>
        <v>อาคารรณนภากาศ</v>
      </c>
      <c r="J557" s="12">
        <f>IFERROR(__xludf.DUMMYFUNCTION("""COMPUTED_VALUE"""),46108.0)</f>
        <v>46108</v>
      </c>
      <c r="K557" s="3" t="str">
        <f>IFERROR(__xludf.DUMMYFUNCTION("""COMPUTED_VALUE"""),"1500-1800")</f>
        <v>1500-1800</v>
      </c>
      <c r="L557" s="3">
        <f>IFERROR(__xludf.DUMMYFUNCTION("""COMPUTED_VALUE"""),3.0)</f>
        <v>3</v>
      </c>
      <c r="M557" s="3" t="str">
        <f>IFERROR(__xludf.DUMMYFUNCTION("""COMPUTED_VALUE"""),"ร.อ.หญิง ขนัฏฐา นาดี")</f>
        <v>ร.อ.หญิง ขนัฏฐา นาดี</v>
      </c>
      <c r="N557" s="14" t="str">
        <f>IFERROR(__xludf.DUMMYFUNCTION("""COMPUTED_VALUE"""),"https://lh5.googleusercontent.com/d/1D5JBKhCWXQohNnejEAlAhyNDuxDOpqtt")</f>
        <v>https://lh5.googleusercontent.com/d/1D5JBKhCWXQohNnejEAlAhyNDuxDOpqtt</v>
      </c>
      <c r="O557" s="14" t="str">
        <f>IFERROR(__xludf.DUMMYFUNCTION("""COMPUTED_VALUE"""),"https://drive.google.com/file/d/15erAajGT7wbhQ8MOkV9u9_7_0zpFR6s9/view?usp=drivesdk")</f>
        <v>https://drive.google.com/file/d/15erAajGT7wbhQ8MOkV9u9_7_0zpFR6s9/view?usp=drivesdk</v>
      </c>
    </row>
    <row r="558">
      <c r="A558" s="3">
        <f>IFERROR(__xludf.DUMMYFUNCTION("""COMPUTED_VALUE"""),2477.0)</f>
        <v>2477</v>
      </c>
      <c r="B558" s="11">
        <f>IFERROR(__xludf.DUMMYFUNCTION("""COMPUTED_VALUE"""),46171.64179820602)</f>
        <v>46171.6418</v>
      </c>
      <c r="C558" s="3" t="str">
        <f>IFERROR(__xludf.DUMMYFUNCTION("""COMPUTED_VALUE"""),"ชั้นปีที่ 2")</f>
        <v>ชั้นปีที่ 2</v>
      </c>
      <c r="D558" s="3" t="str">
        <f>IFERROR(__xludf.DUMMYFUNCTION("""COMPUTED_VALUE"""),"6703818")</f>
        <v>6703818</v>
      </c>
      <c r="E558" s="3" t="str">
        <f>IFERROR(__xludf.DUMMYFUNCTION("""COMPUTED_VALUE"""),"1")</f>
        <v>1</v>
      </c>
      <c r="F558" s="3" t="str">
        <f>IFERROR(__xludf.DUMMYFUNCTION("""COMPUTED_VALUE"""),"นพอ.กนกวรรณ จิณเสน")</f>
        <v>นพอ.กนกวรรณ จิณเสน</v>
      </c>
      <c r="G5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8" s="3" t="str">
        <f>IFERROR(__xludf.DUMMYFUNCTION("""COMPUTED_VALUE"""),"เดินแบบเนื่องในวันกองทัพอากาศ")</f>
        <v>เดินแบบเนื่องในวันกองทัพอากาศ</v>
      </c>
      <c r="I558" s="3" t="str">
        <f>IFERROR(__xludf.DUMMYFUNCTION("""COMPUTED_VALUE"""),"อาคารรณนภากาศ")</f>
        <v>อาคารรณนภากาศ</v>
      </c>
      <c r="J558" s="12">
        <f>IFERROR(__xludf.DUMMYFUNCTION("""COMPUTED_VALUE"""),46119.0)</f>
        <v>46119</v>
      </c>
      <c r="K558" s="3" t="str">
        <f>IFERROR(__xludf.DUMMYFUNCTION("""COMPUTED_VALUE"""),"1400-2000")</f>
        <v>1400-2000</v>
      </c>
      <c r="L558" s="3">
        <f>IFERROR(__xludf.DUMMYFUNCTION("""COMPUTED_VALUE"""),6.0)</f>
        <v>6</v>
      </c>
      <c r="M558" s="3" t="str">
        <f>IFERROR(__xludf.DUMMYFUNCTION("""COMPUTED_VALUE"""),"ร.อ.หญิง ขนัฏฐา นาดี")</f>
        <v>ร.อ.หญิง ขนัฏฐา นาดี</v>
      </c>
      <c r="N558" s="14" t="str">
        <f>IFERROR(__xludf.DUMMYFUNCTION("""COMPUTED_VALUE"""),"https://lh5.googleusercontent.com/d/1oJQLkxajA8ALxEktFgy_uqF868Q5xF8J")</f>
        <v>https://lh5.googleusercontent.com/d/1oJQLkxajA8ALxEktFgy_uqF868Q5xF8J</v>
      </c>
      <c r="O558" s="14" t="str">
        <f>IFERROR(__xludf.DUMMYFUNCTION("""COMPUTED_VALUE"""),"https://drive.google.com/file/d/1eQk8Mu2FWEVynoeoDryv0DTiKNcwrm9S/view?usp=drivesdk")</f>
        <v>https://drive.google.com/file/d/1eQk8Mu2FWEVynoeoDryv0DTiKNcwrm9S/view?usp=drivesdk</v>
      </c>
    </row>
    <row r="559">
      <c r="A559" s="3">
        <f>IFERROR(__xludf.DUMMYFUNCTION("""COMPUTED_VALUE"""),2478.0)</f>
        <v>2478</v>
      </c>
      <c r="B559" s="11">
        <f>IFERROR(__xludf.DUMMYFUNCTION("""COMPUTED_VALUE"""),46171.64329550925)</f>
        <v>46171.6433</v>
      </c>
      <c r="C559" s="3" t="str">
        <f>IFERROR(__xludf.DUMMYFUNCTION("""COMPUTED_VALUE"""),"ชั้นปีที่ 2")</f>
        <v>ชั้นปีที่ 2</v>
      </c>
      <c r="D559" s="3" t="str">
        <f>IFERROR(__xludf.DUMMYFUNCTION("""COMPUTED_VALUE"""),"6703818")</f>
        <v>6703818</v>
      </c>
      <c r="E559" s="3" t="str">
        <f>IFERROR(__xludf.DUMMYFUNCTION("""COMPUTED_VALUE"""),"1")</f>
        <v>1</v>
      </c>
      <c r="F559" s="3" t="str">
        <f>IFERROR(__xludf.DUMMYFUNCTION("""COMPUTED_VALUE"""),"นพอ.กนกวรรณ จิณเสน")</f>
        <v>นพอ.กนกวรรณ จิณเสน</v>
      </c>
      <c r="G5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9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559" s="3" t="str">
        <f>IFERROR(__xludf.DUMMYFUNCTION("""COMPUTED_VALUE"""),"อาคารรณนภากาศ")</f>
        <v>อาคารรณนภากาศ</v>
      </c>
      <c r="J559" s="12">
        <f>IFERROR(__xludf.DUMMYFUNCTION("""COMPUTED_VALUE"""),46120.0)</f>
        <v>46120</v>
      </c>
      <c r="K559" s="3" t="str">
        <f>IFERROR(__xludf.DUMMYFUNCTION("""COMPUTED_VALUE"""),"1300-1900")</f>
        <v>1300-1900</v>
      </c>
      <c r="L559" s="3">
        <f>IFERROR(__xludf.DUMMYFUNCTION("""COMPUTED_VALUE"""),6.0)</f>
        <v>6</v>
      </c>
      <c r="M559" s="3" t="str">
        <f>IFERROR(__xludf.DUMMYFUNCTION("""COMPUTED_VALUE"""),"ร.อ.หญิง ขนัฏฐา นาดี")</f>
        <v>ร.อ.หญิง ขนัฏฐา นาดี</v>
      </c>
      <c r="N559" s="14" t="str">
        <f>IFERROR(__xludf.DUMMYFUNCTION("""COMPUTED_VALUE"""),"https://lh5.googleusercontent.com/d/1shPAsMeVwAGEWKchDM-olj0PvPPhLJJL")</f>
        <v>https://lh5.googleusercontent.com/d/1shPAsMeVwAGEWKchDM-olj0PvPPhLJJL</v>
      </c>
      <c r="O559" s="14" t="str">
        <f>IFERROR(__xludf.DUMMYFUNCTION("""COMPUTED_VALUE"""),"https://drive.google.com/file/d/1WnxgPuqY8xI_XQMRAq10C6por-me4ZpF/view?usp=drivesdk")</f>
        <v>https://drive.google.com/file/d/1WnxgPuqY8xI_XQMRAq10C6por-me4ZpF/view?usp=drivesdk</v>
      </c>
    </row>
    <row r="560">
      <c r="A560" s="3">
        <f>IFERROR(__xludf.DUMMYFUNCTION("""COMPUTED_VALUE"""),2479.0)</f>
        <v>2479</v>
      </c>
      <c r="B560" s="11">
        <f>IFERROR(__xludf.DUMMYFUNCTION("""COMPUTED_VALUE"""),46171.64489778935)</f>
        <v>46171.6449</v>
      </c>
      <c r="C560" s="3" t="str">
        <f>IFERROR(__xludf.DUMMYFUNCTION("""COMPUTED_VALUE"""),"ชั้นปีที่ 2")</f>
        <v>ชั้นปีที่ 2</v>
      </c>
      <c r="D560" s="3" t="str">
        <f>IFERROR(__xludf.DUMMYFUNCTION("""COMPUTED_VALUE"""),"6703818")</f>
        <v>6703818</v>
      </c>
      <c r="E560" s="3" t="str">
        <f>IFERROR(__xludf.DUMMYFUNCTION("""COMPUTED_VALUE"""),"1")</f>
        <v>1</v>
      </c>
      <c r="F560" s="3" t="str">
        <f>IFERROR(__xludf.DUMMYFUNCTION("""COMPUTED_VALUE"""),"นพอ.กนกวรรณ จิณเสน")</f>
        <v>นพอ.กนกวรรณ จิณเสน</v>
      </c>
      <c r="G56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0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560" s="3" t="str">
        <f>IFERROR(__xludf.DUMMYFUNCTION("""COMPUTED_VALUE"""),"อาคารรณนภากาศ")</f>
        <v>อาคารรณนภากาศ</v>
      </c>
      <c r="J560" s="12">
        <f>IFERROR(__xludf.DUMMYFUNCTION("""COMPUTED_VALUE"""),46121.0)</f>
        <v>46121</v>
      </c>
      <c r="K560" s="3" t="str">
        <f>IFERROR(__xludf.DUMMYFUNCTION("""COMPUTED_VALUE"""),"1200-2000")</f>
        <v>1200-2000</v>
      </c>
      <c r="L560" s="3">
        <f>IFERROR(__xludf.DUMMYFUNCTION("""COMPUTED_VALUE"""),8.0)</f>
        <v>8</v>
      </c>
      <c r="M560" s="3" t="str">
        <f>IFERROR(__xludf.DUMMYFUNCTION("""COMPUTED_VALUE"""),"ร.อ.หญิง ขนัฏฐา นาดี")</f>
        <v>ร.อ.หญิง ขนัฏฐา นาดี</v>
      </c>
      <c r="N560" s="14" t="str">
        <f>IFERROR(__xludf.DUMMYFUNCTION("""COMPUTED_VALUE"""),"https://lh5.googleusercontent.com/d/1kj6SEXXoP7uBoL2qcfhmktX_NQmUCw3o")</f>
        <v>https://lh5.googleusercontent.com/d/1kj6SEXXoP7uBoL2qcfhmktX_NQmUCw3o</v>
      </c>
      <c r="O560" s="14" t="str">
        <f>IFERROR(__xludf.DUMMYFUNCTION("""COMPUTED_VALUE"""),"https://drive.google.com/file/d/1YZTpTDqPfDmIE38O7fbjQ6pOzwV2Aw5o/view?usp=drivesdk")</f>
        <v>https://drive.google.com/file/d/1YZTpTDqPfDmIE38O7fbjQ6pOzwV2Aw5o/view?usp=drivesdk</v>
      </c>
    </row>
    <row r="561">
      <c r="A561" s="3">
        <f>IFERROR(__xludf.DUMMYFUNCTION("""COMPUTED_VALUE"""),2627.0)</f>
        <v>2627</v>
      </c>
      <c r="B561" s="11">
        <f>IFERROR(__xludf.DUMMYFUNCTION("""COMPUTED_VALUE"""),46175.445688078704)</f>
        <v>46175.44569</v>
      </c>
      <c r="C561" s="3" t="str">
        <f>IFERROR(__xludf.DUMMYFUNCTION("""COMPUTED_VALUE"""),"ชั้นปีที่ 2")</f>
        <v>ชั้นปีที่ 2</v>
      </c>
      <c r="D561" s="3" t="str">
        <f>IFERROR(__xludf.DUMMYFUNCTION("""COMPUTED_VALUE"""),"6703857")</f>
        <v>6703857</v>
      </c>
      <c r="E561" s="3" t="str">
        <f>IFERROR(__xludf.DUMMYFUNCTION("""COMPUTED_VALUE"""),"38")</f>
        <v>38</v>
      </c>
      <c r="F561" s="3" t="str">
        <f>IFERROR(__xludf.DUMMYFUNCTION("""COMPUTED_VALUE"""),"นพอ.พัณณิตา ศรีเพชร")</f>
        <v>นพอ.พัณณิตา ศรีเพชร</v>
      </c>
      <c r="G5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1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61" s="3" t="str">
        <f>IFERROR(__xludf.DUMMYFUNCTION("""COMPUTED_VALUE"""),"สนามกีฬาธูปะเตมีย์")</f>
        <v>สนามกีฬาธูปะเตมีย์</v>
      </c>
      <c r="J561" s="12">
        <f>IFERROR(__xludf.DUMMYFUNCTION("""COMPUTED_VALUE"""),46078.0)</f>
        <v>46078</v>
      </c>
      <c r="K561" s="3" t="str">
        <f>IFERROR(__xludf.DUMMYFUNCTION("""COMPUTED_VALUE"""),"1200-1800")</f>
        <v>1200-1800</v>
      </c>
      <c r="L561" s="3">
        <f>IFERROR(__xludf.DUMMYFUNCTION("""COMPUTED_VALUE"""),8.0)</f>
        <v>8</v>
      </c>
      <c r="M561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61" s="14" t="str">
        <f>IFERROR(__xludf.DUMMYFUNCTION("""COMPUTED_VALUE"""),"https://lh5.googleusercontent.com/d/1jAgPIMXXrLNgpMAJBYQmd8o9DSAp9KHU")</f>
        <v>https://lh5.googleusercontent.com/d/1jAgPIMXXrLNgpMAJBYQmd8o9DSAp9KHU</v>
      </c>
      <c r="O561" s="14" t="str">
        <f>IFERROR(__xludf.DUMMYFUNCTION("""COMPUTED_VALUE"""),"https://drive.google.com/file/d/1sPhB0_sKDYteIfGxvl7w0243HDIpYh7j/view?usp=drivesdk")</f>
        <v>https://drive.google.com/file/d/1sPhB0_sKDYteIfGxvl7w0243HDIpYh7j/view?usp=drivesdk</v>
      </c>
    </row>
    <row r="562">
      <c r="A562" s="3">
        <f>IFERROR(__xludf.DUMMYFUNCTION("""COMPUTED_VALUE"""),2628.0)</f>
        <v>2628</v>
      </c>
      <c r="B562" s="11">
        <f>IFERROR(__xludf.DUMMYFUNCTION("""COMPUTED_VALUE"""),46175.51191261574)</f>
        <v>46175.51191</v>
      </c>
      <c r="C562" s="3" t="str">
        <f>IFERROR(__xludf.DUMMYFUNCTION("""COMPUTED_VALUE"""),"ชั้นปีที่ 2")</f>
        <v>ชั้นปีที่ 2</v>
      </c>
      <c r="D562" s="3" t="str">
        <f>IFERROR(__xludf.DUMMYFUNCTION("""COMPUTED_VALUE"""),"6703825")</f>
        <v>6703825</v>
      </c>
      <c r="E562" s="3" t="str">
        <f>IFERROR(__xludf.DUMMYFUNCTION("""COMPUTED_VALUE"""),"8")</f>
        <v>8</v>
      </c>
      <c r="F562" s="3" t="str">
        <f>IFERROR(__xludf.DUMMYFUNCTION("""COMPUTED_VALUE"""),"นพอ.จิราภา กลิ่นมณฑา")</f>
        <v>นพอ.จิราภา กลิ่นมณฑา</v>
      </c>
      <c r="G5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2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62" s="3" t="str">
        <f>IFERROR(__xludf.DUMMYFUNCTION("""COMPUTED_VALUE"""),"สนามธูปะเตมีย์")</f>
        <v>สนามธูปะเตมีย์</v>
      </c>
      <c r="J562" s="12">
        <f>IFERROR(__xludf.DUMMYFUNCTION("""COMPUTED_VALUE"""),46078.0)</f>
        <v>46078</v>
      </c>
      <c r="K562" s="3" t="str">
        <f>IFERROR(__xludf.DUMMYFUNCTION("""COMPUTED_VALUE"""),"1200-2000")</f>
        <v>1200-2000</v>
      </c>
      <c r="L562" s="3">
        <f>IFERROR(__xludf.DUMMYFUNCTION("""COMPUTED_VALUE"""),8.0)</f>
        <v>8</v>
      </c>
      <c r="M56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62" s="14" t="str">
        <f>IFERROR(__xludf.DUMMYFUNCTION("""COMPUTED_VALUE"""),"https://lh5.googleusercontent.com/d/16Q7ylOpo2UEWWwo1R9vAghd84UFLFgxh")</f>
        <v>https://lh5.googleusercontent.com/d/16Q7ylOpo2UEWWwo1R9vAghd84UFLFgxh</v>
      </c>
      <c r="O562" s="14" t="str">
        <f>IFERROR(__xludf.DUMMYFUNCTION("""COMPUTED_VALUE"""),"https://drive.google.com/file/d/1_vjdpl2gUFo3SqhtLJ_je7lz2m9ac2wn/view?usp=drivesdk")</f>
        <v>https://drive.google.com/file/d/1_vjdpl2gUFo3SqhtLJ_je7lz2m9ac2wn/view?usp=drivesdk</v>
      </c>
    </row>
    <row r="563">
      <c r="A563" s="3">
        <f>IFERROR(__xludf.DUMMYFUNCTION("""COMPUTED_VALUE"""),2629.0)</f>
        <v>2629</v>
      </c>
      <c r="B563" s="11">
        <f>IFERROR(__xludf.DUMMYFUNCTION("""COMPUTED_VALUE"""),46175.51819722223)</f>
        <v>46175.5182</v>
      </c>
      <c r="C563" s="3" t="str">
        <f>IFERROR(__xludf.DUMMYFUNCTION("""COMPUTED_VALUE"""),"ชั้นปีที่ 2")</f>
        <v>ชั้นปีที่ 2</v>
      </c>
      <c r="D563" s="3" t="str">
        <f>IFERROR(__xludf.DUMMYFUNCTION("""COMPUTED_VALUE"""),"6703825")</f>
        <v>6703825</v>
      </c>
      <c r="E563" s="3" t="str">
        <f>IFERROR(__xludf.DUMMYFUNCTION("""COMPUTED_VALUE"""),"8")</f>
        <v>8</v>
      </c>
      <c r="F563" s="3" t="str">
        <f>IFERROR(__xludf.DUMMYFUNCTION("""COMPUTED_VALUE"""),"นพอ.จิราภา กลิ่นมณฑา")</f>
        <v>นพอ.จิราภา กลิ่นมณฑา</v>
      </c>
      <c r="G563" s="3" t="str">
        <f>IFERROR(__xludf.DUMMYFUNCTION("""COMPUTED_VALUE"""),"ช่วยเหลืองานภายใน วพอ.")</f>
        <v>ช่วยเหลืองานภายใน วพอ.</v>
      </c>
      <c r="H563" s="3" t="str">
        <f>IFERROR(__xludf.DUMMYFUNCTION("""COMPUTED_VALUE"""),"ทดสอบสมรรถภาพร่างกาย นพอ.69")</f>
        <v>ทดสอบสมรรถภาพร่างกาย นพอ.69</v>
      </c>
      <c r="I563" s="3" t="str">
        <f>IFERROR(__xludf.DUMMYFUNCTION("""COMPUTED_VALUE"""),"สนามจันทรุเบกษา")</f>
        <v>สนามจันทรุเบกษา</v>
      </c>
      <c r="J563" s="12">
        <f>IFERROR(__xludf.DUMMYFUNCTION("""COMPUTED_VALUE"""),46147.0)</f>
        <v>46147</v>
      </c>
      <c r="K563" s="3" t="str">
        <f>IFERROR(__xludf.DUMMYFUNCTION("""COMPUTED_VALUE"""),"1600-1900")</f>
        <v>1600-1900</v>
      </c>
      <c r="L563" s="3">
        <f>IFERROR(__xludf.DUMMYFUNCTION("""COMPUTED_VALUE"""),3.0)</f>
        <v>3</v>
      </c>
      <c r="M563" s="3" t="str">
        <f>IFERROR(__xludf.DUMMYFUNCTION("""COMPUTED_VALUE"""),"น.ต.ศักชัย บุญประสิทธิ์")</f>
        <v>น.ต.ศักชัย บุญประสิทธิ์</v>
      </c>
      <c r="N563" s="14" t="str">
        <f>IFERROR(__xludf.DUMMYFUNCTION("""COMPUTED_VALUE"""),"https://lh5.googleusercontent.com/d/19BHNqa6I4m0cW6FL_JDxxrUf94qEsvWV")</f>
        <v>https://lh5.googleusercontent.com/d/19BHNqa6I4m0cW6FL_JDxxrUf94qEsvWV</v>
      </c>
      <c r="O563" s="14" t="str">
        <f>IFERROR(__xludf.DUMMYFUNCTION("""COMPUTED_VALUE"""),"https://drive.google.com/file/d/1wOPqVZ8fxaGBMqucOoQx7JGjt8-w03O0/view?usp=drivesdk")</f>
        <v>https://drive.google.com/file/d/1wOPqVZ8fxaGBMqucOoQx7JGjt8-w03O0/view?usp=drivesdk</v>
      </c>
    </row>
    <row r="564">
      <c r="A564" s="3">
        <f>IFERROR(__xludf.DUMMYFUNCTION("""COMPUTED_VALUE"""),2630.0)</f>
        <v>2630</v>
      </c>
      <c r="B564" s="11">
        <f>IFERROR(__xludf.DUMMYFUNCTION("""COMPUTED_VALUE"""),46175.51983016204)</f>
        <v>46175.51983</v>
      </c>
      <c r="C564" s="3" t="str">
        <f>IFERROR(__xludf.DUMMYFUNCTION("""COMPUTED_VALUE"""),"ชั้นปีที่ 2")</f>
        <v>ชั้นปีที่ 2</v>
      </c>
      <c r="D564" s="3" t="str">
        <f>IFERROR(__xludf.DUMMYFUNCTION("""COMPUTED_VALUE"""),"นพอ.ปุณยาพร เสือสมิง")</f>
        <v>นพอ.ปุณยาพร เสือสมิง</v>
      </c>
      <c r="E564" s="3" t="str">
        <f>IFERROR(__xludf.DUMMYFUNCTION("""COMPUTED_VALUE"""),"33")</f>
        <v>33</v>
      </c>
      <c r="F564" s="3" t="str">
        <f>IFERROR(__xludf.DUMMYFUNCTION("""COMPUTED_VALUE"""),"นพอ.ปุณยาพร เสือสมิง")</f>
        <v>นพอ.ปุณยาพร เสือสมิง</v>
      </c>
      <c r="G564" s="3" t="str">
        <f>IFERROR(__xludf.DUMMYFUNCTION("""COMPUTED_VALUE"""),"ช่วยเหลืองานภายใน วพอ.")</f>
        <v>ช่วยเหลืองานภายใน วพอ.</v>
      </c>
      <c r="H564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64" s="3" t="str">
        <f>IFERROR(__xludf.DUMMYFUNCTION("""COMPUTED_VALUE"""),"อาคารสำนักงานชั้น 4")</f>
        <v>อาคารสำนักงานชั้น 4</v>
      </c>
      <c r="J564" s="12">
        <f>IFERROR(__xludf.DUMMYFUNCTION("""COMPUTED_VALUE"""),46147.0)</f>
        <v>46147</v>
      </c>
      <c r="K564" s="3" t="str">
        <f>IFERROR(__xludf.DUMMYFUNCTION("""COMPUTED_VALUE"""),"1500-1800")</f>
        <v>1500-1800</v>
      </c>
      <c r="L564" s="3">
        <f>IFERROR(__xludf.DUMMYFUNCTION("""COMPUTED_VALUE"""),3.0)</f>
        <v>3</v>
      </c>
      <c r="M564" s="3" t="str">
        <f>IFERROR(__xludf.DUMMYFUNCTION("""COMPUTED_VALUE"""),"น.ต.ศักชัย บุญประสิทธิ์")</f>
        <v>น.ต.ศักชัย บุญประสิทธิ์</v>
      </c>
      <c r="N564" s="14" t="str">
        <f>IFERROR(__xludf.DUMMYFUNCTION("""COMPUTED_VALUE"""),"https://lh5.googleusercontent.com/d/149VpxXVsYiqfNMozTd20qS1_Y4l8Li6A")</f>
        <v>https://lh5.googleusercontent.com/d/149VpxXVsYiqfNMozTd20qS1_Y4l8Li6A</v>
      </c>
      <c r="O564" s="14" t="str">
        <f>IFERROR(__xludf.DUMMYFUNCTION("""COMPUTED_VALUE"""),"https://drive.google.com/file/d/1qAJ_iwvdy7qLU9Ih-1SHh0wgq1PiRJUm/view?usp=drivesdk")</f>
        <v>https://drive.google.com/file/d/1qAJ_iwvdy7qLU9Ih-1SHh0wgq1PiRJUm/view?usp=drivesdk</v>
      </c>
    </row>
    <row r="565">
      <c r="A565" s="3">
        <f>IFERROR(__xludf.DUMMYFUNCTION("""COMPUTED_VALUE"""),2631.0)</f>
        <v>2631</v>
      </c>
      <c r="B565" s="11">
        <f>IFERROR(__xludf.DUMMYFUNCTION("""COMPUTED_VALUE"""),46175.52221858797)</f>
        <v>46175.52222</v>
      </c>
      <c r="C565" s="3" t="str">
        <f>IFERROR(__xludf.DUMMYFUNCTION("""COMPUTED_VALUE"""),"ชั้นปีที่ 2")</f>
        <v>ชั้นปีที่ 2</v>
      </c>
      <c r="D565" s="3" t="str">
        <f>IFERROR(__xludf.DUMMYFUNCTION("""COMPUTED_VALUE"""),"6703855")</f>
        <v>6703855</v>
      </c>
      <c r="E565" s="3" t="str">
        <f>IFERROR(__xludf.DUMMYFUNCTION("""COMPUTED_VALUE"""),"36")</f>
        <v>36</v>
      </c>
      <c r="F565" s="3" t="str">
        <f>IFERROR(__xludf.DUMMYFUNCTION("""COMPUTED_VALUE"""),"นพอ.พนารัตน์ สร้างลิ้ม")</f>
        <v>นพอ.พนารัตน์ สร้างลิ้ม</v>
      </c>
      <c r="G5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5" s="3" t="str">
        <f>IFERROR(__xludf.DUMMYFUNCTION("""COMPUTED_VALUE"""),"เข้าร่วมงานวันเด็กแห่งชาติ")</f>
        <v>เข้าร่วมงานวันเด็กแห่งชาติ</v>
      </c>
      <c r="I565" s="3" t="str">
        <f>IFERROR(__xludf.DUMMYFUNCTION("""COMPUTED_VALUE"""),"กองบัญชาการกองทัพไทย")</f>
        <v>กองบัญชาการกองทัพไทย</v>
      </c>
      <c r="J565" s="12">
        <f>IFERROR(__xludf.DUMMYFUNCTION("""COMPUTED_VALUE"""),46032.0)</f>
        <v>46032</v>
      </c>
      <c r="K565" s="3" t="str">
        <f>IFERROR(__xludf.DUMMYFUNCTION("""COMPUTED_VALUE"""),"0600-1400")</f>
        <v>0600-1400</v>
      </c>
      <c r="L565" s="3">
        <f>IFERROR(__xludf.DUMMYFUNCTION("""COMPUTED_VALUE"""),8.0)</f>
        <v>8</v>
      </c>
      <c r="M565" s="3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565" s="14" t="str">
        <f>IFERROR(__xludf.DUMMYFUNCTION("""COMPUTED_VALUE"""),"https://lh5.googleusercontent.com/d/1MrdRH9tGfN_HUqrdlekaCh2MlzIAgctD")</f>
        <v>https://lh5.googleusercontent.com/d/1MrdRH9tGfN_HUqrdlekaCh2MlzIAgctD</v>
      </c>
      <c r="O565" s="14" t="str">
        <f>IFERROR(__xludf.DUMMYFUNCTION("""COMPUTED_VALUE"""),"https://drive.google.com/file/d/1Ckbopr6IZKrnVlIcNgd_qnne-zoxAmAy/view?usp=drivesdk")</f>
        <v>https://drive.google.com/file/d/1Ckbopr6IZKrnVlIcNgd_qnne-zoxAmAy/view?usp=drivesdk</v>
      </c>
    </row>
    <row r="566">
      <c r="A566" s="3">
        <f>IFERROR(__xludf.DUMMYFUNCTION("""COMPUTED_VALUE"""),2632.0)</f>
        <v>2632</v>
      </c>
      <c r="B566" s="11">
        <f>IFERROR(__xludf.DUMMYFUNCTION("""COMPUTED_VALUE"""),46175.522310381944)</f>
        <v>46175.52231</v>
      </c>
      <c r="C566" s="3" t="str">
        <f>IFERROR(__xludf.DUMMYFUNCTION("""COMPUTED_VALUE"""),"ชั้นปีที่ 2")</f>
        <v>ชั้นปีที่ 2</v>
      </c>
      <c r="D566" s="3" t="str">
        <f>IFERROR(__xludf.DUMMYFUNCTION("""COMPUTED_VALUE"""),"6703830")</f>
        <v>6703830</v>
      </c>
      <c r="E566" s="3" t="str">
        <f>IFERROR(__xludf.DUMMYFUNCTION("""COMPUTED_VALUE"""),"13 ")</f>
        <v>13 </v>
      </c>
      <c r="F566" s="3" t="str">
        <f>IFERROR(__xludf.DUMMYFUNCTION("""COMPUTED_VALUE"""),"นพอ.โชติกา กัลศักดิ์ปภา")</f>
        <v>นพอ.โชติกา กัลศักดิ์ปภา</v>
      </c>
      <c r="G5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66" s="3" t="str">
        <f>IFERROR(__xludf.DUMMYFUNCTION("""COMPUTED_VALUE"""),"สนามกีฬากองทัพอากาศ ธูปะเตมีย์")</f>
        <v>สนามกีฬากองทัพอากาศ ธูปะเตมีย์</v>
      </c>
      <c r="J566" s="12">
        <f>IFERROR(__xludf.DUMMYFUNCTION("""COMPUTED_VALUE"""),46078.0)</f>
        <v>46078</v>
      </c>
      <c r="K566" s="3" t="str">
        <f>IFERROR(__xludf.DUMMYFUNCTION("""COMPUTED_VALUE"""),"1200-2000")</f>
        <v>1200-2000</v>
      </c>
      <c r="L566" s="3">
        <f>IFERROR(__xludf.DUMMYFUNCTION("""COMPUTED_VALUE"""),8.0)</f>
        <v>8</v>
      </c>
      <c r="M566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66" s="14" t="str">
        <f>IFERROR(__xludf.DUMMYFUNCTION("""COMPUTED_VALUE"""),"https://lh5.googleusercontent.com/d/18sqUMF_CmGWG0M2U-zL58C1ajUrT4paR")</f>
        <v>https://lh5.googleusercontent.com/d/18sqUMF_CmGWG0M2U-zL58C1ajUrT4paR</v>
      </c>
      <c r="O566" s="14" t="str">
        <f>IFERROR(__xludf.DUMMYFUNCTION("""COMPUTED_VALUE"""),"https://drive.google.com/file/d/1NrWZhJZJiB0wJdwtoseLKuwTbzkHzurb/view?usp=drivesdk")</f>
        <v>https://drive.google.com/file/d/1NrWZhJZJiB0wJdwtoseLKuwTbzkHzurb/view?usp=drivesdk</v>
      </c>
    </row>
    <row r="567">
      <c r="A567" s="3">
        <f>IFERROR(__xludf.DUMMYFUNCTION("""COMPUTED_VALUE"""),2633.0)</f>
        <v>2633</v>
      </c>
      <c r="B567" s="11">
        <f>IFERROR(__xludf.DUMMYFUNCTION("""COMPUTED_VALUE"""),46175.52343515047)</f>
        <v>46175.52344</v>
      </c>
      <c r="C567" s="3" t="str">
        <f>IFERROR(__xludf.DUMMYFUNCTION("""COMPUTED_VALUE"""),"ชั้นปีที่ 2")</f>
        <v>ชั้นปีที่ 2</v>
      </c>
      <c r="D567" s="3" t="str">
        <f>IFERROR(__xludf.DUMMYFUNCTION("""COMPUTED_VALUE"""),"6703825")</f>
        <v>6703825</v>
      </c>
      <c r="E567" s="3" t="str">
        <f>IFERROR(__xludf.DUMMYFUNCTION("""COMPUTED_VALUE"""),"8")</f>
        <v>8</v>
      </c>
      <c r="F567" s="3" t="str">
        <f>IFERROR(__xludf.DUMMYFUNCTION("""COMPUTED_VALUE"""),"นพอ.จิราภา กลิ่นมณฑา")</f>
        <v>นพอ.จิราภา กลิ่นมณฑา</v>
      </c>
      <c r="G56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7" s="3" t="str">
        <f>IFERROR(__xludf.DUMMYFUNCTION("""COMPUTED_VALUE"""),"เข้าร่วมงานวันเด็กแห่งชาติ 2569")</f>
        <v>เข้าร่วมงานวันเด็กแห่งชาติ 2569</v>
      </c>
      <c r="I567" s="3" t="str">
        <f>IFERROR(__xludf.DUMMYFUNCTION("""COMPUTED_VALUE"""),"พิพิธภัณฑ์กองทัพอากาศ")</f>
        <v>พิพิธภัณฑ์กองทัพอากาศ</v>
      </c>
      <c r="J567" s="12">
        <f>IFERROR(__xludf.DUMMYFUNCTION("""COMPUTED_VALUE"""),46032.0)</f>
        <v>46032</v>
      </c>
      <c r="K567" s="3" t="str">
        <f>IFERROR(__xludf.DUMMYFUNCTION("""COMPUTED_VALUE"""),"0600-1400")</f>
        <v>0600-1400</v>
      </c>
      <c r="L567" s="3">
        <f>IFERROR(__xludf.DUMMYFUNCTION("""COMPUTED_VALUE"""),8.0)</f>
        <v>8</v>
      </c>
      <c r="M56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67" s="14" t="str">
        <f>IFERROR(__xludf.DUMMYFUNCTION("""COMPUTED_VALUE"""),"https://lh5.googleusercontent.com/d/1HoRQLPszKfUCPxv5CCF_LlE1Y03DVxLU")</f>
        <v>https://lh5.googleusercontent.com/d/1HoRQLPszKfUCPxv5CCF_LlE1Y03DVxLU</v>
      </c>
      <c r="O567" s="14" t="str">
        <f>IFERROR(__xludf.DUMMYFUNCTION("""COMPUTED_VALUE"""),"https://drive.google.com/file/d/1QLLLNzs_63Bb8cekDu1l0h6e4lV8SBmz/view?usp=drivesdk")</f>
        <v>https://drive.google.com/file/d/1QLLLNzs_63Bb8cekDu1l0h6e4lV8SBmz/view?usp=drivesdk</v>
      </c>
    </row>
    <row r="568">
      <c r="A568" s="3">
        <f>IFERROR(__xludf.DUMMYFUNCTION("""COMPUTED_VALUE"""),2634.0)</f>
        <v>2634</v>
      </c>
      <c r="B568" s="11">
        <f>IFERROR(__xludf.DUMMYFUNCTION("""COMPUTED_VALUE"""),46175.52431893519)</f>
        <v>46175.52432</v>
      </c>
      <c r="C568" s="3" t="str">
        <f>IFERROR(__xludf.DUMMYFUNCTION("""COMPUTED_VALUE"""),"ชั้นปีที่ 2")</f>
        <v>ชั้นปีที่ 2</v>
      </c>
      <c r="D568" s="3" t="str">
        <f>IFERROR(__xludf.DUMMYFUNCTION("""COMPUTED_VALUE"""),"6703855")</f>
        <v>6703855</v>
      </c>
      <c r="E568" s="3" t="str">
        <f>IFERROR(__xludf.DUMMYFUNCTION("""COMPUTED_VALUE"""),"36")</f>
        <v>36</v>
      </c>
      <c r="F568" s="3" t="str">
        <f>IFERROR(__xludf.DUMMYFUNCTION("""COMPUTED_VALUE"""),"นพอ.พนารัตน์ สร้างลิ้ม")</f>
        <v>นพอ.พนารัตน์ สร้างลิ้ม</v>
      </c>
      <c r="G568" s="3" t="str">
        <f>IFERROR(__xludf.DUMMYFUNCTION("""COMPUTED_VALUE"""),"ช่วยเหลืองานภายใน วพอ.")</f>
        <v>ช่วยเหลืองานภายใน วพอ.</v>
      </c>
      <c r="H568" s="3" t="str">
        <f>IFERROR(__xludf.DUMMYFUNCTION("""COMPUTED_VALUE"""),"ทดสอบสมรรถภาพร่างกายนพอ.69")</f>
        <v>ทดสอบสมรรถภาพร่างกายนพอ.69</v>
      </c>
      <c r="I568" s="3" t="str">
        <f>IFERROR(__xludf.DUMMYFUNCTION("""COMPUTED_VALUE"""),"สนามจันทรุเบกษา")</f>
        <v>สนามจันทรุเบกษา</v>
      </c>
      <c r="J568" s="12">
        <f>IFERROR(__xludf.DUMMYFUNCTION("""COMPUTED_VALUE"""),46147.0)</f>
        <v>46147</v>
      </c>
      <c r="K568" s="3" t="str">
        <f>IFERROR(__xludf.DUMMYFUNCTION("""COMPUTED_VALUE"""),"1600-1900")</f>
        <v>1600-1900</v>
      </c>
      <c r="L568" s="3">
        <f>IFERROR(__xludf.DUMMYFUNCTION("""COMPUTED_VALUE"""),3.0)</f>
        <v>3</v>
      </c>
      <c r="M568" s="3" t="str">
        <f>IFERROR(__xludf.DUMMYFUNCTION("""COMPUTED_VALUE"""),"น.ต.ศักชัย บุญประสิทธิ์")</f>
        <v>น.ต.ศักชัย บุญประสิทธิ์</v>
      </c>
      <c r="N568" s="14" t="str">
        <f>IFERROR(__xludf.DUMMYFUNCTION("""COMPUTED_VALUE"""),"https://lh5.googleusercontent.com/d/1CRRWxq6UBcNDcr8qk3O7-vBXKUsSKDUd")</f>
        <v>https://lh5.googleusercontent.com/d/1CRRWxq6UBcNDcr8qk3O7-vBXKUsSKDUd</v>
      </c>
      <c r="O568" s="14" t="str">
        <f>IFERROR(__xludf.DUMMYFUNCTION("""COMPUTED_VALUE"""),"https://drive.google.com/file/d/19TL_z3PrZHi8_6fMJqhcak-XV3DUGUSy/view?usp=drivesdk")</f>
        <v>https://drive.google.com/file/d/19TL_z3PrZHi8_6fMJqhcak-XV3DUGUSy/view?usp=drivesdk</v>
      </c>
    </row>
    <row r="569">
      <c r="A569" s="3">
        <f>IFERROR(__xludf.DUMMYFUNCTION("""COMPUTED_VALUE"""),2635.0)</f>
        <v>2635</v>
      </c>
      <c r="B569" s="11">
        <f>IFERROR(__xludf.DUMMYFUNCTION("""COMPUTED_VALUE"""),46175.524847037035)</f>
        <v>46175.52485</v>
      </c>
      <c r="C569" s="3" t="str">
        <f>IFERROR(__xludf.DUMMYFUNCTION("""COMPUTED_VALUE"""),"ชั้นปีที่ 2")</f>
        <v>ชั้นปีที่ 2</v>
      </c>
      <c r="D569" s="3" t="str">
        <f>IFERROR(__xludf.DUMMYFUNCTION("""COMPUTED_VALUE"""),"6703852")</f>
        <v>6703852</v>
      </c>
      <c r="E569" s="3" t="str">
        <f>IFERROR(__xludf.DUMMYFUNCTION("""COMPUTED_VALUE"""),"33")</f>
        <v>33</v>
      </c>
      <c r="F569" s="3" t="str">
        <f>IFERROR(__xludf.DUMMYFUNCTION("""COMPUTED_VALUE"""),"นพอ.ปุณยาพร เสือสมิง")</f>
        <v>นพอ.ปุณยาพร เสือสมิง</v>
      </c>
      <c r="G56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9" s="3" t="str">
        <f>IFERROR(__xludf.DUMMYFUNCTION("""COMPUTED_VALUE"""),"คัดกรองมะเร็งเต้านม")</f>
        <v>คัดกรองมะเร็งเต้านม</v>
      </c>
      <c r="I569" s="3" t="str">
        <f>IFERROR(__xludf.DUMMYFUNCTION("""COMPUTED_VALUE"""),"อาคารรณนภากาศ อุทยานการบินกองทัพอากาศ ")</f>
        <v>อาคารรณนภากาศ อุทยานการบินกองทัพอากาศ </v>
      </c>
      <c r="J569" s="12">
        <f>IFERROR(__xludf.DUMMYFUNCTION("""COMPUTED_VALUE"""),46168.0)</f>
        <v>46168</v>
      </c>
      <c r="K569" s="3" t="str">
        <f>IFERROR(__xludf.DUMMYFUNCTION("""COMPUTED_VALUE"""),"0830-1400")</f>
        <v>0830-1400</v>
      </c>
      <c r="L569" s="3">
        <f>IFERROR(__xludf.DUMMYFUNCTION("""COMPUTED_VALUE"""),5.0)</f>
        <v>5</v>
      </c>
      <c r="M569" s="3" t="str">
        <f>IFERROR(__xludf.DUMMYFUNCTION("""COMPUTED_VALUE"""),"ร.อ.หญิง จรัสศรี ดำศรี")</f>
        <v>ร.อ.หญิง จรัสศรี ดำศรี</v>
      </c>
      <c r="N569" s="14" t="str">
        <f>IFERROR(__xludf.DUMMYFUNCTION("""COMPUTED_VALUE"""),"https://lh5.googleusercontent.com/d/1u4M0y5cPU5WX_88saeXnGPYTf9s-kJt5")</f>
        <v>https://lh5.googleusercontent.com/d/1u4M0y5cPU5WX_88saeXnGPYTf9s-kJt5</v>
      </c>
      <c r="O569" s="14" t="str">
        <f>IFERROR(__xludf.DUMMYFUNCTION("""COMPUTED_VALUE"""),"https://drive.google.com/file/d/1gfrpplAzynOKZnmmU5UA_gqqxndQXGzo/view?usp=drivesdk")</f>
        <v>https://drive.google.com/file/d/1gfrpplAzynOKZnmmU5UA_gqqxndQXGzo/view?usp=drivesdk</v>
      </c>
    </row>
    <row r="570">
      <c r="A570" s="3">
        <f>IFERROR(__xludf.DUMMYFUNCTION("""COMPUTED_VALUE"""),2637.0)</f>
        <v>2637</v>
      </c>
      <c r="B570" s="11">
        <f>IFERROR(__xludf.DUMMYFUNCTION("""COMPUTED_VALUE"""),46175.52519831019)</f>
        <v>46175.5252</v>
      </c>
      <c r="C570" s="3" t="str">
        <f>IFERROR(__xludf.DUMMYFUNCTION("""COMPUTED_VALUE"""),"ชั้นปีที่ 2")</f>
        <v>ชั้นปีที่ 2</v>
      </c>
      <c r="D570" s="3" t="str">
        <f>IFERROR(__xludf.DUMMYFUNCTION("""COMPUTED_VALUE"""),"6703830")</f>
        <v>6703830</v>
      </c>
      <c r="E570" s="3" t="str">
        <f>IFERROR(__xludf.DUMMYFUNCTION("""COMPUTED_VALUE"""),"13 ")</f>
        <v>13 </v>
      </c>
      <c r="F570" s="3" t="str">
        <f>IFERROR(__xludf.DUMMYFUNCTION("""COMPUTED_VALUE"""),"นพอ.โชติกา กัลศักดิ์ปภา")</f>
        <v>นพอ.โชติกา กัลศักดิ์ปภา</v>
      </c>
      <c r="G570" s="3" t="str">
        <f>IFERROR(__xludf.DUMMYFUNCTION("""COMPUTED_VALUE"""),"ช่วยเหลืองานภายใน วพอ.")</f>
        <v>ช่วยเหลืองานภายใน วพอ.</v>
      </c>
      <c r="H570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570" s="3" t="str">
        <f>IFERROR(__xludf.DUMMYFUNCTION("""COMPUTED_VALUE"""),"วพอ.พอ.")</f>
        <v>วพอ.พอ.</v>
      </c>
      <c r="J570" s="12">
        <f>IFERROR(__xludf.DUMMYFUNCTION("""COMPUTED_VALUE"""),46133.0)</f>
        <v>46133</v>
      </c>
      <c r="K570" s="3" t="str">
        <f>IFERROR(__xludf.DUMMYFUNCTION("""COMPUTED_VALUE"""),"1700-2100")</f>
        <v>1700-2100</v>
      </c>
      <c r="L570" s="3">
        <f>IFERROR(__xludf.DUMMYFUNCTION("""COMPUTED_VALUE"""),4.0)</f>
        <v>4</v>
      </c>
      <c r="M570" s="3" t="str">
        <f>IFERROR(__xludf.DUMMYFUNCTION("""COMPUTED_VALUE"""),"ร.อ.อนุชิต ทำจะดี")</f>
        <v>ร.อ.อนุชิต ทำจะดี</v>
      </c>
      <c r="N570" s="14" t="str">
        <f>IFERROR(__xludf.DUMMYFUNCTION("""COMPUTED_VALUE"""),"https://lh5.googleusercontent.com/d/1IiSc2ieP-8D7hgzBmnk37pGQGAhScVQ4")</f>
        <v>https://lh5.googleusercontent.com/d/1IiSc2ieP-8D7hgzBmnk37pGQGAhScVQ4</v>
      </c>
      <c r="O570" s="14" t="str">
        <f>IFERROR(__xludf.DUMMYFUNCTION("""COMPUTED_VALUE"""),"https://drive.google.com/file/d/1qDLXRQJOw23rcr8IvKgLRA-RIcWJ7qkb/view?usp=drivesdk")</f>
        <v>https://drive.google.com/file/d/1qDLXRQJOw23rcr8IvKgLRA-RIcWJ7qkb/view?usp=drivesdk</v>
      </c>
    </row>
    <row r="571">
      <c r="A571" s="3">
        <f>IFERROR(__xludf.DUMMYFUNCTION("""COMPUTED_VALUE"""),2638.0)</f>
        <v>2638</v>
      </c>
      <c r="B571" s="11">
        <f>IFERROR(__xludf.DUMMYFUNCTION("""COMPUTED_VALUE"""),46175.52650915509)</f>
        <v>46175.52651</v>
      </c>
      <c r="C571" s="3" t="str">
        <f>IFERROR(__xludf.DUMMYFUNCTION("""COMPUTED_VALUE"""),"ชั้นปีที่ 2")</f>
        <v>ชั้นปีที่ 2</v>
      </c>
      <c r="D571" s="3" t="str">
        <f>IFERROR(__xludf.DUMMYFUNCTION("""COMPUTED_VALUE"""),"6703830")</f>
        <v>6703830</v>
      </c>
      <c r="E571" s="3" t="str">
        <f>IFERROR(__xludf.DUMMYFUNCTION("""COMPUTED_VALUE"""),"13")</f>
        <v>13</v>
      </c>
      <c r="F571" s="3" t="str">
        <f>IFERROR(__xludf.DUMMYFUNCTION("""COMPUTED_VALUE"""),"นพอ.โชติกา กัลศักดิ์ปภา")</f>
        <v>นพอ.โชติกา กัลศักดิ์ปภา</v>
      </c>
      <c r="G571" s="3" t="str">
        <f>IFERROR(__xludf.DUMMYFUNCTION("""COMPUTED_VALUE"""),"ช่วยเหลืองานภายใน วพอ.")</f>
        <v>ช่วยเหลืองานภายใน วพอ.</v>
      </c>
      <c r="H57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1" s="3" t="str">
        <f>IFERROR(__xludf.DUMMYFUNCTION("""COMPUTED_VALUE"""),"วพอ.พอ")</f>
        <v>วพอ.พอ</v>
      </c>
      <c r="J571" s="12">
        <f>IFERROR(__xludf.DUMMYFUNCTION("""COMPUTED_VALUE"""),46134.0)</f>
        <v>46134</v>
      </c>
      <c r="K571" s="3" t="str">
        <f>IFERROR(__xludf.DUMMYFUNCTION("""COMPUTED_VALUE"""),"1700-2100")</f>
        <v>1700-2100</v>
      </c>
      <c r="L571" s="3">
        <f>IFERROR(__xludf.DUMMYFUNCTION("""COMPUTED_VALUE"""),4.0)</f>
        <v>4</v>
      </c>
      <c r="M571" s="3" t="str">
        <f>IFERROR(__xludf.DUMMYFUNCTION("""COMPUTED_VALUE"""),"ร.อ.อนุชิต ทำจะดี")</f>
        <v>ร.อ.อนุชิต ทำจะดี</v>
      </c>
      <c r="N571" s="14" t="str">
        <f>IFERROR(__xludf.DUMMYFUNCTION("""COMPUTED_VALUE"""),"https://lh5.googleusercontent.com/d/1GDhARqfnBKVFZQ-Lp4Z6isfy2NsICgp0")</f>
        <v>https://lh5.googleusercontent.com/d/1GDhARqfnBKVFZQ-Lp4Z6isfy2NsICgp0</v>
      </c>
      <c r="O571" s="14" t="str">
        <f>IFERROR(__xludf.DUMMYFUNCTION("""COMPUTED_VALUE"""),"https://drive.google.com/file/d/1fodf0B5jxPestvuhDBVxvg8D7O-5_Aj9/view?usp=drivesdk")</f>
        <v>https://drive.google.com/file/d/1fodf0B5jxPestvuhDBVxvg8D7O-5_Aj9/view?usp=drivesdk</v>
      </c>
    </row>
    <row r="572">
      <c r="A572" s="3">
        <f>IFERROR(__xludf.DUMMYFUNCTION("""COMPUTED_VALUE"""),2639.0)</f>
        <v>2639</v>
      </c>
      <c r="B572" s="11">
        <f>IFERROR(__xludf.DUMMYFUNCTION("""COMPUTED_VALUE"""),46175.52750655092)</f>
        <v>46175.52751</v>
      </c>
      <c r="C572" s="3" t="str">
        <f>IFERROR(__xludf.DUMMYFUNCTION("""COMPUTED_VALUE"""),"ชั้นปีที่ 2")</f>
        <v>ชั้นปีที่ 2</v>
      </c>
      <c r="D572" s="3" t="str">
        <f>IFERROR(__xludf.DUMMYFUNCTION("""COMPUTED_VALUE"""),"6703855")</f>
        <v>6703855</v>
      </c>
      <c r="E572" s="3" t="str">
        <f>IFERROR(__xludf.DUMMYFUNCTION("""COMPUTED_VALUE"""),"36")</f>
        <v>36</v>
      </c>
      <c r="F572" s="3" t="str">
        <f>IFERROR(__xludf.DUMMYFUNCTION("""COMPUTED_VALUE"""),"นพอ.พนารัตน์ สร้างลิ้ม")</f>
        <v>นพอ.พนารัตน์ สร้างลิ้ม</v>
      </c>
      <c r="G5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2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72" s="3" t="str">
        <f>IFERROR(__xludf.DUMMYFUNCTION("""COMPUTED_VALUE"""),"สนามธูปะเตมีย์")</f>
        <v>สนามธูปะเตมีย์</v>
      </c>
      <c r="J572" s="12">
        <f>IFERROR(__xludf.DUMMYFUNCTION("""COMPUTED_VALUE"""),46078.0)</f>
        <v>46078</v>
      </c>
      <c r="K572" s="3" t="str">
        <f>IFERROR(__xludf.DUMMYFUNCTION("""COMPUTED_VALUE"""),"1200-2000")</f>
        <v>1200-2000</v>
      </c>
      <c r="L572" s="3">
        <f>IFERROR(__xludf.DUMMYFUNCTION("""COMPUTED_VALUE"""),8.0)</f>
        <v>8</v>
      </c>
      <c r="M572" s="3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572" s="14" t="str">
        <f>IFERROR(__xludf.DUMMYFUNCTION("""COMPUTED_VALUE"""),"https://lh5.googleusercontent.com/d/1XXW2lZQDrUzhorQ-3Y-radbitjUwuxMq")</f>
        <v>https://lh5.googleusercontent.com/d/1XXW2lZQDrUzhorQ-3Y-radbitjUwuxMq</v>
      </c>
      <c r="O572" s="14" t="str">
        <f>IFERROR(__xludf.DUMMYFUNCTION("""COMPUTED_VALUE"""),"https://drive.google.com/file/d/1-77dnXd_7IIboHCSZHmFvCaPkZBs3J35/view?usp=drivesdk")</f>
        <v>https://drive.google.com/file/d/1-77dnXd_7IIboHCSZHmFvCaPkZBs3J35/view?usp=drivesdk</v>
      </c>
    </row>
    <row r="573">
      <c r="A573" s="3">
        <f>IFERROR(__xludf.DUMMYFUNCTION("""COMPUTED_VALUE"""),2640.0)</f>
        <v>2640</v>
      </c>
      <c r="B573" s="11">
        <f>IFERROR(__xludf.DUMMYFUNCTION("""COMPUTED_VALUE"""),46175.52784578703)</f>
        <v>46175.52785</v>
      </c>
      <c r="C573" s="3" t="str">
        <f>IFERROR(__xludf.DUMMYFUNCTION("""COMPUTED_VALUE"""),"ชั้นปีที่ 2")</f>
        <v>ชั้นปีที่ 2</v>
      </c>
      <c r="D573" s="3" t="str">
        <f>IFERROR(__xludf.DUMMYFUNCTION("""COMPUTED_VALUE"""),"6703830")</f>
        <v>6703830</v>
      </c>
      <c r="E573" s="3" t="str">
        <f>IFERROR(__xludf.DUMMYFUNCTION("""COMPUTED_VALUE"""),"13")</f>
        <v>13</v>
      </c>
      <c r="F573" s="3" t="str">
        <f>IFERROR(__xludf.DUMMYFUNCTION("""COMPUTED_VALUE"""),"นพอ.โชติกา กัลศักดิ์ปภา")</f>
        <v>นพอ.โชติกา กัลศักดิ์ปภา</v>
      </c>
      <c r="G573" s="3" t="str">
        <f>IFERROR(__xludf.DUMMYFUNCTION("""COMPUTED_VALUE"""),"ช่วยเหลืองานภายใน วพอ.")</f>
        <v>ช่วยเหลืองานภายใน วพอ.</v>
      </c>
      <c r="H57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3" s="3" t="str">
        <f>IFERROR(__xludf.DUMMYFUNCTION("""COMPUTED_VALUE"""),"วพอ.พอ")</f>
        <v>วพอ.พอ</v>
      </c>
      <c r="J573" s="12">
        <f>IFERROR(__xludf.DUMMYFUNCTION("""COMPUTED_VALUE"""),46135.0)</f>
        <v>46135</v>
      </c>
      <c r="K573" s="3" t="str">
        <f>IFERROR(__xludf.DUMMYFUNCTION("""COMPUTED_VALUE"""),"1700-2100")</f>
        <v>1700-2100</v>
      </c>
      <c r="L573" s="3">
        <f>IFERROR(__xludf.DUMMYFUNCTION("""COMPUTED_VALUE"""),4.0)</f>
        <v>4</v>
      </c>
      <c r="M573" s="3" t="str">
        <f>IFERROR(__xludf.DUMMYFUNCTION("""COMPUTED_VALUE"""),"ร.อ.อนุชิต ทำจะดี")</f>
        <v>ร.อ.อนุชิต ทำจะดี</v>
      </c>
      <c r="N573" s="14" t="str">
        <f>IFERROR(__xludf.DUMMYFUNCTION("""COMPUTED_VALUE"""),"https://lh5.googleusercontent.com/d/1zpn9BQz0PMngmZxYWsTDUfM3_r_5bEFT")</f>
        <v>https://lh5.googleusercontent.com/d/1zpn9BQz0PMngmZxYWsTDUfM3_r_5bEFT</v>
      </c>
      <c r="O573" s="14" t="str">
        <f>IFERROR(__xludf.DUMMYFUNCTION("""COMPUTED_VALUE"""),"https://drive.google.com/file/d/1lGyYcKb16mqiwhLZsQCfFlggxoRb_14M/view?usp=drivesdk")</f>
        <v>https://drive.google.com/file/d/1lGyYcKb16mqiwhLZsQCfFlggxoRb_14M/view?usp=drivesdk</v>
      </c>
    </row>
    <row r="574">
      <c r="A574" s="3">
        <f>IFERROR(__xludf.DUMMYFUNCTION("""COMPUTED_VALUE"""),2641.0)</f>
        <v>2641</v>
      </c>
      <c r="B574" s="11">
        <f>IFERROR(__xludf.DUMMYFUNCTION("""COMPUTED_VALUE"""),46175.52803291667)</f>
        <v>46175.52803</v>
      </c>
      <c r="C574" s="3" t="str">
        <f>IFERROR(__xludf.DUMMYFUNCTION("""COMPUTED_VALUE"""),"ชั้นปีที่ 2")</f>
        <v>ชั้นปีที่ 2</v>
      </c>
      <c r="D574" s="3" t="str">
        <f>IFERROR(__xludf.DUMMYFUNCTION("""COMPUTED_VALUE"""),"6703858")</f>
        <v>6703858</v>
      </c>
      <c r="E574" s="3" t="str">
        <f>IFERROR(__xludf.DUMMYFUNCTION("""COMPUTED_VALUE"""),"39")</f>
        <v>39</v>
      </c>
      <c r="F574" s="3" t="str">
        <f>IFERROR(__xludf.DUMMYFUNCTION("""COMPUTED_VALUE"""),"นพอ.พิชชาภา  เรืองจุ้ย")</f>
        <v>นพอ.พิชชาภา  เรืองจุ้ย</v>
      </c>
      <c r="G57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4" s="3" t="str">
        <f>IFERROR(__xludf.DUMMYFUNCTION("""COMPUTED_VALUE"""),"เข้าร่วมงานวันเด็กแห่งชาติ")</f>
        <v>เข้าร่วมงานวันเด็กแห่งชาติ</v>
      </c>
      <c r="I574" s="3" t="str">
        <f>IFERROR(__xludf.DUMMYFUNCTION("""COMPUTED_VALUE"""),"กองบิน6")</f>
        <v>กองบิน6</v>
      </c>
      <c r="J574" s="12">
        <f>IFERROR(__xludf.DUMMYFUNCTION("""COMPUTED_VALUE"""),46032.0)</f>
        <v>46032</v>
      </c>
      <c r="K574" s="3" t="str">
        <f>IFERROR(__xludf.DUMMYFUNCTION("""COMPUTED_VALUE"""),"0600-1400")</f>
        <v>0600-1400</v>
      </c>
      <c r="L574" s="3">
        <f>IFERROR(__xludf.DUMMYFUNCTION("""COMPUTED_VALUE"""),8.0)</f>
        <v>8</v>
      </c>
      <c r="M574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74" s="14" t="str">
        <f>IFERROR(__xludf.DUMMYFUNCTION("""COMPUTED_VALUE"""),"https://lh5.googleusercontent.com/d/1_PdMWWge33-65brZGz3W9wmKqRYCHSPb")</f>
        <v>https://lh5.googleusercontent.com/d/1_PdMWWge33-65brZGz3W9wmKqRYCHSPb</v>
      </c>
      <c r="O574" s="14" t="str">
        <f>IFERROR(__xludf.DUMMYFUNCTION("""COMPUTED_VALUE"""),"https://drive.google.com/file/d/1sk0Miuny4xHWyWhMVodF3Wa8mzruCW8B/view?usp=drivesdk")</f>
        <v>https://drive.google.com/file/d/1sk0Miuny4xHWyWhMVodF3Wa8mzruCW8B/view?usp=drivesdk</v>
      </c>
    </row>
    <row r="575">
      <c r="A575" s="3">
        <f>IFERROR(__xludf.DUMMYFUNCTION("""COMPUTED_VALUE"""),2642.0)</f>
        <v>2642</v>
      </c>
      <c r="B575" s="11">
        <f>IFERROR(__xludf.DUMMYFUNCTION("""COMPUTED_VALUE"""),46175.52976239583)</f>
        <v>46175.52976</v>
      </c>
      <c r="C575" s="3" t="str">
        <f>IFERROR(__xludf.DUMMYFUNCTION("""COMPUTED_VALUE"""),"ชั้นปีที่ 2")</f>
        <v>ชั้นปีที่ 2</v>
      </c>
      <c r="D575" s="3" t="str">
        <f>IFERROR(__xludf.DUMMYFUNCTION("""COMPUTED_VALUE"""),"6703825")</f>
        <v>6703825</v>
      </c>
      <c r="E575" s="3" t="str">
        <f>IFERROR(__xludf.DUMMYFUNCTION("""COMPUTED_VALUE"""),"8")</f>
        <v>8</v>
      </c>
      <c r="F575" s="3" t="str">
        <f>IFERROR(__xludf.DUMMYFUNCTION("""COMPUTED_VALUE"""),"นพอ.จิราภา กลิ่นมณฑา")</f>
        <v>นพอ.จิราภา กลิ่นมณฑา</v>
      </c>
      <c r="G575" s="3" t="str">
        <f>IFERROR(__xludf.DUMMYFUNCTION("""COMPUTED_VALUE"""),"ช่วยเหลืองานภายใน วพอ.")</f>
        <v>ช่วยเหลืองานภายใน วพอ.</v>
      </c>
      <c r="H57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5" s="3" t="str">
        <f>IFERROR(__xludf.DUMMYFUNCTION("""COMPUTED_VALUE"""),"หอประชุมธูปะเตมีย์")</f>
        <v>หอประชุมธูปะเตมีย์</v>
      </c>
      <c r="J575" s="12">
        <f>IFERROR(__xludf.DUMMYFUNCTION("""COMPUTED_VALUE"""),46139.0)</f>
        <v>46139</v>
      </c>
      <c r="K575" s="3" t="str">
        <f>IFERROR(__xludf.DUMMYFUNCTION("""COMPUTED_VALUE"""),"1700-2100")</f>
        <v>1700-2100</v>
      </c>
      <c r="L575" s="3">
        <f>IFERROR(__xludf.DUMMYFUNCTION("""COMPUTED_VALUE"""),4.0)</f>
        <v>4</v>
      </c>
      <c r="M575" s="3" t="str">
        <f>IFERROR(__xludf.DUMMYFUNCTION("""COMPUTED_VALUE"""),"ร.อ.อนุชิต ทำจะดี")</f>
        <v>ร.อ.อนุชิต ทำจะดี</v>
      </c>
      <c r="N575" s="14" t="str">
        <f>IFERROR(__xludf.DUMMYFUNCTION("""COMPUTED_VALUE"""),"https://lh5.googleusercontent.com/d/160JGvnnFZtAXpU1fDprU8GXZRTybH4iM")</f>
        <v>https://lh5.googleusercontent.com/d/160JGvnnFZtAXpU1fDprU8GXZRTybH4iM</v>
      </c>
      <c r="O575" s="14" t="str">
        <f>IFERROR(__xludf.DUMMYFUNCTION("""COMPUTED_VALUE"""),"https://drive.google.com/file/d/1AHkmwo3sjgk3BgRlp0fbNXvAtIENnEbn/view?usp=drivesdk")</f>
        <v>https://drive.google.com/file/d/1AHkmwo3sjgk3BgRlp0fbNXvAtIENnEbn/view?usp=drivesdk</v>
      </c>
    </row>
    <row r="576">
      <c r="A576" s="3">
        <f>IFERROR(__xludf.DUMMYFUNCTION("""COMPUTED_VALUE"""),2643.0)</f>
        <v>2643</v>
      </c>
      <c r="B576" s="11">
        <f>IFERROR(__xludf.DUMMYFUNCTION("""COMPUTED_VALUE"""),46175.53015233796)</f>
        <v>46175.53015</v>
      </c>
      <c r="C576" s="3" t="str">
        <f>IFERROR(__xludf.DUMMYFUNCTION("""COMPUTED_VALUE"""),"ชั้นปีที่ 2")</f>
        <v>ชั้นปีที่ 2</v>
      </c>
      <c r="D576" s="3" t="str">
        <f>IFERROR(__xludf.DUMMYFUNCTION("""COMPUTED_VALUE"""),"6703874")</f>
        <v>6703874</v>
      </c>
      <c r="E576" s="3" t="str">
        <f>IFERROR(__xludf.DUMMYFUNCTION("""COMPUTED_VALUE"""),"54")</f>
        <v>54</v>
      </c>
      <c r="F576" s="3" t="str">
        <f>IFERROR(__xludf.DUMMYFUNCTION("""COMPUTED_VALUE"""),"นพอ.สรารัตน์ หาญจันทร์")</f>
        <v>นพอ.สรารัตน์ หาญจันทร์</v>
      </c>
      <c r="G57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76" s="3" t="str">
        <f>IFERROR(__xludf.DUMMYFUNCTION("""COMPUTED_VALUE"""),"สถานกีฬากองทัพอากาศธูปะเตมีย์")</f>
        <v>สถานกีฬากองทัพอากาศธูปะเตมีย์</v>
      </c>
      <c r="J576" s="12">
        <f>IFERROR(__xludf.DUMMYFUNCTION("""COMPUTED_VALUE"""),46078.0)</f>
        <v>46078</v>
      </c>
      <c r="K576" s="3" t="str">
        <f>IFERROR(__xludf.DUMMYFUNCTION("""COMPUTED_VALUE"""),"1200-2000")</f>
        <v>1200-2000</v>
      </c>
      <c r="L576" s="3">
        <f>IFERROR(__xludf.DUMMYFUNCTION("""COMPUTED_VALUE"""),8.0)</f>
        <v>8</v>
      </c>
      <c r="M57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76" s="14" t="str">
        <f>IFERROR(__xludf.DUMMYFUNCTION("""COMPUTED_VALUE"""),"https://lh5.googleusercontent.com/d/1kzSTSBKwTI4D7nWAFZNUu0RZEUvlLVhn")</f>
        <v>https://lh5.googleusercontent.com/d/1kzSTSBKwTI4D7nWAFZNUu0RZEUvlLVhn</v>
      </c>
      <c r="O576" s="14" t="str">
        <f>IFERROR(__xludf.DUMMYFUNCTION("""COMPUTED_VALUE"""),"https://drive.google.com/file/d/19gV5I2dEhUlscWFUhgLy2llEV-djrPJm/view?usp=drivesdk")</f>
        <v>https://drive.google.com/file/d/19gV5I2dEhUlscWFUhgLy2llEV-djrPJm/view?usp=drivesdk</v>
      </c>
    </row>
    <row r="577">
      <c r="A577" s="3">
        <f>IFERROR(__xludf.DUMMYFUNCTION("""COMPUTED_VALUE"""),2644.0)</f>
        <v>2644</v>
      </c>
      <c r="B577" s="11">
        <f>IFERROR(__xludf.DUMMYFUNCTION("""COMPUTED_VALUE"""),46175.53265458333)</f>
        <v>46175.53265</v>
      </c>
      <c r="C577" s="3" t="str">
        <f>IFERROR(__xludf.DUMMYFUNCTION("""COMPUTED_VALUE"""),"ชั้นปีที่ 2")</f>
        <v>ชั้นปีที่ 2</v>
      </c>
      <c r="D577" s="3" t="str">
        <f>IFERROR(__xludf.DUMMYFUNCTION("""COMPUTED_VALUE"""),"6703830")</f>
        <v>6703830</v>
      </c>
      <c r="E577" s="3" t="str">
        <f>IFERROR(__xludf.DUMMYFUNCTION("""COMPUTED_VALUE"""),"13")</f>
        <v>13</v>
      </c>
      <c r="F577" s="3" t="str">
        <f>IFERROR(__xludf.DUMMYFUNCTION("""COMPUTED_VALUE"""),"นพอ.โชติกา กัลศักดิ์ปภา")</f>
        <v>นพอ.โชติกา กัลศักดิ์ปภา</v>
      </c>
      <c r="G577" s="3" t="str">
        <f>IFERROR(__xludf.DUMMYFUNCTION("""COMPUTED_VALUE"""),"ช่วยเหลืองานภายใน วพอ.")</f>
        <v>ช่วยเหลืองานภายใน วพอ.</v>
      </c>
      <c r="H57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7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77" s="12">
        <f>IFERROR(__xludf.DUMMYFUNCTION("""COMPUTED_VALUE"""),46139.0)</f>
        <v>46139</v>
      </c>
      <c r="K577" s="3" t="str">
        <f>IFERROR(__xludf.DUMMYFUNCTION("""COMPUTED_VALUE"""),"1700-2100")</f>
        <v>1700-2100</v>
      </c>
      <c r="L577" s="3">
        <f>IFERROR(__xludf.DUMMYFUNCTION("""COMPUTED_VALUE"""),4.0)</f>
        <v>4</v>
      </c>
      <c r="M577" s="3" t="str">
        <f>IFERROR(__xludf.DUMMYFUNCTION("""COMPUTED_VALUE"""),"ร.อ.อนุชิต ทำจะดี")</f>
        <v>ร.อ.อนุชิต ทำจะดี</v>
      </c>
      <c r="N577" s="14" t="str">
        <f>IFERROR(__xludf.DUMMYFUNCTION("""COMPUTED_VALUE"""),"https://lh5.googleusercontent.com/d/1EWtNEW5LkjWKj1ghjBrh_K53hFa_G_oI")</f>
        <v>https://lh5.googleusercontent.com/d/1EWtNEW5LkjWKj1ghjBrh_K53hFa_G_oI</v>
      </c>
      <c r="O577" s="14" t="str">
        <f>IFERROR(__xludf.DUMMYFUNCTION("""COMPUTED_VALUE"""),"https://drive.google.com/file/d/1muKhtVe3GPvxyeU9PWFAnDcNmvHMe3Ky/view?usp=drivesdk")</f>
        <v>https://drive.google.com/file/d/1muKhtVe3GPvxyeU9PWFAnDcNmvHMe3Ky/view?usp=drivesdk</v>
      </c>
    </row>
    <row r="578">
      <c r="A578" s="3">
        <f>IFERROR(__xludf.DUMMYFUNCTION("""COMPUTED_VALUE"""),2645.0)</f>
        <v>2645</v>
      </c>
      <c r="B578" s="11">
        <f>IFERROR(__xludf.DUMMYFUNCTION("""COMPUTED_VALUE"""),46175.53273626157)</f>
        <v>46175.53274</v>
      </c>
      <c r="C578" s="3" t="str">
        <f>IFERROR(__xludf.DUMMYFUNCTION("""COMPUTED_VALUE"""),"ชั้นปีที่ 2")</f>
        <v>ชั้นปีที่ 2</v>
      </c>
      <c r="D578" s="3" t="str">
        <f>IFERROR(__xludf.DUMMYFUNCTION("""COMPUTED_VALUE"""),"6703858")</f>
        <v>6703858</v>
      </c>
      <c r="E578" s="3" t="str">
        <f>IFERROR(__xludf.DUMMYFUNCTION("""COMPUTED_VALUE"""),"39")</f>
        <v>39</v>
      </c>
      <c r="F578" s="3" t="str">
        <f>IFERROR(__xludf.DUMMYFUNCTION("""COMPUTED_VALUE"""),"นพอ.พิชชาภา  เรืองจุ้ย")</f>
        <v>นพอ.พิชชาภา  เรืองจุ้ย</v>
      </c>
      <c r="G57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8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78" s="3" t="str">
        <f>IFERROR(__xludf.DUMMYFUNCTION("""COMPUTED_VALUE"""),"สนามกีฬาธูปะเตมีย์")</f>
        <v>สนามกีฬาธูปะเตมีย์</v>
      </c>
      <c r="J578" s="12">
        <f>IFERROR(__xludf.DUMMYFUNCTION("""COMPUTED_VALUE"""),46078.0)</f>
        <v>46078</v>
      </c>
      <c r="K578" s="3" t="str">
        <f>IFERROR(__xludf.DUMMYFUNCTION("""COMPUTED_VALUE"""),"1200-2000")</f>
        <v>1200-2000</v>
      </c>
      <c r="L578" s="3">
        <f>IFERROR(__xludf.DUMMYFUNCTION("""COMPUTED_VALUE"""),8.0)</f>
        <v>8</v>
      </c>
      <c r="M578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78" s="14" t="str">
        <f>IFERROR(__xludf.DUMMYFUNCTION("""COMPUTED_VALUE"""),"https://lh5.googleusercontent.com/d/1dpE_9SPYEz0ASG1wG827FB6yfjKkTumt")</f>
        <v>https://lh5.googleusercontent.com/d/1dpE_9SPYEz0ASG1wG827FB6yfjKkTumt</v>
      </c>
      <c r="O578" s="14" t="str">
        <f>IFERROR(__xludf.DUMMYFUNCTION("""COMPUTED_VALUE"""),"https://drive.google.com/file/d/1Ibz3eifcW4RxnMhWogI8j5bcWTk2idvn/view?usp=drivesdk")</f>
        <v>https://drive.google.com/file/d/1Ibz3eifcW4RxnMhWogI8j5bcWTk2idvn/view?usp=drivesdk</v>
      </c>
    </row>
    <row r="579">
      <c r="A579" s="3">
        <f>IFERROR(__xludf.DUMMYFUNCTION("""COMPUTED_VALUE"""),2646.0)</f>
        <v>2646</v>
      </c>
      <c r="B579" s="11">
        <f>IFERROR(__xludf.DUMMYFUNCTION("""COMPUTED_VALUE"""),46175.5336440625)</f>
        <v>46175.53364</v>
      </c>
      <c r="C579" s="3" t="str">
        <f>IFERROR(__xludf.DUMMYFUNCTION("""COMPUTED_VALUE"""),"ชั้นปีที่ 2")</f>
        <v>ชั้นปีที่ 2</v>
      </c>
      <c r="D579" s="3" t="str">
        <f>IFERROR(__xludf.DUMMYFUNCTION("""COMPUTED_VALUE"""),"6703823")</f>
        <v>6703823</v>
      </c>
      <c r="E579" s="3" t="str">
        <f>IFERROR(__xludf.DUMMYFUNCTION("""COMPUTED_VALUE"""),"6")</f>
        <v>6</v>
      </c>
      <c r="F579" s="3" t="str">
        <f>IFERROR(__xludf.DUMMYFUNCTION("""COMPUTED_VALUE"""),"นพอ.ข้าวขวัญ ดุจธรรมสาร")</f>
        <v>นพอ.ข้าวขวัญ ดุจธรรมสาร</v>
      </c>
      <c r="G5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9" s="3" t="str">
        <f>IFERROR(__xludf.DUMMYFUNCTION("""COMPUTED_VALUE"""),"ค่ายเยาวชนพัฒนา ครั้งที่ 215")</f>
        <v>ค่ายเยาวชนพัฒนา ครั้งที่ 215</v>
      </c>
      <c r="I579" s="3" t="str">
        <f>IFERROR(__xludf.DUMMYFUNCTION("""COMPUTED_VALUE"""),"วัดสามบัณฑิต จ.อยุธยา")</f>
        <v>วัดสามบัณฑิต จ.อยุธยา</v>
      </c>
      <c r="J579" s="12">
        <f>IFERROR(__xludf.DUMMYFUNCTION("""COMPUTED_VALUE"""),46136.0)</f>
        <v>46136</v>
      </c>
      <c r="K579" s="3" t="str">
        <f>IFERROR(__xludf.DUMMYFUNCTION("""COMPUTED_VALUE"""),"1600-2400")</f>
        <v>1600-2400</v>
      </c>
      <c r="L579" s="3">
        <f>IFERROR(__xludf.DUMMYFUNCTION("""COMPUTED_VALUE"""),8.0)</f>
        <v>8</v>
      </c>
      <c r="M57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79" s="14" t="str">
        <f>IFERROR(__xludf.DUMMYFUNCTION("""COMPUTED_VALUE"""),"https://lh5.googleusercontent.com/d/1GxDu7wIDVRNfMGbyXVx5ixDJopN-PwOi")</f>
        <v>https://lh5.googleusercontent.com/d/1GxDu7wIDVRNfMGbyXVx5ixDJopN-PwOi</v>
      </c>
      <c r="O579" s="14" t="str">
        <f>IFERROR(__xludf.DUMMYFUNCTION("""COMPUTED_VALUE"""),"https://drive.google.com/file/d/1GCxldfUtLPc8Kx4apsPOpM-pQRot2Rgz/view?usp=drivesdk")</f>
        <v>https://drive.google.com/file/d/1GCxldfUtLPc8Kx4apsPOpM-pQRot2Rgz/view?usp=drivesdk</v>
      </c>
    </row>
    <row r="580">
      <c r="A580" s="3">
        <f>IFERROR(__xludf.DUMMYFUNCTION("""COMPUTED_VALUE"""),2647.0)</f>
        <v>2647</v>
      </c>
      <c r="B580" s="11">
        <f>IFERROR(__xludf.DUMMYFUNCTION("""COMPUTED_VALUE"""),46175.53425474536)</f>
        <v>46175.53425</v>
      </c>
      <c r="C580" s="3" t="str">
        <f>IFERROR(__xludf.DUMMYFUNCTION("""COMPUTED_VALUE"""),"ชั้นปีที่ 2")</f>
        <v>ชั้นปีที่ 2</v>
      </c>
      <c r="D580" s="3" t="str">
        <f>IFERROR(__xludf.DUMMYFUNCTION("""COMPUTED_VALUE"""),"6703877")</f>
        <v>6703877</v>
      </c>
      <c r="E580" s="3" t="str">
        <f>IFERROR(__xludf.DUMMYFUNCTION("""COMPUTED_VALUE"""),"57")</f>
        <v>57</v>
      </c>
      <c r="F580" s="3" t="str">
        <f>IFERROR(__xludf.DUMMYFUNCTION("""COMPUTED_VALUE"""),"นพอ.สุชารัตน์ นิวงษา")</f>
        <v>นพอ.สุชารัตน์ นิวงษา</v>
      </c>
      <c r="G580" s="3" t="str">
        <f>IFERROR(__xludf.DUMMYFUNCTION("""COMPUTED_VALUE"""),"ช่วยเหลืองานภายใน วพอ.")</f>
        <v>ช่วยเหลืองานภายใน วพอ.</v>
      </c>
      <c r="H580" s="3" t="str">
        <f>IFERROR(__xludf.DUMMYFUNCTION("""COMPUTED_VALUE"""),"ทดสอบสมรรถภาพร่างกาย นพอ.69")</f>
        <v>ทดสอบสมรรถภาพร่างกาย นพอ.69</v>
      </c>
      <c r="I580" s="3" t="str">
        <f>IFERROR(__xludf.DUMMYFUNCTION("""COMPUTED_VALUE"""),"สนามกีฬาจันทรุเบกษา")</f>
        <v>สนามกีฬาจันทรุเบกษา</v>
      </c>
      <c r="J580" s="12">
        <f>IFERROR(__xludf.DUMMYFUNCTION("""COMPUTED_VALUE"""),46147.0)</f>
        <v>46147</v>
      </c>
      <c r="K580" s="3" t="str">
        <f>IFERROR(__xludf.DUMMYFUNCTION("""COMPUTED_VALUE"""),"1600-1900")</f>
        <v>1600-1900</v>
      </c>
      <c r="L580" s="3">
        <f>IFERROR(__xludf.DUMMYFUNCTION("""COMPUTED_VALUE"""),3.0)</f>
        <v>3</v>
      </c>
      <c r="M580" s="3" t="str">
        <f>IFERROR(__xludf.DUMMYFUNCTION("""COMPUTED_VALUE"""),"น.ต.ศักดิ์ชัย บุญประสิทธิ์")</f>
        <v>น.ต.ศักดิ์ชัย บุญประสิทธิ์</v>
      </c>
      <c r="N580" s="14" t="str">
        <f>IFERROR(__xludf.DUMMYFUNCTION("""COMPUTED_VALUE"""),"https://lh5.googleusercontent.com/d/1MT0_3KIbRwLh6jDn4nQPqGsjIeY_FsyI")</f>
        <v>https://lh5.googleusercontent.com/d/1MT0_3KIbRwLh6jDn4nQPqGsjIeY_FsyI</v>
      </c>
      <c r="O580" s="14" t="str">
        <f>IFERROR(__xludf.DUMMYFUNCTION("""COMPUTED_VALUE"""),"https://drive.google.com/file/d/1MeeeVmJm5ozhP6_qkI4-TC-Uw4drPisV/view?usp=drivesdk")</f>
        <v>https://drive.google.com/file/d/1MeeeVmJm5ozhP6_qkI4-TC-Uw4drPisV/view?usp=drivesdk</v>
      </c>
    </row>
    <row r="581">
      <c r="A581" s="3">
        <f>IFERROR(__xludf.DUMMYFUNCTION("""COMPUTED_VALUE"""),2649.0)</f>
        <v>2649</v>
      </c>
      <c r="B581" s="11">
        <f>IFERROR(__xludf.DUMMYFUNCTION("""COMPUTED_VALUE"""),46175.53496508102)</f>
        <v>46175.53497</v>
      </c>
      <c r="C581" s="3" t="str">
        <f>IFERROR(__xludf.DUMMYFUNCTION("""COMPUTED_VALUE"""),"ชั้นปีที่ 2")</f>
        <v>ชั้นปีที่ 2</v>
      </c>
      <c r="D581" s="3" t="str">
        <f>IFERROR(__xludf.DUMMYFUNCTION("""COMPUTED_VALUE"""),"6703858")</f>
        <v>6703858</v>
      </c>
      <c r="E581" s="3" t="str">
        <f>IFERROR(__xludf.DUMMYFUNCTION("""COMPUTED_VALUE"""),"39")</f>
        <v>39</v>
      </c>
      <c r="F581" s="3" t="str">
        <f>IFERROR(__xludf.DUMMYFUNCTION("""COMPUTED_VALUE"""),"นพอ.พิชชาภา  เรืองจุ้ย")</f>
        <v>นพอ.พิชชาภา  เรืองจุ้ย</v>
      </c>
      <c r="G581" s="3" t="str">
        <f>IFERROR(__xludf.DUMMYFUNCTION("""COMPUTED_VALUE"""),"ช่วยเหลืองานภายใน วพอ.")</f>
        <v>ช่วยเหลืองานภายใน วพอ.</v>
      </c>
      <c r="H581" s="3" t="str">
        <f>IFERROR(__xludf.DUMMYFUNCTION("""COMPUTED_VALUE"""),"ทดสอบสมรรถภาพร่างกาย นพอ.69")</f>
        <v>ทดสอบสมรรถภาพร่างกาย นพอ.69</v>
      </c>
      <c r="I581" s="3" t="str">
        <f>IFERROR(__xludf.DUMMYFUNCTION("""COMPUTED_VALUE"""),"สนามจันทรุเบกษา")</f>
        <v>สนามจันทรุเบกษา</v>
      </c>
      <c r="J581" s="12">
        <f>IFERROR(__xludf.DUMMYFUNCTION("""COMPUTED_VALUE"""),46147.0)</f>
        <v>46147</v>
      </c>
      <c r="K581" s="3" t="str">
        <f>IFERROR(__xludf.DUMMYFUNCTION("""COMPUTED_VALUE"""),"1600-1900")</f>
        <v>1600-1900</v>
      </c>
      <c r="L581" s="3">
        <f>IFERROR(__xludf.DUMMYFUNCTION("""COMPUTED_VALUE"""),3.0)</f>
        <v>3</v>
      </c>
      <c r="M581" s="3" t="str">
        <f>IFERROR(__xludf.DUMMYFUNCTION("""COMPUTED_VALUE""")," น.ต.ศักชัย บุญประสิทธิ์")</f>
        <v> น.ต.ศักชัย บุญประสิทธิ์</v>
      </c>
      <c r="N581" s="14" t="str">
        <f>IFERROR(__xludf.DUMMYFUNCTION("""COMPUTED_VALUE"""),"https://lh5.googleusercontent.com/d/1TuDY_7WYgX5gxOiTvAriyx19-yc_lPIl")</f>
        <v>https://lh5.googleusercontent.com/d/1TuDY_7WYgX5gxOiTvAriyx19-yc_lPIl</v>
      </c>
      <c r="O581" s="14" t="str">
        <f>IFERROR(__xludf.DUMMYFUNCTION("""COMPUTED_VALUE"""),"https://drive.google.com/file/d/1YeKRMUQ-JAFkGGay0UgwOTM7we0SOQWo/view?usp=drivesdk")</f>
        <v>https://drive.google.com/file/d/1YeKRMUQ-JAFkGGay0UgwOTM7we0SOQWo/view?usp=drivesdk</v>
      </c>
    </row>
    <row r="582">
      <c r="A582" s="3">
        <f>IFERROR(__xludf.DUMMYFUNCTION("""COMPUTED_VALUE"""),2650.0)</f>
        <v>2650</v>
      </c>
      <c r="B582" s="11">
        <f>IFERROR(__xludf.DUMMYFUNCTION("""COMPUTED_VALUE"""),46175.53574724537)</f>
        <v>46175.53575</v>
      </c>
      <c r="C582" s="3" t="str">
        <f>IFERROR(__xludf.DUMMYFUNCTION("""COMPUTED_VALUE"""),"ชั้นปีที่ 2")</f>
        <v>ชั้นปีที่ 2</v>
      </c>
      <c r="D582" s="3" t="str">
        <f>IFERROR(__xludf.DUMMYFUNCTION("""COMPUTED_VALUE"""),"6703830")</f>
        <v>6703830</v>
      </c>
      <c r="E582" s="3" t="str">
        <f>IFERROR(__xludf.DUMMYFUNCTION("""COMPUTED_VALUE"""),"13")</f>
        <v>13</v>
      </c>
      <c r="F582" s="3" t="str">
        <f>IFERROR(__xludf.DUMMYFUNCTION("""COMPUTED_VALUE"""),"นพอ.โชติกา กัลศักดิ์ปภา")</f>
        <v>นพอ.โชติกา กัลศักดิ์ปภา</v>
      </c>
      <c r="G582" s="3" t="str">
        <f>IFERROR(__xludf.DUMMYFUNCTION("""COMPUTED_VALUE"""),"ช่วยเหลืองานภายใน วพอ.")</f>
        <v>ช่วยเหลืองานภายใน วพอ.</v>
      </c>
      <c r="H58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2" s="3" t="str">
        <f>IFERROR(__xludf.DUMMYFUNCTION("""COMPUTED_VALUE"""),"วพอ.พอ.")</f>
        <v>วพอ.พอ.</v>
      </c>
      <c r="J582" s="12">
        <f>IFERROR(__xludf.DUMMYFUNCTION("""COMPUTED_VALUE"""),46138.0)</f>
        <v>46138</v>
      </c>
      <c r="K582" s="3" t="str">
        <f>IFERROR(__xludf.DUMMYFUNCTION("""COMPUTED_VALUE"""),"1300-2100")</f>
        <v>1300-2100</v>
      </c>
      <c r="L582" s="3">
        <f>IFERROR(__xludf.DUMMYFUNCTION("""COMPUTED_VALUE"""),8.0)</f>
        <v>8</v>
      </c>
      <c r="M582" s="3" t="str">
        <f>IFERROR(__xludf.DUMMYFUNCTION("""COMPUTED_VALUE"""),"ร.อ.อนุชิต ทำจะดี")</f>
        <v>ร.อ.อนุชิต ทำจะดี</v>
      </c>
      <c r="N582" s="14" t="str">
        <f>IFERROR(__xludf.DUMMYFUNCTION("""COMPUTED_VALUE"""),"https://lh5.googleusercontent.com/d/1liEngRYIK5Yb0dQfpCwGEjbizZFhOfnG")</f>
        <v>https://lh5.googleusercontent.com/d/1liEngRYIK5Yb0dQfpCwGEjbizZFhOfnG</v>
      </c>
      <c r="O582" s="14" t="str">
        <f>IFERROR(__xludf.DUMMYFUNCTION("""COMPUTED_VALUE"""),"https://drive.google.com/file/d/1kFG3ZOPL7Oo13EoYxK8S5mgyQQnxDiKc/view?usp=drivesdk")</f>
        <v>https://drive.google.com/file/d/1kFG3ZOPL7Oo13EoYxK8S5mgyQQnxDiKc/view?usp=drivesdk</v>
      </c>
    </row>
    <row r="583">
      <c r="A583" s="3">
        <f>IFERROR(__xludf.DUMMYFUNCTION("""COMPUTED_VALUE"""),2652.0)</f>
        <v>2652</v>
      </c>
      <c r="B583" s="11">
        <f>IFERROR(__xludf.DUMMYFUNCTION("""COMPUTED_VALUE"""),46175.537256759264)</f>
        <v>46175.53726</v>
      </c>
      <c r="C583" s="3" t="str">
        <f>IFERROR(__xludf.DUMMYFUNCTION("""COMPUTED_VALUE"""),"ชั้นปีที่ 2")</f>
        <v>ชั้นปีที่ 2</v>
      </c>
      <c r="D583" s="3" t="str">
        <f>IFERROR(__xludf.DUMMYFUNCTION("""COMPUTED_VALUE"""),"6703823")</f>
        <v>6703823</v>
      </c>
      <c r="E583" s="3" t="str">
        <f>IFERROR(__xludf.DUMMYFUNCTION("""COMPUTED_VALUE"""),"6")</f>
        <v>6</v>
      </c>
      <c r="F583" s="3" t="str">
        <f>IFERROR(__xludf.DUMMYFUNCTION("""COMPUTED_VALUE"""),"นพอ.ข้าวขวัญ ดุจธรรมสาร")</f>
        <v>นพอ.ข้าวขวัญ ดุจธรรมสาร</v>
      </c>
      <c r="G58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83" s="3" t="str">
        <f>IFERROR(__xludf.DUMMYFUNCTION("""COMPUTED_VALUE"""),"ค่ายเยาวชนพัฒนา ครั้งที่ 215")</f>
        <v>ค่ายเยาวชนพัฒนา ครั้งที่ 215</v>
      </c>
      <c r="I583" s="3" t="str">
        <f>IFERROR(__xludf.DUMMYFUNCTION("""COMPUTED_VALUE"""),"วัดสามบัณฑิต จ.อยุธยา")</f>
        <v>วัดสามบัณฑิต จ.อยุธยา</v>
      </c>
      <c r="J583" s="12">
        <f>IFERROR(__xludf.DUMMYFUNCTION("""COMPUTED_VALUE"""),46137.0)</f>
        <v>46137</v>
      </c>
      <c r="K583" s="3" t="str">
        <f>IFERROR(__xludf.DUMMYFUNCTION("""COMPUTED_VALUE"""),"0800-1600")</f>
        <v>0800-1600</v>
      </c>
      <c r="L583" s="3">
        <f>IFERROR(__xludf.DUMMYFUNCTION("""COMPUTED_VALUE"""),8.0)</f>
        <v>8</v>
      </c>
      <c r="M58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83" s="14" t="str">
        <f>IFERROR(__xludf.DUMMYFUNCTION("""COMPUTED_VALUE"""),"https://lh5.googleusercontent.com/d/15CHD7R8U95pGe6IE3PoAqjOMojQkH2ZD")</f>
        <v>https://lh5.googleusercontent.com/d/15CHD7R8U95pGe6IE3PoAqjOMojQkH2ZD</v>
      </c>
      <c r="O583" s="14" t="str">
        <f>IFERROR(__xludf.DUMMYFUNCTION("""COMPUTED_VALUE"""),"https://drive.google.com/file/d/16JiGf3YbUQPCngMwZYTSLjVNbTjAEIFW/view?usp=drivesdk")</f>
        <v>https://drive.google.com/file/d/16JiGf3YbUQPCngMwZYTSLjVNbTjAEIFW/view?usp=drivesdk</v>
      </c>
    </row>
    <row r="584">
      <c r="A584" s="3">
        <f>IFERROR(__xludf.DUMMYFUNCTION("""COMPUTED_VALUE"""),2654.0)</f>
        <v>2654</v>
      </c>
      <c r="B584" s="11">
        <f>IFERROR(__xludf.DUMMYFUNCTION("""COMPUTED_VALUE"""),46175.5381937037)</f>
        <v>46175.53819</v>
      </c>
      <c r="C584" s="3" t="str">
        <f>IFERROR(__xludf.DUMMYFUNCTION("""COMPUTED_VALUE"""),"ชั้นปีที่ 2")</f>
        <v>ชั้นปีที่ 2</v>
      </c>
      <c r="D584" s="3" t="str">
        <f>IFERROR(__xludf.DUMMYFUNCTION("""COMPUTED_VALUE"""),"6703825")</f>
        <v>6703825</v>
      </c>
      <c r="E584" s="3" t="str">
        <f>IFERROR(__xludf.DUMMYFUNCTION("""COMPUTED_VALUE"""),"8")</f>
        <v>8</v>
      </c>
      <c r="F584" s="3" t="str">
        <f>IFERROR(__xludf.DUMMYFUNCTION("""COMPUTED_VALUE"""),"นพอ.จิราภา กลิ่นมณฑา")</f>
        <v>นพอ.จิราภา กลิ่นมณฑา</v>
      </c>
      <c r="G584" s="3" t="str">
        <f>IFERROR(__xludf.DUMMYFUNCTION("""COMPUTED_VALUE"""),"ช่วยเหลืองานภายใน วพอ.")</f>
        <v>ช่วยเหลืองานภายใน วพอ.</v>
      </c>
      <c r="H58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4" s="3" t="str">
        <f>IFERROR(__xludf.DUMMYFUNCTION("""COMPUTED_VALUE"""),"วพอ.พอ.")</f>
        <v>วพอ.พอ.</v>
      </c>
      <c r="J584" s="12">
        <f>IFERROR(__xludf.DUMMYFUNCTION("""COMPUTED_VALUE"""),46133.0)</f>
        <v>46133</v>
      </c>
      <c r="K584" s="3" t="str">
        <f>IFERROR(__xludf.DUMMYFUNCTION("""COMPUTED_VALUE"""),"1700-2100")</f>
        <v>1700-2100</v>
      </c>
      <c r="L584" s="3">
        <f>IFERROR(__xludf.DUMMYFUNCTION("""COMPUTED_VALUE"""),4.0)</f>
        <v>4</v>
      </c>
      <c r="M584" s="3" t="str">
        <f>IFERROR(__xludf.DUMMYFUNCTION("""COMPUTED_VALUE"""),"ร.อ.อนุชิต ทำจะดี")</f>
        <v>ร.อ.อนุชิต ทำจะดี</v>
      </c>
      <c r="N584" s="14" t="str">
        <f>IFERROR(__xludf.DUMMYFUNCTION("""COMPUTED_VALUE"""),"https://lh5.googleusercontent.com/d/1FN6JVQ_LS4fNBr01E7RURws1d95l9IU1")</f>
        <v>https://lh5.googleusercontent.com/d/1FN6JVQ_LS4fNBr01E7RURws1d95l9IU1</v>
      </c>
      <c r="O584" s="14" t="str">
        <f>IFERROR(__xludf.DUMMYFUNCTION("""COMPUTED_VALUE"""),"https://drive.google.com/file/d/1foO35ta4ogzlR3cGx3QTCSwg3wlriV2r/view?usp=drivesdk")</f>
        <v>https://drive.google.com/file/d/1foO35ta4ogzlR3cGx3QTCSwg3wlriV2r/view?usp=drivesdk</v>
      </c>
    </row>
    <row r="585">
      <c r="A585" s="3">
        <f>IFERROR(__xludf.DUMMYFUNCTION("""COMPUTED_VALUE"""),2655.0)</f>
        <v>2655</v>
      </c>
      <c r="B585" s="11">
        <f>IFERROR(__xludf.DUMMYFUNCTION("""COMPUTED_VALUE"""),46175.53822890046)</f>
        <v>46175.53823</v>
      </c>
      <c r="C585" s="3" t="str">
        <f>IFERROR(__xludf.DUMMYFUNCTION("""COMPUTED_VALUE"""),"ชั้นปีที่ 2")</f>
        <v>ชั้นปีที่ 2</v>
      </c>
      <c r="D585" s="3" t="str">
        <f>IFERROR(__xludf.DUMMYFUNCTION("""COMPUTED_VALUE"""),"6703858")</f>
        <v>6703858</v>
      </c>
      <c r="E585" s="3" t="str">
        <f>IFERROR(__xludf.DUMMYFUNCTION("""COMPUTED_VALUE"""),"39")</f>
        <v>39</v>
      </c>
      <c r="F585" s="3" t="str">
        <f>IFERROR(__xludf.DUMMYFUNCTION("""COMPUTED_VALUE"""),"นพอ.พิชชาภา  เรืองจุ้ย")</f>
        <v>นพอ.พิชชาภา  เรืองจุ้ย</v>
      </c>
      <c r="G585" s="3" t="str">
        <f>IFERROR(__xludf.DUMMYFUNCTION("""COMPUTED_VALUE"""),"ช่วยเหลืองานภายใน วพอ.")</f>
        <v>ช่วยเหลืองานภายใน วพอ.</v>
      </c>
      <c r="H585" s="3" t="str">
        <f>IFERROR(__xludf.DUMMYFUNCTION("""COMPUTED_VALUE"""),"วัดเครื่องแบบ นพอ.69")</f>
        <v>วัดเครื่องแบบ นพอ.69</v>
      </c>
      <c r="I585" s="3" t="str">
        <f>IFERROR(__xludf.DUMMYFUNCTION("""COMPUTED_VALUE"""),"วพอ.พอ.")</f>
        <v>วพอ.พอ.</v>
      </c>
      <c r="J585" s="12">
        <f>IFERROR(__xludf.DUMMYFUNCTION("""COMPUTED_VALUE"""),46167.0)</f>
        <v>46167</v>
      </c>
      <c r="K585" s="3" t="str">
        <f>IFERROR(__xludf.DUMMYFUNCTION("""COMPUTED_VALUE"""),"1000-1300")</f>
        <v>1000-1300</v>
      </c>
      <c r="L585" s="3">
        <f>IFERROR(__xludf.DUMMYFUNCTION("""COMPUTED_VALUE"""),4.0)</f>
        <v>4</v>
      </c>
      <c r="M585" s="3" t="str">
        <f>IFERROR(__xludf.DUMMYFUNCTION("""COMPUTED_VALUE"""),"ร.อ.อนุชิต ทำจะดี")</f>
        <v>ร.อ.อนุชิต ทำจะดี</v>
      </c>
      <c r="N585" s="14" t="str">
        <f>IFERROR(__xludf.DUMMYFUNCTION("""COMPUTED_VALUE"""),"https://lh5.googleusercontent.com/d/1RLbmJo8tqQEDeiq-z-hQlXFHBTwysd0N")</f>
        <v>https://lh5.googleusercontent.com/d/1RLbmJo8tqQEDeiq-z-hQlXFHBTwysd0N</v>
      </c>
      <c r="O585" s="14" t="str">
        <f>IFERROR(__xludf.DUMMYFUNCTION("""COMPUTED_VALUE"""),"https://drive.google.com/file/d/1qjY28jpdb9PSEtkyJ7eBmQrJRacTBr0D/view?usp=drivesdk")</f>
        <v>https://drive.google.com/file/d/1qjY28jpdb9PSEtkyJ7eBmQrJRacTBr0D/view?usp=drivesdk</v>
      </c>
    </row>
    <row r="586">
      <c r="A586" s="3">
        <f>IFERROR(__xludf.DUMMYFUNCTION("""COMPUTED_VALUE"""),2656.0)</f>
        <v>2656</v>
      </c>
      <c r="B586" s="11">
        <f>IFERROR(__xludf.DUMMYFUNCTION("""COMPUTED_VALUE"""),46175.53872859954)</f>
        <v>46175.53873</v>
      </c>
      <c r="C586" s="3" t="str">
        <f>IFERROR(__xludf.DUMMYFUNCTION("""COMPUTED_VALUE"""),"ชั้นปีที่ 2")</f>
        <v>ชั้นปีที่ 2</v>
      </c>
      <c r="D586" s="3" t="str">
        <f>IFERROR(__xludf.DUMMYFUNCTION("""COMPUTED_VALUE"""),"3872")</f>
        <v>3872</v>
      </c>
      <c r="E586" s="3" t="str">
        <f>IFERROR(__xludf.DUMMYFUNCTION("""COMPUTED_VALUE"""),"52")</f>
        <v>52</v>
      </c>
      <c r="F586" s="3" t="str">
        <f>IFERROR(__xludf.DUMMYFUNCTION("""COMPUTED_VALUE"""),"นพอ.ศลิษา สุริยผัส")</f>
        <v>นพอ.ศลิษา สุริยผัส</v>
      </c>
      <c r="G586" s="3" t="str">
        <f>IFERROR(__xludf.DUMMYFUNCTION("""COMPUTED_VALUE"""),"ช่วยเหลืองานภายใน วพอ.")</f>
        <v>ช่วยเหลืองานภายใน วพอ.</v>
      </c>
      <c r="H58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6" s="3" t="str">
        <f>IFERROR(__xludf.DUMMYFUNCTION("""COMPUTED_VALUE"""),"วพอ.พอ.")</f>
        <v>วพอ.พอ.</v>
      </c>
      <c r="J586" s="12">
        <f>IFERROR(__xludf.DUMMYFUNCTION("""COMPUTED_VALUE"""),46133.0)</f>
        <v>46133</v>
      </c>
      <c r="K586" s="3" t="str">
        <f>IFERROR(__xludf.DUMMYFUNCTION("""COMPUTED_VALUE"""),"1700-2100")</f>
        <v>1700-2100</v>
      </c>
      <c r="L586" s="3">
        <f>IFERROR(__xludf.DUMMYFUNCTION("""COMPUTED_VALUE"""),4.0)</f>
        <v>4</v>
      </c>
      <c r="M586" s="3" t="str">
        <f>IFERROR(__xludf.DUMMYFUNCTION("""COMPUTED_VALUE"""),"ร.อ.อนุชิต ทำจะดี")</f>
        <v>ร.อ.อนุชิต ทำจะดี</v>
      </c>
      <c r="N586" s="14" t="str">
        <f>IFERROR(__xludf.DUMMYFUNCTION("""COMPUTED_VALUE"""),"https://lh5.googleusercontent.com/d/1hSc9yu76f8RBblyNfQq-1tlNrWIzjx39")</f>
        <v>https://lh5.googleusercontent.com/d/1hSc9yu76f8RBblyNfQq-1tlNrWIzjx39</v>
      </c>
      <c r="O586" s="14" t="str">
        <f>IFERROR(__xludf.DUMMYFUNCTION("""COMPUTED_VALUE"""),"https://drive.google.com/file/d/1T0p5DTJS8VXP-dNpimCgpGbfviqVb-_d/view?usp=drivesdk")</f>
        <v>https://drive.google.com/file/d/1T0p5DTJS8VXP-dNpimCgpGbfviqVb-_d/view?usp=drivesdk</v>
      </c>
    </row>
    <row r="587">
      <c r="A587" s="3">
        <f>IFERROR(__xludf.DUMMYFUNCTION("""COMPUTED_VALUE"""),2659.0)</f>
        <v>2659</v>
      </c>
      <c r="B587" s="11">
        <f>IFERROR(__xludf.DUMMYFUNCTION("""COMPUTED_VALUE"""),46175.539659016205)</f>
        <v>46175.53966</v>
      </c>
      <c r="C587" s="3" t="str">
        <f>IFERROR(__xludf.DUMMYFUNCTION("""COMPUTED_VALUE"""),"ชั้นปีที่ 2")</f>
        <v>ชั้นปีที่ 2</v>
      </c>
      <c r="D587" s="3" t="str">
        <f>IFERROR(__xludf.DUMMYFUNCTION("""COMPUTED_VALUE"""),"6703822")</f>
        <v>6703822</v>
      </c>
      <c r="E587" s="3" t="str">
        <f>IFERROR(__xludf.DUMMYFUNCTION("""COMPUTED_VALUE"""),"5")</f>
        <v>5</v>
      </c>
      <c r="F587" s="3" t="str">
        <f>IFERROR(__xludf.DUMMYFUNCTION("""COMPUTED_VALUE"""),"นพอ.กัณยวัลย์ เทียนบัญญัติ")</f>
        <v>นพอ.กัณยวัลย์ เทียนบัญญัติ</v>
      </c>
      <c r="G587" s="3" t="str">
        <f>IFERROR(__xludf.DUMMYFUNCTION("""COMPUTED_VALUE"""),"ช่วยเหลืองานภายใน วพอ.")</f>
        <v>ช่วยเหลืองานภายใน วพอ.</v>
      </c>
      <c r="H587" s="3" t="str">
        <f>IFERROR(__xludf.DUMMYFUNCTION("""COMPUTED_VALUE"""),"ทดสอบสมรรถภาพร่างกาย นพอ.69 ")</f>
        <v>ทดสอบสมรรถภาพร่างกาย นพอ.69 </v>
      </c>
      <c r="I587" s="3" t="str">
        <f>IFERROR(__xludf.DUMMYFUNCTION("""COMPUTED_VALUE"""),"สนามกีฬาจันทรุเบกษา")</f>
        <v>สนามกีฬาจันทรุเบกษา</v>
      </c>
      <c r="J587" s="12">
        <f>IFERROR(__xludf.DUMMYFUNCTION("""COMPUTED_VALUE"""),46147.0)</f>
        <v>46147</v>
      </c>
      <c r="K587" s="3" t="str">
        <f>IFERROR(__xludf.DUMMYFUNCTION("""COMPUTED_VALUE"""),"1600-1900")</f>
        <v>1600-1900</v>
      </c>
      <c r="L587" s="3">
        <f>IFERROR(__xludf.DUMMYFUNCTION("""COMPUTED_VALUE"""),3.0)</f>
        <v>3</v>
      </c>
      <c r="M587" s="3" t="str">
        <f>IFERROR(__xludf.DUMMYFUNCTION("""COMPUTED_VALUE"""),"น.ต.ศักชัย บุญประสิทธิ์")</f>
        <v>น.ต.ศักชัย บุญประสิทธิ์</v>
      </c>
      <c r="N587" s="14" t="str">
        <f>IFERROR(__xludf.DUMMYFUNCTION("""COMPUTED_VALUE"""),"https://lh5.googleusercontent.com/d/1bBP2_gsTj_7E_32t0R2qMMmb0Yf3i_V8")</f>
        <v>https://lh5.googleusercontent.com/d/1bBP2_gsTj_7E_32t0R2qMMmb0Yf3i_V8</v>
      </c>
      <c r="O587" s="14" t="str">
        <f>IFERROR(__xludf.DUMMYFUNCTION("""COMPUTED_VALUE"""),"https://drive.google.com/file/d/1MtG74qqrNXu6aqrwyKTiD6IZaLPFLdS8/view?usp=drivesdk")</f>
        <v>https://drive.google.com/file/d/1MtG74qqrNXu6aqrwyKTiD6IZaLPFLdS8/view?usp=drivesdk</v>
      </c>
    </row>
    <row r="588">
      <c r="A588" s="3">
        <f>IFERROR(__xludf.DUMMYFUNCTION("""COMPUTED_VALUE"""),2660.0)</f>
        <v>2660</v>
      </c>
      <c r="B588" s="11">
        <f>IFERROR(__xludf.DUMMYFUNCTION("""COMPUTED_VALUE"""),46175.53973045139)</f>
        <v>46175.53973</v>
      </c>
      <c r="C588" s="3" t="str">
        <f>IFERROR(__xludf.DUMMYFUNCTION("""COMPUTED_VALUE"""),"ชั้นปีที่ 2")</f>
        <v>ชั้นปีที่ 2</v>
      </c>
      <c r="D588" s="3" t="str">
        <f>IFERROR(__xludf.DUMMYFUNCTION("""COMPUTED_VALUE"""),"6703825")</f>
        <v>6703825</v>
      </c>
      <c r="E588" s="3" t="str">
        <f>IFERROR(__xludf.DUMMYFUNCTION("""COMPUTED_VALUE"""),"8")</f>
        <v>8</v>
      </c>
      <c r="F588" s="3" t="str">
        <f>IFERROR(__xludf.DUMMYFUNCTION("""COMPUTED_VALUE"""),"นพอ.จิราภา กลิ่นมณฑา")</f>
        <v>นพอ.จิราภา กลิ่นมณฑา</v>
      </c>
      <c r="G588" s="3" t="str">
        <f>IFERROR(__xludf.DUMMYFUNCTION("""COMPUTED_VALUE"""),"ช่วยเหลืองานภายใน วพอ.")</f>
        <v>ช่วยเหลืองานภายใน วพอ.</v>
      </c>
      <c r="H58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8" s="3" t="str">
        <f>IFERROR(__xludf.DUMMYFUNCTION("""COMPUTED_VALUE"""),"วพอ.พอ.")</f>
        <v>วพอ.พอ.</v>
      </c>
      <c r="J588" s="12">
        <f>IFERROR(__xludf.DUMMYFUNCTION("""COMPUTED_VALUE"""),46134.0)</f>
        <v>46134</v>
      </c>
      <c r="K588" s="3" t="str">
        <f>IFERROR(__xludf.DUMMYFUNCTION("""COMPUTED_VALUE"""),"1700-2100")</f>
        <v>1700-2100</v>
      </c>
      <c r="L588" s="3">
        <f>IFERROR(__xludf.DUMMYFUNCTION("""COMPUTED_VALUE"""),4.0)</f>
        <v>4</v>
      </c>
      <c r="M588" s="3" t="str">
        <f>IFERROR(__xludf.DUMMYFUNCTION("""COMPUTED_VALUE"""),"ร.อ.อนุชิต ทำจะดี")</f>
        <v>ร.อ.อนุชิต ทำจะดี</v>
      </c>
      <c r="N588" s="14" t="str">
        <f>IFERROR(__xludf.DUMMYFUNCTION("""COMPUTED_VALUE"""),"https://lh5.googleusercontent.com/d/1985N9krAcRFvCZ9PDpieHJDDf_lCvOoA")</f>
        <v>https://lh5.googleusercontent.com/d/1985N9krAcRFvCZ9PDpieHJDDf_lCvOoA</v>
      </c>
      <c r="O588" s="14" t="str">
        <f>IFERROR(__xludf.DUMMYFUNCTION("""COMPUTED_VALUE"""),"https://drive.google.com/file/d/1YxRHOhlVoyg2ZywhRAFaZ1DE-Jm1RLym/view?usp=drivesdk")</f>
        <v>https://drive.google.com/file/d/1YxRHOhlVoyg2ZywhRAFaZ1DE-Jm1RLym/view?usp=drivesdk</v>
      </c>
    </row>
    <row r="589">
      <c r="A589" s="3">
        <f>IFERROR(__xludf.DUMMYFUNCTION("""COMPUTED_VALUE"""),2661.0)</f>
        <v>2661</v>
      </c>
      <c r="B589" s="11">
        <f>IFERROR(__xludf.DUMMYFUNCTION("""COMPUTED_VALUE"""),46175.54019420139)</f>
        <v>46175.54019</v>
      </c>
      <c r="C589" s="3" t="str">
        <f>IFERROR(__xludf.DUMMYFUNCTION("""COMPUTED_VALUE"""),"ชั้นปีที่ 2")</f>
        <v>ชั้นปีที่ 2</v>
      </c>
      <c r="D589" s="3" t="str">
        <f>IFERROR(__xludf.DUMMYFUNCTION("""COMPUTED_VALUE"""),"6703854")</f>
        <v>6703854</v>
      </c>
      <c r="E589" s="3" t="str">
        <f>IFERROR(__xludf.DUMMYFUNCTION("""COMPUTED_VALUE"""),"35")</f>
        <v>35</v>
      </c>
      <c r="F589" s="3" t="str">
        <f>IFERROR(__xludf.DUMMYFUNCTION("""COMPUTED_VALUE"""),"นพอ.พชรพร เพ็งภัตรา")</f>
        <v>นพอ.พชรพร เพ็งภัตรา</v>
      </c>
      <c r="G589" s="3" t="str">
        <f>IFERROR(__xludf.DUMMYFUNCTION("""COMPUTED_VALUE"""),"ทำนุบำรุงศาสนสถาน")</f>
        <v>ทำนุบำรุงศาสนสถาน</v>
      </c>
      <c r="H589" s="3" t="str">
        <f>IFERROR(__xludf.DUMMYFUNCTION("""COMPUTED_VALUE"""),"กวานลาดวัด")</f>
        <v>กวานลาดวัด</v>
      </c>
      <c r="I589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589" s="12">
        <f>IFERROR(__xludf.DUMMYFUNCTION("""COMPUTED_VALUE"""),46172.0)</f>
        <v>46172</v>
      </c>
      <c r="K589" s="3" t="str">
        <f>IFERROR(__xludf.DUMMYFUNCTION("""COMPUTED_VALUE"""),"0600-0900")</f>
        <v>0600-0900</v>
      </c>
      <c r="L589" s="3">
        <f>IFERROR(__xludf.DUMMYFUNCTION("""COMPUTED_VALUE"""),3.0)</f>
        <v>3</v>
      </c>
      <c r="M589" s="3" t="str">
        <f>IFERROR(__xludf.DUMMYFUNCTION("""COMPUTED_VALUE"""),"พระมหาวชิรมุนีวงศ์")</f>
        <v>พระมหาวชิรมุนีวงศ์</v>
      </c>
      <c r="N589" s="14" t="str">
        <f>IFERROR(__xludf.DUMMYFUNCTION("""COMPUTED_VALUE"""),"https://lh5.googleusercontent.com/d/1aJSOPOOjjaW-HbyRLKyJw7_MWHldBOve")</f>
        <v>https://lh5.googleusercontent.com/d/1aJSOPOOjjaW-HbyRLKyJw7_MWHldBOve</v>
      </c>
      <c r="O589" s="14" t="str">
        <f>IFERROR(__xludf.DUMMYFUNCTION("""COMPUTED_VALUE"""),"https://drive.google.com/file/d/1rzsEizxgr5BPFCwkPIMD_06cHJOSWS3w/view?usp=drivesdk")</f>
        <v>https://drive.google.com/file/d/1rzsEizxgr5BPFCwkPIMD_06cHJOSWS3w/view?usp=drivesdk</v>
      </c>
    </row>
    <row r="590">
      <c r="A590" s="3">
        <f>IFERROR(__xludf.DUMMYFUNCTION("""COMPUTED_VALUE"""),2662.0)</f>
        <v>2662</v>
      </c>
      <c r="B590" s="11">
        <f>IFERROR(__xludf.DUMMYFUNCTION("""COMPUTED_VALUE"""),46175.540254803236)</f>
        <v>46175.54025</v>
      </c>
      <c r="C590" s="3" t="str">
        <f>IFERROR(__xludf.DUMMYFUNCTION("""COMPUTED_VALUE"""),"ชั้นปีที่ 2")</f>
        <v>ชั้นปีที่ 2</v>
      </c>
      <c r="D590" s="3" t="str">
        <f>IFERROR(__xludf.DUMMYFUNCTION("""COMPUTED_VALUE"""),"3872")</f>
        <v>3872</v>
      </c>
      <c r="E590" s="3" t="str">
        <f>IFERROR(__xludf.DUMMYFUNCTION("""COMPUTED_VALUE"""),"52")</f>
        <v>52</v>
      </c>
      <c r="F590" s="3" t="str">
        <f>IFERROR(__xludf.DUMMYFUNCTION("""COMPUTED_VALUE"""),"นพอ.ศลิษา สุริยผัส")</f>
        <v>นพอ.ศลิษา สุริยผัส</v>
      </c>
      <c r="G590" s="3" t="str">
        <f>IFERROR(__xludf.DUMMYFUNCTION("""COMPUTED_VALUE"""),"ช่วยเหลืองานภายใน วพอ.")</f>
        <v>ช่วยเหลืองานภายใน วพอ.</v>
      </c>
      <c r="H59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0" s="3" t="str">
        <f>IFERROR(__xludf.DUMMYFUNCTION("""COMPUTED_VALUE"""),"วพอ.พอ.")</f>
        <v>วพอ.พอ.</v>
      </c>
      <c r="J590" s="12">
        <f>IFERROR(__xludf.DUMMYFUNCTION("""COMPUTED_VALUE"""),46134.0)</f>
        <v>46134</v>
      </c>
      <c r="K590" s="3" t="str">
        <f>IFERROR(__xludf.DUMMYFUNCTION("""COMPUTED_VALUE"""),"1700-2100")</f>
        <v>1700-2100</v>
      </c>
      <c r="L590" s="3">
        <f>IFERROR(__xludf.DUMMYFUNCTION("""COMPUTED_VALUE"""),4.0)</f>
        <v>4</v>
      </c>
      <c r="M590" s="3" t="str">
        <f>IFERROR(__xludf.DUMMYFUNCTION("""COMPUTED_VALUE"""),"ร.อ.อนุชิต ทำจะดี")</f>
        <v>ร.อ.อนุชิต ทำจะดี</v>
      </c>
      <c r="N590" s="14" t="str">
        <f>IFERROR(__xludf.DUMMYFUNCTION("""COMPUTED_VALUE"""),"https://lh5.googleusercontent.com/d/1nCnTXaNyfzD3la18Jhyj39yD-7nEOK4y")</f>
        <v>https://lh5.googleusercontent.com/d/1nCnTXaNyfzD3la18Jhyj39yD-7nEOK4y</v>
      </c>
      <c r="O590" s="14" t="str">
        <f>IFERROR(__xludf.DUMMYFUNCTION("""COMPUTED_VALUE"""),"https://drive.google.com/file/d/1X-ENGDkuWat10qOp2ImDR1cnIXoZdY7I/view?usp=drivesdk")</f>
        <v>https://drive.google.com/file/d/1X-ENGDkuWat10qOp2ImDR1cnIXoZdY7I/view?usp=drivesdk</v>
      </c>
    </row>
    <row r="591">
      <c r="A591" s="3">
        <f>IFERROR(__xludf.DUMMYFUNCTION("""COMPUTED_VALUE"""),2663.0)</f>
        <v>2663</v>
      </c>
      <c r="B591" s="11">
        <f>IFERROR(__xludf.DUMMYFUNCTION("""COMPUTED_VALUE"""),46175.540755057875)</f>
        <v>46175.54076</v>
      </c>
      <c r="C591" s="3" t="str">
        <f>IFERROR(__xludf.DUMMYFUNCTION("""COMPUTED_VALUE"""),"ชั้นปีที่ 2")</f>
        <v>ชั้นปีที่ 2</v>
      </c>
      <c r="D591" s="3" t="str">
        <f>IFERROR(__xludf.DUMMYFUNCTION("""COMPUTED_VALUE"""),"6703818")</f>
        <v>6703818</v>
      </c>
      <c r="E591" s="3" t="str">
        <f>IFERROR(__xludf.DUMMYFUNCTION("""COMPUTED_VALUE"""),"1")</f>
        <v>1</v>
      </c>
      <c r="F591" s="3" t="str">
        <f>IFERROR(__xludf.DUMMYFUNCTION("""COMPUTED_VALUE"""),"นพอ.กนกวรรณ จิณเสน")</f>
        <v>นพอ.กนกวรรณ จิณเสน</v>
      </c>
      <c r="G591" s="3" t="str">
        <f>IFERROR(__xludf.DUMMYFUNCTION("""COMPUTED_VALUE"""),"ช่วยเหลืองานภายใน วพอ.")</f>
        <v>ช่วยเหลืองานภายใน วพอ.</v>
      </c>
      <c r="H591" s="3" t="str">
        <f>IFERROR(__xludf.DUMMYFUNCTION("""COMPUTED_VALUE"""),"เก็บสถานที่คัดเลือกนพอ.69")</f>
        <v>เก็บสถานที่คัดเลือกนพอ.69</v>
      </c>
      <c r="I591" s="3" t="str">
        <f>IFERROR(__xludf.DUMMYFUNCTION("""COMPUTED_VALUE"""),"อาคารสำนักงานชั้น4")</f>
        <v>อาคารสำนักงานชั้น4</v>
      </c>
      <c r="J591" s="12">
        <f>IFERROR(__xludf.DUMMYFUNCTION("""COMPUTED_VALUE"""),46147.0)</f>
        <v>46147</v>
      </c>
      <c r="K591" s="3" t="str">
        <f>IFERROR(__xludf.DUMMYFUNCTION("""COMPUTED_VALUE"""),"1500-1800")</f>
        <v>1500-1800</v>
      </c>
      <c r="L591" s="3">
        <f>IFERROR(__xludf.DUMMYFUNCTION("""COMPUTED_VALUE"""),3.0)</f>
        <v>3</v>
      </c>
      <c r="M591" s="3" t="str">
        <f>IFERROR(__xludf.DUMMYFUNCTION("""COMPUTED_VALUE"""),"น.ต.ศักชัย บุญประสิทธิ์")</f>
        <v>น.ต.ศักชัย บุญประสิทธิ์</v>
      </c>
      <c r="N591" s="14" t="str">
        <f>IFERROR(__xludf.DUMMYFUNCTION("""COMPUTED_VALUE"""),"https://lh5.googleusercontent.com/d/1G4QzpHSZZ-qlfc7f1wRekSVr5fML1P-2")</f>
        <v>https://lh5.googleusercontent.com/d/1G4QzpHSZZ-qlfc7f1wRekSVr5fML1P-2</v>
      </c>
      <c r="O591" s="14" t="str">
        <f>IFERROR(__xludf.DUMMYFUNCTION("""COMPUTED_VALUE"""),"https://drive.google.com/file/d/1N0I2-RSN4z9uQlWwUB2sAlLpaBoJ-AnV/view?usp=drivesdk")</f>
        <v>https://drive.google.com/file/d/1N0I2-RSN4z9uQlWwUB2sAlLpaBoJ-AnV/view?usp=drivesdk</v>
      </c>
    </row>
    <row r="592">
      <c r="A592" s="3">
        <f>IFERROR(__xludf.DUMMYFUNCTION("""COMPUTED_VALUE"""),2664.0)</f>
        <v>2664</v>
      </c>
      <c r="B592" s="11">
        <f>IFERROR(__xludf.DUMMYFUNCTION("""COMPUTED_VALUE"""),46175.540960624996)</f>
        <v>46175.54096</v>
      </c>
      <c r="C592" s="3" t="str">
        <f>IFERROR(__xludf.DUMMYFUNCTION("""COMPUTED_VALUE"""),"ชั้นปีที่ 2")</f>
        <v>ชั้นปีที่ 2</v>
      </c>
      <c r="D592" s="3" t="str">
        <f>IFERROR(__xludf.DUMMYFUNCTION("""COMPUTED_VALUE"""),"6703825")</f>
        <v>6703825</v>
      </c>
      <c r="E592" s="3" t="str">
        <f>IFERROR(__xludf.DUMMYFUNCTION("""COMPUTED_VALUE"""),"8")</f>
        <v>8</v>
      </c>
      <c r="F592" s="3" t="str">
        <f>IFERROR(__xludf.DUMMYFUNCTION("""COMPUTED_VALUE"""),"นพอ.จิราภา กลิ่นมณฑา")</f>
        <v>นพอ.จิราภา กลิ่นมณฑา</v>
      </c>
      <c r="G592" s="3" t="str">
        <f>IFERROR(__xludf.DUMMYFUNCTION("""COMPUTED_VALUE"""),"ช่วยเหลืองานภายใน วพอ.")</f>
        <v>ช่วยเหลืองานภายใน วพอ.</v>
      </c>
      <c r="H59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2" s="3" t="str">
        <f>IFERROR(__xludf.DUMMYFUNCTION("""COMPUTED_VALUE"""),"วพอ.พอ.")</f>
        <v>วพอ.พอ.</v>
      </c>
      <c r="J592" s="12">
        <f>IFERROR(__xludf.DUMMYFUNCTION("""COMPUTED_VALUE"""),46135.0)</f>
        <v>46135</v>
      </c>
      <c r="K592" s="3" t="str">
        <f>IFERROR(__xludf.DUMMYFUNCTION("""COMPUTED_VALUE"""),"1700-2100")</f>
        <v>1700-2100</v>
      </c>
      <c r="L592" s="3">
        <f>IFERROR(__xludf.DUMMYFUNCTION("""COMPUTED_VALUE"""),4.0)</f>
        <v>4</v>
      </c>
      <c r="M592" s="3" t="str">
        <f>IFERROR(__xludf.DUMMYFUNCTION("""COMPUTED_VALUE"""),"ร.อ.อนุชิต ทำจะดี")</f>
        <v>ร.อ.อนุชิต ทำจะดี</v>
      </c>
      <c r="N592" s="14" t="str">
        <f>IFERROR(__xludf.DUMMYFUNCTION("""COMPUTED_VALUE"""),"https://lh5.googleusercontent.com/d/1sRpMzqo_AxSyF8raYQE7Xby6ujsK4Trj")</f>
        <v>https://lh5.googleusercontent.com/d/1sRpMzqo_AxSyF8raYQE7Xby6ujsK4Trj</v>
      </c>
      <c r="O592" s="14" t="str">
        <f>IFERROR(__xludf.DUMMYFUNCTION("""COMPUTED_VALUE"""),"https://drive.google.com/file/d/1657drX2xtB_vh-v38Wwi-sqPm1rfs56g/view?usp=drivesdk")</f>
        <v>https://drive.google.com/file/d/1657drX2xtB_vh-v38Wwi-sqPm1rfs56g/view?usp=drivesdk</v>
      </c>
    </row>
    <row r="593">
      <c r="A593" s="3">
        <f>IFERROR(__xludf.DUMMYFUNCTION("""COMPUTED_VALUE"""),2666.0)</f>
        <v>2666</v>
      </c>
      <c r="B593" s="11">
        <f>IFERROR(__xludf.DUMMYFUNCTION("""COMPUTED_VALUE"""),46175.5415603588)</f>
        <v>46175.54156</v>
      </c>
      <c r="C593" s="3" t="str">
        <f>IFERROR(__xludf.DUMMYFUNCTION("""COMPUTED_VALUE"""),"ชั้นปีที่ 2")</f>
        <v>ชั้นปีที่ 2</v>
      </c>
      <c r="D593" s="3" t="str">
        <f>IFERROR(__xludf.DUMMYFUNCTION("""COMPUTED_VALUE"""),"6703823")</f>
        <v>6703823</v>
      </c>
      <c r="E593" s="3" t="str">
        <f>IFERROR(__xludf.DUMMYFUNCTION("""COMPUTED_VALUE"""),"6")</f>
        <v>6</v>
      </c>
      <c r="F593" s="3" t="str">
        <f>IFERROR(__xludf.DUMMYFUNCTION("""COMPUTED_VALUE"""),"นพอ.ข้าวขวัญ ดุจธรรมสาร")</f>
        <v>นพอ.ข้าวขวัญ ดุจธรรมสาร</v>
      </c>
      <c r="G59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3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93" s="3" t="str">
        <f>IFERROR(__xludf.DUMMYFUNCTION("""COMPUTED_VALUE"""),"สนามกีฬาธูปะเตมีย์")</f>
        <v>สนามกีฬาธูปะเตมีย์</v>
      </c>
      <c r="J593" s="12">
        <f>IFERROR(__xludf.DUMMYFUNCTION("""COMPUTED_VALUE"""),46078.0)</f>
        <v>46078</v>
      </c>
      <c r="K593" s="3" t="str">
        <f>IFERROR(__xludf.DUMMYFUNCTION("""COMPUTED_VALUE"""),"1200-2000")</f>
        <v>1200-2000</v>
      </c>
      <c r="L593" s="3">
        <f>IFERROR(__xludf.DUMMYFUNCTION("""COMPUTED_VALUE"""),8.0)</f>
        <v>8</v>
      </c>
      <c r="M59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93" s="14" t="str">
        <f>IFERROR(__xludf.DUMMYFUNCTION("""COMPUTED_VALUE"""),"https://lh5.googleusercontent.com/d/16wAzDb-psMNsrbPxyPc9lF6qAROHMh1K")</f>
        <v>https://lh5.googleusercontent.com/d/16wAzDb-psMNsrbPxyPc9lF6qAROHMh1K</v>
      </c>
      <c r="O593" s="14" t="str">
        <f>IFERROR(__xludf.DUMMYFUNCTION("""COMPUTED_VALUE"""),"https://drive.google.com/file/d/1b_vhp3oskUtERgFfJC04DBinu9h7Uhnv/view?usp=drivesdk")</f>
        <v>https://drive.google.com/file/d/1b_vhp3oskUtERgFfJC04DBinu9h7Uhnv/view?usp=drivesdk</v>
      </c>
    </row>
    <row r="594">
      <c r="A594" s="3">
        <f>IFERROR(__xludf.DUMMYFUNCTION("""COMPUTED_VALUE"""),2667.0)</f>
        <v>2667</v>
      </c>
      <c r="B594" s="11">
        <f>IFERROR(__xludf.DUMMYFUNCTION("""COMPUTED_VALUE"""),46175.54167697917)</f>
        <v>46175.54168</v>
      </c>
      <c r="C594" s="3" t="str">
        <f>IFERROR(__xludf.DUMMYFUNCTION("""COMPUTED_VALUE"""),"ชั้นปีที่ 2")</f>
        <v>ชั้นปีที่ 2</v>
      </c>
      <c r="D594" s="3" t="str">
        <f>IFERROR(__xludf.DUMMYFUNCTION("""COMPUTED_VALUE"""),"3872")</f>
        <v>3872</v>
      </c>
      <c r="E594" s="3" t="str">
        <f>IFERROR(__xludf.DUMMYFUNCTION("""COMPUTED_VALUE"""),"52")</f>
        <v>52</v>
      </c>
      <c r="F594" s="3" t="str">
        <f>IFERROR(__xludf.DUMMYFUNCTION("""COMPUTED_VALUE"""),"นพอ.ศลิษา สุริยผัส")</f>
        <v>นพอ.ศลิษา สุริยผัส</v>
      </c>
      <c r="G594" s="3" t="str">
        <f>IFERROR(__xludf.DUMMYFUNCTION("""COMPUTED_VALUE"""),"ช่วยเหลืองานภายใน วพอ.")</f>
        <v>ช่วยเหลืองานภายใน วพอ.</v>
      </c>
      <c r="H59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4" s="3" t="str">
        <f>IFERROR(__xludf.DUMMYFUNCTION("""COMPUTED_VALUE"""),"วพอ.พอ.")</f>
        <v>วพอ.พอ.</v>
      </c>
      <c r="J594" s="12">
        <f>IFERROR(__xludf.DUMMYFUNCTION("""COMPUTED_VALUE"""),46135.0)</f>
        <v>46135</v>
      </c>
      <c r="K594" s="3" t="str">
        <f>IFERROR(__xludf.DUMMYFUNCTION("""COMPUTED_VALUE"""),"1700-2100")</f>
        <v>1700-2100</v>
      </c>
      <c r="L594" s="3">
        <f>IFERROR(__xludf.DUMMYFUNCTION("""COMPUTED_VALUE"""),4.0)</f>
        <v>4</v>
      </c>
      <c r="M594" s="3" t="str">
        <f>IFERROR(__xludf.DUMMYFUNCTION("""COMPUTED_VALUE"""),"ร.อ.อนุชิต ทำจะดี")</f>
        <v>ร.อ.อนุชิต ทำจะดี</v>
      </c>
      <c r="N594" s="14" t="str">
        <f>IFERROR(__xludf.DUMMYFUNCTION("""COMPUTED_VALUE"""),"https://lh5.googleusercontent.com/d/1MWxHQ6AIPpBfsIEg_0AByxhqRyKLMe-G")</f>
        <v>https://lh5.googleusercontent.com/d/1MWxHQ6AIPpBfsIEg_0AByxhqRyKLMe-G</v>
      </c>
      <c r="O594" s="14" t="str">
        <f>IFERROR(__xludf.DUMMYFUNCTION("""COMPUTED_VALUE"""),"https://drive.google.com/file/d/1fB7PRycNq4B9AB1W8XbZ5yrx2UyM-Rvr/view?usp=drivesdk")</f>
        <v>https://drive.google.com/file/d/1fB7PRycNq4B9AB1W8XbZ5yrx2UyM-Rvr/view?usp=drivesdk</v>
      </c>
    </row>
    <row r="595">
      <c r="A595" s="3">
        <f>IFERROR(__xludf.DUMMYFUNCTION("""COMPUTED_VALUE"""),2668.0)</f>
        <v>2668</v>
      </c>
      <c r="B595" s="11">
        <f>IFERROR(__xludf.DUMMYFUNCTION("""COMPUTED_VALUE"""),46175.542650833326)</f>
        <v>46175.54265</v>
      </c>
      <c r="C595" s="3" t="str">
        <f>IFERROR(__xludf.DUMMYFUNCTION("""COMPUTED_VALUE"""),"ชั้นปีที่ 2")</f>
        <v>ชั้นปีที่ 2</v>
      </c>
      <c r="D595" s="3" t="str">
        <f>IFERROR(__xludf.DUMMYFUNCTION("""COMPUTED_VALUE"""),"6703822")</f>
        <v>6703822</v>
      </c>
      <c r="E595" s="3" t="str">
        <f>IFERROR(__xludf.DUMMYFUNCTION("""COMPUTED_VALUE"""),"5")</f>
        <v>5</v>
      </c>
      <c r="F595" s="3" t="str">
        <f>IFERROR(__xludf.DUMMYFUNCTION("""COMPUTED_VALUE"""),"นพอ.กัณยวัลย์ เทียนบัญญัติ")</f>
        <v>นพอ.กัณยวัลย์ เทียนบัญญัติ</v>
      </c>
      <c r="G5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5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95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595" s="12">
        <f>IFERROR(__xludf.DUMMYFUNCTION("""COMPUTED_VALUE"""),46078.0)</f>
        <v>46078</v>
      </c>
      <c r="K595" s="3" t="str">
        <f>IFERROR(__xludf.DUMMYFUNCTION("""COMPUTED_VALUE"""),"1200-2000")</f>
        <v>1200-2000</v>
      </c>
      <c r="L595" s="3">
        <f>IFERROR(__xludf.DUMMYFUNCTION("""COMPUTED_VALUE"""),8.0)</f>
        <v>8</v>
      </c>
      <c r="M595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595" s="14" t="str">
        <f>IFERROR(__xludf.DUMMYFUNCTION("""COMPUTED_VALUE"""),"https://lh5.googleusercontent.com/d/1dMMYR_XI6FNN36C38bDvW_mPo1AWSR6i")</f>
        <v>https://lh5.googleusercontent.com/d/1dMMYR_XI6FNN36C38bDvW_mPo1AWSR6i</v>
      </c>
      <c r="O595" s="14" t="str">
        <f>IFERROR(__xludf.DUMMYFUNCTION("""COMPUTED_VALUE"""),"https://drive.google.com/file/d/1fTu_wkX8WTUrl7w_J1EUAZ5Dv_qbBHnK/view?usp=drivesdk")</f>
        <v>https://drive.google.com/file/d/1fTu_wkX8WTUrl7w_J1EUAZ5Dv_qbBHnK/view?usp=drivesdk</v>
      </c>
    </row>
    <row r="596">
      <c r="A596" s="3">
        <f>IFERROR(__xludf.DUMMYFUNCTION("""COMPUTED_VALUE"""),2669.0)</f>
        <v>2669</v>
      </c>
      <c r="B596" s="11">
        <f>IFERROR(__xludf.DUMMYFUNCTION("""COMPUTED_VALUE"""),46175.54305018519)</f>
        <v>46175.54305</v>
      </c>
      <c r="C596" s="3" t="str">
        <f>IFERROR(__xludf.DUMMYFUNCTION("""COMPUTED_VALUE"""),"ชั้นปีที่ 2")</f>
        <v>ชั้นปีที่ 2</v>
      </c>
      <c r="D596" s="3" t="str">
        <f>IFERROR(__xludf.DUMMYFUNCTION("""COMPUTED_VALUE"""),"6703854")</f>
        <v>6703854</v>
      </c>
      <c r="E596" s="3" t="str">
        <f>IFERROR(__xludf.DUMMYFUNCTION("""COMPUTED_VALUE"""),"35")</f>
        <v>35</v>
      </c>
      <c r="F596" s="3" t="str">
        <f>IFERROR(__xludf.DUMMYFUNCTION("""COMPUTED_VALUE"""),"นพอ.พชรพร เพ็งภัตรา")</f>
        <v>นพอ.พชรพร เพ็งภัตรา</v>
      </c>
      <c r="G596" s="3" t="str">
        <f>IFERROR(__xludf.DUMMYFUNCTION("""COMPUTED_VALUE"""),"ทำนุบำรุงศาสนสถาน")</f>
        <v>ทำนุบำรุงศาสนสถาน</v>
      </c>
      <c r="H596" s="3" t="str">
        <f>IFERROR(__xludf.DUMMYFUNCTION("""COMPUTED_VALUE"""),"ทำบุญตักบาตร")</f>
        <v>ทำบุญตักบาตร</v>
      </c>
      <c r="I596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596" s="12">
        <f>IFERROR(__xludf.DUMMYFUNCTION("""COMPUTED_VALUE"""),46172.0)</f>
        <v>46172</v>
      </c>
      <c r="K596" s="3" t="str">
        <f>IFERROR(__xludf.DUMMYFUNCTION("""COMPUTED_VALUE"""),"0600-0700")</f>
        <v>0600-0700</v>
      </c>
      <c r="L596" s="3">
        <f>IFERROR(__xludf.DUMMYFUNCTION("""COMPUTED_VALUE"""),1.0)</f>
        <v>1</v>
      </c>
      <c r="M596" s="3" t="str">
        <f>IFERROR(__xludf.DUMMYFUNCTION("""COMPUTED_VALUE"""),"พระมหาวชิรมุนีวงศ์")</f>
        <v>พระมหาวชิรมุนีวงศ์</v>
      </c>
      <c r="N596" s="14" t="str">
        <f>IFERROR(__xludf.DUMMYFUNCTION("""COMPUTED_VALUE"""),"https://lh5.googleusercontent.com/d/11viuh4XU5HwgXtAJ2VOdd7UeoKeQYaGD")</f>
        <v>https://lh5.googleusercontent.com/d/11viuh4XU5HwgXtAJ2VOdd7UeoKeQYaGD</v>
      </c>
      <c r="O596" s="14" t="str">
        <f>IFERROR(__xludf.DUMMYFUNCTION("""COMPUTED_VALUE"""),"https://drive.google.com/file/d/1RXksrJqmLUNk6GLTe-96ZhR9LegZrL9S/view?usp=drivesdk")</f>
        <v>https://drive.google.com/file/d/1RXksrJqmLUNk6GLTe-96ZhR9LegZrL9S/view?usp=drivesdk</v>
      </c>
    </row>
    <row r="597">
      <c r="A597" s="3">
        <f>IFERROR(__xludf.DUMMYFUNCTION("""COMPUTED_VALUE"""),2670.0)</f>
        <v>2670</v>
      </c>
      <c r="B597" s="11">
        <f>IFERROR(__xludf.DUMMYFUNCTION("""COMPUTED_VALUE"""),46175.54306927084)</f>
        <v>46175.54307</v>
      </c>
      <c r="C597" s="3" t="str">
        <f>IFERROR(__xludf.DUMMYFUNCTION("""COMPUTED_VALUE"""),"ชั้นปีที่ 2")</f>
        <v>ชั้นปีที่ 2</v>
      </c>
      <c r="D597" s="3" t="str">
        <f>IFERROR(__xludf.DUMMYFUNCTION("""COMPUTED_VALUE"""),"6703825")</f>
        <v>6703825</v>
      </c>
      <c r="E597" s="3" t="str">
        <f>IFERROR(__xludf.DUMMYFUNCTION("""COMPUTED_VALUE"""),"8")</f>
        <v>8</v>
      </c>
      <c r="F597" s="3" t="str">
        <f>IFERROR(__xludf.DUMMYFUNCTION("""COMPUTED_VALUE"""),"นพอ.จิราภา กลิ่นมณฑา")</f>
        <v>นพอ.จิราภา กลิ่นมณฑา</v>
      </c>
      <c r="G597" s="3" t="str">
        <f>IFERROR(__xludf.DUMMYFUNCTION("""COMPUTED_VALUE"""),"ช่วยเหลืองานภายใน วพอ.")</f>
        <v>ช่วยเหลืองานภายใน วพอ.</v>
      </c>
      <c r="H59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7" s="3" t="str">
        <f>IFERROR(__xludf.DUMMYFUNCTION("""COMPUTED_VALUE"""),"วพอ.พอ.")</f>
        <v>วพอ.พอ.</v>
      </c>
      <c r="J597" s="12">
        <f>IFERROR(__xludf.DUMMYFUNCTION("""COMPUTED_VALUE"""),46138.0)</f>
        <v>46138</v>
      </c>
      <c r="K597" s="3" t="str">
        <f>IFERROR(__xludf.DUMMYFUNCTION("""COMPUTED_VALUE"""),"1500-2100")</f>
        <v>1500-2100</v>
      </c>
      <c r="L597" s="3">
        <f>IFERROR(__xludf.DUMMYFUNCTION("""COMPUTED_VALUE"""),6.0)</f>
        <v>6</v>
      </c>
      <c r="M597" s="3" t="str">
        <f>IFERROR(__xludf.DUMMYFUNCTION("""COMPUTED_VALUE"""),"ร.อ.อนุชิต ทำจะดี")</f>
        <v>ร.อ.อนุชิต ทำจะดี</v>
      </c>
      <c r="N597" s="14" t="str">
        <f>IFERROR(__xludf.DUMMYFUNCTION("""COMPUTED_VALUE"""),"https://lh5.googleusercontent.com/d/1UY_hFjOlyUy1AlgwKCpPv-lxQNwZLMWi")</f>
        <v>https://lh5.googleusercontent.com/d/1UY_hFjOlyUy1AlgwKCpPv-lxQNwZLMWi</v>
      </c>
      <c r="O597" s="14" t="str">
        <f>IFERROR(__xludf.DUMMYFUNCTION("""COMPUTED_VALUE"""),"https://drive.google.com/file/d/1I467_o1Qzmf126xIGZOr0kVJDNLmOwIa/view?usp=drivesdk")</f>
        <v>https://drive.google.com/file/d/1I467_o1Qzmf126xIGZOr0kVJDNLmOwIa/view?usp=drivesdk</v>
      </c>
    </row>
    <row r="598">
      <c r="A598" s="3">
        <f>IFERROR(__xludf.DUMMYFUNCTION("""COMPUTED_VALUE"""),2671.0)</f>
        <v>2671</v>
      </c>
      <c r="B598" s="11">
        <f>IFERROR(__xludf.DUMMYFUNCTION("""COMPUTED_VALUE"""),46175.54338476852)</f>
        <v>46175.54338</v>
      </c>
      <c r="C598" s="3" t="str">
        <f>IFERROR(__xludf.DUMMYFUNCTION("""COMPUTED_VALUE"""),"ชั้นปีที่ 2")</f>
        <v>ชั้นปีที่ 2</v>
      </c>
      <c r="D598" s="3" t="str">
        <f>IFERROR(__xludf.DUMMYFUNCTION("""COMPUTED_VALUE"""),"3872")</f>
        <v>3872</v>
      </c>
      <c r="E598" s="3" t="str">
        <f>IFERROR(__xludf.DUMMYFUNCTION("""COMPUTED_VALUE"""),"52")</f>
        <v>52</v>
      </c>
      <c r="F598" s="3" t="str">
        <f>IFERROR(__xludf.DUMMYFUNCTION("""COMPUTED_VALUE"""),"นพอ.ศลิษา สุรินผัส")</f>
        <v>นพอ.ศลิษา สุรินผัส</v>
      </c>
      <c r="G598" s="3" t="str">
        <f>IFERROR(__xludf.DUMMYFUNCTION("""COMPUTED_VALUE"""),"ช่วยเหลืองานภายใน วพอ.")</f>
        <v>ช่วยเหลืองานภายใน วพอ.</v>
      </c>
      <c r="H59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98" s="3" t="str">
        <f>IFERROR(__xludf.DUMMYFUNCTION("""COMPUTED_VALUE"""),"วพอ.พอ.")</f>
        <v>วพอ.พอ.</v>
      </c>
      <c r="J598" s="12">
        <f>IFERROR(__xludf.DUMMYFUNCTION("""COMPUTED_VALUE"""),46138.0)</f>
        <v>46138</v>
      </c>
      <c r="K598" s="3" t="str">
        <f>IFERROR(__xludf.DUMMYFUNCTION("""COMPUTED_VALUE"""),"1500-2100")</f>
        <v>1500-2100</v>
      </c>
      <c r="L598" s="3">
        <f>IFERROR(__xludf.DUMMYFUNCTION("""COMPUTED_VALUE"""),6.0)</f>
        <v>6</v>
      </c>
      <c r="M598" s="3" t="str">
        <f>IFERROR(__xludf.DUMMYFUNCTION("""COMPUTED_VALUE"""),"ร.อ.อนุชิต ทำจะดี")</f>
        <v>ร.อ.อนุชิต ทำจะดี</v>
      </c>
      <c r="N598" s="14" t="str">
        <f>IFERROR(__xludf.DUMMYFUNCTION("""COMPUTED_VALUE"""),"https://lh5.googleusercontent.com/d/1KJ8t3lj52D8kChysbvewMqndVZUppMdC")</f>
        <v>https://lh5.googleusercontent.com/d/1KJ8t3lj52D8kChysbvewMqndVZUppMdC</v>
      </c>
      <c r="O598" s="14" t="str">
        <f>IFERROR(__xludf.DUMMYFUNCTION("""COMPUTED_VALUE"""),"https://drive.google.com/file/d/1sFE1hysvjM2CLLIfxvxzccyDKM9tZaYt/view?usp=drivesdk")</f>
        <v>https://drive.google.com/file/d/1sFE1hysvjM2CLLIfxvxzccyDKM9tZaYt/view?usp=drivesdk</v>
      </c>
    </row>
    <row r="599">
      <c r="A599" s="3">
        <f>IFERROR(__xludf.DUMMYFUNCTION("""COMPUTED_VALUE"""),2673.0)</f>
        <v>2673</v>
      </c>
      <c r="B599" s="11">
        <f>IFERROR(__xludf.DUMMYFUNCTION("""COMPUTED_VALUE"""),46175.54522644676)</f>
        <v>46175.54523</v>
      </c>
      <c r="C599" s="3" t="str">
        <f>IFERROR(__xludf.DUMMYFUNCTION("""COMPUTED_VALUE"""),"ชั้นปีที่ 2")</f>
        <v>ชั้นปีที่ 2</v>
      </c>
      <c r="D599" s="3" t="str">
        <f>IFERROR(__xludf.DUMMYFUNCTION("""COMPUTED_VALUE"""),"6703877")</f>
        <v>6703877</v>
      </c>
      <c r="E599" s="3" t="str">
        <f>IFERROR(__xludf.DUMMYFUNCTION("""COMPUTED_VALUE"""),"57")</f>
        <v>57</v>
      </c>
      <c r="F599" s="3" t="str">
        <f>IFERROR(__xludf.DUMMYFUNCTION("""COMPUTED_VALUE"""),"นพอ.สุชารัตน์ นิวงษา")</f>
        <v>นพอ.สุชารัตน์ นิวงษา</v>
      </c>
      <c r="G599" s="3" t="str">
        <f>IFERROR(__xludf.DUMMYFUNCTION("""COMPUTED_VALUE"""),"ช่วยเหลืองานภายใน วพอ.")</f>
        <v>ช่วยเหลืองานภายใน วพอ.</v>
      </c>
      <c r="H599" s="3" t="str">
        <f>IFERROR(__xludf.DUMMYFUNCTION("""COMPUTED_VALUE"""),"ชมรมดุริยางค์ เข้าแถวตอนเช้า")</f>
        <v>ชมรมดุริยางค์ เข้าแถวตอนเช้า</v>
      </c>
      <c r="I599" s="3" t="str">
        <f>IFERROR(__xludf.DUMMYFUNCTION("""COMPUTED_VALUE"""),"วพอ.")</f>
        <v>วพอ.</v>
      </c>
      <c r="J599" s="12">
        <f>IFERROR(__xludf.DUMMYFUNCTION("""COMPUTED_VALUE"""),46169.0)</f>
        <v>46169</v>
      </c>
      <c r="K599" s="3" t="str">
        <f>IFERROR(__xludf.DUMMYFUNCTION("""COMPUTED_VALUE"""),"0700-0800")</f>
        <v>0700-0800</v>
      </c>
      <c r="L599" s="3">
        <f>IFERROR(__xludf.DUMMYFUNCTION("""COMPUTED_VALUE"""),1.0)</f>
        <v>1</v>
      </c>
      <c r="M599" s="3" t="str">
        <f>IFERROR(__xludf.DUMMYFUNCTION("""COMPUTED_VALUE"""),"ร.อ.อนุชิต ทำจะดี")</f>
        <v>ร.อ.อนุชิต ทำจะดี</v>
      </c>
      <c r="N599" s="14" t="str">
        <f>IFERROR(__xludf.DUMMYFUNCTION("""COMPUTED_VALUE"""),"https://lh5.googleusercontent.com/d/13q5rs0oOzOhrn3ebHUDtggT0NXdOaXnj")</f>
        <v>https://lh5.googleusercontent.com/d/13q5rs0oOzOhrn3ebHUDtggT0NXdOaXnj</v>
      </c>
      <c r="O599" s="14" t="str">
        <f>IFERROR(__xludf.DUMMYFUNCTION("""COMPUTED_VALUE"""),"https://drive.google.com/file/d/1yFhvj1WGJ3c65ApfmAt5i_E02DiY8aDe/view?usp=drivesdk")</f>
        <v>https://drive.google.com/file/d/1yFhvj1WGJ3c65ApfmAt5i_E02DiY8aDe/view?usp=drivesdk</v>
      </c>
    </row>
    <row r="600">
      <c r="A600" s="3">
        <f>IFERROR(__xludf.DUMMYFUNCTION("""COMPUTED_VALUE"""),2674.0)</f>
        <v>2674</v>
      </c>
      <c r="B600" s="11">
        <f>IFERROR(__xludf.DUMMYFUNCTION("""COMPUTED_VALUE"""),46175.545363958336)</f>
        <v>46175.54536</v>
      </c>
      <c r="C600" s="3" t="str">
        <f>IFERROR(__xludf.DUMMYFUNCTION("""COMPUTED_VALUE"""),"ชั้นปีที่ 2")</f>
        <v>ชั้นปีที่ 2</v>
      </c>
      <c r="D600" s="3" t="str">
        <f>IFERROR(__xludf.DUMMYFUNCTION("""COMPUTED_VALUE"""),"6703826")</f>
        <v>6703826</v>
      </c>
      <c r="E600" s="3" t="str">
        <f>IFERROR(__xludf.DUMMYFUNCTION("""COMPUTED_VALUE"""),"9")</f>
        <v>9</v>
      </c>
      <c r="F600" s="3" t="str">
        <f>IFERROR(__xludf.DUMMYFUNCTION("""COMPUTED_VALUE"""),"นพอ.ชณัฐธิดา ชูชีพ")</f>
        <v>นพอ.ชณัฐธิดา ชูชีพ</v>
      </c>
      <c r="G600" s="3" t="str">
        <f>IFERROR(__xludf.DUMMYFUNCTION("""COMPUTED_VALUE"""),"ทำนุบำรุงศาสนสถาน")</f>
        <v>ทำนุบำรุงศาสนสถาน</v>
      </c>
      <c r="H600" s="3" t="str">
        <f>IFERROR(__xludf.DUMMYFUNCTION("""COMPUTED_VALUE"""),"ทำบุญตักบาตร")</f>
        <v>ทำบุญตักบาตร</v>
      </c>
      <c r="I600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600" s="12">
        <f>IFERROR(__xludf.DUMMYFUNCTION("""COMPUTED_VALUE"""),46172.0)</f>
        <v>46172</v>
      </c>
      <c r="K600" s="3" t="str">
        <f>IFERROR(__xludf.DUMMYFUNCTION("""COMPUTED_VALUE"""),"0700-0800")</f>
        <v>0700-0800</v>
      </c>
      <c r="L600" s="3">
        <f>IFERROR(__xludf.DUMMYFUNCTION("""COMPUTED_VALUE"""),1.0)</f>
        <v>1</v>
      </c>
      <c r="M600" s="3" t="str">
        <f>IFERROR(__xludf.DUMMYFUNCTION("""COMPUTED_VALUE"""),"พระมหาวชิรมุนีวงศ์")</f>
        <v>พระมหาวชิรมุนีวงศ์</v>
      </c>
      <c r="N600" s="14" t="str">
        <f>IFERROR(__xludf.DUMMYFUNCTION("""COMPUTED_VALUE"""),"https://lh5.googleusercontent.com/d/1IMCIEFO-3q_6KXCiqgMvgFEK1zhIcRkF")</f>
        <v>https://lh5.googleusercontent.com/d/1IMCIEFO-3q_6KXCiqgMvgFEK1zhIcRkF</v>
      </c>
      <c r="O600" s="14" t="str">
        <f>IFERROR(__xludf.DUMMYFUNCTION("""COMPUTED_VALUE"""),"https://drive.google.com/file/d/1xljaYQPTd1YwCarPGyHjTVb0e6mB9TVI/view?usp=drivesdk")</f>
        <v>https://drive.google.com/file/d/1xljaYQPTd1YwCarPGyHjTVb0e6mB9TVI/view?usp=drivesdk</v>
      </c>
    </row>
    <row r="601">
      <c r="A601" s="3">
        <f>IFERROR(__xludf.DUMMYFUNCTION("""COMPUTED_VALUE"""),2675.0)</f>
        <v>2675</v>
      </c>
      <c r="B601" s="11">
        <f>IFERROR(__xludf.DUMMYFUNCTION("""COMPUTED_VALUE"""),46175.545467615746)</f>
        <v>46175.54547</v>
      </c>
      <c r="C601" s="3" t="str">
        <f>IFERROR(__xludf.DUMMYFUNCTION("""COMPUTED_VALUE"""),"ชั้นปีที่ 2")</f>
        <v>ชั้นปีที่ 2</v>
      </c>
      <c r="D601" s="3" t="str">
        <f>IFERROR(__xludf.DUMMYFUNCTION("""COMPUTED_VALUE"""),"3872")</f>
        <v>3872</v>
      </c>
      <c r="E601" s="3" t="str">
        <f>IFERROR(__xludf.DUMMYFUNCTION("""COMPUTED_VALUE"""),"52")</f>
        <v>52</v>
      </c>
      <c r="F601" s="3" t="str">
        <f>IFERROR(__xludf.DUMMYFUNCTION("""COMPUTED_VALUE"""),"นพอ.ศลิษา สุริยผัส")</f>
        <v>นพอ.ศลิษา สุริยผัส</v>
      </c>
      <c r="G601" s="3" t="str">
        <f>IFERROR(__xludf.DUMMYFUNCTION("""COMPUTED_VALUE"""),"ช่วยเหลืองานภายใน วพอ.")</f>
        <v>ช่วยเหลืองานภายใน วพอ.</v>
      </c>
      <c r="H60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1" s="3" t="str">
        <f>IFERROR(__xludf.DUMMYFUNCTION("""COMPUTED_VALUE"""),"หอประชุมธูปะเตมีย์")</f>
        <v>หอประชุมธูปะเตมีย์</v>
      </c>
      <c r="J601" s="12">
        <f>IFERROR(__xludf.DUMMYFUNCTION("""COMPUTED_VALUE"""),46139.0)</f>
        <v>46139</v>
      </c>
      <c r="K601" s="3" t="str">
        <f>IFERROR(__xludf.DUMMYFUNCTION("""COMPUTED_VALUE"""),"1700-2100")</f>
        <v>1700-2100</v>
      </c>
      <c r="L601" s="3">
        <f>IFERROR(__xludf.DUMMYFUNCTION("""COMPUTED_VALUE"""),4.0)</f>
        <v>4</v>
      </c>
      <c r="M601" s="3" t="str">
        <f>IFERROR(__xludf.DUMMYFUNCTION("""COMPUTED_VALUE"""),"ร.อ.อนุชิต ทำจะดี")</f>
        <v>ร.อ.อนุชิต ทำจะดี</v>
      </c>
      <c r="N601" s="14" t="str">
        <f>IFERROR(__xludf.DUMMYFUNCTION("""COMPUTED_VALUE"""),"https://lh5.googleusercontent.com/d/10LusNelGQ3rKz_wFzCe00ntbBYjT2Oif")</f>
        <v>https://lh5.googleusercontent.com/d/10LusNelGQ3rKz_wFzCe00ntbBYjT2Oif</v>
      </c>
      <c r="O601" s="14" t="str">
        <f>IFERROR(__xludf.DUMMYFUNCTION("""COMPUTED_VALUE"""),"https://drive.google.com/file/d/1U1w2qkTRNucOhdXxaApae9cMJPPDSaSv/view?usp=drivesdk")</f>
        <v>https://drive.google.com/file/d/1U1w2qkTRNucOhdXxaApae9cMJPPDSaSv/view?usp=drivesdk</v>
      </c>
    </row>
    <row r="602">
      <c r="A602" s="3">
        <f>IFERROR(__xludf.DUMMYFUNCTION("""COMPUTED_VALUE"""),2676.0)</f>
        <v>2676</v>
      </c>
      <c r="B602" s="11">
        <f>IFERROR(__xludf.DUMMYFUNCTION("""COMPUTED_VALUE"""),46175.54565637732)</f>
        <v>46175.54566</v>
      </c>
      <c r="C602" s="3" t="str">
        <f>IFERROR(__xludf.DUMMYFUNCTION("""COMPUTED_VALUE"""),"ชั้นปีที่ 2")</f>
        <v>ชั้นปีที่ 2</v>
      </c>
      <c r="D602" s="3" t="str">
        <f>IFERROR(__xludf.DUMMYFUNCTION("""COMPUTED_VALUE"""),"6703870")</f>
        <v>6703870</v>
      </c>
      <c r="E602" s="3" t="str">
        <f>IFERROR(__xludf.DUMMYFUNCTION("""COMPUTED_VALUE"""),"51")</f>
        <v>51</v>
      </c>
      <c r="F602" s="3" t="str">
        <f>IFERROR(__xludf.DUMMYFUNCTION("""COMPUTED_VALUE"""),"นพอ.วิมลสิริ สิงห์ธนะ")</f>
        <v>นพอ.วิมลสิริ สิงห์ธนะ</v>
      </c>
      <c r="G602" s="3" t="str">
        <f>IFERROR(__xludf.DUMMYFUNCTION("""COMPUTED_VALUE"""),"ช่วยเหลืองานภายใน วพอ.")</f>
        <v>ช่วยเหลืองานภายใน วพอ.</v>
      </c>
      <c r="H60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2" s="3" t="str">
        <f>IFERROR(__xludf.DUMMYFUNCTION("""COMPUTED_VALUE"""),"วพอ.พอ.")</f>
        <v>วพอ.พอ.</v>
      </c>
      <c r="J602" s="12">
        <f>IFERROR(__xludf.DUMMYFUNCTION("""COMPUTED_VALUE"""),46138.0)</f>
        <v>46138</v>
      </c>
      <c r="K602" s="3" t="str">
        <f>IFERROR(__xludf.DUMMYFUNCTION("""COMPUTED_VALUE"""),"1300-2100")</f>
        <v>1300-2100</v>
      </c>
      <c r="L602" s="3">
        <f>IFERROR(__xludf.DUMMYFUNCTION("""COMPUTED_VALUE"""),8.0)</f>
        <v>8</v>
      </c>
      <c r="M602" s="3" t="str">
        <f>IFERROR(__xludf.DUMMYFUNCTION("""COMPUTED_VALUE"""),"ร.อ.อนุชิต ทำจะดี")</f>
        <v>ร.อ.อนุชิต ทำจะดี</v>
      </c>
      <c r="N602" s="14" t="str">
        <f>IFERROR(__xludf.DUMMYFUNCTION("""COMPUTED_VALUE"""),"https://lh5.googleusercontent.com/d/1oOUSIu6KXhHmPRlrjOSDo_zEYGvRSxGT")</f>
        <v>https://lh5.googleusercontent.com/d/1oOUSIu6KXhHmPRlrjOSDo_zEYGvRSxGT</v>
      </c>
      <c r="O602" s="14" t="str">
        <f>IFERROR(__xludf.DUMMYFUNCTION("""COMPUTED_VALUE"""),"https://drive.google.com/file/d/1s-s2rjKB3C4YRJ8wKb1knDhZOk8UaNqO/view?usp=drivesdk")</f>
        <v>https://drive.google.com/file/d/1s-s2rjKB3C4YRJ8wKb1knDhZOk8UaNqO/view?usp=drivesdk</v>
      </c>
    </row>
    <row r="603">
      <c r="A603" s="3">
        <f>IFERROR(__xludf.DUMMYFUNCTION("""COMPUTED_VALUE"""),2677.0)</f>
        <v>2677</v>
      </c>
      <c r="B603" s="11">
        <f>IFERROR(__xludf.DUMMYFUNCTION("""COMPUTED_VALUE"""),46175.546640671295)</f>
        <v>46175.54664</v>
      </c>
      <c r="C603" s="3" t="str">
        <f>IFERROR(__xludf.DUMMYFUNCTION("""COMPUTED_VALUE"""),"ชั้นปีที่ 2")</f>
        <v>ชั้นปีที่ 2</v>
      </c>
      <c r="D603" s="3" t="str">
        <f>IFERROR(__xludf.DUMMYFUNCTION("""COMPUTED_VALUE"""),"6703822")</f>
        <v>6703822</v>
      </c>
      <c r="E603" s="3" t="str">
        <f>IFERROR(__xludf.DUMMYFUNCTION("""COMPUTED_VALUE"""),"5")</f>
        <v>5</v>
      </c>
      <c r="F603" s="3" t="str">
        <f>IFERROR(__xludf.DUMMYFUNCTION("""COMPUTED_VALUE"""),"นพอ.กัณยวัลย์ เทียนบัญญัติ")</f>
        <v>นพอ.กัณยวัลย์ เทียนบัญญัติ</v>
      </c>
      <c r="G603" s="3" t="str">
        <f>IFERROR(__xludf.DUMMYFUNCTION("""COMPUTED_VALUE"""),"ช่วยเหลืองานภายใน วพอ.")</f>
        <v>ช่วยเหลืองานภายใน วพอ.</v>
      </c>
      <c r="H60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3" s="3" t="str">
        <f>IFERROR(__xludf.DUMMYFUNCTION("""COMPUTED_VALUE"""),"วพอ.พอ.")</f>
        <v>วพอ.พอ.</v>
      </c>
      <c r="J603" s="12">
        <f>IFERROR(__xludf.DUMMYFUNCTION("""COMPUTED_VALUE"""),46133.0)</f>
        <v>46133</v>
      </c>
      <c r="K603" s="3" t="str">
        <f>IFERROR(__xludf.DUMMYFUNCTION("""COMPUTED_VALUE"""),"1700-2100")</f>
        <v>1700-2100</v>
      </c>
      <c r="L603" s="3">
        <f>IFERROR(__xludf.DUMMYFUNCTION("""COMPUTED_VALUE"""),4.0)</f>
        <v>4</v>
      </c>
      <c r="M603" s="3" t="str">
        <f>IFERROR(__xludf.DUMMYFUNCTION("""COMPUTED_VALUE"""),"ร.อ.อนุชิต ทำจะดี")</f>
        <v>ร.อ.อนุชิต ทำจะดี</v>
      </c>
      <c r="N603" s="14" t="str">
        <f>IFERROR(__xludf.DUMMYFUNCTION("""COMPUTED_VALUE"""),"https://lh5.googleusercontent.com/d/1Sm2j6WPc9InBjasZmz9f4lc8Hq8YOBjZ")</f>
        <v>https://lh5.googleusercontent.com/d/1Sm2j6WPc9InBjasZmz9f4lc8Hq8YOBjZ</v>
      </c>
      <c r="O603" s="14" t="str">
        <f>IFERROR(__xludf.DUMMYFUNCTION("""COMPUTED_VALUE"""),"https://drive.google.com/file/d/1zIQtWyJng68FKLd9oB-22CvTeDkZ9hSg/view?usp=drivesdk")</f>
        <v>https://drive.google.com/file/d/1zIQtWyJng68FKLd9oB-22CvTeDkZ9hSg/view?usp=drivesdk</v>
      </c>
    </row>
    <row r="604">
      <c r="A604" s="3">
        <f>IFERROR(__xludf.DUMMYFUNCTION("""COMPUTED_VALUE"""),2678.0)</f>
        <v>2678</v>
      </c>
      <c r="B604" s="11">
        <f>IFERROR(__xludf.DUMMYFUNCTION("""COMPUTED_VALUE"""),46175.54832423611)</f>
        <v>46175.54832</v>
      </c>
      <c r="C604" s="3" t="str">
        <f>IFERROR(__xludf.DUMMYFUNCTION("""COMPUTED_VALUE"""),"ชั้นปีที่ 2")</f>
        <v>ชั้นปีที่ 2</v>
      </c>
      <c r="D604" s="3" t="str">
        <f>IFERROR(__xludf.DUMMYFUNCTION("""COMPUTED_VALUE"""),"6703820")</f>
        <v>6703820</v>
      </c>
      <c r="E604" s="3" t="str">
        <f>IFERROR(__xludf.DUMMYFUNCTION("""COMPUTED_VALUE"""),"3")</f>
        <v>3</v>
      </c>
      <c r="F604" s="3" t="str">
        <f>IFERROR(__xludf.DUMMYFUNCTION("""COMPUTED_VALUE"""),"นพอ.กฤตพร พิทักษ์")</f>
        <v>นพอ.กฤตพร พิทักษ์</v>
      </c>
      <c r="G604" s="3" t="str">
        <f>IFERROR(__xludf.DUMMYFUNCTION("""COMPUTED_VALUE"""),"ช่วยเหลืองานภายใน วพอ.")</f>
        <v>ช่วยเหลืองานภายใน วพอ.</v>
      </c>
      <c r="H60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4" s="3" t="str">
        <f>IFERROR(__xludf.DUMMYFUNCTION("""COMPUTED_VALUE"""),"วพอ.พอ.")</f>
        <v>วพอ.พอ.</v>
      </c>
      <c r="J604" s="12">
        <f>IFERROR(__xludf.DUMMYFUNCTION("""COMPUTED_VALUE"""),46133.0)</f>
        <v>46133</v>
      </c>
      <c r="K604" s="3" t="str">
        <f>IFERROR(__xludf.DUMMYFUNCTION("""COMPUTED_VALUE"""),"1700-2100")</f>
        <v>1700-2100</v>
      </c>
      <c r="L604" s="3">
        <f>IFERROR(__xludf.DUMMYFUNCTION("""COMPUTED_VALUE"""),4.0)</f>
        <v>4</v>
      </c>
      <c r="M604" s="3" t="str">
        <f>IFERROR(__xludf.DUMMYFUNCTION("""COMPUTED_VALUE"""),"ร.อ.อนุชิต ทำจะดี")</f>
        <v>ร.อ.อนุชิต ทำจะดี</v>
      </c>
      <c r="N604" s="14" t="str">
        <f>IFERROR(__xludf.DUMMYFUNCTION("""COMPUTED_VALUE"""),"https://lh5.googleusercontent.com/d/1Kc-YFk6Oux50SPTC-1kWFhPIruzxcVQ6")</f>
        <v>https://lh5.googleusercontent.com/d/1Kc-YFk6Oux50SPTC-1kWFhPIruzxcVQ6</v>
      </c>
      <c r="O604" s="14" t="str">
        <f>IFERROR(__xludf.DUMMYFUNCTION("""COMPUTED_VALUE"""),"https://drive.google.com/file/d/19zsQAnp2sVbqzBEGKGunkTDgDB7SLISx/view?usp=drivesdk")</f>
        <v>https://drive.google.com/file/d/19zsQAnp2sVbqzBEGKGunkTDgDB7SLISx/view?usp=drivesdk</v>
      </c>
    </row>
    <row r="605">
      <c r="A605" s="3">
        <f>IFERROR(__xludf.DUMMYFUNCTION("""COMPUTED_VALUE"""),2679.0)</f>
        <v>2679</v>
      </c>
      <c r="B605" s="11">
        <f>IFERROR(__xludf.DUMMYFUNCTION("""COMPUTED_VALUE"""),46175.54838719908)</f>
        <v>46175.54839</v>
      </c>
      <c r="C605" s="3" t="str">
        <f>IFERROR(__xludf.DUMMYFUNCTION("""COMPUTED_VALUE"""),"ชั้นปีที่ 2")</f>
        <v>ชั้นปีที่ 2</v>
      </c>
      <c r="D605" s="3" t="str">
        <f>IFERROR(__xludf.DUMMYFUNCTION("""COMPUTED_VALUE"""),"6703822")</f>
        <v>6703822</v>
      </c>
      <c r="E605" s="3" t="str">
        <f>IFERROR(__xludf.DUMMYFUNCTION("""COMPUTED_VALUE"""),"5")</f>
        <v>5</v>
      </c>
      <c r="F605" s="3" t="str">
        <f>IFERROR(__xludf.DUMMYFUNCTION("""COMPUTED_VALUE"""),"นพอ.กัณยวัลย์ เทียนบัญญัติ")</f>
        <v>นพอ.กัณยวัลย์ เทียนบัญญัติ</v>
      </c>
      <c r="G605" s="3" t="str">
        <f>IFERROR(__xludf.DUMMYFUNCTION("""COMPUTED_VALUE"""),"ช่วยเหลืองานภายใน วพอ.")</f>
        <v>ช่วยเหลืองานภายใน วพอ.</v>
      </c>
      <c r="H60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5" s="3" t="str">
        <f>IFERROR(__xludf.DUMMYFUNCTION("""COMPUTED_VALUE"""),"วพอ.พอ")</f>
        <v>วพอ.พอ</v>
      </c>
      <c r="J605" s="12">
        <f>IFERROR(__xludf.DUMMYFUNCTION("""COMPUTED_VALUE"""),46134.0)</f>
        <v>46134</v>
      </c>
      <c r="K605" s="3" t="str">
        <f>IFERROR(__xludf.DUMMYFUNCTION("""COMPUTED_VALUE"""),"1700-2100")</f>
        <v>1700-2100</v>
      </c>
      <c r="L605" s="3">
        <f>IFERROR(__xludf.DUMMYFUNCTION("""COMPUTED_VALUE"""),4.0)</f>
        <v>4</v>
      </c>
      <c r="M605" s="3" t="str">
        <f>IFERROR(__xludf.DUMMYFUNCTION("""COMPUTED_VALUE"""),"ร.อ.อนุชิต ทำจะดี")</f>
        <v>ร.อ.อนุชิต ทำจะดี</v>
      </c>
      <c r="N605" s="14" t="str">
        <f>IFERROR(__xludf.DUMMYFUNCTION("""COMPUTED_VALUE"""),"https://lh5.googleusercontent.com/d/1ZU5H_F3sWEg8AZubC_NDsSk7hF4QlkF3")</f>
        <v>https://lh5.googleusercontent.com/d/1ZU5H_F3sWEg8AZubC_NDsSk7hF4QlkF3</v>
      </c>
      <c r="O605" s="14" t="str">
        <f>IFERROR(__xludf.DUMMYFUNCTION("""COMPUTED_VALUE"""),"https://drive.google.com/file/d/1FTRgoQnLiro3h3OChts87THVC3AqW1a7/view?usp=drivesdk")</f>
        <v>https://drive.google.com/file/d/1FTRgoQnLiro3h3OChts87THVC3AqW1a7/view?usp=drivesdk</v>
      </c>
    </row>
    <row r="606">
      <c r="A606" s="3">
        <f>IFERROR(__xludf.DUMMYFUNCTION("""COMPUTED_VALUE"""),2680.0)</f>
        <v>2680</v>
      </c>
      <c r="B606" s="11">
        <f>IFERROR(__xludf.DUMMYFUNCTION("""COMPUTED_VALUE"""),46175.54921445602)</f>
        <v>46175.54921</v>
      </c>
      <c r="C606" s="3" t="str">
        <f>IFERROR(__xludf.DUMMYFUNCTION("""COMPUTED_VALUE"""),"ชั้นปีที่ 2")</f>
        <v>ชั้นปีที่ 2</v>
      </c>
      <c r="D606" s="3" t="str">
        <f>IFERROR(__xludf.DUMMYFUNCTION("""COMPUTED_VALUE"""),"6703826")</f>
        <v>6703826</v>
      </c>
      <c r="E606" s="3" t="str">
        <f>IFERROR(__xludf.DUMMYFUNCTION("""COMPUTED_VALUE"""),"9")</f>
        <v>9</v>
      </c>
      <c r="F606" s="3" t="str">
        <f>IFERROR(__xludf.DUMMYFUNCTION("""COMPUTED_VALUE"""),"นพอ.ชณัฐธิดา ชูชีพ")</f>
        <v>นพอ.ชณัฐธิดา ชูชีพ</v>
      </c>
      <c r="G606" s="3" t="str">
        <f>IFERROR(__xludf.DUMMYFUNCTION("""COMPUTED_VALUE"""),"ทำนุบำรุงศาสนสถาน")</f>
        <v>ทำนุบำรุงศาสนสถาน</v>
      </c>
      <c r="H606" s="3" t="str">
        <f>IFERROR(__xludf.DUMMYFUNCTION("""COMPUTED_VALUE"""),"กวาดลานวัด")</f>
        <v>กวาดลานวัด</v>
      </c>
      <c r="I606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606" s="12">
        <f>IFERROR(__xludf.DUMMYFUNCTION("""COMPUTED_VALUE"""),46172.0)</f>
        <v>46172</v>
      </c>
      <c r="K606" s="3" t="str">
        <f>IFERROR(__xludf.DUMMYFUNCTION("""COMPUTED_VALUE"""),"0700-1000")</f>
        <v>0700-1000</v>
      </c>
      <c r="L606" s="3">
        <f>IFERROR(__xludf.DUMMYFUNCTION("""COMPUTED_VALUE"""),3.0)</f>
        <v>3</v>
      </c>
      <c r="M606" s="3" t="str">
        <f>IFERROR(__xludf.DUMMYFUNCTION("""COMPUTED_VALUE"""),"พระมหาวชิรมุนีวงศ์")</f>
        <v>พระมหาวชิรมุนีวงศ์</v>
      </c>
      <c r="N606" s="14" t="str">
        <f>IFERROR(__xludf.DUMMYFUNCTION("""COMPUTED_VALUE"""),"https://lh5.googleusercontent.com/d/1lxyWtrjoi5Rizf7PA_ExKWWlYW4ag2ES")</f>
        <v>https://lh5.googleusercontent.com/d/1lxyWtrjoi5Rizf7PA_ExKWWlYW4ag2ES</v>
      </c>
      <c r="O606" s="14" t="str">
        <f>IFERROR(__xludf.DUMMYFUNCTION("""COMPUTED_VALUE"""),"https://drive.google.com/file/d/1h8o8aPAH3rE5fY2GX-rbb19qiJYcs1Zr/view?usp=drivesdk")</f>
        <v>https://drive.google.com/file/d/1h8o8aPAH3rE5fY2GX-rbb19qiJYcs1Zr/view?usp=drivesdk</v>
      </c>
    </row>
    <row r="607">
      <c r="A607" s="3">
        <f>IFERROR(__xludf.DUMMYFUNCTION("""COMPUTED_VALUE"""),2681.0)</f>
        <v>2681</v>
      </c>
      <c r="B607" s="11">
        <f>IFERROR(__xludf.DUMMYFUNCTION("""COMPUTED_VALUE"""),46175.54944964121)</f>
        <v>46175.54945</v>
      </c>
      <c r="C607" s="3" t="str">
        <f>IFERROR(__xludf.DUMMYFUNCTION("""COMPUTED_VALUE"""),"ชั้นปีที่ 2")</f>
        <v>ชั้นปีที่ 2</v>
      </c>
      <c r="D607" s="3" t="str">
        <f>IFERROR(__xludf.DUMMYFUNCTION("""COMPUTED_VALUE"""),"6703867")</f>
        <v>6703867</v>
      </c>
      <c r="E607" s="3" t="str">
        <f>IFERROR(__xludf.DUMMYFUNCTION("""COMPUTED_VALUE"""),"48")</f>
        <v>48</v>
      </c>
      <c r="F607" s="3" t="str">
        <f>IFERROR(__xludf.DUMMYFUNCTION("""COMPUTED_VALUE"""),"วรางคณา ปางชาติ")</f>
        <v>วรางคณา ปางชาติ</v>
      </c>
      <c r="G60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07" s="3" t="str">
        <f>IFERROR(__xludf.DUMMYFUNCTION("""COMPUTED_VALUE"""),"เข้าร่วมงานวันเด็กแห่งชาติ")</f>
        <v>เข้าร่วมงานวันเด็กแห่งชาติ</v>
      </c>
      <c r="I607" s="3" t="str">
        <f>IFERROR(__xludf.DUMMYFUNCTION("""COMPUTED_VALUE"""),"โรงเรียนการบิน")</f>
        <v>โรงเรียนการบิน</v>
      </c>
      <c r="J607" s="12">
        <f>IFERROR(__xludf.DUMMYFUNCTION("""COMPUTED_VALUE"""),46032.0)</f>
        <v>46032</v>
      </c>
      <c r="K607" s="3" t="str">
        <f>IFERROR(__xludf.DUMMYFUNCTION("""COMPUTED_VALUE"""),"0800-1600")</f>
        <v>0800-1600</v>
      </c>
      <c r="L607" s="3">
        <f>IFERROR(__xludf.DUMMYFUNCTION("""COMPUTED_VALUE"""),8.0)</f>
        <v>8</v>
      </c>
      <c r="M607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07" s="14" t="str">
        <f>IFERROR(__xludf.DUMMYFUNCTION("""COMPUTED_VALUE"""),"https://lh5.googleusercontent.com/d/1H-sOoUD1dIJzGlLTb9SBfmrcOzDYEasv")</f>
        <v>https://lh5.googleusercontent.com/d/1H-sOoUD1dIJzGlLTb9SBfmrcOzDYEasv</v>
      </c>
      <c r="O607" s="14" t="str">
        <f>IFERROR(__xludf.DUMMYFUNCTION("""COMPUTED_VALUE"""),"https://drive.google.com/file/d/1xyrkelchbpPGOWgvEnvArtbpWgt9K-Z7/view?usp=drivesdk")</f>
        <v>https://drive.google.com/file/d/1xyrkelchbpPGOWgvEnvArtbpWgt9K-Z7/view?usp=drivesdk</v>
      </c>
    </row>
    <row r="608">
      <c r="A608" s="3">
        <f>IFERROR(__xludf.DUMMYFUNCTION("""COMPUTED_VALUE"""),2682.0)</f>
        <v>2682</v>
      </c>
      <c r="B608" s="11">
        <f>IFERROR(__xludf.DUMMYFUNCTION("""COMPUTED_VALUE"""),46175.54965105324)</f>
        <v>46175.54965</v>
      </c>
      <c r="C608" s="3" t="str">
        <f>IFERROR(__xludf.DUMMYFUNCTION("""COMPUTED_VALUE"""),"ชั้นปีที่ 2")</f>
        <v>ชั้นปีที่ 2</v>
      </c>
      <c r="D608" s="3" t="str">
        <f>IFERROR(__xludf.DUMMYFUNCTION("""COMPUTED_VALUE"""),"6703822")</f>
        <v>6703822</v>
      </c>
      <c r="E608" s="3" t="str">
        <f>IFERROR(__xludf.DUMMYFUNCTION("""COMPUTED_VALUE"""),"5")</f>
        <v>5</v>
      </c>
      <c r="F608" s="3" t="str">
        <f>IFERROR(__xludf.DUMMYFUNCTION("""COMPUTED_VALUE"""),"นพอ.กัณยวัลย์ เทียนบัญญัติ")</f>
        <v>นพอ.กัณยวัลย์ เทียนบัญญัติ</v>
      </c>
      <c r="G608" s="3" t="str">
        <f>IFERROR(__xludf.DUMMYFUNCTION("""COMPUTED_VALUE"""),"ช่วยเหลืองานภายใน วพอ.")</f>
        <v>ช่วยเหลืองานภายใน วพอ.</v>
      </c>
      <c r="H60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8" s="3" t="str">
        <f>IFERROR(__xludf.DUMMYFUNCTION("""COMPUTED_VALUE"""),"วพอ.พอ.")</f>
        <v>วพอ.พอ.</v>
      </c>
      <c r="J608" s="12">
        <f>IFERROR(__xludf.DUMMYFUNCTION("""COMPUTED_VALUE"""),46135.0)</f>
        <v>46135</v>
      </c>
      <c r="K608" s="3" t="str">
        <f>IFERROR(__xludf.DUMMYFUNCTION("""COMPUTED_VALUE"""),"1700-2100")</f>
        <v>1700-2100</v>
      </c>
      <c r="L608" s="3">
        <f>IFERROR(__xludf.DUMMYFUNCTION("""COMPUTED_VALUE"""),4.0)</f>
        <v>4</v>
      </c>
      <c r="M608" s="3" t="str">
        <f>IFERROR(__xludf.DUMMYFUNCTION("""COMPUTED_VALUE"""),"ร.อ.อนุชิต ทำจะดี")</f>
        <v>ร.อ.อนุชิต ทำจะดี</v>
      </c>
      <c r="N608" s="14" t="str">
        <f>IFERROR(__xludf.DUMMYFUNCTION("""COMPUTED_VALUE"""),"https://lh5.googleusercontent.com/d/1ACGoi6NjLjtf9zhQnaf7EQPmjSwgidiU")</f>
        <v>https://lh5.googleusercontent.com/d/1ACGoi6NjLjtf9zhQnaf7EQPmjSwgidiU</v>
      </c>
      <c r="O608" s="14" t="str">
        <f>IFERROR(__xludf.DUMMYFUNCTION("""COMPUTED_VALUE"""),"https://drive.google.com/file/d/1kmfomQ9cMBEukNTKHRM9B69PFulvcUQw/view?usp=drivesdk")</f>
        <v>https://drive.google.com/file/d/1kmfomQ9cMBEukNTKHRM9B69PFulvcUQw/view?usp=drivesdk</v>
      </c>
    </row>
    <row r="609">
      <c r="A609" s="3">
        <f>IFERROR(__xludf.DUMMYFUNCTION("""COMPUTED_VALUE"""),2683.0)</f>
        <v>2683</v>
      </c>
      <c r="B609" s="11">
        <f>IFERROR(__xludf.DUMMYFUNCTION("""COMPUTED_VALUE"""),46175.55072263889)</f>
        <v>46175.55072</v>
      </c>
      <c r="C609" s="3" t="str">
        <f>IFERROR(__xludf.DUMMYFUNCTION("""COMPUTED_VALUE"""),"ชั้นปีที่ 2")</f>
        <v>ชั้นปีที่ 2</v>
      </c>
      <c r="D609" s="3" t="str">
        <f>IFERROR(__xludf.DUMMYFUNCTION("""COMPUTED_VALUE"""),"6703820")</f>
        <v>6703820</v>
      </c>
      <c r="E609" s="3" t="str">
        <f>IFERROR(__xludf.DUMMYFUNCTION("""COMPUTED_VALUE"""),"3")</f>
        <v>3</v>
      </c>
      <c r="F609" s="3" t="str">
        <f>IFERROR(__xludf.DUMMYFUNCTION("""COMPUTED_VALUE"""),"นพอ.กฤตพร พิทักษ์")</f>
        <v>นพอ.กฤตพร พิทักษ์</v>
      </c>
      <c r="G609" s="3" t="str">
        <f>IFERROR(__xludf.DUMMYFUNCTION("""COMPUTED_VALUE"""),"ช่วยเหลืองานภายใน วพอ.")</f>
        <v>ช่วยเหลืองานภายใน วพอ.</v>
      </c>
      <c r="H60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9" s="3" t="str">
        <f>IFERROR(__xludf.DUMMYFUNCTION("""COMPUTED_VALUE"""),"วพอ.พอ.")</f>
        <v>วพอ.พอ.</v>
      </c>
      <c r="J609" s="12">
        <f>IFERROR(__xludf.DUMMYFUNCTION("""COMPUTED_VALUE"""),46134.0)</f>
        <v>46134</v>
      </c>
      <c r="K609" s="3" t="str">
        <f>IFERROR(__xludf.DUMMYFUNCTION("""COMPUTED_VALUE"""),"1700-2100")</f>
        <v>1700-2100</v>
      </c>
      <c r="L609" s="3">
        <f>IFERROR(__xludf.DUMMYFUNCTION("""COMPUTED_VALUE"""),4.0)</f>
        <v>4</v>
      </c>
      <c r="M609" s="3" t="str">
        <f>IFERROR(__xludf.DUMMYFUNCTION("""COMPUTED_VALUE"""),"ร.อ.อนุชิต ทำจะดี")</f>
        <v>ร.อ.อนุชิต ทำจะดี</v>
      </c>
      <c r="N609" s="14" t="str">
        <f>IFERROR(__xludf.DUMMYFUNCTION("""COMPUTED_VALUE"""),"https://lh5.googleusercontent.com/d/1XxFbGhZbnv8l2tR8w1pJPyMnQy7K9Uw3")</f>
        <v>https://lh5.googleusercontent.com/d/1XxFbGhZbnv8l2tR8w1pJPyMnQy7K9Uw3</v>
      </c>
      <c r="O609" s="14" t="str">
        <f>IFERROR(__xludf.DUMMYFUNCTION("""COMPUTED_VALUE"""),"https://drive.google.com/file/d/1p05PNbDdmrOq-fofmXL6J6-KYgn3TTnh/view?usp=drivesdk")</f>
        <v>https://drive.google.com/file/d/1p05PNbDdmrOq-fofmXL6J6-KYgn3TTnh/view?usp=drivesdk</v>
      </c>
    </row>
    <row r="610">
      <c r="A610" s="3">
        <f>IFERROR(__xludf.DUMMYFUNCTION("""COMPUTED_VALUE"""),2684.0)</f>
        <v>2684</v>
      </c>
      <c r="B610" s="11">
        <f>IFERROR(__xludf.DUMMYFUNCTION("""COMPUTED_VALUE"""),46175.55162331019)</f>
        <v>46175.55162</v>
      </c>
      <c r="C610" s="3" t="str">
        <f>IFERROR(__xludf.DUMMYFUNCTION("""COMPUTED_VALUE"""),"ชั้นปีที่ 2")</f>
        <v>ชั้นปีที่ 2</v>
      </c>
      <c r="D610" s="3" t="str">
        <f>IFERROR(__xludf.DUMMYFUNCTION("""COMPUTED_VALUE"""),"6703870")</f>
        <v>6703870</v>
      </c>
      <c r="E610" s="3" t="str">
        <f>IFERROR(__xludf.DUMMYFUNCTION("""COMPUTED_VALUE"""),"51")</f>
        <v>51</v>
      </c>
      <c r="F610" s="3" t="str">
        <f>IFERROR(__xludf.DUMMYFUNCTION("""COMPUTED_VALUE"""),"นพอ.วิมลสิริ สิงห์ธนะ")</f>
        <v>นพอ.วิมลสิริ สิงห์ธนะ</v>
      </c>
      <c r="G610" s="3" t="str">
        <f>IFERROR(__xludf.DUMMYFUNCTION("""COMPUTED_VALUE"""),"ช่วยเหลืองานภายใน วพอ.")</f>
        <v>ช่วยเหลืองานภายใน วพอ.</v>
      </c>
      <c r="H61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0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10" s="12">
        <f>IFERROR(__xludf.DUMMYFUNCTION("""COMPUTED_VALUE"""),46139.0)</f>
        <v>46139</v>
      </c>
      <c r="K610" s="3" t="str">
        <f>IFERROR(__xludf.DUMMYFUNCTION("""COMPUTED_VALUE"""),"1700-2100")</f>
        <v>1700-2100</v>
      </c>
      <c r="L610" s="3">
        <f>IFERROR(__xludf.DUMMYFUNCTION("""COMPUTED_VALUE"""),4.0)</f>
        <v>4</v>
      </c>
      <c r="M610" s="3" t="str">
        <f>IFERROR(__xludf.DUMMYFUNCTION("""COMPUTED_VALUE"""),"ร.อ.อนุชิต ทำจะดี")</f>
        <v>ร.อ.อนุชิต ทำจะดี</v>
      </c>
      <c r="N610" s="14" t="str">
        <f>IFERROR(__xludf.DUMMYFUNCTION("""COMPUTED_VALUE"""),"https://lh5.googleusercontent.com/d/16dRyeUXWliZGrhd3RbXfUbfF5oyjC_Kr")</f>
        <v>https://lh5.googleusercontent.com/d/16dRyeUXWliZGrhd3RbXfUbfF5oyjC_Kr</v>
      </c>
      <c r="O610" s="14" t="str">
        <f>IFERROR(__xludf.DUMMYFUNCTION("""COMPUTED_VALUE"""),"https://drive.google.com/file/d/1LxL-88VNuOjSWeHUtCOA7__gPulbPwSL/view?usp=drivesdk")</f>
        <v>https://drive.google.com/file/d/1LxL-88VNuOjSWeHUtCOA7__gPulbPwSL/view?usp=drivesdk</v>
      </c>
    </row>
    <row r="611">
      <c r="A611" s="3">
        <f>IFERROR(__xludf.DUMMYFUNCTION("""COMPUTED_VALUE"""),2685.0)</f>
        <v>2685</v>
      </c>
      <c r="B611" s="11">
        <f>IFERROR(__xludf.DUMMYFUNCTION("""COMPUTED_VALUE"""),46175.55172200231)</f>
        <v>46175.55172</v>
      </c>
      <c r="C611" s="3" t="str">
        <f>IFERROR(__xludf.DUMMYFUNCTION("""COMPUTED_VALUE"""),"ชั้นปีที่ 2")</f>
        <v>ชั้นปีที่ 2</v>
      </c>
      <c r="D611" s="3" t="str">
        <f>IFERROR(__xludf.DUMMYFUNCTION("""COMPUTED_VALUE"""),"6703822")</f>
        <v>6703822</v>
      </c>
      <c r="E611" s="3" t="str">
        <f>IFERROR(__xludf.DUMMYFUNCTION("""COMPUTED_VALUE"""),"5")</f>
        <v>5</v>
      </c>
      <c r="F611" s="3" t="str">
        <f>IFERROR(__xludf.DUMMYFUNCTION("""COMPUTED_VALUE"""),"นพอ.กัณยวัลย์ เทียนบัญญัติ")</f>
        <v>นพอ.กัณยวัลย์ เทียนบัญญัติ</v>
      </c>
      <c r="G611" s="3" t="str">
        <f>IFERROR(__xludf.DUMMYFUNCTION("""COMPUTED_VALUE"""),"ช่วยเหลืองานภายใน วพอ.")</f>
        <v>ช่วยเหลืองานภายใน วพอ.</v>
      </c>
      <c r="H61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1" s="3" t="str">
        <f>IFERROR(__xludf.DUMMYFUNCTION("""COMPUTED_VALUE"""),"วพอ.พอ.")</f>
        <v>วพอ.พอ.</v>
      </c>
      <c r="J611" s="12">
        <f>IFERROR(__xludf.DUMMYFUNCTION("""COMPUTED_VALUE"""),46138.0)</f>
        <v>46138</v>
      </c>
      <c r="K611" s="3" t="str">
        <f>IFERROR(__xludf.DUMMYFUNCTION("""COMPUTED_VALUE"""),"1500-2100")</f>
        <v>1500-2100</v>
      </c>
      <c r="L611" s="3">
        <f>IFERROR(__xludf.DUMMYFUNCTION("""COMPUTED_VALUE"""),6.0)</f>
        <v>6</v>
      </c>
      <c r="M611" s="3" t="str">
        <f>IFERROR(__xludf.DUMMYFUNCTION("""COMPUTED_VALUE"""),"ร.อ.อนุชิต ทำจะดี")</f>
        <v>ร.อ.อนุชิต ทำจะดี</v>
      </c>
      <c r="N611" s="14" t="str">
        <f>IFERROR(__xludf.DUMMYFUNCTION("""COMPUTED_VALUE"""),"https://lh5.googleusercontent.com/d/1OlL0tpEz1d-v7pa16wcEjgGu6V_pcdvQ")</f>
        <v>https://lh5.googleusercontent.com/d/1OlL0tpEz1d-v7pa16wcEjgGu6V_pcdvQ</v>
      </c>
      <c r="O611" s="14" t="str">
        <f>IFERROR(__xludf.DUMMYFUNCTION("""COMPUTED_VALUE"""),"https://drive.google.com/file/d/1oHmcb1dhhbzwDnB94RjdaoeEWA6jRZYJ/view?usp=drivesdk")</f>
        <v>https://drive.google.com/file/d/1oHmcb1dhhbzwDnB94RjdaoeEWA6jRZYJ/view?usp=drivesdk</v>
      </c>
    </row>
    <row r="612">
      <c r="A612" s="3">
        <f>IFERROR(__xludf.DUMMYFUNCTION("""COMPUTED_VALUE"""),2686.0)</f>
        <v>2686</v>
      </c>
      <c r="B612" s="11">
        <f>IFERROR(__xludf.DUMMYFUNCTION("""COMPUTED_VALUE"""),46175.55232840278)</f>
        <v>46175.55233</v>
      </c>
      <c r="C612" s="3" t="str">
        <f>IFERROR(__xludf.DUMMYFUNCTION("""COMPUTED_VALUE"""),"ชั้นปีที่ 2")</f>
        <v>ชั้นปีที่ 2</v>
      </c>
      <c r="D612" s="3" t="str">
        <f>IFERROR(__xludf.DUMMYFUNCTION("""COMPUTED_VALUE"""),"6703820")</f>
        <v>6703820</v>
      </c>
      <c r="E612" s="3" t="str">
        <f>IFERROR(__xludf.DUMMYFUNCTION("""COMPUTED_VALUE"""),"3")</f>
        <v>3</v>
      </c>
      <c r="F612" s="3" t="str">
        <f>IFERROR(__xludf.DUMMYFUNCTION("""COMPUTED_VALUE"""),"นพอ.กฤตพร พิทักษ์")</f>
        <v>นพอ.กฤตพร พิทักษ์</v>
      </c>
      <c r="G612" s="3" t="str">
        <f>IFERROR(__xludf.DUMMYFUNCTION("""COMPUTED_VALUE"""),"ช่วยเหลืองานภายใน วพอ.")</f>
        <v>ช่วยเหลืองานภายใน วพอ.</v>
      </c>
      <c r="H61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2" s="3" t="str">
        <f>IFERROR(__xludf.DUMMYFUNCTION("""COMPUTED_VALUE"""),"วพอ.พอ.")</f>
        <v>วพอ.พอ.</v>
      </c>
      <c r="J612" s="12">
        <f>IFERROR(__xludf.DUMMYFUNCTION("""COMPUTED_VALUE"""),46135.0)</f>
        <v>46135</v>
      </c>
      <c r="K612" s="3" t="str">
        <f>IFERROR(__xludf.DUMMYFUNCTION("""COMPUTED_VALUE"""),"1700-2100")</f>
        <v>1700-2100</v>
      </c>
      <c r="L612" s="3">
        <f>IFERROR(__xludf.DUMMYFUNCTION("""COMPUTED_VALUE"""),4.0)</f>
        <v>4</v>
      </c>
      <c r="M612" s="3" t="str">
        <f>IFERROR(__xludf.DUMMYFUNCTION("""COMPUTED_VALUE"""),"ร.อ.อนุชิต ทำจะดี")</f>
        <v>ร.อ.อนุชิต ทำจะดี</v>
      </c>
      <c r="N612" s="14" t="str">
        <f>IFERROR(__xludf.DUMMYFUNCTION("""COMPUTED_VALUE"""),"https://lh5.googleusercontent.com/d/1tCjD5lQfMngC-wkW1__70vdCnozP8rXg")</f>
        <v>https://lh5.googleusercontent.com/d/1tCjD5lQfMngC-wkW1__70vdCnozP8rXg</v>
      </c>
      <c r="O612" s="14" t="str">
        <f>IFERROR(__xludf.DUMMYFUNCTION("""COMPUTED_VALUE"""),"https://drive.google.com/file/d/1fjrpeSpp6Or5-E8o-NO3FCwWmYXeR4i8/view?usp=drivesdk")</f>
        <v>https://drive.google.com/file/d/1fjrpeSpp6Or5-E8o-NO3FCwWmYXeR4i8/view?usp=drivesdk</v>
      </c>
    </row>
    <row r="613">
      <c r="A613" s="3">
        <f>IFERROR(__xludf.DUMMYFUNCTION("""COMPUTED_VALUE"""),2687.0)</f>
        <v>2687</v>
      </c>
      <c r="B613" s="11">
        <f>IFERROR(__xludf.DUMMYFUNCTION("""COMPUTED_VALUE"""),46175.553299340274)</f>
        <v>46175.5533</v>
      </c>
      <c r="C613" s="3" t="str">
        <f>IFERROR(__xludf.DUMMYFUNCTION("""COMPUTED_VALUE"""),"ชั้นปีที่ 2")</f>
        <v>ชั้นปีที่ 2</v>
      </c>
      <c r="D613" s="3" t="str">
        <f>IFERROR(__xludf.DUMMYFUNCTION("""COMPUTED_VALUE"""),"6703822")</f>
        <v>6703822</v>
      </c>
      <c r="E613" s="3" t="str">
        <f>IFERROR(__xludf.DUMMYFUNCTION("""COMPUTED_VALUE"""),"5")</f>
        <v>5</v>
      </c>
      <c r="F613" s="3" t="str">
        <f>IFERROR(__xludf.DUMMYFUNCTION("""COMPUTED_VALUE"""),"นพอ.กัณยวัลย์ เทียนบัญญัติ")</f>
        <v>นพอ.กัณยวัลย์ เทียนบัญญัติ</v>
      </c>
      <c r="G613" s="3" t="str">
        <f>IFERROR(__xludf.DUMMYFUNCTION("""COMPUTED_VALUE"""),"ช่วยเหลืองานภายใน วพอ.")</f>
        <v>ช่วยเหลืองานภายใน วพอ.</v>
      </c>
      <c r="H61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3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13" s="12">
        <f>IFERROR(__xludf.DUMMYFUNCTION("""COMPUTED_VALUE"""),46139.0)</f>
        <v>46139</v>
      </c>
      <c r="K613" s="3" t="str">
        <f>IFERROR(__xludf.DUMMYFUNCTION("""COMPUTED_VALUE"""),"1700-2100")</f>
        <v>1700-2100</v>
      </c>
      <c r="L613" s="3">
        <f>IFERROR(__xludf.DUMMYFUNCTION("""COMPUTED_VALUE"""),4.0)</f>
        <v>4</v>
      </c>
      <c r="M613" s="3" t="str">
        <f>IFERROR(__xludf.DUMMYFUNCTION("""COMPUTED_VALUE"""),"ร.อ.อนุชิต ทำจะดี")</f>
        <v>ร.อ.อนุชิต ทำจะดี</v>
      </c>
      <c r="N613" s="14" t="str">
        <f>IFERROR(__xludf.DUMMYFUNCTION("""COMPUTED_VALUE"""),"https://lh5.googleusercontent.com/d/1q8T6kiJSX6MDDAtaZUbNKLajO9-oiI1Z")</f>
        <v>https://lh5.googleusercontent.com/d/1q8T6kiJSX6MDDAtaZUbNKLajO9-oiI1Z</v>
      </c>
      <c r="O613" s="14" t="str">
        <f>IFERROR(__xludf.DUMMYFUNCTION("""COMPUTED_VALUE"""),"https://drive.google.com/file/d/1bOG5ljftlvBsCbPhJ0OAH4mrztxl0BSq/view?usp=drivesdk")</f>
        <v>https://drive.google.com/file/d/1bOG5ljftlvBsCbPhJ0OAH4mrztxl0BSq/view?usp=drivesdk</v>
      </c>
    </row>
    <row r="614">
      <c r="A614" s="3">
        <f>IFERROR(__xludf.DUMMYFUNCTION("""COMPUTED_VALUE"""),2688.0)</f>
        <v>2688</v>
      </c>
      <c r="B614" s="11">
        <f>IFERROR(__xludf.DUMMYFUNCTION("""COMPUTED_VALUE"""),46175.55401196759)</f>
        <v>46175.55401</v>
      </c>
      <c r="C614" s="3" t="str">
        <f>IFERROR(__xludf.DUMMYFUNCTION("""COMPUTED_VALUE"""),"ชั้นปีที่ 2")</f>
        <v>ชั้นปีที่ 2</v>
      </c>
      <c r="D614" s="3" t="str">
        <f>IFERROR(__xludf.DUMMYFUNCTION("""COMPUTED_VALUE"""),"6703820")</f>
        <v>6703820</v>
      </c>
      <c r="E614" s="3" t="str">
        <f>IFERROR(__xludf.DUMMYFUNCTION("""COMPUTED_VALUE"""),"3")</f>
        <v>3</v>
      </c>
      <c r="F614" s="3" t="str">
        <f>IFERROR(__xludf.DUMMYFUNCTION("""COMPUTED_VALUE"""),"นพอ.กฤตพร พิทักษ์")</f>
        <v>นพอ.กฤตพร พิทักษ์</v>
      </c>
      <c r="G614" s="3" t="str">
        <f>IFERROR(__xludf.DUMMYFUNCTION("""COMPUTED_VALUE"""),"ช่วยเหลืองานภายใน วพอ.")</f>
        <v>ช่วยเหลืองานภายใน วพอ.</v>
      </c>
      <c r="H61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4" s="3" t="str">
        <f>IFERROR(__xludf.DUMMYFUNCTION("""COMPUTED_VALUE"""),"วพอ.พอ.")</f>
        <v>วพอ.พอ.</v>
      </c>
      <c r="J614" s="12">
        <f>IFERROR(__xludf.DUMMYFUNCTION("""COMPUTED_VALUE"""),46138.0)</f>
        <v>46138</v>
      </c>
      <c r="K614" s="3" t="str">
        <f>IFERROR(__xludf.DUMMYFUNCTION("""COMPUTED_VALUE"""),"1300-2100")</f>
        <v>1300-2100</v>
      </c>
      <c r="L614" s="3">
        <f>IFERROR(__xludf.DUMMYFUNCTION("""COMPUTED_VALUE"""),8.0)</f>
        <v>8</v>
      </c>
      <c r="M614" s="3" t="str">
        <f>IFERROR(__xludf.DUMMYFUNCTION("""COMPUTED_VALUE"""),"ร.อ.อนุชิต ทำจะดี")</f>
        <v>ร.อ.อนุชิต ทำจะดี</v>
      </c>
      <c r="N614" s="14" t="str">
        <f>IFERROR(__xludf.DUMMYFUNCTION("""COMPUTED_VALUE"""),"https://lh5.googleusercontent.com/d/1VWRp3Wuja-aEeeBDhvFm6SYJo8CFPKQO")</f>
        <v>https://lh5.googleusercontent.com/d/1VWRp3Wuja-aEeeBDhvFm6SYJo8CFPKQO</v>
      </c>
      <c r="O614" s="14" t="str">
        <f>IFERROR(__xludf.DUMMYFUNCTION("""COMPUTED_VALUE"""),"https://drive.google.com/file/d/1y3zgSi9oNu5swbg6b8TxM9nzoOGPPyL6/view?usp=drivesdk")</f>
        <v>https://drive.google.com/file/d/1y3zgSi9oNu5swbg6b8TxM9nzoOGPPyL6/view?usp=drivesdk</v>
      </c>
    </row>
    <row r="615">
      <c r="A615" s="3">
        <f>IFERROR(__xludf.DUMMYFUNCTION("""COMPUTED_VALUE"""),2689.0)</f>
        <v>2689</v>
      </c>
      <c r="B615" s="11">
        <f>IFERROR(__xludf.DUMMYFUNCTION("""COMPUTED_VALUE"""),46175.55499415509)</f>
        <v>46175.55499</v>
      </c>
      <c r="C615" s="3" t="str">
        <f>IFERROR(__xludf.DUMMYFUNCTION("""COMPUTED_VALUE"""),"ชั้นปีที่ 2")</f>
        <v>ชั้นปีที่ 2</v>
      </c>
      <c r="D615" s="3" t="str">
        <f>IFERROR(__xludf.DUMMYFUNCTION("""COMPUTED_VALUE"""),"6703870")</f>
        <v>6703870</v>
      </c>
      <c r="E615" s="3" t="str">
        <f>IFERROR(__xludf.DUMMYFUNCTION("""COMPUTED_VALUE"""),"51")</f>
        <v>51</v>
      </c>
      <c r="F615" s="3" t="str">
        <f>IFERROR(__xludf.DUMMYFUNCTION("""COMPUTED_VALUE"""),"นพอ.วิมลสิริ สิงห์ธนะ")</f>
        <v>นพอ.วิมลสิริ สิงห์ธนะ</v>
      </c>
      <c r="G6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5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15" s="3" t="str">
        <f>IFERROR(__xludf.DUMMYFUNCTION("""COMPUTED_VALUE"""),"สนามกีฬาธูปะเตมีย์")</f>
        <v>สนามกีฬาธูปะเตมีย์</v>
      </c>
      <c r="J615" s="12">
        <f>IFERROR(__xludf.DUMMYFUNCTION("""COMPUTED_VALUE"""),46078.0)</f>
        <v>46078</v>
      </c>
      <c r="K615" s="3" t="str">
        <f>IFERROR(__xludf.DUMMYFUNCTION("""COMPUTED_VALUE"""),"1200-2000")</f>
        <v>1200-2000</v>
      </c>
      <c r="L615" s="3">
        <f>IFERROR(__xludf.DUMMYFUNCTION("""COMPUTED_VALUE"""),8.0)</f>
        <v>8</v>
      </c>
      <c r="M61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15" s="14" t="str">
        <f>IFERROR(__xludf.DUMMYFUNCTION("""COMPUTED_VALUE"""),"https://lh5.googleusercontent.com/d/1UzoVz7qAY4bgGty1S_3vgOnwO_vYUtlg")</f>
        <v>https://lh5.googleusercontent.com/d/1UzoVz7qAY4bgGty1S_3vgOnwO_vYUtlg</v>
      </c>
      <c r="O615" s="14" t="str">
        <f>IFERROR(__xludf.DUMMYFUNCTION("""COMPUTED_VALUE"""),"https://drive.google.com/file/d/184ELnONszXkqf6t9qG8DvWZOeznzZ_rk/view?usp=drivesdk")</f>
        <v>https://drive.google.com/file/d/184ELnONszXkqf6t9qG8DvWZOeznzZ_rk/view?usp=drivesdk</v>
      </c>
    </row>
    <row r="616">
      <c r="A616" s="3">
        <f>IFERROR(__xludf.DUMMYFUNCTION("""COMPUTED_VALUE"""),2690.0)</f>
        <v>2690</v>
      </c>
      <c r="B616" s="11">
        <f>IFERROR(__xludf.DUMMYFUNCTION("""COMPUTED_VALUE"""),46175.55536946759)</f>
        <v>46175.55537</v>
      </c>
      <c r="C616" s="3" t="str">
        <f>IFERROR(__xludf.DUMMYFUNCTION("""COMPUTED_VALUE"""),"ชั้นปีที่ 2")</f>
        <v>ชั้นปีที่ 2</v>
      </c>
      <c r="D616" s="3" t="str">
        <f>IFERROR(__xludf.DUMMYFUNCTION("""COMPUTED_VALUE"""),"6703820")</f>
        <v>6703820</v>
      </c>
      <c r="E616" s="3" t="str">
        <f>IFERROR(__xludf.DUMMYFUNCTION("""COMPUTED_VALUE"""),"3")</f>
        <v>3</v>
      </c>
      <c r="F616" s="3" t="str">
        <f>IFERROR(__xludf.DUMMYFUNCTION("""COMPUTED_VALUE"""),"นพอ.กฤตพร พิทักษ์")</f>
        <v>นพอ.กฤตพร พิทักษ์</v>
      </c>
      <c r="G616" s="3" t="str">
        <f>IFERROR(__xludf.DUMMYFUNCTION("""COMPUTED_VALUE"""),"ช่วยเหลืองานภายใน วพอ.")</f>
        <v>ช่วยเหลืองานภายใน วพอ.</v>
      </c>
      <c r="H61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6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16" s="12">
        <f>IFERROR(__xludf.DUMMYFUNCTION("""COMPUTED_VALUE"""),46139.0)</f>
        <v>46139</v>
      </c>
      <c r="K616" s="3" t="str">
        <f>IFERROR(__xludf.DUMMYFUNCTION("""COMPUTED_VALUE"""),"1700-2100")</f>
        <v>1700-2100</v>
      </c>
      <c r="L616" s="3">
        <f>IFERROR(__xludf.DUMMYFUNCTION("""COMPUTED_VALUE"""),4.0)</f>
        <v>4</v>
      </c>
      <c r="M616" s="3" t="str">
        <f>IFERROR(__xludf.DUMMYFUNCTION("""COMPUTED_VALUE"""),"ร.อ.อนุชิต ทำจะดี")</f>
        <v>ร.อ.อนุชิต ทำจะดี</v>
      </c>
      <c r="N616" s="14" t="str">
        <f>IFERROR(__xludf.DUMMYFUNCTION("""COMPUTED_VALUE"""),"https://lh5.googleusercontent.com/d/1BDPOzCkNptJ5qzpn_HaAmbVdOwtXtvnH")</f>
        <v>https://lh5.googleusercontent.com/d/1BDPOzCkNptJ5qzpn_HaAmbVdOwtXtvnH</v>
      </c>
      <c r="O616" s="14" t="str">
        <f>IFERROR(__xludf.DUMMYFUNCTION("""COMPUTED_VALUE"""),"https://drive.google.com/file/d/1pUqKCPg4O-nttsGZysprRsb6OWUBbnIM/view?usp=drivesdk")</f>
        <v>https://drive.google.com/file/d/1pUqKCPg4O-nttsGZysprRsb6OWUBbnIM/view?usp=drivesdk</v>
      </c>
    </row>
    <row r="617">
      <c r="A617" s="3">
        <f>IFERROR(__xludf.DUMMYFUNCTION("""COMPUTED_VALUE"""),2691.0)</f>
        <v>2691</v>
      </c>
      <c r="B617" s="11">
        <f>IFERROR(__xludf.DUMMYFUNCTION("""COMPUTED_VALUE"""),46175.55663039352)</f>
        <v>46175.55663</v>
      </c>
      <c r="C617" s="3" t="str">
        <f>IFERROR(__xludf.DUMMYFUNCTION("""COMPUTED_VALUE"""),"ชั้นปีที่ 2")</f>
        <v>ชั้นปีที่ 2</v>
      </c>
      <c r="D617" s="3" t="str">
        <f>IFERROR(__xludf.DUMMYFUNCTION("""COMPUTED_VALUE"""),"6703826")</f>
        <v>6703826</v>
      </c>
      <c r="E617" s="3" t="str">
        <f>IFERROR(__xludf.DUMMYFUNCTION("""COMPUTED_VALUE"""),"9")</f>
        <v>9</v>
      </c>
      <c r="F617" s="3" t="str">
        <f>IFERROR(__xludf.DUMMYFUNCTION("""COMPUTED_VALUE"""),"นพอ.ชณัฐธิดา ชูชีพ")</f>
        <v>นพอ.ชณัฐธิดา ชูชีพ</v>
      </c>
      <c r="G617" s="3" t="str">
        <f>IFERROR(__xludf.DUMMYFUNCTION("""COMPUTED_VALUE"""),"ช่วยเหลืองานภายใน วพอ.")</f>
        <v>ช่วยเหลืองานภายใน วพอ.</v>
      </c>
      <c r="H617" s="3" t="str">
        <f>IFERROR(__xludf.DUMMYFUNCTION("""COMPUTED_VALUE"""),"ทดสอบสมรรถภาพร่างกาย นพอ.69")</f>
        <v>ทดสอบสมรรถภาพร่างกาย นพอ.69</v>
      </c>
      <c r="I617" s="3" t="str">
        <f>IFERROR(__xludf.DUMMYFUNCTION("""COMPUTED_VALUE"""),"สนามจันทรุเบกษา")</f>
        <v>สนามจันทรุเบกษา</v>
      </c>
      <c r="J617" s="12">
        <f>IFERROR(__xludf.DUMMYFUNCTION("""COMPUTED_VALUE"""),46147.0)</f>
        <v>46147</v>
      </c>
      <c r="K617" s="3" t="str">
        <f>IFERROR(__xludf.DUMMYFUNCTION("""COMPUTED_VALUE"""),"1600-1900")</f>
        <v>1600-1900</v>
      </c>
      <c r="L617" s="3">
        <f>IFERROR(__xludf.DUMMYFUNCTION("""COMPUTED_VALUE"""),3.0)</f>
        <v>3</v>
      </c>
      <c r="M617" s="3" t="str">
        <f>IFERROR(__xludf.DUMMYFUNCTION("""COMPUTED_VALUE"""),"น.ต.ศักชัย บุญประสิทธิ์")</f>
        <v>น.ต.ศักชัย บุญประสิทธิ์</v>
      </c>
      <c r="N617" s="14" t="str">
        <f>IFERROR(__xludf.DUMMYFUNCTION("""COMPUTED_VALUE"""),"https://lh5.googleusercontent.com/d/13nVARBII_AsN-Su6UEkQncFbIzqqo2lw")</f>
        <v>https://lh5.googleusercontent.com/d/13nVARBII_AsN-Su6UEkQncFbIzqqo2lw</v>
      </c>
      <c r="O617" s="14" t="str">
        <f>IFERROR(__xludf.DUMMYFUNCTION("""COMPUTED_VALUE"""),"https://drive.google.com/file/d/1cuQy_TkcFrLGTDhBe4fRBMEu8ZtmgqMZ/view?usp=drivesdk")</f>
        <v>https://drive.google.com/file/d/1cuQy_TkcFrLGTDhBe4fRBMEu8ZtmgqMZ/view?usp=drivesdk</v>
      </c>
    </row>
    <row r="618">
      <c r="A618" s="3">
        <f>IFERROR(__xludf.DUMMYFUNCTION("""COMPUTED_VALUE"""),2692.0)</f>
        <v>2692</v>
      </c>
      <c r="B618" s="11">
        <f>IFERROR(__xludf.DUMMYFUNCTION("""COMPUTED_VALUE"""),46175.56053082176)</f>
        <v>46175.56053</v>
      </c>
      <c r="C618" s="3" t="str">
        <f>IFERROR(__xludf.DUMMYFUNCTION("""COMPUTED_VALUE"""),"ชั้นปีที่ 2")</f>
        <v>ชั้นปีที่ 2</v>
      </c>
      <c r="D618" s="3" t="str">
        <f>IFERROR(__xludf.DUMMYFUNCTION("""COMPUTED_VALUE"""),"6703820")</f>
        <v>6703820</v>
      </c>
      <c r="E618" s="3" t="str">
        <f>IFERROR(__xludf.DUMMYFUNCTION("""COMPUTED_VALUE"""),"3")</f>
        <v>3</v>
      </c>
      <c r="F618" s="3" t="str">
        <f>IFERROR(__xludf.DUMMYFUNCTION("""COMPUTED_VALUE"""),"นพอ.กฤตพร พิทักษ์")</f>
        <v>นพอ.กฤตพร พิทักษ์</v>
      </c>
      <c r="G6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8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18" s="3" t="str">
        <f>IFERROR(__xludf.DUMMYFUNCTION("""COMPUTED_VALUE"""),"สนามกีฬากองทัพอากาศ")</f>
        <v>สนามกีฬากองทัพอากาศ</v>
      </c>
      <c r="J618" s="12">
        <f>IFERROR(__xludf.DUMMYFUNCTION("""COMPUTED_VALUE"""),46078.0)</f>
        <v>46078</v>
      </c>
      <c r="K618" s="3" t="str">
        <f>IFERROR(__xludf.DUMMYFUNCTION("""COMPUTED_VALUE"""),"1200-2000")</f>
        <v>1200-2000</v>
      </c>
      <c r="L618" s="3">
        <f>IFERROR(__xludf.DUMMYFUNCTION("""COMPUTED_VALUE"""),8.0)</f>
        <v>8</v>
      </c>
      <c r="M61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18" s="14" t="str">
        <f>IFERROR(__xludf.DUMMYFUNCTION("""COMPUTED_VALUE"""),"https://lh5.googleusercontent.com/d/1T6mLw26lp0Sel2Bm8GvZtLKtmie5QpAy")</f>
        <v>https://lh5.googleusercontent.com/d/1T6mLw26lp0Sel2Bm8GvZtLKtmie5QpAy</v>
      </c>
      <c r="O618" s="14" t="str">
        <f>IFERROR(__xludf.DUMMYFUNCTION("""COMPUTED_VALUE"""),"https://drive.google.com/file/d/1dCoBiUHJGm2wsmeUoHOpit4I7wUCqUAZ/view?usp=drivesdk")</f>
        <v>https://drive.google.com/file/d/1dCoBiUHJGm2wsmeUoHOpit4I7wUCqUAZ/view?usp=drivesdk</v>
      </c>
    </row>
    <row r="619">
      <c r="A619" s="3">
        <f>IFERROR(__xludf.DUMMYFUNCTION("""COMPUTED_VALUE"""),2693.0)</f>
        <v>2693</v>
      </c>
      <c r="B619" s="11">
        <f>IFERROR(__xludf.DUMMYFUNCTION("""COMPUTED_VALUE"""),46175.56151047454)</f>
        <v>46175.56151</v>
      </c>
      <c r="C619" s="3" t="str">
        <f>IFERROR(__xludf.DUMMYFUNCTION("""COMPUTED_VALUE"""),"ชั้นปีที่ 2")</f>
        <v>ชั้นปีที่ 2</v>
      </c>
      <c r="D619" s="3" t="str">
        <f>IFERROR(__xludf.DUMMYFUNCTION("""COMPUTED_VALUE"""),"6703870")</f>
        <v>6703870</v>
      </c>
      <c r="E619" s="3" t="str">
        <f>IFERROR(__xludf.DUMMYFUNCTION("""COMPUTED_VALUE"""),"51")</f>
        <v>51</v>
      </c>
      <c r="F619" s="3" t="str">
        <f>IFERROR(__xludf.DUMMYFUNCTION("""COMPUTED_VALUE"""),"นพอ.วิมลสิริ สิงห์ธนะ")</f>
        <v>นพอ.วิมลสิริ สิงห์ธนะ</v>
      </c>
      <c r="G619" s="3" t="str">
        <f>IFERROR(__xludf.DUMMYFUNCTION("""COMPUTED_VALUE"""),"ช่วยเหลืองานภายใน วพอ.")</f>
        <v>ช่วยเหลืองานภายใน วพอ.</v>
      </c>
      <c r="H619" s="3" t="str">
        <f>IFERROR(__xludf.DUMMYFUNCTION("""COMPUTED_VALUE"""),"เก็บสถานที่สอบคัดเลือก นพอ.69")</f>
        <v>เก็บสถานที่สอบคัดเลือก นพอ.69</v>
      </c>
      <c r="I619" s="3" t="str">
        <f>IFERROR(__xludf.DUMMYFUNCTION("""COMPUTED_VALUE"""),"อาคารสำนักงานชั้น 4")</f>
        <v>อาคารสำนักงานชั้น 4</v>
      </c>
      <c r="J619" s="12">
        <f>IFERROR(__xludf.DUMMYFUNCTION("""COMPUTED_VALUE"""),46147.0)</f>
        <v>46147</v>
      </c>
      <c r="K619" s="3" t="str">
        <f>IFERROR(__xludf.DUMMYFUNCTION("""COMPUTED_VALUE"""),"1500-1800")</f>
        <v>1500-1800</v>
      </c>
      <c r="L619" s="3">
        <f>IFERROR(__xludf.DUMMYFUNCTION("""COMPUTED_VALUE"""),3.0)</f>
        <v>3</v>
      </c>
      <c r="M619" s="3" t="str">
        <f>IFERROR(__xludf.DUMMYFUNCTION("""COMPUTED_VALUE"""),"น.ต.ศักชัย บุญประสิทธิ์")</f>
        <v>น.ต.ศักชัย บุญประสิทธิ์</v>
      </c>
      <c r="N619" s="14" t="str">
        <f>IFERROR(__xludf.DUMMYFUNCTION("""COMPUTED_VALUE"""),"https://lh5.googleusercontent.com/d/1OlPAn8XzPDEBDRSP2Z3Raw6OxTvUxBCA")</f>
        <v>https://lh5.googleusercontent.com/d/1OlPAn8XzPDEBDRSP2Z3Raw6OxTvUxBCA</v>
      </c>
      <c r="O619" s="14" t="str">
        <f>IFERROR(__xludf.DUMMYFUNCTION("""COMPUTED_VALUE"""),"https://drive.google.com/file/d/1KRlrvB8vAo6DHfSdwAOG6xWhNiXR6cyZ/view?usp=drivesdk")</f>
        <v>https://drive.google.com/file/d/1KRlrvB8vAo6DHfSdwAOG6xWhNiXR6cyZ/view?usp=drivesdk</v>
      </c>
    </row>
    <row r="620">
      <c r="A620" s="3">
        <f>IFERROR(__xludf.DUMMYFUNCTION("""COMPUTED_VALUE"""),2694.0)</f>
        <v>2694</v>
      </c>
      <c r="B620" s="11">
        <f>IFERROR(__xludf.DUMMYFUNCTION("""COMPUTED_VALUE"""),46175.561832245374)</f>
        <v>46175.56183</v>
      </c>
      <c r="C620" s="3" t="str">
        <f>IFERROR(__xludf.DUMMYFUNCTION("""COMPUTED_VALUE"""),"ชั้นปีที่ 2")</f>
        <v>ชั้นปีที่ 2</v>
      </c>
      <c r="D620" s="3" t="str">
        <f>IFERROR(__xludf.DUMMYFUNCTION("""COMPUTED_VALUE"""),"6703820")</f>
        <v>6703820</v>
      </c>
      <c r="E620" s="3" t="str">
        <f>IFERROR(__xludf.DUMMYFUNCTION("""COMPUTED_VALUE"""),"3")</f>
        <v>3</v>
      </c>
      <c r="F620" s="3" t="str">
        <f>IFERROR(__xludf.DUMMYFUNCTION("""COMPUTED_VALUE"""),"นพอ.กฤตพร พิทักษ์")</f>
        <v>นพอ.กฤตพร พิทักษ์</v>
      </c>
      <c r="G620" s="3" t="str">
        <f>IFERROR(__xludf.DUMMYFUNCTION("""COMPUTED_VALUE"""),"ช่วยเหลืองานภายใน วพอ.")</f>
        <v>ช่วยเหลืองานภายใน วพอ.</v>
      </c>
      <c r="H620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620" s="3" t="str">
        <f>IFERROR(__xludf.DUMMYFUNCTION("""COMPUTED_VALUE"""),"อาคารสำนักงานชั้น4")</f>
        <v>อาคารสำนักงานชั้น4</v>
      </c>
      <c r="J620" s="12">
        <f>IFERROR(__xludf.DUMMYFUNCTION("""COMPUTED_VALUE"""),46147.0)</f>
        <v>46147</v>
      </c>
      <c r="K620" s="3" t="str">
        <f>IFERROR(__xludf.DUMMYFUNCTION("""COMPUTED_VALUE"""),"1500-1800")</f>
        <v>1500-1800</v>
      </c>
      <c r="L620" s="3">
        <f>IFERROR(__xludf.DUMMYFUNCTION("""COMPUTED_VALUE"""),3.0)</f>
        <v>3</v>
      </c>
      <c r="M620" s="3" t="str">
        <f>IFERROR(__xludf.DUMMYFUNCTION("""COMPUTED_VALUE"""),"น.ต.ศักชัย บุญประสิทธิ์")</f>
        <v>น.ต.ศักชัย บุญประสิทธิ์</v>
      </c>
      <c r="N620" s="14" t="str">
        <f>IFERROR(__xludf.DUMMYFUNCTION("""COMPUTED_VALUE"""),"https://lh5.googleusercontent.com/d/1eybGdKN7tdH13ylDj_VdxfYfKohGXEm8")</f>
        <v>https://lh5.googleusercontent.com/d/1eybGdKN7tdH13ylDj_VdxfYfKohGXEm8</v>
      </c>
      <c r="O620" s="14" t="str">
        <f>IFERROR(__xludf.DUMMYFUNCTION("""COMPUTED_VALUE"""),"https://drive.google.com/file/d/1OzaFhMaSxQsyayghdPmce1CHrbYlAqMU/view?usp=drivesdk")</f>
        <v>https://drive.google.com/file/d/1OzaFhMaSxQsyayghdPmce1CHrbYlAqMU/view?usp=drivesdk</v>
      </c>
    </row>
    <row r="621">
      <c r="A621" s="3">
        <f>IFERROR(__xludf.DUMMYFUNCTION("""COMPUTED_VALUE"""),2695.0)</f>
        <v>2695</v>
      </c>
      <c r="B621" s="11">
        <f>IFERROR(__xludf.DUMMYFUNCTION("""COMPUTED_VALUE"""),46175.56688987269)</f>
        <v>46175.56689</v>
      </c>
      <c r="C621" s="3" t="str">
        <f>IFERROR(__xludf.DUMMYFUNCTION("""COMPUTED_VALUE"""),"ชั้นปีที่ 2")</f>
        <v>ชั้นปีที่ 2</v>
      </c>
      <c r="D621" s="3" t="str">
        <f>IFERROR(__xludf.DUMMYFUNCTION("""COMPUTED_VALUE"""),"6703870")</f>
        <v>6703870</v>
      </c>
      <c r="E621" s="3" t="str">
        <f>IFERROR(__xludf.DUMMYFUNCTION("""COMPUTED_VALUE"""),"51")</f>
        <v>51</v>
      </c>
      <c r="F621" s="3" t="str">
        <f>IFERROR(__xludf.DUMMYFUNCTION("""COMPUTED_VALUE"""),"นพอ.วิมลสิริ สิงห์ธนะ")</f>
        <v>นพอ.วิมลสิริ สิงห์ธนะ</v>
      </c>
      <c r="G62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1" s="3" t="str">
        <f>IFERROR(__xludf.DUMMYFUNCTION("""COMPUTED_VALUE"""),"งานวันเด็กแห่งชาติ 2569")</f>
        <v>งานวันเด็กแห่งชาติ 2569</v>
      </c>
      <c r="I621" s="3" t="str">
        <f>IFERROR(__xludf.DUMMYFUNCTION("""COMPUTED_VALUE"""),"โรงเรียนการบิน")</f>
        <v>โรงเรียนการบิน</v>
      </c>
      <c r="J621" s="12">
        <f>IFERROR(__xludf.DUMMYFUNCTION("""COMPUTED_VALUE"""),46032.0)</f>
        <v>46032</v>
      </c>
      <c r="K621" s="3" t="str">
        <f>IFERROR(__xludf.DUMMYFUNCTION("""COMPUTED_VALUE"""),"0600-1400")</f>
        <v>0600-1400</v>
      </c>
      <c r="L621" s="3">
        <f>IFERROR(__xludf.DUMMYFUNCTION("""COMPUTED_VALUE"""),8.0)</f>
        <v>8</v>
      </c>
      <c r="M62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21" s="14" t="str">
        <f>IFERROR(__xludf.DUMMYFUNCTION("""COMPUTED_VALUE"""),"https://lh5.googleusercontent.com/d/1jshFB2u0y2so_QdS8YCtx6ysdrLl0fN7")</f>
        <v>https://lh5.googleusercontent.com/d/1jshFB2u0y2so_QdS8YCtx6ysdrLl0fN7</v>
      </c>
      <c r="O621" s="14" t="str">
        <f>IFERROR(__xludf.DUMMYFUNCTION("""COMPUTED_VALUE"""),"https://drive.google.com/file/d/1G-DD9Aq6IdgquF7UQt2Y-DojfEZfAB_e/view?usp=drivesdk")</f>
        <v>https://drive.google.com/file/d/1G-DD9Aq6IdgquF7UQt2Y-DojfEZfAB_e/view?usp=drivesdk</v>
      </c>
    </row>
    <row r="622">
      <c r="A622" s="3">
        <f>IFERROR(__xludf.DUMMYFUNCTION("""COMPUTED_VALUE"""),2700.0)</f>
        <v>2700</v>
      </c>
      <c r="B622" s="11">
        <f>IFERROR(__xludf.DUMMYFUNCTION("""COMPUTED_VALUE"""),46175.63247626157)</f>
        <v>46175.63248</v>
      </c>
      <c r="C622" s="3" t="str">
        <f>IFERROR(__xludf.DUMMYFUNCTION("""COMPUTED_VALUE"""),"ชั้นปีที่ 2")</f>
        <v>ชั้นปีที่ 2</v>
      </c>
      <c r="D622" s="3" t="str">
        <f>IFERROR(__xludf.DUMMYFUNCTION("""COMPUTED_VALUE"""),"6703851")</f>
        <v>6703851</v>
      </c>
      <c r="E622" s="3" t="str">
        <f>IFERROR(__xludf.DUMMYFUNCTION("""COMPUTED_VALUE"""),"32")</f>
        <v>32</v>
      </c>
      <c r="F622" s="3" t="str">
        <f>IFERROR(__xludf.DUMMYFUNCTION("""COMPUTED_VALUE"""),"นพอ.ปุญญิศา ฤทธิ์หมุน")</f>
        <v>นพอ.ปุญญิศา ฤทธิ์หมุน</v>
      </c>
      <c r="G62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2" s="3" t="str">
        <f>IFERROR(__xludf.DUMMYFUNCTION("""COMPUTED_VALUE"""),"เข้าร่วมงานวันเด็กแห่งชาติ")</f>
        <v>เข้าร่วมงานวันเด็กแห่งชาติ</v>
      </c>
      <c r="I622" s="3" t="str">
        <f>IFERROR(__xludf.DUMMYFUNCTION("""COMPUTED_VALUE"""),"กองบัญชาการกองทัพไทย")</f>
        <v>กองบัญชาการกองทัพไทย</v>
      </c>
      <c r="J622" s="12">
        <f>IFERROR(__xludf.DUMMYFUNCTION("""COMPUTED_VALUE"""),46032.0)</f>
        <v>46032</v>
      </c>
      <c r="K622" s="3" t="str">
        <f>IFERROR(__xludf.DUMMYFUNCTION("""COMPUTED_VALUE"""),"0700-1500")</f>
        <v>0700-1500</v>
      </c>
      <c r="L622" s="3">
        <f>IFERROR(__xludf.DUMMYFUNCTION("""COMPUTED_VALUE"""),8.0)</f>
        <v>8</v>
      </c>
      <c r="M622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622" s="14" t="str">
        <f>IFERROR(__xludf.DUMMYFUNCTION("""COMPUTED_VALUE"""),"https://lh5.googleusercontent.com/d/1HXzJTiqrGto9Zi8MIPtJchkDnuDQMLR0")</f>
        <v>https://lh5.googleusercontent.com/d/1HXzJTiqrGto9Zi8MIPtJchkDnuDQMLR0</v>
      </c>
      <c r="O622" s="3"/>
    </row>
    <row r="623">
      <c r="A623" s="3">
        <f>IFERROR(__xludf.DUMMYFUNCTION("""COMPUTED_VALUE"""),2701.0)</f>
        <v>2701</v>
      </c>
      <c r="B623" s="11">
        <f>IFERROR(__xludf.DUMMYFUNCTION("""COMPUTED_VALUE"""),46175.63445525463)</f>
        <v>46175.63446</v>
      </c>
      <c r="C623" s="3" t="str">
        <f>IFERROR(__xludf.DUMMYFUNCTION("""COMPUTED_VALUE"""),"ชั้นปีที่ 2")</f>
        <v>ชั้นปีที่ 2</v>
      </c>
      <c r="D623" s="3" t="str">
        <f>IFERROR(__xludf.DUMMYFUNCTION("""COMPUTED_VALUE"""),"6703844")</f>
        <v>6703844</v>
      </c>
      <c r="E623" s="3" t="str">
        <f>IFERROR(__xludf.DUMMYFUNCTION("""COMPUTED_VALUE"""),"26")</f>
        <v>26</v>
      </c>
      <c r="F623" s="3" t="str">
        <f>IFERROR(__xludf.DUMMYFUNCTION("""COMPUTED_VALUE"""),"นพอ.นพชกร ทิวแพ")</f>
        <v>นพอ.นพชกร ทิวแพ</v>
      </c>
      <c r="G62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23" s="3" t="str">
        <f>IFERROR(__xludf.DUMMYFUNCTION("""COMPUTED_VALUE"""),"บริจาคโลหิต")</f>
        <v>บริจาคโลหิต</v>
      </c>
      <c r="I623" s="3" t="str">
        <f>IFERROR(__xludf.DUMMYFUNCTION("""COMPUTED_VALUE"""),"รพ.ภูมิพลอดุลยเดช")</f>
        <v>รพ.ภูมิพลอดุลยเดช</v>
      </c>
      <c r="J623" s="12">
        <f>IFERROR(__xludf.DUMMYFUNCTION("""COMPUTED_VALUE"""),46175.0)</f>
        <v>46175</v>
      </c>
      <c r="K623" s="3" t="str">
        <f>IFERROR(__xludf.DUMMYFUNCTION("""COMPUTED_VALUE"""),"1400-1500")</f>
        <v>1400-1500</v>
      </c>
      <c r="L623" s="3">
        <f>IFERROR(__xludf.DUMMYFUNCTION("""COMPUTED_VALUE"""),8.0)</f>
        <v>8</v>
      </c>
      <c r="M623" s="3" t="str">
        <f>IFERROR(__xludf.DUMMYFUNCTION("""COMPUTED_VALUE"""),"ร.ท.เรวัติ วัชรสิทธิ์")</f>
        <v>ร.ท.เรวัติ วัชรสิทธิ์</v>
      </c>
      <c r="N623" s="14" t="str">
        <f>IFERROR(__xludf.DUMMYFUNCTION("""COMPUTED_VALUE"""),"https://lh5.googleusercontent.com/d/1uC1EGuLefAbURSk-JnT9SOUZYkCBFeI5")</f>
        <v>https://lh5.googleusercontent.com/d/1uC1EGuLefAbURSk-JnT9SOUZYkCBFeI5</v>
      </c>
      <c r="O623" s="14" t="str">
        <f>IFERROR(__xludf.DUMMYFUNCTION("""COMPUTED_VALUE"""),"https://drive.google.com/file/d/1ABTmgAYicFCdLeZ4TM8SyXeyfug50sUj/view?usp=drivesdk")</f>
        <v>https://drive.google.com/file/d/1ABTmgAYicFCdLeZ4TM8SyXeyfug50sUj/view?usp=drivesdk</v>
      </c>
    </row>
    <row r="624">
      <c r="A624" s="3">
        <f>IFERROR(__xludf.DUMMYFUNCTION("""COMPUTED_VALUE"""),2702.0)</f>
        <v>2702</v>
      </c>
      <c r="B624" s="11">
        <f>IFERROR(__xludf.DUMMYFUNCTION("""COMPUTED_VALUE"""),46175.63590739584)</f>
        <v>46175.63591</v>
      </c>
      <c r="C624" s="3" t="str">
        <f>IFERROR(__xludf.DUMMYFUNCTION("""COMPUTED_VALUE"""),"ชั้นปีที่ 2")</f>
        <v>ชั้นปีที่ 2</v>
      </c>
      <c r="D624" s="3" t="str">
        <f>IFERROR(__xludf.DUMMYFUNCTION("""COMPUTED_VALUE"""),"6703851")</f>
        <v>6703851</v>
      </c>
      <c r="E624" s="3" t="str">
        <f>IFERROR(__xludf.DUMMYFUNCTION("""COMPUTED_VALUE"""),"32")</f>
        <v>32</v>
      </c>
      <c r="F624" s="3" t="str">
        <f>IFERROR(__xludf.DUMMYFUNCTION("""COMPUTED_VALUE"""),"นพอ.ปุญญิศา ฤทธิ์หมุน")</f>
        <v>นพอ.ปุญญิศา ฤทธิ์หมุน</v>
      </c>
      <c r="G62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24" s="3" t="str">
        <f>IFERROR(__xludf.DUMMYFUNCTION("""COMPUTED_VALUE"""),"บริจาคโลหิต")</f>
        <v>บริจาคโลหิต</v>
      </c>
      <c r="I624" s="3" t="str">
        <f>IFERROR(__xludf.DUMMYFUNCTION("""COMPUTED_VALUE"""),"โรงพยาบาลภูมิพลอดุลยเดช")</f>
        <v>โรงพยาบาลภูมิพลอดุลยเดช</v>
      </c>
      <c r="J624" s="12">
        <f>IFERROR(__xludf.DUMMYFUNCTION("""COMPUTED_VALUE"""),46000.0)</f>
        <v>46000</v>
      </c>
      <c r="K624" s="3" t="str">
        <f>IFERROR(__xludf.DUMMYFUNCTION("""COMPUTED_VALUE"""),"0800-1600")</f>
        <v>0800-1600</v>
      </c>
      <c r="L624" s="3">
        <f>IFERROR(__xludf.DUMMYFUNCTION("""COMPUTED_VALUE"""),8.0)</f>
        <v>8</v>
      </c>
      <c r="M624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624" s="14" t="str">
        <f>IFERROR(__xludf.DUMMYFUNCTION("""COMPUTED_VALUE"""),"https://lh5.googleusercontent.com/d/12opZQfPkBRdfq3m0ryyvWj6EHZRkVVvI")</f>
        <v>https://lh5.googleusercontent.com/d/12opZQfPkBRdfq3m0ryyvWj6EHZRkVVvI</v>
      </c>
      <c r="O624" s="14" t="str">
        <f>IFERROR(__xludf.DUMMYFUNCTION("""COMPUTED_VALUE"""),"https://drive.google.com/file/d/1gVOZ8htgrwUP67UA4GplxaEryo2tL0U9/view?usp=drivesdk")</f>
        <v>https://drive.google.com/file/d/1gVOZ8htgrwUP67UA4GplxaEryo2tL0U9/view?usp=drivesdk</v>
      </c>
    </row>
    <row r="625">
      <c r="A625" s="3">
        <f>IFERROR(__xludf.DUMMYFUNCTION("""COMPUTED_VALUE"""),2703.0)</f>
        <v>2703</v>
      </c>
      <c r="B625" s="11">
        <f>IFERROR(__xludf.DUMMYFUNCTION("""COMPUTED_VALUE"""),46175.63777850695)</f>
        <v>46175.63778</v>
      </c>
      <c r="C625" s="3" t="str">
        <f>IFERROR(__xludf.DUMMYFUNCTION("""COMPUTED_VALUE"""),"ชั้นปีที่ 2")</f>
        <v>ชั้นปีที่ 2</v>
      </c>
      <c r="D625" s="3" t="str">
        <f>IFERROR(__xludf.DUMMYFUNCTION("""COMPUTED_VALUE"""),"6703851")</f>
        <v>6703851</v>
      </c>
      <c r="E625" s="3" t="str">
        <f>IFERROR(__xludf.DUMMYFUNCTION("""COMPUTED_VALUE"""),"32")</f>
        <v>32</v>
      </c>
      <c r="F625" s="3" t="str">
        <f>IFERROR(__xludf.DUMMYFUNCTION("""COMPUTED_VALUE"""),"นพอ.ปุญญิศา ฤทธิ์หมุน")</f>
        <v>นพอ.ปุญญิศา ฤทธิ์หมุน</v>
      </c>
      <c r="G62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25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25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625" s="12">
        <f>IFERROR(__xludf.DUMMYFUNCTION("""COMPUTED_VALUE"""),46078.0)</f>
        <v>46078</v>
      </c>
      <c r="K625" s="3" t="str">
        <f>IFERROR(__xludf.DUMMYFUNCTION("""COMPUTED_VALUE"""),"1200-2000")</f>
        <v>1200-2000</v>
      </c>
      <c r="L625" s="3">
        <f>IFERROR(__xludf.DUMMYFUNCTION("""COMPUTED_VALUE"""),8.0)</f>
        <v>8</v>
      </c>
      <c r="M625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625" s="14" t="str">
        <f>IFERROR(__xludf.DUMMYFUNCTION("""COMPUTED_VALUE"""),"https://lh5.googleusercontent.com/d/1ho0EX_vayQOBKoqeqziCPpfR9tOPYs_o")</f>
        <v>https://lh5.googleusercontent.com/d/1ho0EX_vayQOBKoqeqziCPpfR9tOPYs_o</v>
      </c>
      <c r="O625" s="14" t="str">
        <f>IFERROR(__xludf.DUMMYFUNCTION("""COMPUTED_VALUE"""),"https://drive.google.com/file/d/1De6N-sO82GZ8fExGk5NfuEn0JaWsYrOy/view?usp=drivesdk")</f>
        <v>https://drive.google.com/file/d/1De6N-sO82GZ8fExGk5NfuEn0JaWsYrOy/view?usp=drivesdk</v>
      </c>
    </row>
    <row r="626">
      <c r="A626" s="3">
        <f>IFERROR(__xludf.DUMMYFUNCTION("""COMPUTED_VALUE"""),2704.0)</f>
        <v>2704</v>
      </c>
      <c r="B626" s="11">
        <f>IFERROR(__xludf.DUMMYFUNCTION("""COMPUTED_VALUE"""),46175.64339586806)</f>
        <v>46175.6434</v>
      </c>
      <c r="C626" s="3" t="str">
        <f>IFERROR(__xludf.DUMMYFUNCTION("""COMPUTED_VALUE"""),"ชั้นปีที่ 2")</f>
        <v>ชั้นปีที่ 2</v>
      </c>
      <c r="D626" s="3" t="str">
        <f>IFERROR(__xludf.DUMMYFUNCTION("""COMPUTED_VALUE"""),"6703851")</f>
        <v>6703851</v>
      </c>
      <c r="E626" s="3" t="str">
        <f>IFERROR(__xludf.DUMMYFUNCTION("""COMPUTED_VALUE"""),"32")</f>
        <v>32</v>
      </c>
      <c r="F626" s="3" t="str">
        <f>IFERROR(__xludf.DUMMYFUNCTION("""COMPUTED_VALUE"""),"นพอ.ปุญญิศา ฤทธิ์หมุน")</f>
        <v>นพอ.ปุญญิศา ฤทธิ์หมุน</v>
      </c>
      <c r="G626" s="3" t="str">
        <f>IFERROR(__xludf.DUMMYFUNCTION("""COMPUTED_VALUE"""),"ช่วยเหลืองานภายใน วพอ.")</f>
        <v>ช่วยเหลืองานภายใน วพอ.</v>
      </c>
      <c r="H62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6" s="3" t="str">
        <f>IFERROR(__xludf.DUMMYFUNCTION("""COMPUTED_VALUE"""),"วพอ.พอ.")</f>
        <v>วพอ.พอ.</v>
      </c>
      <c r="J626" s="12">
        <f>IFERROR(__xludf.DUMMYFUNCTION("""COMPUTED_VALUE"""),46133.0)</f>
        <v>46133</v>
      </c>
      <c r="K626" s="3" t="str">
        <f>IFERROR(__xludf.DUMMYFUNCTION("""COMPUTED_VALUE"""),"1700-2100")</f>
        <v>1700-2100</v>
      </c>
      <c r="L626" s="3">
        <f>IFERROR(__xludf.DUMMYFUNCTION("""COMPUTED_VALUE"""),4.0)</f>
        <v>4</v>
      </c>
      <c r="M626" s="3" t="str">
        <f>IFERROR(__xludf.DUMMYFUNCTION("""COMPUTED_VALUE"""),"ร.อ.อนุชิต ทำจะดี")</f>
        <v>ร.อ.อนุชิต ทำจะดี</v>
      </c>
      <c r="N626" s="14" t="str">
        <f>IFERROR(__xludf.DUMMYFUNCTION("""COMPUTED_VALUE"""),"https://lh5.googleusercontent.com/d/1VDpcDz2uuc35xuVaqpOxWfuTx80QcOEb")</f>
        <v>https://lh5.googleusercontent.com/d/1VDpcDz2uuc35xuVaqpOxWfuTx80QcOEb</v>
      </c>
      <c r="O626" s="14" t="str">
        <f>IFERROR(__xludf.DUMMYFUNCTION("""COMPUTED_VALUE"""),"https://drive.google.com/file/d/1F719UfPC6O82a6TNoUJYU70PHbLcFp7H/view?usp=drivesdk")</f>
        <v>https://drive.google.com/file/d/1F719UfPC6O82a6TNoUJYU70PHbLcFp7H/view?usp=drivesdk</v>
      </c>
    </row>
    <row r="627">
      <c r="A627" s="3">
        <f>IFERROR(__xludf.DUMMYFUNCTION("""COMPUTED_VALUE"""),2705.0)</f>
        <v>2705</v>
      </c>
      <c r="B627" s="11">
        <f>IFERROR(__xludf.DUMMYFUNCTION("""COMPUTED_VALUE"""),46175.64455563657)</f>
        <v>46175.64456</v>
      </c>
      <c r="C627" s="3" t="str">
        <f>IFERROR(__xludf.DUMMYFUNCTION("""COMPUTED_VALUE"""),"ชั้นปีที่ 2")</f>
        <v>ชั้นปีที่ 2</v>
      </c>
      <c r="D627" s="3" t="str">
        <f>IFERROR(__xludf.DUMMYFUNCTION("""COMPUTED_VALUE"""),"6703851")</f>
        <v>6703851</v>
      </c>
      <c r="E627" s="3" t="str">
        <f>IFERROR(__xludf.DUMMYFUNCTION("""COMPUTED_VALUE"""),"32")</f>
        <v>32</v>
      </c>
      <c r="F627" s="3" t="str">
        <f>IFERROR(__xludf.DUMMYFUNCTION("""COMPUTED_VALUE"""),"นพอ.ปุญญิศา ฤทธิ์หมุน")</f>
        <v>นพอ.ปุญญิศา ฤทธิ์หมุน</v>
      </c>
      <c r="G627" s="3" t="str">
        <f>IFERROR(__xludf.DUMMYFUNCTION("""COMPUTED_VALUE"""),"ช่วยเหลืองานภายใน วพอ.")</f>
        <v>ช่วยเหลืองานภายใน วพอ.</v>
      </c>
      <c r="H62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7" s="3" t="str">
        <f>IFERROR(__xludf.DUMMYFUNCTION("""COMPUTED_VALUE"""),"วพอ.พอ.")</f>
        <v>วพอ.พอ.</v>
      </c>
      <c r="J627" s="12">
        <f>IFERROR(__xludf.DUMMYFUNCTION("""COMPUTED_VALUE"""),46134.0)</f>
        <v>46134</v>
      </c>
      <c r="K627" s="3" t="str">
        <f>IFERROR(__xludf.DUMMYFUNCTION("""COMPUTED_VALUE"""),"1700-2100")</f>
        <v>1700-2100</v>
      </c>
      <c r="L627" s="3">
        <f>IFERROR(__xludf.DUMMYFUNCTION("""COMPUTED_VALUE"""),4.0)</f>
        <v>4</v>
      </c>
      <c r="M627" s="3" t="str">
        <f>IFERROR(__xludf.DUMMYFUNCTION("""COMPUTED_VALUE"""),"ร.อ.อนุชิต ทำจะดี")</f>
        <v>ร.อ.อนุชิต ทำจะดี</v>
      </c>
      <c r="N627" s="14" t="str">
        <f>IFERROR(__xludf.DUMMYFUNCTION("""COMPUTED_VALUE"""),"https://lh5.googleusercontent.com/d/1fgnqJqaIjap6G_jzPRlu0WqO4zMNOxFk")</f>
        <v>https://lh5.googleusercontent.com/d/1fgnqJqaIjap6G_jzPRlu0WqO4zMNOxFk</v>
      </c>
      <c r="O627" s="14" t="str">
        <f>IFERROR(__xludf.DUMMYFUNCTION("""COMPUTED_VALUE"""),"https://drive.google.com/file/d/1sYOvbjVf6eJTMHQTGRYB4xmXKRs80idK/view?usp=drivesdk")</f>
        <v>https://drive.google.com/file/d/1sYOvbjVf6eJTMHQTGRYB4xmXKRs80idK/view?usp=drivesdk</v>
      </c>
    </row>
    <row r="628">
      <c r="A628" s="3">
        <f>IFERROR(__xludf.DUMMYFUNCTION("""COMPUTED_VALUE"""),2706.0)</f>
        <v>2706</v>
      </c>
      <c r="B628" s="11">
        <f>IFERROR(__xludf.DUMMYFUNCTION("""COMPUTED_VALUE"""),46175.6459540162)</f>
        <v>46175.64595</v>
      </c>
      <c r="C628" s="3" t="str">
        <f>IFERROR(__xludf.DUMMYFUNCTION("""COMPUTED_VALUE"""),"ชั้นปีที่ 2")</f>
        <v>ชั้นปีที่ 2</v>
      </c>
      <c r="D628" s="3" t="str">
        <f>IFERROR(__xludf.DUMMYFUNCTION("""COMPUTED_VALUE"""),"6703851")</f>
        <v>6703851</v>
      </c>
      <c r="E628" s="3" t="str">
        <f>IFERROR(__xludf.DUMMYFUNCTION("""COMPUTED_VALUE"""),"32")</f>
        <v>32</v>
      </c>
      <c r="F628" s="3" t="str">
        <f>IFERROR(__xludf.DUMMYFUNCTION("""COMPUTED_VALUE"""),"นพอ.ปุญญิศา ฤทธิ์หมุน")</f>
        <v>นพอ.ปุญญิศา ฤทธิ์หมุน</v>
      </c>
      <c r="G628" s="3" t="str">
        <f>IFERROR(__xludf.DUMMYFUNCTION("""COMPUTED_VALUE"""),"ช่วยเหลืองานภายใน วพอ.")</f>
        <v>ช่วยเหลืองานภายใน วพอ.</v>
      </c>
      <c r="H62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8" s="3" t="str">
        <f>IFERROR(__xludf.DUMMYFUNCTION("""COMPUTED_VALUE"""),"วพอ.พอ.")</f>
        <v>วพอ.พอ.</v>
      </c>
      <c r="J628" s="12">
        <f>IFERROR(__xludf.DUMMYFUNCTION("""COMPUTED_VALUE"""),46135.0)</f>
        <v>46135</v>
      </c>
      <c r="K628" s="3" t="str">
        <f>IFERROR(__xludf.DUMMYFUNCTION("""COMPUTED_VALUE"""),"1700-2100")</f>
        <v>1700-2100</v>
      </c>
      <c r="L628" s="3">
        <f>IFERROR(__xludf.DUMMYFUNCTION("""COMPUTED_VALUE"""),4.0)</f>
        <v>4</v>
      </c>
      <c r="M628" s="3" t="str">
        <f>IFERROR(__xludf.DUMMYFUNCTION("""COMPUTED_VALUE"""),"ร.อ.อนุชิต ทำจะดี")</f>
        <v>ร.อ.อนุชิต ทำจะดี</v>
      </c>
      <c r="N628" s="14" t="str">
        <f>IFERROR(__xludf.DUMMYFUNCTION("""COMPUTED_VALUE"""),"https://lh5.googleusercontent.com/d/15KDvaGA2iYWg5t14hGKqFnzEBsNcxyKR")</f>
        <v>https://lh5.googleusercontent.com/d/15KDvaGA2iYWg5t14hGKqFnzEBsNcxyKR</v>
      </c>
      <c r="O628" s="14" t="str">
        <f>IFERROR(__xludf.DUMMYFUNCTION("""COMPUTED_VALUE"""),"https://drive.google.com/file/d/1YDEJYRL-LKOkRLu0bDnfnnxy-8uL4goP/view?usp=drivesdk")</f>
        <v>https://drive.google.com/file/d/1YDEJYRL-LKOkRLu0bDnfnnxy-8uL4goP/view?usp=drivesdk</v>
      </c>
    </row>
    <row r="629">
      <c r="A629" s="3">
        <f>IFERROR(__xludf.DUMMYFUNCTION("""COMPUTED_VALUE"""),2707.0)</f>
        <v>2707</v>
      </c>
      <c r="B629" s="11">
        <f>IFERROR(__xludf.DUMMYFUNCTION("""COMPUTED_VALUE"""),46175.65018783565)</f>
        <v>46175.65019</v>
      </c>
      <c r="C629" s="3" t="str">
        <f>IFERROR(__xludf.DUMMYFUNCTION("""COMPUTED_VALUE"""),"ชั้นปีที่ 2")</f>
        <v>ชั้นปีที่ 2</v>
      </c>
      <c r="D629" s="3" t="str">
        <f>IFERROR(__xludf.DUMMYFUNCTION("""COMPUTED_VALUE"""),"6703851")</f>
        <v>6703851</v>
      </c>
      <c r="E629" s="3" t="str">
        <f>IFERROR(__xludf.DUMMYFUNCTION("""COMPUTED_VALUE"""),"32")</f>
        <v>32</v>
      </c>
      <c r="F629" s="3" t="str">
        <f>IFERROR(__xludf.DUMMYFUNCTION("""COMPUTED_VALUE"""),"นพอ.ปุญญิศา ฤทธิ์หมุน")</f>
        <v>นพอ.ปุญญิศา ฤทธิ์หมุน</v>
      </c>
      <c r="G629" s="3" t="str">
        <f>IFERROR(__xludf.DUMMYFUNCTION("""COMPUTED_VALUE"""),"ช่วยเหลืองานภายใน วพอ.")</f>
        <v>ช่วยเหลืองานภายใน วพอ.</v>
      </c>
      <c r="H62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29" s="3" t="str">
        <f>IFERROR(__xludf.DUMMYFUNCTION("""COMPUTED_VALUE"""),"วพอ.พอ.")</f>
        <v>วพอ.พอ.</v>
      </c>
      <c r="J629" s="12">
        <f>IFERROR(__xludf.DUMMYFUNCTION("""COMPUTED_VALUE"""),46138.0)</f>
        <v>46138</v>
      </c>
      <c r="K629" s="3" t="str">
        <f>IFERROR(__xludf.DUMMYFUNCTION("""COMPUTED_VALUE"""),"1300-2100")</f>
        <v>1300-2100</v>
      </c>
      <c r="L629" s="3">
        <f>IFERROR(__xludf.DUMMYFUNCTION("""COMPUTED_VALUE"""),8.0)</f>
        <v>8</v>
      </c>
      <c r="M629" s="3" t="str">
        <f>IFERROR(__xludf.DUMMYFUNCTION("""COMPUTED_VALUE"""),"ร.อ.อนุชิต ทำจะดี")</f>
        <v>ร.อ.อนุชิต ทำจะดี</v>
      </c>
      <c r="N629" s="14" t="str">
        <f>IFERROR(__xludf.DUMMYFUNCTION("""COMPUTED_VALUE"""),"https://lh5.googleusercontent.com/d/1l_yTnUjaBxD4CEWNxQGZstv7bc3vBnkH")</f>
        <v>https://lh5.googleusercontent.com/d/1l_yTnUjaBxD4CEWNxQGZstv7bc3vBnkH</v>
      </c>
      <c r="O629" s="14" t="str">
        <f>IFERROR(__xludf.DUMMYFUNCTION("""COMPUTED_VALUE"""),"https://drive.google.com/file/d/1BrZfxC4NjBBWKFNWH-9dANJxbEHb6gs8/view?usp=drivesdk")</f>
        <v>https://drive.google.com/file/d/1BrZfxC4NjBBWKFNWH-9dANJxbEHb6gs8/view?usp=drivesdk</v>
      </c>
    </row>
    <row r="630">
      <c r="A630" s="3">
        <f>IFERROR(__xludf.DUMMYFUNCTION("""COMPUTED_VALUE"""),2708.0)</f>
        <v>2708</v>
      </c>
      <c r="B630" s="11">
        <f>IFERROR(__xludf.DUMMYFUNCTION("""COMPUTED_VALUE"""),46175.651679016206)</f>
        <v>46175.65168</v>
      </c>
      <c r="C630" s="3" t="str">
        <f>IFERROR(__xludf.DUMMYFUNCTION("""COMPUTED_VALUE"""),"ชั้นปีที่ 2")</f>
        <v>ชั้นปีที่ 2</v>
      </c>
      <c r="D630" s="3" t="str">
        <f>IFERROR(__xludf.DUMMYFUNCTION("""COMPUTED_VALUE"""),"6703851")</f>
        <v>6703851</v>
      </c>
      <c r="E630" s="3" t="str">
        <f>IFERROR(__xludf.DUMMYFUNCTION("""COMPUTED_VALUE"""),"32")</f>
        <v>32</v>
      </c>
      <c r="F630" s="3" t="str">
        <f>IFERROR(__xludf.DUMMYFUNCTION("""COMPUTED_VALUE"""),"นพอ.ปุญญิศา ฤทธิ์หมุน")</f>
        <v>นพอ.ปุญญิศา ฤทธิ์หมุน</v>
      </c>
      <c r="G630" s="3" t="str">
        <f>IFERROR(__xludf.DUMMYFUNCTION("""COMPUTED_VALUE"""),"ช่วยเหลืองานภายใน วพอ.")</f>
        <v>ช่วยเหลืองานภายใน วพอ.</v>
      </c>
      <c r="H63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30" s="3" t="str">
        <f>IFERROR(__xludf.DUMMYFUNCTION("""COMPUTED_VALUE"""),"หอประชุมธูปะเตมีย์ รพ.ภูมิพลฯ")</f>
        <v>หอประชุมธูปะเตมีย์ รพ.ภูมิพลฯ</v>
      </c>
      <c r="J630" s="12">
        <f>IFERROR(__xludf.DUMMYFUNCTION("""COMPUTED_VALUE"""),46139.0)</f>
        <v>46139</v>
      </c>
      <c r="K630" s="3" t="str">
        <f>IFERROR(__xludf.DUMMYFUNCTION("""COMPUTED_VALUE"""),"1700-2100")</f>
        <v>1700-2100</v>
      </c>
      <c r="L630" s="3">
        <f>IFERROR(__xludf.DUMMYFUNCTION("""COMPUTED_VALUE"""),4.0)</f>
        <v>4</v>
      </c>
      <c r="M630" s="3" t="str">
        <f>IFERROR(__xludf.DUMMYFUNCTION("""COMPUTED_VALUE"""),"ร.อ.อนุชิต ทำจะดี")</f>
        <v>ร.อ.อนุชิต ทำจะดี</v>
      </c>
      <c r="N630" s="14" t="str">
        <f>IFERROR(__xludf.DUMMYFUNCTION("""COMPUTED_VALUE"""),"https://lh5.googleusercontent.com/d/1mAHP9kHc-FRdLH5Pm8AjVfpT58pMx_-H")</f>
        <v>https://lh5.googleusercontent.com/d/1mAHP9kHc-FRdLH5Pm8AjVfpT58pMx_-H</v>
      </c>
      <c r="O630" s="14" t="str">
        <f>IFERROR(__xludf.DUMMYFUNCTION("""COMPUTED_VALUE"""),"https://drive.google.com/file/d/1MJ_aM-RDo5wZGkGNRanDxkOM4WIE2BNL/view?usp=drivesdk")</f>
        <v>https://drive.google.com/file/d/1MJ_aM-RDo5wZGkGNRanDxkOM4WIE2BNL/view?usp=drivesdk</v>
      </c>
    </row>
    <row r="631">
      <c r="A631" s="3">
        <f>IFERROR(__xludf.DUMMYFUNCTION("""COMPUTED_VALUE"""),2709.0)</f>
        <v>2709</v>
      </c>
      <c r="B631" s="11">
        <f>IFERROR(__xludf.DUMMYFUNCTION("""COMPUTED_VALUE"""),46175.65302861111)</f>
        <v>46175.65303</v>
      </c>
      <c r="C631" s="3" t="str">
        <f>IFERROR(__xludf.DUMMYFUNCTION("""COMPUTED_VALUE"""),"ชั้นปีที่ 2")</f>
        <v>ชั้นปีที่ 2</v>
      </c>
      <c r="D631" s="3" t="str">
        <f>IFERROR(__xludf.DUMMYFUNCTION("""COMPUTED_VALUE"""),"6703844")</f>
        <v>6703844</v>
      </c>
      <c r="E631" s="3" t="str">
        <f>IFERROR(__xludf.DUMMYFUNCTION("""COMPUTED_VALUE"""),"26")</f>
        <v>26</v>
      </c>
      <c r="F631" s="3" t="str">
        <f>IFERROR(__xludf.DUMMYFUNCTION("""COMPUTED_VALUE"""),"นพอ.นพชกร ทิวแพ")</f>
        <v>นพอ.นพชกร ทิวแพ</v>
      </c>
      <c r="G631" s="3" t="str">
        <f>IFERROR(__xludf.DUMMYFUNCTION("""COMPUTED_VALUE"""),"ช่วยเหลืองานภายใน วพอ.")</f>
        <v>ช่วยเหลืองานภายใน วพอ.</v>
      </c>
      <c r="H631" s="3" t="str">
        <f>IFERROR(__xludf.DUMMYFUNCTION("""COMPUTED_VALUE"""),"วัดเครื่องแบบ นพอ.69")</f>
        <v>วัดเครื่องแบบ นพอ.69</v>
      </c>
      <c r="I631" s="3" t="str">
        <f>IFERROR(__xludf.DUMMYFUNCTION("""COMPUTED_VALUE"""),"วพอ.พอ.")</f>
        <v>วพอ.พอ.</v>
      </c>
      <c r="J631" s="12">
        <f>IFERROR(__xludf.DUMMYFUNCTION("""COMPUTED_VALUE"""),46167.0)</f>
        <v>46167</v>
      </c>
      <c r="K631" s="3" t="str">
        <f>IFERROR(__xludf.DUMMYFUNCTION("""COMPUTED_VALUE"""),"1000-1400")</f>
        <v>1000-1400</v>
      </c>
      <c r="L631" s="3">
        <f>IFERROR(__xludf.DUMMYFUNCTION("""COMPUTED_VALUE"""),4.0)</f>
        <v>4</v>
      </c>
      <c r="M631" s="3" t="str">
        <f>IFERROR(__xludf.DUMMYFUNCTION("""COMPUTED_VALUE"""),"ร.อ.อนุชิต ทำจะดี")</f>
        <v>ร.อ.อนุชิต ทำจะดี</v>
      </c>
      <c r="N631" s="14" t="str">
        <f>IFERROR(__xludf.DUMMYFUNCTION("""COMPUTED_VALUE"""),"https://lh5.googleusercontent.com/d/1s52S3mx9H033-YLCqzxH4AIDI6LMUlw7")</f>
        <v>https://lh5.googleusercontent.com/d/1s52S3mx9H033-YLCqzxH4AIDI6LMUlw7</v>
      </c>
      <c r="O631" s="14" t="str">
        <f>IFERROR(__xludf.DUMMYFUNCTION("""COMPUTED_VALUE"""),"https://drive.google.com/file/d/1U_8KZ3UghI3pEFrjEtiOU0XruYtDnggs/view?usp=drivesdk")</f>
        <v>https://drive.google.com/file/d/1U_8KZ3UghI3pEFrjEtiOU0XruYtDnggs/view?usp=drivesdk</v>
      </c>
    </row>
    <row r="632">
      <c r="A632" s="3">
        <f>IFERROR(__xludf.DUMMYFUNCTION("""COMPUTED_VALUE"""),2710.0)</f>
        <v>2710</v>
      </c>
      <c r="B632" s="11">
        <f>IFERROR(__xludf.DUMMYFUNCTION("""COMPUTED_VALUE"""),46175.65574862268)</f>
        <v>46175.65575</v>
      </c>
      <c r="C632" s="3" t="str">
        <f>IFERROR(__xludf.DUMMYFUNCTION("""COMPUTED_VALUE"""),"ชั้นปีที่ 2")</f>
        <v>ชั้นปีที่ 2</v>
      </c>
      <c r="D632" s="3" t="str">
        <f>IFERROR(__xludf.DUMMYFUNCTION("""COMPUTED_VALUE"""),"6703835")</f>
        <v>6703835</v>
      </c>
      <c r="E632" s="3" t="str">
        <f>IFERROR(__xludf.DUMMYFUNCTION("""COMPUTED_VALUE"""),"18")</f>
        <v>18</v>
      </c>
      <c r="F632" s="3" t="str">
        <f>IFERROR(__xludf.DUMMYFUNCTION("""COMPUTED_VALUE"""),"นพอ.ณัฐณิชา พิทักษ์สันติ")</f>
        <v>นพอ.ณัฐณิชา พิทักษ์สันติ</v>
      </c>
      <c r="G6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2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632" s="3" t="str">
        <f>IFERROR(__xludf.DUMMYFUNCTION("""COMPUTED_VALUE"""),"พิพิธภัณฑ์กองทัพอากาศ")</f>
        <v>พิพิธภัณฑ์กองทัพอากาศ</v>
      </c>
      <c r="J632" s="12">
        <f>IFERROR(__xludf.DUMMYFUNCTION("""COMPUTED_VALUE"""),46032.0)</f>
        <v>46032</v>
      </c>
      <c r="K632" s="3" t="str">
        <f>IFERROR(__xludf.DUMMYFUNCTION("""COMPUTED_VALUE"""),"0600-1400")</f>
        <v>0600-1400</v>
      </c>
      <c r="L632" s="3">
        <f>IFERROR(__xludf.DUMMYFUNCTION("""COMPUTED_VALUE"""),8.0)</f>
        <v>8</v>
      </c>
      <c r="M63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2" s="14" t="str">
        <f>IFERROR(__xludf.DUMMYFUNCTION("""COMPUTED_VALUE"""),"https://lh5.googleusercontent.com/d/1ykcqR6tgydPXsee07e-xS03IR6oaBT1d")</f>
        <v>https://lh5.googleusercontent.com/d/1ykcqR6tgydPXsee07e-xS03IR6oaBT1d</v>
      </c>
      <c r="O632" s="14" t="str">
        <f>IFERROR(__xludf.DUMMYFUNCTION("""COMPUTED_VALUE"""),"https://drive.google.com/file/d/1uy1KFGEJoSXueYNtWNNGh1bRlLS02N4U/view?usp=drivesdk")</f>
        <v>https://drive.google.com/file/d/1uy1KFGEJoSXueYNtWNNGh1bRlLS02N4U/view?usp=drivesdk</v>
      </c>
    </row>
    <row r="633">
      <c r="A633" s="3">
        <f>IFERROR(__xludf.DUMMYFUNCTION("""COMPUTED_VALUE"""),2711.0)</f>
        <v>2711</v>
      </c>
      <c r="B633" s="11">
        <f>IFERROR(__xludf.DUMMYFUNCTION("""COMPUTED_VALUE"""),46175.658330266204)</f>
        <v>46175.65833</v>
      </c>
      <c r="C633" s="3" t="str">
        <f>IFERROR(__xludf.DUMMYFUNCTION("""COMPUTED_VALUE"""),"ชั้นปีที่ 2")</f>
        <v>ชั้นปีที่ 2</v>
      </c>
      <c r="D633" s="3" t="str">
        <f>IFERROR(__xludf.DUMMYFUNCTION("""COMPUTED_VALUE"""),"6703835")</f>
        <v>6703835</v>
      </c>
      <c r="E633" s="3" t="str">
        <f>IFERROR(__xludf.DUMMYFUNCTION("""COMPUTED_VALUE"""),"18")</f>
        <v>18</v>
      </c>
      <c r="F633" s="3" t="str">
        <f>IFERROR(__xludf.DUMMYFUNCTION("""COMPUTED_VALUE"""),"นพอ.ณัฐณิชา พิทักษ์สันติ")</f>
        <v>นพอ.ณัฐณิชา พิทักษ์สันติ</v>
      </c>
      <c r="G63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3" s="3" t="str">
        <f>IFERROR(__xludf.DUMMYFUNCTION("""COMPUTED_VALUE"""),"ค่ายเยาวชนพัฒนา ครั้งที่ 215")</f>
        <v>ค่ายเยาวชนพัฒนา ครั้งที่ 215</v>
      </c>
      <c r="I633" s="3" t="str">
        <f>IFERROR(__xludf.DUMMYFUNCTION("""COMPUTED_VALUE"""),"วัดสามบัณฑิต จ.อยุธยา")</f>
        <v>วัดสามบัณฑิต จ.อยุธยา</v>
      </c>
      <c r="J633" s="12">
        <f>IFERROR(__xludf.DUMMYFUNCTION("""COMPUTED_VALUE"""),46136.0)</f>
        <v>46136</v>
      </c>
      <c r="K633" s="3" t="str">
        <f>IFERROR(__xludf.DUMMYFUNCTION("""COMPUTED_VALUE"""),"1600-2400")</f>
        <v>1600-2400</v>
      </c>
      <c r="L633" s="3">
        <f>IFERROR(__xludf.DUMMYFUNCTION("""COMPUTED_VALUE"""),8.0)</f>
        <v>8</v>
      </c>
      <c r="M63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3" s="14" t="str">
        <f>IFERROR(__xludf.DUMMYFUNCTION("""COMPUTED_VALUE"""),"https://lh5.googleusercontent.com/d/1W2fjZniEDGcVaEN5-cmALm4ghmmpcI9H")</f>
        <v>https://lh5.googleusercontent.com/d/1W2fjZniEDGcVaEN5-cmALm4ghmmpcI9H</v>
      </c>
      <c r="O633" s="14" t="str">
        <f>IFERROR(__xludf.DUMMYFUNCTION("""COMPUTED_VALUE"""),"https://drive.google.com/file/d/1fNPdfigbuUFXJQdQRnW83XN7Kt0LjyJv/view?usp=drivesdk")</f>
        <v>https://drive.google.com/file/d/1fNPdfigbuUFXJQdQRnW83XN7Kt0LjyJv/view?usp=drivesdk</v>
      </c>
    </row>
    <row r="634">
      <c r="A634" s="3">
        <f>IFERROR(__xludf.DUMMYFUNCTION("""COMPUTED_VALUE"""),2712.0)</f>
        <v>2712</v>
      </c>
      <c r="B634" s="11">
        <f>IFERROR(__xludf.DUMMYFUNCTION("""COMPUTED_VALUE"""),46175.660565266204)</f>
        <v>46175.66057</v>
      </c>
      <c r="C634" s="3" t="str">
        <f>IFERROR(__xludf.DUMMYFUNCTION("""COMPUTED_VALUE"""),"ชั้นปีที่ 2")</f>
        <v>ชั้นปีที่ 2</v>
      </c>
      <c r="D634" s="3" t="str">
        <f>IFERROR(__xludf.DUMMYFUNCTION("""COMPUTED_VALUE"""),"6703835")</f>
        <v>6703835</v>
      </c>
      <c r="E634" s="3" t="str">
        <f>IFERROR(__xludf.DUMMYFUNCTION("""COMPUTED_VALUE"""),"18")</f>
        <v>18</v>
      </c>
      <c r="F634" s="3" t="str">
        <f>IFERROR(__xludf.DUMMYFUNCTION("""COMPUTED_VALUE"""),"นพอ.ณัฐณิชา พิทักษ์สันติ")</f>
        <v>นพอ.ณัฐณิชา พิทักษ์สันติ</v>
      </c>
      <c r="G6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4" s="3" t="str">
        <f>IFERROR(__xludf.DUMMYFUNCTION("""COMPUTED_VALUE"""),"ค่ายเยาวชนพัฒนา ครั้งที่ 215")</f>
        <v>ค่ายเยาวชนพัฒนา ครั้งที่ 215</v>
      </c>
      <c r="I634" s="3" t="str">
        <f>IFERROR(__xludf.DUMMYFUNCTION("""COMPUTED_VALUE"""),"วัดสามบัณฑิต จ.อยุธยา")</f>
        <v>วัดสามบัณฑิต จ.อยุธยา</v>
      </c>
      <c r="J634" s="12">
        <f>IFERROR(__xludf.DUMMYFUNCTION("""COMPUTED_VALUE"""),46137.0)</f>
        <v>46137</v>
      </c>
      <c r="K634" s="3" t="str">
        <f>IFERROR(__xludf.DUMMYFUNCTION("""COMPUTED_VALUE"""),"0800-1600")</f>
        <v>0800-1600</v>
      </c>
      <c r="L634" s="3">
        <f>IFERROR(__xludf.DUMMYFUNCTION("""COMPUTED_VALUE"""),8.0)</f>
        <v>8</v>
      </c>
      <c r="M63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4" s="14" t="str">
        <f>IFERROR(__xludf.DUMMYFUNCTION("""COMPUTED_VALUE"""),"https://lh5.googleusercontent.com/d/1aR4nooX7JWlTSswixEZHKGpQXwTlq-Be")</f>
        <v>https://lh5.googleusercontent.com/d/1aR4nooX7JWlTSswixEZHKGpQXwTlq-Be</v>
      </c>
      <c r="O634" s="14" t="str">
        <f>IFERROR(__xludf.DUMMYFUNCTION("""COMPUTED_VALUE"""),"https://drive.google.com/file/d/1tCiNwMSWejqt9ZewmIjsLZaaXFAxZZBg/view?usp=drivesdk")</f>
        <v>https://drive.google.com/file/d/1tCiNwMSWejqt9ZewmIjsLZaaXFAxZZBg/view?usp=drivesdk</v>
      </c>
    </row>
    <row r="635">
      <c r="A635" s="3">
        <f>IFERROR(__xludf.DUMMYFUNCTION("""COMPUTED_VALUE"""),2713.0)</f>
        <v>2713</v>
      </c>
      <c r="B635" s="11">
        <f>IFERROR(__xludf.DUMMYFUNCTION("""COMPUTED_VALUE"""),46175.661957847224)</f>
        <v>46175.66196</v>
      </c>
      <c r="C635" s="3" t="str">
        <f>IFERROR(__xludf.DUMMYFUNCTION("""COMPUTED_VALUE"""),"ชั้นปีที่ 2")</f>
        <v>ชั้นปีที่ 2</v>
      </c>
      <c r="D635" s="3" t="str">
        <f>IFERROR(__xludf.DUMMYFUNCTION("""COMPUTED_VALUE"""),"6703835")</f>
        <v>6703835</v>
      </c>
      <c r="E635" s="3" t="str">
        <f>IFERROR(__xludf.DUMMYFUNCTION("""COMPUTED_VALUE"""),"18")</f>
        <v>18</v>
      </c>
      <c r="F635" s="3" t="str">
        <f>IFERROR(__xludf.DUMMYFUNCTION("""COMPUTED_VALUE"""),"นพอ.ณัฐณิชา พิทักษ์สันติ")</f>
        <v>นพอ.ณัฐณิชา พิทักษ์สันติ</v>
      </c>
      <c r="G6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5" s="3" t="str">
        <f>IFERROR(__xludf.DUMMYFUNCTION("""COMPUTED_VALUE"""),"ค่ายเยาวชนพัฒนา ครั้งที่ 215")</f>
        <v>ค่ายเยาวชนพัฒนา ครั้งที่ 215</v>
      </c>
      <c r="I635" s="3" t="str">
        <f>IFERROR(__xludf.DUMMYFUNCTION("""COMPUTED_VALUE"""),"วัดสามบัณฑิต จ.อยุธยา")</f>
        <v>วัดสามบัณฑิต จ.อยุธยา</v>
      </c>
      <c r="J635" s="12">
        <f>IFERROR(__xludf.DUMMYFUNCTION("""COMPUTED_VALUE"""),46138.0)</f>
        <v>46138</v>
      </c>
      <c r="K635" s="3" t="str">
        <f>IFERROR(__xludf.DUMMYFUNCTION("""COMPUTED_VALUE"""),"0800-1600")</f>
        <v>0800-1600</v>
      </c>
      <c r="L635" s="3">
        <f>IFERROR(__xludf.DUMMYFUNCTION("""COMPUTED_VALUE"""),8.0)</f>
        <v>8</v>
      </c>
      <c r="M63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5" s="14" t="str">
        <f>IFERROR(__xludf.DUMMYFUNCTION("""COMPUTED_VALUE"""),"https://lh5.googleusercontent.com/d/1le1MiZFwJL9w2Lmo4_MjLBgI8y7Gv-EW")</f>
        <v>https://lh5.googleusercontent.com/d/1le1MiZFwJL9w2Lmo4_MjLBgI8y7Gv-EW</v>
      </c>
      <c r="O635" s="14" t="str">
        <f>IFERROR(__xludf.DUMMYFUNCTION("""COMPUTED_VALUE"""),"https://drive.google.com/file/d/1tIvPCz87O0Acgd8XjN0PFcERjx-Deem_/view?usp=drivesdk")</f>
        <v>https://drive.google.com/file/d/1tIvPCz87O0Acgd8XjN0PFcERjx-Deem_/view?usp=drivesdk</v>
      </c>
    </row>
    <row r="636">
      <c r="A636" s="3">
        <f>IFERROR(__xludf.DUMMYFUNCTION("""COMPUTED_VALUE"""),2714.0)</f>
        <v>2714</v>
      </c>
      <c r="B636" s="11">
        <f>IFERROR(__xludf.DUMMYFUNCTION("""COMPUTED_VALUE"""),46175.69025283565)</f>
        <v>46175.69025</v>
      </c>
      <c r="C636" s="3" t="str">
        <f>IFERROR(__xludf.DUMMYFUNCTION("""COMPUTED_VALUE"""),"ชั้นปีที่ 2")</f>
        <v>ชั้นปีที่ 2</v>
      </c>
      <c r="D636" s="3" t="str">
        <f>IFERROR(__xludf.DUMMYFUNCTION("""COMPUTED_VALUE"""),"6703867")</f>
        <v>6703867</v>
      </c>
      <c r="E636" s="3" t="str">
        <f>IFERROR(__xludf.DUMMYFUNCTION("""COMPUTED_VALUE"""),"48")</f>
        <v>48</v>
      </c>
      <c r="F636" s="3" t="str">
        <f>IFERROR(__xludf.DUMMYFUNCTION("""COMPUTED_VALUE"""),"วรางคณา ปางชาติ")</f>
        <v>วรางคณา ปางชาติ</v>
      </c>
      <c r="G6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36" s="3" t="str">
        <f>IFERROR(__xludf.DUMMYFUNCTION("""COMPUTED_VALUE"""),"สนามกีฬากองทัพอากาศ ธูปะเตมีย์")</f>
        <v>สนามกีฬากองทัพอากาศ ธูปะเตมีย์</v>
      </c>
      <c r="J636" s="12">
        <f>IFERROR(__xludf.DUMMYFUNCTION("""COMPUTED_VALUE"""),46078.0)</f>
        <v>46078</v>
      </c>
      <c r="K636" s="3" t="str">
        <f>IFERROR(__xludf.DUMMYFUNCTION("""COMPUTED_VALUE"""),"1200-2000")</f>
        <v>1200-2000</v>
      </c>
      <c r="L636" s="3">
        <f>IFERROR(__xludf.DUMMYFUNCTION("""COMPUTED_VALUE"""),8.0)</f>
        <v>8</v>
      </c>
      <c r="M636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36" s="14" t="str">
        <f>IFERROR(__xludf.DUMMYFUNCTION("""COMPUTED_VALUE"""),"https://lh5.googleusercontent.com/d/1blGzatDFB4Qpgge1JiawJ0Df8EAPolmN")</f>
        <v>https://lh5.googleusercontent.com/d/1blGzatDFB4Qpgge1JiawJ0Df8EAPolmN</v>
      </c>
      <c r="O636" s="14" t="str">
        <f>IFERROR(__xludf.DUMMYFUNCTION("""COMPUTED_VALUE"""),"https://drive.google.com/file/d/1SVjfk60kVWN2TVzNbLTJ_OfYqsZ3EkxW/view?usp=drivesdk")</f>
        <v>https://drive.google.com/file/d/1SVjfk60kVWN2TVzNbLTJ_OfYqsZ3EkxW/view?usp=drivesdk</v>
      </c>
    </row>
    <row r="637">
      <c r="A637" s="3">
        <f>IFERROR(__xludf.DUMMYFUNCTION("""COMPUTED_VALUE"""),2715.0)</f>
        <v>2715</v>
      </c>
      <c r="B637" s="11">
        <f>IFERROR(__xludf.DUMMYFUNCTION("""COMPUTED_VALUE"""),46175.70954445602)</f>
        <v>46175.70954</v>
      </c>
      <c r="C637" s="3" t="str">
        <f>IFERROR(__xludf.DUMMYFUNCTION("""COMPUTED_VALUE"""),"ชั้นปีที่ 2")</f>
        <v>ชั้นปีที่ 2</v>
      </c>
      <c r="D637" s="3" t="str">
        <f>IFERROR(__xludf.DUMMYFUNCTION("""COMPUTED_VALUE"""),"6703867")</f>
        <v>6703867</v>
      </c>
      <c r="E637" s="3" t="str">
        <f>IFERROR(__xludf.DUMMYFUNCTION("""COMPUTED_VALUE"""),"48")</f>
        <v>48</v>
      </c>
      <c r="F637" s="3" t="str">
        <f>IFERROR(__xludf.DUMMYFUNCTION("""COMPUTED_VALUE"""),"วรางคณา ปางชาติ")</f>
        <v>วรางคณา ปางชาติ</v>
      </c>
      <c r="G6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7" s="3" t="str">
        <f>IFERROR(__xludf.DUMMYFUNCTION("""COMPUTED_VALUE"""),"ค่ายเยาวชนพัฒนาครั้งที่ 215")</f>
        <v>ค่ายเยาวชนพัฒนาครั้งที่ 215</v>
      </c>
      <c r="I637" s="3" t="str">
        <f>IFERROR(__xludf.DUMMYFUNCTION("""COMPUTED_VALUE"""),"วัดสามบัณฑิต จ.อยุธยา")</f>
        <v>วัดสามบัณฑิต จ.อยุธยา</v>
      </c>
      <c r="J637" s="12">
        <f>IFERROR(__xludf.DUMMYFUNCTION("""COMPUTED_VALUE"""),46136.0)</f>
        <v>46136</v>
      </c>
      <c r="K637" s="3" t="str">
        <f>IFERROR(__xludf.DUMMYFUNCTION("""COMPUTED_VALUE"""),"1600-2400")</f>
        <v>1600-2400</v>
      </c>
      <c r="L637" s="3">
        <f>IFERROR(__xludf.DUMMYFUNCTION("""COMPUTED_VALUE"""),8.0)</f>
        <v>8</v>
      </c>
      <c r="M637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37" s="14" t="str">
        <f>IFERROR(__xludf.DUMMYFUNCTION("""COMPUTED_VALUE"""),"https://lh5.googleusercontent.com/d/1n4QtJTQHjhX800bb1j61iNSMwmoOdbiE")</f>
        <v>https://lh5.googleusercontent.com/d/1n4QtJTQHjhX800bb1j61iNSMwmoOdbiE</v>
      </c>
      <c r="O637" s="14" t="str">
        <f>IFERROR(__xludf.DUMMYFUNCTION("""COMPUTED_VALUE"""),"https://drive.google.com/file/d/1uHoatkn97lQPOQ_7dwVJkf2VDy3hwP9R/view?usp=drivesdk")</f>
        <v>https://drive.google.com/file/d/1uHoatkn97lQPOQ_7dwVJkf2VDy3hwP9R/view?usp=drivesdk</v>
      </c>
    </row>
    <row r="638">
      <c r="A638" s="3">
        <f>IFERROR(__xludf.DUMMYFUNCTION("""COMPUTED_VALUE"""),2717.0)</f>
        <v>2717</v>
      </c>
      <c r="B638" s="11">
        <f>IFERROR(__xludf.DUMMYFUNCTION("""COMPUTED_VALUE"""),46175.76755224537)</f>
        <v>46175.76755</v>
      </c>
      <c r="C638" s="3" t="str">
        <f>IFERROR(__xludf.DUMMYFUNCTION("""COMPUTED_VALUE"""),"ชั้นปีที่ 2")</f>
        <v>ชั้นปีที่ 2</v>
      </c>
      <c r="D638" s="3" t="str">
        <f>IFERROR(__xludf.DUMMYFUNCTION("""COMPUTED_VALUE"""),"6703867")</f>
        <v>6703867</v>
      </c>
      <c r="E638" s="3" t="str">
        <f>IFERROR(__xludf.DUMMYFUNCTION("""COMPUTED_VALUE"""),"48")</f>
        <v>48</v>
      </c>
      <c r="F638" s="3" t="str">
        <f>IFERROR(__xludf.DUMMYFUNCTION("""COMPUTED_VALUE"""),"นพอ.วรางคณา ปางชาติ")</f>
        <v>นพอ.วรางคณา ปางชาติ</v>
      </c>
      <c r="G63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8" s="3" t="str">
        <f>IFERROR(__xludf.DUMMYFUNCTION("""COMPUTED_VALUE"""),"ค่ายเยาวชนพัฒนาครั้งที่ 215")</f>
        <v>ค่ายเยาวชนพัฒนาครั้งที่ 215</v>
      </c>
      <c r="I638" s="3" t="str">
        <f>IFERROR(__xludf.DUMMYFUNCTION("""COMPUTED_VALUE"""),"วัดสามบัณฑิต จ.อยุธยา")</f>
        <v>วัดสามบัณฑิต จ.อยุธยา</v>
      </c>
      <c r="J638" s="12">
        <f>IFERROR(__xludf.DUMMYFUNCTION("""COMPUTED_VALUE"""),46137.0)</f>
        <v>46137</v>
      </c>
      <c r="K638" s="3" t="str">
        <f>IFERROR(__xludf.DUMMYFUNCTION("""COMPUTED_VALUE"""),"0800-1600")</f>
        <v>0800-1600</v>
      </c>
      <c r="L638" s="3">
        <f>IFERROR(__xludf.DUMMYFUNCTION("""COMPUTED_VALUE"""),8.0)</f>
        <v>8</v>
      </c>
      <c r="M638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38" s="14" t="str">
        <f>IFERROR(__xludf.DUMMYFUNCTION("""COMPUTED_VALUE"""),"https://lh5.googleusercontent.com/d/1xtFXiNDS_8esjt4ulZyAkU74Ys2FqyW9")</f>
        <v>https://lh5.googleusercontent.com/d/1xtFXiNDS_8esjt4ulZyAkU74Ys2FqyW9</v>
      </c>
      <c r="O638" s="14" t="str">
        <f>IFERROR(__xludf.DUMMYFUNCTION("""COMPUTED_VALUE"""),"https://drive.google.com/file/d/1LHivqLzyGODOaJt4pdwQrdLKmCEONpvc/view?usp=drivesdk")</f>
        <v>https://drive.google.com/file/d/1LHivqLzyGODOaJt4pdwQrdLKmCEONpvc/view?usp=drivesdk</v>
      </c>
    </row>
    <row r="639">
      <c r="A639" s="3">
        <f>IFERROR(__xludf.DUMMYFUNCTION("""COMPUTED_VALUE"""),2719.0)</f>
        <v>2719</v>
      </c>
      <c r="B639" s="11">
        <f>IFERROR(__xludf.DUMMYFUNCTION("""COMPUTED_VALUE"""),46175.76941622685)</f>
        <v>46175.76942</v>
      </c>
      <c r="C639" s="3" t="str">
        <f>IFERROR(__xludf.DUMMYFUNCTION("""COMPUTED_VALUE"""),"ชั้นปีที่ 2")</f>
        <v>ชั้นปีที่ 2</v>
      </c>
      <c r="D639" s="3" t="str">
        <f>IFERROR(__xludf.DUMMYFUNCTION("""COMPUTED_VALUE"""),"6703867")</f>
        <v>6703867</v>
      </c>
      <c r="E639" s="3" t="str">
        <f>IFERROR(__xludf.DUMMYFUNCTION("""COMPUTED_VALUE"""),"48")</f>
        <v>48</v>
      </c>
      <c r="F639" s="3" t="str">
        <f>IFERROR(__xludf.DUMMYFUNCTION("""COMPUTED_VALUE"""),"นพอ.วรางคณา ปางชาติ")</f>
        <v>นพอ.วรางคณา ปางชาติ</v>
      </c>
      <c r="G6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9" s="3" t="str">
        <f>IFERROR(__xludf.DUMMYFUNCTION("""COMPUTED_VALUE"""),"ค่ายเยาวชนพัฒนาครั้งที่ 215")</f>
        <v>ค่ายเยาวชนพัฒนาครั้งที่ 215</v>
      </c>
      <c r="I639" s="3" t="str">
        <f>IFERROR(__xludf.DUMMYFUNCTION("""COMPUTED_VALUE"""),"วัดสามบัณฑิต จ.อยุธยา")</f>
        <v>วัดสามบัณฑิต จ.อยุธยา</v>
      </c>
      <c r="J639" s="12">
        <f>IFERROR(__xludf.DUMMYFUNCTION("""COMPUTED_VALUE"""),46138.0)</f>
        <v>46138</v>
      </c>
      <c r="K639" s="3" t="str">
        <f>IFERROR(__xludf.DUMMYFUNCTION("""COMPUTED_VALUE"""),"0800-1600")</f>
        <v>0800-1600</v>
      </c>
      <c r="L639" s="3">
        <f>IFERROR(__xludf.DUMMYFUNCTION("""COMPUTED_VALUE"""),8.0)</f>
        <v>8</v>
      </c>
      <c r="M639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39" s="14" t="str">
        <f>IFERROR(__xludf.DUMMYFUNCTION("""COMPUTED_VALUE"""),"https://lh5.googleusercontent.com/d/1rBz6C9EQQ5gsZwlFBBk_GTQhwfLfpKOs")</f>
        <v>https://lh5.googleusercontent.com/d/1rBz6C9EQQ5gsZwlFBBk_GTQhwfLfpKOs</v>
      </c>
      <c r="O639" s="14" t="str">
        <f>IFERROR(__xludf.DUMMYFUNCTION("""COMPUTED_VALUE"""),"https://drive.google.com/file/d/1GwX-VTCKmth5tnTPEBTtjJqWzU9Iwdy4/view?usp=drivesdk")</f>
        <v>https://drive.google.com/file/d/1GwX-VTCKmth5tnTPEBTtjJqWzU9Iwdy4/view?usp=drivesdk</v>
      </c>
    </row>
    <row r="640">
      <c r="A640" s="3">
        <f>IFERROR(__xludf.DUMMYFUNCTION("""COMPUTED_VALUE"""),2720.0)</f>
        <v>2720</v>
      </c>
      <c r="B640" s="11">
        <f>IFERROR(__xludf.DUMMYFUNCTION("""COMPUTED_VALUE"""),46175.7899753125)</f>
        <v>46175.78998</v>
      </c>
      <c r="C640" s="3" t="str">
        <f>IFERROR(__xludf.DUMMYFUNCTION("""COMPUTED_VALUE"""),"ชั้นปีที่ 2")</f>
        <v>ชั้นปีที่ 2</v>
      </c>
      <c r="D640" s="3" t="str">
        <f>IFERROR(__xludf.DUMMYFUNCTION("""COMPUTED_VALUE"""),"3867")</f>
        <v>3867</v>
      </c>
      <c r="E640" s="3" t="str">
        <f>IFERROR(__xludf.DUMMYFUNCTION("""COMPUTED_VALUE"""),"48")</f>
        <v>48</v>
      </c>
      <c r="F640" s="3" t="str">
        <f>IFERROR(__xludf.DUMMYFUNCTION("""COMPUTED_VALUE"""),"นพอ.วรางคณา ปางชาติ")</f>
        <v>นพอ.วรางคณา ปางชาติ</v>
      </c>
      <c r="G640" s="3" t="str">
        <f>IFERROR(__xludf.DUMMYFUNCTION("""COMPUTED_VALUE"""),"ช่วยเหลืองานภายใน วพอ.")</f>
        <v>ช่วยเหลืองานภายใน วพอ.</v>
      </c>
      <c r="H64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40" s="3" t="str">
        <f>IFERROR(__xludf.DUMMYFUNCTION("""COMPUTED_VALUE"""),"วพอ.พอ.")</f>
        <v>วพอ.พอ.</v>
      </c>
      <c r="J640" s="12">
        <f>IFERROR(__xludf.DUMMYFUNCTION("""COMPUTED_VALUE"""),46133.0)</f>
        <v>46133</v>
      </c>
      <c r="K640" s="3" t="str">
        <f>IFERROR(__xludf.DUMMYFUNCTION("""COMPUTED_VALUE"""),"1700-2100")</f>
        <v>1700-2100</v>
      </c>
      <c r="L640" s="3">
        <f>IFERROR(__xludf.DUMMYFUNCTION("""COMPUTED_VALUE"""),4.0)</f>
        <v>4</v>
      </c>
      <c r="M640" s="3" t="str">
        <f>IFERROR(__xludf.DUMMYFUNCTION("""COMPUTED_VALUE"""),"ร.อ.อนุชิต ทำจะดี")</f>
        <v>ร.อ.อนุชิต ทำจะดี</v>
      </c>
      <c r="N640" s="14" t="str">
        <f>IFERROR(__xludf.DUMMYFUNCTION("""COMPUTED_VALUE"""),"https://lh5.googleusercontent.com/d/1SdEFkVKAaUQb8kfusr4yQZJWMl12kpFc")</f>
        <v>https://lh5.googleusercontent.com/d/1SdEFkVKAaUQb8kfusr4yQZJWMl12kpFc</v>
      </c>
      <c r="O640" s="14" t="str">
        <f>IFERROR(__xludf.DUMMYFUNCTION("""COMPUTED_VALUE"""),"https://drive.google.com/file/d/1pADJ-hYTUpT4QVlltrkSJdUUgoDc94_Z/view?usp=drivesdk")</f>
        <v>https://drive.google.com/file/d/1pADJ-hYTUpT4QVlltrkSJdUUgoDc94_Z/view?usp=drivesdk</v>
      </c>
    </row>
    <row r="641">
      <c r="A641" s="3">
        <f>IFERROR(__xludf.DUMMYFUNCTION("""COMPUTED_VALUE"""),2721.0)</f>
        <v>2721</v>
      </c>
      <c r="B641" s="11">
        <f>IFERROR(__xludf.DUMMYFUNCTION("""COMPUTED_VALUE"""),46175.79092724537)</f>
        <v>46175.79093</v>
      </c>
      <c r="C641" s="3" t="str">
        <f>IFERROR(__xludf.DUMMYFUNCTION("""COMPUTED_VALUE"""),"ชั้นปีที่ 2")</f>
        <v>ชั้นปีที่ 2</v>
      </c>
      <c r="D641" s="3" t="str">
        <f>IFERROR(__xludf.DUMMYFUNCTION("""COMPUTED_VALUE"""),"3867")</f>
        <v>3867</v>
      </c>
      <c r="E641" s="3" t="str">
        <f>IFERROR(__xludf.DUMMYFUNCTION("""COMPUTED_VALUE"""),"48")</f>
        <v>48</v>
      </c>
      <c r="F641" s="3" t="str">
        <f>IFERROR(__xludf.DUMMYFUNCTION("""COMPUTED_VALUE"""),"นพอ.วรางคณา ปางชาติ")</f>
        <v>นพอ.วรางคณา ปางชาติ</v>
      </c>
      <c r="G641" s="3" t="str">
        <f>IFERROR(__xludf.DUMMYFUNCTION("""COMPUTED_VALUE"""),"ช่วยเหลืองานภายใน วพอ.")</f>
        <v>ช่วยเหลืองานภายใน วพอ.</v>
      </c>
      <c r="H64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41" s="3" t="str">
        <f>IFERROR(__xludf.DUMMYFUNCTION("""COMPUTED_VALUE"""),"วพอ.พอ.")</f>
        <v>วพอ.พอ.</v>
      </c>
      <c r="J641" s="12">
        <f>IFERROR(__xludf.DUMMYFUNCTION("""COMPUTED_VALUE"""),46134.0)</f>
        <v>46134</v>
      </c>
      <c r="K641" s="3" t="str">
        <f>IFERROR(__xludf.DUMMYFUNCTION("""COMPUTED_VALUE"""),"1700-2100")</f>
        <v>1700-2100</v>
      </c>
      <c r="L641" s="3">
        <f>IFERROR(__xludf.DUMMYFUNCTION("""COMPUTED_VALUE"""),4.0)</f>
        <v>4</v>
      </c>
      <c r="M641" s="3" t="str">
        <f>IFERROR(__xludf.DUMMYFUNCTION("""COMPUTED_VALUE"""),"ร.อ.อนุชิต ทำจะดี")</f>
        <v>ร.อ.อนุชิต ทำจะดี</v>
      </c>
      <c r="N641" s="14" t="str">
        <f>IFERROR(__xludf.DUMMYFUNCTION("""COMPUTED_VALUE"""),"https://lh5.googleusercontent.com/d/16_02IneUJnuPy41yMsqXeHCiaW3Vyfmt")</f>
        <v>https://lh5.googleusercontent.com/d/16_02IneUJnuPy41yMsqXeHCiaW3Vyfmt</v>
      </c>
      <c r="O641" s="14" t="str">
        <f>IFERROR(__xludf.DUMMYFUNCTION("""COMPUTED_VALUE"""),"https://drive.google.com/file/d/1NWkAqDPdVQ2ACeM6SglT8pNSjy7zjYl8/view?usp=drivesdk")</f>
        <v>https://drive.google.com/file/d/1NWkAqDPdVQ2ACeM6SglT8pNSjy7zjYl8/view?usp=drivesdk</v>
      </c>
    </row>
    <row r="642">
      <c r="A642" s="3">
        <f>IFERROR(__xludf.DUMMYFUNCTION("""COMPUTED_VALUE"""),2722.0)</f>
        <v>2722</v>
      </c>
      <c r="B642" s="11">
        <f>IFERROR(__xludf.DUMMYFUNCTION("""COMPUTED_VALUE"""),46175.79230681713)</f>
        <v>46175.79231</v>
      </c>
      <c r="C642" s="3" t="str">
        <f>IFERROR(__xludf.DUMMYFUNCTION("""COMPUTED_VALUE"""),"ชั้นปีที่ 2")</f>
        <v>ชั้นปีที่ 2</v>
      </c>
      <c r="D642" s="3" t="str">
        <f>IFERROR(__xludf.DUMMYFUNCTION("""COMPUTED_VALUE"""),"3867")</f>
        <v>3867</v>
      </c>
      <c r="E642" s="3" t="str">
        <f>IFERROR(__xludf.DUMMYFUNCTION("""COMPUTED_VALUE"""),"48")</f>
        <v>48</v>
      </c>
      <c r="F642" s="3" t="str">
        <f>IFERROR(__xludf.DUMMYFUNCTION("""COMPUTED_VALUE"""),"นพอ.วรางคณา ปางชาติ")</f>
        <v>นพอ.วรางคณา ปางชาติ</v>
      </c>
      <c r="G642" s="3" t="str">
        <f>IFERROR(__xludf.DUMMYFUNCTION("""COMPUTED_VALUE"""),"ช่วยเหลืองานภายใน วพอ.")</f>
        <v>ช่วยเหลืองานภายใน วพอ.</v>
      </c>
      <c r="H64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42" s="3" t="str">
        <f>IFERROR(__xludf.DUMMYFUNCTION("""COMPUTED_VALUE"""),"วพอ.พอ.")</f>
        <v>วพอ.พอ.</v>
      </c>
      <c r="J642" s="12">
        <f>IFERROR(__xludf.DUMMYFUNCTION("""COMPUTED_VALUE"""),46135.0)</f>
        <v>46135</v>
      </c>
      <c r="K642" s="3" t="str">
        <f>IFERROR(__xludf.DUMMYFUNCTION("""COMPUTED_VALUE"""),"1700-2100")</f>
        <v>1700-2100</v>
      </c>
      <c r="L642" s="3">
        <f>IFERROR(__xludf.DUMMYFUNCTION("""COMPUTED_VALUE"""),4.0)</f>
        <v>4</v>
      </c>
      <c r="M642" s="3" t="str">
        <f>IFERROR(__xludf.DUMMYFUNCTION("""COMPUTED_VALUE"""),"ร.อ.อนุชิต ทำจะดี")</f>
        <v>ร.อ.อนุชิต ทำจะดี</v>
      </c>
      <c r="N642" s="14" t="str">
        <f>IFERROR(__xludf.DUMMYFUNCTION("""COMPUTED_VALUE"""),"https://lh5.googleusercontent.com/d/1tR7ufN2wcBYpGv6ytGP7yfLQeOUcWZhP")</f>
        <v>https://lh5.googleusercontent.com/d/1tR7ufN2wcBYpGv6ytGP7yfLQeOUcWZhP</v>
      </c>
      <c r="O642" s="14" t="str">
        <f>IFERROR(__xludf.DUMMYFUNCTION("""COMPUTED_VALUE"""),"https://drive.google.com/file/d/1dBx-6wEsn4HeYFTNXwKpZ1lCwvaTFm3T/view?usp=drivesdk")</f>
        <v>https://drive.google.com/file/d/1dBx-6wEsn4HeYFTNXwKpZ1lCwvaTFm3T/view?usp=drivesdk</v>
      </c>
    </row>
    <row r="643">
      <c r="A643" s="3">
        <f>IFERROR(__xludf.DUMMYFUNCTION("""COMPUTED_VALUE"""),2723.0)</f>
        <v>2723</v>
      </c>
      <c r="B643" s="11">
        <f>IFERROR(__xludf.DUMMYFUNCTION("""COMPUTED_VALUE"""),46175.79347123842)</f>
        <v>46175.79347</v>
      </c>
      <c r="C643" s="3" t="str">
        <f>IFERROR(__xludf.DUMMYFUNCTION("""COMPUTED_VALUE"""),"ชั้นปีที่ 2")</f>
        <v>ชั้นปีที่ 2</v>
      </c>
      <c r="D643" s="3" t="str">
        <f>IFERROR(__xludf.DUMMYFUNCTION("""COMPUTED_VALUE"""),"3867")</f>
        <v>3867</v>
      </c>
      <c r="E643" s="3" t="str">
        <f>IFERROR(__xludf.DUMMYFUNCTION("""COMPUTED_VALUE"""),"48")</f>
        <v>48</v>
      </c>
      <c r="F643" s="3" t="str">
        <f>IFERROR(__xludf.DUMMYFUNCTION("""COMPUTED_VALUE"""),"นพอ.วรางคณา ปางชาติ")</f>
        <v>นพอ.วรางคณา ปางชาติ</v>
      </c>
      <c r="G643" s="3" t="str">
        <f>IFERROR(__xludf.DUMMYFUNCTION("""COMPUTED_VALUE"""),"ช่วยเหลืองานภายใน วพอ.")</f>
        <v>ช่วยเหลืองานภายใน วพอ.</v>
      </c>
      <c r="H64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43" s="3" t="str">
        <f>IFERROR(__xludf.DUMMYFUNCTION("""COMPUTED_VALUE"""),"วพอ.พอ.")</f>
        <v>วพอ.พอ.</v>
      </c>
      <c r="J643" s="12">
        <f>IFERROR(__xludf.DUMMYFUNCTION("""COMPUTED_VALUE"""),46138.0)</f>
        <v>46138</v>
      </c>
      <c r="K643" s="3" t="str">
        <f>IFERROR(__xludf.DUMMYFUNCTION("""COMPUTED_VALUE"""),"1300-2100")</f>
        <v>1300-2100</v>
      </c>
      <c r="L643" s="3">
        <f>IFERROR(__xludf.DUMMYFUNCTION("""COMPUTED_VALUE"""),8.0)</f>
        <v>8</v>
      </c>
      <c r="M643" s="3" t="str">
        <f>IFERROR(__xludf.DUMMYFUNCTION("""COMPUTED_VALUE"""),"ร.อ.อนุชิต ทำจะดี")</f>
        <v>ร.อ.อนุชิต ทำจะดี</v>
      </c>
      <c r="N643" s="14" t="str">
        <f>IFERROR(__xludf.DUMMYFUNCTION("""COMPUTED_VALUE"""),"https://lh5.googleusercontent.com/d/12s8YV4xfQlTwKD8aoJLGPITIREjy0mDG")</f>
        <v>https://lh5.googleusercontent.com/d/12s8YV4xfQlTwKD8aoJLGPITIREjy0mDG</v>
      </c>
      <c r="O643" s="14" t="str">
        <f>IFERROR(__xludf.DUMMYFUNCTION("""COMPUTED_VALUE"""),"https://drive.google.com/file/d/15F64SXIw6faMj8xGF4pKpf_XWc9kkwBW/view?usp=drivesdk")</f>
        <v>https://drive.google.com/file/d/15F64SXIw6faMj8xGF4pKpf_XWc9kkwBW/view?usp=drivesdk</v>
      </c>
    </row>
    <row r="644">
      <c r="A644" s="3">
        <f>IFERROR(__xludf.DUMMYFUNCTION("""COMPUTED_VALUE"""),2724.0)</f>
        <v>2724</v>
      </c>
      <c r="B644" s="11">
        <f>IFERROR(__xludf.DUMMYFUNCTION("""COMPUTED_VALUE"""),46175.7944091088)</f>
        <v>46175.79441</v>
      </c>
      <c r="C644" s="3" t="str">
        <f>IFERROR(__xludf.DUMMYFUNCTION("""COMPUTED_VALUE"""),"ชั้นปีที่ 2")</f>
        <v>ชั้นปีที่ 2</v>
      </c>
      <c r="D644" s="3" t="str">
        <f>IFERROR(__xludf.DUMMYFUNCTION("""COMPUTED_VALUE"""),"3867")</f>
        <v>3867</v>
      </c>
      <c r="E644" s="3" t="str">
        <f>IFERROR(__xludf.DUMMYFUNCTION("""COMPUTED_VALUE"""),"48")</f>
        <v>48</v>
      </c>
      <c r="F644" s="3" t="str">
        <f>IFERROR(__xludf.DUMMYFUNCTION("""COMPUTED_VALUE"""),"นพอ.วรางคณา ปางชาติ")</f>
        <v>นพอ.วรางคณา ปางชาติ</v>
      </c>
      <c r="G644" s="3" t="str">
        <f>IFERROR(__xludf.DUMMYFUNCTION("""COMPUTED_VALUE"""),"ช่วยเหลืองานภายใน วพอ.")</f>
        <v>ช่วยเหลืองานภายใน วพอ.</v>
      </c>
      <c r="H64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44" s="3" t="str">
        <f>IFERROR(__xludf.DUMMYFUNCTION("""COMPUTED_VALUE"""),"หอประชุมธูปะเตมีย์")</f>
        <v>หอประชุมธูปะเตมีย์</v>
      </c>
      <c r="J644" s="12">
        <f>IFERROR(__xludf.DUMMYFUNCTION("""COMPUTED_VALUE"""),46139.0)</f>
        <v>46139</v>
      </c>
      <c r="K644" s="3" t="str">
        <f>IFERROR(__xludf.DUMMYFUNCTION("""COMPUTED_VALUE"""),"1700-2100")</f>
        <v>1700-2100</v>
      </c>
      <c r="L644" s="3">
        <f>IFERROR(__xludf.DUMMYFUNCTION("""COMPUTED_VALUE"""),4.0)</f>
        <v>4</v>
      </c>
      <c r="M644" s="3" t="str">
        <f>IFERROR(__xludf.DUMMYFUNCTION("""COMPUTED_VALUE"""),"ร.อ.อนุชิต ทำจะดี")</f>
        <v>ร.อ.อนุชิต ทำจะดี</v>
      </c>
      <c r="N644" s="14" t="str">
        <f>IFERROR(__xludf.DUMMYFUNCTION("""COMPUTED_VALUE"""),"https://lh5.googleusercontent.com/d/18S-7oEUqd8DMWi-nnE29JDfPHGsGKPtQ")</f>
        <v>https://lh5.googleusercontent.com/d/18S-7oEUqd8DMWi-nnE29JDfPHGsGKPtQ</v>
      </c>
      <c r="O644" s="14" t="str">
        <f>IFERROR(__xludf.DUMMYFUNCTION("""COMPUTED_VALUE"""),"https://drive.google.com/file/d/1qcUK3WGoPUw2gORvXWyxceoPrY6qU8Sq/view?usp=drivesdk")</f>
        <v>https://drive.google.com/file/d/1qcUK3WGoPUw2gORvXWyxceoPrY6qU8Sq/view?usp=drivesdk</v>
      </c>
    </row>
    <row r="645">
      <c r="A645" s="3">
        <f>IFERROR(__xludf.DUMMYFUNCTION("""COMPUTED_VALUE"""),2860.0)</f>
        <v>2860</v>
      </c>
      <c r="B645" s="11">
        <f>IFERROR(__xludf.DUMMYFUNCTION("""COMPUTED_VALUE"""),46176.9486174537)</f>
        <v>46176.94862</v>
      </c>
      <c r="C645" s="3" t="str">
        <f>IFERROR(__xludf.DUMMYFUNCTION("""COMPUTED_VALUE"""),"ชั้นปีที่ 2")</f>
        <v>ชั้นปีที่ 2</v>
      </c>
      <c r="D645" s="3" t="str">
        <f>IFERROR(__xludf.DUMMYFUNCTION("""COMPUTED_VALUE"""),"6703831")</f>
        <v>6703831</v>
      </c>
      <c r="E645" s="3" t="str">
        <f>IFERROR(__xludf.DUMMYFUNCTION("""COMPUTED_VALUE"""),"14")</f>
        <v>14</v>
      </c>
      <c r="F645" s="3" t="str">
        <f>IFERROR(__xludf.DUMMYFUNCTION("""COMPUTED_VALUE"""),"นพอ.ญาณิศา ตุ้งซี่")</f>
        <v>นพอ.ญาณิศา ตุ้งซี่</v>
      </c>
      <c r="G645" s="3" t="str">
        <f>IFERROR(__xludf.DUMMYFUNCTION("""COMPUTED_VALUE"""),"ช่วยเหลืองานภายใน วพอ.")</f>
        <v>ช่วยเหลืองานภายใน วพอ.</v>
      </c>
      <c r="H645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645" s="3" t="str">
        <f>IFERROR(__xludf.DUMMYFUNCTION("""COMPUTED_VALUE"""),"อาคารสำนักงานชั้น4")</f>
        <v>อาคารสำนักงานชั้น4</v>
      </c>
      <c r="J645" s="12">
        <f>IFERROR(__xludf.DUMMYFUNCTION("""COMPUTED_VALUE"""),46147.0)</f>
        <v>46147</v>
      </c>
      <c r="K645" s="3" t="str">
        <f>IFERROR(__xludf.DUMMYFUNCTION("""COMPUTED_VALUE"""),"1500-1800")</f>
        <v>1500-1800</v>
      </c>
      <c r="L645" s="3">
        <f>IFERROR(__xludf.DUMMYFUNCTION("""COMPUTED_VALUE"""),3.0)</f>
        <v>3</v>
      </c>
      <c r="M645" s="3" t="str">
        <f>IFERROR(__xludf.DUMMYFUNCTION("""COMPUTED_VALUE"""),"น.ต.ศักชัย บุญประสิทธิ์")</f>
        <v>น.ต.ศักชัย บุญประสิทธิ์</v>
      </c>
      <c r="N645" s="14" t="str">
        <f>IFERROR(__xludf.DUMMYFUNCTION("""COMPUTED_VALUE"""),"https://lh5.googleusercontent.com/d/1-2k8mp8bzllDigpGfmryHSrjz5gGpPfK")</f>
        <v>https://lh5.googleusercontent.com/d/1-2k8mp8bzllDigpGfmryHSrjz5gGpPfK</v>
      </c>
      <c r="O645" s="14" t="str">
        <f>IFERROR(__xludf.DUMMYFUNCTION("""COMPUTED_VALUE"""),"https://drive.google.com/file/d/1VYseC70tBU2Yu6A7Rb71HU3vSM3teY9y/view?usp=drivesdk")</f>
        <v>https://drive.google.com/file/d/1VYseC70tBU2Yu6A7Rb71HU3vSM3teY9y/view?usp=drivesdk</v>
      </c>
    </row>
    <row r="646">
      <c r="A646" s="3">
        <f>IFERROR(__xludf.DUMMYFUNCTION("""COMPUTED_VALUE"""),2863.0)</f>
        <v>2863</v>
      </c>
      <c r="B646" s="11">
        <f>IFERROR(__xludf.DUMMYFUNCTION("""COMPUTED_VALUE"""),46176.952516817124)</f>
        <v>46176.95252</v>
      </c>
      <c r="C646" s="3" t="str">
        <f>IFERROR(__xludf.DUMMYFUNCTION("""COMPUTED_VALUE"""),"ชั้นปีที่ 2")</f>
        <v>ชั้นปีที่ 2</v>
      </c>
      <c r="D646" s="3" t="str">
        <f>IFERROR(__xludf.DUMMYFUNCTION("""COMPUTED_VALUE"""),"6703831")</f>
        <v>6703831</v>
      </c>
      <c r="E646" s="3" t="str">
        <f>IFERROR(__xludf.DUMMYFUNCTION("""COMPUTED_VALUE"""),"14")</f>
        <v>14</v>
      </c>
      <c r="F646" s="3" t="str">
        <f>IFERROR(__xludf.DUMMYFUNCTION("""COMPUTED_VALUE"""),"นพอ.ญาณิศา ตุ้งซี่")</f>
        <v>นพอ.ญาณิศา ตุ้งซี่</v>
      </c>
      <c r="G6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46" s="3" t="str">
        <f>IFERROR(__xludf.DUMMYFUNCTION("""COMPUTED_VALUE"""),"สนามกีฬาธูปเตมีย์")</f>
        <v>สนามกีฬาธูปเตมีย์</v>
      </c>
      <c r="J646" s="12">
        <f>IFERROR(__xludf.DUMMYFUNCTION("""COMPUTED_VALUE"""),46078.0)</f>
        <v>46078</v>
      </c>
      <c r="K646" s="3" t="str">
        <f>IFERROR(__xludf.DUMMYFUNCTION("""COMPUTED_VALUE"""),"1200-2000")</f>
        <v>1200-2000</v>
      </c>
      <c r="L646" s="3">
        <f>IFERROR(__xludf.DUMMYFUNCTION("""COMPUTED_VALUE"""),8.0)</f>
        <v>8</v>
      </c>
      <c r="M646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646" s="14" t="str">
        <f>IFERROR(__xludf.DUMMYFUNCTION("""COMPUTED_VALUE"""),"https://lh5.googleusercontent.com/d/1M6zGJZ0UtTkSwcn2QAXZxB6wjpx6QBoT")</f>
        <v>https://lh5.googleusercontent.com/d/1M6zGJZ0UtTkSwcn2QAXZxB6wjpx6QBoT</v>
      </c>
      <c r="O646" s="14" t="str">
        <f>IFERROR(__xludf.DUMMYFUNCTION("""COMPUTED_VALUE"""),"https://drive.google.com/file/d/1vW_pSQg-D6EEXM85-oFaYe2OAx8dW_nn/view?usp=drivesdk")</f>
        <v>https://drive.google.com/file/d/1vW_pSQg-D6EEXM85-oFaYe2OAx8dW_nn/view?usp=drivesdk</v>
      </c>
    </row>
    <row r="647">
      <c r="A647" s="3">
        <f>IFERROR(__xludf.DUMMYFUNCTION("""COMPUTED_VALUE"""),2869.0)</f>
        <v>2869</v>
      </c>
      <c r="B647" s="11">
        <f>IFERROR(__xludf.DUMMYFUNCTION("""COMPUTED_VALUE"""),46176.960540625)</f>
        <v>46176.96054</v>
      </c>
      <c r="C647" s="3" t="str">
        <f>IFERROR(__xludf.DUMMYFUNCTION("""COMPUTED_VALUE"""),"ชั้นปีที่ 2")</f>
        <v>ชั้นปีที่ 2</v>
      </c>
      <c r="D647" s="3" t="str">
        <f>IFERROR(__xludf.DUMMYFUNCTION("""COMPUTED_VALUE"""),"6703831")</f>
        <v>6703831</v>
      </c>
      <c r="E647" s="3" t="str">
        <f>IFERROR(__xludf.DUMMYFUNCTION("""COMPUTED_VALUE"""),"14")</f>
        <v>14</v>
      </c>
      <c r="F647" s="3" t="str">
        <f>IFERROR(__xludf.DUMMYFUNCTION("""COMPUTED_VALUE"""),"นพอ.ญาณิศา ตุ้งซี่")</f>
        <v>นพอ.ญาณิศา ตุ้งซี่</v>
      </c>
      <c r="G6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7" s="3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647" s="3" t="str">
        <f>IFERROR(__xludf.DUMMYFUNCTION("""COMPUTED_VALUE"""),"พิพิธภัณฑ์กองทัพอากาศ")</f>
        <v>พิพิธภัณฑ์กองทัพอากาศ</v>
      </c>
      <c r="J647" s="12">
        <f>IFERROR(__xludf.DUMMYFUNCTION("""COMPUTED_VALUE"""),46032.0)</f>
        <v>46032</v>
      </c>
      <c r="K647" s="3" t="str">
        <f>IFERROR(__xludf.DUMMYFUNCTION("""COMPUTED_VALUE"""),"0600-1400")</f>
        <v>0600-1400</v>
      </c>
      <c r="L647" s="3">
        <f>IFERROR(__xludf.DUMMYFUNCTION("""COMPUTED_VALUE"""),8.0)</f>
        <v>8</v>
      </c>
      <c r="M647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647" s="14" t="str">
        <f>IFERROR(__xludf.DUMMYFUNCTION("""COMPUTED_VALUE"""),"https://lh5.googleusercontent.com/d/10WIkK3TM4fml0DfjM_7nA5ZtKV6QMu2M")</f>
        <v>https://lh5.googleusercontent.com/d/10WIkK3TM4fml0DfjM_7nA5ZtKV6QMu2M</v>
      </c>
      <c r="O647" s="14" t="str">
        <f>IFERROR(__xludf.DUMMYFUNCTION("""COMPUTED_VALUE"""),"https://drive.google.com/file/d/1K3k-yJvjokld6-kb5HqRoqn7oYvFHvpX/view?usp=drivesdk")</f>
        <v>https://drive.google.com/file/d/1K3k-yJvjokld6-kb5HqRoqn7oYvFHvpX/view?usp=drivesdk</v>
      </c>
    </row>
    <row r="648">
      <c r="A648" s="3">
        <f>IFERROR(__xludf.DUMMYFUNCTION("""COMPUTED_VALUE"""),3041.0)</f>
        <v>3041</v>
      </c>
      <c r="B648" s="11">
        <f>IFERROR(__xludf.DUMMYFUNCTION("""COMPUTED_VALUE"""),46178.40017583333)</f>
        <v>46178.40018</v>
      </c>
      <c r="C648" s="3" t="str">
        <f>IFERROR(__xludf.DUMMYFUNCTION("""COMPUTED_VALUE"""),"ชั้นปีที่ 2")</f>
        <v>ชั้นปีที่ 2</v>
      </c>
      <c r="D648" s="3" t="str">
        <f>IFERROR(__xludf.DUMMYFUNCTION("""COMPUTED_VALUE"""),"6703873")</f>
        <v>6703873</v>
      </c>
      <c r="E648" s="3" t="str">
        <f>IFERROR(__xludf.DUMMYFUNCTION("""COMPUTED_VALUE"""),"53")</f>
        <v>53</v>
      </c>
      <c r="F648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64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48" s="3" t="str">
        <f>IFERROR(__xludf.DUMMYFUNCTION("""COMPUTED_VALUE"""),"บริจาคโลหิต")</f>
        <v>บริจาคโลหิต</v>
      </c>
      <c r="I648" s="3" t="str">
        <f>IFERROR(__xludf.DUMMYFUNCTION("""COMPUTED_VALUE"""),"ภาคบริการโลหิตแห่งชาติที่2 ")</f>
        <v>ภาคบริการโลหิตแห่งชาติที่2 </v>
      </c>
      <c r="J648" s="12">
        <f>IFERROR(__xludf.DUMMYFUNCTION("""COMPUTED_VALUE"""),46074.0)</f>
        <v>46074</v>
      </c>
      <c r="K648" s="3" t="str">
        <f>IFERROR(__xludf.DUMMYFUNCTION("""COMPUTED_VALUE"""),"0900-1200")</f>
        <v>0900-1200</v>
      </c>
      <c r="L648" s="3">
        <f>IFERROR(__xludf.DUMMYFUNCTION("""COMPUTED_VALUE"""),8.0)</f>
        <v>8</v>
      </c>
      <c r="M648" s="3" t="str">
        <f>IFERROR(__xludf.DUMMYFUNCTION("""COMPUTED_VALUE"""),"ร.อ.นิติกร  อักษรนิติ")</f>
        <v>ร.อ.นิติกร  อักษรนิติ</v>
      </c>
      <c r="N648" s="14" t="str">
        <f>IFERROR(__xludf.DUMMYFUNCTION("""COMPUTED_VALUE"""),"https://lh5.googleusercontent.com/d/1Ln92b8ygnseDWPYCi36nYeVpKJULH4bQ")</f>
        <v>https://lh5.googleusercontent.com/d/1Ln92b8ygnseDWPYCi36nYeVpKJULH4bQ</v>
      </c>
      <c r="O648" s="14" t="str">
        <f>IFERROR(__xludf.DUMMYFUNCTION("""COMPUTED_VALUE"""),"https://drive.google.com/file/d/14sePWM6wozk5YYom_0U03oafvu3mTNNi/view?usp=drivesdk")</f>
        <v>https://drive.google.com/file/d/14sePWM6wozk5YYom_0U03oafvu3mTNNi/view?usp=drivesdk</v>
      </c>
    </row>
    <row r="649">
      <c r="A649" s="3">
        <f>IFERROR(__xludf.DUMMYFUNCTION("""COMPUTED_VALUE"""),3042.0)</f>
        <v>3042</v>
      </c>
      <c r="B649" s="11">
        <f>IFERROR(__xludf.DUMMYFUNCTION("""COMPUTED_VALUE"""),46178.401387303245)</f>
        <v>46178.40139</v>
      </c>
      <c r="C649" s="3" t="str">
        <f>IFERROR(__xludf.DUMMYFUNCTION("""COMPUTED_VALUE"""),"ชั้นปีที่ 2")</f>
        <v>ชั้นปีที่ 2</v>
      </c>
      <c r="D649" s="3" t="str">
        <f>IFERROR(__xludf.DUMMYFUNCTION("""COMPUTED_VALUE"""),"6703865")</f>
        <v>6703865</v>
      </c>
      <c r="E649" s="3" t="str">
        <f>IFERROR(__xludf.DUMMYFUNCTION("""COMPUTED_VALUE"""),"46")</f>
        <v>46</v>
      </c>
      <c r="F649" s="3" t="str">
        <f>IFERROR(__xludf.DUMMYFUNCTION("""COMPUTED_VALUE"""),"นพอ.โรจน์ศักดิ์ ทินนา")</f>
        <v>นพอ.โรจน์ศักดิ์ ทินนา</v>
      </c>
      <c r="G6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49" s="3" t="str">
        <f>IFERROR(__xludf.DUMMYFUNCTION("""COMPUTED_VALUE"""),"ค่ายเยาวชนพัฒนา ครั้งที่ 215")</f>
        <v>ค่ายเยาวชนพัฒนา ครั้งที่ 215</v>
      </c>
      <c r="I649" s="3" t="str">
        <f>IFERROR(__xludf.DUMMYFUNCTION("""COMPUTED_VALUE"""),"วัดสามบัณฑิต จ.อยุธยา")</f>
        <v>วัดสามบัณฑิต จ.อยุธยา</v>
      </c>
      <c r="J649" s="12">
        <f>IFERROR(__xludf.DUMMYFUNCTION("""COMPUTED_VALUE"""),46136.0)</f>
        <v>46136</v>
      </c>
      <c r="K649" s="3" t="str">
        <f>IFERROR(__xludf.DUMMYFUNCTION("""COMPUTED_VALUE"""),"1600-2400")</f>
        <v>1600-2400</v>
      </c>
      <c r="L649" s="3">
        <f>IFERROR(__xludf.DUMMYFUNCTION("""COMPUTED_VALUE"""),8.0)</f>
        <v>8</v>
      </c>
      <c r="M64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49" s="14" t="str">
        <f>IFERROR(__xludf.DUMMYFUNCTION("""COMPUTED_VALUE"""),"https://lh5.googleusercontent.com/d/1GAv5QX69wfI2ZbFgQISV-7c-4eSOpEWb")</f>
        <v>https://lh5.googleusercontent.com/d/1GAv5QX69wfI2ZbFgQISV-7c-4eSOpEWb</v>
      </c>
      <c r="O649" s="14" t="str">
        <f>IFERROR(__xludf.DUMMYFUNCTION("""COMPUTED_VALUE"""),"https://drive.google.com/file/d/162jyqXpywsMcDJ1UMHDVO-nTNd5YyAtx/view?usp=drivesdk")</f>
        <v>https://drive.google.com/file/d/162jyqXpywsMcDJ1UMHDVO-nTNd5YyAtx/view?usp=drivesdk</v>
      </c>
    </row>
    <row r="650">
      <c r="A650" s="3">
        <f>IFERROR(__xludf.DUMMYFUNCTION("""COMPUTED_VALUE"""),3044.0)</f>
        <v>3044</v>
      </c>
      <c r="B650" s="11">
        <f>IFERROR(__xludf.DUMMYFUNCTION("""COMPUTED_VALUE"""),46178.40201991898)</f>
        <v>46178.40202</v>
      </c>
      <c r="C650" s="3" t="str">
        <f>IFERROR(__xludf.DUMMYFUNCTION("""COMPUTED_VALUE"""),"ชั้นปีที่ 2")</f>
        <v>ชั้นปีที่ 2</v>
      </c>
      <c r="D650" s="3" t="str">
        <f>IFERROR(__xludf.DUMMYFUNCTION("""COMPUTED_VALUE"""),"6703823")</f>
        <v>6703823</v>
      </c>
      <c r="E650" s="3" t="str">
        <f>IFERROR(__xludf.DUMMYFUNCTION("""COMPUTED_VALUE"""),"6")</f>
        <v>6</v>
      </c>
      <c r="F650" s="3" t="str">
        <f>IFERROR(__xludf.DUMMYFUNCTION("""COMPUTED_VALUE"""),"นพอ.ข้าวขวัญ ดุจธรรมสาร")</f>
        <v>นพอ.ข้าวขวัญ ดุจธรรมสาร</v>
      </c>
      <c r="G6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0" s="3" t="str">
        <f>IFERROR(__xludf.DUMMYFUNCTION("""COMPUTED_VALUE"""),"ค่ายเยาวชนพัฒนา ครั้งที่ 215")</f>
        <v>ค่ายเยาวชนพัฒนา ครั้งที่ 215</v>
      </c>
      <c r="I650" s="3" t="str">
        <f>IFERROR(__xludf.DUMMYFUNCTION("""COMPUTED_VALUE"""),"วัดสามบัณฑิต จ.อยุธยา")</f>
        <v>วัดสามบัณฑิต จ.อยุธยา</v>
      </c>
      <c r="J650" s="12">
        <f>IFERROR(__xludf.DUMMYFUNCTION("""COMPUTED_VALUE"""),46138.0)</f>
        <v>46138</v>
      </c>
      <c r="K650" s="3" t="str">
        <f>IFERROR(__xludf.DUMMYFUNCTION("""COMPUTED_VALUE"""),"0800-1600")</f>
        <v>0800-1600</v>
      </c>
      <c r="L650" s="3">
        <f>IFERROR(__xludf.DUMMYFUNCTION("""COMPUTED_VALUE"""),8.0)</f>
        <v>8</v>
      </c>
      <c r="M65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0" s="14" t="str">
        <f>IFERROR(__xludf.DUMMYFUNCTION("""COMPUTED_VALUE"""),"https://lh5.googleusercontent.com/d/1IzApc-ND_iP6rdx9fIjcu_UZSrA4eSi-")</f>
        <v>https://lh5.googleusercontent.com/d/1IzApc-ND_iP6rdx9fIjcu_UZSrA4eSi-</v>
      </c>
      <c r="O650" s="14" t="str">
        <f>IFERROR(__xludf.DUMMYFUNCTION("""COMPUTED_VALUE"""),"https://drive.google.com/file/d/1aMQo2iN2AvTSiI81elOSn3BmlUY1jlvE/view?usp=drivesdk")</f>
        <v>https://drive.google.com/file/d/1aMQo2iN2AvTSiI81elOSn3BmlUY1jlvE/view?usp=drivesdk</v>
      </c>
    </row>
    <row r="651">
      <c r="A651" s="3">
        <f>IFERROR(__xludf.DUMMYFUNCTION("""COMPUTED_VALUE"""),3045.0)</f>
        <v>3045</v>
      </c>
      <c r="B651" s="11">
        <f>IFERROR(__xludf.DUMMYFUNCTION("""COMPUTED_VALUE"""),46178.402775891205)</f>
        <v>46178.40278</v>
      </c>
      <c r="C651" s="3" t="str">
        <f>IFERROR(__xludf.DUMMYFUNCTION("""COMPUTED_VALUE"""),"ชั้นปีที่ 2")</f>
        <v>ชั้นปีที่ 2</v>
      </c>
      <c r="D651" s="3" t="str">
        <f>IFERROR(__xludf.DUMMYFUNCTION("""COMPUTED_VALUE"""),"6703865")</f>
        <v>6703865</v>
      </c>
      <c r="E651" s="3" t="str">
        <f>IFERROR(__xludf.DUMMYFUNCTION("""COMPUTED_VALUE"""),"46")</f>
        <v>46</v>
      </c>
      <c r="F651" s="3" t="str">
        <f>IFERROR(__xludf.DUMMYFUNCTION("""COMPUTED_VALUE"""),"นพอ.โรจน์ศักดิ์ ทินนา")</f>
        <v>นพอ.โรจน์ศักดิ์ ทินนา</v>
      </c>
      <c r="G6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1" s="3" t="str">
        <f>IFERROR(__xludf.DUMMYFUNCTION("""COMPUTED_VALUE"""),"ค่ายเยาวชนพัฒนา ครั้งที่ 215")</f>
        <v>ค่ายเยาวชนพัฒนา ครั้งที่ 215</v>
      </c>
      <c r="I651" s="3" t="str">
        <f>IFERROR(__xludf.DUMMYFUNCTION("""COMPUTED_VALUE"""),"วัดสามบัณฑิต จ.อยุธยา")</f>
        <v>วัดสามบัณฑิต จ.อยุธยา</v>
      </c>
      <c r="J651" s="12">
        <f>IFERROR(__xludf.DUMMYFUNCTION("""COMPUTED_VALUE"""),46137.0)</f>
        <v>46137</v>
      </c>
      <c r="K651" s="3" t="str">
        <f>IFERROR(__xludf.DUMMYFUNCTION("""COMPUTED_VALUE"""),"0800-1600")</f>
        <v>0800-1600</v>
      </c>
      <c r="L651" s="3">
        <f>IFERROR(__xludf.DUMMYFUNCTION("""COMPUTED_VALUE"""),8.0)</f>
        <v>8</v>
      </c>
      <c r="M65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1" s="14" t="str">
        <f>IFERROR(__xludf.DUMMYFUNCTION("""COMPUTED_VALUE"""),"https://lh5.googleusercontent.com/d/1IkS5iND_24gAfMZnje9nFjZmi9Roqflw")</f>
        <v>https://lh5.googleusercontent.com/d/1IkS5iND_24gAfMZnje9nFjZmi9Roqflw</v>
      </c>
      <c r="O651" s="14" t="str">
        <f>IFERROR(__xludf.DUMMYFUNCTION("""COMPUTED_VALUE"""),"https://drive.google.com/file/d/1sqXim6yZt24e9jDi21rO1_apIDIcRUWY/view?usp=drivesdk")</f>
        <v>https://drive.google.com/file/d/1sqXim6yZt24e9jDi21rO1_apIDIcRUWY/view?usp=drivesdk</v>
      </c>
    </row>
    <row r="652">
      <c r="A652" s="3">
        <f>IFERROR(__xludf.DUMMYFUNCTION("""COMPUTED_VALUE"""),3046.0)</f>
        <v>3046</v>
      </c>
      <c r="B652" s="11">
        <f>IFERROR(__xludf.DUMMYFUNCTION("""COMPUTED_VALUE"""),46178.403727372686)</f>
        <v>46178.40373</v>
      </c>
      <c r="C652" s="3" t="str">
        <f>IFERROR(__xludf.DUMMYFUNCTION("""COMPUTED_VALUE"""),"ชั้นปีที่ 2")</f>
        <v>ชั้นปีที่ 2</v>
      </c>
      <c r="D652" s="3" t="str">
        <f>IFERROR(__xludf.DUMMYFUNCTION("""COMPUTED_VALUE"""),"6703865")</f>
        <v>6703865</v>
      </c>
      <c r="E652" s="3" t="str">
        <f>IFERROR(__xludf.DUMMYFUNCTION("""COMPUTED_VALUE"""),"46")</f>
        <v>46</v>
      </c>
      <c r="F652" s="3" t="str">
        <f>IFERROR(__xludf.DUMMYFUNCTION("""COMPUTED_VALUE"""),"นพอ.โรจน์ศักดิ์ ทินนา")</f>
        <v>นพอ.โรจน์ศักดิ์ ทินนา</v>
      </c>
      <c r="G6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2" s="3" t="str">
        <f>IFERROR(__xludf.DUMMYFUNCTION("""COMPUTED_VALUE"""),"ค่ายเยาวชนพัฒนา ครั้งที่ 215")</f>
        <v>ค่ายเยาวชนพัฒนา ครั้งที่ 215</v>
      </c>
      <c r="I652" s="3" t="str">
        <f>IFERROR(__xludf.DUMMYFUNCTION("""COMPUTED_VALUE"""),"วัดสามบัณฑิต จ.อยุธยา")</f>
        <v>วัดสามบัณฑิต จ.อยุธยา</v>
      </c>
      <c r="J652" s="12">
        <f>IFERROR(__xludf.DUMMYFUNCTION("""COMPUTED_VALUE"""),46138.0)</f>
        <v>46138</v>
      </c>
      <c r="K652" s="3" t="str">
        <f>IFERROR(__xludf.DUMMYFUNCTION("""COMPUTED_VALUE"""),"0800-1600")</f>
        <v>0800-1600</v>
      </c>
      <c r="L652" s="3">
        <f>IFERROR(__xludf.DUMMYFUNCTION("""COMPUTED_VALUE"""),8.0)</f>
        <v>8</v>
      </c>
      <c r="M65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2" s="14" t="str">
        <f>IFERROR(__xludf.DUMMYFUNCTION("""COMPUTED_VALUE"""),"https://lh5.googleusercontent.com/d/1Hxkp3EaqU0P4TeLl8U6WsSAb68Wh9b_i")</f>
        <v>https://lh5.googleusercontent.com/d/1Hxkp3EaqU0P4TeLl8U6WsSAb68Wh9b_i</v>
      </c>
      <c r="O652" s="14" t="str">
        <f>IFERROR(__xludf.DUMMYFUNCTION("""COMPUTED_VALUE"""),"https://drive.google.com/file/d/184D-xSlTkUz3zzJTE6KHJzl2m1CejTan/view?usp=drivesdk")</f>
        <v>https://drive.google.com/file/d/184D-xSlTkUz3zzJTE6KHJzl2m1CejTan/view?usp=drivesdk</v>
      </c>
    </row>
    <row r="653">
      <c r="A653" s="3">
        <f>IFERROR(__xludf.DUMMYFUNCTION("""COMPUTED_VALUE"""),3047.0)</f>
        <v>3047</v>
      </c>
      <c r="B653" s="11">
        <f>IFERROR(__xludf.DUMMYFUNCTION("""COMPUTED_VALUE"""),46178.40613765046)</f>
        <v>46178.40614</v>
      </c>
      <c r="C653" s="3" t="str">
        <f>IFERROR(__xludf.DUMMYFUNCTION("""COMPUTED_VALUE"""),"ชั้นปีที่ 2")</f>
        <v>ชั้นปีที่ 2</v>
      </c>
      <c r="D653" s="3" t="str">
        <f>IFERROR(__xludf.DUMMYFUNCTION("""COMPUTED_VALUE"""),"6703865")</f>
        <v>6703865</v>
      </c>
      <c r="E653" s="3" t="str">
        <f>IFERROR(__xludf.DUMMYFUNCTION("""COMPUTED_VALUE"""),"46")</f>
        <v>46</v>
      </c>
      <c r="F653" s="3" t="str">
        <f>IFERROR(__xludf.DUMMYFUNCTION("""COMPUTED_VALUE"""),"นพอ.โรจน์ศักดิ์ ทินนา")</f>
        <v>นพอ.โรจน์ศักดิ์ ทินนา</v>
      </c>
      <c r="G6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3" s="3" t="str">
        <f>IFERROR(__xludf.DUMMYFUNCTION("""COMPUTED_VALUE"""),"พิธีเปิด-ปิดกีฬาภายในกองทัพ  อากาศ")</f>
        <v>พิธีเปิด-ปิดกีฬาภายในกองทัพ  อากาศ</v>
      </c>
      <c r="I653" s="3" t="str">
        <f>IFERROR(__xludf.DUMMYFUNCTION("""COMPUTED_VALUE"""),"สนามกีฬาธูปะเตมีย์")</f>
        <v>สนามกีฬาธูปะเตมีย์</v>
      </c>
      <c r="J653" s="12">
        <f>IFERROR(__xludf.DUMMYFUNCTION("""COMPUTED_VALUE"""),46078.0)</f>
        <v>46078</v>
      </c>
      <c r="K653" s="3" t="str">
        <f>IFERROR(__xludf.DUMMYFUNCTION("""COMPUTED_VALUE"""),"1200-2000")</f>
        <v>1200-2000</v>
      </c>
      <c r="L653" s="3">
        <f>IFERROR(__xludf.DUMMYFUNCTION("""COMPUTED_VALUE"""),8.0)</f>
        <v>8</v>
      </c>
      <c r="M65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3" s="14" t="str">
        <f>IFERROR(__xludf.DUMMYFUNCTION("""COMPUTED_VALUE"""),"https://lh5.googleusercontent.com/d/1dYJy-eH_sWHj0YaOMmQgXOCEyqlIK0ec")</f>
        <v>https://lh5.googleusercontent.com/d/1dYJy-eH_sWHj0YaOMmQgXOCEyqlIK0ec</v>
      </c>
      <c r="O653" s="14" t="str">
        <f>IFERROR(__xludf.DUMMYFUNCTION("""COMPUTED_VALUE"""),"https://drive.google.com/file/d/19URJsgayhjzQ-wI6JGb4JtC3u3qDFbHj/view?usp=drivesdk")</f>
        <v>https://drive.google.com/file/d/19URJsgayhjzQ-wI6JGb4JtC3u3qDFbHj/view?usp=drivesdk</v>
      </c>
    </row>
    <row r="654">
      <c r="A654" s="3">
        <f>IFERROR(__xludf.DUMMYFUNCTION("""COMPUTED_VALUE"""),3048.0)</f>
        <v>3048</v>
      </c>
      <c r="B654" s="11">
        <f>IFERROR(__xludf.DUMMYFUNCTION("""COMPUTED_VALUE"""),46178.40758575231)</f>
        <v>46178.40759</v>
      </c>
      <c r="C654" s="3" t="str">
        <f>IFERROR(__xludf.DUMMYFUNCTION("""COMPUTED_VALUE"""),"ชั้นปีที่ 2")</f>
        <v>ชั้นปีที่ 2</v>
      </c>
      <c r="D654" s="3" t="str">
        <f>IFERROR(__xludf.DUMMYFUNCTION("""COMPUTED_VALUE"""),"6703834")</f>
        <v>6703834</v>
      </c>
      <c r="E654" s="3" t="str">
        <f>IFERROR(__xludf.DUMMYFUNCTION("""COMPUTED_VALUE"""),"17")</f>
        <v>17</v>
      </c>
      <c r="F654" s="3" t="str">
        <f>IFERROR(__xludf.DUMMYFUNCTION("""COMPUTED_VALUE"""),"นพอ.ฑิตถากร แน่นอุดร")</f>
        <v>นพอ.ฑิตถากร แน่นอุดร</v>
      </c>
      <c r="G6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4" s="3" t="str">
        <f>IFERROR(__xludf.DUMMYFUNCTION("""COMPUTED_VALUE"""),"ค่ายเยาวชนพัฒนา ครั้งที่ 215")</f>
        <v>ค่ายเยาวชนพัฒนา ครั้งที่ 215</v>
      </c>
      <c r="I654" s="3" t="str">
        <f>IFERROR(__xludf.DUMMYFUNCTION("""COMPUTED_VALUE"""),"วัดสามบัณฑิต จ.อยุธยา")</f>
        <v>วัดสามบัณฑิต จ.อยุธยา</v>
      </c>
      <c r="J654" s="12">
        <f>IFERROR(__xludf.DUMMYFUNCTION("""COMPUTED_VALUE"""),46138.0)</f>
        <v>46138</v>
      </c>
      <c r="K654" s="3" t="str">
        <f>IFERROR(__xludf.DUMMYFUNCTION("""COMPUTED_VALUE"""),"0800-1600")</f>
        <v>0800-1600</v>
      </c>
      <c r="L654" s="3">
        <f>IFERROR(__xludf.DUMMYFUNCTION("""COMPUTED_VALUE"""),8.0)</f>
        <v>8</v>
      </c>
      <c r="M65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4" s="14" t="str">
        <f>IFERROR(__xludf.DUMMYFUNCTION("""COMPUTED_VALUE"""),"https://lh5.googleusercontent.com/d/1i-JM4YzVNnr0gF5VI5mJXDgsmnQ5NWnU")</f>
        <v>https://lh5.googleusercontent.com/d/1i-JM4YzVNnr0gF5VI5mJXDgsmnQ5NWnU</v>
      </c>
      <c r="O654" s="14" t="str">
        <f>IFERROR(__xludf.DUMMYFUNCTION("""COMPUTED_VALUE"""),"https://drive.google.com/file/d/1G1eOA708SPG2Ttg90H-eBQJOOeU6yn1K/view?usp=drivesdk")</f>
        <v>https://drive.google.com/file/d/1G1eOA708SPG2Ttg90H-eBQJOOeU6yn1K/view?usp=drivesdk</v>
      </c>
    </row>
    <row r="655">
      <c r="A655" s="3">
        <f>IFERROR(__xludf.DUMMYFUNCTION("""COMPUTED_VALUE"""),3051.0)</f>
        <v>3051</v>
      </c>
      <c r="B655" s="11">
        <f>IFERROR(__xludf.DUMMYFUNCTION("""COMPUTED_VALUE"""),46178.41286718749)</f>
        <v>46178.41287</v>
      </c>
      <c r="C655" s="3" t="str">
        <f>IFERROR(__xludf.DUMMYFUNCTION("""COMPUTED_VALUE"""),"ชั้นปีที่ 2")</f>
        <v>ชั้นปีที่ 2</v>
      </c>
      <c r="D655" s="3" t="str">
        <f>IFERROR(__xludf.DUMMYFUNCTION("""COMPUTED_VALUE"""),"6703820")</f>
        <v>6703820</v>
      </c>
      <c r="E655" s="3" t="str">
        <f>IFERROR(__xludf.DUMMYFUNCTION("""COMPUTED_VALUE"""),"3")</f>
        <v>3</v>
      </c>
      <c r="F655" s="3" t="str">
        <f>IFERROR(__xludf.DUMMYFUNCTION("""COMPUTED_VALUE"""),"นพอ.กฤตพร พิทักษ์")</f>
        <v>นพอ.กฤตพร พิทักษ์</v>
      </c>
      <c r="G65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5" s="3" t="str">
        <f>IFERROR(__xludf.DUMMYFUNCTION("""COMPUTED_VALUE"""),"บริจาคโลหิต")</f>
        <v>บริจาคโลหิต</v>
      </c>
      <c r="I655" s="3" t="str">
        <f>IFERROR(__xludf.DUMMYFUNCTION("""COMPUTED_VALUE"""),"โรงพยาบาลภูมิพลอดุลยเดช")</f>
        <v>โรงพยาบาลภูมิพลอดุลยเดช</v>
      </c>
      <c r="J655" s="12">
        <f>IFERROR(__xludf.DUMMYFUNCTION("""COMPUTED_VALUE"""),46177.0)</f>
        <v>46177</v>
      </c>
      <c r="K655" s="3" t="str">
        <f>IFERROR(__xludf.DUMMYFUNCTION("""COMPUTED_VALUE"""),"1330-1430")</f>
        <v>1330-1430</v>
      </c>
      <c r="L655" s="3">
        <f>IFERROR(__xludf.DUMMYFUNCTION("""COMPUTED_VALUE"""),8.0)</f>
        <v>8</v>
      </c>
      <c r="M655" s="3" t="str">
        <f>IFERROR(__xludf.DUMMYFUNCTION("""COMPUTED_VALUE"""),"ร.ท.เรวัติ วัชรสิทธิ์")</f>
        <v>ร.ท.เรวัติ วัชรสิทธิ์</v>
      </c>
      <c r="N655" s="14" t="str">
        <f>IFERROR(__xludf.DUMMYFUNCTION("""COMPUTED_VALUE"""),"https://lh5.googleusercontent.com/d/1HJgbKrgZBJZXwyBQzkGNoWlsr7rnCW_J")</f>
        <v>https://lh5.googleusercontent.com/d/1HJgbKrgZBJZXwyBQzkGNoWlsr7rnCW_J</v>
      </c>
      <c r="O655" s="14" t="str">
        <f>IFERROR(__xludf.DUMMYFUNCTION("""COMPUTED_VALUE"""),"https://drive.google.com/file/d/1QTIw5aRRp3irJIwU2HpV1Vv-fWp_aru-/view?usp=drivesdk")</f>
        <v>https://drive.google.com/file/d/1QTIw5aRRp3irJIwU2HpV1Vv-fWp_aru-/view?usp=drivesdk</v>
      </c>
    </row>
    <row r="656">
      <c r="A656" s="3">
        <f>IFERROR(__xludf.DUMMYFUNCTION("""COMPUTED_VALUE"""),3054.0)</f>
        <v>3054</v>
      </c>
      <c r="B656" s="11">
        <f>IFERROR(__xludf.DUMMYFUNCTION("""COMPUTED_VALUE"""),46178.41768731481)</f>
        <v>46178.41769</v>
      </c>
      <c r="C656" s="3" t="str">
        <f>IFERROR(__xludf.DUMMYFUNCTION("""COMPUTED_VALUE"""),"ชั้นปีที่ 2")</f>
        <v>ชั้นปีที่ 2</v>
      </c>
      <c r="D656" s="3" t="str">
        <f>IFERROR(__xludf.DUMMYFUNCTION("""COMPUTED_VALUE"""),"6703877")</f>
        <v>6703877</v>
      </c>
      <c r="E656" s="3" t="str">
        <f>IFERROR(__xludf.DUMMYFUNCTION("""COMPUTED_VALUE"""),"57")</f>
        <v>57</v>
      </c>
      <c r="F656" s="3" t="str">
        <f>IFERROR(__xludf.DUMMYFUNCTION("""COMPUTED_VALUE"""),"นพอ.สุชารัตน์ นิวงษา")</f>
        <v>นพอ.สุชารัตน์ นิวงษา</v>
      </c>
      <c r="G65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6" s="3" t="str">
        <f>IFERROR(__xludf.DUMMYFUNCTION("""COMPUTED_VALUE"""),"บริจาคโลหิต")</f>
        <v>บริจาคโลหิต</v>
      </c>
      <c r="I656" s="3" t="str">
        <f>IFERROR(__xludf.DUMMYFUNCTION("""COMPUTED_VALUE"""),"รพ.ภูมิพล")</f>
        <v>รพ.ภูมิพล</v>
      </c>
      <c r="J656" s="12">
        <f>IFERROR(__xludf.DUMMYFUNCTION("""COMPUTED_VALUE"""),46177.0)</f>
        <v>46177</v>
      </c>
      <c r="K656" s="3" t="str">
        <f>IFERROR(__xludf.DUMMYFUNCTION("""COMPUTED_VALUE"""),"1300-1500")</f>
        <v>1300-1500</v>
      </c>
      <c r="L656" s="3">
        <f>IFERROR(__xludf.DUMMYFUNCTION("""COMPUTED_VALUE"""),8.0)</f>
        <v>8</v>
      </c>
      <c r="M656" s="3" t="str">
        <f>IFERROR(__xludf.DUMMYFUNCTION("""COMPUTED_VALUE"""),"ร.ท.เรวัติ วัชรสิทธิ์")</f>
        <v>ร.ท.เรวัติ วัชรสิทธิ์</v>
      </c>
      <c r="N656" s="14" t="str">
        <f>IFERROR(__xludf.DUMMYFUNCTION("""COMPUTED_VALUE"""),"https://lh5.googleusercontent.com/d/1Dw0fkjWG9M5tBIh7OU-MI2rzS7kI3_6j")</f>
        <v>https://lh5.googleusercontent.com/d/1Dw0fkjWG9M5tBIh7OU-MI2rzS7kI3_6j</v>
      </c>
      <c r="O656" s="14" t="str">
        <f>IFERROR(__xludf.DUMMYFUNCTION("""COMPUTED_VALUE"""),"https://drive.google.com/file/d/1ZhL11DgGGAyXHkO_dvd1Tm14fzSD9wnJ/view?usp=drivesdk")</f>
        <v>https://drive.google.com/file/d/1ZhL11DgGGAyXHkO_dvd1Tm14fzSD9wnJ/view?usp=drivesdk</v>
      </c>
    </row>
    <row r="657">
      <c r="A657" s="3">
        <f>IFERROR(__xludf.DUMMYFUNCTION("""COMPUTED_VALUE"""),3055.0)</f>
        <v>3055</v>
      </c>
      <c r="B657" s="11">
        <f>IFERROR(__xludf.DUMMYFUNCTION("""COMPUTED_VALUE"""),46178.41981925926)</f>
        <v>46178.41982</v>
      </c>
      <c r="C657" s="3" t="str">
        <f>IFERROR(__xludf.DUMMYFUNCTION("""COMPUTED_VALUE"""),"ชั้นปีที่ 2")</f>
        <v>ชั้นปีที่ 2</v>
      </c>
      <c r="D657" s="3" t="str">
        <f>IFERROR(__xludf.DUMMYFUNCTION("""COMPUTED_VALUE"""),"6703824")</f>
        <v>6703824</v>
      </c>
      <c r="E657" s="3" t="str">
        <f>IFERROR(__xludf.DUMMYFUNCTION("""COMPUTED_VALUE"""),"7")</f>
        <v>7</v>
      </c>
      <c r="F657" s="3" t="str">
        <f>IFERROR(__xludf.DUMMYFUNCTION("""COMPUTED_VALUE"""),"นพอ.จินต์จุฑา จงประเสริฐ")</f>
        <v>นพอ.จินต์จุฑา จงประเสริฐ</v>
      </c>
      <c r="G65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7" s="3" t="str">
        <f>IFERROR(__xludf.DUMMYFUNCTION("""COMPUTED_VALUE"""),"บริจาคโลหิต")</f>
        <v>บริจาคโลหิต</v>
      </c>
      <c r="I657" s="3" t="str">
        <f>IFERROR(__xludf.DUMMYFUNCTION("""COMPUTED_VALUE"""),"กองบริการโลหิต รพ.ภูมิพล")</f>
        <v>กองบริการโลหิต รพ.ภูมิพล</v>
      </c>
      <c r="J657" s="12">
        <f>IFERROR(__xludf.DUMMYFUNCTION("""COMPUTED_VALUE"""),46177.0)</f>
        <v>46177</v>
      </c>
      <c r="K657" s="3" t="str">
        <f>IFERROR(__xludf.DUMMYFUNCTION("""COMPUTED_VALUE"""),"1330")</f>
        <v>1330</v>
      </c>
      <c r="L657" s="3">
        <f>IFERROR(__xludf.DUMMYFUNCTION("""COMPUTED_VALUE"""),8.0)</f>
        <v>8</v>
      </c>
      <c r="M657" s="3" t="str">
        <f>IFERROR(__xludf.DUMMYFUNCTION("""COMPUTED_VALUE"""),"ร.ท.เรวัติ วัชรสิทธิ์")</f>
        <v>ร.ท.เรวัติ วัชรสิทธิ์</v>
      </c>
      <c r="N657" s="14" t="str">
        <f>IFERROR(__xludf.DUMMYFUNCTION("""COMPUTED_VALUE"""),"https://lh5.googleusercontent.com/d/1AwyFUAifOqFc1IBcyOfONL06xsU2HW69")</f>
        <v>https://lh5.googleusercontent.com/d/1AwyFUAifOqFc1IBcyOfONL06xsU2HW69</v>
      </c>
      <c r="O657" s="14" t="str">
        <f>IFERROR(__xludf.DUMMYFUNCTION("""COMPUTED_VALUE"""),"https://drive.google.com/file/d/1EE9eqCErYpYI_pBMzlvP8l--99lfcKk6/view?usp=drivesdk")</f>
        <v>https://drive.google.com/file/d/1EE9eqCErYpYI_pBMzlvP8l--99lfcKk6/view?usp=drivesdk</v>
      </c>
    </row>
    <row r="658">
      <c r="A658" s="3">
        <f>IFERROR(__xludf.DUMMYFUNCTION("""COMPUTED_VALUE"""),3056.0)</f>
        <v>3056</v>
      </c>
      <c r="B658" s="11">
        <f>IFERROR(__xludf.DUMMYFUNCTION("""COMPUTED_VALUE"""),46178.41999898149)</f>
        <v>46178.42</v>
      </c>
      <c r="C658" s="3" t="str">
        <f>IFERROR(__xludf.DUMMYFUNCTION("""COMPUTED_VALUE"""),"ชั้นปีที่ 2")</f>
        <v>ชั้นปีที่ 2</v>
      </c>
      <c r="D658" s="3" t="str">
        <f>IFERROR(__xludf.DUMMYFUNCTION("""COMPUTED_VALUE"""),"6703880")</f>
        <v>6703880</v>
      </c>
      <c r="E658" s="3" t="str">
        <f>IFERROR(__xludf.DUMMYFUNCTION("""COMPUTED_VALUE"""),"60")</f>
        <v>60</v>
      </c>
      <c r="F658" s="3" t="str">
        <f>IFERROR(__xludf.DUMMYFUNCTION("""COMPUTED_VALUE"""),"นพอ.อริสรา ศรีโพธิ์")</f>
        <v>นพอ.อริสรา ศรีโพธิ์</v>
      </c>
      <c r="G65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58" s="3" t="str">
        <f>IFERROR(__xludf.DUMMYFUNCTION("""COMPUTED_VALUE"""),"บริจาคโลหิต")</f>
        <v>บริจาคโลหิต</v>
      </c>
      <c r="I658" s="3" t="str">
        <f>IFERROR(__xludf.DUMMYFUNCTION("""COMPUTED_VALUE"""),"รพ.ภูมิพลอดุลยเดช")</f>
        <v>รพ.ภูมิพลอดุลยเดช</v>
      </c>
      <c r="J658" s="12">
        <f>IFERROR(__xludf.DUMMYFUNCTION("""COMPUTED_VALUE"""),46175.0)</f>
        <v>46175</v>
      </c>
      <c r="K658" s="3" t="str">
        <f>IFERROR(__xludf.DUMMYFUNCTION("""COMPUTED_VALUE"""),"1400-1500")</f>
        <v>1400-1500</v>
      </c>
      <c r="L658" s="3">
        <f>IFERROR(__xludf.DUMMYFUNCTION("""COMPUTED_VALUE"""),8.0)</f>
        <v>8</v>
      </c>
      <c r="M658" s="3" t="str">
        <f>IFERROR(__xludf.DUMMYFUNCTION("""COMPUTED_VALUE"""),"ร.ท.เรวัติ วัชรสิทธิ์")</f>
        <v>ร.ท.เรวัติ วัชรสิทธิ์</v>
      </c>
      <c r="N658" s="14" t="str">
        <f>IFERROR(__xludf.DUMMYFUNCTION("""COMPUTED_VALUE"""),"https://lh5.googleusercontent.com/d/138LQU3F0GBrah0hsayPy02_wp4UHzZXQ")</f>
        <v>https://lh5.googleusercontent.com/d/138LQU3F0GBrah0hsayPy02_wp4UHzZXQ</v>
      </c>
      <c r="O658" s="14" t="str">
        <f>IFERROR(__xludf.DUMMYFUNCTION("""COMPUTED_VALUE"""),"https://drive.google.com/file/d/1C93-Yv-iyX0G2he4fRxJO2x5XmiAy7C2/view?usp=drivesdk")</f>
        <v>https://drive.google.com/file/d/1C93-Yv-iyX0G2he4fRxJO2x5XmiAy7C2/view?usp=drivesdk</v>
      </c>
    </row>
    <row r="659">
      <c r="A659" s="3">
        <f>IFERROR(__xludf.DUMMYFUNCTION("""COMPUTED_VALUE"""),3057.0)</f>
        <v>3057</v>
      </c>
      <c r="B659" s="11">
        <f>IFERROR(__xludf.DUMMYFUNCTION("""COMPUTED_VALUE"""),46178.42030324074)</f>
        <v>46178.4203</v>
      </c>
      <c r="C659" s="3" t="str">
        <f>IFERROR(__xludf.DUMMYFUNCTION("""COMPUTED_VALUE"""),"ชั้นปีที่ 2")</f>
        <v>ชั้นปีที่ 2</v>
      </c>
      <c r="D659" s="3" t="str">
        <f>IFERROR(__xludf.DUMMYFUNCTION("""COMPUTED_VALUE"""),"6703835")</f>
        <v>6703835</v>
      </c>
      <c r="E659" s="3" t="str">
        <f>IFERROR(__xludf.DUMMYFUNCTION("""COMPUTED_VALUE"""),"18")</f>
        <v>18</v>
      </c>
      <c r="F659" s="3" t="str">
        <f>IFERROR(__xludf.DUMMYFUNCTION("""COMPUTED_VALUE"""),"นพอ.ณัฐณิชา พิทักษ์สันติ")</f>
        <v>นพอ.ณัฐณิชา พิทักษ์สันติ</v>
      </c>
      <c r="G659" s="3" t="str">
        <f>IFERROR(__xludf.DUMMYFUNCTION("""COMPUTED_VALUE"""),"ช่วยเหลืองานภายใน วพอ.")</f>
        <v>ช่วยเหลืองานภายใน วพอ.</v>
      </c>
      <c r="H659" s="3" t="str">
        <f>IFERROR(__xludf.DUMMYFUNCTION("""COMPUTED_VALUE"""),"ทดสอบสมรรถภาพร่างกาย นพอ.69")</f>
        <v>ทดสอบสมรรถภาพร่างกาย นพอ.69</v>
      </c>
      <c r="I659" s="3" t="str">
        <f>IFERROR(__xludf.DUMMYFUNCTION("""COMPUTED_VALUE"""),"สนามกีฬาจันทรุเบกษา")</f>
        <v>สนามกีฬาจันทรุเบกษา</v>
      </c>
      <c r="J659" s="12">
        <f>IFERROR(__xludf.DUMMYFUNCTION("""COMPUTED_VALUE"""),46147.0)</f>
        <v>46147</v>
      </c>
      <c r="K659" s="3" t="str">
        <f>IFERROR(__xludf.DUMMYFUNCTION("""COMPUTED_VALUE"""),"1600-1900")</f>
        <v>1600-1900</v>
      </c>
      <c r="L659" s="3">
        <f>IFERROR(__xludf.DUMMYFUNCTION("""COMPUTED_VALUE"""),3.0)</f>
        <v>3</v>
      </c>
      <c r="M659" s="3" t="str">
        <f>IFERROR(__xludf.DUMMYFUNCTION("""COMPUTED_VALUE"""),"น.ต.ศักชัย บุญประสิทธิ์")</f>
        <v>น.ต.ศักชัย บุญประสิทธิ์</v>
      </c>
      <c r="N659" s="14" t="str">
        <f>IFERROR(__xludf.DUMMYFUNCTION("""COMPUTED_VALUE"""),"https://lh5.googleusercontent.com/d/1Cbxpi5T9N4PxehOU_hnh5jpeDvS6eNLd")</f>
        <v>https://lh5.googleusercontent.com/d/1Cbxpi5T9N4PxehOU_hnh5jpeDvS6eNLd</v>
      </c>
      <c r="O659" s="14" t="str">
        <f>IFERROR(__xludf.DUMMYFUNCTION("""COMPUTED_VALUE"""),"https://drive.google.com/file/d/1W5FXGkvuKCsqozNlIRxh9s1Csg_y-g1W/view?usp=drivesdk")</f>
        <v>https://drive.google.com/file/d/1W5FXGkvuKCsqozNlIRxh9s1Csg_y-g1W/view?usp=drivesdk</v>
      </c>
    </row>
    <row r="660">
      <c r="A660" s="3">
        <f>IFERROR(__xludf.DUMMYFUNCTION("""COMPUTED_VALUE"""),3059.0)</f>
        <v>3059</v>
      </c>
      <c r="B660" s="11">
        <f>IFERROR(__xludf.DUMMYFUNCTION("""COMPUTED_VALUE"""),46178.42228067129)</f>
        <v>46178.42228</v>
      </c>
      <c r="C660" s="3" t="str">
        <f>IFERROR(__xludf.DUMMYFUNCTION("""COMPUTED_VALUE"""),"ชั้นปีที่ 2")</f>
        <v>ชั้นปีที่ 2</v>
      </c>
      <c r="D660" s="3" t="str">
        <f>IFERROR(__xludf.DUMMYFUNCTION("""COMPUTED_VALUE"""),"6703835")</f>
        <v>6703835</v>
      </c>
      <c r="E660" s="3" t="str">
        <f>IFERROR(__xludf.DUMMYFUNCTION("""COMPUTED_VALUE"""),"18")</f>
        <v>18</v>
      </c>
      <c r="F660" s="3" t="str">
        <f>IFERROR(__xludf.DUMMYFUNCTION("""COMPUTED_VALUE"""),"นพอ.ณัฐณิชา พิทักษ์สันติ")</f>
        <v>นพอ.ณัฐณิชา พิทักษ์สันติ</v>
      </c>
      <c r="G66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0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60" s="3" t="str">
        <f>IFERROR(__xludf.DUMMYFUNCTION("""COMPUTED_VALUE"""),"สนามกีฬากองทัพอากาศ(ธูปะเตมีย์)")</f>
        <v>สนามกีฬากองทัพอากาศ(ธูปะเตมีย์)</v>
      </c>
      <c r="J660" s="12">
        <f>IFERROR(__xludf.DUMMYFUNCTION("""COMPUTED_VALUE"""),46078.0)</f>
        <v>46078</v>
      </c>
      <c r="K660" s="3" t="str">
        <f>IFERROR(__xludf.DUMMYFUNCTION("""COMPUTED_VALUE"""),"1200-2000")</f>
        <v>1200-2000</v>
      </c>
      <c r="L660" s="3">
        <f>IFERROR(__xludf.DUMMYFUNCTION("""COMPUTED_VALUE"""),8.0)</f>
        <v>8</v>
      </c>
      <c r="M66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0" s="14" t="str">
        <f>IFERROR(__xludf.DUMMYFUNCTION("""COMPUTED_VALUE"""),"https://lh5.googleusercontent.com/d/1iZvL72ActxXVGqXcMbswanZD6jjDaD6U")</f>
        <v>https://lh5.googleusercontent.com/d/1iZvL72ActxXVGqXcMbswanZD6jjDaD6U</v>
      </c>
      <c r="O660" s="14" t="str">
        <f>IFERROR(__xludf.DUMMYFUNCTION("""COMPUTED_VALUE"""),"https://drive.google.com/file/d/1z2C0yMmCGyABW5nBhP8fokOEZc4IRLiZ/view?usp=drivesdk")</f>
        <v>https://drive.google.com/file/d/1z2C0yMmCGyABW5nBhP8fokOEZc4IRLiZ/view?usp=drivesdk</v>
      </c>
    </row>
    <row r="661">
      <c r="A661" s="3">
        <f>IFERROR(__xludf.DUMMYFUNCTION("""COMPUTED_VALUE"""),3060.0)</f>
        <v>3060</v>
      </c>
      <c r="B661" s="11">
        <f>IFERROR(__xludf.DUMMYFUNCTION("""COMPUTED_VALUE"""),46178.423861655094)</f>
        <v>46178.42386</v>
      </c>
      <c r="C661" s="3" t="str">
        <f>IFERROR(__xludf.DUMMYFUNCTION("""COMPUTED_VALUE"""),"ชั้นปีที่ 2")</f>
        <v>ชั้นปีที่ 2</v>
      </c>
      <c r="D661" s="3" t="str">
        <f>IFERROR(__xludf.DUMMYFUNCTION("""COMPUTED_VALUE"""),"6703868")</f>
        <v>6703868</v>
      </c>
      <c r="E661" s="3" t="str">
        <f>IFERROR(__xludf.DUMMYFUNCTION("""COMPUTED_VALUE"""),"49")</f>
        <v>49</v>
      </c>
      <c r="F661" s="3" t="str">
        <f>IFERROR(__xludf.DUMMYFUNCTION("""COMPUTED_VALUE"""),"นพอ.วราภรณ์ กาสี")</f>
        <v>นพอ.วราภรณ์ กาสี</v>
      </c>
      <c r="G661" s="3" t="str">
        <f>IFERROR(__xludf.DUMMYFUNCTION("""COMPUTED_VALUE"""),"ช่วยเหลืองานภายใน วพอ.")</f>
        <v>ช่วยเหลืองานภายใน วพอ.</v>
      </c>
      <c r="H66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61" s="3" t="str">
        <f>IFERROR(__xludf.DUMMYFUNCTION("""COMPUTED_VALUE"""),"วพอ.พอ")</f>
        <v>วพอ.พอ</v>
      </c>
      <c r="J661" s="12">
        <f>IFERROR(__xludf.DUMMYFUNCTION("""COMPUTED_VALUE"""),46135.0)</f>
        <v>46135</v>
      </c>
      <c r="K661" s="3" t="str">
        <f>IFERROR(__xludf.DUMMYFUNCTION("""COMPUTED_VALUE"""),"1700-2100")</f>
        <v>1700-2100</v>
      </c>
      <c r="L661" s="3">
        <f>IFERROR(__xludf.DUMMYFUNCTION("""COMPUTED_VALUE"""),4.0)</f>
        <v>4</v>
      </c>
      <c r="M661" s="3" t="str">
        <f>IFERROR(__xludf.DUMMYFUNCTION("""COMPUTED_VALUE"""),"ร.อ.อนุชิต ทำจะดี")</f>
        <v>ร.อ.อนุชิต ทำจะดี</v>
      </c>
      <c r="N661" s="14" t="str">
        <f>IFERROR(__xludf.DUMMYFUNCTION("""COMPUTED_VALUE"""),"https://lh5.googleusercontent.com/d/1cvc7T4Mob1CdWZCcHlt-dWsHRB136BAJ")</f>
        <v>https://lh5.googleusercontent.com/d/1cvc7T4Mob1CdWZCcHlt-dWsHRB136BAJ</v>
      </c>
      <c r="O661" s="14" t="str">
        <f>IFERROR(__xludf.DUMMYFUNCTION("""COMPUTED_VALUE"""),"https://drive.google.com/file/d/1ZMjsd6LUgWVouQbdIMvKNGQFdAAaJHQa/view?usp=drivesdk")</f>
        <v>https://drive.google.com/file/d/1ZMjsd6LUgWVouQbdIMvKNGQFdAAaJHQa/view?usp=drivesdk</v>
      </c>
    </row>
    <row r="662">
      <c r="A662" s="3">
        <f>IFERROR(__xludf.DUMMYFUNCTION("""COMPUTED_VALUE"""),3061.0)</f>
        <v>3061</v>
      </c>
      <c r="B662" s="11">
        <f>IFERROR(__xludf.DUMMYFUNCTION("""COMPUTED_VALUE"""),46178.42491420139)</f>
        <v>46178.42491</v>
      </c>
      <c r="C662" s="3" t="str">
        <f>IFERROR(__xludf.DUMMYFUNCTION("""COMPUTED_VALUE"""),"ชั้นปีที่ 2")</f>
        <v>ชั้นปีที่ 2</v>
      </c>
      <c r="D662" s="3" t="str">
        <f>IFERROR(__xludf.DUMMYFUNCTION("""COMPUTED_VALUE"""),"6703834")</f>
        <v>6703834</v>
      </c>
      <c r="E662" s="3" t="str">
        <f>IFERROR(__xludf.DUMMYFUNCTION("""COMPUTED_VALUE"""),"17")</f>
        <v>17</v>
      </c>
      <c r="F662" s="3" t="str">
        <f>IFERROR(__xludf.DUMMYFUNCTION("""COMPUTED_VALUE"""),"นพอ.ฑิตถากร แน่นอุดร")</f>
        <v>นพอ.ฑิตถากร แน่นอุดร</v>
      </c>
      <c r="G6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2" s="3" t="str">
        <f>IFERROR(__xludf.DUMMYFUNCTION("""COMPUTED_VALUE"""),"ค่ายเยาวชนพัฒนา ครั้งที่ 215")</f>
        <v>ค่ายเยาวชนพัฒนา ครั้งที่ 215</v>
      </c>
      <c r="I662" s="3" t="str">
        <f>IFERROR(__xludf.DUMMYFUNCTION("""COMPUTED_VALUE"""),"วัดสามบัณฑิต จ.อยุธยา")</f>
        <v>วัดสามบัณฑิต จ.อยุธยา</v>
      </c>
      <c r="J662" s="12">
        <f>IFERROR(__xludf.DUMMYFUNCTION("""COMPUTED_VALUE"""),46138.0)</f>
        <v>46138</v>
      </c>
      <c r="K662" s="3" t="str">
        <f>IFERROR(__xludf.DUMMYFUNCTION("""COMPUTED_VALUE"""),"0800-1600")</f>
        <v>0800-1600</v>
      </c>
      <c r="L662" s="3">
        <f>IFERROR(__xludf.DUMMYFUNCTION("""COMPUTED_VALUE"""),8.0)</f>
        <v>8</v>
      </c>
      <c r="M66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2" s="14" t="str">
        <f>IFERROR(__xludf.DUMMYFUNCTION("""COMPUTED_VALUE"""),"https://lh5.googleusercontent.com/d/1TITpu_Mw6H7zMZM1waO_ZoQ8sFRiwbQm")</f>
        <v>https://lh5.googleusercontent.com/d/1TITpu_Mw6H7zMZM1waO_ZoQ8sFRiwbQm</v>
      </c>
      <c r="O662" s="14" t="str">
        <f>IFERROR(__xludf.DUMMYFUNCTION("""COMPUTED_VALUE"""),"https://drive.google.com/file/d/1Htqzd__ECor0_-CXo8CvV-ZDYcT3CZBR/view?usp=drivesdk")</f>
        <v>https://drive.google.com/file/d/1Htqzd__ECor0_-CXo8CvV-ZDYcT3CZBR/view?usp=drivesdk</v>
      </c>
    </row>
    <row r="663">
      <c r="A663" s="3">
        <f>IFERROR(__xludf.DUMMYFUNCTION("""COMPUTED_VALUE"""),3062.0)</f>
        <v>3062</v>
      </c>
      <c r="B663" s="11">
        <f>IFERROR(__xludf.DUMMYFUNCTION("""COMPUTED_VALUE"""),46178.42540356481)</f>
        <v>46178.4254</v>
      </c>
      <c r="C663" s="3" t="str">
        <f>IFERROR(__xludf.DUMMYFUNCTION("""COMPUTED_VALUE"""),"ชั้นปีที่ 2")</f>
        <v>ชั้นปีที่ 2</v>
      </c>
      <c r="D663" s="3" t="str">
        <f>IFERROR(__xludf.DUMMYFUNCTION("""COMPUTED_VALUE"""),"6703880")</f>
        <v>6703880</v>
      </c>
      <c r="E663" s="3" t="str">
        <f>IFERROR(__xludf.DUMMYFUNCTION("""COMPUTED_VALUE"""),"60")</f>
        <v>60</v>
      </c>
      <c r="F663" s="3" t="str">
        <f>IFERROR(__xludf.DUMMYFUNCTION("""COMPUTED_VALUE"""),"นพอ.อริสรา ศรีโพธิ์")</f>
        <v>นพอ.อริสรา ศรีโพธิ์</v>
      </c>
      <c r="G6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3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63" s="3" t="str">
        <f>IFERROR(__xludf.DUMMYFUNCTION("""COMPUTED_VALUE"""),"สนามธูปะเตมีย์")</f>
        <v>สนามธูปะเตมีย์</v>
      </c>
      <c r="J663" s="12">
        <f>IFERROR(__xludf.DUMMYFUNCTION("""COMPUTED_VALUE"""),46078.0)</f>
        <v>46078</v>
      </c>
      <c r="K663" s="3" t="str">
        <f>IFERROR(__xludf.DUMMYFUNCTION("""COMPUTED_VALUE"""),"1200-2000")</f>
        <v>1200-2000</v>
      </c>
      <c r="L663" s="3">
        <f>IFERROR(__xludf.DUMMYFUNCTION("""COMPUTED_VALUE"""),8.0)</f>
        <v>8</v>
      </c>
      <c r="M66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3" s="14" t="str">
        <f>IFERROR(__xludf.DUMMYFUNCTION("""COMPUTED_VALUE"""),"https://lh5.googleusercontent.com/d/1KzvUuFqnnKgHkFs4Dh3goh_IYnvF_XTC")</f>
        <v>https://lh5.googleusercontent.com/d/1KzvUuFqnnKgHkFs4Dh3goh_IYnvF_XTC</v>
      </c>
      <c r="O663" s="14" t="str">
        <f>IFERROR(__xludf.DUMMYFUNCTION("""COMPUTED_VALUE"""),"https://drive.google.com/file/d/1bRDEkeWOU3SGpFDR6T9ojvvUyfKzWAOV/view?usp=drivesdk")</f>
        <v>https://drive.google.com/file/d/1bRDEkeWOU3SGpFDR6T9ojvvUyfKzWAOV/view?usp=drivesdk</v>
      </c>
    </row>
    <row r="664">
      <c r="A664" s="3">
        <f>IFERROR(__xludf.DUMMYFUNCTION("""COMPUTED_VALUE"""),3066.0)</f>
        <v>3066</v>
      </c>
      <c r="B664" s="11">
        <f>IFERROR(__xludf.DUMMYFUNCTION("""COMPUTED_VALUE"""),46178.43002799768)</f>
        <v>46178.43003</v>
      </c>
      <c r="C664" s="3" t="str">
        <f>IFERROR(__xludf.DUMMYFUNCTION("""COMPUTED_VALUE"""),"ชั้นปีที่ 2")</f>
        <v>ชั้นปีที่ 2</v>
      </c>
      <c r="D664" s="3" t="str">
        <f>IFERROR(__xludf.DUMMYFUNCTION("""COMPUTED_VALUE"""),"6703852")</f>
        <v>6703852</v>
      </c>
      <c r="E664" s="3" t="str">
        <f>IFERROR(__xludf.DUMMYFUNCTION("""COMPUTED_VALUE"""),"33")</f>
        <v>33</v>
      </c>
      <c r="F664" s="3" t="str">
        <f>IFERROR(__xludf.DUMMYFUNCTION("""COMPUTED_VALUE"""),"นพอ.ปุณยาพร เสือสมิง")</f>
        <v>นพอ.ปุณยาพร เสือสมิง</v>
      </c>
      <c r="G664" s="3" t="str">
        <f>IFERROR(__xludf.DUMMYFUNCTION("""COMPUTED_VALUE"""),"ช่วยเหลืองานภายใน วพอ.")</f>
        <v>ช่วยเหลืองานภายใน วพอ.</v>
      </c>
      <c r="H664" s="3" t="str">
        <f>IFERROR(__xludf.DUMMYFUNCTION("""COMPUTED_VALUE"""),"เก็บสกานทีสอบคัดลือกนพอ. 69")</f>
        <v>เก็บสกานทีสอบคัดลือกนพอ. 69</v>
      </c>
      <c r="I664" s="3" t="str">
        <f>IFERROR(__xludf.DUMMYFUNCTION("""COMPUTED_VALUE"""),"อาคารสำนักงานชั้น 4")</f>
        <v>อาคารสำนักงานชั้น 4</v>
      </c>
      <c r="J664" s="12">
        <f>IFERROR(__xludf.DUMMYFUNCTION("""COMPUTED_VALUE"""),46147.0)</f>
        <v>46147</v>
      </c>
      <c r="K664" s="3" t="str">
        <f>IFERROR(__xludf.DUMMYFUNCTION("""COMPUTED_VALUE"""),"1500-1800")</f>
        <v>1500-1800</v>
      </c>
      <c r="L664" s="3">
        <f>IFERROR(__xludf.DUMMYFUNCTION("""COMPUTED_VALUE"""),3.0)</f>
        <v>3</v>
      </c>
      <c r="M664" s="3" t="str">
        <f>IFERROR(__xludf.DUMMYFUNCTION("""COMPUTED_VALUE"""),"น.ต. ศักชัย บุญประสิทธิ์")</f>
        <v>น.ต. ศักชัย บุญประสิทธิ์</v>
      </c>
      <c r="N664" s="14" t="str">
        <f>IFERROR(__xludf.DUMMYFUNCTION("""COMPUTED_VALUE"""),"https://lh5.googleusercontent.com/d/1D7tNY1tpXw_hvMmVF8QEMMmle49mG0j4")</f>
        <v>https://lh5.googleusercontent.com/d/1D7tNY1tpXw_hvMmVF8QEMMmle49mG0j4</v>
      </c>
      <c r="O664" s="14" t="str">
        <f>IFERROR(__xludf.DUMMYFUNCTION("""COMPUTED_VALUE"""),"https://drive.google.com/file/d/1nNC01CFmj0CKE48KWS1I0GH68O7WS3fb/view?usp=drivesdk")</f>
        <v>https://drive.google.com/file/d/1nNC01CFmj0CKE48KWS1I0GH68O7WS3fb/view?usp=drivesdk</v>
      </c>
    </row>
    <row r="665">
      <c r="A665" s="3">
        <f>IFERROR(__xludf.DUMMYFUNCTION("""COMPUTED_VALUE"""),3067.0)</f>
        <v>3067</v>
      </c>
      <c r="B665" s="11">
        <f>IFERROR(__xludf.DUMMYFUNCTION("""COMPUTED_VALUE"""),46178.43173237268)</f>
        <v>46178.43173</v>
      </c>
      <c r="C665" s="3" t="str">
        <f>IFERROR(__xludf.DUMMYFUNCTION("""COMPUTED_VALUE"""),"ชั้นปีที่ 2")</f>
        <v>ชั้นปีที่ 2</v>
      </c>
      <c r="D665" s="3" t="str">
        <f>IFERROR(__xludf.DUMMYFUNCTION("""COMPUTED_VALUE"""),"6703829")</f>
        <v>6703829</v>
      </c>
      <c r="E665" s="3" t="str">
        <f>IFERROR(__xludf.DUMMYFUNCTION("""COMPUTED_VALUE"""),"12")</f>
        <v>12</v>
      </c>
      <c r="F665" s="3" t="str">
        <f>IFERROR(__xludf.DUMMYFUNCTION("""COMPUTED_VALUE"""),"นพอ.ชัญญาพัฒน์ ทัศนวิภาส")</f>
        <v>นพอ.ชัญญาพัฒน์ ทัศนวิภาส</v>
      </c>
      <c r="G66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65" s="3" t="str">
        <f>IFERROR(__xludf.DUMMYFUNCTION("""COMPUTED_VALUE"""),"บริจาคโลหิต")</f>
        <v>บริจาคโลหิต</v>
      </c>
      <c r="I665" s="3" t="str">
        <f>IFERROR(__xludf.DUMMYFUNCTION("""COMPUTED_VALUE"""),"โรงพยาบาลภูมิพลอดุลยเดช")</f>
        <v>โรงพยาบาลภูมิพลอดุลยเดช</v>
      </c>
      <c r="J665" s="12">
        <f>IFERROR(__xludf.DUMMYFUNCTION("""COMPUTED_VALUE"""),46177.0)</f>
        <v>46177</v>
      </c>
      <c r="K665" s="3" t="str">
        <f>IFERROR(__xludf.DUMMYFUNCTION("""COMPUTED_VALUE"""),"1330-1400")</f>
        <v>1330-1400</v>
      </c>
      <c r="L665" s="3">
        <f>IFERROR(__xludf.DUMMYFUNCTION("""COMPUTED_VALUE"""),8.0)</f>
        <v>8</v>
      </c>
      <c r="M665" s="3" t="str">
        <f>IFERROR(__xludf.DUMMYFUNCTION("""COMPUTED_VALUE"""),"ร.ท.เรวัติ วัชรสิทธิ์")</f>
        <v>ร.ท.เรวัติ วัชรสิทธิ์</v>
      </c>
      <c r="N665" s="14" t="str">
        <f>IFERROR(__xludf.DUMMYFUNCTION("""COMPUTED_VALUE"""),"https://lh5.googleusercontent.com/d/1qQ1ljObe0kZqZHTPMNda22R7SafkB7eD")</f>
        <v>https://lh5.googleusercontent.com/d/1qQ1ljObe0kZqZHTPMNda22R7SafkB7eD</v>
      </c>
      <c r="O665" s="14" t="str">
        <f>IFERROR(__xludf.DUMMYFUNCTION("""COMPUTED_VALUE"""),"https://drive.google.com/file/d/1fz5W7oNpBhfKlY7vEiNLVPBzPh9UTCKo/view?usp=drivesdk")</f>
        <v>https://drive.google.com/file/d/1fz5W7oNpBhfKlY7vEiNLVPBzPh9UTCKo/view?usp=drivesdk</v>
      </c>
    </row>
    <row r="666">
      <c r="A666" s="3">
        <f>IFERROR(__xludf.DUMMYFUNCTION("""COMPUTED_VALUE"""),3068.0)</f>
        <v>3068</v>
      </c>
      <c r="B666" s="11">
        <f>IFERROR(__xludf.DUMMYFUNCTION("""COMPUTED_VALUE"""),46178.43345778935)</f>
        <v>46178.43346</v>
      </c>
      <c r="C666" s="3" t="str">
        <f>IFERROR(__xludf.DUMMYFUNCTION("""COMPUTED_VALUE"""),"ชั้นปีที่ 2")</f>
        <v>ชั้นปีที่ 2</v>
      </c>
      <c r="D666" s="3" t="str">
        <f>IFERROR(__xludf.DUMMYFUNCTION("""COMPUTED_VALUE"""),"6703832")</f>
        <v>6703832</v>
      </c>
      <c r="E666" s="3" t="str">
        <f>IFERROR(__xludf.DUMMYFUNCTION("""COMPUTED_VALUE"""),"15")</f>
        <v>15</v>
      </c>
      <c r="F666" s="3" t="str">
        <f>IFERROR(__xludf.DUMMYFUNCTION("""COMPUTED_VALUE"""),"นพอ. ญาตาวี บุญภิละ")</f>
        <v>นพอ. ญาตาวี บุญภิละ</v>
      </c>
      <c r="G666" s="3" t="str">
        <f>IFERROR(__xludf.DUMMYFUNCTION("""COMPUTED_VALUE"""),"ช่วยเหลืองานภายใน วพอ.")</f>
        <v>ช่วยเหลืองานภายใน วพอ.</v>
      </c>
      <c r="H666" s="3" t="str">
        <f>IFERROR(__xludf.DUMMYFUNCTION("""COMPUTED_VALUE"""),"ซ้อมเต้นเพลง ฉันมีความสุข")</f>
        <v>ซ้อมเต้นเพลง ฉันมีความสุข</v>
      </c>
      <c r="I666" s="3" t="str">
        <f>IFERROR(__xludf.DUMMYFUNCTION("""COMPUTED_VALUE"""),"วพอ.พอ.")</f>
        <v>วพอ.พอ.</v>
      </c>
      <c r="J666" s="12">
        <f>IFERROR(__xludf.DUMMYFUNCTION("""COMPUTED_VALUE"""),46176.0)</f>
        <v>46176</v>
      </c>
      <c r="K666" s="3" t="str">
        <f>IFERROR(__xludf.DUMMYFUNCTION("""COMPUTED_VALUE"""),"1800-1900")</f>
        <v>1800-1900</v>
      </c>
      <c r="L666" s="3">
        <f>IFERROR(__xludf.DUMMYFUNCTION("""COMPUTED_VALUE"""),1.0)</f>
        <v>1</v>
      </c>
      <c r="M666" s="3" t="str">
        <f>IFERROR(__xludf.DUMMYFUNCTION("""COMPUTED_VALUE"""),"ร.อ.หญิง เบญญาดา บุรีรัตน์")</f>
        <v>ร.อ.หญิง เบญญาดา บุรีรัตน์</v>
      </c>
      <c r="N666" s="14" t="str">
        <f>IFERROR(__xludf.DUMMYFUNCTION("""COMPUTED_VALUE"""),"https://lh5.googleusercontent.com/d/1uGxonlBwb8-trHxP9_5ePaSkmG62R22k")</f>
        <v>https://lh5.googleusercontent.com/d/1uGxonlBwb8-trHxP9_5ePaSkmG62R22k</v>
      </c>
      <c r="O666" s="14" t="str">
        <f>IFERROR(__xludf.DUMMYFUNCTION("""COMPUTED_VALUE"""),"https://drive.google.com/file/d/18naD7rXTOtGcvmuAgZswJbdRWTMS8ZJr/view?usp=drivesdk")</f>
        <v>https://drive.google.com/file/d/18naD7rXTOtGcvmuAgZswJbdRWTMS8ZJr/view?usp=drivesdk</v>
      </c>
    </row>
    <row r="667">
      <c r="A667" s="3">
        <f>IFERROR(__xludf.DUMMYFUNCTION("""COMPUTED_VALUE"""),3069.0)</f>
        <v>3069</v>
      </c>
      <c r="B667" s="11">
        <f>IFERROR(__xludf.DUMMYFUNCTION("""COMPUTED_VALUE"""),46178.43426898148)</f>
        <v>46178.43427</v>
      </c>
      <c r="C667" s="3" t="str">
        <f>IFERROR(__xludf.DUMMYFUNCTION("""COMPUTED_VALUE"""),"ชั้นปีที่ 2")</f>
        <v>ชั้นปีที่ 2</v>
      </c>
      <c r="D667" s="3" t="str">
        <f>IFERROR(__xludf.DUMMYFUNCTION("""COMPUTED_VALUE"""),"6703866")</f>
        <v>6703866</v>
      </c>
      <c r="E667" s="3" t="str">
        <f>IFERROR(__xludf.DUMMYFUNCTION("""COMPUTED_VALUE"""),"47")</f>
        <v>47</v>
      </c>
      <c r="F667" s="3" t="str">
        <f>IFERROR(__xludf.DUMMYFUNCTION("""COMPUTED_VALUE"""),"นพอ.วนัชพร กันทะตา")</f>
        <v>นพอ.วนัชพร กันทะตา</v>
      </c>
      <c r="G66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7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67" s="3" t="str">
        <f>IFERROR(__xludf.DUMMYFUNCTION("""COMPUTED_VALUE"""),"สนามกีฬาธูปเตมีย์")</f>
        <v>สนามกีฬาธูปเตมีย์</v>
      </c>
      <c r="J667" s="12">
        <f>IFERROR(__xludf.DUMMYFUNCTION("""COMPUTED_VALUE"""),46078.0)</f>
        <v>46078</v>
      </c>
      <c r="K667" s="3" t="str">
        <f>IFERROR(__xludf.DUMMYFUNCTION("""COMPUTED_VALUE"""),"1200-2000")</f>
        <v>1200-2000</v>
      </c>
      <c r="L667" s="3">
        <f>IFERROR(__xludf.DUMMYFUNCTION("""COMPUTED_VALUE"""),8.0)</f>
        <v>8</v>
      </c>
      <c r="M66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7" s="14" t="str">
        <f>IFERROR(__xludf.DUMMYFUNCTION("""COMPUTED_VALUE"""),"https://lh5.googleusercontent.com/d/1KHd1IPPeRkSFyvpgETSPfREJIJTHOdqi")</f>
        <v>https://lh5.googleusercontent.com/d/1KHd1IPPeRkSFyvpgETSPfREJIJTHOdqi</v>
      </c>
      <c r="O667" s="14" t="str">
        <f>IFERROR(__xludf.DUMMYFUNCTION("""COMPUTED_VALUE"""),"https://drive.google.com/file/d/1cdcdyGX1kP8pgWzLVfReoGgDsh-Pq6ut/view?usp=drivesdk")</f>
        <v>https://drive.google.com/file/d/1cdcdyGX1kP8pgWzLVfReoGgDsh-Pq6ut/view?usp=drivesdk</v>
      </c>
    </row>
    <row r="668">
      <c r="A668" s="3">
        <f>IFERROR(__xludf.DUMMYFUNCTION("""COMPUTED_VALUE"""),3070.0)</f>
        <v>3070</v>
      </c>
      <c r="B668" s="11">
        <f>IFERROR(__xludf.DUMMYFUNCTION("""COMPUTED_VALUE"""),46178.43454900463)</f>
        <v>46178.43455</v>
      </c>
      <c r="C668" s="3" t="str">
        <f>IFERROR(__xludf.DUMMYFUNCTION("""COMPUTED_VALUE"""),"ชั้นปีที่ 2")</f>
        <v>ชั้นปีที่ 2</v>
      </c>
      <c r="D668" s="3" t="str">
        <f>IFERROR(__xludf.DUMMYFUNCTION("""COMPUTED_VALUE"""),"6703826")</f>
        <v>6703826</v>
      </c>
      <c r="E668" s="3" t="str">
        <f>IFERROR(__xludf.DUMMYFUNCTION("""COMPUTED_VALUE"""),"9")</f>
        <v>9</v>
      </c>
      <c r="F668" s="3" t="str">
        <f>IFERROR(__xludf.DUMMYFUNCTION("""COMPUTED_VALUE"""),"นพอ.ชณัฐธิดา ชูชีพ")</f>
        <v>นพอ.ชณัฐธิดา ชูชีพ</v>
      </c>
      <c r="G668" s="3" t="str">
        <f>IFERROR(__xludf.DUMMYFUNCTION("""COMPUTED_VALUE"""),"ช่วยเหลืองานภายใน วพอ.")</f>
        <v>ช่วยเหลืองานภายใน วพอ.</v>
      </c>
      <c r="H668" s="3" t="str">
        <f>IFERROR(__xludf.DUMMYFUNCTION("""COMPUTED_VALUE"""),"ซ้อมเต้นเพลง ฉันมีความสุข")</f>
        <v>ซ้อมเต้นเพลง ฉันมีความสุข</v>
      </c>
      <c r="I668" s="3" t="str">
        <f>IFERROR(__xludf.DUMMYFUNCTION("""COMPUTED_VALUE"""),"วพอ.พอ")</f>
        <v>วพอ.พอ</v>
      </c>
      <c r="J668" s="12">
        <f>IFERROR(__xludf.DUMMYFUNCTION("""COMPUTED_VALUE"""),46177.0)</f>
        <v>46177</v>
      </c>
      <c r="K668" s="3" t="str">
        <f>IFERROR(__xludf.DUMMYFUNCTION("""COMPUTED_VALUE"""),"1800-1900")</f>
        <v>1800-1900</v>
      </c>
      <c r="L668" s="3">
        <f>IFERROR(__xludf.DUMMYFUNCTION("""COMPUTED_VALUE"""),1.0)</f>
        <v>1</v>
      </c>
      <c r="M668" s="3" t="str">
        <f>IFERROR(__xludf.DUMMYFUNCTION("""COMPUTED_VALUE"""),"ร.อ.หญิง เบญญาดา บุรีรัตน์")</f>
        <v>ร.อ.หญิง เบญญาดา บุรีรัตน์</v>
      </c>
      <c r="N668" s="14" t="str">
        <f>IFERROR(__xludf.DUMMYFUNCTION("""COMPUTED_VALUE"""),"https://lh5.googleusercontent.com/d/1ZSphVk8Tk1BN2USY4BbyxSgbkVH-Xo_T")</f>
        <v>https://lh5.googleusercontent.com/d/1ZSphVk8Tk1BN2USY4BbyxSgbkVH-Xo_T</v>
      </c>
      <c r="O668" s="14" t="str">
        <f>IFERROR(__xludf.DUMMYFUNCTION("""COMPUTED_VALUE"""),"https://drive.google.com/file/d/1uBie9ntWgKjIShrtVNxmchBvB4ZT1_lr/view?usp=drivesdk")</f>
        <v>https://drive.google.com/file/d/1uBie9ntWgKjIShrtVNxmchBvB4ZT1_lr/view?usp=drivesdk</v>
      </c>
    </row>
    <row r="669">
      <c r="A669" s="3">
        <f>IFERROR(__xludf.DUMMYFUNCTION("""COMPUTED_VALUE"""),3071.0)</f>
        <v>3071</v>
      </c>
      <c r="B669" s="11">
        <f>IFERROR(__xludf.DUMMYFUNCTION("""COMPUTED_VALUE"""),46178.434576064814)</f>
        <v>46178.43458</v>
      </c>
      <c r="C669" s="3" t="str">
        <f>IFERROR(__xludf.DUMMYFUNCTION("""COMPUTED_VALUE"""),"ชั้นปีที่ 2")</f>
        <v>ชั้นปีที่ 2</v>
      </c>
      <c r="D669" s="3" t="str">
        <f>IFERROR(__xludf.DUMMYFUNCTION("""COMPUTED_VALUE"""),"6703836")</f>
        <v>6703836</v>
      </c>
      <c r="E669" s="3" t="str">
        <f>IFERROR(__xludf.DUMMYFUNCTION("""COMPUTED_VALUE"""),"19")</f>
        <v>19</v>
      </c>
      <c r="F669" s="3" t="str">
        <f>IFERROR(__xludf.DUMMYFUNCTION("""COMPUTED_VALUE"""),"นพอ.ณัฐธิดา จันทร์อนันต์")</f>
        <v>นพอ.ณัฐธิดา จันทร์อนันต์</v>
      </c>
      <c r="G669" s="3" t="str">
        <f>IFERROR(__xludf.DUMMYFUNCTION("""COMPUTED_VALUE"""),"ช่วยเหลืองานภายใน วพอ.")</f>
        <v>ช่วยเหลืองานภายใน วพอ.</v>
      </c>
      <c r="H669" s="3" t="str">
        <f>IFERROR(__xludf.DUMMYFUNCTION("""COMPUTED_VALUE"""),"ซ้อมเต้น เพลงฉันมีความสุข")</f>
        <v>ซ้อมเต้น เพลงฉันมีความสุข</v>
      </c>
      <c r="I669" s="3" t="str">
        <f>IFERROR(__xludf.DUMMYFUNCTION("""COMPUTED_VALUE"""),"วพอ.พอ.")</f>
        <v>วพอ.พอ.</v>
      </c>
      <c r="J669" s="12">
        <f>IFERROR(__xludf.DUMMYFUNCTION("""COMPUTED_VALUE"""),46176.0)</f>
        <v>46176</v>
      </c>
      <c r="K669" s="3" t="str">
        <f>IFERROR(__xludf.DUMMYFUNCTION("""COMPUTED_VALUE"""),"1800-1900")</f>
        <v>1800-1900</v>
      </c>
      <c r="L669" s="3">
        <f>IFERROR(__xludf.DUMMYFUNCTION("""COMPUTED_VALUE"""),1.0)</f>
        <v>1</v>
      </c>
      <c r="M669" s="3" t="str">
        <f>IFERROR(__xludf.DUMMYFUNCTION("""COMPUTED_VALUE""")," ร.อ.หญิง เบญญาดา บุรีรัตน์")</f>
        <v> ร.อ.หญิง เบญญาดา บุรีรัตน์</v>
      </c>
      <c r="N669" s="14" t="str">
        <f>IFERROR(__xludf.DUMMYFUNCTION("""COMPUTED_VALUE"""),"https://lh5.googleusercontent.com/d/1x4T6Rzt_eZpRtfBRnfiVV3H_yeHjB20g")</f>
        <v>https://lh5.googleusercontent.com/d/1x4T6Rzt_eZpRtfBRnfiVV3H_yeHjB20g</v>
      </c>
      <c r="O669" s="14" t="str">
        <f>IFERROR(__xludf.DUMMYFUNCTION("""COMPUTED_VALUE"""),"https://drive.google.com/file/d/1Ki3_FHEiyMTI28zcMr4T02KnQvNKUWpD/view?usp=drivesdk")</f>
        <v>https://drive.google.com/file/d/1Ki3_FHEiyMTI28zcMr4T02KnQvNKUWpD/view?usp=drivesdk</v>
      </c>
    </row>
    <row r="670">
      <c r="A670" s="3">
        <f>IFERROR(__xludf.DUMMYFUNCTION("""COMPUTED_VALUE"""),3073.0)</f>
        <v>3073</v>
      </c>
      <c r="B670" s="11">
        <f>IFERROR(__xludf.DUMMYFUNCTION("""COMPUTED_VALUE"""),46178.435430937505)</f>
        <v>46178.43543</v>
      </c>
      <c r="C670" s="3" t="str">
        <f>IFERROR(__xludf.DUMMYFUNCTION("""COMPUTED_VALUE"""),"ชั้นปีที่ 2")</f>
        <v>ชั้นปีที่ 2</v>
      </c>
      <c r="D670" s="3" t="str">
        <f>IFERROR(__xludf.DUMMYFUNCTION("""COMPUTED_VALUE"""),"6703829")</f>
        <v>6703829</v>
      </c>
      <c r="E670" s="3" t="str">
        <f>IFERROR(__xludf.DUMMYFUNCTION("""COMPUTED_VALUE"""),"12")</f>
        <v>12</v>
      </c>
      <c r="F670" s="3" t="str">
        <f>IFERROR(__xludf.DUMMYFUNCTION("""COMPUTED_VALUE"""),"นพอ.ชัญญาพัฒน์ ทัศนวิภาส")</f>
        <v>นพอ.ชัญญาพัฒน์ ทัศนวิภาส</v>
      </c>
      <c r="G6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0" s="3" t="str">
        <f>IFERROR(__xludf.DUMMYFUNCTION("""COMPUTED_VALUE"""),"งานวันเด็กแห่งชาติ 2569")</f>
        <v>งานวันเด็กแห่งชาติ 2569</v>
      </c>
      <c r="I670" s="3" t="str">
        <f>IFERROR(__xludf.DUMMYFUNCTION("""COMPUTED_VALUE"""),"พิพิธภัณฑ์กองทัพอากาศและการบินแห่งชาติ")</f>
        <v>พิพิธภัณฑ์กองทัพอากาศและการบินแห่งชาติ</v>
      </c>
      <c r="J670" s="12">
        <f>IFERROR(__xludf.DUMMYFUNCTION("""COMPUTED_VALUE"""),46032.0)</f>
        <v>46032</v>
      </c>
      <c r="K670" s="3" t="str">
        <f>IFERROR(__xludf.DUMMYFUNCTION("""COMPUTED_VALUE"""),"0800-1600")</f>
        <v>0800-1600</v>
      </c>
      <c r="L670" s="3">
        <f>IFERROR(__xludf.DUMMYFUNCTION("""COMPUTED_VALUE"""),8.0)</f>
        <v>8</v>
      </c>
      <c r="M670" s="3" t="str">
        <f>IFERROR(__xludf.DUMMYFUNCTION("""COMPUTED_VALUE"""),"น.ต.หญิง ชลินทรา วรรณพักตร์")</f>
        <v>น.ต.หญิง ชลินทรา วรรณพักตร์</v>
      </c>
      <c r="N670" s="14" t="str">
        <f>IFERROR(__xludf.DUMMYFUNCTION("""COMPUTED_VALUE"""),"https://lh5.googleusercontent.com/d/1kP-y2_H3pWsRBun_yZMZxX0YshTsCpud")</f>
        <v>https://lh5.googleusercontent.com/d/1kP-y2_H3pWsRBun_yZMZxX0YshTsCpud</v>
      </c>
      <c r="O670" s="14" t="str">
        <f>IFERROR(__xludf.DUMMYFUNCTION("""COMPUTED_VALUE"""),"https://drive.google.com/file/d/12Z9ZYU0PcXuQKDd2R-kUYpwN8TWyYPlb/view?usp=drivesdk")</f>
        <v>https://drive.google.com/file/d/12Z9ZYU0PcXuQKDd2R-kUYpwN8TWyYPlb/view?usp=drivesdk</v>
      </c>
    </row>
    <row r="671">
      <c r="A671" s="3">
        <f>IFERROR(__xludf.DUMMYFUNCTION("""COMPUTED_VALUE"""),3074.0)</f>
        <v>3074</v>
      </c>
      <c r="B671" s="11">
        <f>IFERROR(__xludf.DUMMYFUNCTION("""COMPUTED_VALUE"""),46178.43560510417)</f>
        <v>46178.43561</v>
      </c>
      <c r="C671" s="3" t="str">
        <f>IFERROR(__xludf.DUMMYFUNCTION("""COMPUTED_VALUE"""),"ชั้นปีที่ 2")</f>
        <v>ชั้นปีที่ 2</v>
      </c>
      <c r="D671" s="3" t="str">
        <f>IFERROR(__xludf.DUMMYFUNCTION("""COMPUTED_VALUE"""),"6703836")</f>
        <v>6703836</v>
      </c>
      <c r="E671" s="3" t="str">
        <f>IFERROR(__xludf.DUMMYFUNCTION("""COMPUTED_VALUE"""),"19")</f>
        <v>19</v>
      </c>
      <c r="F671" s="3" t="str">
        <f>IFERROR(__xludf.DUMMYFUNCTION("""COMPUTED_VALUE"""),"นพอ.ณัฐธิดา จันทร์อนันต์")</f>
        <v>นพอ.ณัฐธิดา จันทร์อนันต์</v>
      </c>
      <c r="G671" s="3" t="str">
        <f>IFERROR(__xludf.DUMMYFUNCTION("""COMPUTED_VALUE"""),"ช่วยเหลืองานภายใน วพอ.")</f>
        <v>ช่วยเหลืองานภายใน วพอ.</v>
      </c>
      <c r="H671" s="3" t="str">
        <f>IFERROR(__xludf.DUMMYFUNCTION("""COMPUTED_VALUE"""),"ซ้อมเต้น เพลงฉันมีความสุข")</f>
        <v>ซ้อมเต้น เพลงฉันมีความสุข</v>
      </c>
      <c r="I671" s="3" t="str">
        <f>IFERROR(__xludf.DUMMYFUNCTION("""COMPUTED_VALUE"""),"วพอ.พอ.")</f>
        <v>วพอ.พอ.</v>
      </c>
      <c r="J671" s="12">
        <f>IFERROR(__xludf.DUMMYFUNCTION("""COMPUTED_VALUE"""),46177.0)</f>
        <v>46177</v>
      </c>
      <c r="K671" s="3" t="str">
        <f>IFERROR(__xludf.DUMMYFUNCTION("""COMPUTED_VALUE"""),"1800-1900")</f>
        <v>1800-1900</v>
      </c>
      <c r="L671" s="3">
        <f>IFERROR(__xludf.DUMMYFUNCTION("""COMPUTED_VALUE"""),1.0)</f>
        <v>1</v>
      </c>
      <c r="M671" s="3" t="str">
        <f>IFERROR(__xludf.DUMMYFUNCTION("""COMPUTED_VALUE""")," ร.อ.หญิง เบญญาดา บุรีรัตน์")</f>
        <v> ร.อ.หญิง เบญญาดา บุรีรัตน์</v>
      </c>
      <c r="N671" s="14" t="str">
        <f>IFERROR(__xludf.DUMMYFUNCTION("""COMPUTED_VALUE"""),"https://lh5.googleusercontent.com/d/1vYAMecNegaIuvo2_-rGPSFbtg5OGQhI-")</f>
        <v>https://lh5.googleusercontent.com/d/1vYAMecNegaIuvo2_-rGPSFbtg5OGQhI-</v>
      </c>
      <c r="O671" s="14" t="str">
        <f>IFERROR(__xludf.DUMMYFUNCTION("""COMPUTED_VALUE"""),"https://drive.google.com/file/d/1IPtG3VgBfkn-zlwLe1nUC0j3c5gWjCQa/view?usp=drivesdk")</f>
        <v>https://drive.google.com/file/d/1IPtG3VgBfkn-zlwLe1nUC0j3c5gWjCQa/view?usp=drivesdk</v>
      </c>
    </row>
    <row r="672">
      <c r="A672" s="3">
        <f>IFERROR(__xludf.DUMMYFUNCTION("""COMPUTED_VALUE"""),3075.0)</f>
        <v>3075</v>
      </c>
      <c r="B672" s="11">
        <f>IFERROR(__xludf.DUMMYFUNCTION("""COMPUTED_VALUE"""),46178.435772337965)</f>
        <v>46178.43577</v>
      </c>
      <c r="C672" s="3" t="str">
        <f>IFERROR(__xludf.DUMMYFUNCTION("""COMPUTED_VALUE"""),"ชั้นปีที่ 2")</f>
        <v>ชั้นปีที่ 2</v>
      </c>
      <c r="D672" s="3" t="str">
        <f>IFERROR(__xludf.DUMMYFUNCTION("""COMPUTED_VALUE"""),"673880")</f>
        <v>673880</v>
      </c>
      <c r="E672" s="3" t="str">
        <f>IFERROR(__xludf.DUMMYFUNCTION("""COMPUTED_VALUE"""),"60")</f>
        <v>60</v>
      </c>
      <c r="F672" s="3" t="str">
        <f>IFERROR(__xludf.DUMMYFUNCTION("""COMPUTED_VALUE"""),"นพอ.อริสรา ศรีโพธิ์")</f>
        <v>นพอ.อริสรา ศรีโพธิ์</v>
      </c>
      <c r="G6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2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672" s="3" t="str">
        <f>IFERROR(__xludf.DUMMYFUNCTION("""COMPUTED_VALUE"""),"กองบัญชาการกองทัพไทย")</f>
        <v>กองบัญชาการกองทัพไทย</v>
      </c>
      <c r="J672" s="12">
        <f>IFERROR(__xludf.DUMMYFUNCTION("""COMPUTED_VALUE"""),46032.0)</f>
        <v>46032</v>
      </c>
      <c r="K672" s="3" t="str">
        <f>IFERROR(__xludf.DUMMYFUNCTION("""COMPUTED_VALUE"""),"0600-1400")</f>
        <v>0600-1400</v>
      </c>
      <c r="L672" s="3">
        <f>IFERROR(__xludf.DUMMYFUNCTION("""COMPUTED_VALUE"""),8.0)</f>
        <v>8</v>
      </c>
      <c r="M672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672" s="14" t="str">
        <f>IFERROR(__xludf.DUMMYFUNCTION("""COMPUTED_VALUE"""),"https://lh5.googleusercontent.com/d/1JyEXNhji9wC4Bva20KPzHrK7fJ94jd50")</f>
        <v>https://lh5.googleusercontent.com/d/1JyEXNhji9wC4Bva20KPzHrK7fJ94jd50</v>
      </c>
      <c r="O672" s="14" t="str">
        <f>IFERROR(__xludf.DUMMYFUNCTION("""COMPUTED_VALUE"""),"https://drive.google.com/file/d/1BajnLMT__hI_Aj82iw6lFT3WSIMZpOWf/view?usp=drivesdk")</f>
        <v>https://drive.google.com/file/d/1BajnLMT__hI_Aj82iw6lFT3WSIMZpOWf/view?usp=drivesdk</v>
      </c>
    </row>
    <row r="673">
      <c r="A673" s="3">
        <f>IFERROR(__xludf.DUMMYFUNCTION("""COMPUTED_VALUE"""),3077.0)</f>
        <v>3077</v>
      </c>
      <c r="B673" s="11">
        <f>IFERROR(__xludf.DUMMYFUNCTION("""COMPUTED_VALUE"""),46178.43608541666)</f>
        <v>46178.43609</v>
      </c>
      <c r="C673" s="3" t="str">
        <f>IFERROR(__xludf.DUMMYFUNCTION("""COMPUTED_VALUE"""),"ชั้นปีที่ 2")</f>
        <v>ชั้นปีที่ 2</v>
      </c>
      <c r="D673" s="3" t="str">
        <f>IFERROR(__xludf.DUMMYFUNCTION("""COMPUTED_VALUE"""),"6703864")</f>
        <v>6703864</v>
      </c>
      <c r="E673" s="3" t="str">
        <f>IFERROR(__xludf.DUMMYFUNCTION("""COMPUTED_VALUE"""),"45")</f>
        <v>45</v>
      </c>
      <c r="F673" s="3" t="str">
        <f>IFERROR(__xludf.DUMMYFUNCTION("""COMPUTED_VALUE"""),"นพอ.รมิตา ธัยยาวัฒน์")</f>
        <v>นพอ.รมิตา ธัยยาวัฒน์</v>
      </c>
      <c r="G67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3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73" s="3" t="str">
        <f>IFERROR(__xludf.DUMMYFUNCTION("""COMPUTED_VALUE"""),"สนามกีฬาธูปเตมีย์")</f>
        <v>สนามกีฬาธูปเตมีย์</v>
      </c>
      <c r="J673" s="12">
        <f>IFERROR(__xludf.DUMMYFUNCTION("""COMPUTED_VALUE"""),46078.0)</f>
        <v>46078</v>
      </c>
      <c r="K673" s="3" t="str">
        <f>IFERROR(__xludf.DUMMYFUNCTION("""COMPUTED_VALUE"""),"1200-2000")</f>
        <v>1200-2000</v>
      </c>
      <c r="L673" s="3">
        <f>IFERROR(__xludf.DUMMYFUNCTION("""COMPUTED_VALUE"""),8.0)</f>
        <v>8</v>
      </c>
      <c r="M67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3" s="14" t="str">
        <f>IFERROR(__xludf.DUMMYFUNCTION("""COMPUTED_VALUE"""),"https://lh5.googleusercontent.com/d/1LRT9PSiXwtCA30Pja_a-44f-stK84eoY")</f>
        <v>https://lh5.googleusercontent.com/d/1LRT9PSiXwtCA30Pja_a-44f-stK84eoY</v>
      </c>
      <c r="O673" s="14" t="str">
        <f>IFERROR(__xludf.DUMMYFUNCTION("""COMPUTED_VALUE"""),"https://drive.google.com/file/d/1EDup2bPczhH35qW2hBqEtcfoSBawYIbr/view?usp=drivesdk")</f>
        <v>https://drive.google.com/file/d/1EDup2bPczhH35qW2hBqEtcfoSBawYIbr/view?usp=drivesdk</v>
      </c>
    </row>
    <row r="674">
      <c r="A674" s="3">
        <f>IFERROR(__xludf.DUMMYFUNCTION("""COMPUTED_VALUE"""),3079.0)</f>
        <v>3079</v>
      </c>
      <c r="B674" s="11">
        <f>IFERROR(__xludf.DUMMYFUNCTION("""COMPUTED_VALUE"""),46178.437633981484)</f>
        <v>46178.43763</v>
      </c>
      <c r="C674" s="3" t="str">
        <f>IFERROR(__xludf.DUMMYFUNCTION("""COMPUTED_VALUE"""),"ชั้นปีที่ 2")</f>
        <v>ชั้นปีที่ 2</v>
      </c>
      <c r="D674" s="3" t="str">
        <f>IFERROR(__xludf.DUMMYFUNCTION("""COMPUTED_VALUE"""),"6703832")</f>
        <v>6703832</v>
      </c>
      <c r="E674" s="3" t="str">
        <f>IFERROR(__xludf.DUMMYFUNCTION("""COMPUTED_VALUE"""),"15")</f>
        <v>15</v>
      </c>
      <c r="F674" s="3" t="str">
        <f>IFERROR(__xludf.DUMMYFUNCTION("""COMPUTED_VALUE"""),"นพอ. ญาตาวี บุญภิละ")</f>
        <v>นพอ. ญาตาวี บุญภิละ</v>
      </c>
      <c r="G674" s="3" t="str">
        <f>IFERROR(__xludf.DUMMYFUNCTION("""COMPUTED_VALUE"""),"ช่วยเหลืองานภายใน วพอ.")</f>
        <v>ช่วยเหลืองานภายใน วพอ.</v>
      </c>
      <c r="H674" s="3" t="str">
        <f>IFERROR(__xludf.DUMMYFUNCTION("""COMPUTED_VALUE"""),"ซ้อมเต้นเพลง ฉันมีความสุข")</f>
        <v>ซ้อมเต้นเพลง ฉันมีความสุข</v>
      </c>
      <c r="I674" s="3" t="str">
        <f>IFERROR(__xludf.DUMMYFUNCTION("""COMPUTED_VALUE"""),"วพอ.พอ.")</f>
        <v>วพอ.พอ.</v>
      </c>
      <c r="J674" s="12">
        <f>IFERROR(__xludf.DUMMYFUNCTION("""COMPUTED_VALUE"""),46177.0)</f>
        <v>46177</v>
      </c>
      <c r="K674" s="3" t="str">
        <f>IFERROR(__xludf.DUMMYFUNCTION("""COMPUTED_VALUE"""),"1800-1900")</f>
        <v>1800-1900</v>
      </c>
      <c r="L674" s="3">
        <f>IFERROR(__xludf.DUMMYFUNCTION("""COMPUTED_VALUE"""),1.0)</f>
        <v>1</v>
      </c>
      <c r="M674" s="3" t="str">
        <f>IFERROR(__xludf.DUMMYFUNCTION("""COMPUTED_VALUE"""),"ร.อ.หญิง เบญญาดา บุรีรัตน์")</f>
        <v>ร.อ.หญิง เบญญาดา บุรีรัตน์</v>
      </c>
      <c r="N674" s="14" t="str">
        <f>IFERROR(__xludf.DUMMYFUNCTION("""COMPUTED_VALUE"""),"https://lh5.googleusercontent.com/d/1swt0Dv7XA8QPOAeJVlM8o3_UHzBemzbk")</f>
        <v>https://lh5.googleusercontent.com/d/1swt0Dv7XA8QPOAeJVlM8o3_UHzBemzbk</v>
      </c>
      <c r="O674" s="14" t="str">
        <f>IFERROR(__xludf.DUMMYFUNCTION("""COMPUTED_VALUE"""),"https://drive.google.com/file/d/1-odRCPYsNQU2hhEQVwl0hwEP7RjvUeSn/view?usp=drivesdk")</f>
        <v>https://drive.google.com/file/d/1-odRCPYsNQU2hhEQVwl0hwEP7RjvUeSn/view?usp=drivesdk</v>
      </c>
    </row>
    <row r="675">
      <c r="A675" s="3">
        <f>IFERROR(__xludf.DUMMYFUNCTION("""COMPUTED_VALUE"""),3081.0)</f>
        <v>3081</v>
      </c>
      <c r="B675" s="11">
        <f>IFERROR(__xludf.DUMMYFUNCTION("""COMPUTED_VALUE"""),46178.43824113426)</f>
        <v>46178.43824</v>
      </c>
      <c r="C675" s="3" t="str">
        <f>IFERROR(__xludf.DUMMYFUNCTION("""COMPUTED_VALUE"""),"ชั้นปีที่ 2")</f>
        <v>ชั้นปีที่ 2</v>
      </c>
      <c r="D675" s="3" t="str">
        <f>IFERROR(__xludf.DUMMYFUNCTION("""COMPUTED_VALUE"""),"6703866")</f>
        <v>6703866</v>
      </c>
      <c r="E675" s="3" t="str">
        <f>IFERROR(__xludf.DUMMYFUNCTION("""COMPUTED_VALUE"""),"47")</f>
        <v>47</v>
      </c>
      <c r="F675" s="3" t="str">
        <f>IFERROR(__xludf.DUMMYFUNCTION("""COMPUTED_VALUE"""),"นพอ.วนัชพร กันทะตา")</f>
        <v>นพอ.วนัชพร กันทะตา</v>
      </c>
      <c r="G6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5" s="3" t="str">
        <f>IFERROR(__xludf.DUMMYFUNCTION("""COMPUTED_VALUE"""),"ค่ายเยาวชนพัฒนา ครั้งที่215")</f>
        <v>ค่ายเยาวชนพัฒนา ครั้งที่215</v>
      </c>
      <c r="I675" s="3" t="str">
        <f>IFERROR(__xludf.DUMMYFUNCTION("""COMPUTED_VALUE"""),"วัดสามบัณฑิต จ.อยุธยา")</f>
        <v>วัดสามบัณฑิต จ.อยุธยา</v>
      </c>
      <c r="J675" s="12">
        <f>IFERROR(__xludf.DUMMYFUNCTION("""COMPUTED_VALUE"""),46136.0)</f>
        <v>46136</v>
      </c>
      <c r="K675" s="3" t="str">
        <f>IFERROR(__xludf.DUMMYFUNCTION("""COMPUTED_VALUE"""),"1600-2400")</f>
        <v>1600-2400</v>
      </c>
      <c r="L675" s="3">
        <f>IFERROR(__xludf.DUMMYFUNCTION("""COMPUTED_VALUE"""),8.0)</f>
        <v>8</v>
      </c>
      <c r="M67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5" s="14" t="str">
        <f>IFERROR(__xludf.DUMMYFUNCTION("""COMPUTED_VALUE"""),"https://lh5.googleusercontent.com/d/1sJciDPke_c7KY-moK3lp5Zw3abmdomSR")</f>
        <v>https://lh5.googleusercontent.com/d/1sJciDPke_c7KY-moK3lp5Zw3abmdomSR</v>
      </c>
      <c r="O675" s="14" t="str">
        <f>IFERROR(__xludf.DUMMYFUNCTION("""COMPUTED_VALUE"""),"https://drive.google.com/file/d/198i0j8ODRUgOgUmjw70qM2K6MMno_tyV/view?usp=drivesdk")</f>
        <v>https://drive.google.com/file/d/198i0j8ODRUgOgUmjw70qM2K6MMno_tyV/view?usp=drivesdk</v>
      </c>
    </row>
    <row r="676">
      <c r="A676" s="3">
        <f>IFERROR(__xludf.DUMMYFUNCTION("""COMPUTED_VALUE"""),3083.0)</f>
        <v>3083</v>
      </c>
      <c r="B676" s="11">
        <f>IFERROR(__xludf.DUMMYFUNCTION("""COMPUTED_VALUE"""),46178.43913692129)</f>
        <v>46178.43914</v>
      </c>
      <c r="C676" s="3" t="str">
        <f>IFERROR(__xludf.DUMMYFUNCTION("""COMPUTED_VALUE"""),"ชั้นปีที่ 2")</f>
        <v>ชั้นปีที่ 2</v>
      </c>
      <c r="D676" s="3" t="str">
        <f>IFERROR(__xludf.DUMMYFUNCTION("""COMPUTED_VALUE"""),"6703880")</f>
        <v>6703880</v>
      </c>
      <c r="E676" s="3" t="str">
        <f>IFERROR(__xludf.DUMMYFUNCTION("""COMPUTED_VALUE"""),"60")</f>
        <v>60</v>
      </c>
      <c r="F676" s="3" t="str">
        <f>IFERROR(__xludf.DUMMYFUNCTION("""COMPUTED_VALUE"""),"นพอ.อริสรา ศรีโพธิ์")</f>
        <v>นพอ.อริสรา ศรีโพธิ์</v>
      </c>
      <c r="G676" s="3" t="str">
        <f>IFERROR(__xludf.DUMMYFUNCTION("""COMPUTED_VALUE"""),"ช่วยเหลืองานภายใน วพอ.")</f>
        <v>ช่วยเหลืองานภายใน วพอ.</v>
      </c>
      <c r="H676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676" s="3" t="str">
        <f>IFERROR(__xludf.DUMMYFUNCTION("""COMPUTED_VALUE"""),"อาคารสำนักงานชั้น4")</f>
        <v>อาคารสำนักงานชั้น4</v>
      </c>
      <c r="J676" s="12">
        <f>IFERROR(__xludf.DUMMYFUNCTION("""COMPUTED_VALUE"""),46147.0)</f>
        <v>46147</v>
      </c>
      <c r="K676" s="3" t="str">
        <f>IFERROR(__xludf.DUMMYFUNCTION("""COMPUTED_VALUE"""),"1500-1800")</f>
        <v>1500-1800</v>
      </c>
      <c r="L676" s="3">
        <f>IFERROR(__xludf.DUMMYFUNCTION("""COMPUTED_VALUE"""),3.0)</f>
        <v>3</v>
      </c>
      <c r="M676" s="3" t="str">
        <f>IFERROR(__xludf.DUMMYFUNCTION("""COMPUTED_VALUE"""),"น.ต.ศักชัย บุญประสิทธิ์")</f>
        <v>น.ต.ศักชัย บุญประสิทธิ์</v>
      </c>
      <c r="N676" s="14" t="str">
        <f>IFERROR(__xludf.DUMMYFUNCTION("""COMPUTED_VALUE"""),"https://lh5.googleusercontent.com/d/1JV7tKvecRF0Wx5YpWZNLBcErToxPQB5U")</f>
        <v>https://lh5.googleusercontent.com/d/1JV7tKvecRF0Wx5YpWZNLBcErToxPQB5U</v>
      </c>
      <c r="O676" s="14" t="str">
        <f>IFERROR(__xludf.DUMMYFUNCTION("""COMPUTED_VALUE"""),"https://drive.google.com/file/d/1Vdwya_xk3dtgF1ZvPHWJbZ6V3ClHKW4D/view?usp=drivesdk")</f>
        <v>https://drive.google.com/file/d/1Vdwya_xk3dtgF1ZvPHWJbZ6V3ClHKW4D/view?usp=drivesdk</v>
      </c>
    </row>
    <row r="677">
      <c r="A677" s="3">
        <f>IFERROR(__xludf.DUMMYFUNCTION("""COMPUTED_VALUE"""),3084.0)</f>
        <v>3084</v>
      </c>
      <c r="B677" s="11">
        <f>IFERROR(__xludf.DUMMYFUNCTION("""COMPUTED_VALUE"""),46178.43954388888)</f>
        <v>46178.43954</v>
      </c>
      <c r="C677" s="3" t="str">
        <f>IFERROR(__xludf.DUMMYFUNCTION("""COMPUTED_VALUE"""),"ชั้นปีที่ 2")</f>
        <v>ชั้นปีที่ 2</v>
      </c>
      <c r="D677" s="3" t="str">
        <f>IFERROR(__xludf.DUMMYFUNCTION("""COMPUTED_VALUE"""),"6703829")</f>
        <v>6703829</v>
      </c>
      <c r="E677" s="3" t="str">
        <f>IFERROR(__xludf.DUMMYFUNCTION("""COMPUTED_VALUE"""),"12")</f>
        <v>12</v>
      </c>
      <c r="F677" s="3" t="str">
        <f>IFERROR(__xludf.DUMMYFUNCTION("""COMPUTED_VALUE"""),"นพอ.ชัญญาพัฒน์ ทัศนวิภาส")</f>
        <v>นพอ.ชัญญาพัฒน์ ทัศนวิภาส</v>
      </c>
      <c r="G6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7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77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677" s="12">
        <f>IFERROR(__xludf.DUMMYFUNCTION("""COMPUTED_VALUE"""),46078.0)</f>
        <v>46078</v>
      </c>
      <c r="K677" s="3" t="str">
        <f>IFERROR(__xludf.DUMMYFUNCTION("""COMPUTED_VALUE"""),"1200-2000")</f>
        <v>1200-2000</v>
      </c>
      <c r="L677" s="3">
        <f>IFERROR(__xludf.DUMMYFUNCTION("""COMPUTED_VALUE"""),8.0)</f>
        <v>8</v>
      </c>
      <c r="M67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7" s="14" t="str">
        <f>IFERROR(__xludf.DUMMYFUNCTION("""COMPUTED_VALUE"""),"https://lh5.googleusercontent.com/d/1iumkGII8CWeHPJPm1Ds7Vzl2bwNidr8-")</f>
        <v>https://lh5.googleusercontent.com/d/1iumkGII8CWeHPJPm1Ds7Vzl2bwNidr8-</v>
      </c>
      <c r="O677" s="14" t="str">
        <f>IFERROR(__xludf.DUMMYFUNCTION("""COMPUTED_VALUE"""),"https://drive.google.com/file/d/1nT8tXES7uZxeyS5XFx6ABaPq1pQue5uf/view?usp=drivesdk")</f>
        <v>https://drive.google.com/file/d/1nT8tXES7uZxeyS5XFx6ABaPq1pQue5uf/view?usp=drivesdk</v>
      </c>
    </row>
    <row r="678">
      <c r="A678" s="3">
        <f>IFERROR(__xludf.DUMMYFUNCTION("""COMPUTED_VALUE"""),3085.0)</f>
        <v>3085</v>
      </c>
      <c r="B678" s="11">
        <f>IFERROR(__xludf.DUMMYFUNCTION("""COMPUTED_VALUE"""),46178.44102131944)</f>
        <v>46178.44102</v>
      </c>
      <c r="C678" s="3" t="str">
        <f>IFERROR(__xludf.DUMMYFUNCTION("""COMPUTED_VALUE"""),"ชั้นปีที่ 2")</f>
        <v>ชั้นปีที่ 2</v>
      </c>
      <c r="D678" s="3" t="str">
        <f>IFERROR(__xludf.DUMMYFUNCTION("""COMPUTED_VALUE"""),"6703866")</f>
        <v>6703866</v>
      </c>
      <c r="E678" s="3" t="str">
        <f>IFERROR(__xludf.DUMMYFUNCTION("""COMPUTED_VALUE"""),"47")</f>
        <v>47</v>
      </c>
      <c r="F678" s="3" t="str">
        <f>IFERROR(__xludf.DUMMYFUNCTION("""COMPUTED_VALUE"""),"นพอ.วนัชพร กันทะตา")</f>
        <v>นพอ.วนัชพร กันทะตา</v>
      </c>
      <c r="G67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8" s="3" t="str">
        <f>IFERROR(__xludf.DUMMYFUNCTION("""COMPUTED_VALUE"""),"ค่ายเยาวชนพัฒนา ครั้งที่215")</f>
        <v>ค่ายเยาวชนพัฒนา ครั้งที่215</v>
      </c>
      <c r="I678" s="3" t="str">
        <f>IFERROR(__xludf.DUMMYFUNCTION("""COMPUTED_VALUE"""),"วัดสามบัณฑิต จ.อยุธยา")</f>
        <v>วัดสามบัณฑิต จ.อยุธยา</v>
      </c>
      <c r="J678" s="12">
        <f>IFERROR(__xludf.DUMMYFUNCTION("""COMPUTED_VALUE"""),46137.0)</f>
        <v>46137</v>
      </c>
      <c r="K678" s="3" t="str">
        <f>IFERROR(__xludf.DUMMYFUNCTION("""COMPUTED_VALUE"""),"0800-1600")</f>
        <v>0800-1600</v>
      </c>
      <c r="L678" s="3">
        <f>IFERROR(__xludf.DUMMYFUNCTION("""COMPUTED_VALUE"""),8.0)</f>
        <v>8</v>
      </c>
      <c r="M67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8" s="14" t="str">
        <f>IFERROR(__xludf.DUMMYFUNCTION("""COMPUTED_VALUE"""),"https://lh5.googleusercontent.com/d/1UxR3IAdYPhZfXsMX9D703QwBRZZSNWRZ")</f>
        <v>https://lh5.googleusercontent.com/d/1UxR3IAdYPhZfXsMX9D703QwBRZZSNWRZ</v>
      </c>
      <c r="O678" s="14" t="str">
        <f>IFERROR(__xludf.DUMMYFUNCTION("""COMPUTED_VALUE"""),"https://drive.google.com/file/d/1hSD9A70dQ9tJIqXTIFdTId7KdZgHOKPA/view?usp=drivesdk")</f>
        <v>https://drive.google.com/file/d/1hSD9A70dQ9tJIqXTIFdTId7KdZgHOKPA/view?usp=drivesdk</v>
      </c>
    </row>
    <row r="679">
      <c r="A679" s="3">
        <f>IFERROR(__xludf.DUMMYFUNCTION("""COMPUTED_VALUE"""),3086.0)</f>
        <v>3086</v>
      </c>
      <c r="B679" s="11">
        <f>IFERROR(__xludf.DUMMYFUNCTION("""COMPUTED_VALUE"""),46178.44210811343)</f>
        <v>46178.44211</v>
      </c>
      <c r="C679" s="3" t="str">
        <f>IFERROR(__xludf.DUMMYFUNCTION("""COMPUTED_VALUE"""),"ชั้นปีที่ 2")</f>
        <v>ชั้นปีที่ 2</v>
      </c>
      <c r="D679" s="3" t="str">
        <f>IFERROR(__xludf.DUMMYFUNCTION("""COMPUTED_VALUE"""),"6703864")</f>
        <v>6703864</v>
      </c>
      <c r="E679" s="3" t="str">
        <f>IFERROR(__xludf.DUMMYFUNCTION("""COMPUTED_VALUE"""),"45")</f>
        <v>45</v>
      </c>
      <c r="F679" s="3" t="str">
        <f>IFERROR(__xludf.DUMMYFUNCTION("""COMPUTED_VALUE"""),"นพอ.รมิตา ธัยยาวัฒน์")</f>
        <v>นพอ.รมิตา ธัยยาวัฒน์</v>
      </c>
      <c r="G6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9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679" s="3" t="str">
        <f>IFERROR(__xludf.DUMMYFUNCTION("""COMPUTED_VALUE"""),"กองบิน6")</f>
        <v>กองบิน6</v>
      </c>
      <c r="J679" s="12">
        <f>IFERROR(__xludf.DUMMYFUNCTION("""COMPUTED_VALUE"""),46032.0)</f>
        <v>46032</v>
      </c>
      <c r="K679" s="3" t="str">
        <f>IFERROR(__xludf.DUMMYFUNCTION("""COMPUTED_VALUE"""),"0600-1400")</f>
        <v>0600-1400</v>
      </c>
      <c r="L679" s="3">
        <f>IFERROR(__xludf.DUMMYFUNCTION("""COMPUTED_VALUE"""),8.0)</f>
        <v>8</v>
      </c>
      <c r="M67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9" s="14" t="str">
        <f>IFERROR(__xludf.DUMMYFUNCTION("""COMPUTED_VALUE"""),"https://lh5.googleusercontent.com/d/1HybTNIAqNsYcRMyrBjRhVgg4fRX-bXLX")</f>
        <v>https://lh5.googleusercontent.com/d/1HybTNIAqNsYcRMyrBjRhVgg4fRX-bXLX</v>
      </c>
      <c r="O679" s="14" t="str">
        <f>IFERROR(__xludf.DUMMYFUNCTION("""COMPUTED_VALUE"""),"https://drive.google.com/file/d/1R0IFzxSRcu3ts37qjUzjpn9vqlgNEB2i/view?usp=drivesdk")</f>
        <v>https://drive.google.com/file/d/1R0IFzxSRcu3ts37qjUzjpn9vqlgNEB2i/view?usp=drivesdk</v>
      </c>
    </row>
    <row r="680">
      <c r="A680" s="3">
        <f>IFERROR(__xludf.DUMMYFUNCTION("""COMPUTED_VALUE"""),3087.0)</f>
        <v>3087</v>
      </c>
      <c r="B680" s="11">
        <f>IFERROR(__xludf.DUMMYFUNCTION("""COMPUTED_VALUE"""),46178.44256966435)</f>
        <v>46178.44257</v>
      </c>
      <c r="C680" s="3" t="str">
        <f>IFERROR(__xludf.DUMMYFUNCTION("""COMPUTED_VALUE"""),"ชั้นปีที่ 2")</f>
        <v>ชั้นปีที่ 2</v>
      </c>
      <c r="D680" s="3" t="str">
        <f>IFERROR(__xludf.DUMMYFUNCTION("""COMPUTED_VALUE"""),"6703861")</f>
        <v>6703861</v>
      </c>
      <c r="E680" s="3" t="str">
        <f>IFERROR(__xludf.DUMMYFUNCTION("""COMPUTED_VALUE"""),"42")</f>
        <v>42</v>
      </c>
      <c r="F680" s="3" t="str">
        <f>IFERROR(__xludf.DUMMYFUNCTION("""COMPUTED_VALUE"""),"นพอ.เพ็ญพิชชา จันทระพงษ์")</f>
        <v>นพอ.เพ็ญพิชชา จันทระพงษ์</v>
      </c>
      <c r="G680" s="3" t="str">
        <f>IFERROR(__xludf.DUMMYFUNCTION("""COMPUTED_VALUE"""),"ช่วยเหลืองานภายใน วพอ.")</f>
        <v>ช่วยเหลืองานภายใน วพอ.</v>
      </c>
      <c r="H680" s="3" t="str">
        <f>IFERROR(__xludf.DUMMYFUNCTION("""COMPUTED_VALUE"""),"ซ้อมเต้นเพลง ฉันมีความสุข")</f>
        <v>ซ้อมเต้นเพลง ฉันมีความสุข</v>
      </c>
      <c r="I680" s="3" t="str">
        <f>IFERROR(__xludf.DUMMYFUNCTION("""COMPUTED_VALUE"""),"วพอ.พอ.")</f>
        <v>วพอ.พอ.</v>
      </c>
      <c r="J680" s="12">
        <f>IFERROR(__xludf.DUMMYFUNCTION("""COMPUTED_VALUE"""),46177.0)</f>
        <v>46177</v>
      </c>
      <c r="K680" s="3" t="str">
        <f>IFERROR(__xludf.DUMMYFUNCTION("""COMPUTED_VALUE"""),"1800-1900")</f>
        <v>1800-1900</v>
      </c>
      <c r="L680" s="3">
        <f>IFERROR(__xludf.DUMMYFUNCTION("""COMPUTED_VALUE"""),1.0)</f>
        <v>1</v>
      </c>
      <c r="M680" s="3" t="str">
        <f>IFERROR(__xludf.DUMMYFUNCTION("""COMPUTED_VALUE"""),"ร.อ.หญิง เบญญาดา บุรีรัตน์")</f>
        <v>ร.อ.หญิง เบญญาดา บุรีรัตน์</v>
      </c>
      <c r="N680" s="14" t="str">
        <f>IFERROR(__xludf.DUMMYFUNCTION("""COMPUTED_VALUE"""),"https://lh5.googleusercontent.com/d/19ve7L-Zynh7xjqx2mZt9VSKDuVBSrX5P")</f>
        <v>https://lh5.googleusercontent.com/d/19ve7L-Zynh7xjqx2mZt9VSKDuVBSrX5P</v>
      </c>
      <c r="O680" s="14" t="str">
        <f>IFERROR(__xludf.DUMMYFUNCTION("""COMPUTED_VALUE"""),"https://drive.google.com/file/d/1ui1QuJ9luRxevt8r0v21KGxVZT1F9y9J/view?usp=drivesdk")</f>
        <v>https://drive.google.com/file/d/1ui1QuJ9luRxevt8r0v21KGxVZT1F9y9J/view?usp=drivesdk</v>
      </c>
    </row>
    <row r="681">
      <c r="A681" s="3">
        <f>IFERROR(__xludf.DUMMYFUNCTION("""COMPUTED_VALUE"""),3091.0)</f>
        <v>3091</v>
      </c>
      <c r="B681" s="11">
        <f>IFERROR(__xludf.DUMMYFUNCTION("""COMPUTED_VALUE"""),46178.44309637732)</f>
        <v>46178.4431</v>
      </c>
      <c r="C681" s="3" t="str">
        <f>IFERROR(__xludf.DUMMYFUNCTION("""COMPUTED_VALUE"""),"ชั้นปีที่ 2")</f>
        <v>ชั้นปีที่ 2</v>
      </c>
      <c r="D681" s="3" t="str">
        <f>IFERROR(__xludf.DUMMYFUNCTION("""COMPUTED_VALUE"""),"6703866")</f>
        <v>6703866</v>
      </c>
      <c r="E681" s="3" t="str">
        <f>IFERROR(__xludf.DUMMYFUNCTION("""COMPUTED_VALUE"""),"47")</f>
        <v>47</v>
      </c>
      <c r="F681" s="3" t="str">
        <f>IFERROR(__xludf.DUMMYFUNCTION("""COMPUTED_VALUE"""),"นพอ.วนัชพร กันทะตา")</f>
        <v>นพอ.วนัชพร กันทะตา</v>
      </c>
      <c r="G6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1" s="3" t="str">
        <f>IFERROR(__xludf.DUMMYFUNCTION("""COMPUTED_VALUE"""),"ค่ายเยาวชนพัฒนา ครั้งที่215")</f>
        <v>ค่ายเยาวชนพัฒนา ครั้งที่215</v>
      </c>
      <c r="I681" s="3" t="str">
        <f>IFERROR(__xludf.DUMMYFUNCTION("""COMPUTED_VALUE"""),"วัดสามบัณฑิต จ.อยุธยา")</f>
        <v>วัดสามบัณฑิต จ.อยุธยา</v>
      </c>
      <c r="J681" s="12">
        <f>IFERROR(__xludf.DUMMYFUNCTION("""COMPUTED_VALUE"""),46138.0)</f>
        <v>46138</v>
      </c>
      <c r="K681" s="3" t="str">
        <f>IFERROR(__xludf.DUMMYFUNCTION("""COMPUTED_VALUE"""),"0800-1600")</f>
        <v>0800-1600</v>
      </c>
      <c r="L681" s="3">
        <f>IFERROR(__xludf.DUMMYFUNCTION("""COMPUTED_VALUE"""),8.0)</f>
        <v>8</v>
      </c>
      <c r="M68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1" s="14" t="str">
        <f>IFERROR(__xludf.DUMMYFUNCTION("""COMPUTED_VALUE"""),"https://lh5.googleusercontent.com/d/1dE__8hfPW-cLLsiK1N7P9zY6GWzqNMHm")</f>
        <v>https://lh5.googleusercontent.com/d/1dE__8hfPW-cLLsiK1N7P9zY6GWzqNMHm</v>
      </c>
      <c r="O681" s="14" t="str">
        <f>IFERROR(__xludf.DUMMYFUNCTION("""COMPUTED_VALUE"""),"https://drive.google.com/file/d/1tuR_tulW9c9Gc4aAVpHyp5x1_JPibna5/view?usp=drivesdk")</f>
        <v>https://drive.google.com/file/d/1tuR_tulW9c9Gc4aAVpHyp5x1_JPibna5/view?usp=drivesdk</v>
      </c>
    </row>
    <row r="682">
      <c r="A682" s="3">
        <f>IFERROR(__xludf.DUMMYFUNCTION("""COMPUTED_VALUE"""),3093.0)</f>
        <v>3093</v>
      </c>
      <c r="B682" s="11">
        <f>IFERROR(__xludf.DUMMYFUNCTION("""COMPUTED_VALUE"""),46178.44420878473)</f>
        <v>46178.44421</v>
      </c>
      <c r="C682" s="3" t="str">
        <f>IFERROR(__xludf.DUMMYFUNCTION("""COMPUTED_VALUE"""),"ชั้นปีที่ 2")</f>
        <v>ชั้นปีที่ 2</v>
      </c>
      <c r="D682" s="3" t="str">
        <f>IFERROR(__xludf.DUMMYFUNCTION("""COMPUTED_VALUE"""),"6703864")</f>
        <v>6703864</v>
      </c>
      <c r="E682" s="3" t="str">
        <f>IFERROR(__xludf.DUMMYFUNCTION("""COMPUTED_VALUE"""),"45")</f>
        <v>45</v>
      </c>
      <c r="F682" s="3" t="str">
        <f>IFERROR(__xludf.DUMMYFUNCTION("""COMPUTED_VALUE"""),"นพอ.รมิตา ธัยยาวัฒน์")</f>
        <v>นพอ.รมิตา ธัยยาวัฒน์</v>
      </c>
      <c r="G682" s="3" t="str">
        <f>IFERROR(__xludf.DUMMYFUNCTION("""COMPUTED_VALUE"""),"ช่วยเหลืองานภายใน วพอ.")</f>
        <v>ช่วยเหลืองานภายใน วพอ.</v>
      </c>
      <c r="H682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682" s="3" t="str">
        <f>IFERROR(__xludf.DUMMYFUNCTION("""COMPUTED_VALUE"""),"อาคารสำนักงานชั้น4")</f>
        <v>อาคารสำนักงานชั้น4</v>
      </c>
      <c r="J682" s="12">
        <f>IFERROR(__xludf.DUMMYFUNCTION("""COMPUTED_VALUE"""),46147.0)</f>
        <v>46147</v>
      </c>
      <c r="K682" s="3" t="str">
        <f>IFERROR(__xludf.DUMMYFUNCTION("""COMPUTED_VALUE"""),"1500-1800")</f>
        <v>1500-1800</v>
      </c>
      <c r="L682" s="3">
        <f>IFERROR(__xludf.DUMMYFUNCTION("""COMPUTED_VALUE"""),3.0)</f>
        <v>3</v>
      </c>
      <c r="M682" s="3" t="str">
        <f>IFERROR(__xludf.DUMMYFUNCTION("""COMPUTED_VALUE"""),"น.ต.ศักชัย บุญประสิทธิ์")</f>
        <v>น.ต.ศักชัย บุญประสิทธิ์</v>
      </c>
      <c r="N682" s="14" t="str">
        <f>IFERROR(__xludf.DUMMYFUNCTION("""COMPUTED_VALUE"""),"https://lh5.googleusercontent.com/d/11SfL7ED8KQI7rCbD0xX77i8dcyg8YPBL")</f>
        <v>https://lh5.googleusercontent.com/d/11SfL7ED8KQI7rCbD0xX77i8dcyg8YPBL</v>
      </c>
      <c r="O682" s="14" t="str">
        <f>IFERROR(__xludf.DUMMYFUNCTION("""COMPUTED_VALUE"""),"https://drive.google.com/file/d/1Ht6MaDTxewqxKNGlOS2kLLTMWZ0y8_DT/view?usp=drivesdk")</f>
        <v>https://drive.google.com/file/d/1Ht6MaDTxewqxKNGlOS2kLLTMWZ0y8_DT/view?usp=drivesdk</v>
      </c>
    </row>
    <row r="683">
      <c r="A683" s="3">
        <f>IFERROR(__xludf.DUMMYFUNCTION("""COMPUTED_VALUE"""),3095.0)</f>
        <v>3095</v>
      </c>
      <c r="B683" s="11">
        <f>IFERROR(__xludf.DUMMYFUNCTION("""COMPUTED_VALUE"""),46178.44567752315)</f>
        <v>46178.44568</v>
      </c>
      <c r="C683" s="3" t="str">
        <f>IFERROR(__xludf.DUMMYFUNCTION("""COMPUTED_VALUE"""),"ชั้นปีที่ 2")</f>
        <v>ชั้นปีที่ 2</v>
      </c>
      <c r="D683" s="3" t="str">
        <f>IFERROR(__xludf.DUMMYFUNCTION("""COMPUTED_VALUE"""),"6703861")</f>
        <v>6703861</v>
      </c>
      <c r="E683" s="3" t="str">
        <f>IFERROR(__xludf.DUMMYFUNCTION("""COMPUTED_VALUE"""),"42")</f>
        <v>42</v>
      </c>
      <c r="F683" s="3" t="str">
        <f>IFERROR(__xludf.DUMMYFUNCTION("""COMPUTED_VALUE"""),"นพอ.เพ็ญพิชชา จันทระพงษ์")</f>
        <v>นพอ.เพ็ญพิชชา จันทระพงษ์</v>
      </c>
      <c r="G683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683" s="3" t="str">
        <f>IFERROR(__xludf.DUMMYFUNCTION("""COMPUTED_VALUE"""),"วันเฉลิมพระชนมพรรษา")</f>
        <v>วันเฉลิมพระชนมพรรษา</v>
      </c>
      <c r="I683" s="3" t="str">
        <f>IFERROR(__xludf.DUMMYFUNCTION("""COMPUTED_VALUE"""),"ท้องสนามหลวง")</f>
        <v>ท้องสนามหลวง</v>
      </c>
      <c r="J683" s="12">
        <f>IFERROR(__xludf.DUMMYFUNCTION("""COMPUTED_VALUE"""),46176.0)</f>
        <v>46176</v>
      </c>
      <c r="K683" s="3" t="str">
        <f>IFERROR(__xludf.DUMMYFUNCTION("""COMPUTED_VALUE"""),"1700-1800")</f>
        <v>1700-1800</v>
      </c>
      <c r="L683" s="3">
        <f>IFERROR(__xludf.DUMMYFUNCTION("""COMPUTED_VALUE"""),1.0)</f>
        <v>1</v>
      </c>
      <c r="M683" s="3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683" s="14" t="str">
        <f>IFERROR(__xludf.DUMMYFUNCTION("""COMPUTED_VALUE"""),"https://lh5.googleusercontent.com/d/1PH4gaLEcS1K1irDjxQK7Bh9GVRhV_YNt")</f>
        <v>https://lh5.googleusercontent.com/d/1PH4gaLEcS1K1irDjxQK7Bh9GVRhV_YNt</v>
      </c>
      <c r="O683" s="14" t="str">
        <f>IFERROR(__xludf.DUMMYFUNCTION("""COMPUTED_VALUE"""),"https://drive.google.com/file/d/1eX_u00HnPAEwoOae_aHtorzvC18r6ayk/view?usp=drivesdk")</f>
        <v>https://drive.google.com/file/d/1eX_u00HnPAEwoOae_aHtorzvC18r6ayk/view?usp=drivesdk</v>
      </c>
    </row>
    <row r="684">
      <c r="A684" s="3">
        <f>IFERROR(__xludf.DUMMYFUNCTION("""COMPUTED_VALUE"""),3097.0)</f>
        <v>3097</v>
      </c>
      <c r="B684" s="11">
        <f>IFERROR(__xludf.DUMMYFUNCTION("""COMPUTED_VALUE"""),46178.44703195602)</f>
        <v>46178.44703</v>
      </c>
      <c r="C684" s="3" t="str">
        <f>IFERROR(__xludf.DUMMYFUNCTION("""COMPUTED_VALUE"""),"ชั้นปีที่ 2")</f>
        <v>ชั้นปีที่ 2</v>
      </c>
      <c r="D684" s="3" t="str">
        <f>IFERROR(__xludf.DUMMYFUNCTION("""COMPUTED_VALUE"""),"6703864")</f>
        <v>6703864</v>
      </c>
      <c r="E684" s="3" t="str">
        <f>IFERROR(__xludf.DUMMYFUNCTION("""COMPUTED_VALUE"""),"45")</f>
        <v>45</v>
      </c>
      <c r="F684" s="3" t="str">
        <f>IFERROR(__xludf.DUMMYFUNCTION("""COMPUTED_VALUE"""),"นพอ.รมิตา ธัยยาวัฒน์")</f>
        <v>นพอ.รมิตา ธัยยาวัฒน์</v>
      </c>
      <c r="G68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4" s="3" t="str">
        <f>IFERROR(__xludf.DUMMYFUNCTION("""COMPUTED_VALUE"""),"ค่ายเยาวชนพัฒนา ครั้งที่215")</f>
        <v>ค่ายเยาวชนพัฒนา ครั้งที่215</v>
      </c>
      <c r="I684" s="3" t="str">
        <f>IFERROR(__xludf.DUMMYFUNCTION("""COMPUTED_VALUE"""),"วัดสามบัณฑิต จ.อยุธยา")</f>
        <v>วัดสามบัณฑิต จ.อยุธยา</v>
      </c>
      <c r="J684" s="12">
        <f>IFERROR(__xludf.DUMMYFUNCTION("""COMPUTED_VALUE"""),46136.0)</f>
        <v>46136</v>
      </c>
      <c r="K684" s="3" t="str">
        <f>IFERROR(__xludf.DUMMYFUNCTION("""COMPUTED_VALUE"""),"1600-2400")</f>
        <v>1600-2400</v>
      </c>
      <c r="L684" s="3">
        <f>IFERROR(__xludf.DUMMYFUNCTION("""COMPUTED_VALUE"""),8.0)</f>
        <v>8</v>
      </c>
      <c r="M68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4" s="14" t="str">
        <f>IFERROR(__xludf.DUMMYFUNCTION("""COMPUTED_VALUE"""),"https://lh5.googleusercontent.com/d/1Pu542iVYMQ8oplRf6dlE9WUI_8EoHvpW")</f>
        <v>https://lh5.googleusercontent.com/d/1Pu542iVYMQ8oplRf6dlE9WUI_8EoHvpW</v>
      </c>
      <c r="O684" s="14" t="str">
        <f>IFERROR(__xludf.DUMMYFUNCTION("""COMPUTED_VALUE"""),"https://drive.google.com/file/d/1wFbMxusl6Lg1fJrttqPYO6n4Hni_Qm5V/view?usp=drivesdk")</f>
        <v>https://drive.google.com/file/d/1wFbMxusl6Lg1fJrttqPYO6n4Hni_Qm5V/view?usp=drivesdk</v>
      </c>
    </row>
    <row r="685">
      <c r="A685" s="3">
        <f>IFERROR(__xludf.DUMMYFUNCTION("""COMPUTED_VALUE"""),3098.0)</f>
        <v>3098</v>
      </c>
      <c r="B685" s="11">
        <f>IFERROR(__xludf.DUMMYFUNCTION("""COMPUTED_VALUE"""),46178.449154155096)</f>
        <v>46178.44915</v>
      </c>
      <c r="C685" s="3" t="str">
        <f>IFERROR(__xludf.DUMMYFUNCTION("""COMPUTED_VALUE"""),"ชั้นปีที่ 2")</f>
        <v>ชั้นปีที่ 2</v>
      </c>
      <c r="D685" s="3" t="str">
        <f>IFERROR(__xludf.DUMMYFUNCTION("""COMPUTED_VALUE"""),"6703864")</f>
        <v>6703864</v>
      </c>
      <c r="E685" s="3" t="str">
        <f>IFERROR(__xludf.DUMMYFUNCTION("""COMPUTED_VALUE"""),"45")</f>
        <v>45</v>
      </c>
      <c r="F685" s="3" t="str">
        <f>IFERROR(__xludf.DUMMYFUNCTION("""COMPUTED_VALUE"""),"นพอ.รมิตา ธัยยาวัฒน์")</f>
        <v>นพอ.รมิตา ธัยยาวัฒน์</v>
      </c>
      <c r="G6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5" s="3" t="str">
        <f>IFERROR(__xludf.DUMMYFUNCTION("""COMPUTED_VALUE"""),"ค่ายเยาวชนพัฒนา ครั้งที่215")</f>
        <v>ค่ายเยาวชนพัฒนา ครั้งที่215</v>
      </c>
      <c r="I685" s="3" t="str">
        <f>IFERROR(__xludf.DUMMYFUNCTION("""COMPUTED_VALUE"""),"วัดสามบัณฑิต จ.อยุธยา")</f>
        <v>วัดสามบัณฑิต จ.อยุธยา</v>
      </c>
      <c r="J685" s="12">
        <f>IFERROR(__xludf.DUMMYFUNCTION("""COMPUTED_VALUE"""),46137.0)</f>
        <v>46137</v>
      </c>
      <c r="K685" s="3" t="str">
        <f>IFERROR(__xludf.DUMMYFUNCTION("""COMPUTED_VALUE"""),"0800-1600")</f>
        <v>0800-1600</v>
      </c>
      <c r="L685" s="3">
        <f>IFERROR(__xludf.DUMMYFUNCTION("""COMPUTED_VALUE"""),8.0)</f>
        <v>8</v>
      </c>
      <c r="M68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5" s="14" t="str">
        <f>IFERROR(__xludf.DUMMYFUNCTION("""COMPUTED_VALUE"""),"https://lh5.googleusercontent.com/d/1hnk1yEhidhULQrViQ7Dk7W2J-J1Bi5-2")</f>
        <v>https://lh5.googleusercontent.com/d/1hnk1yEhidhULQrViQ7Dk7W2J-J1Bi5-2</v>
      </c>
      <c r="O685" s="14" t="str">
        <f>IFERROR(__xludf.DUMMYFUNCTION("""COMPUTED_VALUE"""),"https://drive.google.com/file/d/1bq8huc5UA_NqE_c8Bziu2u2PcZLizTTc/view?usp=drivesdk")</f>
        <v>https://drive.google.com/file/d/1bq8huc5UA_NqE_c8Bziu2u2PcZLizTTc/view?usp=drivesdk</v>
      </c>
    </row>
    <row r="686">
      <c r="A686" s="3">
        <f>IFERROR(__xludf.DUMMYFUNCTION("""COMPUTED_VALUE"""),3099.0)</f>
        <v>3099</v>
      </c>
      <c r="B686" s="11">
        <f>IFERROR(__xludf.DUMMYFUNCTION("""COMPUTED_VALUE"""),46178.45061655093)</f>
        <v>46178.45062</v>
      </c>
      <c r="C686" s="3" t="str">
        <f>IFERROR(__xludf.DUMMYFUNCTION("""COMPUTED_VALUE"""),"ชั้นปีที่ 2")</f>
        <v>ชั้นปีที่ 2</v>
      </c>
      <c r="D686" s="3" t="str">
        <f>IFERROR(__xludf.DUMMYFUNCTION("""COMPUTED_VALUE"""),"6703864")</f>
        <v>6703864</v>
      </c>
      <c r="E686" s="3" t="str">
        <f>IFERROR(__xludf.DUMMYFUNCTION("""COMPUTED_VALUE"""),"45")</f>
        <v>45</v>
      </c>
      <c r="F686" s="3" t="str">
        <f>IFERROR(__xludf.DUMMYFUNCTION("""COMPUTED_VALUE"""),"นพอ.รมิตา ธัยยาวัฒน์")</f>
        <v>นพอ.รมิตา ธัยยาวัฒน์</v>
      </c>
      <c r="G68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6" s="3" t="str">
        <f>IFERROR(__xludf.DUMMYFUNCTION("""COMPUTED_VALUE"""),"ค่ายเยาวชนพัฒนา ครั้งที่215")</f>
        <v>ค่ายเยาวชนพัฒนา ครั้งที่215</v>
      </c>
      <c r="I686" s="3" t="str">
        <f>IFERROR(__xludf.DUMMYFUNCTION("""COMPUTED_VALUE"""),"วัดสามบัณฑิต จ.อยุธยา")</f>
        <v>วัดสามบัณฑิต จ.อยุธยา</v>
      </c>
      <c r="J686" s="12">
        <f>IFERROR(__xludf.DUMMYFUNCTION("""COMPUTED_VALUE"""),46138.0)</f>
        <v>46138</v>
      </c>
      <c r="K686" s="3" t="str">
        <f>IFERROR(__xludf.DUMMYFUNCTION("""COMPUTED_VALUE"""),"0800-1600")</f>
        <v>0800-1600</v>
      </c>
      <c r="L686" s="3">
        <f>IFERROR(__xludf.DUMMYFUNCTION("""COMPUTED_VALUE"""),8.0)</f>
        <v>8</v>
      </c>
      <c r="M68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6" s="14" t="str">
        <f>IFERROR(__xludf.DUMMYFUNCTION("""COMPUTED_VALUE"""),"https://lh5.googleusercontent.com/d/1yD_OT5WV6pfDdYLq-IWs7h2COBQQT_3D")</f>
        <v>https://lh5.googleusercontent.com/d/1yD_OT5WV6pfDdYLq-IWs7h2COBQQT_3D</v>
      </c>
      <c r="O686" s="14" t="str">
        <f>IFERROR(__xludf.DUMMYFUNCTION("""COMPUTED_VALUE"""),"https://drive.google.com/file/d/1fTjCFpI5un_WZzKxnzIYBcrnfayFnV0r/view?usp=drivesdk")</f>
        <v>https://drive.google.com/file/d/1fTjCFpI5un_WZzKxnzIYBcrnfayFnV0r/view?usp=drivesdk</v>
      </c>
    </row>
    <row r="687">
      <c r="A687" s="3">
        <f>IFERROR(__xludf.DUMMYFUNCTION("""COMPUTED_VALUE"""),3106.0)</f>
        <v>3106</v>
      </c>
      <c r="B687" s="11">
        <f>IFERROR(__xludf.DUMMYFUNCTION("""COMPUTED_VALUE"""),46178.45543466435)</f>
        <v>46178.45543</v>
      </c>
      <c r="C687" s="3" t="str">
        <f>IFERROR(__xludf.DUMMYFUNCTION("""COMPUTED_VALUE"""),"ชั้นปีที่ 2")</f>
        <v>ชั้นปีที่ 2</v>
      </c>
      <c r="D687" s="3" t="str">
        <f>IFERROR(__xludf.DUMMYFUNCTION("""COMPUTED_VALUE"""),"6703868")</f>
        <v>6703868</v>
      </c>
      <c r="E687" s="3" t="str">
        <f>IFERROR(__xludf.DUMMYFUNCTION("""COMPUTED_VALUE"""),"49")</f>
        <v>49</v>
      </c>
      <c r="F687" s="3" t="str">
        <f>IFERROR(__xludf.DUMMYFUNCTION("""COMPUTED_VALUE"""),"นพอ.วราภรณ์ กาสี")</f>
        <v>นพอ.วราภรณ์ กาสี</v>
      </c>
      <c r="G687" s="3" t="str">
        <f>IFERROR(__xludf.DUMMYFUNCTION("""COMPUTED_VALUE"""),"ช่วยเหลืองานภายใน วพอ.")</f>
        <v>ช่วยเหลืองานภายใน วพอ.</v>
      </c>
      <c r="H687" s="3" t="str">
        <f>IFERROR(__xludf.DUMMYFUNCTION("""COMPUTED_VALUE"""),"ซ้อมงานพิธีรับหมวกพยาบาลวิชาชีพ ปีการศึกษา 2568")</f>
        <v>ซ้อมงานพิธีรับหมวกพยาบาลวิชาชีพ ปีการศึกษา 2568</v>
      </c>
      <c r="I687" s="3" t="str">
        <f>IFERROR(__xludf.DUMMYFUNCTION("""COMPUTED_VALUE"""),"วพอ.พอ")</f>
        <v>วพอ.พอ</v>
      </c>
      <c r="J687" s="12">
        <f>IFERROR(__xludf.DUMMYFUNCTION("""COMPUTED_VALUE"""),46135.0)</f>
        <v>46135</v>
      </c>
      <c r="K687" s="3" t="str">
        <f>IFERROR(__xludf.DUMMYFUNCTION("""COMPUTED_VALUE"""),"1700-2100")</f>
        <v>1700-2100</v>
      </c>
      <c r="L687" s="3">
        <f>IFERROR(__xludf.DUMMYFUNCTION("""COMPUTED_VALUE"""),4.0)</f>
        <v>4</v>
      </c>
      <c r="M687" s="3" t="str">
        <f>IFERROR(__xludf.DUMMYFUNCTION("""COMPUTED_VALUE"""),"ร.อ.อนุชิต ทำจะดี")</f>
        <v>ร.อ.อนุชิต ทำจะดี</v>
      </c>
      <c r="N687" s="14" t="str">
        <f>IFERROR(__xludf.DUMMYFUNCTION("""COMPUTED_VALUE"""),"https://lh5.googleusercontent.com/d/1RUgP9KTMx89oPjguANQlg8GVfdJeydCb")</f>
        <v>https://lh5.googleusercontent.com/d/1RUgP9KTMx89oPjguANQlg8GVfdJeydCb</v>
      </c>
      <c r="O687" s="14" t="str">
        <f>IFERROR(__xludf.DUMMYFUNCTION("""COMPUTED_VALUE"""),"https://drive.google.com/file/d/1EZ8Ao2NRja0sSNSYxSXtiHTnXixVmXZi/view?usp=drivesdk")</f>
        <v>https://drive.google.com/file/d/1EZ8Ao2NRja0sSNSYxSXtiHTnXixVmXZi/view?usp=drivesdk</v>
      </c>
    </row>
    <row r="688">
      <c r="A688" s="3">
        <f>IFERROR(__xludf.DUMMYFUNCTION("""COMPUTED_VALUE"""),3107.0)</f>
        <v>3107</v>
      </c>
      <c r="B688" s="11">
        <f>IFERROR(__xludf.DUMMYFUNCTION("""COMPUTED_VALUE"""),46178.45618686343)</f>
        <v>46178.45619</v>
      </c>
      <c r="C688" s="3" t="str">
        <f>IFERROR(__xludf.DUMMYFUNCTION("""COMPUTED_VALUE"""),"ชั้นปีที่ 2")</f>
        <v>ชั้นปีที่ 2</v>
      </c>
      <c r="D688" s="3" t="str">
        <f>IFERROR(__xludf.DUMMYFUNCTION("""COMPUTED_VALUE"""),"6703861")</f>
        <v>6703861</v>
      </c>
      <c r="E688" s="3" t="str">
        <f>IFERROR(__xludf.DUMMYFUNCTION("""COMPUTED_VALUE"""),"42")</f>
        <v>42</v>
      </c>
      <c r="F688" s="3" t="str">
        <f>IFERROR(__xludf.DUMMYFUNCTION("""COMPUTED_VALUE"""),"นพอ.เพ็ญพิชชา จันทระพงษ์")</f>
        <v>นพอ.เพ็ญพิชชา จันทระพงษ์</v>
      </c>
      <c r="G68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88" s="3" t="str">
        <f>IFERROR(__xludf.DUMMYFUNCTION("""COMPUTED_VALUE"""),"บริจาคโลหิต")</f>
        <v>บริจาคโลหิต</v>
      </c>
      <c r="I688" s="3" t="str">
        <f>IFERROR(__xludf.DUMMYFUNCTION("""COMPUTED_VALUE"""),"กองบริการโลหิต รพ.ภูมิพลอดุลยเดช")</f>
        <v>กองบริการโลหิต รพ.ภูมิพลอดุลยเดช</v>
      </c>
      <c r="J688" s="12">
        <f>IFERROR(__xludf.DUMMYFUNCTION("""COMPUTED_VALUE"""),46177.0)</f>
        <v>46177</v>
      </c>
      <c r="K688" s="3" t="str">
        <f>IFERROR(__xludf.DUMMYFUNCTION("""COMPUTED_VALUE"""),"1430-1530")</f>
        <v>1430-1530</v>
      </c>
      <c r="L688" s="3">
        <f>IFERROR(__xludf.DUMMYFUNCTION("""COMPUTED_VALUE"""),8.0)</f>
        <v>8</v>
      </c>
      <c r="M688" s="3" t="str">
        <f>IFERROR(__xludf.DUMMYFUNCTION("""COMPUTED_VALUE"""),"ร.ท.เรวัติ วัชรสิทธิ์")</f>
        <v>ร.ท.เรวัติ วัชรสิทธิ์</v>
      </c>
      <c r="N688" s="14" t="str">
        <f>IFERROR(__xludf.DUMMYFUNCTION("""COMPUTED_VALUE"""),"https://lh5.googleusercontent.com/d/1EG9ErYiDtR-U8FLb_54LSWwRhGcJ5aFn")</f>
        <v>https://lh5.googleusercontent.com/d/1EG9ErYiDtR-U8FLb_54LSWwRhGcJ5aFn</v>
      </c>
      <c r="O688" s="14" t="str">
        <f>IFERROR(__xludf.DUMMYFUNCTION("""COMPUTED_VALUE"""),"https://drive.google.com/file/d/1eTOSDrvxtnqHayVJ02Yk2gO42Ny3VNEZ/view?usp=drivesdk")</f>
        <v>https://drive.google.com/file/d/1eTOSDrvxtnqHayVJ02Yk2gO42Ny3VNEZ/view?usp=drivesdk</v>
      </c>
    </row>
    <row r="689">
      <c r="A689" s="3">
        <f>IFERROR(__xludf.DUMMYFUNCTION("""COMPUTED_VALUE"""),3110.0)</f>
        <v>3110</v>
      </c>
      <c r="B689" s="11">
        <f>IFERROR(__xludf.DUMMYFUNCTION("""COMPUTED_VALUE"""),46178.45725461806)</f>
        <v>46178.45725</v>
      </c>
      <c r="C689" s="3" t="str">
        <f>IFERROR(__xludf.DUMMYFUNCTION("""COMPUTED_VALUE"""),"ชั้นปีที่ 2")</f>
        <v>ชั้นปีที่ 2</v>
      </c>
      <c r="D689" s="3" t="str">
        <f>IFERROR(__xludf.DUMMYFUNCTION("""COMPUTED_VALUE"""),"6703878")</f>
        <v>6703878</v>
      </c>
      <c r="E689" s="3" t="str">
        <f>IFERROR(__xludf.DUMMYFUNCTION("""COMPUTED_VALUE"""),"58")</f>
        <v>58</v>
      </c>
      <c r="F689" s="3" t="str">
        <f>IFERROR(__xludf.DUMMYFUNCTION("""COMPUTED_VALUE"""),"นพอ.สุชาสินี ป้อมพยัคฆ์")</f>
        <v>นพอ.สุชาสินี ป้อมพยัคฆ์</v>
      </c>
      <c r="G689" s="3" t="str">
        <f>IFERROR(__xludf.DUMMYFUNCTION("""COMPUTED_VALUE"""),"ช่วยเหลืองานภายใน วพอ.")</f>
        <v>ช่วยเหลืองานภายใน วพอ.</v>
      </c>
      <c r="H689" s="3" t="str">
        <f>IFERROR(__xludf.DUMMYFUNCTION("""COMPUTED_VALUE"""),"ปรับปรุงทัศนียภาพใน วพอ.พอ.")</f>
        <v>ปรับปรุงทัศนียภาพใน วพอ.พอ.</v>
      </c>
      <c r="I689" s="3" t="str">
        <f>IFERROR(__xludf.DUMMYFUNCTION("""COMPUTED_VALUE"""),"วพอ.พอ.")</f>
        <v>วพอ.พอ.</v>
      </c>
      <c r="J689" s="12">
        <f>IFERROR(__xludf.DUMMYFUNCTION("""COMPUTED_VALUE"""),46177.0)</f>
        <v>46177</v>
      </c>
      <c r="K689" s="3" t="str">
        <f>IFERROR(__xludf.DUMMYFUNCTION("""COMPUTED_VALUE"""),"1430-1730")</f>
        <v>1430-1730</v>
      </c>
      <c r="L689" s="3">
        <f>IFERROR(__xludf.DUMMYFUNCTION("""COMPUTED_VALUE"""),3.0)</f>
        <v>3</v>
      </c>
      <c r="M689" s="3" t="str">
        <f>IFERROR(__xludf.DUMMYFUNCTION("""COMPUTED_VALUE"""),"น.อ.หญิง ผศ. นิตยา สุขแสน")</f>
        <v>น.อ.หญิง ผศ. นิตยา สุขแสน</v>
      </c>
      <c r="N689" s="14" t="str">
        <f>IFERROR(__xludf.DUMMYFUNCTION("""COMPUTED_VALUE"""),"https://lh5.googleusercontent.com/d/1ervWWHLzFboeeiXKWc4t7LA7WmDkQNcu")</f>
        <v>https://lh5.googleusercontent.com/d/1ervWWHLzFboeeiXKWc4t7LA7WmDkQNcu</v>
      </c>
      <c r="O689" s="14" t="str">
        <f>IFERROR(__xludf.DUMMYFUNCTION("""COMPUTED_VALUE"""),"https://drive.google.com/file/d/1HH2ckPPIT8TIbgjhPEjuXxl6O4DGACn_/view?usp=drivesdk")</f>
        <v>https://drive.google.com/file/d/1HH2ckPPIT8TIbgjhPEjuXxl6O4DGACn_/view?usp=drivesdk</v>
      </c>
    </row>
    <row r="690">
      <c r="A690" s="3">
        <f>IFERROR(__xludf.DUMMYFUNCTION("""COMPUTED_VALUE"""),3111.0)</f>
        <v>3111</v>
      </c>
      <c r="B690" s="11">
        <f>IFERROR(__xludf.DUMMYFUNCTION("""COMPUTED_VALUE"""),46178.45768986111)</f>
        <v>46178.45769</v>
      </c>
      <c r="C690" s="3" t="str">
        <f>IFERROR(__xludf.DUMMYFUNCTION("""COMPUTED_VALUE"""),"ชั้นปีที่ 2")</f>
        <v>ชั้นปีที่ 2</v>
      </c>
      <c r="D690" s="3" t="str">
        <f>IFERROR(__xludf.DUMMYFUNCTION("""COMPUTED_VALUE"""),"6703844")</f>
        <v>6703844</v>
      </c>
      <c r="E690" s="3" t="str">
        <f>IFERROR(__xludf.DUMMYFUNCTION("""COMPUTED_VALUE"""),"26")</f>
        <v>26</v>
      </c>
      <c r="F690" s="3" t="str">
        <f>IFERROR(__xludf.DUMMYFUNCTION("""COMPUTED_VALUE"""),"นพอ.นพชกร ทิวแพ")</f>
        <v>นพอ.นพชกร ทิวแพ</v>
      </c>
      <c r="G690" s="3" t="str">
        <f>IFERROR(__xludf.DUMMYFUNCTION("""COMPUTED_VALUE"""),"ช่วยเหลืองานภายใน วพอ.")</f>
        <v>ช่วยเหลืองานภายใน วพอ.</v>
      </c>
      <c r="H690" s="3" t="str">
        <f>IFERROR(__xludf.DUMMYFUNCTION("""COMPUTED_VALUE"""),"ปรับปรุงทัศนียภาพใน วพอ.พอ.")</f>
        <v>ปรับปรุงทัศนียภาพใน วพอ.พอ.</v>
      </c>
      <c r="I690" s="3" t="str">
        <f>IFERROR(__xludf.DUMMYFUNCTION("""COMPUTED_VALUE"""),"วพอ.พอ.")</f>
        <v>วพอ.พอ.</v>
      </c>
      <c r="J690" s="12">
        <f>IFERROR(__xludf.DUMMYFUNCTION("""COMPUTED_VALUE"""),46177.0)</f>
        <v>46177</v>
      </c>
      <c r="K690" s="3" t="str">
        <f>IFERROR(__xludf.DUMMYFUNCTION("""COMPUTED_VALUE"""),"1430-1730")</f>
        <v>1430-1730</v>
      </c>
      <c r="L690" s="3">
        <f>IFERROR(__xludf.DUMMYFUNCTION("""COMPUTED_VALUE"""),3.0)</f>
        <v>3</v>
      </c>
      <c r="M690" s="3" t="str">
        <f>IFERROR(__xludf.DUMMYFUNCTION("""COMPUTED_VALUE"""),"น.อ.หญิง ผศ.นิตยา สุขแสน")</f>
        <v>น.อ.หญิง ผศ.นิตยา สุขแสน</v>
      </c>
      <c r="N690" s="14" t="str">
        <f>IFERROR(__xludf.DUMMYFUNCTION("""COMPUTED_VALUE"""),"https://lh5.googleusercontent.com/d/1GL9jCfy_FMdk6WRw3GpeA51VELmrI1vO")</f>
        <v>https://lh5.googleusercontent.com/d/1GL9jCfy_FMdk6WRw3GpeA51VELmrI1vO</v>
      </c>
      <c r="O690" s="14" t="str">
        <f>IFERROR(__xludf.DUMMYFUNCTION("""COMPUTED_VALUE"""),"https://drive.google.com/file/d/1hNqsOZAqN0NluRLSomwXBkJ7A46mOd1k/view?usp=drivesdk")</f>
        <v>https://drive.google.com/file/d/1hNqsOZAqN0NluRLSomwXBkJ7A46mOd1k/view?usp=drivesdk</v>
      </c>
    </row>
    <row r="691">
      <c r="A691" s="3">
        <f>IFERROR(__xludf.DUMMYFUNCTION("""COMPUTED_VALUE"""),3112.0)</f>
        <v>3112</v>
      </c>
      <c r="B691" s="11">
        <f>IFERROR(__xludf.DUMMYFUNCTION("""COMPUTED_VALUE"""),46178.45807104166)</f>
        <v>46178.45807</v>
      </c>
      <c r="C691" s="3" t="str">
        <f>IFERROR(__xludf.DUMMYFUNCTION("""COMPUTED_VALUE"""),"ชั้นปีที่ 2")</f>
        <v>ชั้นปีที่ 2</v>
      </c>
      <c r="D691" s="3" t="str">
        <f>IFERROR(__xludf.DUMMYFUNCTION("""COMPUTED_VALUE"""),"6703859")</f>
        <v>6703859</v>
      </c>
      <c r="E691" s="3" t="str">
        <f>IFERROR(__xludf.DUMMYFUNCTION("""COMPUTED_VALUE"""),"40")</f>
        <v>40</v>
      </c>
      <c r="F691" s="3" t="str">
        <f>IFERROR(__xludf.DUMMYFUNCTION("""COMPUTED_VALUE"""),"นพอ.พิชญาภา ไชยพงษ์")</f>
        <v>นพอ.พิชญาภา ไชยพงษ์</v>
      </c>
      <c r="G691" s="3" t="str">
        <f>IFERROR(__xludf.DUMMYFUNCTION("""COMPUTED_VALUE"""),"ช่วยเหลืองานภายใน วพอ.")</f>
        <v>ช่วยเหลืองานภายใน วพอ.</v>
      </c>
      <c r="H691" s="3" t="str">
        <f>IFERROR(__xludf.DUMMYFUNCTION("""COMPUTED_VALUE"""),"ปรับปรุงทัศนียภาพใน วพอ.พอ.")</f>
        <v>ปรับปรุงทัศนียภาพใน วพอ.พอ.</v>
      </c>
      <c r="I691" s="3" t="str">
        <f>IFERROR(__xludf.DUMMYFUNCTION("""COMPUTED_VALUE"""),"วพอ.พอ.")</f>
        <v>วพอ.พอ.</v>
      </c>
      <c r="J691" s="12">
        <f>IFERROR(__xludf.DUMMYFUNCTION("""COMPUTED_VALUE"""),46177.0)</f>
        <v>46177</v>
      </c>
      <c r="K691" s="3" t="str">
        <f>IFERROR(__xludf.DUMMYFUNCTION("""COMPUTED_VALUE"""),"1430-1730")</f>
        <v>1430-1730</v>
      </c>
      <c r="L691" s="3">
        <f>IFERROR(__xludf.DUMMYFUNCTION("""COMPUTED_VALUE"""),3.0)</f>
        <v>3</v>
      </c>
      <c r="M691" s="3" t="str">
        <f>IFERROR(__xludf.DUMMYFUNCTION("""COMPUTED_VALUE"""),"น.อ.หญิง ผศ. นิตยา สุขแสน")</f>
        <v>น.อ.หญิง ผศ. นิตยา สุขแสน</v>
      </c>
      <c r="N691" s="14" t="str">
        <f>IFERROR(__xludf.DUMMYFUNCTION("""COMPUTED_VALUE"""),"https://lh5.googleusercontent.com/d/16qG-kQ89Rgp5INpSnJ1z-PPUXyZK6ubm")</f>
        <v>https://lh5.googleusercontent.com/d/16qG-kQ89Rgp5INpSnJ1z-PPUXyZK6ubm</v>
      </c>
      <c r="O691" s="14" t="str">
        <f>IFERROR(__xludf.DUMMYFUNCTION("""COMPUTED_VALUE"""),"https://drive.google.com/file/d/1o6ymOPZNTV4vm58KFn6hfXrfhAgpEdAF/view?usp=drivesdk")</f>
        <v>https://drive.google.com/file/d/1o6ymOPZNTV4vm58KFn6hfXrfhAgpEdAF/view?usp=drivesdk</v>
      </c>
    </row>
    <row r="692">
      <c r="A692" s="3">
        <f>IFERROR(__xludf.DUMMYFUNCTION("""COMPUTED_VALUE"""),3114.0)</f>
        <v>3114</v>
      </c>
      <c r="B692" s="11">
        <f>IFERROR(__xludf.DUMMYFUNCTION("""COMPUTED_VALUE"""),46178.458219664346)</f>
        <v>46178.45822</v>
      </c>
      <c r="C692" s="3" t="str">
        <f>IFERROR(__xludf.DUMMYFUNCTION("""COMPUTED_VALUE"""),"ชั้นปีที่ 2")</f>
        <v>ชั้นปีที่ 2</v>
      </c>
      <c r="D692" s="3" t="str">
        <f>IFERROR(__xludf.DUMMYFUNCTION("""COMPUTED_VALUE"""),"6703822")</f>
        <v>6703822</v>
      </c>
      <c r="E692" s="3" t="str">
        <f>IFERROR(__xludf.DUMMYFUNCTION("""COMPUTED_VALUE"""),"5")</f>
        <v>5</v>
      </c>
      <c r="F692" s="3" t="str">
        <f>IFERROR(__xludf.DUMMYFUNCTION("""COMPUTED_VALUE"""),"นพอ.กัณยวัลย์ เทียนบัญญัติ")</f>
        <v>นพอ.กัณยวัลย์ เทียนบัญญัติ</v>
      </c>
      <c r="G692" s="3" t="str">
        <f>IFERROR(__xludf.DUMMYFUNCTION("""COMPUTED_VALUE"""),"ช่วยเหลืองานภายใน วพอ.")</f>
        <v>ช่วยเหลืองานภายใน วพอ.</v>
      </c>
      <c r="H692" s="3" t="str">
        <f>IFERROR(__xludf.DUMMYFUNCTION("""COMPUTED_VALUE"""),"ปรับปรุงทัศนียภาพใน วพอ.พอ.")</f>
        <v>ปรับปรุงทัศนียภาพใน วพอ.พอ.</v>
      </c>
      <c r="I692" s="3" t="str">
        <f>IFERROR(__xludf.DUMMYFUNCTION("""COMPUTED_VALUE"""),"วพอ.พอ.")</f>
        <v>วพอ.พอ.</v>
      </c>
      <c r="J692" s="12">
        <f>IFERROR(__xludf.DUMMYFUNCTION("""COMPUTED_VALUE"""),46177.0)</f>
        <v>46177</v>
      </c>
      <c r="K692" s="3" t="str">
        <f>IFERROR(__xludf.DUMMYFUNCTION("""COMPUTED_VALUE"""),"1430-1730")</f>
        <v>1430-1730</v>
      </c>
      <c r="L692" s="3">
        <f>IFERROR(__xludf.DUMMYFUNCTION("""COMPUTED_VALUE"""),3.0)</f>
        <v>3</v>
      </c>
      <c r="M692" s="3" t="str">
        <f>IFERROR(__xludf.DUMMYFUNCTION("""COMPUTED_VALUE"""),"น.อ.หญิง ผศ. นิตยา สุขแสน")</f>
        <v>น.อ.หญิง ผศ. นิตยา สุขแสน</v>
      </c>
      <c r="N692" s="14" t="str">
        <f>IFERROR(__xludf.DUMMYFUNCTION("""COMPUTED_VALUE"""),"https://lh5.googleusercontent.com/d/1t7ZCDU-YwiQNAkPRpR7DEIeyet8QXAEl")</f>
        <v>https://lh5.googleusercontent.com/d/1t7ZCDU-YwiQNAkPRpR7DEIeyet8QXAEl</v>
      </c>
      <c r="O692" s="14" t="str">
        <f>IFERROR(__xludf.DUMMYFUNCTION("""COMPUTED_VALUE"""),"https://drive.google.com/file/d/1u9-dP8fsCqpX3Nn1Q4G9BQjeGx6OtpQX/view?usp=drivesdk")</f>
        <v>https://drive.google.com/file/d/1u9-dP8fsCqpX3Nn1Q4G9BQjeGx6OtpQX/view?usp=drivesdk</v>
      </c>
    </row>
    <row r="693">
      <c r="A693" s="3">
        <f>IFERROR(__xludf.DUMMYFUNCTION("""COMPUTED_VALUE"""),3117.0)</f>
        <v>3117</v>
      </c>
      <c r="B693" s="11">
        <f>IFERROR(__xludf.DUMMYFUNCTION("""COMPUTED_VALUE"""),46178.45933400463)</f>
        <v>46178.45933</v>
      </c>
      <c r="C693" s="3" t="str">
        <f>IFERROR(__xludf.DUMMYFUNCTION("""COMPUTED_VALUE"""),"ชั้นปีที่ 2")</f>
        <v>ชั้นปีที่ 2</v>
      </c>
      <c r="D693" s="3" t="str">
        <f>IFERROR(__xludf.DUMMYFUNCTION("""COMPUTED_VALUE"""),"6703826")</f>
        <v>6703826</v>
      </c>
      <c r="E693" s="3" t="str">
        <f>IFERROR(__xludf.DUMMYFUNCTION("""COMPUTED_VALUE"""),"9")</f>
        <v>9</v>
      </c>
      <c r="F693" s="3" t="str">
        <f>IFERROR(__xludf.DUMMYFUNCTION("""COMPUTED_VALUE"""),"นพอ.ชณัฐธิดา ชูชีพ")</f>
        <v>นพอ.ชณัฐธิดา ชูชีพ</v>
      </c>
      <c r="G693" s="3" t="str">
        <f>IFERROR(__xludf.DUMMYFUNCTION("""COMPUTED_VALUE"""),"ช่วยเหลืองานภายใน วพอ.")</f>
        <v>ช่วยเหลืองานภายใน วพอ.</v>
      </c>
      <c r="H693" s="3" t="str">
        <f>IFERROR(__xludf.DUMMYFUNCTION("""COMPUTED_VALUE"""),"ปรับปรุงทัศนียภาพใน วพอ.พอ.")</f>
        <v>ปรับปรุงทัศนียภาพใน วพอ.พอ.</v>
      </c>
      <c r="I693" s="3" t="str">
        <f>IFERROR(__xludf.DUMMYFUNCTION("""COMPUTED_VALUE"""),"วพอ.พอ.")</f>
        <v>วพอ.พอ.</v>
      </c>
      <c r="J693" s="12">
        <f>IFERROR(__xludf.DUMMYFUNCTION("""COMPUTED_VALUE"""),46177.0)</f>
        <v>46177</v>
      </c>
      <c r="K693" s="3" t="str">
        <f>IFERROR(__xludf.DUMMYFUNCTION("""COMPUTED_VALUE"""),"1430-1730")</f>
        <v>1430-1730</v>
      </c>
      <c r="L693" s="3">
        <f>IFERROR(__xludf.DUMMYFUNCTION("""COMPUTED_VALUE"""),3.0)</f>
        <v>3</v>
      </c>
      <c r="M693" s="3" t="str">
        <f>IFERROR(__xludf.DUMMYFUNCTION("""COMPUTED_VALUE"""),"น.อ.หญิง ผศ.นิตยา สุขแสน")</f>
        <v>น.อ.หญิง ผศ.นิตยา สุขแสน</v>
      </c>
      <c r="N693" s="14" t="str">
        <f>IFERROR(__xludf.DUMMYFUNCTION("""COMPUTED_VALUE"""),"https://lh5.googleusercontent.com/d/1mAE3Th7_2MttvJ_fsyQuH_uRI4hrM3Qp")</f>
        <v>https://lh5.googleusercontent.com/d/1mAE3Th7_2MttvJ_fsyQuH_uRI4hrM3Qp</v>
      </c>
      <c r="O693" s="14" t="str">
        <f>IFERROR(__xludf.DUMMYFUNCTION("""COMPUTED_VALUE"""),"https://drive.google.com/file/d/1FKZ-v-vAQ41KKhqSQhGiAIhBki2otIo-/view?usp=drivesdk")</f>
        <v>https://drive.google.com/file/d/1FKZ-v-vAQ41KKhqSQhGiAIhBki2otIo-/view?usp=drivesdk</v>
      </c>
    </row>
    <row r="694">
      <c r="A694" s="3">
        <f>IFERROR(__xludf.DUMMYFUNCTION("""COMPUTED_VALUE"""),3121.0)</f>
        <v>3121</v>
      </c>
      <c r="B694" s="11">
        <f>IFERROR(__xludf.DUMMYFUNCTION("""COMPUTED_VALUE"""),46178.461010659725)</f>
        <v>46178.46101</v>
      </c>
      <c r="C694" s="3" t="str">
        <f>IFERROR(__xludf.DUMMYFUNCTION("""COMPUTED_VALUE"""),"ชั้นปีที่ 2")</f>
        <v>ชั้นปีที่ 2</v>
      </c>
      <c r="D694" s="3" t="str">
        <f>IFERROR(__xludf.DUMMYFUNCTION("""COMPUTED_VALUE"""),"6703845")</f>
        <v>6703845</v>
      </c>
      <c r="E694" s="3" t="str">
        <f>IFERROR(__xludf.DUMMYFUNCTION("""COMPUTED_VALUE"""),"27")</f>
        <v>27</v>
      </c>
      <c r="F694" s="3" t="str">
        <f>IFERROR(__xludf.DUMMYFUNCTION("""COMPUTED_VALUE"""),"นพอ.นภันต์กร อินทรแก้ว")</f>
        <v>นพอ.นภันต์กร อินทรแก้ว</v>
      </c>
      <c r="G694" s="3" t="str">
        <f>IFERROR(__xludf.DUMMYFUNCTION("""COMPUTED_VALUE"""),"ช่วยเหลืองานภายใน วพอ.")</f>
        <v>ช่วยเหลืองานภายใน วพอ.</v>
      </c>
      <c r="H69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94" s="3" t="str">
        <f>IFERROR(__xludf.DUMMYFUNCTION("""COMPUTED_VALUE"""),"วพอ.พอ.")</f>
        <v>วพอ.พอ.</v>
      </c>
      <c r="J694" s="12">
        <f>IFERROR(__xludf.DUMMYFUNCTION("""COMPUTED_VALUE"""),46138.0)</f>
        <v>46138</v>
      </c>
      <c r="K694" s="3" t="str">
        <f>IFERROR(__xludf.DUMMYFUNCTION("""COMPUTED_VALUE"""),"1500-1800")</f>
        <v>1500-1800</v>
      </c>
      <c r="L694" s="3">
        <f>IFERROR(__xludf.DUMMYFUNCTION("""COMPUTED_VALUE"""),6.0)</f>
        <v>6</v>
      </c>
      <c r="M694" s="3" t="str">
        <f>IFERROR(__xludf.DUMMYFUNCTION("""COMPUTED_VALUE"""),"ร.อ.อนุชิต ทำจะดี")</f>
        <v>ร.อ.อนุชิต ทำจะดี</v>
      </c>
      <c r="N694" s="14" t="str">
        <f>IFERROR(__xludf.DUMMYFUNCTION("""COMPUTED_VALUE"""),"https://lh5.googleusercontent.com/d/1Yf6p3zFjLBJ7yEIGLZ17OHhLEr9-an_0")</f>
        <v>https://lh5.googleusercontent.com/d/1Yf6p3zFjLBJ7yEIGLZ17OHhLEr9-an_0</v>
      </c>
      <c r="O694" s="14" t="str">
        <f>IFERROR(__xludf.DUMMYFUNCTION("""COMPUTED_VALUE"""),"https://drive.google.com/file/d/1LnwhP0sgACtqfNYknBde4ZGS9421JF3i/view?usp=drivesdk")</f>
        <v>https://drive.google.com/file/d/1LnwhP0sgACtqfNYknBde4ZGS9421JF3i/view?usp=drivesdk</v>
      </c>
    </row>
    <row r="695">
      <c r="A695" s="3">
        <f>IFERROR(__xludf.DUMMYFUNCTION("""COMPUTED_VALUE"""),3123.0)</f>
        <v>3123</v>
      </c>
      <c r="B695" s="11">
        <f>IFERROR(__xludf.DUMMYFUNCTION("""COMPUTED_VALUE"""),46178.46270144676)</f>
        <v>46178.4627</v>
      </c>
      <c r="C695" s="3" t="str">
        <f>IFERROR(__xludf.DUMMYFUNCTION("""COMPUTED_VALUE"""),"ชั้นปีที่ 2")</f>
        <v>ชั้นปีที่ 2</v>
      </c>
      <c r="D695" s="3" t="str">
        <f>IFERROR(__xludf.DUMMYFUNCTION("""COMPUTED_VALUE"""),"6703844")</f>
        <v>6703844</v>
      </c>
      <c r="E695" s="3" t="str">
        <f>IFERROR(__xludf.DUMMYFUNCTION("""COMPUTED_VALUE"""),"26")</f>
        <v>26</v>
      </c>
      <c r="F695" s="3" t="str">
        <f>IFERROR(__xludf.DUMMYFUNCTION("""COMPUTED_VALUE"""),"นพอ.นพชกร ทิวแพ")</f>
        <v>นพอ.นพชกร ทิวแพ</v>
      </c>
      <c r="G695" s="3" t="str">
        <f>IFERROR(__xludf.DUMMYFUNCTION("""COMPUTED_VALUE"""),"ช่วยเหลืองานภายใน วพอ.")</f>
        <v>ช่วยเหลืองานภายใน วพอ.</v>
      </c>
      <c r="H695" s="3" t="str">
        <f>IFERROR(__xludf.DUMMYFUNCTION("""COMPUTED_VALUE"""),"ซ้อมเต้นเพลง ฉันมีความสุข")</f>
        <v>ซ้อมเต้นเพลง ฉันมีความสุข</v>
      </c>
      <c r="I695" s="3" t="str">
        <f>IFERROR(__xludf.DUMMYFUNCTION("""COMPUTED_VALUE"""),"วพอ.พอ.")</f>
        <v>วพอ.พอ.</v>
      </c>
      <c r="J695" s="12">
        <f>IFERROR(__xludf.DUMMYFUNCTION("""COMPUTED_VALUE"""),46176.0)</f>
        <v>46176</v>
      </c>
      <c r="K695" s="3" t="str">
        <f>IFERROR(__xludf.DUMMYFUNCTION("""COMPUTED_VALUE"""),"1800-1900")</f>
        <v>1800-1900</v>
      </c>
      <c r="L695" s="3">
        <f>IFERROR(__xludf.DUMMYFUNCTION("""COMPUTED_VALUE"""),1.0)</f>
        <v>1</v>
      </c>
      <c r="M695" s="3" t="str">
        <f>IFERROR(__xludf.DUMMYFUNCTION("""COMPUTED_VALUE"""),"ร.อ.หญิง เบญญาดา บุรีรัตน์")</f>
        <v>ร.อ.หญิง เบญญาดา บุรีรัตน์</v>
      </c>
      <c r="N695" s="14" t="str">
        <f>IFERROR(__xludf.DUMMYFUNCTION("""COMPUTED_VALUE"""),"https://lh5.googleusercontent.com/d/1-dfyQANnGVijqUm6EyaT3D1c1uoe002v")</f>
        <v>https://lh5.googleusercontent.com/d/1-dfyQANnGVijqUm6EyaT3D1c1uoe002v</v>
      </c>
      <c r="O695" s="14" t="str">
        <f>IFERROR(__xludf.DUMMYFUNCTION("""COMPUTED_VALUE"""),"https://drive.google.com/file/d/1hv2P27t1QYtp3hTWVlnPENBaWtsdPPlx/view?usp=drivesdk")</f>
        <v>https://drive.google.com/file/d/1hv2P27t1QYtp3hTWVlnPENBaWtsdPPlx/view?usp=drivesdk</v>
      </c>
    </row>
    <row r="696">
      <c r="A696" s="3">
        <f>IFERROR(__xludf.DUMMYFUNCTION("""COMPUTED_VALUE"""),3126.0)</f>
        <v>3126</v>
      </c>
      <c r="B696" s="11">
        <f>IFERROR(__xludf.DUMMYFUNCTION("""COMPUTED_VALUE"""),46178.46440082176)</f>
        <v>46178.4644</v>
      </c>
      <c r="C696" s="3" t="str">
        <f>IFERROR(__xludf.DUMMYFUNCTION("""COMPUTED_VALUE"""),"ชั้นปีที่ 2")</f>
        <v>ชั้นปีที่ 2</v>
      </c>
      <c r="D696" s="3" t="str">
        <f>IFERROR(__xludf.DUMMYFUNCTION("""COMPUTED_VALUE"""),"6703859")</f>
        <v>6703859</v>
      </c>
      <c r="E696" s="3" t="str">
        <f>IFERROR(__xludf.DUMMYFUNCTION("""COMPUTED_VALUE"""),"40")</f>
        <v>40</v>
      </c>
      <c r="F696" s="3" t="str">
        <f>IFERROR(__xludf.DUMMYFUNCTION("""COMPUTED_VALUE"""),"นพอ.พิชญาภา ไชยพงษ์")</f>
        <v>นพอ.พิชญาภา ไชยพงษ์</v>
      </c>
      <c r="G696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696" s="3" t="str">
        <f>IFERROR(__xludf.DUMMYFUNCTION("""COMPUTED_VALUE"""),"วางพานพุ่มเนื่องในวันเฉลิมพระชนมพรรษา")</f>
        <v>วางพานพุ่มเนื่องในวันเฉลิมพระชนมพรรษา</v>
      </c>
      <c r="I696" s="3" t="str">
        <f>IFERROR(__xludf.DUMMYFUNCTION("""COMPUTED_VALUE"""),"ท้องสนามหลวง")</f>
        <v>ท้องสนามหลวง</v>
      </c>
      <c r="J696" s="12">
        <f>IFERROR(__xludf.DUMMYFUNCTION("""COMPUTED_VALUE"""),46176.0)</f>
        <v>46176</v>
      </c>
      <c r="K696" s="3" t="str">
        <f>IFERROR(__xludf.DUMMYFUNCTION("""COMPUTED_VALUE"""),"1700-1800")</f>
        <v>1700-1800</v>
      </c>
      <c r="L696" s="3">
        <f>IFERROR(__xludf.DUMMYFUNCTION("""COMPUTED_VALUE"""),1.0)</f>
        <v>1</v>
      </c>
      <c r="M696" s="3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696" s="14" t="str">
        <f>IFERROR(__xludf.DUMMYFUNCTION("""COMPUTED_VALUE"""),"https://lh5.googleusercontent.com/d/1sPDlyomJQg_ZYEqSCRwmu_etIk7IO75y")</f>
        <v>https://lh5.googleusercontent.com/d/1sPDlyomJQg_ZYEqSCRwmu_etIk7IO75y</v>
      </c>
      <c r="O696" s="14" t="str">
        <f>IFERROR(__xludf.DUMMYFUNCTION("""COMPUTED_VALUE"""),"https://drive.google.com/file/d/1xC73C4vtxCjSOPet8VDsASVEtJswPdAW/view?usp=drivesdk")</f>
        <v>https://drive.google.com/file/d/1xC73C4vtxCjSOPet8VDsASVEtJswPdAW/view?usp=drivesdk</v>
      </c>
    </row>
    <row r="697">
      <c r="A697" s="3">
        <f>IFERROR(__xludf.DUMMYFUNCTION("""COMPUTED_VALUE"""),3127.0)</f>
        <v>3127</v>
      </c>
      <c r="B697" s="11">
        <f>IFERROR(__xludf.DUMMYFUNCTION("""COMPUTED_VALUE"""),46178.464511192135)</f>
        <v>46178.46451</v>
      </c>
      <c r="C697" s="3" t="str">
        <f>IFERROR(__xludf.DUMMYFUNCTION("""COMPUTED_VALUE"""),"ชั้นปีที่ 2")</f>
        <v>ชั้นปีที่ 2</v>
      </c>
      <c r="D697" s="3" t="str">
        <f>IFERROR(__xludf.DUMMYFUNCTION("""COMPUTED_VALUE"""),"6703832")</f>
        <v>6703832</v>
      </c>
      <c r="E697" s="3" t="str">
        <f>IFERROR(__xludf.DUMMYFUNCTION("""COMPUTED_VALUE"""),"15")</f>
        <v>15</v>
      </c>
      <c r="F697" s="3" t="str">
        <f>IFERROR(__xludf.DUMMYFUNCTION("""COMPUTED_VALUE"""),"นพอ. ญาตาวี บุญภิละ")</f>
        <v>นพอ. ญาตาวี บุญภิละ</v>
      </c>
      <c r="G697" s="3" t="str">
        <f>IFERROR(__xludf.DUMMYFUNCTION("""COMPUTED_VALUE"""),"ช่วยเหลืองานภายใน วพอ.")</f>
        <v>ช่วยเหลืองานภายใน วพอ.</v>
      </c>
      <c r="H697" s="3" t="str">
        <f>IFERROR(__xludf.DUMMYFUNCTION("""COMPUTED_VALUE"""),"ปรับปรุงทัศนียภาพใน วพอ.พอ.")</f>
        <v>ปรับปรุงทัศนียภาพใน วพอ.พอ.</v>
      </c>
      <c r="I697" s="3" t="str">
        <f>IFERROR(__xludf.DUMMYFUNCTION("""COMPUTED_VALUE"""),"วพอ.พอ.")</f>
        <v>วพอ.พอ.</v>
      </c>
      <c r="J697" s="12">
        <f>IFERROR(__xludf.DUMMYFUNCTION("""COMPUTED_VALUE"""),46177.0)</f>
        <v>46177</v>
      </c>
      <c r="K697" s="3" t="str">
        <f>IFERROR(__xludf.DUMMYFUNCTION("""COMPUTED_VALUE"""),"1430-1730")</f>
        <v>1430-1730</v>
      </c>
      <c r="L697" s="3">
        <f>IFERROR(__xludf.DUMMYFUNCTION("""COMPUTED_VALUE"""),3.0)</f>
        <v>3</v>
      </c>
      <c r="M697" s="3" t="str">
        <f>IFERROR(__xludf.DUMMYFUNCTION("""COMPUTED_VALUE"""),"น.อ.หญิง ผศ. นิตยา สุขแสน")</f>
        <v>น.อ.หญิง ผศ. นิตยา สุขแสน</v>
      </c>
      <c r="N697" s="14" t="str">
        <f>IFERROR(__xludf.DUMMYFUNCTION("""COMPUTED_VALUE"""),"https://lh5.googleusercontent.com/d/11ZqNaifOQyDQCdLsoi_QBNlzHogBpsyq")</f>
        <v>https://lh5.googleusercontent.com/d/11ZqNaifOQyDQCdLsoi_QBNlzHogBpsyq</v>
      </c>
      <c r="O697" s="14" t="str">
        <f>IFERROR(__xludf.DUMMYFUNCTION("""COMPUTED_VALUE"""),"https://drive.google.com/file/d/10jFJ5yWN-1riGyJJ5MWYhNu0uqbPmW4L/view?usp=drivesdk")</f>
        <v>https://drive.google.com/file/d/10jFJ5yWN-1riGyJJ5MWYhNu0uqbPmW4L/view?usp=drivesdk</v>
      </c>
    </row>
    <row r="698">
      <c r="A698" s="3">
        <f>IFERROR(__xludf.DUMMYFUNCTION("""COMPUTED_VALUE"""),3128.0)</f>
        <v>3128</v>
      </c>
      <c r="B698" s="11">
        <f>IFERROR(__xludf.DUMMYFUNCTION("""COMPUTED_VALUE"""),46178.46559983796)</f>
        <v>46178.4656</v>
      </c>
      <c r="C698" s="3" t="str">
        <f>IFERROR(__xludf.DUMMYFUNCTION("""COMPUTED_VALUE"""),"ชั้นปีที่ 2")</f>
        <v>ชั้นปีที่ 2</v>
      </c>
      <c r="D698" s="3" t="str">
        <f>IFERROR(__xludf.DUMMYFUNCTION("""COMPUTED_VALUE"""),"6703868")</f>
        <v>6703868</v>
      </c>
      <c r="E698" s="3" t="str">
        <f>IFERROR(__xludf.DUMMYFUNCTION("""COMPUTED_VALUE"""),"49")</f>
        <v>49</v>
      </c>
      <c r="F698" s="3" t="str">
        <f>IFERROR(__xludf.DUMMYFUNCTION("""COMPUTED_VALUE"""),"นพอ.วราภรณ์ กาสี")</f>
        <v>นพอ.วราภรณ์ กาสี</v>
      </c>
      <c r="G698" s="3" t="str">
        <f>IFERROR(__xludf.DUMMYFUNCTION("""COMPUTED_VALUE"""),"ช่วยเหลืองานภายใน วพอ.")</f>
        <v>ช่วยเหลืองานภายใน วพอ.</v>
      </c>
      <c r="H698" s="3" t="str">
        <f>IFERROR(__xludf.DUMMYFUNCTION("""COMPUTED_VALUE"""),"ซ้อมงานพิธีรับหมวกพยาบาลวิชาชีพ ปีการศึกษา 2568")</f>
        <v>ซ้อมงานพิธีรับหมวกพยาบาลวิชาชีพ ปีการศึกษา 2568</v>
      </c>
      <c r="I698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98" s="12">
        <f>IFERROR(__xludf.DUMMYFUNCTION("""COMPUTED_VALUE"""),46139.0)</f>
        <v>46139</v>
      </c>
      <c r="K698" s="3" t="str">
        <f>IFERROR(__xludf.DUMMYFUNCTION("""COMPUTED_VALUE"""),"1700-2100")</f>
        <v>1700-2100</v>
      </c>
      <c r="L698" s="3">
        <f>IFERROR(__xludf.DUMMYFUNCTION("""COMPUTED_VALUE"""),4.0)</f>
        <v>4</v>
      </c>
      <c r="M698" s="3" t="str">
        <f>IFERROR(__xludf.DUMMYFUNCTION("""COMPUTED_VALUE"""),"ร.อ.อนุชิต ทำจะดี")</f>
        <v>ร.อ.อนุชิต ทำจะดี</v>
      </c>
      <c r="N698" s="14" t="str">
        <f>IFERROR(__xludf.DUMMYFUNCTION("""COMPUTED_VALUE"""),"https://lh5.googleusercontent.com/d/1GmjSs51TfA38RbhUZ7yeGSzVvw9NHvab")</f>
        <v>https://lh5.googleusercontent.com/d/1GmjSs51TfA38RbhUZ7yeGSzVvw9NHvab</v>
      </c>
      <c r="O698" s="14" t="str">
        <f>IFERROR(__xludf.DUMMYFUNCTION("""COMPUTED_VALUE"""),"https://drive.google.com/file/d/1liZNBLscoDOhbl4CrQM29b_vMqVkYvnx/view?usp=drivesdk")</f>
        <v>https://drive.google.com/file/d/1liZNBLscoDOhbl4CrQM29b_vMqVkYvnx/view?usp=drivesdk</v>
      </c>
    </row>
    <row r="699">
      <c r="A699" s="3">
        <f>IFERROR(__xludf.DUMMYFUNCTION("""COMPUTED_VALUE"""),3129.0)</f>
        <v>3129</v>
      </c>
      <c r="B699" s="11">
        <f>IFERROR(__xludf.DUMMYFUNCTION("""COMPUTED_VALUE"""),46178.46671432871)</f>
        <v>46178.46671</v>
      </c>
      <c r="C699" s="3" t="str">
        <f>IFERROR(__xludf.DUMMYFUNCTION("""COMPUTED_VALUE"""),"ชั้นปีที่ 2")</f>
        <v>ชั้นปีที่ 2</v>
      </c>
      <c r="D699" s="3" t="str">
        <f>IFERROR(__xludf.DUMMYFUNCTION("""COMPUTED_VALUE"""),"6703861")</f>
        <v>6703861</v>
      </c>
      <c r="E699" s="3" t="str">
        <f>IFERROR(__xludf.DUMMYFUNCTION("""COMPUTED_VALUE"""),"42")</f>
        <v>42</v>
      </c>
      <c r="F699" s="3" t="str">
        <f>IFERROR(__xludf.DUMMYFUNCTION("""COMPUTED_VALUE"""),"นพอ.เพ็ญพิชชา จันทระพงษ์")</f>
        <v>นพอ.เพ็ญพิชชา จันทระพงษ์</v>
      </c>
      <c r="G699" s="3" t="str">
        <f>IFERROR(__xludf.DUMMYFUNCTION("""COMPUTED_VALUE"""),"ช่วยเหลืองานภายใน วพอ.")</f>
        <v>ช่วยเหลืองานภายใน วพอ.</v>
      </c>
      <c r="H699" s="3" t="str">
        <f>IFERROR(__xludf.DUMMYFUNCTION("""COMPUTED_VALUE"""),"ทดสอบสมรรถภาพร่างกาย นพอ.69 ")</f>
        <v>ทดสอบสมรรถภาพร่างกาย นพอ.69 </v>
      </c>
      <c r="I699" s="3" t="str">
        <f>IFERROR(__xludf.DUMMYFUNCTION("""COMPUTED_VALUE"""),"สนามกีฬากองทัพอากาศ จันทรุเบกษา")</f>
        <v>สนามกีฬากองทัพอากาศ จันทรุเบกษา</v>
      </c>
      <c r="J699" s="12">
        <f>IFERROR(__xludf.DUMMYFUNCTION("""COMPUTED_VALUE"""),46147.0)</f>
        <v>46147</v>
      </c>
      <c r="K699" s="3" t="str">
        <f>IFERROR(__xludf.DUMMYFUNCTION("""COMPUTED_VALUE"""),"1600-1900")</f>
        <v>1600-1900</v>
      </c>
      <c r="L699" s="3">
        <f>IFERROR(__xludf.DUMMYFUNCTION("""COMPUTED_VALUE"""),3.0)</f>
        <v>3</v>
      </c>
      <c r="M699" s="3" t="str">
        <f>IFERROR(__xludf.DUMMYFUNCTION("""COMPUTED_VALUE"""),"น.ต.ศักชัย บุญประสิทธิ์")</f>
        <v>น.ต.ศักชัย บุญประสิทธิ์</v>
      </c>
      <c r="N699" s="14" t="str">
        <f>IFERROR(__xludf.DUMMYFUNCTION("""COMPUTED_VALUE"""),"https://lh5.googleusercontent.com/d/1GOGDf88E7t9KQqFRYszEUtY2BU89Q29r")</f>
        <v>https://lh5.googleusercontent.com/d/1GOGDf88E7t9KQqFRYszEUtY2BU89Q29r</v>
      </c>
      <c r="O699" s="14" t="str">
        <f>IFERROR(__xludf.DUMMYFUNCTION("""COMPUTED_VALUE"""),"https://drive.google.com/file/d/1gYZguG8PWjQ5YVQueABgNXjiAFOGHruC/view?usp=drivesdk")</f>
        <v>https://drive.google.com/file/d/1gYZguG8PWjQ5YVQueABgNXjiAFOGHruC/view?usp=drivesdk</v>
      </c>
    </row>
    <row r="700">
      <c r="A700" s="3">
        <f>IFERROR(__xludf.DUMMYFUNCTION("""COMPUTED_VALUE"""),3130.0)</f>
        <v>3130</v>
      </c>
      <c r="B700" s="11">
        <f>IFERROR(__xludf.DUMMYFUNCTION("""COMPUTED_VALUE"""),46178.467205)</f>
        <v>46178.46721</v>
      </c>
      <c r="C700" s="3" t="str">
        <f>IFERROR(__xludf.DUMMYFUNCTION("""COMPUTED_VALUE"""),"ชั้นปีที่ 2")</f>
        <v>ชั้นปีที่ 2</v>
      </c>
      <c r="D700" s="3" t="str">
        <f>IFERROR(__xludf.DUMMYFUNCTION("""COMPUTED_VALUE"""),"6703845")</f>
        <v>6703845</v>
      </c>
      <c r="E700" s="3" t="str">
        <f>IFERROR(__xludf.DUMMYFUNCTION("""COMPUTED_VALUE"""),"27")</f>
        <v>27</v>
      </c>
      <c r="F700" s="3" t="str">
        <f>IFERROR(__xludf.DUMMYFUNCTION("""COMPUTED_VALUE"""),"นพอ.นภันต์กร อินทรแก้ว")</f>
        <v>นพอ.นภันต์กร อินทรแก้ว</v>
      </c>
      <c r="G700" s="3" t="str">
        <f>IFERROR(__xludf.DUMMYFUNCTION("""COMPUTED_VALUE"""),"ช่วยเหลืองานภายใน วพอ.")</f>
        <v>ช่วยเหลืองานภายใน วพอ.</v>
      </c>
      <c r="H700" s="3" t="str">
        <f>IFERROR(__xludf.DUMMYFUNCTION("""COMPUTED_VALUE"""),"ซ้อมเต้นเพลง ฉันมีความสุข")</f>
        <v>ซ้อมเต้นเพลง ฉันมีความสุข</v>
      </c>
      <c r="I700" s="3" t="str">
        <f>IFERROR(__xludf.DUMMYFUNCTION("""COMPUTED_VALUE"""),"วพอ.พอ.")</f>
        <v>วพอ.พอ.</v>
      </c>
      <c r="J700" s="12">
        <f>IFERROR(__xludf.DUMMYFUNCTION("""COMPUTED_VALUE"""),46176.0)</f>
        <v>46176</v>
      </c>
      <c r="K700" s="3" t="str">
        <f>IFERROR(__xludf.DUMMYFUNCTION("""COMPUTED_VALUE"""),"1800-1900")</f>
        <v>1800-1900</v>
      </c>
      <c r="L700" s="3">
        <f>IFERROR(__xludf.DUMMYFUNCTION("""COMPUTED_VALUE"""),1.0)</f>
        <v>1</v>
      </c>
      <c r="M700" s="3" t="str">
        <f>IFERROR(__xludf.DUMMYFUNCTION("""COMPUTED_VALUE"""),"ร.อ.หญิง เบญญาดา บุรีรัตน์")</f>
        <v>ร.อ.หญิง เบญญาดา บุรีรัตน์</v>
      </c>
      <c r="N700" s="14" t="str">
        <f>IFERROR(__xludf.DUMMYFUNCTION("""COMPUTED_VALUE"""),"https://lh5.googleusercontent.com/d/1_WyjLs4fKb_eDqCo_KOKT_VtIAtc5D8u")</f>
        <v>https://lh5.googleusercontent.com/d/1_WyjLs4fKb_eDqCo_KOKT_VtIAtc5D8u</v>
      </c>
      <c r="O700" s="14" t="str">
        <f>IFERROR(__xludf.DUMMYFUNCTION("""COMPUTED_VALUE"""),"https://drive.google.com/file/d/1Z5NjF_Z0rwHMLt0glZEaKw530BTLB3QB/view?usp=drivesdk")</f>
        <v>https://drive.google.com/file/d/1Z5NjF_Z0rwHMLt0glZEaKw530BTLB3QB/view?usp=drivesdk</v>
      </c>
    </row>
    <row r="701">
      <c r="A701" s="3">
        <f>IFERROR(__xludf.DUMMYFUNCTION("""COMPUTED_VALUE"""),3132.0)</f>
        <v>3132</v>
      </c>
      <c r="B701" s="11">
        <f>IFERROR(__xludf.DUMMYFUNCTION("""COMPUTED_VALUE"""),46178.46908516204)</f>
        <v>46178.46909</v>
      </c>
      <c r="C701" s="3" t="str">
        <f>IFERROR(__xludf.DUMMYFUNCTION("""COMPUTED_VALUE"""),"ชั้นปีที่ 2")</f>
        <v>ชั้นปีที่ 2</v>
      </c>
      <c r="D701" s="3" t="str">
        <f>IFERROR(__xludf.DUMMYFUNCTION("""COMPUTED_VALUE"""),"6703837")</f>
        <v>6703837</v>
      </c>
      <c r="E701" s="3" t="str">
        <f>IFERROR(__xludf.DUMMYFUNCTION("""COMPUTED_VALUE"""),"20")</f>
        <v>20</v>
      </c>
      <c r="F701" s="3" t="str">
        <f>IFERROR(__xludf.DUMMYFUNCTION("""COMPUTED_VALUE"""),"นพอ.ณัฐธิดา เอียดดำ")</f>
        <v>นพอ.ณัฐธิดา เอียดดำ</v>
      </c>
      <c r="G701" s="3" t="str">
        <f>IFERROR(__xludf.DUMMYFUNCTION("""COMPUTED_VALUE"""),"ช่วยเหลืองานภายใน วพอ.")</f>
        <v>ช่วยเหลืองานภายใน วพอ.</v>
      </c>
      <c r="H701" s="3" t="str">
        <f>IFERROR(__xludf.DUMMYFUNCTION("""COMPUTED_VALUE"""),"ปรับปรุงทัศนียภาพใน วพอ.พอ.")</f>
        <v>ปรับปรุงทัศนียภาพใน วพอ.พอ.</v>
      </c>
      <c r="I701" s="3" t="str">
        <f>IFERROR(__xludf.DUMMYFUNCTION("""COMPUTED_VALUE"""),"วพอ.พอ.")</f>
        <v>วพอ.พอ.</v>
      </c>
      <c r="J701" s="12">
        <f>IFERROR(__xludf.DUMMYFUNCTION("""COMPUTED_VALUE"""),46177.0)</f>
        <v>46177</v>
      </c>
      <c r="K701" s="3" t="str">
        <f>IFERROR(__xludf.DUMMYFUNCTION("""COMPUTED_VALUE"""),"1430-1730")</f>
        <v>1430-1730</v>
      </c>
      <c r="L701" s="3">
        <f>IFERROR(__xludf.DUMMYFUNCTION("""COMPUTED_VALUE"""),3.0)</f>
        <v>3</v>
      </c>
      <c r="M701" s="3" t="str">
        <f>IFERROR(__xludf.DUMMYFUNCTION("""COMPUTED_VALUE"""),"น.อ.หญิง ผศ. นิตยา สุขแสน")</f>
        <v>น.อ.หญิง ผศ. นิตยา สุขแสน</v>
      </c>
      <c r="N701" s="14" t="str">
        <f>IFERROR(__xludf.DUMMYFUNCTION("""COMPUTED_VALUE"""),"https://lh5.googleusercontent.com/d/1zYRGLol-wj86sRROfr_TrHXwtJ0gUUgW")</f>
        <v>https://lh5.googleusercontent.com/d/1zYRGLol-wj86sRROfr_TrHXwtJ0gUUgW</v>
      </c>
      <c r="O701" s="14" t="str">
        <f>IFERROR(__xludf.DUMMYFUNCTION("""COMPUTED_VALUE"""),"https://drive.google.com/file/d/1KV7JLZmZwhfOT9J1v2B4egWDnC2D1Cfw/view?usp=drivesdk")</f>
        <v>https://drive.google.com/file/d/1KV7JLZmZwhfOT9J1v2B4egWDnC2D1Cfw/view?usp=drivesdk</v>
      </c>
    </row>
    <row r="702">
      <c r="A702" s="3">
        <f>IFERROR(__xludf.DUMMYFUNCTION("""COMPUTED_VALUE"""),3133.0)</f>
        <v>3133</v>
      </c>
      <c r="B702" s="11">
        <f>IFERROR(__xludf.DUMMYFUNCTION("""COMPUTED_VALUE"""),46178.471044548605)</f>
        <v>46178.47104</v>
      </c>
      <c r="C702" s="3" t="str">
        <f>IFERROR(__xludf.DUMMYFUNCTION("""COMPUTED_VALUE"""),"ชั้นปีที่ 2")</f>
        <v>ชั้นปีที่ 2</v>
      </c>
      <c r="D702" s="3" t="str">
        <f>IFERROR(__xludf.DUMMYFUNCTION("""COMPUTED_VALUE"""),"6703845")</f>
        <v>6703845</v>
      </c>
      <c r="E702" s="3" t="str">
        <f>IFERROR(__xludf.DUMMYFUNCTION("""COMPUTED_VALUE"""),"27")</f>
        <v>27</v>
      </c>
      <c r="F702" s="3" t="str">
        <f>IFERROR(__xludf.DUMMYFUNCTION("""COMPUTED_VALUE"""),"นพอ.นภันต์กร อินทรแก้ว")</f>
        <v>นพอ.นภันต์กร อินทรแก้ว</v>
      </c>
      <c r="G702" s="3" t="str">
        <f>IFERROR(__xludf.DUMMYFUNCTION("""COMPUTED_VALUE"""),"ช่วยเหลืองานภายใน วพอ.")</f>
        <v>ช่วยเหลืองานภายใน วพอ.</v>
      </c>
      <c r="H702" s="3" t="str">
        <f>IFERROR(__xludf.DUMMYFUNCTION("""COMPUTED_VALUE"""),"ซ้อมเต้นเพลง ฉันมีความสุข")</f>
        <v>ซ้อมเต้นเพลง ฉันมีความสุข</v>
      </c>
      <c r="I702" s="3" t="str">
        <f>IFERROR(__xludf.DUMMYFUNCTION("""COMPUTED_VALUE"""),"วพอ.พอ.")</f>
        <v>วพอ.พอ.</v>
      </c>
      <c r="J702" s="12">
        <f>IFERROR(__xludf.DUMMYFUNCTION("""COMPUTED_VALUE"""),46177.0)</f>
        <v>46177</v>
      </c>
      <c r="K702" s="3" t="str">
        <f>IFERROR(__xludf.DUMMYFUNCTION("""COMPUTED_VALUE"""),"1800-1900")</f>
        <v>1800-1900</v>
      </c>
      <c r="L702" s="3">
        <f>IFERROR(__xludf.DUMMYFUNCTION("""COMPUTED_VALUE"""),1.0)</f>
        <v>1</v>
      </c>
      <c r="M702" s="3" t="str">
        <f>IFERROR(__xludf.DUMMYFUNCTION("""COMPUTED_VALUE"""),"ร.อ.หญิง เบญญาดา บุรีรัตน์")</f>
        <v>ร.อ.หญิง เบญญาดา บุรีรัตน์</v>
      </c>
      <c r="N702" s="14" t="str">
        <f>IFERROR(__xludf.DUMMYFUNCTION("""COMPUTED_VALUE"""),"https://lh5.googleusercontent.com/d/19Ar_eIWVRThYomR8rMuIlHh5Rc8r4qz5")</f>
        <v>https://lh5.googleusercontent.com/d/19Ar_eIWVRThYomR8rMuIlHh5Rc8r4qz5</v>
      </c>
      <c r="O702" s="14" t="str">
        <f>IFERROR(__xludf.DUMMYFUNCTION("""COMPUTED_VALUE"""),"https://drive.google.com/file/d/1G7DkH1CZUaCCh3TEQ-2-VO4IfpJsHoBJ/view?usp=drivesdk")</f>
        <v>https://drive.google.com/file/d/1G7DkH1CZUaCCh3TEQ-2-VO4IfpJsHoBJ/view?usp=drivesdk</v>
      </c>
    </row>
    <row r="703">
      <c r="A703" s="3">
        <f>IFERROR(__xludf.DUMMYFUNCTION("""COMPUTED_VALUE"""),3136.0)</f>
        <v>3136</v>
      </c>
      <c r="B703" s="11">
        <f>IFERROR(__xludf.DUMMYFUNCTION("""COMPUTED_VALUE"""),46178.48016981482)</f>
        <v>46178.48017</v>
      </c>
      <c r="C703" s="3" t="str">
        <f>IFERROR(__xludf.DUMMYFUNCTION("""COMPUTED_VALUE"""),"ชั้นปีที่ 2")</f>
        <v>ชั้นปีที่ 2</v>
      </c>
      <c r="D703" s="3" t="str">
        <f>IFERROR(__xludf.DUMMYFUNCTION("""COMPUTED_VALUE"""),"6703861")</f>
        <v>6703861</v>
      </c>
      <c r="E703" s="3" t="str">
        <f>IFERROR(__xludf.DUMMYFUNCTION("""COMPUTED_VALUE"""),"42")</f>
        <v>42</v>
      </c>
      <c r="F703" s="3" t="str">
        <f>IFERROR(__xludf.DUMMYFUNCTION("""COMPUTED_VALUE"""),"นพอ.เพ็ญพิชชา จันทระพงษ์")</f>
        <v>นพอ.เพ็ญพิชชา จันทระพงษ์</v>
      </c>
      <c r="G703" s="3" t="str">
        <f>IFERROR(__xludf.DUMMYFUNCTION("""COMPUTED_VALUE"""),"ช่วยเหลืองานภายใน วพอ.")</f>
        <v>ช่วยเหลืองานภายใน วพอ.</v>
      </c>
      <c r="H703" s="3" t="str">
        <f>IFERROR(__xludf.DUMMYFUNCTION("""COMPUTED_VALUE"""),"จัดสิ่งแวดล้อมภายในวิทยาลัย")</f>
        <v>จัดสิ่งแวดล้อมภายในวิทยาลัย</v>
      </c>
      <c r="I703" s="3" t="str">
        <f>IFERROR(__xludf.DUMMYFUNCTION("""COMPUTED_VALUE"""),"วพอ.พอ.")</f>
        <v>วพอ.พอ.</v>
      </c>
      <c r="J703" s="12">
        <f>IFERROR(__xludf.DUMMYFUNCTION("""COMPUTED_VALUE"""),46177.0)</f>
        <v>46177</v>
      </c>
      <c r="K703" s="3" t="str">
        <f>IFERROR(__xludf.DUMMYFUNCTION("""COMPUTED_VALUE"""),"1500-1800")</f>
        <v>1500-1800</v>
      </c>
      <c r="L703" s="3">
        <f>IFERROR(__xludf.DUMMYFUNCTION("""COMPUTED_VALUE"""),3.0)</f>
        <v>3</v>
      </c>
      <c r="M703" s="3" t="str">
        <f>IFERROR(__xludf.DUMMYFUNCTION("""COMPUTED_VALUE"""),"น.อ.หญิง.ผศ.นิตยา สุขแสน")</f>
        <v>น.อ.หญิง.ผศ.นิตยา สุขแสน</v>
      </c>
      <c r="N703" s="14" t="str">
        <f>IFERROR(__xludf.DUMMYFUNCTION("""COMPUTED_VALUE"""),"https://lh5.googleusercontent.com/d/1AtEjNlQJ1IFgX5bDcyifFfejvN6M8krz")</f>
        <v>https://lh5.googleusercontent.com/d/1AtEjNlQJ1IFgX5bDcyifFfejvN6M8krz</v>
      </c>
      <c r="O703" s="14" t="str">
        <f>IFERROR(__xludf.DUMMYFUNCTION("""COMPUTED_VALUE"""),"https://drive.google.com/file/d/1ofpVLAv6JzFimtNpRhE5-IO_yd8Y9THl/view?usp=drivesdk")</f>
        <v>https://drive.google.com/file/d/1ofpVLAv6JzFimtNpRhE5-IO_yd8Y9THl/view?usp=drivesdk</v>
      </c>
    </row>
    <row r="704">
      <c r="A704" s="3">
        <f>IFERROR(__xludf.DUMMYFUNCTION("""COMPUTED_VALUE"""),3152.0)</f>
        <v>3152</v>
      </c>
      <c r="B704" s="11">
        <f>IFERROR(__xludf.DUMMYFUNCTION("""COMPUTED_VALUE"""),46178.544146851855)</f>
        <v>46178.54415</v>
      </c>
      <c r="C704" s="3" t="str">
        <f>IFERROR(__xludf.DUMMYFUNCTION("""COMPUTED_VALUE"""),"ชั้นปีที่ 2")</f>
        <v>ชั้นปีที่ 2</v>
      </c>
      <c r="D704" s="3" t="str">
        <f>IFERROR(__xludf.DUMMYFUNCTION("""COMPUTED_VALUE"""),"6703839")</f>
        <v>6703839</v>
      </c>
      <c r="E704" s="3" t="str">
        <f>IFERROR(__xludf.DUMMYFUNCTION("""COMPUTED_VALUE"""),"22")</f>
        <v>22</v>
      </c>
      <c r="F704" s="3" t="str">
        <f>IFERROR(__xludf.DUMMYFUNCTION("""COMPUTED_VALUE"""),"นพอ.ณัฐวรรณ เคนสุวรรณ")</f>
        <v>นพอ.ณัฐวรรณ เคนสุวรรณ</v>
      </c>
      <c r="G704" s="3" t="str">
        <f>IFERROR(__xludf.DUMMYFUNCTION("""COMPUTED_VALUE"""),"ช่วยเหลืองานภายใน วพอ.")</f>
        <v>ช่วยเหลืองานภายใน วพอ.</v>
      </c>
      <c r="H704" s="3" t="str">
        <f>IFERROR(__xludf.DUMMYFUNCTION("""COMPUTED_VALUE"""),"ปรับปรุงทัศนียภาพใน วพอ.พอ.")</f>
        <v>ปรับปรุงทัศนียภาพใน วพอ.พอ.</v>
      </c>
      <c r="I704" s="3" t="str">
        <f>IFERROR(__xludf.DUMMYFUNCTION("""COMPUTED_VALUE"""),"วพอ.พอ.")</f>
        <v>วพอ.พอ.</v>
      </c>
      <c r="J704" s="12">
        <f>IFERROR(__xludf.DUMMYFUNCTION("""COMPUTED_VALUE"""),46177.0)</f>
        <v>46177</v>
      </c>
      <c r="K704" s="3" t="str">
        <f>IFERROR(__xludf.DUMMYFUNCTION("""COMPUTED_VALUE"""),"1430-1730")</f>
        <v>1430-1730</v>
      </c>
      <c r="L704" s="3">
        <f>IFERROR(__xludf.DUMMYFUNCTION("""COMPUTED_VALUE"""),3.0)</f>
        <v>3</v>
      </c>
      <c r="M704" s="3" t="str">
        <f>IFERROR(__xludf.DUMMYFUNCTION("""COMPUTED_VALUE"""),"น.อ.หญิง ผศ. นิตยา สุขแสน")</f>
        <v>น.อ.หญิง ผศ. นิตยา สุขแสน</v>
      </c>
      <c r="N704" s="14" t="str">
        <f>IFERROR(__xludf.DUMMYFUNCTION("""COMPUTED_VALUE"""),"https://lh5.googleusercontent.com/d/194wqIOxCI-VLYfIbgMYGLbT_6JJIkh5U")</f>
        <v>https://lh5.googleusercontent.com/d/194wqIOxCI-VLYfIbgMYGLbT_6JJIkh5U</v>
      </c>
      <c r="O704" s="14" t="str">
        <f>IFERROR(__xludf.DUMMYFUNCTION("""COMPUTED_VALUE"""),"https://drive.google.com/file/d/1WgmpSyAdZ_MmMXukD5Z7OBVtsho6nlTm/view?usp=drivesdk")</f>
        <v>https://drive.google.com/file/d/1WgmpSyAdZ_MmMXukD5Z7OBVtsho6nlTm/view?usp=drivesdk</v>
      </c>
    </row>
    <row r="705">
      <c r="A705" s="3">
        <f>IFERROR(__xludf.DUMMYFUNCTION("""COMPUTED_VALUE"""),3153.0)</f>
        <v>3153</v>
      </c>
      <c r="B705" s="11">
        <f>IFERROR(__xludf.DUMMYFUNCTION("""COMPUTED_VALUE"""),46178.5627594213)</f>
        <v>46178.56276</v>
      </c>
      <c r="C705" s="3" t="str">
        <f>IFERROR(__xludf.DUMMYFUNCTION("""COMPUTED_VALUE"""),"ชั้นปีที่ 2")</f>
        <v>ชั้นปีที่ 2</v>
      </c>
      <c r="D705" s="3" t="str">
        <f>IFERROR(__xludf.DUMMYFUNCTION("""COMPUTED_VALUE"""),"6703833")</f>
        <v>6703833</v>
      </c>
      <c r="E705" s="3" t="str">
        <f>IFERROR(__xludf.DUMMYFUNCTION("""COMPUTED_VALUE"""),"16")</f>
        <v>16</v>
      </c>
      <c r="F705" s="3" t="str">
        <f>IFERROR(__xludf.DUMMYFUNCTION("""COMPUTED_VALUE"""),"นพอ.ฐานิดา อ่อนล้อม")</f>
        <v>นพอ.ฐานิดา อ่อนล้อม</v>
      </c>
      <c r="G705" s="3" t="str">
        <f>IFERROR(__xludf.DUMMYFUNCTION("""COMPUTED_VALUE"""),"ช่วยเหลืองานภายใน วพอ.")</f>
        <v>ช่วยเหลืองานภายใน วพอ.</v>
      </c>
      <c r="H705" s="3" t="str">
        <f>IFERROR(__xludf.DUMMYFUNCTION("""COMPUTED_VALUE"""),"ซ้อมเต้นเพลง ฉันมีความสุข")</f>
        <v>ซ้อมเต้นเพลง ฉันมีความสุข</v>
      </c>
      <c r="I705" s="3" t="str">
        <f>IFERROR(__xludf.DUMMYFUNCTION("""COMPUTED_VALUE"""),"วิทยาลัยพยาบาลทหารอากาศ")</f>
        <v>วิทยาลัยพยาบาลทหารอากาศ</v>
      </c>
      <c r="J705" s="12">
        <f>IFERROR(__xludf.DUMMYFUNCTION("""COMPUTED_VALUE"""),46176.0)</f>
        <v>46176</v>
      </c>
      <c r="K705" s="3" t="str">
        <f>IFERROR(__xludf.DUMMYFUNCTION("""COMPUTED_VALUE"""),"1800-1900")</f>
        <v>1800-1900</v>
      </c>
      <c r="L705" s="3">
        <f>IFERROR(__xludf.DUMMYFUNCTION("""COMPUTED_VALUE"""),1.0)</f>
        <v>1</v>
      </c>
      <c r="M705" s="3" t="str">
        <f>IFERROR(__xludf.DUMMYFUNCTION("""COMPUTED_VALUE"""),"ร.อ.หญิง เบญญาดา บุรีรัตน์")</f>
        <v>ร.อ.หญิง เบญญาดา บุรีรัตน์</v>
      </c>
      <c r="N705" s="14" t="str">
        <f>IFERROR(__xludf.DUMMYFUNCTION("""COMPUTED_VALUE"""),"https://lh5.googleusercontent.com/d/1pMYWphHWkJa-tiAWgsCHnZzSS5j8P_7P")</f>
        <v>https://lh5.googleusercontent.com/d/1pMYWphHWkJa-tiAWgsCHnZzSS5j8P_7P</v>
      </c>
      <c r="O705" s="14" t="str">
        <f>IFERROR(__xludf.DUMMYFUNCTION("""COMPUTED_VALUE"""),"https://drive.google.com/file/d/1WEkRWFnHU-sVSPNyvP8xmVHNHDtb0FB9/view?usp=drivesdk")</f>
        <v>https://drive.google.com/file/d/1WEkRWFnHU-sVSPNyvP8xmVHNHDtb0FB9/view?usp=drivesdk</v>
      </c>
    </row>
    <row r="706">
      <c r="A706" s="3">
        <f>IFERROR(__xludf.DUMMYFUNCTION("""COMPUTED_VALUE"""),3154.0)</f>
        <v>3154</v>
      </c>
      <c r="B706" s="11">
        <f>IFERROR(__xludf.DUMMYFUNCTION("""COMPUTED_VALUE"""),46178.56493342593)</f>
        <v>46178.56493</v>
      </c>
      <c r="C706" s="3" t="str">
        <f>IFERROR(__xludf.DUMMYFUNCTION("""COMPUTED_VALUE"""),"ชั้นปีที่ 2")</f>
        <v>ชั้นปีที่ 2</v>
      </c>
      <c r="D706" s="3" t="str">
        <f>IFERROR(__xludf.DUMMYFUNCTION("""COMPUTED_VALUE"""),"6703833")</f>
        <v>6703833</v>
      </c>
      <c r="E706" s="3" t="str">
        <f>IFERROR(__xludf.DUMMYFUNCTION("""COMPUTED_VALUE"""),"16")</f>
        <v>16</v>
      </c>
      <c r="F706" s="3" t="str">
        <f>IFERROR(__xludf.DUMMYFUNCTION("""COMPUTED_VALUE"""),"นพอ.ฐานิดา อ่อนล้อม")</f>
        <v>นพอ.ฐานิดา อ่อนล้อม</v>
      </c>
      <c r="G706" s="3" t="str">
        <f>IFERROR(__xludf.DUMMYFUNCTION("""COMPUTED_VALUE"""),"ช่วยเหลืองานภายใน วพอ.")</f>
        <v>ช่วยเหลืองานภายใน วพอ.</v>
      </c>
      <c r="H706" s="3" t="str">
        <f>IFERROR(__xludf.DUMMYFUNCTION("""COMPUTED_VALUE"""),"ซ้อมเต้นเพลง ฉันมีความสุข")</f>
        <v>ซ้อมเต้นเพลง ฉันมีความสุข</v>
      </c>
      <c r="I706" s="3" t="str">
        <f>IFERROR(__xludf.DUMMYFUNCTION("""COMPUTED_VALUE"""),"วิทยาลัยพยาบาลทหารอากาศ")</f>
        <v>วิทยาลัยพยาบาลทหารอากาศ</v>
      </c>
      <c r="J706" s="12">
        <f>IFERROR(__xludf.DUMMYFUNCTION("""COMPUTED_VALUE"""),46177.0)</f>
        <v>46177</v>
      </c>
      <c r="K706" s="3" t="str">
        <f>IFERROR(__xludf.DUMMYFUNCTION("""COMPUTED_VALUE"""),"1800-1900")</f>
        <v>1800-1900</v>
      </c>
      <c r="L706" s="3">
        <f>IFERROR(__xludf.DUMMYFUNCTION("""COMPUTED_VALUE"""),1.0)</f>
        <v>1</v>
      </c>
      <c r="M706" s="3" t="str">
        <f>IFERROR(__xludf.DUMMYFUNCTION("""COMPUTED_VALUE"""),"ร.อ.หญิง เบญญาดา บุรีรัตน์")</f>
        <v>ร.อ.หญิง เบญญาดา บุรีรัตน์</v>
      </c>
      <c r="N706" s="14" t="str">
        <f>IFERROR(__xludf.DUMMYFUNCTION("""COMPUTED_VALUE"""),"https://lh5.googleusercontent.com/d/1Egu3RlYLEg0yZsEU2YLBCaa7jmmvDXhB")</f>
        <v>https://lh5.googleusercontent.com/d/1Egu3RlYLEg0yZsEU2YLBCaa7jmmvDXhB</v>
      </c>
      <c r="O706" s="14" t="str">
        <f>IFERROR(__xludf.DUMMYFUNCTION("""COMPUTED_VALUE"""),"https://drive.google.com/file/d/1O7iyVu00Vi4oXZ8liQD6RO-KSII7xu_n/view?usp=drivesdk")</f>
        <v>https://drive.google.com/file/d/1O7iyVu00Vi4oXZ8liQD6RO-KSII7xu_n/view?usp=drivesdk</v>
      </c>
    </row>
    <row r="707">
      <c r="A707" s="3">
        <f>IFERROR(__xludf.DUMMYFUNCTION("""COMPUTED_VALUE"""),3155.0)</f>
        <v>3155</v>
      </c>
      <c r="B707" s="11">
        <f>IFERROR(__xludf.DUMMYFUNCTION("""COMPUTED_VALUE"""),46178.568298391205)</f>
        <v>46178.5683</v>
      </c>
      <c r="C707" s="3" t="str">
        <f>IFERROR(__xludf.DUMMYFUNCTION("""COMPUTED_VALUE"""),"ชั้นปีที่ 2")</f>
        <v>ชั้นปีที่ 2</v>
      </c>
      <c r="D707" s="3" t="str">
        <f>IFERROR(__xludf.DUMMYFUNCTION("""COMPUTED_VALUE"""),"6703833")</f>
        <v>6703833</v>
      </c>
      <c r="E707" s="3" t="str">
        <f>IFERROR(__xludf.DUMMYFUNCTION("""COMPUTED_VALUE"""),"16")</f>
        <v>16</v>
      </c>
      <c r="F707" s="3" t="str">
        <f>IFERROR(__xludf.DUMMYFUNCTION("""COMPUTED_VALUE"""),"นพอ.ฐานิดา อ่อนล้อม")</f>
        <v>นพอ.ฐานิดา อ่อนล้อม</v>
      </c>
      <c r="G707" s="3" t="str">
        <f>IFERROR(__xludf.DUMMYFUNCTION("""COMPUTED_VALUE"""),"ช่วยเหลืองานภายใน วพอ.")</f>
        <v>ช่วยเหลืองานภายใน วพอ.</v>
      </c>
      <c r="H707" s="3" t="str">
        <f>IFERROR(__xludf.DUMMYFUNCTION("""COMPUTED_VALUE"""),"ปรับปรุงทัศนียภาพใน วพอ.พอ.")</f>
        <v>ปรับปรุงทัศนียภาพใน วพอ.พอ.</v>
      </c>
      <c r="I707" s="3" t="str">
        <f>IFERROR(__xludf.DUMMYFUNCTION("""COMPUTED_VALUE"""),"วิทยาลัยพยาบาลทหารอากาศ")</f>
        <v>วิทยาลัยพยาบาลทหารอากาศ</v>
      </c>
      <c r="J707" s="12">
        <f>IFERROR(__xludf.DUMMYFUNCTION("""COMPUTED_VALUE"""),46177.0)</f>
        <v>46177</v>
      </c>
      <c r="K707" s="3" t="str">
        <f>IFERROR(__xludf.DUMMYFUNCTION("""COMPUTED_VALUE"""),"1430-1730")</f>
        <v>1430-1730</v>
      </c>
      <c r="L707" s="3">
        <f>IFERROR(__xludf.DUMMYFUNCTION("""COMPUTED_VALUE"""),3.0)</f>
        <v>3</v>
      </c>
      <c r="M707" s="3" t="str">
        <f>IFERROR(__xludf.DUMMYFUNCTION("""COMPUTED_VALUE"""),"น.อ.หญิง ผศ. นิตยา สุขแสน")</f>
        <v>น.อ.หญิง ผศ. นิตยา สุขแสน</v>
      </c>
      <c r="N707" s="14" t="str">
        <f>IFERROR(__xludf.DUMMYFUNCTION("""COMPUTED_VALUE"""),"https://lh5.googleusercontent.com/d/1-25fzREyBQxg7iZP3bVOu1JnH81GnZpZ")</f>
        <v>https://lh5.googleusercontent.com/d/1-25fzREyBQxg7iZP3bVOu1JnH81GnZpZ</v>
      </c>
      <c r="O707" s="14" t="str">
        <f>IFERROR(__xludf.DUMMYFUNCTION("""COMPUTED_VALUE"""),"https://drive.google.com/file/d/1w_5J_ahXt1ubMSPOznl4fERinYXikB-8/view?usp=drivesdk")</f>
        <v>https://drive.google.com/file/d/1w_5J_ahXt1ubMSPOznl4fERinYXikB-8/view?usp=drivesdk</v>
      </c>
    </row>
    <row r="708">
      <c r="A708" s="3">
        <f>IFERROR(__xludf.DUMMYFUNCTION("""COMPUTED_VALUE"""),3156.0)</f>
        <v>3156</v>
      </c>
      <c r="B708" s="11">
        <f>IFERROR(__xludf.DUMMYFUNCTION("""COMPUTED_VALUE"""),46178.57348825232)</f>
        <v>46178.57349</v>
      </c>
      <c r="C708" s="3" t="str">
        <f>IFERROR(__xludf.DUMMYFUNCTION("""COMPUTED_VALUE"""),"ชั้นปีที่ 2")</f>
        <v>ชั้นปีที่ 2</v>
      </c>
      <c r="D708" s="3" t="str">
        <f>IFERROR(__xludf.DUMMYFUNCTION("""COMPUTED_VALUE"""),"6703829")</f>
        <v>6703829</v>
      </c>
      <c r="E708" s="3" t="str">
        <f>IFERROR(__xludf.DUMMYFUNCTION("""COMPUTED_VALUE"""),"12")</f>
        <v>12</v>
      </c>
      <c r="F708" s="3" t="str">
        <f>IFERROR(__xludf.DUMMYFUNCTION("""COMPUTED_VALUE"""),"นพอ.ชัญญาพัฒน์ ทัศนวิภาส")</f>
        <v>นพอ.ชัญญาพัฒน์ ทัศนวิภาส</v>
      </c>
      <c r="G708" s="3" t="str">
        <f>IFERROR(__xludf.DUMMYFUNCTION("""COMPUTED_VALUE"""),"ช่วยเหลืองานภายใน วพอ.")</f>
        <v>ช่วยเหลืองานภายใน วพอ.</v>
      </c>
      <c r="H708" s="3" t="str">
        <f>IFERROR(__xludf.DUMMYFUNCTION("""COMPUTED_VALUE"""),"ปรับปรุงทัศนียภาพใน วพอ.พอ.")</f>
        <v>ปรับปรุงทัศนียภาพใน วพอ.พอ.</v>
      </c>
      <c r="I708" s="3" t="str">
        <f>IFERROR(__xludf.DUMMYFUNCTION("""COMPUTED_VALUE"""),"วพอ.พอ.")</f>
        <v>วพอ.พอ.</v>
      </c>
      <c r="J708" s="12">
        <f>IFERROR(__xludf.DUMMYFUNCTION("""COMPUTED_VALUE"""),46177.0)</f>
        <v>46177</v>
      </c>
      <c r="K708" s="3" t="str">
        <f>IFERROR(__xludf.DUMMYFUNCTION("""COMPUTED_VALUE"""),"1430-1730")</f>
        <v>1430-1730</v>
      </c>
      <c r="L708" s="3">
        <f>IFERROR(__xludf.DUMMYFUNCTION("""COMPUTED_VALUE"""),3.0)</f>
        <v>3</v>
      </c>
      <c r="M708" s="3" t="str">
        <f>IFERROR(__xludf.DUMMYFUNCTION("""COMPUTED_VALUE"""),"น.อ.หญิง ผศ. นิตยา สุขแสน")</f>
        <v>น.อ.หญิง ผศ. นิตยา สุขแสน</v>
      </c>
      <c r="N708" s="14" t="str">
        <f>IFERROR(__xludf.DUMMYFUNCTION("""COMPUTED_VALUE"""),"https://lh5.googleusercontent.com/d/1LteeCMtTa3V2LQtQxczBfI5P45bleYlI")</f>
        <v>https://lh5.googleusercontent.com/d/1LteeCMtTa3V2LQtQxczBfI5P45bleYlI</v>
      </c>
      <c r="O708" s="14" t="str">
        <f>IFERROR(__xludf.DUMMYFUNCTION("""COMPUTED_VALUE"""),"https://drive.google.com/file/d/1arG2R3jgg7CAD3YX_qkbnnnICrFXTd3I/view?usp=drivesdk")</f>
        <v>https://drive.google.com/file/d/1arG2R3jgg7CAD3YX_qkbnnnICrFXTd3I/view?usp=drivesdk</v>
      </c>
    </row>
    <row r="709">
      <c r="A709" s="3">
        <f>IFERROR(__xludf.DUMMYFUNCTION("""COMPUTED_VALUE"""),3157.0)</f>
        <v>3157</v>
      </c>
      <c r="B709" s="11">
        <f>IFERROR(__xludf.DUMMYFUNCTION("""COMPUTED_VALUE"""),46178.58931239584)</f>
        <v>46178.58931</v>
      </c>
      <c r="C709" s="3" t="str">
        <f>IFERROR(__xludf.DUMMYFUNCTION("""COMPUTED_VALUE"""),"ชั้นปีที่ 2")</f>
        <v>ชั้นปีที่ 2</v>
      </c>
      <c r="D709" s="3" t="str">
        <f>IFERROR(__xludf.DUMMYFUNCTION("""COMPUTED_VALUE"""),"6703829")</f>
        <v>6703829</v>
      </c>
      <c r="E709" s="3" t="str">
        <f>IFERROR(__xludf.DUMMYFUNCTION("""COMPUTED_VALUE"""),"12")</f>
        <v>12</v>
      </c>
      <c r="F709" s="3" t="str">
        <f>IFERROR(__xludf.DUMMYFUNCTION("""COMPUTED_VALUE"""),"นพอ.ชัญญาพัฒน์ ทัศนวิภาส")</f>
        <v>นพอ.ชัญญาพัฒน์ ทัศนวิภาส</v>
      </c>
      <c r="G709" s="3" t="str">
        <f>IFERROR(__xludf.DUMMYFUNCTION("""COMPUTED_VALUE"""),"ช่วยเหลืองานภายใน วพอ.")</f>
        <v>ช่วยเหลืองานภายใน วพอ.</v>
      </c>
      <c r="H709" s="3" t="str">
        <f>IFERROR(__xludf.DUMMYFUNCTION("""COMPUTED_VALUE"""),"ทดสอบสมรรถภาพร่างกาย นพอ.69")</f>
        <v>ทดสอบสมรรถภาพร่างกาย นพอ.69</v>
      </c>
      <c r="I709" s="3" t="str">
        <f>IFERROR(__xludf.DUMMYFUNCTION("""COMPUTED_VALUE"""),"สนามกีฬากองทัพอากาศ(จันทรุเบกษา)")</f>
        <v>สนามกีฬากองทัพอากาศ(จันทรุเบกษา)</v>
      </c>
      <c r="J709" s="12">
        <f>IFERROR(__xludf.DUMMYFUNCTION("""COMPUTED_VALUE"""),46147.0)</f>
        <v>46147</v>
      </c>
      <c r="K709" s="3" t="str">
        <f>IFERROR(__xludf.DUMMYFUNCTION("""COMPUTED_VALUE"""),"1600-1900")</f>
        <v>1600-1900</v>
      </c>
      <c r="L709" s="3">
        <f>IFERROR(__xludf.DUMMYFUNCTION("""COMPUTED_VALUE"""),3.0)</f>
        <v>3</v>
      </c>
      <c r="M709" s="3" t="str">
        <f>IFERROR(__xludf.DUMMYFUNCTION("""COMPUTED_VALUE"""),"น.ต.ศักชัย บุญประสิทธิ์")</f>
        <v>น.ต.ศักชัย บุญประสิทธิ์</v>
      </c>
      <c r="N709" s="14" t="str">
        <f>IFERROR(__xludf.DUMMYFUNCTION("""COMPUTED_VALUE"""),"https://lh5.googleusercontent.com/d/1S32Z83WYu16Ag6dTqMFOTuIyi_uyfk-6")</f>
        <v>https://lh5.googleusercontent.com/d/1S32Z83WYu16Ag6dTqMFOTuIyi_uyfk-6</v>
      </c>
      <c r="O709" s="14" t="str">
        <f>IFERROR(__xludf.DUMMYFUNCTION("""COMPUTED_VALUE"""),"https://drive.google.com/file/d/1MPHvSRgiunIXJKxdNCGjCgS9Be8g8miJ/view?usp=drivesdk")</f>
        <v>https://drive.google.com/file/d/1MPHvSRgiunIXJKxdNCGjCgS9Be8g8miJ/view?usp=drivesdk</v>
      </c>
    </row>
    <row r="710">
      <c r="A710" s="3">
        <f>IFERROR(__xludf.DUMMYFUNCTION("""COMPUTED_VALUE"""),3158.0)</f>
        <v>3158</v>
      </c>
      <c r="B710" s="11">
        <f>IFERROR(__xludf.DUMMYFUNCTION("""COMPUTED_VALUE"""),46178.607196481484)</f>
        <v>46178.6072</v>
      </c>
      <c r="C710" s="3" t="str">
        <f>IFERROR(__xludf.DUMMYFUNCTION("""COMPUTED_VALUE"""),"ชั้นปีที่ 2")</f>
        <v>ชั้นปีที่ 2</v>
      </c>
      <c r="D710" s="3" t="str">
        <f>IFERROR(__xludf.DUMMYFUNCTION("""COMPUTED_VALUE"""),"6703874")</f>
        <v>6703874</v>
      </c>
      <c r="E710" s="3" t="str">
        <f>IFERROR(__xludf.DUMMYFUNCTION("""COMPUTED_VALUE"""),"54")</f>
        <v>54</v>
      </c>
      <c r="F710" s="3" t="str">
        <f>IFERROR(__xludf.DUMMYFUNCTION("""COMPUTED_VALUE"""),"นพอ.สรารัตน์ หาญจันทร์")</f>
        <v>นพอ.สรารัตน์ หาญจันทร์</v>
      </c>
      <c r="G710" s="3" t="str">
        <f>IFERROR(__xludf.DUMMYFUNCTION("""COMPUTED_VALUE"""),"ช่วยเหลืองานภายใน วพอ.")</f>
        <v>ช่วยเหลืองานภายใน วพอ.</v>
      </c>
      <c r="H710" s="3" t="str">
        <f>IFERROR(__xludf.DUMMYFUNCTION("""COMPUTED_VALUE"""),"ทดสอบสมรรถภาพร่างกาย นพอ.69")</f>
        <v>ทดสอบสมรรถภาพร่างกาย นพอ.69</v>
      </c>
      <c r="I710" s="3" t="str">
        <f>IFERROR(__xludf.DUMMYFUNCTION("""COMPUTED_VALUE"""),"สนามกีฬาจันทรุเบกษา")</f>
        <v>สนามกีฬาจันทรุเบกษา</v>
      </c>
      <c r="J710" s="12">
        <f>IFERROR(__xludf.DUMMYFUNCTION("""COMPUTED_VALUE"""),46147.0)</f>
        <v>46147</v>
      </c>
      <c r="K710" s="3" t="str">
        <f>IFERROR(__xludf.DUMMYFUNCTION("""COMPUTED_VALUE"""),"1600-1900")</f>
        <v>1600-1900</v>
      </c>
      <c r="L710" s="3">
        <f>IFERROR(__xludf.DUMMYFUNCTION("""COMPUTED_VALUE"""),3.0)</f>
        <v>3</v>
      </c>
      <c r="M710" s="3" t="str">
        <f>IFERROR(__xludf.DUMMYFUNCTION("""COMPUTED_VALUE"""),"น.ต.ศักชัย บุญประสิทธิ์")</f>
        <v>น.ต.ศักชัย บุญประสิทธิ์</v>
      </c>
      <c r="N710" s="14" t="str">
        <f>IFERROR(__xludf.DUMMYFUNCTION("""COMPUTED_VALUE"""),"https://lh5.googleusercontent.com/d/1sHNBITPoAJYWZD0BCerssRdSp5PbRKUu")</f>
        <v>https://lh5.googleusercontent.com/d/1sHNBITPoAJYWZD0BCerssRdSp5PbRKUu</v>
      </c>
      <c r="O710" s="14" t="str">
        <f>IFERROR(__xludf.DUMMYFUNCTION("""COMPUTED_VALUE"""),"https://drive.google.com/file/d/1KwuePrYOO3joAvw0iKGtFrk4mtC0N8_s/view?usp=drivesdk")</f>
        <v>https://drive.google.com/file/d/1KwuePrYOO3joAvw0iKGtFrk4mtC0N8_s/view?usp=drivesdk</v>
      </c>
    </row>
    <row r="711">
      <c r="A711" s="3">
        <f>IFERROR(__xludf.DUMMYFUNCTION("""COMPUTED_VALUE"""),3159.0)</f>
        <v>3159</v>
      </c>
      <c r="B711" s="11">
        <f>IFERROR(__xludf.DUMMYFUNCTION("""COMPUTED_VALUE"""),46178.610233946754)</f>
        <v>46178.61023</v>
      </c>
      <c r="C711" s="3" t="str">
        <f>IFERROR(__xludf.DUMMYFUNCTION("""COMPUTED_VALUE"""),"ชั้นปีที่ 2")</f>
        <v>ชั้นปีที่ 2</v>
      </c>
      <c r="D711" s="3" t="str">
        <f>IFERROR(__xludf.DUMMYFUNCTION("""COMPUTED_VALUE"""),"6703874")</f>
        <v>6703874</v>
      </c>
      <c r="E711" s="3" t="str">
        <f>IFERROR(__xludf.DUMMYFUNCTION("""COMPUTED_VALUE"""),"54")</f>
        <v>54</v>
      </c>
      <c r="F711" s="3" t="str">
        <f>IFERROR(__xludf.DUMMYFUNCTION("""COMPUTED_VALUE"""),"นพอ.สรารัตน์ หาญจันทร์")</f>
        <v>นพอ.สรารัตน์ หาญจันทร์</v>
      </c>
      <c r="G711" s="3" t="str">
        <f>IFERROR(__xludf.DUMMYFUNCTION("""COMPUTED_VALUE"""),"ช่วยเหลืองานภายใน วพอ.")</f>
        <v>ช่วยเหลืองานภายใน วพอ.</v>
      </c>
      <c r="H711" s="3" t="str">
        <f>IFERROR(__xludf.DUMMYFUNCTION("""COMPUTED_VALUE"""),"ปรับปรุงทัศนียภาพใน วพอ.พอ.")</f>
        <v>ปรับปรุงทัศนียภาพใน วพอ.พอ.</v>
      </c>
      <c r="I711" s="3" t="str">
        <f>IFERROR(__xludf.DUMMYFUNCTION("""COMPUTED_VALUE"""),"วพอ.พอ.")</f>
        <v>วพอ.พอ.</v>
      </c>
      <c r="J711" s="12">
        <f>IFERROR(__xludf.DUMMYFUNCTION("""COMPUTED_VALUE"""),46177.0)</f>
        <v>46177</v>
      </c>
      <c r="K711" s="3" t="str">
        <f>IFERROR(__xludf.DUMMYFUNCTION("""COMPUTED_VALUE"""),"1430-1730")</f>
        <v>1430-1730</v>
      </c>
      <c r="L711" s="3">
        <f>IFERROR(__xludf.DUMMYFUNCTION("""COMPUTED_VALUE"""),3.0)</f>
        <v>3</v>
      </c>
      <c r="M711" s="3" t="str">
        <f>IFERROR(__xludf.DUMMYFUNCTION("""COMPUTED_VALUE"""),"น.อ.หญิง ผศ.นิตยา สุขแสน")</f>
        <v>น.อ.หญิง ผศ.นิตยา สุขแสน</v>
      </c>
      <c r="N711" s="14" t="str">
        <f>IFERROR(__xludf.DUMMYFUNCTION("""COMPUTED_VALUE"""),"https://lh5.googleusercontent.com/d/1Zeh80bxji-dWnfV0m837kTtnrJKAY94g")</f>
        <v>https://lh5.googleusercontent.com/d/1Zeh80bxji-dWnfV0m837kTtnrJKAY94g</v>
      </c>
      <c r="O711" s="14" t="str">
        <f>IFERROR(__xludf.DUMMYFUNCTION("""COMPUTED_VALUE"""),"https://drive.google.com/file/d/1esAs9DXAUd5XQ9zYVSks95u8GFWbB8yU/view?usp=drivesdk")</f>
        <v>https://drive.google.com/file/d/1esAs9DXAUd5XQ9zYVSks95u8GFWbB8yU/view?usp=drivesdk</v>
      </c>
    </row>
    <row r="712">
      <c r="A712" s="3">
        <f>IFERROR(__xludf.DUMMYFUNCTION("""COMPUTED_VALUE"""),3160.0)</f>
        <v>3160</v>
      </c>
      <c r="B712" s="11">
        <f>IFERROR(__xludf.DUMMYFUNCTION("""COMPUTED_VALUE"""),46179.52768532407)</f>
        <v>46179.52769</v>
      </c>
      <c r="C712" s="3" t="str">
        <f>IFERROR(__xludf.DUMMYFUNCTION("""COMPUTED_VALUE"""),"ชั้นปีที่ 2")</f>
        <v>ชั้นปีที่ 2</v>
      </c>
      <c r="D712" s="3" t="str">
        <f>IFERROR(__xludf.DUMMYFUNCTION("""COMPUTED_VALUE"""),"6703859")</f>
        <v>6703859</v>
      </c>
      <c r="E712" s="3" t="str">
        <f>IFERROR(__xludf.DUMMYFUNCTION("""COMPUTED_VALUE"""),"40")</f>
        <v>40</v>
      </c>
      <c r="F712" s="3" t="str">
        <f>IFERROR(__xludf.DUMMYFUNCTION("""COMPUTED_VALUE"""),"นพอ.พิชญาภา ไชยพงษ์")</f>
        <v>นพอ.พิชญาภา ไชยพงษ์</v>
      </c>
      <c r="G712" s="3" t="str">
        <f>IFERROR(__xludf.DUMMYFUNCTION("""COMPUTED_VALUE"""),"ช่วยเหลืองานภายใน วพอ.")</f>
        <v>ช่วยเหลืองานภายใน วพอ.</v>
      </c>
      <c r="H712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12" s="3" t="str">
        <f>IFERROR(__xludf.DUMMYFUNCTION("""COMPUTED_VALUE"""),"วพอ.พอ")</f>
        <v>วพอ.พอ</v>
      </c>
      <c r="J712" s="12">
        <f>IFERROR(__xludf.DUMMYFUNCTION("""COMPUTED_VALUE"""),46113.0)</f>
        <v>46113</v>
      </c>
      <c r="K712" s="3" t="str">
        <f>IFERROR(__xludf.DUMMYFUNCTION("""COMPUTED_VALUE"""),"1800-2000")</f>
        <v>1800-2000</v>
      </c>
      <c r="L712" s="3">
        <f>IFERROR(__xludf.DUMMYFUNCTION("""COMPUTED_VALUE"""),2.0)</f>
        <v>2</v>
      </c>
      <c r="M712" s="3" t="str">
        <f>IFERROR(__xludf.DUMMYFUNCTION("""COMPUTED_VALUE"""),"ร.อ.หญิง ขนัฎฐา นาดี")</f>
        <v>ร.อ.หญิง ขนัฎฐา นาดี</v>
      </c>
      <c r="N712" s="14" t="str">
        <f>IFERROR(__xludf.DUMMYFUNCTION("""COMPUTED_VALUE"""),"https://lh5.googleusercontent.com/d/1QwG4CAbFG8LPhgH_o573CuNksq2P5Xsx")</f>
        <v>https://lh5.googleusercontent.com/d/1QwG4CAbFG8LPhgH_o573CuNksq2P5Xsx</v>
      </c>
      <c r="O712" s="14" t="str">
        <f>IFERROR(__xludf.DUMMYFUNCTION("""COMPUTED_VALUE"""),"https://drive.google.com/file/d/12no7TEhBI6ORmcG5s4tr-29gxnuoN8_L/view?usp=drivesdk")</f>
        <v>https://drive.google.com/file/d/12no7TEhBI6ORmcG5s4tr-29gxnuoN8_L/view?usp=drivesdk</v>
      </c>
    </row>
    <row r="713">
      <c r="A713" s="3">
        <f>IFERROR(__xludf.DUMMYFUNCTION("""COMPUTED_VALUE"""),3161.0)</f>
        <v>3161</v>
      </c>
      <c r="B713" s="11">
        <f>IFERROR(__xludf.DUMMYFUNCTION("""COMPUTED_VALUE"""),46179.53591537037)</f>
        <v>46179.53592</v>
      </c>
      <c r="C713" s="3" t="str">
        <f>IFERROR(__xludf.DUMMYFUNCTION("""COMPUTED_VALUE"""),"ชั้นปีที่ 2")</f>
        <v>ชั้นปีที่ 2</v>
      </c>
      <c r="D713" s="3" t="str">
        <f>IFERROR(__xludf.DUMMYFUNCTION("""COMPUTED_VALUE"""),"6703825")</f>
        <v>6703825</v>
      </c>
      <c r="E713" s="3" t="str">
        <f>IFERROR(__xludf.DUMMYFUNCTION("""COMPUTED_VALUE"""),"8")</f>
        <v>8</v>
      </c>
      <c r="F713" s="3" t="str">
        <f>IFERROR(__xludf.DUMMYFUNCTION("""COMPUTED_VALUE"""),"นพอ.จิราภา กลิ่นมณฑา")</f>
        <v>นพอ.จิราภา กลิ่นมณฑา</v>
      </c>
      <c r="G713" s="3" t="str">
        <f>IFERROR(__xludf.DUMMYFUNCTION("""COMPUTED_VALUE"""),"ช่วยเหลืองานภายใน วพอ.")</f>
        <v>ช่วยเหลืองานภายใน วพอ.</v>
      </c>
      <c r="H713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13" s="3" t="str">
        <f>IFERROR(__xludf.DUMMYFUNCTION("""COMPUTED_VALUE"""),"วพอ.พอ.")</f>
        <v>วพอ.พอ.</v>
      </c>
      <c r="J713" s="12">
        <f>IFERROR(__xludf.DUMMYFUNCTION("""COMPUTED_VALUE"""),46113.0)</f>
        <v>46113</v>
      </c>
      <c r="K713" s="3" t="str">
        <f>IFERROR(__xludf.DUMMYFUNCTION("""COMPUTED_VALUE"""),"1800-2000")</f>
        <v>1800-2000</v>
      </c>
      <c r="L713" s="3">
        <f>IFERROR(__xludf.DUMMYFUNCTION("""COMPUTED_VALUE"""),2.0)</f>
        <v>2</v>
      </c>
      <c r="M713" s="3" t="str">
        <f>IFERROR(__xludf.DUMMYFUNCTION("""COMPUTED_VALUE"""),"ร.อ.หญิง ขนัฎฐา นาดี")</f>
        <v>ร.อ.หญิง ขนัฎฐา นาดี</v>
      </c>
      <c r="N713" s="14" t="str">
        <f>IFERROR(__xludf.DUMMYFUNCTION("""COMPUTED_VALUE"""),"https://lh5.googleusercontent.com/d/1Zg1uVqqUSJrZi2nSZR-4KVbOlsiJhXai")</f>
        <v>https://lh5.googleusercontent.com/d/1Zg1uVqqUSJrZi2nSZR-4KVbOlsiJhXai</v>
      </c>
      <c r="O713" s="14" t="str">
        <f>IFERROR(__xludf.DUMMYFUNCTION("""COMPUTED_VALUE"""),"https://drive.google.com/file/d/1DdXP2I9okqXXUw0sx6RL24zj2Q1fJKaA/view?usp=drivesdk")</f>
        <v>https://drive.google.com/file/d/1DdXP2I9okqXXUw0sx6RL24zj2Q1fJKaA/view?usp=drivesdk</v>
      </c>
    </row>
    <row r="714">
      <c r="A714" s="3">
        <f>IFERROR(__xludf.DUMMYFUNCTION("""COMPUTED_VALUE"""),3162.0)</f>
        <v>3162</v>
      </c>
      <c r="B714" s="11">
        <f>IFERROR(__xludf.DUMMYFUNCTION("""COMPUTED_VALUE"""),46179.53778143518)</f>
        <v>46179.53778</v>
      </c>
      <c r="C714" s="3" t="str">
        <f>IFERROR(__xludf.DUMMYFUNCTION("""COMPUTED_VALUE"""),"ชั้นปีที่ 2")</f>
        <v>ชั้นปีที่ 2</v>
      </c>
      <c r="D714" s="3" t="str">
        <f>IFERROR(__xludf.DUMMYFUNCTION("""COMPUTED_VALUE"""),"6703825")</f>
        <v>6703825</v>
      </c>
      <c r="E714" s="3" t="str">
        <f>IFERROR(__xludf.DUMMYFUNCTION("""COMPUTED_VALUE"""),"8")</f>
        <v>8</v>
      </c>
      <c r="F714" s="3" t="str">
        <f>IFERROR(__xludf.DUMMYFUNCTION("""COMPUTED_VALUE"""),"นพอ.จิราภา กลิ่นมณฑา")</f>
        <v>นพอ.จิราภา กลิ่นมณฑา</v>
      </c>
      <c r="G714" s="3" t="str">
        <f>IFERROR(__xludf.DUMMYFUNCTION("""COMPUTED_VALUE"""),"ช่วยเหลืองานภายใน วพอ.")</f>
        <v>ช่วยเหลืองานภายใน วพอ.</v>
      </c>
      <c r="H714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14" s="3" t="str">
        <f>IFERROR(__xludf.DUMMYFUNCTION("""COMPUTED_VALUE"""),"วพอ.พอ.")</f>
        <v>วพอ.พอ.</v>
      </c>
      <c r="J714" s="12">
        <f>IFERROR(__xludf.DUMMYFUNCTION("""COMPUTED_VALUE"""),46114.0)</f>
        <v>46114</v>
      </c>
      <c r="K714" s="3" t="str">
        <f>IFERROR(__xludf.DUMMYFUNCTION("""COMPUTED_VALUE"""),"1800-2000")</f>
        <v>1800-2000</v>
      </c>
      <c r="L714" s="3">
        <f>IFERROR(__xludf.DUMMYFUNCTION("""COMPUTED_VALUE"""),2.0)</f>
        <v>2</v>
      </c>
      <c r="M714" s="3" t="str">
        <f>IFERROR(__xludf.DUMMYFUNCTION("""COMPUTED_VALUE"""),"ร.อ.หญิง ขนัฎฐา นาดี")</f>
        <v>ร.อ.หญิง ขนัฎฐา นาดี</v>
      </c>
      <c r="N714" s="14" t="str">
        <f>IFERROR(__xludf.DUMMYFUNCTION("""COMPUTED_VALUE"""),"https://lh5.googleusercontent.com/d/1dLavsPf55L-tT_MWuq577oRv8CeN2ID-")</f>
        <v>https://lh5.googleusercontent.com/d/1dLavsPf55L-tT_MWuq577oRv8CeN2ID-</v>
      </c>
      <c r="O714" s="14" t="str">
        <f>IFERROR(__xludf.DUMMYFUNCTION("""COMPUTED_VALUE"""),"https://drive.google.com/file/d/17hcY6Wqai3JB8l8nXP2AdEZoRDuBcuS8/view?usp=drivesdk")</f>
        <v>https://drive.google.com/file/d/17hcY6Wqai3JB8l8nXP2AdEZoRDuBcuS8/view?usp=drivesdk</v>
      </c>
    </row>
    <row r="715">
      <c r="A715" s="3">
        <f>IFERROR(__xludf.DUMMYFUNCTION("""COMPUTED_VALUE"""),3163.0)</f>
        <v>3163</v>
      </c>
      <c r="B715" s="11">
        <f>IFERROR(__xludf.DUMMYFUNCTION("""COMPUTED_VALUE"""),46179.53939466435)</f>
        <v>46179.53939</v>
      </c>
      <c r="C715" s="3" t="str">
        <f>IFERROR(__xludf.DUMMYFUNCTION("""COMPUTED_VALUE"""),"ชั้นปีที่ 2")</f>
        <v>ชั้นปีที่ 2</v>
      </c>
      <c r="D715" s="3" t="str">
        <f>IFERROR(__xludf.DUMMYFUNCTION("""COMPUTED_VALUE"""),"6703825")</f>
        <v>6703825</v>
      </c>
      <c r="E715" s="3" t="str">
        <f>IFERROR(__xludf.DUMMYFUNCTION("""COMPUTED_VALUE"""),"8")</f>
        <v>8</v>
      </c>
      <c r="F715" s="3" t="str">
        <f>IFERROR(__xludf.DUMMYFUNCTION("""COMPUTED_VALUE"""),"นพอ.จิราภา กลิ่นมณฑา")</f>
        <v>นพอ.จิราภา กลิ่นมณฑา</v>
      </c>
      <c r="G715" s="3" t="str">
        <f>IFERROR(__xludf.DUMMYFUNCTION("""COMPUTED_VALUE"""),"ช่วยเหลืองานภายใน วพอ.")</f>
        <v>ช่วยเหลืองานภายใน วพอ.</v>
      </c>
      <c r="H715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15" s="3" t="str">
        <f>IFERROR(__xludf.DUMMYFUNCTION("""COMPUTED_VALUE"""),"วพอ.พอ.")</f>
        <v>วพอ.พอ.</v>
      </c>
      <c r="J715" s="12">
        <f>IFERROR(__xludf.DUMMYFUNCTION("""COMPUTED_VALUE"""),46120.0)</f>
        <v>46120</v>
      </c>
      <c r="K715" s="3" t="str">
        <f>IFERROR(__xludf.DUMMYFUNCTION("""COMPUTED_VALUE"""),"1800-2000")</f>
        <v>1800-2000</v>
      </c>
      <c r="L715" s="3">
        <f>IFERROR(__xludf.DUMMYFUNCTION("""COMPUTED_VALUE"""),2.0)</f>
        <v>2</v>
      </c>
      <c r="M715" s="3" t="str">
        <f>IFERROR(__xludf.DUMMYFUNCTION("""COMPUTED_VALUE"""),"ร.อ.หญิง ขนัฎฐา นาดี")</f>
        <v>ร.อ.หญิง ขนัฎฐา นาดี</v>
      </c>
      <c r="N715" s="14" t="str">
        <f>IFERROR(__xludf.DUMMYFUNCTION("""COMPUTED_VALUE"""),"https://lh5.googleusercontent.com/d/1N3g-6W_iETeY4cXY4vF86kTxVaJ0381w")</f>
        <v>https://lh5.googleusercontent.com/d/1N3g-6W_iETeY4cXY4vF86kTxVaJ0381w</v>
      </c>
      <c r="O715" s="14" t="str">
        <f>IFERROR(__xludf.DUMMYFUNCTION("""COMPUTED_VALUE"""),"https://drive.google.com/file/d/1Pi3cHMRhWH2I8sz8XX8AXsiLz0X-YPtS/view?usp=drivesdk")</f>
        <v>https://drive.google.com/file/d/1Pi3cHMRhWH2I8sz8XX8AXsiLz0X-YPtS/view?usp=drivesdk</v>
      </c>
    </row>
    <row r="716">
      <c r="A716" s="3">
        <f>IFERROR(__xludf.DUMMYFUNCTION("""COMPUTED_VALUE"""),3164.0)</f>
        <v>3164</v>
      </c>
      <c r="B716" s="11">
        <f>IFERROR(__xludf.DUMMYFUNCTION("""COMPUTED_VALUE"""),46179.54200755787)</f>
        <v>46179.54201</v>
      </c>
      <c r="C716" s="3" t="str">
        <f>IFERROR(__xludf.DUMMYFUNCTION("""COMPUTED_VALUE"""),"ชั้นปีที่ 2")</f>
        <v>ชั้นปีที่ 2</v>
      </c>
      <c r="D716" s="3" t="str">
        <f>IFERROR(__xludf.DUMMYFUNCTION("""COMPUTED_VALUE"""),"6703825")</f>
        <v>6703825</v>
      </c>
      <c r="E716" s="3" t="str">
        <f>IFERROR(__xludf.DUMMYFUNCTION("""COMPUTED_VALUE"""),"8")</f>
        <v>8</v>
      </c>
      <c r="F716" s="3" t="str">
        <f>IFERROR(__xludf.DUMMYFUNCTION("""COMPUTED_VALUE"""),"นพอ.จิราภา กลิ่นมณฑา")</f>
        <v>นพอ.จิราภา กลิ่นมณฑา</v>
      </c>
      <c r="G716" s="3" t="str">
        <f>IFERROR(__xludf.DUMMYFUNCTION("""COMPUTED_VALUE"""),"ช่วยเหลืองานภายใน วพอ.")</f>
        <v>ช่วยเหลืองานภายใน วพอ.</v>
      </c>
      <c r="H716" s="3" t="str">
        <f>IFERROR(__xludf.DUMMYFUNCTION("""COMPUTED_VALUE"""),"ปรับปรุงทัศนียภาพในวพอ.พอ.")</f>
        <v>ปรับปรุงทัศนียภาพในวพอ.พอ.</v>
      </c>
      <c r="I716" s="3" t="str">
        <f>IFERROR(__xludf.DUMMYFUNCTION("""COMPUTED_VALUE"""),"วพอ.พอ.")</f>
        <v>วพอ.พอ.</v>
      </c>
      <c r="J716" s="12">
        <f>IFERROR(__xludf.DUMMYFUNCTION("""COMPUTED_VALUE"""),46177.0)</f>
        <v>46177</v>
      </c>
      <c r="K716" s="3" t="str">
        <f>IFERROR(__xludf.DUMMYFUNCTION("""COMPUTED_VALUE"""),"1430-1730")</f>
        <v>1430-1730</v>
      </c>
      <c r="L716" s="3">
        <f>IFERROR(__xludf.DUMMYFUNCTION("""COMPUTED_VALUE"""),3.0)</f>
        <v>3</v>
      </c>
      <c r="M716" s="3" t="str">
        <f>IFERROR(__xludf.DUMMYFUNCTION("""COMPUTED_VALUE"""),"น.อ.หญิง ผศ.นิตยา สุขแสน")</f>
        <v>น.อ.หญิง ผศ.นิตยา สุขแสน</v>
      </c>
      <c r="N716" s="14" t="str">
        <f>IFERROR(__xludf.DUMMYFUNCTION("""COMPUTED_VALUE"""),"https://lh5.googleusercontent.com/d/1iOg3c24XU1HIlMcHtOG-kGvYvEyMkkf4")</f>
        <v>https://lh5.googleusercontent.com/d/1iOg3c24XU1HIlMcHtOG-kGvYvEyMkkf4</v>
      </c>
      <c r="O716" s="14" t="str">
        <f>IFERROR(__xludf.DUMMYFUNCTION("""COMPUTED_VALUE"""),"https://drive.google.com/file/d/11xMPVlv-OLzr4yoJ5Ygzdomq8LVoutci/view?usp=drivesdk")</f>
        <v>https://drive.google.com/file/d/11xMPVlv-OLzr4yoJ5Ygzdomq8LVoutci/view?usp=drivesdk</v>
      </c>
    </row>
    <row r="717">
      <c r="A717" s="3">
        <f>IFERROR(__xludf.DUMMYFUNCTION("""COMPUTED_VALUE"""),3174.0)</f>
        <v>3174</v>
      </c>
      <c r="B717" s="11">
        <f>IFERROR(__xludf.DUMMYFUNCTION("""COMPUTED_VALUE"""),46179.78622850694)</f>
        <v>46179.78623</v>
      </c>
      <c r="C717" s="3" t="str">
        <f>IFERROR(__xludf.DUMMYFUNCTION("""COMPUTED_VALUE"""),"ชั้นปีที่ 2")</f>
        <v>ชั้นปีที่ 2</v>
      </c>
      <c r="D717" s="3" t="str">
        <f>IFERROR(__xludf.DUMMYFUNCTION("""COMPUTED_VALUE"""),"6703867")</f>
        <v>6703867</v>
      </c>
      <c r="E717" s="3" t="str">
        <f>IFERROR(__xludf.DUMMYFUNCTION("""COMPUTED_VALUE"""),"48")</f>
        <v>48</v>
      </c>
      <c r="F717" s="3" t="str">
        <f>IFERROR(__xludf.DUMMYFUNCTION("""COMPUTED_VALUE"""),"นพอ.วรางคณา ปางชาติ")</f>
        <v>นพอ.วรางคณา ปางชาติ</v>
      </c>
      <c r="G717" s="3" t="str">
        <f>IFERROR(__xludf.DUMMYFUNCTION("""COMPUTED_VALUE"""),"ช่วยเหลืองานภายใน วพอ.")</f>
        <v>ช่วยเหลืองานภายใน วพอ.</v>
      </c>
      <c r="H717" s="3" t="str">
        <f>IFERROR(__xludf.DUMMYFUNCTION("""COMPUTED_VALUE"""),"งานพิธีมอบหมวกพยาบาลวิชาชีพ ปีการศึกษา 2568")</f>
        <v>งานพิธีมอบหมวกพยาบาลวิชาชีพ ปีการศึกษา 2568</v>
      </c>
      <c r="I717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717" s="12">
        <f>IFERROR(__xludf.DUMMYFUNCTION("""COMPUTED_VALUE"""),46139.0)</f>
        <v>46139</v>
      </c>
      <c r="K717" s="3" t="str">
        <f>IFERROR(__xludf.DUMMYFUNCTION("""COMPUTED_VALUE"""),"1700-2100")</f>
        <v>1700-2100</v>
      </c>
      <c r="L717" s="3">
        <f>IFERROR(__xludf.DUMMYFUNCTION("""COMPUTED_VALUE"""),4.0)</f>
        <v>4</v>
      </c>
      <c r="M717" s="3" t="str">
        <f>IFERROR(__xludf.DUMMYFUNCTION("""COMPUTED_VALUE"""),"ร.อ.อนุชิต ทำจะดี")</f>
        <v>ร.อ.อนุชิต ทำจะดี</v>
      </c>
      <c r="N717" s="14" t="str">
        <f>IFERROR(__xludf.DUMMYFUNCTION("""COMPUTED_VALUE"""),"https://lh5.googleusercontent.com/d/1cDaPymsjplyfBXnC22umUCpASLL4LBW8")</f>
        <v>https://lh5.googleusercontent.com/d/1cDaPymsjplyfBXnC22umUCpASLL4LBW8</v>
      </c>
      <c r="O717" s="14" t="str">
        <f>IFERROR(__xludf.DUMMYFUNCTION("""COMPUTED_VALUE"""),"https://drive.google.com/file/d/1l1pDgUkClePoxdXXz3ruQrMwnRLh_X7_/view?usp=drivesdk")</f>
        <v>https://drive.google.com/file/d/1l1pDgUkClePoxdXXz3ruQrMwnRLh_X7_/view?usp=drivesdk</v>
      </c>
    </row>
    <row r="718">
      <c r="A718" s="3">
        <f>IFERROR(__xludf.DUMMYFUNCTION("""COMPUTED_VALUE"""),3175.0)</f>
        <v>3175</v>
      </c>
      <c r="B718" s="11">
        <f>IFERROR(__xludf.DUMMYFUNCTION("""COMPUTED_VALUE"""),46179.78903880787)</f>
        <v>46179.78904</v>
      </c>
      <c r="C718" s="3" t="str">
        <f>IFERROR(__xludf.DUMMYFUNCTION("""COMPUTED_VALUE"""),"ชั้นปีที่ 2")</f>
        <v>ชั้นปีที่ 2</v>
      </c>
      <c r="D718" s="3" t="str">
        <f>IFERROR(__xludf.DUMMYFUNCTION("""COMPUTED_VALUE"""),"6703867")</f>
        <v>6703867</v>
      </c>
      <c r="E718" s="3" t="str">
        <f>IFERROR(__xludf.DUMMYFUNCTION("""COMPUTED_VALUE"""),"48")</f>
        <v>48</v>
      </c>
      <c r="F718" s="3" t="str">
        <f>IFERROR(__xludf.DUMMYFUNCTION("""COMPUTED_VALUE"""),"นพอ.วรางคณา ปางชาติ")</f>
        <v>นพอ.วรางคณา ปางชาติ</v>
      </c>
      <c r="G718" s="3" t="str">
        <f>IFERROR(__xludf.DUMMYFUNCTION("""COMPUTED_VALUE"""),"ช่วยเหลืองานภายใน วพอ.")</f>
        <v>ช่วยเหลืองานภายใน วพอ.</v>
      </c>
      <c r="H718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718" s="3" t="str">
        <f>IFERROR(__xludf.DUMMYFUNCTION("""COMPUTED_VALUE"""),"อาคารสำนักงานชั้น 4")</f>
        <v>อาคารสำนักงานชั้น 4</v>
      </c>
      <c r="J718" s="12">
        <f>IFERROR(__xludf.DUMMYFUNCTION("""COMPUTED_VALUE"""),46147.0)</f>
        <v>46147</v>
      </c>
      <c r="K718" s="3" t="str">
        <f>IFERROR(__xludf.DUMMYFUNCTION("""COMPUTED_VALUE"""),"1500-1800")</f>
        <v>1500-1800</v>
      </c>
      <c r="L718" s="3">
        <f>IFERROR(__xludf.DUMMYFUNCTION("""COMPUTED_VALUE"""),3.0)</f>
        <v>3</v>
      </c>
      <c r="M718" s="3" t="str">
        <f>IFERROR(__xludf.DUMMYFUNCTION("""COMPUTED_VALUE"""),"น.ต.ศักชัย บุญประสิทธิ์")</f>
        <v>น.ต.ศักชัย บุญประสิทธิ์</v>
      </c>
      <c r="N718" s="14" t="str">
        <f>IFERROR(__xludf.DUMMYFUNCTION("""COMPUTED_VALUE"""),"https://lh5.googleusercontent.com/d/1rGHppryPWDY_DlT9aUpRN72b_RDUMZmP")</f>
        <v>https://lh5.googleusercontent.com/d/1rGHppryPWDY_DlT9aUpRN72b_RDUMZmP</v>
      </c>
      <c r="O718" s="14" t="str">
        <f>IFERROR(__xludf.DUMMYFUNCTION("""COMPUTED_VALUE"""),"https://drive.google.com/file/d/1Zk9bypGEQg6oE4TWqpvQ0r4ezGEnEN9q/view?usp=drivesdk")</f>
        <v>https://drive.google.com/file/d/1Zk9bypGEQg6oE4TWqpvQ0r4ezGEnEN9q/view?usp=drivesdk</v>
      </c>
    </row>
    <row r="719">
      <c r="A719" s="3">
        <f>IFERROR(__xludf.DUMMYFUNCTION("""COMPUTED_VALUE"""),3176.0)</f>
        <v>3176</v>
      </c>
      <c r="B719" s="11">
        <f>IFERROR(__xludf.DUMMYFUNCTION("""COMPUTED_VALUE"""),46179.79184019676)</f>
        <v>46179.79184</v>
      </c>
      <c r="C719" s="3" t="str">
        <f>IFERROR(__xludf.DUMMYFUNCTION("""COMPUTED_VALUE"""),"ชั้นปีที่ 2")</f>
        <v>ชั้นปีที่ 2</v>
      </c>
      <c r="D719" s="3" t="str">
        <f>IFERROR(__xludf.DUMMYFUNCTION("""COMPUTED_VALUE"""),"6703867")</f>
        <v>6703867</v>
      </c>
      <c r="E719" s="3" t="str">
        <f>IFERROR(__xludf.DUMMYFUNCTION("""COMPUTED_VALUE"""),"48")</f>
        <v>48</v>
      </c>
      <c r="F719" s="3" t="str">
        <f>IFERROR(__xludf.DUMMYFUNCTION("""COMPUTED_VALUE"""),"นพอ.วรางคณา ปางชาติ")</f>
        <v>นพอ.วรางคณา ปางชาติ</v>
      </c>
      <c r="G719" s="3" t="str">
        <f>IFERROR(__xludf.DUMMYFUNCTION("""COMPUTED_VALUE"""),"ช่วยเหลืองานภายใน วพอ.")</f>
        <v>ช่วยเหลืองานภายใน วพอ.</v>
      </c>
      <c r="H719" s="3" t="str">
        <f>IFERROR(__xludf.DUMMYFUNCTION("""COMPUTED_VALUE"""),"ปรับปรุงทัศนียภาพใน วพอ.พอ.")</f>
        <v>ปรับปรุงทัศนียภาพใน วพอ.พอ.</v>
      </c>
      <c r="I719" s="3" t="str">
        <f>IFERROR(__xludf.DUMMYFUNCTION("""COMPUTED_VALUE"""),"วพอ.พอ.")</f>
        <v>วพอ.พอ.</v>
      </c>
      <c r="J719" s="12">
        <f>IFERROR(__xludf.DUMMYFUNCTION("""COMPUTED_VALUE"""),46177.0)</f>
        <v>46177</v>
      </c>
      <c r="K719" s="3" t="str">
        <f>IFERROR(__xludf.DUMMYFUNCTION("""COMPUTED_VALUE"""),"1430-1730")</f>
        <v>1430-1730</v>
      </c>
      <c r="L719" s="3">
        <f>IFERROR(__xludf.DUMMYFUNCTION("""COMPUTED_VALUE"""),3.0)</f>
        <v>3</v>
      </c>
      <c r="M719" s="3" t="str">
        <f>IFERROR(__xludf.DUMMYFUNCTION("""COMPUTED_VALUE"""),"น.อ.หญิง ผศ. นิตยา สุขแสน")</f>
        <v>น.อ.หญิง ผศ. นิตยา สุขแสน</v>
      </c>
      <c r="N719" s="14" t="str">
        <f>IFERROR(__xludf.DUMMYFUNCTION("""COMPUTED_VALUE"""),"https://lh5.googleusercontent.com/d/1HxPwdaPyBAkKnNtT6RCIXBdxnnBmLkS5")</f>
        <v>https://lh5.googleusercontent.com/d/1HxPwdaPyBAkKnNtT6RCIXBdxnnBmLkS5</v>
      </c>
      <c r="O719" s="14" t="str">
        <f>IFERROR(__xludf.DUMMYFUNCTION("""COMPUTED_VALUE"""),"https://drive.google.com/file/d/1R-jlGTaH-bq8b2PHHZDoEEJdk4apssCG/view?usp=drivesdk")</f>
        <v>https://drive.google.com/file/d/1R-jlGTaH-bq8b2PHHZDoEEJdk4apssCG/view?usp=drivesdk</v>
      </c>
    </row>
    <row r="720">
      <c r="A720" s="3">
        <f>IFERROR(__xludf.DUMMYFUNCTION("""COMPUTED_VALUE"""),3177.0)</f>
        <v>3177</v>
      </c>
      <c r="B720" s="11">
        <f>IFERROR(__xludf.DUMMYFUNCTION("""COMPUTED_VALUE"""),46179.79582299769)</f>
        <v>46179.79582</v>
      </c>
      <c r="C720" s="3" t="str">
        <f>IFERROR(__xludf.DUMMYFUNCTION("""COMPUTED_VALUE"""),"ชั้นปีที่ 2")</f>
        <v>ชั้นปีที่ 2</v>
      </c>
      <c r="D720" s="3" t="str">
        <f>IFERROR(__xludf.DUMMYFUNCTION("""COMPUTED_VALUE"""),"6703867")</f>
        <v>6703867</v>
      </c>
      <c r="E720" s="3" t="str">
        <f>IFERROR(__xludf.DUMMYFUNCTION("""COMPUTED_VALUE"""),"48")</f>
        <v>48</v>
      </c>
      <c r="F720" s="3" t="str">
        <f>IFERROR(__xludf.DUMMYFUNCTION("""COMPUTED_VALUE"""),"นพอ.วรางคณา ปางชาติ")</f>
        <v>นพอ.วรางคณา ปางชาติ</v>
      </c>
      <c r="G720" s="3" t="str">
        <f>IFERROR(__xludf.DUMMYFUNCTION("""COMPUTED_VALUE"""),"ช่วยเหลืองานภายใน วพอ.")</f>
        <v>ช่วยเหลืองานภายใน วพอ.</v>
      </c>
      <c r="H720" s="3" t="str">
        <f>IFERROR(__xludf.DUMMYFUNCTION("""COMPUTED_VALUE"""),"ซ้อมเต้นเพลง ฉันมีความสุข")</f>
        <v>ซ้อมเต้นเพลง ฉันมีความสุข</v>
      </c>
      <c r="I720" s="3" t="str">
        <f>IFERROR(__xludf.DUMMYFUNCTION("""COMPUTED_VALUE"""),"วพอ.พอ.")</f>
        <v>วพอ.พอ.</v>
      </c>
      <c r="J720" s="12">
        <f>IFERROR(__xludf.DUMMYFUNCTION("""COMPUTED_VALUE"""),46176.0)</f>
        <v>46176</v>
      </c>
      <c r="K720" s="3" t="str">
        <f>IFERROR(__xludf.DUMMYFUNCTION("""COMPUTED_VALUE"""),"1800-1900")</f>
        <v>1800-1900</v>
      </c>
      <c r="L720" s="3">
        <f>IFERROR(__xludf.DUMMYFUNCTION("""COMPUTED_VALUE"""),1.0)</f>
        <v>1</v>
      </c>
      <c r="M720" s="3" t="str">
        <f>IFERROR(__xludf.DUMMYFUNCTION("""COMPUTED_VALUE"""),"ร.อ.หญิงเบญญาดา บุรีรัตน์")</f>
        <v>ร.อ.หญิงเบญญาดา บุรีรัตน์</v>
      </c>
      <c r="N720" s="14" t="str">
        <f>IFERROR(__xludf.DUMMYFUNCTION("""COMPUTED_VALUE"""),"https://lh5.googleusercontent.com/d/1G_NlbKIEYJO0CG9QZQ4oFIni8SB0ZYFi")</f>
        <v>https://lh5.googleusercontent.com/d/1G_NlbKIEYJO0CG9QZQ4oFIni8SB0ZYFi</v>
      </c>
      <c r="O720" s="14" t="str">
        <f>IFERROR(__xludf.DUMMYFUNCTION("""COMPUTED_VALUE"""),"https://drive.google.com/file/d/1gAMiz0nyJ-hDcxw1jtTkekDSWs7-jhAF/view?usp=drivesdk")</f>
        <v>https://drive.google.com/file/d/1gAMiz0nyJ-hDcxw1jtTkekDSWs7-jhAF/view?usp=drivesdk</v>
      </c>
    </row>
    <row r="721">
      <c r="A721" s="3">
        <f>IFERROR(__xludf.DUMMYFUNCTION("""COMPUTED_VALUE"""),3178.0)</f>
        <v>3178</v>
      </c>
      <c r="B721" s="11">
        <f>IFERROR(__xludf.DUMMYFUNCTION("""COMPUTED_VALUE"""),46179.80107262732)</f>
        <v>46179.80107</v>
      </c>
      <c r="C721" s="3" t="str">
        <f>IFERROR(__xludf.DUMMYFUNCTION("""COMPUTED_VALUE"""),"ชั้นปีที่ 2")</f>
        <v>ชั้นปีที่ 2</v>
      </c>
      <c r="D721" s="3" t="str">
        <f>IFERROR(__xludf.DUMMYFUNCTION("""COMPUTED_VALUE"""),"6703867")</f>
        <v>6703867</v>
      </c>
      <c r="E721" s="3" t="str">
        <f>IFERROR(__xludf.DUMMYFUNCTION("""COMPUTED_VALUE"""),"48")</f>
        <v>48</v>
      </c>
      <c r="F721" s="3" t="str">
        <f>IFERROR(__xludf.DUMMYFUNCTION("""COMPUTED_VALUE"""),"นพอ.วรางคณา ปางชาติ")</f>
        <v>นพอ.วรางคณา ปางชาติ</v>
      </c>
      <c r="G72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21" s="3" t="str">
        <f>IFERROR(__xludf.DUMMYFUNCTION("""COMPUTED_VALUE"""),"บริจาคโลหิต")</f>
        <v>บริจาคโลหิต</v>
      </c>
      <c r="I721" s="3" t="str">
        <f>IFERROR(__xludf.DUMMYFUNCTION("""COMPUTED_VALUE"""),"กองบริการโลหิต รพ.ภูมิพลอดุลยเดช พอ.")</f>
        <v>กองบริการโลหิต รพ.ภูมิพลอดุลยเดช พอ.</v>
      </c>
      <c r="J721" s="12">
        <f>IFERROR(__xludf.DUMMYFUNCTION("""COMPUTED_VALUE"""),46177.0)</f>
        <v>46177</v>
      </c>
      <c r="K721" s="3" t="str">
        <f>IFERROR(__xludf.DUMMYFUNCTION("""COMPUTED_VALUE"""),"1400-1600")</f>
        <v>1400-1600</v>
      </c>
      <c r="L721" s="3">
        <f>IFERROR(__xludf.DUMMYFUNCTION("""COMPUTED_VALUE"""),8.0)</f>
        <v>8</v>
      </c>
      <c r="M721" s="3" t="str">
        <f>IFERROR(__xludf.DUMMYFUNCTION("""COMPUTED_VALUE"""),"ร.ท.เรวัติ วัชรสิทธิ์")</f>
        <v>ร.ท.เรวัติ วัชรสิทธิ์</v>
      </c>
      <c r="N721" s="14" t="str">
        <f>IFERROR(__xludf.DUMMYFUNCTION("""COMPUTED_VALUE"""),"https://lh5.googleusercontent.com/d/1nfNDHpcHbn66pXdry9PgPKEkWE_AwSqJ")</f>
        <v>https://lh5.googleusercontent.com/d/1nfNDHpcHbn66pXdry9PgPKEkWE_AwSqJ</v>
      </c>
      <c r="O721" s="14" t="str">
        <f>IFERROR(__xludf.DUMMYFUNCTION("""COMPUTED_VALUE"""),"https://drive.google.com/file/d/16hP9jo29g3jP_jFMUmxAtYqcmX8BTU78/view?usp=drivesdk")</f>
        <v>https://drive.google.com/file/d/16hP9jo29g3jP_jFMUmxAtYqcmX8BTU78/view?usp=drivesdk</v>
      </c>
    </row>
    <row r="722">
      <c r="A722" s="3">
        <f>IFERROR(__xludf.DUMMYFUNCTION("""COMPUTED_VALUE"""),3179.0)</f>
        <v>3179</v>
      </c>
      <c r="B722" s="11">
        <f>IFERROR(__xludf.DUMMYFUNCTION("""COMPUTED_VALUE"""),46179.8616059375)</f>
        <v>46179.86161</v>
      </c>
      <c r="C722" s="3" t="str">
        <f>IFERROR(__xludf.DUMMYFUNCTION("""COMPUTED_VALUE"""),"ชั้นปีที่ 2")</f>
        <v>ชั้นปีที่ 2</v>
      </c>
      <c r="D722" s="3" t="str">
        <f>IFERROR(__xludf.DUMMYFUNCTION("""COMPUTED_VALUE"""),"6703854")</f>
        <v>6703854</v>
      </c>
      <c r="E722" s="3" t="str">
        <f>IFERROR(__xludf.DUMMYFUNCTION("""COMPUTED_VALUE"""),"35")</f>
        <v>35</v>
      </c>
      <c r="F722" s="3" t="str">
        <f>IFERROR(__xludf.DUMMYFUNCTION("""COMPUTED_VALUE"""),"นพอ.พชรพร เพ็งภัตรา")</f>
        <v>นพอ.พชรพร เพ็งภัตรา</v>
      </c>
      <c r="G722" s="3" t="str">
        <f>IFERROR(__xludf.DUMMYFUNCTION("""COMPUTED_VALUE"""),"ช่วยเหลืองานภายใน วพอ.")</f>
        <v>ช่วยเหลืองานภายใน วพอ.</v>
      </c>
      <c r="H722" s="3" t="str">
        <f>IFERROR(__xludf.DUMMYFUNCTION("""COMPUTED_VALUE"""),"ปรับปรุงทัศนียภาพในวพอ.พอ.")</f>
        <v>ปรับปรุงทัศนียภาพในวพอ.พอ.</v>
      </c>
      <c r="I722" s="3" t="str">
        <f>IFERROR(__xludf.DUMMYFUNCTION("""COMPUTED_VALUE"""),"วพอ.พอ.")</f>
        <v>วพอ.พอ.</v>
      </c>
      <c r="J722" s="12">
        <f>IFERROR(__xludf.DUMMYFUNCTION("""COMPUTED_VALUE"""),46177.0)</f>
        <v>46177</v>
      </c>
      <c r="K722" s="3" t="str">
        <f>IFERROR(__xludf.DUMMYFUNCTION("""COMPUTED_VALUE"""),"14:30-17:30")</f>
        <v>14:30-17:30</v>
      </c>
      <c r="L722" s="3">
        <f>IFERROR(__xludf.DUMMYFUNCTION("""COMPUTED_VALUE"""),3.0)</f>
        <v>3</v>
      </c>
      <c r="M722" s="3" t="str">
        <f>IFERROR(__xludf.DUMMYFUNCTION("""COMPUTED_VALUE"""),"น.อ.หญิง ผศ.นิตยา สุขแสน")</f>
        <v>น.อ.หญิง ผศ.นิตยา สุขแสน</v>
      </c>
      <c r="N722" s="14" t="str">
        <f>IFERROR(__xludf.DUMMYFUNCTION("""COMPUTED_VALUE"""),"https://lh5.googleusercontent.com/d/1cQSa2i4fv18tdRTLscbfcAHWHiKH0k6W")</f>
        <v>https://lh5.googleusercontent.com/d/1cQSa2i4fv18tdRTLscbfcAHWHiKH0k6W</v>
      </c>
      <c r="O722" s="14" t="str">
        <f>IFERROR(__xludf.DUMMYFUNCTION("""COMPUTED_VALUE"""),"https://drive.google.com/file/d/1IvC61JG-9kGil608hvDzqIg74D0VHPkx/view?usp=drivesdk")</f>
        <v>https://drive.google.com/file/d/1IvC61JG-9kGil608hvDzqIg74D0VHPkx/view?usp=drivesdk</v>
      </c>
    </row>
    <row r="723">
      <c r="A723" s="3">
        <f>IFERROR(__xludf.DUMMYFUNCTION("""COMPUTED_VALUE"""),3180.0)</f>
        <v>3180</v>
      </c>
      <c r="B723" s="11">
        <f>IFERROR(__xludf.DUMMYFUNCTION("""COMPUTED_VALUE"""),46179.863876006944)</f>
        <v>46179.86388</v>
      </c>
      <c r="C723" s="3" t="str">
        <f>IFERROR(__xludf.DUMMYFUNCTION("""COMPUTED_VALUE"""),"ชั้นปีที่ 2")</f>
        <v>ชั้นปีที่ 2</v>
      </c>
      <c r="D723" s="3" t="str">
        <f>IFERROR(__xludf.DUMMYFUNCTION("""COMPUTED_VALUE"""),"6703854")</f>
        <v>6703854</v>
      </c>
      <c r="E723" s="3" t="str">
        <f>IFERROR(__xludf.DUMMYFUNCTION("""COMPUTED_VALUE"""),"35")</f>
        <v>35</v>
      </c>
      <c r="F723" s="3" t="str">
        <f>IFERROR(__xludf.DUMMYFUNCTION("""COMPUTED_VALUE"""),"นพอ.พชรพร เพ็งภัตรา")</f>
        <v>นพอ.พชรพร เพ็งภัตรา</v>
      </c>
      <c r="G723" s="3" t="str">
        <f>IFERROR(__xludf.DUMMYFUNCTION("""COMPUTED_VALUE"""),"ช่วยเหลืองานภายใน วพอ.")</f>
        <v>ช่วยเหลืองานภายใน วพอ.</v>
      </c>
      <c r="H723" s="3" t="str">
        <f>IFERROR(__xludf.DUMMYFUNCTION("""COMPUTED_VALUE"""),"ซ้อมเต้นเพลง ฉันมีความสุข")</f>
        <v>ซ้อมเต้นเพลง ฉันมีความสุข</v>
      </c>
      <c r="I723" s="3" t="str">
        <f>IFERROR(__xludf.DUMMYFUNCTION("""COMPUTED_VALUE"""),"วพอ.พอ.")</f>
        <v>วพอ.พอ.</v>
      </c>
      <c r="J723" s="12">
        <f>IFERROR(__xludf.DUMMYFUNCTION("""COMPUTED_VALUE"""),46176.0)</f>
        <v>46176</v>
      </c>
      <c r="K723" s="3" t="str">
        <f>IFERROR(__xludf.DUMMYFUNCTION("""COMPUTED_VALUE"""),"18:00-19:00")</f>
        <v>18:00-19:00</v>
      </c>
      <c r="L723" s="3">
        <f>IFERROR(__xludf.DUMMYFUNCTION("""COMPUTED_VALUE"""),1.0)</f>
        <v>1</v>
      </c>
      <c r="M723" s="3" t="str">
        <f>IFERROR(__xludf.DUMMYFUNCTION("""COMPUTED_VALUE"""),"ร.อ.หญิง เบญญาดา บุรีรัตน์")</f>
        <v>ร.อ.หญิง เบญญาดา บุรีรัตน์</v>
      </c>
      <c r="N723" s="14" t="str">
        <f>IFERROR(__xludf.DUMMYFUNCTION("""COMPUTED_VALUE"""),"https://lh5.googleusercontent.com/d/1CDrpuQU8n-Ol2A9GdmAfeRNSRiFylyKJ")</f>
        <v>https://lh5.googleusercontent.com/d/1CDrpuQU8n-Ol2A9GdmAfeRNSRiFylyKJ</v>
      </c>
      <c r="O723" s="14" t="str">
        <f>IFERROR(__xludf.DUMMYFUNCTION("""COMPUTED_VALUE"""),"https://drive.google.com/file/d/1F6HvDxPsp4WG4d36g3DYIhFWHHR2Zl-B/view?usp=drivesdk")</f>
        <v>https://drive.google.com/file/d/1F6HvDxPsp4WG4d36g3DYIhFWHHR2Zl-B/view?usp=drivesdk</v>
      </c>
    </row>
    <row r="724">
      <c r="A724" s="3">
        <f>IFERROR(__xludf.DUMMYFUNCTION("""COMPUTED_VALUE"""),3181.0)</f>
        <v>3181</v>
      </c>
      <c r="B724" s="11">
        <f>IFERROR(__xludf.DUMMYFUNCTION("""COMPUTED_VALUE"""),46179.865145578704)</f>
        <v>46179.86515</v>
      </c>
      <c r="C724" s="3" t="str">
        <f>IFERROR(__xludf.DUMMYFUNCTION("""COMPUTED_VALUE"""),"ชั้นปีที่ 2")</f>
        <v>ชั้นปีที่ 2</v>
      </c>
      <c r="D724" s="3" t="str">
        <f>IFERROR(__xludf.DUMMYFUNCTION("""COMPUTED_VALUE"""),"6703854")</f>
        <v>6703854</v>
      </c>
      <c r="E724" s="3" t="str">
        <f>IFERROR(__xludf.DUMMYFUNCTION("""COMPUTED_VALUE"""),"35")</f>
        <v>35</v>
      </c>
      <c r="F724" s="3" t="str">
        <f>IFERROR(__xludf.DUMMYFUNCTION("""COMPUTED_VALUE"""),"นพอ.พชรพร เพ็งภัตรา")</f>
        <v>นพอ.พชรพร เพ็งภัตรา</v>
      </c>
      <c r="G724" s="3" t="str">
        <f>IFERROR(__xludf.DUMMYFUNCTION("""COMPUTED_VALUE"""),"ช่วยเหลืองานภายใน วพอ.")</f>
        <v>ช่วยเหลืองานภายใน วพอ.</v>
      </c>
      <c r="H724" s="3" t="str">
        <f>IFERROR(__xludf.DUMMYFUNCTION("""COMPUTED_VALUE"""),"ซ้อมเต้นเพลง ฉันมีความสุข")</f>
        <v>ซ้อมเต้นเพลง ฉันมีความสุข</v>
      </c>
      <c r="I724" s="3" t="str">
        <f>IFERROR(__xludf.DUMMYFUNCTION("""COMPUTED_VALUE"""),"วพอ.พอ.")</f>
        <v>วพอ.พอ.</v>
      </c>
      <c r="J724" s="12">
        <f>IFERROR(__xludf.DUMMYFUNCTION("""COMPUTED_VALUE"""),46177.0)</f>
        <v>46177</v>
      </c>
      <c r="K724" s="3" t="str">
        <f>IFERROR(__xludf.DUMMYFUNCTION("""COMPUTED_VALUE"""),"18:00-19:00")</f>
        <v>18:00-19:00</v>
      </c>
      <c r="L724" s="3">
        <f>IFERROR(__xludf.DUMMYFUNCTION("""COMPUTED_VALUE"""),1.0)</f>
        <v>1</v>
      </c>
      <c r="M724" s="3" t="str">
        <f>IFERROR(__xludf.DUMMYFUNCTION("""COMPUTED_VALUE"""),"ร.อ.หญิง เบญญาดา บุรีรัตน์")</f>
        <v>ร.อ.หญิง เบญญาดา บุรีรัตน์</v>
      </c>
      <c r="N724" s="14" t="str">
        <f>IFERROR(__xludf.DUMMYFUNCTION("""COMPUTED_VALUE"""),"https://lh5.googleusercontent.com/d/1equeSsK_2hdq-vsXiUuDAUZM8rz1kudy")</f>
        <v>https://lh5.googleusercontent.com/d/1equeSsK_2hdq-vsXiUuDAUZM8rz1kudy</v>
      </c>
      <c r="O724" s="14" t="str">
        <f>IFERROR(__xludf.DUMMYFUNCTION("""COMPUTED_VALUE"""),"https://drive.google.com/file/d/13eTjJi5elwxV1PKiEXBqpewbZcUfz9gu/view?usp=drivesdk")</f>
        <v>https://drive.google.com/file/d/13eTjJi5elwxV1PKiEXBqpewbZcUfz9gu/view?usp=drivesdk</v>
      </c>
    </row>
    <row r="725">
      <c r="A725" s="3">
        <f>IFERROR(__xludf.DUMMYFUNCTION("""COMPUTED_VALUE"""),3184.0)</f>
        <v>3184</v>
      </c>
      <c r="B725" s="11">
        <f>IFERROR(__xludf.DUMMYFUNCTION("""COMPUTED_VALUE"""),46179.875929525464)</f>
        <v>46179.87593</v>
      </c>
      <c r="C725" s="3" t="str">
        <f>IFERROR(__xludf.DUMMYFUNCTION("""COMPUTED_VALUE"""),"ชั้นปีที่ 2")</f>
        <v>ชั้นปีที่ 2</v>
      </c>
      <c r="D725" s="3" t="str">
        <f>IFERROR(__xludf.DUMMYFUNCTION("""COMPUTED_VALUE"""),"6703854")</f>
        <v>6703854</v>
      </c>
      <c r="E725" s="3" t="str">
        <f>IFERROR(__xludf.DUMMYFUNCTION("""COMPUTED_VALUE"""),"35")</f>
        <v>35</v>
      </c>
      <c r="F725" s="3" t="str">
        <f>IFERROR(__xludf.DUMMYFUNCTION("""COMPUTED_VALUE"""),"นพอ.พชรพร เพ็งภัตรา")</f>
        <v>นพอ.พชรพร เพ็งภัตรา</v>
      </c>
      <c r="G72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5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25" s="3" t="str">
        <f>IFERROR(__xludf.DUMMYFUNCTION("""COMPUTED_VALUE"""),"สนามกีฬาธูปะเตมีย์")</f>
        <v>สนามกีฬาธูปะเตมีย์</v>
      </c>
      <c r="J725" s="12">
        <f>IFERROR(__xludf.DUMMYFUNCTION("""COMPUTED_VALUE"""),46078.0)</f>
        <v>46078</v>
      </c>
      <c r="K725" s="3" t="str">
        <f>IFERROR(__xludf.DUMMYFUNCTION("""COMPUTED_VALUE"""),"12:00-20:00")</f>
        <v>12:00-20:00</v>
      </c>
      <c r="L725" s="3">
        <f>IFERROR(__xludf.DUMMYFUNCTION("""COMPUTED_VALUE"""),8.0)</f>
        <v>8</v>
      </c>
      <c r="M72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25" s="14" t="str">
        <f>IFERROR(__xludf.DUMMYFUNCTION("""COMPUTED_VALUE"""),"https://lh5.googleusercontent.com/d/1hWVE5PKSy7KKiek80vBe4vjzwK70KJmJ")</f>
        <v>https://lh5.googleusercontent.com/d/1hWVE5PKSy7KKiek80vBe4vjzwK70KJmJ</v>
      </c>
      <c r="O725" s="14" t="str">
        <f>IFERROR(__xludf.DUMMYFUNCTION("""COMPUTED_VALUE"""),"https://drive.google.com/file/d/1xx2KjRBdGMrzqJLAj-zpkZRXHoMgbDrO/view?usp=drivesdk")</f>
        <v>https://drive.google.com/file/d/1xx2KjRBdGMrzqJLAj-zpkZRXHoMgbDrO/view?usp=drivesdk</v>
      </c>
    </row>
    <row r="726">
      <c r="A726" s="3">
        <f>IFERROR(__xludf.DUMMYFUNCTION("""COMPUTED_VALUE"""),3185.0)</f>
        <v>3185</v>
      </c>
      <c r="B726" s="11">
        <f>IFERROR(__xludf.DUMMYFUNCTION("""COMPUTED_VALUE"""),46179.87756260417)</f>
        <v>46179.87756</v>
      </c>
      <c r="C726" s="3" t="str">
        <f>IFERROR(__xludf.DUMMYFUNCTION("""COMPUTED_VALUE"""),"ชั้นปีที่ 2")</f>
        <v>ชั้นปีที่ 2</v>
      </c>
      <c r="D726" s="3" t="str">
        <f>IFERROR(__xludf.DUMMYFUNCTION("""COMPUTED_VALUE"""),"6703854")</f>
        <v>6703854</v>
      </c>
      <c r="E726" s="3" t="str">
        <f>IFERROR(__xludf.DUMMYFUNCTION("""COMPUTED_VALUE"""),"35")</f>
        <v>35</v>
      </c>
      <c r="F726" s="3" t="str">
        <f>IFERROR(__xludf.DUMMYFUNCTION("""COMPUTED_VALUE"""),"นพอ.พชรพร เพ็งภัตรา")</f>
        <v>นพอ.พชรพร เพ็งภัตรา</v>
      </c>
      <c r="G726" s="3" t="str">
        <f>IFERROR(__xludf.DUMMYFUNCTION("""COMPUTED_VALUE"""),"ช่วยเหลืองานภายใน วพอ.")</f>
        <v>ช่วยเหลืองานภายใน วพอ.</v>
      </c>
      <c r="H726" s="3" t="str">
        <f>IFERROR(__xludf.DUMMYFUNCTION("""COMPUTED_VALUE"""),"ทดสอบสมรรถภาพร่างกาย นพอ.69")</f>
        <v>ทดสอบสมรรถภาพร่างกาย นพอ.69</v>
      </c>
      <c r="I726" s="3" t="str">
        <f>IFERROR(__xludf.DUMMYFUNCTION("""COMPUTED_VALUE"""),"สนามจันทรุเบกษา")</f>
        <v>สนามจันทรุเบกษา</v>
      </c>
      <c r="J726" s="12">
        <f>IFERROR(__xludf.DUMMYFUNCTION("""COMPUTED_VALUE"""),46147.0)</f>
        <v>46147</v>
      </c>
      <c r="K726" s="3" t="str">
        <f>IFERROR(__xludf.DUMMYFUNCTION("""COMPUTED_VALUE"""),"16:00-19:00")</f>
        <v>16:00-19:00</v>
      </c>
      <c r="L726" s="3">
        <f>IFERROR(__xludf.DUMMYFUNCTION("""COMPUTED_VALUE"""),3.0)</f>
        <v>3</v>
      </c>
      <c r="M726" s="3" t="str">
        <f>IFERROR(__xludf.DUMMYFUNCTION("""COMPUTED_VALUE"""),"น.ต.ศักชัย บุญประสิทธิ์")</f>
        <v>น.ต.ศักชัย บุญประสิทธิ์</v>
      </c>
      <c r="N726" s="14" t="str">
        <f>IFERROR(__xludf.DUMMYFUNCTION("""COMPUTED_VALUE"""),"https://lh5.googleusercontent.com/d/1u859nwQYHsJQVZHwJuKEnZKfoYpBRAog")</f>
        <v>https://lh5.googleusercontent.com/d/1u859nwQYHsJQVZHwJuKEnZKfoYpBRAog</v>
      </c>
      <c r="O726" s="14" t="str">
        <f>IFERROR(__xludf.DUMMYFUNCTION("""COMPUTED_VALUE"""),"https://drive.google.com/file/d/1M7t4LguButBw-datVsnT1SUpro3uGy9k/view?usp=drivesdk")</f>
        <v>https://drive.google.com/file/d/1M7t4LguButBw-datVsnT1SUpro3uGy9k/view?usp=drivesdk</v>
      </c>
    </row>
    <row r="727">
      <c r="A727" s="3">
        <f>IFERROR(__xludf.DUMMYFUNCTION("""COMPUTED_VALUE"""),3186.0)</f>
        <v>3186</v>
      </c>
      <c r="B727" s="11">
        <f>IFERROR(__xludf.DUMMYFUNCTION("""COMPUTED_VALUE"""),46179.880572222224)</f>
        <v>46179.88057</v>
      </c>
      <c r="C727" s="3" t="str">
        <f>IFERROR(__xludf.DUMMYFUNCTION("""COMPUTED_VALUE"""),"ชั้นปีที่ 2")</f>
        <v>ชั้นปีที่ 2</v>
      </c>
      <c r="D727" s="3" t="str">
        <f>IFERROR(__xludf.DUMMYFUNCTION("""COMPUTED_VALUE"""),"6703834")</f>
        <v>6703834</v>
      </c>
      <c r="E727" s="3" t="str">
        <f>IFERROR(__xludf.DUMMYFUNCTION("""COMPUTED_VALUE"""),"17")</f>
        <v>17</v>
      </c>
      <c r="F727" s="3" t="str">
        <f>IFERROR(__xludf.DUMMYFUNCTION("""COMPUTED_VALUE"""),"นพอ.ฑิตถากร แน่นอุดร")</f>
        <v>นพอ.ฑิตถากร แน่นอุดร</v>
      </c>
      <c r="G727" s="3" t="str">
        <f>IFERROR(__xludf.DUMMYFUNCTION("""COMPUTED_VALUE"""),"ช่วยเหลืองานภายใน วพอ.")</f>
        <v>ช่วยเหลืองานภายใน วพอ.</v>
      </c>
      <c r="H727" s="3" t="str">
        <f>IFERROR(__xludf.DUMMYFUNCTION("""COMPUTED_VALUE"""),"ปรับปรุงทัศนียภาพใน วพอ.พอ.")</f>
        <v>ปรับปรุงทัศนียภาพใน วพอ.พอ.</v>
      </c>
      <c r="I727" s="3" t="str">
        <f>IFERROR(__xludf.DUMMYFUNCTION("""COMPUTED_VALUE"""),"วพอ.พอ.")</f>
        <v>วพอ.พอ.</v>
      </c>
      <c r="J727" s="12">
        <f>IFERROR(__xludf.DUMMYFUNCTION("""COMPUTED_VALUE"""),46177.0)</f>
        <v>46177</v>
      </c>
      <c r="K727" s="3" t="str">
        <f>IFERROR(__xludf.DUMMYFUNCTION("""COMPUTED_VALUE"""),"1430-1730")</f>
        <v>1430-1730</v>
      </c>
      <c r="L727" s="3">
        <f>IFERROR(__xludf.DUMMYFUNCTION("""COMPUTED_VALUE"""),3.0)</f>
        <v>3</v>
      </c>
      <c r="M727" s="3" t="str">
        <f>IFERROR(__xludf.DUMMYFUNCTION("""COMPUTED_VALUE"""),"น.อ.หญิง ผศ. นิตยา สุขแสน")</f>
        <v>น.อ.หญิง ผศ. นิตยา สุขแสน</v>
      </c>
      <c r="N727" s="14" t="str">
        <f>IFERROR(__xludf.DUMMYFUNCTION("""COMPUTED_VALUE"""),"https://lh5.googleusercontent.com/d/1FqBxz34BqXriLyYXqyqoGfxEG16_jdCT")</f>
        <v>https://lh5.googleusercontent.com/d/1FqBxz34BqXriLyYXqyqoGfxEG16_jdCT</v>
      </c>
      <c r="O727" s="14" t="str">
        <f>IFERROR(__xludf.DUMMYFUNCTION("""COMPUTED_VALUE"""),"https://drive.google.com/file/d/17ddOQkPG_U5_RSkyGzvqruqDgqmtgYfC/view?usp=drivesdk")</f>
        <v>https://drive.google.com/file/d/17ddOQkPG_U5_RSkyGzvqruqDgqmtgYfC/view?usp=drivesdk</v>
      </c>
    </row>
    <row r="728">
      <c r="A728" s="3">
        <f>IFERROR(__xludf.DUMMYFUNCTION("""COMPUTED_VALUE"""),3187.0)</f>
        <v>3187</v>
      </c>
      <c r="B728" s="11">
        <f>IFERROR(__xludf.DUMMYFUNCTION("""COMPUTED_VALUE"""),46179.88264809027)</f>
        <v>46179.88265</v>
      </c>
      <c r="C728" s="3" t="str">
        <f>IFERROR(__xludf.DUMMYFUNCTION("""COMPUTED_VALUE"""),"ชั้นปีที่ 2")</f>
        <v>ชั้นปีที่ 2</v>
      </c>
      <c r="D728" s="3" t="str">
        <f>IFERROR(__xludf.DUMMYFUNCTION("""COMPUTED_VALUE"""),"6703834")</f>
        <v>6703834</v>
      </c>
      <c r="E728" s="3" t="str">
        <f>IFERROR(__xludf.DUMMYFUNCTION("""COMPUTED_VALUE"""),"17")</f>
        <v>17</v>
      </c>
      <c r="F728" s="3" t="str">
        <f>IFERROR(__xludf.DUMMYFUNCTION("""COMPUTED_VALUE"""),"นพอ.ฑิตถากร แน่นอุดร")</f>
        <v>นพอ.ฑิตถากร แน่นอุดร</v>
      </c>
      <c r="G728" s="3" t="str">
        <f>IFERROR(__xludf.DUMMYFUNCTION("""COMPUTED_VALUE"""),"ช่วยเหลืองานภายใน วพอ.")</f>
        <v>ช่วยเหลืองานภายใน วพอ.</v>
      </c>
      <c r="H728" s="3" t="str">
        <f>IFERROR(__xludf.DUMMYFUNCTION("""COMPUTED_VALUE"""),"ซ้อมเต้นเพลง ฉันมีความสุข")</f>
        <v>ซ้อมเต้นเพลง ฉันมีความสุข</v>
      </c>
      <c r="I728" s="3" t="str">
        <f>IFERROR(__xludf.DUMMYFUNCTION("""COMPUTED_VALUE"""),"วพอ.พอ.")</f>
        <v>วพอ.พอ.</v>
      </c>
      <c r="J728" s="12">
        <f>IFERROR(__xludf.DUMMYFUNCTION("""COMPUTED_VALUE"""),46177.0)</f>
        <v>46177</v>
      </c>
      <c r="K728" s="3" t="str">
        <f>IFERROR(__xludf.DUMMYFUNCTION("""COMPUTED_VALUE"""),"1800-1900")</f>
        <v>1800-1900</v>
      </c>
      <c r="L728" s="3">
        <f>IFERROR(__xludf.DUMMYFUNCTION("""COMPUTED_VALUE"""),1.0)</f>
        <v>1</v>
      </c>
      <c r="M728" s="3" t="str">
        <f>IFERROR(__xludf.DUMMYFUNCTION("""COMPUTED_VALUE"""),"ร.อ.หญิง เบญญาดา บุรีรัตน์")</f>
        <v>ร.อ.หญิง เบญญาดา บุรีรัตน์</v>
      </c>
      <c r="N728" s="14" t="str">
        <f>IFERROR(__xludf.DUMMYFUNCTION("""COMPUTED_VALUE"""),"https://lh5.googleusercontent.com/d/1ToEe8VaCAr36TBWj4jNhYQCqQD-8xwci")</f>
        <v>https://lh5.googleusercontent.com/d/1ToEe8VaCAr36TBWj4jNhYQCqQD-8xwci</v>
      </c>
      <c r="O728" s="14" t="str">
        <f>IFERROR(__xludf.DUMMYFUNCTION("""COMPUTED_VALUE"""),"https://drive.google.com/file/d/1OjUiVDN4lmfosKTKgFeaU9Sga2G-PHN_/view?usp=drivesdk")</f>
        <v>https://drive.google.com/file/d/1OjUiVDN4lmfosKTKgFeaU9Sga2G-PHN_/view?usp=drivesdk</v>
      </c>
    </row>
    <row r="729">
      <c r="A729" s="3">
        <f>IFERROR(__xludf.DUMMYFUNCTION("""COMPUTED_VALUE"""),3192.0)</f>
        <v>3192</v>
      </c>
      <c r="B729" s="11">
        <f>IFERROR(__xludf.DUMMYFUNCTION("""COMPUTED_VALUE"""),46179.9303884838)</f>
        <v>46179.93039</v>
      </c>
      <c r="C729" s="3" t="str">
        <f>IFERROR(__xludf.DUMMYFUNCTION("""COMPUTED_VALUE"""),"ชั้นปีที่ 2")</f>
        <v>ชั้นปีที่ 2</v>
      </c>
      <c r="D729" s="3" t="str">
        <f>IFERROR(__xludf.DUMMYFUNCTION("""COMPUTED_VALUE"""),"6703834")</f>
        <v>6703834</v>
      </c>
      <c r="E729" s="3" t="str">
        <f>IFERROR(__xludf.DUMMYFUNCTION("""COMPUTED_VALUE"""),"17")</f>
        <v>17</v>
      </c>
      <c r="F729" s="3" t="str">
        <f>IFERROR(__xludf.DUMMYFUNCTION("""COMPUTED_VALUE"""),"นพอ.ฑิตถากร แน่นอุดร")</f>
        <v>นพอ.ฑิตถากร แน่นอุดร</v>
      </c>
      <c r="G729" s="3" t="str">
        <f>IFERROR(__xludf.DUMMYFUNCTION("""COMPUTED_VALUE"""),"ช่วยเหลืองานภายใน วพอ.")</f>
        <v>ช่วยเหลืองานภายใน วพอ.</v>
      </c>
      <c r="H729" s="3" t="str">
        <f>IFERROR(__xludf.DUMMYFUNCTION("""COMPUTED_VALUE"""),"ซ้อมเต้นเพลง ฉันมีความสุข")</f>
        <v>ซ้อมเต้นเพลง ฉันมีความสุข</v>
      </c>
      <c r="I729" s="3" t="str">
        <f>IFERROR(__xludf.DUMMYFUNCTION("""COMPUTED_VALUE"""),"วพอ.พอ.")</f>
        <v>วพอ.พอ.</v>
      </c>
      <c r="J729" s="12">
        <f>IFERROR(__xludf.DUMMYFUNCTION("""COMPUTED_VALUE"""),46177.0)</f>
        <v>46177</v>
      </c>
      <c r="K729" s="3" t="str">
        <f>IFERROR(__xludf.DUMMYFUNCTION("""COMPUTED_VALUE"""),"1800-1900")</f>
        <v>1800-1900</v>
      </c>
      <c r="L729" s="3">
        <f>IFERROR(__xludf.DUMMYFUNCTION("""COMPUTED_VALUE"""),1.0)</f>
        <v>1</v>
      </c>
      <c r="M729" s="3" t="str">
        <f>IFERROR(__xludf.DUMMYFUNCTION("""COMPUTED_VALUE"""),"ร.อ.หญิง เบญญาดา บุรีรัตน์")</f>
        <v>ร.อ.หญิง เบญญาดา บุรีรัตน์</v>
      </c>
      <c r="N729" s="14" t="str">
        <f>IFERROR(__xludf.DUMMYFUNCTION("""COMPUTED_VALUE"""),"https://lh5.googleusercontent.com/d/163GSAsGzvZd2G_nPTOzgNstMpnRU_YES")</f>
        <v>https://lh5.googleusercontent.com/d/163GSAsGzvZd2G_nPTOzgNstMpnRU_YES</v>
      </c>
      <c r="O729" s="14" t="str">
        <f>IFERROR(__xludf.DUMMYFUNCTION("""COMPUTED_VALUE"""),"https://drive.google.com/file/d/1C58ZpZTl-ztiAmlJR6Veh7mSksYtJsMg/view?usp=drivesdk")</f>
        <v>https://drive.google.com/file/d/1C58ZpZTl-ztiAmlJR6Veh7mSksYtJsMg/view?usp=drivesdk</v>
      </c>
    </row>
    <row r="730">
      <c r="A730" s="3">
        <f>IFERROR(__xludf.DUMMYFUNCTION("""COMPUTED_VALUE"""),3193.0)</f>
        <v>3193</v>
      </c>
      <c r="B730" s="11">
        <f>IFERROR(__xludf.DUMMYFUNCTION("""COMPUTED_VALUE"""),46179.93082658565)</f>
        <v>46179.93083</v>
      </c>
      <c r="C730" s="3" t="str">
        <f>IFERROR(__xludf.DUMMYFUNCTION("""COMPUTED_VALUE"""),"ชั้นปีที่ 2")</f>
        <v>ชั้นปีที่ 2</v>
      </c>
      <c r="D730" s="3" t="str">
        <f>IFERROR(__xludf.DUMMYFUNCTION("""COMPUTED_VALUE"""),"6703834")</f>
        <v>6703834</v>
      </c>
      <c r="E730" s="3" t="str">
        <f>IFERROR(__xludf.DUMMYFUNCTION("""COMPUTED_VALUE"""),"17")</f>
        <v>17</v>
      </c>
      <c r="F730" s="3" t="str">
        <f>IFERROR(__xludf.DUMMYFUNCTION("""COMPUTED_VALUE"""),"นพอ.ฑิตถากร แน่นอุดร")</f>
        <v>นพอ.ฑิตถากร แน่นอุดร</v>
      </c>
      <c r="G730" s="3" t="str">
        <f>IFERROR(__xludf.DUMMYFUNCTION("""COMPUTED_VALUE"""),"ช่วยเหลืองานภายใน วพอ.")</f>
        <v>ช่วยเหลืองานภายใน วพอ.</v>
      </c>
      <c r="H730" s="3" t="str">
        <f>IFERROR(__xludf.DUMMYFUNCTION("""COMPUTED_VALUE"""),"ซ้อมเต้นเพลง ฉันมีความสุข")</f>
        <v>ซ้อมเต้นเพลง ฉันมีความสุข</v>
      </c>
      <c r="I730" s="3" t="str">
        <f>IFERROR(__xludf.DUMMYFUNCTION("""COMPUTED_VALUE"""),"วพอ.พอ.")</f>
        <v>วพอ.พอ.</v>
      </c>
      <c r="J730" s="12">
        <f>IFERROR(__xludf.DUMMYFUNCTION("""COMPUTED_VALUE"""),46177.0)</f>
        <v>46177</v>
      </c>
      <c r="K730" s="3" t="str">
        <f>IFERROR(__xludf.DUMMYFUNCTION("""COMPUTED_VALUE"""),"1800-1900")</f>
        <v>1800-1900</v>
      </c>
      <c r="L730" s="3">
        <f>IFERROR(__xludf.DUMMYFUNCTION("""COMPUTED_VALUE"""),1.0)</f>
        <v>1</v>
      </c>
      <c r="M730" s="3" t="str">
        <f>IFERROR(__xludf.DUMMYFUNCTION("""COMPUTED_VALUE"""),"ร.อ.หญิง เบญญาดา บุรีรัตน์")</f>
        <v>ร.อ.หญิง เบญญาดา บุรีรัตน์</v>
      </c>
      <c r="N730" s="14" t="str">
        <f>IFERROR(__xludf.DUMMYFUNCTION("""COMPUTED_VALUE"""),"https://lh5.googleusercontent.com/d/1Ie9fQ6GIfS_KkgaByf_hh5JYfPvSHhpr")</f>
        <v>https://lh5.googleusercontent.com/d/1Ie9fQ6GIfS_KkgaByf_hh5JYfPvSHhpr</v>
      </c>
      <c r="O730" s="14" t="str">
        <f>IFERROR(__xludf.DUMMYFUNCTION("""COMPUTED_VALUE"""),"https://drive.google.com/file/d/1q2avw5TEjA0Ug5XvU3EO1xEIRpiBIDcU/view?usp=drivesdk")</f>
        <v>https://drive.google.com/file/d/1q2avw5TEjA0Ug5XvU3EO1xEIRpiBIDcU/view?usp=drivesdk</v>
      </c>
    </row>
    <row r="731">
      <c r="A731" s="3">
        <f>IFERROR(__xludf.DUMMYFUNCTION("""COMPUTED_VALUE"""),3194.0)</f>
        <v>3194</v>
      </c>
      <c r="B731" s="11">
        <f>IFERROR(__xludf.DUMMYFUNCTION("""COMPUTED_VALUE"""),46179.931293414345)</f>
        <v>46179.93129</v>
      </c>
      <c r="C731" s="3" t="str">
        <f>IFERROR(__xludf.DUMMYFUNCTION("""COMPUTED_VALUE"""),"ชั้นปีที่ 2")</f>
        <v>ชั้นปีที่ 2</v>
      </c>
      <c r="D731" s="3" t="str">
        <f>IFERROR(__xludf.DUMMYFUNCTION("""COMPUTED_VALUE"""),"6703834")</f>
        <v>6703834</v>
      </c>
      <c r="E731" s="3" t="str">
        <f>IFERROR(__xludf.DUMMYFUNCTION("""COMPUTED_VALUE"""),"17")</f>
        <v>17</v>
      </c>
      <c r="F731" s="3" t="str">
        <f>IFERROR(__xludf.DUMMYFUNCTION("""COMPUTED_VALUE"""),"นพอ.ฑิตถากร แน่นอุดร")</f>
        <v>นพอ.ฑิตถากร แน่นอุดร</v>
      </c>
      <c r="G731" s="3" t="str">
        <f>IFERROR(__xludf.DUMMYFUNCTION("""COMPUTED_VALUE"""),"ช่วยเหลืองานภายใน วพอ.")</f>
        <v>ช่วยเหลืองานภายใน วพอ.</v>
      </c>
      <c r="H731" s="3" t="str">
        <f>IFERROR(__xludf.DUMMYFUNCTION("""COMPUTED_VALUE"""),"ซ้อมเต้นเพลง ฉันมีความสุข")</f>
        <v>ซ้อมเต้นเพลง ฉันมีความสุข</v>
      </c>
      <c r="I731" s="3" t="str">
        <f>IFERROR(__xludf.DUMMYFUNCTION("""COMPUTED_VALUE"""),"วพอ.พอ.")</f>
        <v>วพอ.พอ.</v>
      </c>
      <c r="J731" s="12">
        <f>IFERROR(__xludf.DUMMYFUNCTION("""COMPUTED_VALUE"""),46177.0)</f>
        <v>46177</v>
      </c>
      <c r="K731" s="3" t="str">
        <f>IFERROR(__xludf.DUMMYFUNCTION("""COMPUTED_VALUE"""),"1800-1900")</f>
        <v>1800-1900</v>
      </c>
      <c r="L731" s="3">
        <f>IFERROR(__xludf.DUMMYFUNCTION("""COMPUTED_VALUE"""),1.0)</f>
        <v>1</v>
      </c>
      <c r="M731" s="3" t="str">
        <f>IFERROR(__xludf.DUMMYFUNCTION("""COMPUTED_VALUE"""),"ร.อ.หญิง เบญญาดา บุรีรัตน์")</f>
        <v>ร.อ.หญิง เบญญาดา บุรีรัตน์</v>
      </c>
      <c r="N731" s="14" t="str">
        <f>IFERROR(__xludf.DUMMYFUNCTION("""COMPUTED_VALUE"""),"https://lh5.googleusercontent.com/d/14dqIJpsknxJ_IujGwJidI3mpMmPh_Pt-")</f>
        <v>https://lh5.googleusercontent.com/d/14dqIJpsknxJ_IujGwJidI3mpMmPh_Pt-</v>
      </c>
      <c r="O731" s="14" t="str">
        <f>IFERROR(__xludf.DUMMYFUNCTION("""COMPUTED_VALUE"""),"https://drive.google.com/file/d/1WRQCD5jZzm5XwVp218AO1FLCbBUsY39h/view?usp=drivesdk")</f>
        <v>https://drive.google.com/file/d/1WRQCD5jZzm5XwVp218AO1FLCbBUsY39h/view?usp=drivesdk</v>
      </c>
    </row>
    <row r="732">
      <c r="A732" s="3">
        <f>IFERROR(__xludf.DUMMYFUNCTION("""COMPUTED_VALUE"""),3196.0)</f>
        <v>3196</v>
      </c>
      <c r="B732" s="11">
        <f>IFERROR(__xludf.DUMMYFUNCTION("""COMPUTED_VALUE"""),46179.932805613425)</f>
        <v>46179.93281</v>
      </c>
      <c r="C732" s="3" t="str">
        <f>IFERROR(__xludf.DUMMYFUNCTION("""COMPUTED_VALUE"""),"ชั้นปีที่ 2")</f>
        <v>ชั้นปีที่ 2</v>
      </c>
      <c r="D732" s="3" t="str">
        <f>IFERROR(__xludf.DUMMYFUNCTION("""COMPUTED_VALUE"""),"6703834")</f>
        <v>6703834</v>
      </c>
      <c r="E732" s="3" t="str">
        <f>IFERROR(__xludf.DUMMYFUNCTION("""COMPUTED_VALUE"""),"17")</f>
        <v>17</v>
      </c>
      <c r="F732" s="3" t="str">
        <f>IFERROR(__xludf.DUMMYFUNCTION("""COMPUTED_VALUE"""),"นพอ.ฑิตถากร แน่นอุดร")</f>
        <v>นพอ.ฑิตถากร แน่นอุดร</v>
      </c>
      <c r="G7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2" s="3" t="str">
        <f>IFERROR(__xludf.DUMMYFUNCTION("""COMPUTED_VALUE"""),"งานคัดกรองมะเร้งเต้านม")</f>
        <v>งานคัดกรองมะเร้งเต้านม</v>
      </c>
      <c r="I732" s="3" t="str">
        <f>IFERROR(__xludf.DUMMYFUNCTION("""COMPUTED_VALUE"""),"อาคารรณนภาอากาศ อุทยานการบินกองทัพอากาศ")</f>
        <v>อาคารรณนภาอากาศ อุทยานการบินกองทัพอากาศ</v>
      </c>
      <c r="J732" s="12">
        <f>IFERROR(__xludf.DUMMYFUNCTION("""COMPUTED_VALUE"""),46168.0)</f>
        <v>46168</v>
      </c>
      <c r="K732" s="3" t="str">
        <f>IFERROR(__xludf.DUMMYFUNCTION("""COMPUTED_VALUE"""),"0800-1300")</f>
        <v>0800-1300</v>
      </c>
      <c r="L732" s="3">
        <f>IFERROR(__xludf.DUMMYFUNCTION("""COMPUTED_VALUE"""),5.0)</f>
        <v>5</v>
      </c>
      <c r="M732" s="3" t="str">
        <f>IFERROR(__xludf.DUMMYFUNCTION("""COMPUTED_VALUE"""),"ร.อ.จรัสศรี ดำศรี")</f>
        <v>ร.อ.จรัสศรี ดำศรี</v>
      </c>
      <c r="N732" s="14" t="str">
        <f>IFERROR(__xludf.DUMMYFUNCTION("""COMPUTED_VALUE"""),"https://lh5.googleusercontent.com/d/1SrdeutBED09VkpZ0xWSlVVK17ZF19ulV")</f>
        <v>https://lh5.googleusercontent.com/d/1SrdeutBED09VkpZ0xWSlVVK17ZF19ulV</v>
      </c>
      <c r="O732" s="14" t="str">
        <f>IFERROR(__xludf.DUMMYFUNCTION("""COMPUTED_VALUE"""),"https://drive.google.com/file/d/1XyJ8ls6IiwMR9WAUiUyaYYoFmmuG-gsX/view?usp=drivesdk")</f>
        <v>https://drive.google.com/file/d/1XyJ8ls6IiwMR9WAUiUyaYYoFmmuG-gsX/view?usp=drivesdk</v>
      </c>
    </row>
    <row r="733">
      <c r="A733" s="3">
        <f>IFERROR(__xludf.DUMMYFUNCTION("""COMPUTED_VALUE"""),3197.0)</f>
        <v>3197</v>
      </c>
      <c r="B733" s="11">
        <f>IFERROR(__xludf.DUMMYFUNCTION("""COMPUTED_VALUE"""),46180.015388368054)</f>
        <v>46180.01539</v>
      </c>
      <c r="C733" s="3" t="str">
        <f>IFERROR(__xludf.DUMMYFUNCTION("""COMPUTED_VALUE"""),"ชั้นปีที่ 2")</f>
        <v>ชั้นปีที่ 2</v>
      </c>
      <c r="D733" s="3" t="str">
        <f>IFERROR(__xludf.DUMMYFUNCTION("""COMPUTED_VALUE"""),"6703849")</f>
        <v>6703849</v>
      </c>
      <c r="E733" s="3" t="str">
        <f>IFERROR(__xludf.DUMMYFUNCTION("""COMPUTED_VALUE"""),"31")</f>
        <v>31</v>
      </c>
      <c r="F733" s="3" t="str">
        <f>IFERROR(__xludf.DUMMYFUNCTION("""COMPUTED_VALUE"""),"นพอ.ปภาดา สุจิณณานนท์")</f>
        <v>นพอ.ปภาดา สุจิณณานนท์</v>
      </c>
      <c r="G733" s="3" t="str">
        <f>IFERROR(__xludf.DUMMYFUNCTION("""COMPUTED_VALUE"""),"ช่วยเหลืองานภายใน วพอ.")</f>
        <v>ช่วยเหลืองานภายใน วพอ.</v>
      </c>
      <c r="H733" s="3" t="str">
        <f>IFERROR(__xludf.DUMMYFUNCTION("""COMPUTED_VALUE"""),"ปรับปรุงทัศนียภาพใน วพอ.พอ.")</f>
        <v>ปรับปรุงทัศนียภาพใน วพอ.พอ.</v>
      </c>
      <c r="I733" s="3" t="str">
        <f>IFERROR(__xludf.DUMMYFUNCTION("""COMPUTED_VALUE"""),"วพอ.พอ.")</f>
        <v>วพอ.พอ.</v>
      </c>
      <c r="J733" s="12">
        <f>IFERROR(__xludf.DUMMYFUNCTION("""COMPUTED_VALUE"""),46177.0)</f>
        <v>46177</v>
      </c>
      <c r="K733" s="3" t="str">
        <f>IFERROR(__xludf.DUMMYFUNCTION("""COMPUTED_VALUE"""),"1430-1730")</f>
        <v>1430-1730</v>
      </c>
      <c r="L733" s="3">
        <f>IFERROR(__xludf.DUMMYFUNCTION("""COMPUTED_VALUE"""),3.0)</f>
        <v>3</v>
      </c>
      <c r="M733" s="3" t="str">
        <f>IFERROR(__xludf.DUMMYFUNCTION("""COMPUTED_VALUE"""),"น.อ.หญิง ผศ. นิตยา สุขแสน")</f>
        <v>น.อ.หญิง ผศ. นิตยา สุขแสน</v>
      </c>
      <c r="N733" s="14" t="str">
        <f>IFERROR(__xludf.DUMMYFUNCTION("""COMPUTED_VALUE"""),"https://lh5.googleusercontent.com/d/1J_RCb5H111F5gitK85Gcip7Xpqt8PeZq")</f>
        <v>https://lh5.googleusercontent.com/d/1J_RCb5H111F5gitK85Gcip7Xpqt8PeZq</v>
      </c>
      <c r="O733" s="14" t="str">
        <f>IFERROR(__xludf.DUMMYFUNCTION("""COMPUTED_VALUE"""),"https://drive.google.com/file/d/1103aqtwrIG62-PggCs925LAzQMIMumMF/view?usp=drivesdk")</f>
        <v>https://drive.google.com/file/d/1103aqtwrIG62-PggCs925LAzQMIMumMF/view?usp=drivesdk</v>
      </c>
    </row>
    <row r="734">
      <c r="A734" s="3">
        <f>IFERROR(__xludf.DUMMYFUNCTION("""COMPUTED_VALUE"""),3198.0)</f>
        <v>3198</v>
      </c>
      <c r="B734" s="11">
        <f>IFERROR(__xludf.DUMMYFUNCTION("""COMPUTED_VALUE"""),46180.02257170139)</f>
        <v>46180.02257</v>
      </c>
      <c r="C734" s="3" t="str">
        <f>IFERROR(__xludf.DUMMYFUNCTION("""COMPUTED_VALUE"""),"ชั้นปีที่ 2")</f>
        <v>ชั้นปีที่ 2</v>
      </c>
      <c r="D734" s="3" t="str">
        <f>IFERROR(__xludf.DUMMYFUNCTION("""COMPUTED_VALUE"""),"6703849")</f>
        <v>6703849</v>
      </c>
      <c r="E734" s="3" t="str">
        <f>IFERROR(__xludf.DUMMYFUNCTION("""COMPUTED_VALUE"""),"31")</f>
        <v>31</v>
      </c>
      <c r="F734" s="3" t="str">
        <f>IFERROR(__xludf.DUMMYFUNCTION("""COMPUTED_VALUE"""),"นพอ.ปภาดา สุจิณณานนท์")</f>
        <v>นพอ.ปภาดา สุจิณณานนท์</v>
      </c>
      <c r="G734" s="3" t="str">
        <f>IFERROR(__xludf.DUMMYFUNCTION("""COMPUTED_VALUE"""),"ช่วยเหลืองานภายใน วพอ.")</f>
        <v>ช่วยเหลืองานภายใน วพอ.</v>
      </c>
      <c r="H734" s="3" t="str">
        <f>IFERROR(__xludf.DUMMYFUNCTION("""COMPUTED_VALUE"""),"ซ้อมเต้นเพลง ฉันมีความสุข")</f>
        <v>ซ้อมเต้นเพลง ฉันมีความสุข</v>
      </c>
      <c r="I734" s="3" t="str">
        <f>IFERROR(__xludf.DUMMYFUNCTION("""COMPUTED_VALUE"""),"วพอ.พอ.")</f>
        <v>วพอ.พอ.</v>
      </c>
      <c r="J734" s="12">
        <f>IFERROR(__xludf.DUMMYFUNCTION("""COMPUTED_VALUE"""),46178.0)</f>
        <v>46178</v>
      </c>
      <c r="K734" s="3" t="str">
        <f>IFERROR(__xludf.DUMMYFUNCTION("""COMPUTED_VALUE"""),"1400-1500")</f>
        <v>1400-1500</v>
      </c>
      <c r="L734" s="3">
        <f>IFERROR(__xludf.DUMMYFUNCTION("""COMPUTED_VALUE"""),1.0)</f>
        <v>1</v>
      </c>
      <c r="M734" s="3" t="str">
        <f>IFERROR(__xludf.DUMMYFUNCTION("""COMPUTED_VALUE"""),"ร.อ.หญิง เบญญาดา บุรีรัตน์")</f>
        <v>ร.อ.หญิง เบญญาดา บุรีรัตน์</v>
      </c>
      <c r="N734" s="14" t="str">
        <f>IFERROR(__xludf.DUMMYFUNCTION("""COMPUTED_VALUE"""),"https://lh5.googleusercontent.com/d/1djCpg51wEvAVPNPATy4OqXOubPcMlzgs")</f>
        <v>https://lh5.googleusercontent.com/d/1djCpg51wEvAVPNPATy4OqXOubPcMlzgs</v>
      </c>
      <c r="O734" s="14" t="str">
        <f>IFERROR(__xludf.DUMMYFUNCTION("""COMPUTED_VALUE"""),"https://drive.google.com/file/d/1SZuLphRcME7GZoT38Gmtwzzn1lXp2Lkd/view?usp=drivesdk")</f>
        <v>https://drive.google.com/file/d/1SZuLphRcME7GZoT38Gmtwzzn1lXp2Lkd/view?usp=drivesdk</v>
      </c>
    </row>
    <row r="735">
      <c r="A735" s="3">
        <f>IFERROR(__xludf.DUMMYFUNCTION("""COMPUTED_VALUE"""),3199.0)</f>
        <v>3199</v>
      </c>
      <c r="B735" s="11">
        <f>IFERROR(__xludf.DUMMYFUNCTION("""COMPUTED_VALUE"""),46180.02579594908)</f>
        <v>46180.0258</v>
      </c>
      <c r="C735" s="3" t="str">
        <f>IFERROR(__xludf.DUMMYFUNCTION("""COMPUTED_VALUE"""),"ชั้นปีที่ 2")</f>
        <v>ชั้นปีที่ 2</v>
      </c>
      <c r="D735" s="3" t="str">
        <f>IFERROR(__xludf.DUMMYFUNCTION("""COMPUTED_VALUE"""),"6703849")</f>
        <v>6703849</v>
      </c>
      <c r="E735" s="3" t="str">
        <f>IFERROR(__xludf.DUMMYFUNCTION("""COMPUTED_VALUE"""),"31")</f>
        <v>31</v>
      </c>
      <c r="F735" s="3" t="str">
        <f>IFERROR(__xludf.DUMMYFUNCTION("""COMPUTED_VALUE"""),"นพอ.ปภาดา สุจิณณานนท์")</f>
        <v>นพอ.ปภาดา สุจิณณานนท์</v>
      </c>
      <c r="G735" s="3" t="str">
        <f>IFERROR(__xludf.DUMMYFUNCTION("""COMPUTED_VALUE"""),"ช่วยเหลืองานภายใน วพอ.")</f>
        <v>ช่วยเหลืองานภายใน วพอ.</v>
      </c>
      <c r="H735" s="3" t="str">
        <f>IFERROR(__xludf.DUMMYFUNCTION("""COMPUTED_VALUE"""),"ทดสอบสมรรถภาพร่างกาย นพอ.69")</f>
        <v>ทดสอบสมรรถภาพร่างกาย นพอ.69</v>
      </c>
      <c r="I735" s="3" t="str">
        <f>IFERROR(__xludf.DUMMYFUNCTION("""COMPUTED_VALUE"""),"สนามกีฬากองทัพอากาศจันทรุเบกษา")</f>
        <v>สนามกีฬากองทัพอากาศจันทรุเบกษา</v>
      </c>
      <c r="J735" s="12">
        <f>IFERROR(__xludf.DUMMYFUNCTION("""COMPUTED_VALUE"""),46147.0)</f>
        <v>46147</v>
      </c>
      <c r="K735" s="3" t="str">
        <f>IFERROR(__xludf.DUMMYFUNCTION("""COMPUTED_VALUE"""),"1600-1900")</f>
        <v>1600-1900</v>
      </c>
      <c r="L735" s="3">
        <f>IFERROR(__xludf.DUMMYFUNCTION("""COMPUTED_VALUE"""),3.0)</f>
        <v>3</v>
      </c>
      <c r="M735" s="3" t="str">
        <f>IFERROR(__xludf.DUMMYFUNCTION("""COMPUTED_VALUE"""),"น.ต.ศักชัย บุญประสิทธิ์")</f>
        <v>น.ต.ศักชัย บุญประสิทธิ์</v>
      </c>
      <c r="N735" s="14" t="str">
        <f>IFERROR(__xludf.DUMMYFUNCTION("""COMPUTED_VALUE"""),"https://lh5.googleusercontent.com/d/1X0w2gBrQyKOil6qNAo0X6j2xUTgcNAq1")</f>
        <v>https://lh5.googleusercontent.com/d/1X0w2gBrQyKOil6qNAo0X6j2xUTgcNAq1</v>
      </c>
      <c r="O735" s="14" t="str">
        <f>IFERROR(__xludf.DUMMYFUNCTION("""COMPUTED_VALUE"""),"https://drive.google.com/file/d/1p8-X-BACeYEQQlvZx26vq8UguA0-babV/view?usp=drivesdk")</f>
        <v>https://drive.google.com/file/d/1p8-X-BACeYEQQlvZx26vq8UguA0-babV/view?usp=drivesdk</v>
      </c>
    </row>
    <row r="736">
      <c r="A736" s="3">
        <f>IFERROR(__xludf.DUMMYFUNCTION("""COMPUTED_VALUE"""),3200.0)</f>
        <v>3200</v>
      </c>
      <c r="B736" s="11">
        <f>IFERROR(__xludf.DUMMYFUNCTION("""COMPUTED_VALUE"""),46180.027309641206)</f>
        <v>46180.02731</v>
      </c>
      <c r="C736" s="3" t="str">
        <f>IFERROR(__xludf.DUMMYFUNCTION("""COMPUTED_VALUE"""),"ชั้นปีที่ 2")</f>
        <v>ชั้นปีที่ 2</v>
      </c>
      <c r="D736" s="3" t="str">
        <f>IFERROR(__xludf.DUMMYFUNCTION("""COMPUTED_VALUE"""),"6703849")</f>
        <v>6703849</v>
      </c>
      <c r="E736" s="3" t="str">
        <f>IFERROR(__xludf.DUMMYFUNCTION("""COMPUTED_VALUE"""),"31")</f>
        <v>31</v>
      </c>
      <c r="F736" s="3" t="str">
        <f>IFERROR(__xludf.DUMMYFUNCTION("""COMPUTED_VALUE"""),"นพอ.ปภาดา สุจิณณานนท์")</f>
        <v>นพอ.ปภาดา สุจิณณานนท์</v>
      </c>
      <c r="G7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36" s="3" t="str">
        <f>IFERROR(__xludf.DUMMYFUNCTION("""COMPUTED_VALUE"""),"สนามกีฬาธูปะเตมีย์")</f>
        <v>สนามกีฬาธูปะเตมีย์</v>
      </c>
      <c r="J736" s="12">
        <f>IFERROR(__xludf.DUMMYFUNCTION("""COMPUTED_VALUE"""),46078.0)</f>
        <v>46078</v>
      </c>
      <c r="K736" s="3" t="str">
        <f>IFERROR(__xludf.DUMMYFUNCTION("""COMPUTED_VALUE"""),"1200-2000")</f>
        <v>1200-2000</v>
      </c>
      <c r="L736" s="3">
        <f>IFERROR(__xludf.DUMMYFUNCTION("""COMPUTED_VALUE"""),8.0)</f>
        <v>8</v>
      </c>
      <c r="M736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736" s="14" t="str">
        <f>IFERROR(__xludf.DUMMYFUNCTION("""COMPUTED_VALUE"""),"https://lh5.googleusercontent.com/d/1ZhTDF4eBjWu5WPl6kicgMC3t7vrBHXsZ")</f>
        <v>https://lh5.googleusercontent.com/d/1ZhTDF4eBjWu5WPl6kicgMC3t7vrBHXsZ</v>
      </c>
      <c r="O736" s="14" t="str">
        <f>IFERROR(__xludf.DUMMYFUNCTION("""COMPUTED_VALUE"""),"https://drive.google.com/file/d/1ijDKzTujaVG2WHlAS6oeHgl-3BGlxhSm/view?usp=drivesdk")</f>
        <v>https://drive.google.com/file/d/1ijDKzTujaVG2WHlAS6oeHgl-3BGlxhSm/view?usp=drivesdk</v>
      </c>
    </row>
    <row r="737">
      <c r="A737" s="3">
        <f>IFERROR(__xludf.DUMMYFUNCTION("""COMPUTED_VALUE"""),3201.0)</f>
        <v>3201</v>
      </c>
      <c r="B737" s="11">
        <f>IFERROR(__xludf.DUMMYFUNCTION("""COMPUTED_VALUE"""),46180.02917340278)</f>
        <v>46180.02917</v>
      </c>
      <c r="C737" s="3" t="str">
        <f>IFERROR(__xludf.DUMMYFUNCTION("""COMPUTED_VALUE"""),"ชั้นปีที่ 2")</f>
        <v>ชั้นปีที่ 2</v>
      </c>
      <c r="D737" s="3" t="str">
        <f>IFERROR(__xludf.DUMMYFUNCTION("""COMPUTED_VALUE"""),"6703849")</f>
        <v>6703849</v>
      </c>
      <c r="E737" s="3" t="str">
        <f>IFERROR(__xludf.DUMMYFUNCTION("""COMPUTED_VALUE"""),"31")</f>
        <v>31</v>
      </c>
      <c r="F737" s="3" t="str">
        <f>IFERROR(__xludf.DUMMYFUNCTION("""COMPUTED_VALUE"""),"นพอ.ปภาดา สุจิณณานนท์")</f>
        <v>นพอ.ปภาดา สุจิณณานนท์</v>
      </c>
      <c r="G7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7" s="3" t="str">
        <f>IFERROR(__xludf.DUMMYFUNCTION("""COMPUTED_VALUE"""),"เข้าร่วมงานวันเด็กแห่งชาติ 2569")</f>
        <v>เข้าร่วมงานวันเด็กแห่งชาติ 2569</v>
      </c>
      <c r="I737" s="3" t="str">
        <f>IFERROR(__xludf.DUMMYFUNCTION("""COMPUTED_VALUE"""),"บก.ทท.")</f>
        <v>บก.ทท.</v>
      </c>
      <c r="J737" s="12">
        <f>IFERROR(__xludf.DUMMYFUNCTION("""COMPUTED_VALUE"""),46032.0)</f>
        <v>46032</v>
      </c>
      <c r="K737" s="3" t="str">
        <f>IFERROR(__xludf.DUMMYFUNCTION("""COMPUTED_VALUE"""),"0600-1400")</f>
        <v>0600-1400</v>
      </c>
      <c r="L737" s="3">
        <f>IFERROR(__xludf.DUMMYFUNCTION("""COMPUTED_VALUE"""),8.0)</f>
        <v>8</v>
      </c>
      <c r="M737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737" s="14" t="str">
        <f>IFERROR(__xludf.DUMMYFUNCTION("""COMPUTED_VALUE"""),"https://lh5.googleusercontent.com/d/13O8N3pWYxbm40KrzHqdja713vv4c6Se1")</f>
        <v>https://lh5.googleusercontent.com/d/13O8N3pWYxbm40KrzHqdja713vv4c6Se1</v>
      </c>
      <c r="O737" s="14" t="str">
        <f>IFERROR(__xludf.DUMMYFUNCTION("""COMPUTED_VALUE"""),"https://drive.google.com/file/d/1d0rsDZzb0g1yNX-tdaz5av4pmRRCnHpM/view?usp=drivesdk")</f>
        <v>https://drive.google.com/file/d/1d0rsDZzb0g1yNX-tdaz5av4pmRRCnHpM/view?usp=drivesdk</v>
      </c>
    </row>
    <row r="738">
      <c r="A738" s="3">
        <f>IFERROR(__xludf.DUMMYFUNCTION("""COMPUTED_VALUE"""),3202.0)</f>
        <v>3202</v>
      </c>
      <c r="B738" s="11">
        <f>IFERROR(__xludf.DUMMYFUNCTION("""COMPUTED_VALUE"""),46180.47423097222)</f>
        <v>46180.47423</v>
      </c>
      <c r="C738" s="3" t="str">
        <f>IFERROR(__xludf.DUMMYFUNCTION("""COMPUTED_VALUE"""),"ชั้นปีที่ 2")</f>
        <v>ชั้นปีที่ 2</v>
      </c>
      <c r="D738" s="3" t="str">
        <f>IFERROR(__xludf.DUMMYFUNCTION("""COMPUTED_VALUE"""),"6703868")</f>
        <v>6703868</v>
      </c>
      <c r="E738" s="3" t="str">
        <f>IFERROR(__xludf.DUMMYFUNCTION("""COMPUTED_VALUE"""),"49")</f>
        <v>49</v>
      </c>
      <c r="F738" s="3" t="str">
        <f>IFERROR(__xludf.DUMMYFUNCTION("""COMPUTED_VALUE"""),"นพอ.วราภรณ์ กาสี")</f>
        <v>นพอ.วราภรณ์ กาสี</v>
      </c>
      <c r="G738" s="3" t="str">
        <f>IFERROR(__xludf.DUMMYFUNCTION("""COMPUTED_VALUE"""),"ช่วยเหลืองานภายใน วพอ.")</f>
        <v>ช่วยเหลืองานภายใน วพอ.</v>
      </c>
      <c r="H738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738" s="3" t="str">
        <f>IFERROR(__xludf.DUMMYFUNCTION("""COMPUTED_VALUE"""),"อาคารสำนักงานชั้น 4")</f>
        <v>อาคารสำนักงานชั้น 4</v>
      </c>
      <c r="J738" s="12">
        <f>IFERROR(__xludf.DUMMYFUNCTION("""COMPUTED_VALUE"""),46147.0)</f>
        <v>46147</v>
      </c>
      <c r="K738" s="3" t="str">
        <f>IFERROR(__xludf.DUMMYFUNCTION("""COMPUTED_VALUE"""),"1500-1800")</f>
        <v>1500-1800</v>
      </c>
      <c r="L738" s="3">
        <f>IFERROR(__xludf.DUMMYFUNCTION("""COMPUTED_VALUE"""),3.0)</f>
        <v>3</v>
      </c>
      <c r="M738" s="3" t="str">
        <f>IFERROR(__xludf.DUMMYFUNCTION("""COMPUTED_VALUE"""),"น.ต.ศักชัย บุญประสิทธิ์")</f>
        <v>น.ต.ศักชัย บุญประสิทธิ์</v>
      </c>
      <c r="N738" s="14" t="str">
        <f>IFERROR(__xludf.DUMMYFUNCTION("""COMPUTED_VALUE"""),"https://lh5.googleusercontent.com/d/1nYFzauoAgOI3e25NlvPRG6BUdbCTpZz7")</f>
        <v>https://lh5.googleusercontent.com/d/1nYFzauoAgOI3e25NlvPRG6BUdbCTpZz7</v>
      </c>
      <c r="O738" s="14" t="str">
        <f>IFERROR(__xludf.DUMMYFUNCTION("""COMPUTED_VALUE"""),"https://drive.google.com/file/d/1-c9IEjngNVlelhP9-yTbSh_dY9alfOlO/view?usp=drivesdk")</f>
        <v>https://drive.google.com/file/d/1-c9IEjngNVlelhP9-yTbSh_dY9alfOlO/view?usp=drivesdk</v>
      </c>
    </row>
    <row r="739">
      <c r="A739" s="3">
        <f>IFERROR(__xludf.DUMMYFUNCTION("""COMPUTED_VALUE"""),3203.0)</f>
        <v>3203</v>
      </c>
      <c r="B739" s="11">
        <f>IFERROR(__xludf.DUMMYFUNCTION("""COMPUTED_VALUE"""),46180.476811458335)</f>
        <v>46180.47681</v>
      </c>
      <c r="C739" s="3" t="str">
        <f>IFERROR(__xludf.DUMMYFUNCTION("""COMPUTED_VALUE"""),"ชั้นปีที่ 2")</f>
        <v>ชั้นปีที่ 2</v>
      </c>
      <c r="D739" s="3" t="str">
        <f>IFERROR(__xludf.DUMMYFUNCTION("""COMPUTED_VALUE"""),"6703868")</f>
        <v>6703868</v>
      </c>
      <c r="E739" s="3" t="str">
        <f>IFERROR(__xludf.DUMMYFUNCTION("""COMPUTED_VALUE"""),"49")</f>
        <v>49</v>
      </c>
      <c r="F739" s="3" t="str">
        <f>IFERROR(__xludf.DUMMYFUNCTION("""COMPUTED_VALUE"""),"นพอ.วราภรณ์ กาสี")</f>
        <v>นพอ.วราภรณ์ กาสี</v>
      </c>
      <c r="G7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9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39" s="3" t="str">
        <f>IFERROR(__xludf.DUMMYFUNCTION("""COMPUTED_VALUE"""),"สนามกีฬาธูปะเตมีย์")</f>
        <v>สนามกีฬาธูปะเตมีย์</v>
      </c>
      <c r="J739" s="12">
        <f>IFERROR(__xludf.DUMMYFUNCTION("""COMPUTED_VALUE"""),46078.0)</f>
        <v>46078</v>
      </c>
      <c r="K739" s="3" t="str">
        <f>IFERROR(__xludf.DUMMYFUNCTION("""COMPUTED_VALUE"""),"1200-2000")</f>
        <v>1200-2000</v>
      </c>
      <c r="L739" s="3">
        <f>IFERROR(__xludf.DUMMYFUNCTION("""COMPUTED_VALUE"""),8.0)</f>
        <v>8</v>
      </c>
      <c r="M73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39" s="14" t="str">
        <f>IFERROR(__xludf.DUMMYFUNCTION("""COMPUTED_VALUE"""),"https://lh5.googleusercontent.com/d/1_ZayB0tPYTf0gJDUNew-CihwG3MLPARn")</f>
        <v>https://lh5.googleusercontent.com/d/1_ZayB0tPYTf0gJDUNew-CihwG3MLPARn</v>
      </c>
      <c r="O739" s="14" t="str">
        <f>IFERROR(__xludf.DUMMYFUNCTION("""COMPUTED_VALUE"""),"https://drive.google.com/file/d/1TsWKv4RmwnOIhIO-7c74A7aX8YgnWumQ/view?usp=drivesdk")</f>
        <v>https://drive.google.com/file/d/1TsWKv4RmwnOIhIO-7c74A7aX8YgnWumQ/view?usp=drivesdk</v>
      </c>
    </row>
    <row r="740">
      <c r="A740" s="3">
        <f>IFERROR(__xludf.DUMMYFUNCTION("""COMPUTED_VALUE"""),3204.0)</f>
        <v>3204</v>
      </c>
      <c r="B740" s="11">
        <f>IFERROR(__xludf.DUMMYFUNCTION("""COMPUTED_VALUE"""),46180.48050696759)</f>
        <v>46180.48051</v>
      </c>
      <c r="C740" s="3" t="str">
        <f>IFERROR(__xludf.DUMMYFUNCTION("""COMPUTED_VALUE"""),"ชั้นปีที่ 2")</f>
        <v>ชั้นปีที่ 2</v>
      </c>
      <c r="D740" s="3" t="str">
        <f>IFERROR(__xludf.DUMMYFUNCTION("""COMPUTED_VALUE"""),"6703868")</f>
        <v>6703868</v>
      </c>
      <c r="E740" s="3" t="str">
        <f>IFERROR(__xludf.DUMMYFUNCTION("""COMPUTED_VALUE"""),"49")</f>
        <v>49</v>
      </c>
      <c r="F740" s="3" t="str">
        <f>IFERROR(__xludf.DUMMYFUNCTION("""COMPUTED_VALUE"""),"นพอ.วราภรณ์ กาสี")</f>
        <v>นพอ.วราภรณ์ กาสี</v>
      </c>
      <c r="G740" s="3" t="str">
        <f>IFERROR(__xludf.DUMMYFUNCTION("""COMPUTED_VALUE"""),"ช่วยเหลืองานภายใน วพอ.")</f>
        <v>ช่วยเหลืองานภายใน วพอ.</v>
      </c>
      <c r="H74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40" s="3" t="str">
        <f>IFERROR(__xludf.DUMMYFUNCTION("""COMPUTED_VALUE"""),"วพอ.พอ.")</f>
        <v>วพอ.พอ.</v>
      </c>
      <c r="J740" s="12">
        <f>IFERROR(__xludf.DUMMYFUNCTION("""COMPUTED_VALUE"""),46138.0)</f>
        <v>46138</v>
      </c>
      <c r="K740" s="3" t="str">
        <f>IFERROR(__xludf.DUMMYFUNCTION("""COMPUTED_VALUE"""),"1300-2100")</f>
        <v>1300-2100</v>
      </c>
      <c r="L740" s="3">
        <f>IFERROR(__xludf.DUMMYFUNCTION("""COMPUTED_VALUE"""),8.0)</f>
        <v>8</v>
      </c>
      <c r="M740" s="3" t="str">
        <f>IFERROR(__xludf.DUMMYFUNCTION("""COMPUTED_VALUE"""),"ร.อ.อนุชิต ทำจะดี")</f>
        <v>ร.อ.อนุชิต ทำจะดี</v>
      </c>
      <c r="N740" s="14" t="str">
        <f>IFERROR(__xludf.DUMMYFUNCTION("""COMPUTED_VALUE"""),"https://lh5.googleusercontent.com/d/1eAVRl84mQ96z8qWuTwndBGQEVvGplvnX")</f>
        <v>https://lh5.googleusercontent.com/d/1eAVRl84mQ96z8qWuTwndBGQEVvGplvnX</v>
      </c>
      <c r="O740" s="14" t="str">
        <f>IFERROR(__xludf.DUMMYFUNCTION("""COMPUTED_VALUE"""),"https://drive.google.com/file/d/1SSW7kq3PF9gK_TbSaT1byK4oCAL4rKyR/view?usp=drivesdk")</f>
        <v>https://drive.google.com/file/d/1SSW7kq3PF9gK_TbSaT1byK4oCAL4rKyR/view?usp=drivesdk</v>
      </c>
    </row>
    <row r="741">
      <c r="A741" s="3">
        <f>IFERROR(__xludf.DUMMYFUNCTION("""COMPUTED_VALUE"""),3205.0)</f>
        <v>3205</v>
      </c>
      <c r="B741" s="11">
        <f>IFERROR(__xludf.DUMMYFUNCTION("""COMPUTED_VALUE"""),46180.50756697916)</f>
        <v>46180.50757</v>
      </c>
      <c r="C741" s="3" t="str">
        <f>IFERROR(__xludf.DUMMYFUNCTION("""COMPUTED_VALUE"""),"ชั้นปีที่ 2")</f>
        <v>ชั้นปีที่ 2</v>
      </c>
      <c r="D741" s="3" t="str">
        <f>IFERROR(__xludf.DUMMYFUNCTION("""COMPUTED_VALUE"""),"6703847")</f>
        <v>6703847</v>
      </c>
      <c r="E741" s="3" t="str">
        <f>IFERROR(__xludf.DUMMYFUNCTION("""COMPUTED_VALUE"""),"29")</f>
        <v>29</v>
      </c>
      <c r="F741" s="3" t="str">
        <f>IFERROR(__xludf.DUMMYFUNCTION("""COMPUTED_VALUE"""),"นพอ.นันทัชพร สิงห์โต")</f>
        <v>นพอ.นันทัชพร สิงห์โต</v>
      </c>
      <c r="G74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41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41" s="3" t="str">
        <f>IFERROR(__xludf.DUMMYFUNCTION("""COMPUTED_VALUE"""),"สนามกีฬากองทัพอากาศ(ธูปะเตมีย์)")</f>
        <v>สนามกีฬากองทัพอากาศ(ธูปะเตมีย์)</v>
      </c>
      <c r="J741" s="12">
        <f>IFERROR(__xludf.DUMMYFUNCTION("""COMPUTED_VALUE"""),46078.0)</f>
        <v>46078</v>
      </c>
      <c r="K741" s="3" t="str">
        <f>IFERROR(__xludf.DUMMYFUNCTION("""COMPUTED_VALUE"""),"1200-2000")</f>
        <v>1200-2000</v>
      </c>
      <c r="L741" s="3">
        <f>IFERROR(__xludf.DUMMYFUNCTION("""COMPUTED_VALUE"""),8.0)</f>
        <v>8</v>
      </c>
      <c r="M741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741" s="14" t="str">
        <f>IFERROR(__xludf.DUMMYFUNCTION("""COMPUTED_VALUE"""),"https://lh5.googleusercontent.com/d/1BC7pfQZVKgRyf_p6igIsVriFtID6QUDB")</f>
        <v>https://lh5.googleusercontent.com/d/1BC7pfQZVKgRyf_p6igIsVriFtID6QUDB</v>
      </c>
      <c r="O741" s="14" t="str">
        <f>IFERROR(__xludf.DUMMYFUNCTION("""COMPUTED_VALUE"""),"https://drive.google.com/file/d/1y_oryO6jM5RYFhvbNUlCcWb_Z4cMtSSh/view?usp=drivesdk")</f>
        <v>https://drive.google.com/file/d/1y_oryO6jM5RYFhvbNUlCcWb_Z4cMtSSh/view?usp=drivesdk</v>
      </c>
    </row>
    <row r="742">
      <c r="A742" s="3">
        <f>IFERROR(__xludf.DUMMYFUNCTION("""COMPUTED_VALUE"""),3206.0)</f>
        <v>3206</v>
      </c>
      <c r="B742" s="11">
        <f>IFERROR(__xludf.DUMMYFUNCTION("""COMPUTED_VALUE"""),46180.50973283565)</f>
        <v>46180.50973</v>
      </c>
      <c r="C742" s="3" t="str">
        <f>IFERROR(__xludf.DUMMYFUNCTION("""COMPUTED_VALUE"""),"ชั้นปีที่ 2")</f>
        <v>ชั้นปีที่ 2</v>
      </c>
      <c r="D742" s="3" t="str">
        <f>IFERROR(__xludf.DUMMYFUNCTION("""COMPUTED_VALUE"""),"6703847")</f>
        <v>6703847</v>
      </c>
      <c r="E742" s="3" t="str">
        <f>IFERROR(__xludf.DUMMYFUNCTION("""COMPUTED_VALUE"""),"29")</f>
        <v>29</v>
      </c>
      <c r="F742" s="3" t="str">
        <f>IFERROR(__xludf.DUMMYFUNCTION("""COMPUTED_VALUE"""),"นพอ.นันทัชพร สิงห์โต")</f>
        <v>นพอ.นันทัชพร สิงห์โต</v>
      </c>
      <c r="G742" s="3" t="str">
        <f>IFERROR(__xludf.DUMMYFUNCTION("""COMPUTED_VALUE"""),"ช่วยเหลืองานภายใน วพอ.")</f>
        <v>ช่วยเหลืองานภายใน วพอ.</v>
      </c>
      <c r="H742" s="3" t="str">
        <f>IFERROR(__xludf.DUMMYFUNCTION("""COMPUTED_VALUE"""),"ปรับปรุงทัศนียภาพใน วพอ.พอ.")</f>
        <v>ปรับปรุงทัศนียภาพใน วพอ.พอ.</v>
      </c>
      <c r="I742" s="3" t="str">
        <f>IFERROR(__xludf.DUMMYFUNCTION("""COMPUTED_VALUE"""),"วพอ.พอ.")</f>
        <v>วพอ.พอ.</v>
      </c>
      <c r="J742" s="12">
        <f>IFERROR(__xludf.DUMMYFUNCTION("""COMPUTED_VALUE"""),46177.0)</f>
        <v>46177</v>
      </c>
      <c r="K742" s="3" t="str">
        <f>IFERROR(__xludf.DUMMYFUNCTION("""COMPUTED_VALUE"""),"1430-1730")</f>
        <v>1430-1730</v>
      </c>
      <c r="L742" s="3">
        <f>IFERROR(__xludf.DUMMYFUNCTION("""COMPUTED_VALUE"""),3.0)</f>
        <v>3</v>
      </c>
      <c r="M742" s="3" t="str">
        <f>IFERROR(__xludf.DUMMYFUNCTION("""COMPUTED_VALUE"""),"น.อ.หญิง ผศ. นิตยา สุขแสน")</f>
        <v>น.อ.หญิง ผศ. นิตยา สุขแสน</v>
      </c>
      <c r="N742" s="14" t="str">
        <f>IFERROR(__xludf.DUMMYFUNCTION("""COMPUTED_VALUE"""),"https://lh5.googleusercontent.com/d/1lgjkqKOsTBqZ4cNbJ2S6vbBJkRHzgpEz")</f>
        <v>https://lh5.googleusercontent.com/d/1lgjkqKOsTBqZ4cNbJ2S6vbBJkRHzgpEz</v>
      </c>
      <c r="O742" s="14" t="str">
        <f>IFERROR(__xludf.DUMMYFUNCTION("""COMPUTED_VALUE"""),"https://drive.google.com/file/d/1qQQ5Yt7SBzNHApPWzizAUbLN7OhgxSwK/view?usp=drivesdk")</f>
        <v>https://drive.google.com/file/d/1qQQ5Yt7SBzNHApPWzizAUbLN7OhgxSwK/view?usp=drivesdk</v>
      </c>
    </row>
    <row r="743">
      <c r="A743" s="3">
        <f>IFERROR(__xludf.DUMMYFUNCTION("""COMPUTED_VALUE"""),3207.0)</f>
        <v>3207</v>
      </c>
      <c r="B743" s="11">
        <f>IFERROR(__xludf.DUMMYFUNCTION("""COMPUTED_VALUE"""),46180.51071130787)</f>
        <v>46180.51071</v>
      </c>
      <c r="C743" s="3" t="str">
        <f>IFERROR(__xludf.DUMMYFUNCTION("""COMPUTED_VALUE"""),"ชั้นปีที่ 2")</f>
        <v>ชั้นปีที่ 2</v>
      </c>
      <c r="D743" s="3" t="str">
        <f>IFERROR(__xludf.DUMMYFUNCTION("""COMPUTED_VALUE"""),"6703847")</f>
        <v>6703847</v>
      </c>
      <c r="E743" s="3" t="str">
        <f>IFERROR(__xludf.DUMMYFUNCTION("""COMPUTED_VALUE"""),"29")</f>
        <v>29</v>
      </c>
      <c r="F743" s="3" t="str">
        <f>IFERROR(__xludf.DUMMYFUNCTION("""COMPUTED_VALUE"""),"นพอ.นันทัชพร สิงห์โต")</f>
        <v>นพอ.นันทัชพร สิงห์โต</v>
      </c>
      <c r="G743" s="3" t="str">
        <f>IFERROR(__xludf.DUMMYFUNCTION("""COMPUTED_VALUE"""),"ช่วยเหลืองานภายใน วพอ.")</f>
        <v>ช่วยเหลืองานภายใน วพอ.</v>
      </c>
      <c r="H743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743" s="3" t="str">
        <f>IFERROR(__xludf.DUMMYFUNCTION("""COMPUTED_VALUE"""),"วิทยาลัยพยาบาลทหารอากาศ กรมแพทย์ทหารอากาศ")</f>
        <v>วิทยาลัยพยาบาลทหารอากาศ กรมแพทย์ทหารอากาศ</v>
      </c>
      <c r="J743" s="12">
        <f>IFERROR(__xludf.DUMMYFUNCTION("""COMPUTED_VALUE"""),46147.0)</f>
        <v>46147</v>
      </c>
      <c r="K743" s="3" t="str">
        <f>IFERROR(__xludf.DUMMYFUNCTION("""COMPUTED_VALUE"""),"1500-1800")</f>
        <v>1500-1800</v>
      </c>
      <c r="L743" s="3">
        <f>IFERROR(__xludf.DUMMYFUNCTION("""COMPUTED_VALUE"""),3.0)</f>
        <v>3</v>
      </c>
      <c r="M743" s="3" t="str">
        <f>IFERROR(__xludf.DUMMYFUNCTION("""COMPUTED_VALUE"""),"น.ต.ศักชัย บุญประสิทธิ์")</f>
        <v>น.ต.ศักชัย บุญประสิทธิ์</v>
      </c>
      <c r="N743" s="14" t="str">
        <f>IFERROR(__xludf.DUMMYFUNCTION("""COMPUTED_VALUE"""),"https://lh5.googleusercontent.com/d/1X-q7BaZeHWASUDF2j6l9VlgjdxyPF8Zq")</f>
        <v>https://lh5.googleusercontent.com/d/1X-q7BaZeHWASUDF2j6l9VlgjdxyPF8Zq</v>
      </c>
      <c r="O743" s="14" t="str">
        <f>IFERROR(__xludf.DUMMYFUNCTION("""COMPUTED_VALUE"""),"https://drive.google.com/file/d/1jhrHd8pbEDS_bdvIeWm0nzggI_klw8E3/view?usp=drivesdk")</f>
        <v>https://drive.google.com/file/d/1jhrHd8pbEDS_bdvIeWm0nzggI_klw8E3/view?usp=drivesdk</v>
      </c>
    </row>
    <row r="744">
      <c r="A744" s="3">
        <f>IFERROR(__xludf.DUMMYFUNCTION("""COMPUTED_VALUE"""),3233.0)</f>
        <v>3233</v>
      </c>
      <c r="B744" s="11">
        <f>IFERROR(__xludf.DUMMYFUNCTION("""COMPUTED_VALUE"""),46180.67906288194)</f>
        <v>46180.67906</v>
      </c>
      <c r="C744" s="3" t="str">
        <f>IFERROR(__xludf.DUMMYFUNCTION("""COMPUTED_VALUE"""),"ชั้นปีที่ 2")</f>
        <v>ชั้นปีที่ 2</v>
      </c>
      <c r="D744" s="3" t="str">
        <f>IFERROR(__xludf.DUMMYFUNCTION("""COMPUTED_VALUE"""),"6703852")</f>
        <v>6703852</v>
      </c>
      <c r="E744" s="3" t="str">
        <f>IFERROR(__xludf.DUMMYFUNCTION("""COMPUTED_VALUE"""),"33")</f>
        <v>33</v>
      </c>
      <c r="F744" s="3" t="str">
        <f>IFERROR(__xludf.DUMMYFUNCTION("""COMPUTED_VALUE"""),"นพอ.ปุณยาพร เสือสมิง")</f>
        <v>นพอ.ปุณยาพร เสือสมิง</v>
      </c>
      <c r="G744" s="3" t="str">
        <f>IFERROR(__xludf.DUMMYFUNCTION("""COMPUTED_VALUE"""),"ช่วยเหลืองานภายใน วพอ.")</f>
        <v>ช่วยเหลืองานภายใน วพอ.</v>
      </c>
      <c r="H744" s="3" t="str">
        <f>IFERROR(__xludf.DUMMYFUNCTION("""COMPUTED_VALUE"""),"ปรับปรุงทัศนียภาพใน วพอ. พอ.")</f>
        <v>ปรับปรุงทัศนียภาพใน วพอ. พอ.</v>
      </c>
      <c r="I744" s="3" t="str">
        <f>IFERROR(__xludf.DUMMYFUNCTION("""COMPUTED_VALUE"""),"วพอ.พอ.")</f>
        <v>วพอ.พอ.</v>
      </c>
      <c r="J744" s="12">
        <f>IFERROR(__xludf.DUMMYFUNCTION("""COMPUTED_VALUE"""),46177.0)</f>
        <v>46177</v>
      </c>
      <c r="K744" s="3" t="str">
        <f>IFERROR(__xludf.DUMMYFUNCTION("""COMPUTED_VALUE"""),"1430-1730")</f>
        <v>1430-1730</v>
      </c>
      <c r="L744" s="3">
        <f>IFERROR(__xludf.DUMMYFUNCTION("""COMPUTED_VALUE"""),3.0)</f>
        <v>3</v>
      </c>
      <c r="M744" s="3" t="str">
        <f>IFERROR(__xludf.DUMMYFUNCTION("""COMPUTED_VALUE"""),"น.อ.หญิง ผศ.นิตยา สุขแสน")</f>
        <v>น.อ.หญิง ผศ.นิตยา สุขแสน</v>
      </c>
      <c r="N744" s="14" t="str">
        <f>IFERROR(__xludf.DUMMYFUNCTION("""COMPUTED_VALUE"""),"https://lh5.googleusercontent.com/d/12XByPXPlKJIONuf-Xb07xNild9Dd2U6H")</f>
        <v>https://lh5.googleusercontent.com/d/12XByPXPlKJIONuf-Xb07xNild9Dd2U6H</v>
      </c>
      <c r="O744" s="14" t="str">
        <f>IFERROR(__xludf.DUMMYFUNCTION("""COMPUTED_VALUE"""),"https://drive.google.com/file/d/1hmE2cCwt8Dd2EgeKxGpjxSk15b7uf8TS/view?usp=drivesdk")</f>
        <v>https://drive.google.com/file/d/1hmE2cCwt8Dd2EgeKxGpjxSk15b7uf8TS/view?usp=drivesdk</v>
      </c>
    </row>
    <row r="745">
      <c r="A745" s="3">
        <f>IFERROR(__xludf.DUMMYFUNCTION("""COMPUTED_VALUE"""),3236.0)</f>
        <v>3236</v>
      </c>
      <c r="B745" s="11">
        <f>IFERROR(__xludf.DUMMYFUNCTION("""COMPUTED_VALUE"""),46180.8490250926)</f>
        <v>46180.84903</v>
      </c>
      <c r="C745" s="3" t="str">
        <f>IFERROR(__xludf.DUMMYFUNCTION("""COMPUTED_VALUE"""),"ชั้นปีที่ 2")</f>
        <v>ชั้นปีที่ 2</v>
      </c>
      <c r="D745" s="3" t="str">
        <f>IFERROR(__xludf.DUMMYFUNCTION("""COMPUTED_VALUE"""),"6703869")</f>
        <v>6703869</v>
      </c>
      <c r="E745" s="3" t="str">
        <f>IFERROR(__xludf.DUMMYFUNCTION("""COMPUTED_VALUE"""),"50")</f>
        <v>50</v>
      </c>
      <c r="F745" s="3" t="str">
        <f>IFERROR(__xludf.DUMMYFUNCTION("""COMPUTED_VALUE"""),"นพอ.วิภาวี กลั่นเมฆ")</f>
        <v>นพอ.วิภาวี กลั่นเมฆ</v>
      </c>
      <c r="G745" s="3" t="str">
        <f>IFERROR(__xludf.DUMMYFUNCTION("""COMPUTED_VALUE"""),"ช่วยเหลืองานภายใน วพอ.")</f>
        <v>ช่วยเหลืองานภายใน วพอ.</v>
      </c>
      <c r="H745" s="3" t="str">
        <f>IFERROR(__xludf.DUMMYFUNCTION("""COMPUTED_VALUE"""),"ช่วยเหลืองานในวพอ.")</f>
        <v>ช่วยเหลืองานในวพอ.</v>
      </c>
      <c r="I745" s="3" t="str">
        <f>IFERROR(__xludf.DUMMYFUNCTION("""COMPUTED_VALUE"""),"วพอ.พอ.")</f>
        <v>วพอ.พอ.</v>
      </c>
      <c r="J745" s="12">
        <f>IFERROR(__xludf.DUMMYFUNCTION("""COMPUTED_VALUE"""),46177.0)</f>
        <v>46177</v>
      </c>
      <c r="K745" s="3" t="str">
        <f>IFERROR(__xludf.DUMMYFUNCTION("""COMPUTED_VALUE"""),"1430-1730")</f>
        <v>1430-1730</v>
      </c>
      <c r="L745" s="3">
        <f>IFERROR(__xludf.DUMMYFUNCTION("""COMPUTED_VALUE"""),3.0)</f>
        <v>3</v>
      </c>
      <c r="M745" s="3" t="str">
        <f>IFERROR(__xludf.DUMMYFUNCTION("""COMPUTED_VALUE"""),"น.อ.หญิง ผศ.นิตยา สุขแสน")</f>
        <v>น.อ.หญิง ผศ.นิตยา สุขแสน</v>
      </c>
      <c r="N745" s="14" t="str">
        <f>IFERROR(__xludf.DUMMYFUNCTION("""COMPUTED_VALUE"""),"https://lh5.googleusercontent.com/d/13wcd4EBMvU2r3DqG0hscQlG7dXOqUBgA")</f>
        <v>https://lh5.googleusercontent.com/d/13wcd4EBMvU2r3DqG0hscQlG7dXOqUBgA</v>
      </c>
      <c r="O745" s="14" t="str">
        <f>IFERROR(__xludf.DUMMYFUNCTION("""COMPUTED_VALUE"""),"https://drive.google.com/file/d/1aU-juckRzta7TtGeYiZO0iZHk0Zc0bnA/view?usp=drivesdk")</f>
        <v>https://drive.google.com/file/d/1aU-juckRzta7TtGeYiZO0iZHk0Zc0bnA/view?usp=drivesdk</v>
      </c>
    </row>
    <row r="746">
      <c r="A746" s="3">
        <f>IFERROR(__xludf.DUMMYFUNCTION("""COMPUTED_VALUE"""),3237.0)</f>
        <v>3237</v>
      </c>
      <c r="B746" s="11">
        <f>IFERROR(__xludf.DUMMYFUNCTION("""COMPUTED_VALUE"""),46180.852671307875)</f>
        <v>46180.85267</v>
      </c>
      <c r="C746" s="3" t="str">
        <f>IFERROR(__xludf.DUMMYFUNCTION("""COMPUTED_VALUE"""),"ชั้นปีที่ 2")</f>
        <v>ชั้นปีที่ 2</v>
      </c>
      <c r="D746" s="3" t="str">
        <f>IFERROR(__xludf.DUMMYFUNCTION("""COMPUTED_VALUE"""),"6703830")</f>
        <v>6703830</v>
      </c>
      <c r="E746" s="3" t="str">
        <f>IFERROR(__xludf.DUMMYFUNCTION("""COMPUTED_VALUE"""),"13")</f>
        <v>13</v>
      </c>
      <c r="F746" s="3" t="str">
        <f>IFERROR(__xludf.DUMMYFUNCTION("""COMPUTED_VALUE"""),"นพอ.โชติกา กัลศักดิ์ปภา")</f>
        <v>นพอ.โชติกา กัลศักดิ์ปภา</v>
      </c>
      <c r="G746" s="3" t="str">
        <f>IFERROR(__xludf.DUMMYFUNCTION("""COMPUTED_VALUE"""),"ช่วยเหลืองานภายใน วพอ.")</f>
        <v>ช่วยเหลืองานภายใน วพอ.</v>
      </c>
      <c r="H746" s="3" t="str">
        <f>IFERROR(__xludf.DUMMYFUNCTION("""COMPUTED_VALUE"""),"ปรับปรุงทัศนียภาพใน วพอ.พอ.")</f>
        <v>ปรับปรุงทัศนียภาพใน วพอ.พอ.</v>
      </c>
      <c r="I746" s="3" t="str">
        <f>IFERROR(__xludf.DUMMYFUNCTION("""COMPUTED_VALUE"""),"วพอ.พอ")</f>
        <v>วพอ.พอ</v>
      </c>
      <c r="J746" s="12">
        <f>IFERROR(__xludf.DUMMYFUNCTION("""COMPUTED_VALUE"""),46177.0)</f>
        <v>46177</v>
      </c>
      <c r="K746" s="3" t="str">
        <f>IFERROR(__xludf.DUMMYFUNCTION("""COMPUTED_VALUE"""),"1430-1730")</f>
        <v>1430-1730</v>
      </c>
      <c r="L746" s="3">
        <f>IFERROR(__xludf.DUMMYFUNCTION("""COMPUTED_VALUE"""),3.0)</f>
        <v>3</v>
      </c>
      <c r="M746" s="3" t="str">
        <f>IFERROR(__xludf.DUMMYFUNCTION("""COMPUTED_VALUE""")," น.อ.หญิง ผศ. นิตยา สุขแสน")</f>
        <v> น.อ.หญิง ผศ. นิตยา สุขแสน</v>
      </c>
      <c r="N746" s="14" t="str">
        <f>IFERROR(__xludf.DUMMYFUNCTION("""COMPUTED_VALUE"""),"https://lh5.googleusercontent.com/d/1gYaPYG6gD8QUvL5z_dr6B66V1IT4xZUm")</f>
        <v>https://lh5.googleusercontent.com/d/1gYaPYG6gD8QUvL5z_dr6B66V1IT4xZUm</v>
      </c>
      <c r="O746" s="14" t="str">
        <f>IFERROR(__xludf.DUMMYFUNCTION("""COMPUTED_VALUE"""),"https://drive.google.com/file/d/197M8K-QSnPJXX0-3Ok6i7SSS0zpi5_SW/view?usp=drivesdk")</f>
        <v>https://drive.google.com/file/d/197M8K-QSnPJXX0-3Ok6i7SSS0zpi5_SW/view?usp=drivesdk</v>
      </c>
    </row>
    <row r="747">
      <c r="A747" s="3">
        <f>IFERROR(__xludf.DUMMYFUNCTION("""COMPUTED_VALUE"""),3239.0)</f>
        <v>3239</v>
      </c>
      <c r="B747" s="11">
        <f>IFERROR(__xludf.DUMMYFUNCTION("""COMPUTED_VALUE"""),46180.876199652776)</f>
        <v>46180.8762</v>
      </c>
      <c r="C747" s="3" t="str">
        <f>IFERROR(__xludf.DUMMYFUNCTION("""COMPUTED_VALUE"""),"ชั้นปีที่ 2")</f>
        <v>ชั้นปีที่ 2</v>
      </c>
      <c r="D747" s="3" t="str">
        <f>IFERROR(__xludf.DUMMYFUNCTION("""COMPUTED_VALUE"""),"6703847")</f>
        <v>6703847</v>
      </c>
      <c r="E747" s="3" t="str">
        <f>IFERROR(__xludf.DUMMYFUNCTION("""COMPUTED_VALUE"""),"29")</f>
        <v>29</v>
      </c>
      <c r="F747" s="3" t="str">
        <f>IFERROR(__xludf.DUMMYFUNCTION("""COMPUTED_VALUE"""),"นพอ.นันทัชพร สิงห์โต")</f>
        <v>นพอ.นันทัชพร สิงห์โต</v>
      </c>
      <c r="G74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47" s="3" t="str">
        <f>IFERROR(__xludf.DUMMYFUNCTION("""COMPUTED_VALUE"""),"บริจาคโลหิต")</f>
        <v>บริจาคโลหิต</v>
      </c>
      <c r="I747" s="3" t="str">
        <f>IFERROR(__xludf.DUMMYFUNCTION("""COMPUTED_VALUE"""),"โรงพยาบาลภูมิพล")</f>
        <v>โรงพยาบาลภูมิพล</v>
      </c>
      <c r="J747" s="12">
        <f>IFERROR(__xludf.DUMMYFUNCTION("""COMPUTED_VALUE"""),46177.0)</f>
        <v>46177</v>
      </c>
      <c r="K747" s="3" t="str">
        <f>IFERROR(__xludf.DUMMYFUNCTION("""COMPUTED_VALUE"""),"1430-1530")</f>
        <v>1430-1530</v>
      </c>
      <c r="L747" s="3">
        <f>IFERROR(__xludf.DUMMYFUNCTION("""COMPUTED_VALUE"""),8.0)</f>
        <v>8</v>
      </c>
      <c r="M747" s="3" t="str">
        <f>IFERROR(__xludf.DUMMYFUNCTION("""COMPUTED_VALUE"""),"ร.ท.เรวัติ วัชรสิทธิ์")</f>
        <v>ร.ท.เรวัติ วัชรสิทธิ์</v>
      </c>
      <c r="N747" s="14" t="str">
        <f>IFERROR(__xludf.DUMMYFUNCTION("""COMPUTED_VALUE"""),"https://lh5.googleusercontent.com/d/1GDsIjgUfU-MBttkQeRCSM90KVGThQct6")</f>
        <v>https://lh5.googleusercontent.com/d/1GDsIjgUfU-MBttkQeRCSM90KVGThQct6</v>
      </c>
      <c r="O747" s="14" t="str">
        <f>IFERROR(__xludf.DUMMYFUNCTION("""COMPUTED_VALUE"""),"https://drive.google.com/file/d/1MtiXL8SzSDOvZ-B9J3qKcSuxf1XD4Xa6/view?usp=drivesdk")</f>
        <v>https://drive.google.com/file/d/1MtiXL8SzSDOvZ-B9J3qKcSuxf1XD4Xa6/view?usp=drivesdk</v>
      </c>
    </row>
    <row r="748">
      <c r="A748" s="3">
        <f>IFERROR(__xludf.DUMMYFUNCTION("""COMPUTED_VALUE"""),3240.0)</f>
        <v>3240</v>
      </c>
      <c r="B748" s="11">
        <f>IFERROR(__xludf.DUMMYFUNCTION("""COMPUTED_VALUE"""),46180.87632809028)</f>
        <v>46180.87633</v>
      </c>
      <c r="C748" s="3" t="str">
        <f>IFERROR(__xludf.DUMMYFUNCTION("""COMPUTED_VALUE"""),"ชั้นปีที่ 2")</f>
        <v>ชั้นปีที่ 2</v>
      </c>
      <c r="D748" s="3" t="str">
        <f>IFERROR(__xludf.DUMMYFUNCTION("""COMPUTED_VALUE"""),"6703870")</f>
        <v>6703870</v>
      </c>
      <c r="E748" s="3" t="str">
        <f>IFERROR(__xludf.DUMMYFUNCTION("""COMPUTED_VALUE"""),"51")</f>
        <v>51</v>
      </c>
      <c r="F748" s="3" t="str">
        <f>IFERROR(__xludf.DUMMYFUNCTION("""COMPUTED_VALUE"""),"นพอ.วิมลสิริ สิงห์ธนะ")</f>
        <v>นพอ.วิมลสิริ สิงห์ธนะ</v>
      </c>
      <c r="G74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48" s="3" t="str">
        <f>IFERROR(__xludf.DUMMYFUNCTION("""COMPUTED_VALUE"""),"บริจาคเลือด")</f>
        <v>บริจาคเลือด</v>
      </c>
      <c r="I748" s="3" t="str">
        <f>IFERROR(__xludf.DUMMYFUNCTION("""COMPUTED_VALUE"""),"รพ.ภูมิพลอดุลยเดช")</f>
        <v>รพ.ภูมิพลอดุลยเดช</v>
      </c>
      <c r="J748" s="12">
        <f>IFERROR(__xludf.DUMMYFUNCTION("""COMPUTED_VALUE"""),46175.0)</f>
        <v>46175</v>
      </c>
      <c r="K748" s="3" t="str">
        <f>IFERROR(__xludf.DUMMYFUNCTION("""COMPUTED_VALUE"""),"1400-1500")</f>
        <v>1400-1500</v>
      </c>
      <c r="L748" s="3">
        <f>IFERROR(__xludf.DUMMYFUNCTION("""COMPUTED_VALUE"""),8.0)</f>
        <v>8</v>
      </c>
      <c r="M748" s="3" t="str">
        <f>IFERROR(__xludf.DUMMYFUNCTION("""COMPUTED_VALUE"""),"ร.ท.เรวัติ วัชรสิทธิ์")</f>
        <v>ร.ท.เรวัติ วัชรสิทธิ์</v>
      </c>
      <c r="N748" s="14" t="str">
        <f>IFERROR(__xludf.DUMMYFUNCTION("""COMPUTED_VALUE"""),"https://lh5.googleusercontent.com/d/14YCqJmT2-EZVRPwcml9h3-A-umxHPGs7")</f>
        <v>https://lh5.googleusercontent.com/d/14YCqJmT2-EZVRPwcml9h3-A-umxHPGs7</v>
      </c>
      <c r="O748" s="14" t="str">
        <f>IFERROR(__xludf.DUMMYFUNCTION("""COMPUTED_VALUE"""),"https://drive.google.com/file/d/1v6Fe4jjQ98nreUSDz_Sv8fhf-qPE9Cvj/view?usp=drivesdk")</f>
        <v>https://drive.google.com/file/d/1v6Fe4jjQ98nreUSDz_Sv8fhf-qPE9Cvj/view?usp=drivesdk</v>
      </c>
    </row>
    <row r="749">
      <c r="A749" s="3">
        <f>IFERROR(__xludf.DUMMYFUNCTION("""COMPUTED_VALUE"""),3241.0)</f>
        <v>3241</v>
      </c>
      <c r="B749" s="11">
        <f>IFERROR(__xludf.DUMMYFUNCTION("""COMPUTED_VALUE"""),46180.8815342824)</f>
        <v>46180.88153</v>
      </c>
      <c r="C749" s="3" t="str">
        <f>IFERROR(__xludf.DUMMYFUNCTION("""COMPUTED_VALUE"""),"ชั้นปีที่ 2")</f>
        <v>ชั้นปีที่ 2</v>
      </c>
      <c r="D749" s="3" t="str">
        <f>IFERROR(__xludf.DUMMYFUNCTION("""COMPUTED_VALUE"""),"6703847")</f>
        <v>6703847</v>
      </c>
      <c r="E749" s="3" t="str">
        <f>IFERROR(__xludf.DUMMYFUNCTION("""COMPUTED_VALUE"""),"29")</f>
        <v>29</v>
      </c>
      <c r="F749" s="3" t="str">
        <f>IFERROR(__xludf.DUMMYFUNCTION("""COMPUTED_VALUE"""),"นพอ.นันทัชพร สิงห์โต")</f>
        <v>นพอ.นันทัชพร สิงห์โต</v>
      </c>
      <c r="G749" s="3" t="str">
        <f>IFERROR(__xludf.DUMMYFUNCTION("""COMPUTED_VALUE"""),"ช่วยเหลืองานภายใน วพอ.")</f>
        <v>ช่วยเหลืองานภายใน วพอ.</v>
      </c>
      <c r="H749" s="3" t="str">
        <f>IFERROR(__xludf.DUMMYFUNCTION("""COMPUTED_VALUE"""),"ซ้อมเต้นเพลง ฉันมีความสุข")</f>
        <v>ซ้อมเต้นเพลง ฉันมีความสุข</v>
      </c>
      <c r="I749" s="3" t="str">
        <f>IFERROR(__xludf.DUMMYFUNCTION("""COMPUTED_VALUE"""),"วพอ.พอ.")</f>
        <v>วพอ.พอ.</v>
      </c>
      <c r="J749" s="12">
        <f>IFERROR(__xludf.DUMMYFUNCTION("""COMPUTED_VALUE"""),46177.0)</f>
        <v>46177</v>
      </c>
      <c r="K749" s="3" t="str">
        <f>IFERROR(__xludf.DUMMYFUNCTION("""COMPUTED_VALUE"""),"1700-1800")</f>
        <v>1700-1800</v>
      </c>
      <c r="L749" s="3">
        <f>IFERROR(__xludf.DUMMYFUNCTION("""COMPUTED_VALUE"""),1.0)</f>
        <v>1</v>
      </c>
      <c r="M749" s="3" t="str">
        <f>IFERROR(__xludf.DUMMYFUNCTION("""COMPUTED_VALUE"""),"ร.อ.หญิง เบญญาดา บุรีรัตน์")</f>
        <v>ร.อ.หญิง เบญญาดา บุรีรัตน์</v>
      </c>
      <c r="N749" s="14" t="str">
        <f>IFERROR(__xludf.DUMMYFUNCTION("""COMPUTED_VALUE"""),"https://lh5.googleusercontent.com/d/1NpNgBNMJHZpW9_uaWTwDat_Q4GgY3Zek")</f>
        <v>https://lh5.googleusercontent.com/d/1NpNgBNMJHZpW9_uaWTwDat_Q4GgY3Zek</v>
      </c>
      <c r="O749" s="14" t="str">
        <f>IFERROR(__xludf.DUMMYFUNCTION("""COMPUTED_VALUE"""),"https://drive.google.com/file/d/14C3HCqtQ4j-4rt32KJkD-MnM-xylZCEd/view?usp=drivesdk")</f>
        <v>https://drive.google.com/file/d/14C3HCqtQ4j-4rt32KJkD-MnM-xylZCEd/view?usp=drivesdk</v>
      </c>
    </row>
    <row r="750">
      <c r="A750" s="3">
        <f>IFERROR(__xludf.DUMMYFUNCTION("""COMPUTED_VALUE"""),3242.0)</f>
        <v>3242</v>
      </c>
      <c r="B750" s="11">
        <f>IFERROR(__xludf.DUMMYFUNCTION("""COMPUTED_VALUE"""),46180.88258402778)</f>
        <v>46180.88258</v>
      </c>
      <c r="C750" s="3" t="str">
        <f>IFERROR(__xludf.DUMMYFUNCTION("""COMPUTED_VALUE"""),"ชั้นปีที่ 2")</f>
        <v>ชั้นปีที่ 2</v>
      </c>
      <c r="D750" s="3" t="str">
        <f>IFERROR(__xludf.DUMMYFUNCTION("""COMPUTED_VALUE"""),"6703847")</f>
        <v>6703847</v>
      </c>
      <c r="E750" s="3" t="str">
        <f>IFERROR(__xludf.DUMMYFUNCTION("""COMPUTED_VALUE"""),"29")</f>
        <v>29</v>
      </c>
      <c r="F750" s="3" t="str">
        <f>IFERROR(__xludf.DUMMYFUNCTION("""COMPUTED_VALUE"""),"นพอ.นันทัชพร สิงห์โต")</f>
        <v>นพอ.นันทัชพร สิงห์โต</v>
      </c>
      <c r="G750" s="3" t="str">
        <f>IFERROR(__xludf.DUMMYFUNCTION("""COMPUTED_VALUE"""),"ช่วยเหลืองานภายใน วพอ.")</f>
        <v>ช่วยเหลืองานภายใน วพอ.</v>
      </c>
      <c r="H750" s="3" t="str">
        <f>IFERROR(__xludf.DUMMYFUNCTION("""COMPUTED_VALUE"""),"ซ้อมเต้นเพลง ฉันมีความสุข")</f>
        <v>ซ้อมเต้นเพลง ฉันมีความสุข</v>
      </c>
      <c r="I750" s="3" t="str">
        <f>IFERROR(__xludf.DUMMYFUNCTION("""COMPUTED_VALUE"""),"วพอ.พอ.")</f>
        <v>วพอ.พอ.</v>
      </c>
      <c r="J750" s="12">
        <f>IFERROR(__xludf.DUMMYFUNCTION("""COMPUTED_VALUE"""),46178.0)</f>
        <v>46178</v>
      </c>
      <c r="K750" s="3" t="str">
        <f>IFERROR(__xludf.DUMMYFUNCTION("""COMPUTED_VALUE"""),"1400-1500")</f>
        <v>1400-1500</v>
      </c>
      <c r="L750" s="3">
        <f>IFERROR(__xludf.DUMMYFUNCTION("""COMPUTED_VALUE"""),1.0)</f>
        <v>1</v>
      </c>
      <c r="M750" s="3" t="str">
        <f>IFERROR(__xludf.DUMMYFUNCTION("""COMPUTED_VALUE"""),"ร.อ.หญิง เบญญาดา บุรีรัตน์")</f>
        <v>ร.อ.หญิง เบญญาดา บุรีรัตน์</v>
      </c>
      <c r="N750" s="14" t="str">
        <f>IFERROR(__xludf.DUMMYFUNCTION("""COMPUTED_VALUE"""),"https://lh5.googleusercontent.com/d/1D5JzRdlVjlzI1jPs-ZCsgXAM3FFG5HE9")</f>
        <v>https://lh5.googleusercontent.com/d/1D5JzRdlVjlzI1jPs-ZCsgXAM3FFG5HE9</v>
      </c>
      <c r="O750" s="14" t="str">
        <f>IFERROR(__xludf.DUMMYFUNCTION("""COMPUTED_VALUE"""),"https://drive.google.com/file/d/1_PmbxnYljaOxnuGtUFp4KMSDh50PNufc/view?usp=drivesdk")</f>
        <v>https://drive.google.com/file/d/1_PmbxnYljaOxnuGtUFp4KMSDh50PNufc/view?usp=drivesdk</v>
      </c>
    </row>
    <row r="751">
      <c r="A751" s="3">
        <f>IFERROR(__xludf.DUMMYFUNCTION("""COMPUTED_VALUE"""),3243.0)</f>
        <v>3243</v>
      </c>
      <c r="B751" s="11">
        <f>IFERROR(__xludf.DUMMYFUNCTION("""COMPUTED_VALUE"""),46180.88677377315)</f>
        <v>46180.88677</v>
      </c>
      <c r="C751" s="3" t="str">
        <f>IFERROR(__xludf.DUMMYFUNCTION("""COMPUTED_VALUE"""),"ชั้นปีที่ 2")</f>
        <v>ชั้นปีที่ 2</v>
      </c>
      <c r="D751" s="3" t="str">
        <f>IFERROR(__xludf.DUMMYFUNCTION("""COMPUTED_VALUE"""),"6703847")</f>
        <v>6703847</v>
      </c>
      <c r="E751" s="3" t="str">
        <f>IFERROR(__xludf.DUMMYFUNCTION("""COMPUTED_VALUE"""),"29")</f>
        <v>29</v>
      </c>
      <c r="F751" s="3" t="str">
        <f>IFERROR(__xludf.DUMMYFUNCTION("""COMPUTED_VALUE"""),"นพอ.นันทัชพร สิงห์โต")</f>
        <v>นพอ.นันทัชพร สิงห์โต</v>
      </c>
      <c r="G751" s="3" t="str">
        <f>IFERROR(__xludf.DUMMYFUNCTION("""COMPUTED_VALUE"""),"ช่วยเหลืองานภายใน วพอ.")</f>
        <v>ช่วยเหลืองานภายใน วพอ.</v>
      </c>
      <c r="H751" s="3" t="str">
        <f>IFERROR(__xludf.DUMMYFUNCTION("""COMPUTED_VALUE"""),"ช่วยจัดทำปกตารางสอนและระเบียบการเข้าเรียนออนไลน์")</f>
        <v>ช่วยจัดทำปกตารางสอนและระเบียบการเข้าเรียนออนไลน์</v>
      </c>
      <c r="I751" s="3" t="str">
        <f>IFERROR(__xludf.DUMMYFUNCTION("""COMPUTED_VALUE"""),"วพอ.พอ.")</f>
        <v>วพอ.พอ.</v>
      </c>
      <c r="J751" s="12">
        <f>IFERROR(__xludf.DUMMYFUNCTION("""COMPUTED_VALUE"""),46178.0)</f>
        <v>46178</v>
      </c>
      <c r="K751" s="3" t="str">
        <f>IFERROR(__xludf.DUMMYFUNCTION("""COMPUTED_VALUE"""),"1100-1700")</f>
        <v>1100-1700</v>
      </c>
      <c r="L751" s="3">
        <f>IFERROR(__xludf.DUMMYFUNCTION("""COMPUTED_VALUE"""),6.0)</f>
        <v>6</v>
      </c>
      <c r="M751" s="3" t="str">
        <f>IFERROR(__xludf.DUMMYFUNCTION("""COMPUTED_VALUE"""),"ร.ท.เรวัติ วัชรสิทธิ์")</f>
        <v>ร.ท.เรวัติ วัชรสิทธิ์</v>
      </c>
      <c r="N751" s="14" t="str">
        <f>IFERROR(__xludf.DUMMYFUNCTION("""COMPUTED_VALUE"""),"https://lh5.googleusercontent.com/d/1-ffdJ0msISUOcO1YIVDnyRxZOLs3ySlD")</f>
        <v>https://lh5.googleusercontent.com/d/1-ffdJ0msISUOcO1YIVDnyRxZOLs3ySlD</v>
      </c>
      <c r="O751" s="14" t="str">
        <f>IFERROR(__xludf.DUMMYFUNCTION("""COMPUTED_VALUE"""),"https://drive.google.com/file/d/1lWzkxGeU5aEkkDDpf8pgzNulzpx13pM3/view?usp=drivesdk")</f>
        <v>https://drive.google.com/file/d/1lWzkxGeU5aEkkDDpf8pgzNulzpx13pM3/view?usp=drivesdk</v>
      </c>
    </row>
    <row r="752">
      <c r="A752" s="3">
        <f>IFERROR(__xludf.DUMMYFUNCTION("""COMPUTED_VALUE"""),3247.0)</f>
        <v>3247</v>
      </c>
      <c r="B752" s="11">
        <f>IFERROR(__xludf.DUMMYFUNCTION("""COMPUTED_VALUE"""),46180.890557962965)</f>
        <v>46180.89056</v>
      </c>
      <c r="C752" s="3" t="str">
        <f>IFERROR(__xludf.DUMMYFUNCTION("""COMPUTED_VALUE"""),"ชั้นปีที่ 2")</f>
        <v>ชั้นปีที่ 2</v>
      </c>
      <c r="D752" s="3" t="str">
        <f>IFERROR(__xludf.DUMMYFUNCTION("""COMPUTED_VALUE"""),"6703847")</f>
        <v>6703847</v>
      </c>
      <c r="E752" s="3" t="str">
        <f>IFERROR(__xludf.DUMMYFUNCTION("""COMPUTED_VALUE"""),"29")</f>
        <v>29</v>
      </c>
      <c r="F752" s="3" t="str">
        <f>IFERROR(__xludf.DUMMYFUNCTION("""COMPUTED_VALUE"""),"นพอ.นันทัชพร สิงห์โต")</f>
        <v>นพอ.นันทัชพร สิงห์โต</v>
      </c>
      <c r="G752" s="3" t="str">
        <f>IFERROR(__xludf.DUMMYFUNCTION("""COMPUTED_VALUE"""),"ช่วยเหลืองานภายใน วพอ.")</f>
        <v>ช่วยเหลืองานภายใน วพอ.</v>
      </c>
      <c r="H752" s="3" t="str">
        <f>IFERROR(__xludf.DUMMYFUNCTION("""COMPUTED_VALUE"""),"ซ้อมเต้นเพลง ฉันมีความสุข")</f>
        <v>ซ้อมเต้นเพลง ฉันมีความสุข</v>
      </c>
      <c r="I752" s="3" t="str">
        <f>IFERROR(__xludf.DUMMYFUNCTION("""COMPUTED_VALUE"""),"วพอ.พอ.")</f>
        <v>วพอ.พอ.</v>
      </c>
      <c r="J752" s="12">
        <f>IFERROR(__xludf.DUMMYFUNCTION("""COMPUTED_VALUE"""),46176.0)</f>
        <v>46176</v>
      </c>
      <c r="K752" s="3" t="str">
        <f>IFERROR(__xludf.DUMMYFUNCTION("""COMPUTED_VALUE"""),"1700-1800")</f>
        <v>1700-1800</v>
      </c>
      <c r="L752" s="3">
        <f>IFERROR(__xludf.DUMMYFUNCTION("""COMPUTED_VALUE"""),1.0)</f>
        <v>1</v>
      </c>
      <c r="M752" s="3" t="str">
        <f>IFERROR(__xludf.DUMMYFUNCTION("""COMPUTED_VALUE"""),"ร.อ.หญิง เบญญาดา บุรีรัตน์")</f>
        <v>ร.อ.หญิง เบญญาดา บุรีรัตน์</v>
      </c>
      <c r="N752" s="14" t="str">
        <f>IFERROR(__xludf.DUMMYFUNCTION("""COMPUTED_VALUE"""),"https://lh5.googleusercontent.com/d/1Ngj6oHaRUPIgzYAYlFh9XN_Y3twZ2a_d")</f>
        <v>https://lh5.googleusercontent.com/d/1Ngj6oHaRUPIgzYAYlFh9XN_Y3twZ2a_d</v>
      </c>
      <c r="O752" s="14" t="str">
        <f>IFERROR(__xludf.DUMMYFUNCTION("""COMPUTED_VALUE"""),"https://drive.google.com/file/d/16TvT0wOSyoG9-zZ1W7i4euzabG0a1IFH/view?usp=drivesdk")</f>
        <v>https://drive.google.com/file/d/16TvT0wOSyoG9-zZ1W7i4euzabG0a1IFH/view?usp=drivesdk</v>
      </c>
    </row>
    <row r="753">
      <c r="A753" s="3">
        <f>IFERROR(__xludf.DUMMYFUNCTION("""COMPUTED_VALUE"""),3255.0)</f>
        <v>3255</v>
      </c>
      <c r="B753" s="11">
        <f>IFERROR(__xludf.DUMMYFUNCTION("""COMPUTED_VALUE"""),46180.91767028936)</f>
        <v>46180.91767</v>
      </c>
      <c r="C753" s="3" t="str">
        <f>IFERROR(__xludf.DUMMYFUNCTION("""COMPUTED_VALUE"""),"ชั้นปีที่ 2")</f>
        <v>ชั้นปีที่ 2</v>
      </c>
      <c r="D753" s="3" t="str">
        <f>IFERROR(__xludf.DUMMYFUNCTION("""COMPUTED_VALUE"""),"6703879")</f>
        <v>6703879</v>
      </c>
      <c r="E753" s="3" t="str">
        <f>IFERROR(__xludf.DUMMYFUNCTION("""COMPUTED_VALUE"""),"59")</f>
        <v>59</v>
      </c>
      <c r="F753" s="3" t="str">
        <f>IFERROR(__xludf.DUMMYFUNCTION("""COMPUTED_VALUE"""),"นพอ.สุรภา ธีสุระ")</f>
        <v>นพอ.สุรภา ธีสุระ</v>
      </c>
      <c r="G75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53" s="3" t="str">
        <f>IFERROR(__xludf.DUMMYFUNCTION("""COMPUTED_VALUE"""),"บริจาคโลหิต")</f>
        <v>บริจาคโลหิต</v>
      </c>
      <c r="I753" s="3" t="str">
        <f>IFERROR(__xludf.DUMMYFUNCTION("""COMPUTED_VALUE"""),"สภากาชาด จังหวัดลพบุรี")</f>
        <v>สภากาชาด จังหวัดลพบุรี</v>
      </c>
      <c r="J753" s="12">
        <f>IFERROR(__xludf.DUMMYFUNCTION("""COMPUTED_VALUE"""),46173.0)</f>
        <v>46173</v>
      </c>
      <c r="K753" s="3" t="str">
        <f>IFERROR(__xludf.DUMMYFUNCTION("""COMPUTED_VALUE"""),"1000-1030")</f>
        <v>1000-1030</v>
      </c>
      <c r="L753" s="3">
        <f>IFERROR(__xludf.DUMMYFUNCTION("""COMPUTED_VALUE"""),8.0)</f>
        <v>8</v>
      </c>
      <c r="M753" s="3" t="str">
        <f>IFERROR(__xludf.DUMMYFUNCTION("""COMPUTED_VALUE"""),"นางรัตนภรณ์ ธีสุระ")</f>
        <v>นางรัตนภรณ์ ธีสุระ</v>
      </c>
      <c r="N753" s="14" t="str">
        <f>IFERROR(__xludf.DUMMYFUNCTION("""COMPUTED_VALUE"""),"https://lh5.googleusercontent.com/d/1YGq-6_FVXtMoQGmq7G_FlWuTAEAWr0y5")</f>
        <v>https://lh5.googleusercontent.com/d/1YGq-6_FVXtMoQGmq7G_FlWuTAEAWr0y5</v>
      </c>
      <c r="O753" s="14" t="str">
        <f>IFERROR(__xludf.DUMMYFUNCTION("""COMPUTED_VALUE"""),"https://drive.google.com/file/d/1OYI5vBZhSJmnzqZlcp2YjzLyx6TBBOCw/view?usp=drivesdk")</f>
        <v>https://drive.google.com/file/d/1OYI5vBZhSJmnzqZlcp2YjzLyx6TBBOCw/view?usp=drivesdk</v>
      </c>
    </row>
    <row r="754">
      <c r="A754" s="3">
        <f>IFERROR(__xludf.DUMMYFUNCTION("""COMPUTED_VALUE"""),3256.0)</f>
        <v>3256</v>
      </c>
      <c r="B754" s="11">
        <f>IFERROR(__xludf.DUMMYFUNCTION("""COMPUTED_VALUE"""),46180.92164365741)</f>
        <v>46180.92164</v>
      </c>
      <c r="C754" s="3" t="str">
        <f>IFERROR(__xludf.DUMMYFUNCTION("""COMPUTED_VALUE"""),"ชั้นปีที่ 2")</f>
        <v>ชั้นปีที่ 2</v>
      </c>
      <c r="D754" s="3" t="str">
        <f>IFERROR(__xludf.DUMMYFUNCTION("""COMPUTED_VALUE"""),"6703879")</f>
        <v>6703879</v>
      </c>
      <c r="E754" s="3" t="str">
        <f>IFERROR(__xludf.DUMMYFUNCTION("""COMPUTED_VALUE"""),"59")</f>
        <v>59</v>
      </c>
      <c r="F754" s="3" t="str">
        <f>IFERROR(__xludf.DUMMYFUNCTION("""COMPUTED_VALUE"""),"นพอ.สุรภา ธีสุระ")</f>
        <v>นพอ.สุรภา ธีสุระ</v>
      </c>
      <c r="G754" s="3" t="str">
        <f>IFERROR(__xludf.DUMMYFUNCTION("""COMPUTED_VALUE"""),"ช่วยเหลืองานภายใน วพอ.")</f>
        <v>ช่วยเหลืองานภายใน วพอ.</v>
      </c>
      <c r="H754" s="3" t="str">
        <f>IFERROR(__xludf.DUMMYFUNCTION("""COMPUTED_VALUE""")," ทดสอบสมรรถภาพร่างกาย นพอ.69 ")</f>
        <v> ทดสอบสมรรถภาพร่างกาย นพอ.69 </v>
      </c>
      <c r="I754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754" s="12">
        <f>IFERROR(__xludf.DUMMYFUNCTION("""COMPUTED_VALUE"""),46147.0)</f>
        <v>46147</v>
      </c>
      <c r="K754" s="3" t="str">
        <f>IFERROR(__xludf.DUMMYFUNCTION("""COMPUTED_VALUE"""),"1600-1900")</f>
        <v>1600-1900</v>
      </c>
      <c r="L754" s="3">
        <f>IFERROR(__xludf.DUMMYFUNCTION("""COMPUTED_VALUE"""),3.0)</f>
        <v>3</v>
      </c>
      <c r="M754" s="3" t="str">
        <f>IFERROR(__xludf.DUMMYFUNCTION("""COMPUTED_VALUE"""),"น.ต.ศักชัย บุญประสิทธิ์")</f>
        <v>น.ต.ศักชัย บุญประสิทธิ์</v>
      </c>
      <c r="N754" s="14" t="str">
        <f>IFERROR(__xludf.DUMMYFUNCTION("""COMPUTED_VALUE"""),"https://lh5.googleusercontent.com/d/1Cls_5rogqy_ZAGNcIR6bAiKHl-j9EcYE")</f>
        <v>https://lh5.googleusercontent.com/d/1Cls_5rogqy_ZAGNcIR6bAiKHl-j9EcYE</v>
      </c>
      <c r="O754" s="14" t="str">
        <f>IFERROR(__xludf.DUMMYFUNCTION("""COMPUTED_VALUE"""),"https://drive.google.com/file/d/1hd7UBAHKWQvwmV8vGaZhUWSnyOJ4l_FR/view?usp=drivesdk")</f>
        <v>https://drive.google.com/file/d/1hd7UBAHKWQvwmV8vGaZhUWSnyOJ4l_FR/view?usp=drivesdk</v>
      </c>
    </row>
    <row r="755">
      <c r="A755" s="3">
        <f>IFERROR(__xludf.DUMMYFUNCTION("""COMPUTED_VALUE"""),3259.0)</f>
        <v>3259</v>
      </c>
      <c r="B755" s="11">
        <f>IFERROR(__xludf.DUMMYFUNCTION("""COMPUTED_VALUE"""),46180.935872905095)</f>
        <v>46180.93587</v>
      </c>
      <c r="C755" s="3" t="str">
        <f>IFERROR(__xludf.DUMMYFUNCTION("""COMPUTED_VALUE"""),"ชั้นปีที่ 2")</f>
        <v>ชั้นปีที่ 2</v>
      </c>
      <c r="D755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E755" s="3" t="str">
        <f>IFERROR(__xludf.DUMMYFUNCTION("""COMPUTED_VALUE"""),"59")</f>
        <v>59</v>
      </c>
      <c r="F755" s="3" t="str">
        <f>IFERROR(__xludf.DUMMYFUNCTION("""COMPUTED_VALUE"""),"นพอ.สุรภา ธีสุระ")</f>
        <v>นพอ.สุรภา ธีสุระ</v>
      </c>
      <c r="G75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5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55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755" s="12">
        <f>IFERROR(__xludf.DUMMYFUNCTION("""COMPUTED_VALUE"""),46078.0)</f>
        <v>46078</v>
      </c>
      <c r="K755" s="3" t="str">
        <f>IFERROR(__xludf.DUMMYFUNCTION("""COMPUTED_VALUE"""),"1200-20000")</f>
        <v>1200-20000</v>
      </c>
      <c r="L755" s="3">
        <f>IFERROR(__xludf.DUMMYFUNCTION("""COMPUTED_VALUE"""),8.0)</f>
        <v>8</v>
      </c>
      <c r="M755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755" s="14" t="str">
        <f>IFERROR(__xludf.DUMMYFUNCTION("""COMPUTED_VALUE"""),"https://lh5.googleusercontent.com/d/1STDXwQ4ewwIe1zT3-b972c2-fmwMZGub")</f>
        <v>https://lh5.googleusercontent.com/d/1STDXwQ4ewwIe1zT3-b972c2-fmwMZGub</v>
      </c>
      <c r="O755" s="14" t="str">
        <f>IFERROR(__xludf.DUMMYFUNCTION("""COMPUTED_VALUE"""),"https://drive.google.com/file/d/139467fnMr7vgogrzN6lcl8L2Di1Cnxp5/view?usp=drivesdk")</f>
        <v>https://drive.google.com/file/d/139467fnMr7vgogrzN6lcl8L2Di1Cnxp5/view?usp=drivesdk</v>
      </c>
    </row>
    <row r="756">
      <c r="A756" s="3">
        <f>IFERROR(__xludf.DUMMYFUNCTION("""COMPUTED_VALUE"""),3262.0)</f>
        <v>3262</v>
      </c>
      <c r="B756" s="11">
        <f>IFERROR(__xludf.DUMMYFUNCTION("""COMPUTED_VALUE"""),46180.93912752315)</f>
        <v>46180.93913</v>
      </c>
      <c r="C756" s="3" t="str">
        <f>IFERROR(__xludf.DUMMYFUNCTION("""COMPUTED_VALUE"""),"ชั้นปีที่ 2")</f>
        <v>ชั้นปีที่ 2</v>
      </c>
      <c r="D756" s="3" t="str">
        <f>IFERROR(__xludf.DUMMYFUNCTION("""COMPUTED_VALUE"""),"6703879")</f>
        <v>6703879</v>
      </c>
      <c r="E756" s="3" t="str">
        <f>IFERROR(__xludf.DUMMYFUNCTION("""COMPUTED_VALUE"""),"59")</f>
        <v>59</v>
      </c>
      <c r="F756" s="3" t="str">
        <f>IFERROR(__xludf.DUMMYFUNCTION("""COMPUTED_VALUE"""),"นพอ.สุรภา ธีสุระ")</f>
        <v>นพอ.สุรภา ธีสุระ</v>
      </c>
      <c r="G7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56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756" s="12">
        <f>IFERROR(__xludf.DUMMYFUNCTION("""COMPUTED_VALUE"""),46078.0)</f>
        <v>46078</v>
      </c>
      <c r="K756" s="3" t="str">
        <f>IFERROR(__xludf.DUMMYFUNCTION("""COMPUTED_VALUE"""),"1200-2000")</f>
        <v>1200-2000</v>
      </c>
      <c r="L756" s="3">
        <f>IFERROR(__xludf.DUMMYFUNCTION("""COMPUTED_VALUE"""),8.0)</f>
        <v>8</v>
      </c>
      <c r="M756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756" s="14" t="str">
        <f>IFERROR(__xludf.DUMMYFUNCTION("""COMPUTED_VALUE"""),"https://lh5.googleusercontent.com/d/1y_WN-QPCn_J5LLSwy8-EErnTTncPQ7qK")</f>
        <v>https://lh5.googleusercontent.com/d/1y_WN-QPCn_J5LLSwy8-EErnTTncPQ7qK</v>
      </c>
      <c r="O756" s="14" t="str">
        <f>IFERROR(__xludf.DUMMYFUNCTION("""COMPUTED_VALUE"""),"https://drive.google.com/file/d/14ub6BmSoKSUFceSh8ULGQDcNEUH29BC7/view?usp=drivesdk")</f>
        <v>https://drive.google.com/file/d/14ub6BmSoKSUFceSh8ULGQDcNEUH29BC7/view?usp=drivesdk</v>
      </c>
    </row>
    <row r="757">
      <c r="A757" s="3">
        <f>IFERROR(__xludf.DUMMYFUNCTION("""COMPUTED_VALUE"""),3263.0)</f>
        <v>3263</v>
      </c>
      <c r="B757" s="11">
        <f>IFERROR(__xludf.DUMMYFUNCTION("""COMPUTED_VALUE"""),46180.942680196764)</f>
        <v>46180.94268</v>
      </c>
      <c r="C757" s="3" t="str">
        <f>IFERROR(__xludf.DUMMYFUNCTION("""COMPUTED_VALUE"""),"ชั้นปีที่ 2")</f>
        <v>ชั้นปีที่ 2</v>
      </c>
      <c r="D757" s="3" t="str">
        <f>IFERROR(__xludf.DUMMYFUNCTION("""COMPUTED_VALUE"""),"6703879")</f>
        <v>6703879</v>
      </c>
      <c r="E757" s="3" t="str">
        <f>IFERROR(__xludf.DUMMYFUNCTION("""COMPUTED_VALUE"""),"59")</f>
        <v>59</v>
      </c>
      <c r="F757" s="3" t="str">
        <f>IFERROR(__xludf.DUMMYFUNCTION("""COMPUTED_VALUE"""),"นพอ.สุรภา ธีสุระ")</f>
        <v>นพอ.สุรภา ธีสุระ</v>
      </c>
      <c r="G757" s="3" t="str">
        <f>IFERROR(__xludf.DUMMYFUNCTION("""COMPUTED_VALUE"""),"ช่วยเหลืองานภายใน วพอ.")</f>
        <v>ช่วยเหลืองานภายใน วพอ.</v>
      </c>
      <c r="H757" s="3" t="str">
        <f>IFERROR(__xludf.DUMMYFUNCTION("""COMPUTED_VALUE"""),"ปรับปรุงทัศนียภาพใน วพอ.พอ.")</f>
        <v>ปรับปรุงทัศนียภาพใน วพอ.พอ.</v>
      </c>
      <c r="I757" s="3" t="str">
        <f>IFERROR(__xludf.DUMMYFUNCTION("""COMPUTED_VALUE"""),"วิทยาลัยพยาบาลทหารอากาศ")</f>
        <v>วิทยาลัยพยาบาลทหารอากาศ</v>
      </c>
      <c r="J757" s="12">
        <f>IFERROR(__xludf.DUMMYFUNCTION("""COMPUTED_VALUE"""),46177.0)</f>
        <v>46177</v>
      </c>
      <c r="K757" s="3" t="str">
        <f>IFERROR(__xludf.DUMMYFUNCTION("""COMPUTED_VALUE"""),"1430-1730")</f>
        <v>1430-1730</v>
      </c>
      <c r="L757" s="3">
        <f>IFERROR(__xludf.DUMMYFUNCTION("""COMPUTED_VALUE"""),3.0)</f>
        <v>3</v>
      </c>
      <c r="M757" s="3" t="str">
        <f>IFERROR(__xludf.DUMMYFUNCTION("""COMPUTED_VALUE"""),"น.อ.หญิง ผศ. นิตยา สุขแสน")</f>
        <v>น.อ.หญิง ผศ. นิตยา สุขแสน</v>
      </c>
      <c r="N757" s="14" t="str">
        <f>IFERROR(__xludf.DUMMYFUNCTION("""COMPUTED_VALUE"""),"https://lh5.googleusercontent.com/d/1gYdxPdm9sa3aeaNW3wq6Dh5GfJ_VDTwE")</f>
        <v>https://lh5.googleusercontent.com/d/1gYdxPdm9sa3aeaNW3wq6Dh5GfJ_VDTwE</v>
      </c>
      <c r="O757" s="14" t="str">
        <f>IFERROR(__xludf.DUMMYFUNCTION("""COMPUTED_VALUE"""),"https://drive.google.com/file/d/1FtJRveiLTNjhtX9mhc0iIj2yElUjXogc/view?usp=drivesdk")</f>
        <v>https://drive.google.com/file/d/1FtJRveiLTNjhtX9mhc0iIj2yElUjXogc/view?usp=drivesdk</v>
      </c>
    </row>
    <row r="758">
      <c r="A758" s="3">
        <f>IFERROR(__xludf.DUMMYFUNCTION("""COMPUTED_VALUE"""),3270.0)</f>
        <v>3270</v>
      </c>
      <c r="B758" s="11">
        <f>IFERROR(__xludf.DUMMYFUNCTION("""COMPUTED_VALUE"""),46181.36996733797)</f>
        <v>46181.36997</v>
      </c>
      <c r="C758" s="3" t="str">
        <f>IFERROR(__xludf.DUMMYFUNCTION("""COMPUTED_VALUE"""),"ชั้นปีที่ 2")</f>
        <v>ชั้นปีที่ 2</v>
      </c>
      <c r="D758" s="3" t="str">
        <f>IFERROR(__xludf.DUMMYFUNCTION("""COMPUTED_VALUE"""),"6703820")</f>
        <v>6703820</v>
      </c>
      <c r="E758" s="3" t="str">
        <f>IFERROR(__xludf.DUMMYFUNCTION("""COMPUTED_VALUE"""),"3")</f>
        <v>3</v>
      </c>
      <c r="F758" s="3" t="str">
        <f>IFERROR(__xludf.DUMMYFUNCTION("""COMPUTED_VALUE"""),"นพอ.กฤตพร พิทักษ์")</f>
        <v>นพอ.กฤตพร พิทักษ์</v>
      </c>
      <c r="G758" s="3" t="str">
        <f>IFERROR(__xludf.DUMMYFUNCTION("""COMPUTED_VALUE"""),"ช่วยเหลืองานภายใน วพอ.")</f>
        <v>ช่วยเหลืองานภายใน วพอ.</v>
      </c>
      <c r="H758" s="3" t="str">
        <f>IFERROR(__xludf.DUMMYFUNCTION("""COMPUTED_VALUE"""),"ปรับปรุงทัศนียภาพใน วพอ.พอ.")</f>
        <v>ปรับปรุงทัศนียภาพใน วพอ.พอ.</v>
      </c>
      <c r="I758" s="3" t="str">
        <f>IFERROR(__xludf.DUMMYFUNCTION("""COMPUTED_VALUE"""),"วพอ.พอ.")</f>
        <v>วพอ.พอ.</v>
      </c>
      <c r="J758" s="12">
        <f>IFERROR(__xludf.DUMMYFUNCTION("""COMPUTED_VALUE"""),46177.0)</f>
        <v>46177</v>
      </c>
      <c r="K758" s="3" t="str">
        <f>IFERROR(__xludf.DUMMYFUNCTION("""COMPUTED_VALUE"""),"1430-1730")</f>
        <v>1430-1730</v>
      </c>
      <c r="L758" s="3">
        <f>IFERROR(__xludf.DUMMYFUNCTION("""COMPUTED_VALUE"""),3.0)</f>
        <v>3</v>
      </c>
      <c r="M758" s="3" t="str">
        <f>IFERROR(__xludf.DUMMYFUNCTION("""COMPUTED_VALUE"""),"น.อ.หญิง ผศ. นิตยา สุขแสน")</f>
        <v>น.อ.หญิง ผศ. นิตยา สุขแสน</v>
      </c>
      <c r="N758" s="14" t="str">
        <f>IFERROR(__xludf.DUMMYFUNCTION("""COMPUTED_VALUE"""),"https://lh5.googleusercontent.com/d/18EYETK0TBXon6MLKDLKa-3u1HbQvQz31")</f>
        <v>https://lh5.googleusercontent.com/d/18EYETK0TBXon6MLKDLKa-3u1HbQvQz31</v>
      </c>
      <c r="O758" s="14" t="str">
        <f>IFERROR(__xludf.DUMMYFUNCTION("""COMPUTED_VALUE"""),"https://drive.google.com/file/d/1ieAasWdqO6vTpneADtRxcV_h6fkFI_JJ/view?usp=drivesdk")</f>
        <v>https://drive.google.com/file/d/1ieAasWdqO6vTpneADtRxcV_h6fkFI_JJ/view?usp=drivesdk</v>
      </c>
    </row>
    <row r="759">
      <c r="A759" s="3">
        <f>IFERROR(__xludf.DUMMYFUNCTION("""COMPUTED_VALUE"""),3271.0)</f>
        <v>3271</v>
      </c>
      <c r="B759" s="11">
        <f>IFERROR(__xludf.DUMMYFUNCTION("""COMPUTED_VALUE"""),46181.370594097214)</f>
        <v>46181.37059</v>
      </c>
      <c r="C759" s="3" t="str">
        <f>IFERROR(__xludf.DUMMYFUNCTION("""COMPUTED_VALUE"""),"ชั้นปีที่ 2")</f>
        <v>ชั้นปีที่ 2</v>
      </c>
      <c r="D759" s="3" t="str">
        <f>IFERROR(__xludf.DUMMYFUNCTION("""COMPUTED_VALUE"""),"6703822")</f>
        <v>6703822</v>
      </c>
      <c r="E759" s="3" t="str">
        <f>IFERROR(__xludf.DUMMYFUNCTION("""COMPUTED_VALUE"""),"5")</f>
        <v>5</v>
      </c>
      <c r="F759" s="3" t="str">
        <f>IFERROR(__xludf.DUMMYFUNCTION("""COMPUTED_VALUE"""),"นพอ.กัณยวัลย์ เทียนบัญญัติ")</f>
        <v>นพอ.กัณยวัลย์ เทียนบัญญัติ</v>
      </c>
      <c r="G759" s="3" t="str">
        <f>IFERROR(__xludf.DUMMYFUNCTION("""COMPUTED_VALUE"""),"ช่วยเหลืองานภายใน วพอ.")</f>
        <v>ช่วยเหลืองานภายใน วพอ.</v>
      </c>
      <c r="H759" s="3" t="str">
        <f>IFERROR(__xludf.DUMMYFUNCTION("""COMPUTED_VALUE"""),"ซ้อมเต้นเพลง ฉันมีความสุข")</f>
        <v>ซ้อมเต้นเพลง ฉันมีความสุข</v>
      </c>
      <c r="I759" s="3" t="str">
        <f>IFERROR(__xludf.DUMMYFUNCTION("""COMPUTED_VALUE"""),"วพอ.พอ.")</f>
        <v>วพอ.พอ.</v>
      </c>
      <c r="J759" s="12">
        <f>IFERROR(__xludf.DUMMYFUNCTION("""COMPUTED_VALUE"""),46176.0)</f>
        <v>46176</v>
      </c>
      <c r="K759" s="3" t="str">
        <f>IFERROR(__xludf.DUMMYFUNCTION("""COMPUTED_VALUE"""),"1800-1900")</f>
        <v>1800-1900</v>
      </c>
      <c r="L759" s="3">
        <f>IFERROR(__xludf.DUMMYFUNCTION("""COMPUTED_VALUE"""),1.0)</f>
        <v>1</v>
      </c>
      <c r="M759" s="3" t="str">
        <f>IFERROR(__xludf.DUMMYFUNCTION("""COMPUTED_VALUE""")," ร.อ.หญิง เบญญาดา บุรีรัตน์")</f>
        <v> ร.อ.หญิง เบญญาดา บุรีรัตน์</v>
      </c>
      <c r="N759" s="14" t="str">
        <f>IFERROR(__xludf.DUMMYFUNCTION("""COMPUTED_VALUE"""),"https://lh5.googleusercontent.com/d/1Mg9SiEHs8D3rFZPytKuMvhUl_RyI1bbi")</f>
        <v>https://lh5.googleusercontent.com/d/1Mg9SiEHs8D3rFZPytKuMvhUl_RyI1bbi</v>
      </c>
      <c r="O759" s="14" t="str">
        <f>IFERROR(__xludf.DUMMYFUNCTION("""COMPUTED_VALUE"""),"https://drive.google.com/file/d/1VSnI5mO3jNyUvyqGEB3FUPWHOfsZibjI/view?usp=drivesdk")</f>
        <v>https://drive.google.com/file/d/1VSnI5mO3jNyUvyqGEB3FUPWHOfsZibjI/view?usp=drivesdk</v>
      </c>
    </row>
    <row r="760">
      <c r="A760" s="3">
        <f>IFERROR(__xludf.DUMMYFUNCTION("""COMPUTED_VALUE"""),3272.0)</f>
        <v>3272</v>
      </c>
      <c r="B760" s="11">
        <f>IFERROR(__xludf.DUMMYFUNCTION("""COMPUTED_VALUE"""),46181.37104163194)</f>
        <v>46181.37104</v>
      </c>
      <c r="C760" s="3" t="str">
        <f>IFERROR(__xludf.DUMMYFUNCTION("""COMPUTED_VALUE"""),"ชั้นปีที่ 2")</f>
        <v>ชั้นปีที่ 2</v>
      </c>
      <c r="D760" s="3" t="str">
        <f>IFERROR(__xludf.DUMMYFUNCTION("""COMPUTED_VALUE"""),"6703818")</f>
        <v>6703818</v>
      </c>
      <c r="E760" s="3" t="str">
        <f>IFERROR(__xludf.DUMMYFUNCTION("""COMPUTED_VALUE"""),"1")</f>
        <v>1</v>
      </c>
      <c r="F760" s="3" t="str">
        <f>IFERROR(__xludf.DUMMYFUNCTION("""COMPUTED_VALUE"""),"นพอ.กนกวรรณ จิณเสน")</f>
        <v>นพอ.กนกวรรณ จิณเสน</v>
      </c>
      <c r="G760" s="3" t="str">
        <f>IFERROR(__xludf.DUMMYFUNCTION("""COMPUTED_VALUE"""),"ช่วยเหลืองานภายใน วพอ.")</f>
        <v>ช่วยเหลืองานภายใน วพอ.</v>
      </c>
      <c r="H760" s="3" t="str">
        <f>IFERROR(__xludf.DUMMYFUNCTION("""COMPUTED_VALUE"""),"ปรับปรุงทัศนียภาพใน วพอ.พอ.")</f>
        <v>ปรับปรุงทัศนียภาพใน วพอ.พอ.</v>
      </c>
      <c r="I760" s="3" t="str">
        <f>IFERROR(__xludf.DUMMYFUNCTION("""COMPUTED_VALUE"""),"วพอ.พอ.")</f>
        <v>วพอ.พอ.</v>
      </c>
      <c r="J760" s="12">
        <f>IFERROR(__xludf.DUMMYFUNCTION("""COMPUTED_VALUE"""),46177.0)</f>
        <v>46177</v>
      </c>
      <c r="K760" s="3" t="str">
        <f>IFERROR(__xludf.DUMMYFUNCTION("""COMPUTED_VALUE"""),"1430-1730")</f>
        <v>1430-1730</v>
      </c>
      <c r="L760" s="3">
        <f>IFERROR(__xludf.DUMMYFUNCTION("""COMPUTED_VALUE"""),3.0)</f>
        <v>3</v>
      </c>
      <c r="M760" s="3" t="str">
        <f>IFERROR(__xludf.DUMMYFUNCTION("""COMPUTED_VALUE"""),"น.อ.หญิง ผศ. นิตยา สุขแสน")</f>
        <v>น.อ.หญิง ผศ. นิตยา สุขแสน</v>
      </c>
      <c r="N760" s="14" t="str">
        <f>IFERROR(__xludf.DUMMYFUNCTION("""COMPUTED_VALUE"""),"https://lh5.googleusercontent.com/d/1KkVNlwBHy-FJ3EecjVJvUdb9aZER0TXk")</f>
        <v>https://lh5.googleusercontent.com/d/1KkVNlwBHy-FJ3EecjVJvUdb9aZER0TXk</v>
      </c>
      <c r="O760" s="14" t="str">
        <f>IFERROR(__xludf.DUMMYFUNCTION("""COMPUTED_VALUE"""),"https://drive.google.com/file/d/13hcM_7NE0yD4taoLkavbwycNI8KqjGZh/view?usp=drivesdk")</f>
        <v>https://drive.google.com/file/d/13hcM_7NE0yD4taoLkavbwycNI8KqjGZh/view?usp=drivesdk</v>
      </c>
    </row>
    <row r="761">
      <c r="A761" s="3">
        <f>IFERROR(__xludf.DUMMYFUNCTION("""COMPUTED_VALUE"""),3273.0)</f>
        <v>3273</v>
      </c>
      <c r="B761" s="11">
        <f>IFERROR(__xludf.DUMMYFUNCTION("""COMPUTED_VALUE"""),46181.371101446755)</f>
        <v>46181.3711</v>
      </c>
      <c r="C761" s="3" t="str">
        <f>IFERROR(__xludf.DUMMYFUNCTION("""COMPUTED_VALUE"""),"ชั้นปีที่ 2")</f>
        <v>ชั้นปีที่ 2</v>
      </c>
      <c r="D761" s="3" t="str">
        <f>IFERROR(__xludf.DUMMYFUNCTION("""COMPUTED_VALUE"""),"6703826")</f>
        <v>6703826</v>
      </c>
      <c r="E761" s="3" t="str">
        <f>IFERROR(__xludf.DUMMYFUNCTION("""COMPUTED_VALUE"""),"9")</f>
        <v>9</v>
      </c>
      <c r="F761" s="3" t="str">
        <f>IFERROR(__xludf.DUMMYFUNCTION("""COMPUTED_VALUE"""),"นพอ.ชณัฐธิดา ชูชีพ")</f>
        <v>นพอ.ชณัฐธิดา ชูชีพ</v>
      </c>
      <c r="G761" s="3" t="str">
        <f>IFERROR(__xludf.DUMMYFUNCTION("""COMPUTED_VALUE"""),"ช่วยเหลืองานภายใน วพอ.")</f>
        <v>ช่วยเหลืองานภายใน วพอ.</v>
      </c>
      <c r="H761" s="3" t="str">
        <f>IFERROR(__xludf.DUMMYFUNCTION("""COMPUTED_VALUE"""),"ช่วยจัดทำปกตารางสอนและระเบียบการเข้าเรียนออนไลน์")</f>
        <v>ช่วยจัดทำปกตารางสอนและระเบียบการเข้าเรียนออนไลน์</v>
      </c>
      <c r="I761" s="3" t="str">
        <f>IFERROR(__xludf.DUMMYFUNCTION("""COMPUTED_VALUE"""),"วพอ.พอ.")</f>
        <v>วพอ.พอ.</v>
      </c>
      <c r="J761" s="12">
        <f>IFERROR(__xludf.DUMMYFUNCTION("""COMPUTED_VALUE"""),46178.0)</f>
        <v>46178</v>
      </c>
      <c r="K761" s="3" t="str">
        <f>IFERROR(__xludf.DUMMYFUNCTION("""COMPUTED_VALUE"""),"1100-1700")</f>
        <v>1100-1700</v>
      </c>
      <c r="L761" s="3">
        <f>IFERROR(__xludf.DUMMYFUNCTION("""COMPUTED_VALUE"""),6.0)</f>
        <v>6</v>
      </c>
      <c r="M761" s="3" t="str">
        <f>IFERROR(__xludf.DUMMYFUNCTION("""COMPUTED_VALUE"""),"ร.ท.เรวัติ วัชรสิทธิ์")</f>
        <v>ร.ท.เรวัติ วัชรสิทธิ์</v>
      </c>
      <c r="N761" s="14" t="str">
        <f>IFERROR(__xludf.DUMMYFUNCTION("""COMPUTED_VALUE"""),"https://lh5.googleusercontent.com/d/1K13iYlforADUSI-hdDohp30VnUA3vp_A")</f>
        <v>https://lh5.googleusercontent.com/d/1K13iYlforADUSI-hdDohp30VnUA3vp_A</v>
      </c>
      <c r="O761" s="14" t="str">
        <f>IFERROR(__xludf.DUMMYFUNCTION("""COMPUTED_VALUE"""),"https://drive.google.com/file/d/1za05zNuwSm7T2MxCmJ4Jv_WROB_Dast1/view?usp=drivesdk")</f>
        <v>https://drive.google.com/file/d/1za05zNuwSm7T2MxCmJ4Jv_WROB_Dast1/view?usp=drivesdk</v>
      </c>
    </row>
    <row r="762">
      <c r="A762" s="3">
        <f>IFERROR(__xludf.DUMMYFUNCTION("""COMPUTED_VALUE"""),3274.0)</f>
        <v>3274</v>
      </c>
      <c r="B762" s="11">
        <f>IFERROR(__xludf.DUMMYFUNCTION("""COMPUTED_VALUE"""),46181.37158099537)</f>
        <v>46181.37158</v>
      </c>
      <c r="C762" s="3" t="str">
        <f>IFERROR(__xludf.DUMMYFUNCTION("""COMPUTED_VALUE"""),"ชั้นปีที่ 2")</f>
        <v>ชั้นปีที่ 2</v>
      </c>
      <c r="D762" s="3" t="str">
        <f>IFERROR(__xludf.DUMMYFUNCTION("""COMPUTED_VALUE"""),"6703820")</f>
        <v>6703820</v>
      </c>
      <c r="E762" s="3" t="str">
        <f>IFERROR(__xludf.DUMMYFUNCTION("""COMPUTED_VALUE"""),"3")</f>
        <v>3</v>
      </c>
      <c r="F762" s="3" t="str">
        <f>IFERROR(__xludf.DUMMYFUNCTION("""COMPUTED_VALUE"""),"นพอ.กฤตพร พิทักษ์")</f>
        <v>นพอ.กฤตพร พิทักษ์</v>
      </c>
      <c r="G762" s="3" t="str">
        <f>IFERROR(__xludf.DUMMYFUNCTION("""COMPUTED_VALUE"""),"ช่วยเหลืองานภายใน วพอ.")</f>
        <v>ช่วยเหลืองานภายใน วพอ.</v>
      </c>
      <c r="H762" s="3" t="str">
        <f>IFERROR(__xludf.DUMMYFUNCTION("""COMPUTED_VALUE"""),"ซ้อมเต้นเพลง ฉันมีความสุข")</f>
        <v>ซ้อมเต้นเพลง ฉันมีความสุข</v>
      </c>
      <c r="I762" s="3" t="str">
        <f>IFERROR(__xludf.DUMMYFUNCTION("""COMPUTED_VALUE"""),"วพอ.พอ.")</f>
        <v>วพอ.พอ.</v>
      </c>
      <c r="J762" s="12">
        <f>IFERROR(__xludf.DUMMYFUNCTION("""COMPUTED_VALUE"""),46176.0)</f>
        <v>46176</v>
      </c>
      <c r="K762" s="3" t="str">
        <f>IFERROR(__xludf.DUMMYFUNCTION("""COMPUTED_VALUE"""),"1800-1900")</f>
        <v>1800-1900</v>
      </c>
      <c r="L762" s="3">
        <f>IFERROR(__xludf.DUMMYFUNCTION("""COMPUTED_VALUE"""),1.0)</f>
        <v>1</v>
      </c>
      <c r="M762" s="3" t="str">
        <f>IFERROR(__xludf.DUMMYFUNCTION("""COMPUTED_VALUE"""),"ร.อ.หญิง เบญญาดา บุรีรัตน์")</f>
        <v>ร.อ.หญิง เบญญาดา บุรีรัตน์</v>
      </c>
      <c r="N762" s="14" t="str">
        <f>IFERROR(__xludf.DUMMYFUNCTION("""COMPUTED_VALUE"""),"https://lh5.googleusercontent.com/d/1J8PSa6putNwK4oaMVMszMngjkP1TI00F")</f>
        <v>https://lh5.googleusercontent.com/d/1J8PSa6putNwK4oaMVMszMngjkP1TI00F</v>
      </c>
      <c r="O762" s="14" t="str">
        <f>IFERROR(__xludf.DUMMYFUNCTION("""COMPUTED_VALUE"""),"https://drive.google.com/file/d/1ZYG97TEVe_LFI4YKrBdddnVBN4XWO4lC/view?usp=drivesdk")</f>
        <v>https://drive.google.com/file/d/1ZYG97TEVe_LFI4YKrBdddnVBN4XWO4lC/view?usp=drivesdk</v>
      </c>
    </row>
    <row r="763">
      <c r="A763" s="3">
        <f>IFERROR(__xludf.DUMMYFUNCTION("""COMPUTED_VALUE"""),3275.0)</f>
        <v>3275</v>
      </c>
      <c r="B763" s="11">
        <f>IFERROR(__xludf.DUMMYFUNCTION("""COMPUTED_VALUE"""),46181.37195375)</f>
        <v>46181.37195</v>
      </c>
      <c r="C763" s="3" t="str">
        <f>IFERROR(__xludf.DUMMYFUNCTION("""COMPUTED_VALUE"""),"ชั้นปีที่ 2")</f>
        <v>ชั้นปีที่ 2</v>
      </c>
      <c r="D763" s="3" t="str">
        <f>IFERROR(__xludf.DUMMYFUNCTION("""COMPUTED_VALUE"""),"6703822")</f>
        <v>6703822</v>
      </c>
      <c r="E763" s="3" t="str">
        <f>IFERROR(__xludf.DUMMYFUNCTION("""COMPUTED_VALUE"""),"5")</f>
        <v>5</v>
      </c>
      <c r="F763" s="3" t="str">
        <f>IFERROR(__xludf.DUMMYFUNCTION("""COMPUTED_VALUE"""),"นพอ.กัณยวัลย์ เทียนบัญญัติ")</f>
        <v>นพอ.กัณยวัลย์ เทียนบัญญัติ</v>
      </c>
      <c r="G763" s="3" t="str">
        <f>IFERROR(__xludf.DUMMYFUNCTION("""COMPUTED_VALUE"""),"ช่วยเหลืองานภายใน วพอ.")</f>
        <v>ช่วยเหลืองานภายใน วพอ.</v>
      </c>
      <c r="H763" s="3" t="str">
        <f>IFERROR(__xludf.DUMMYFUNCTION("""COMPUTED_VALUE"""),"ซ้อมเต้นเพลง ฉันมีความสุข")</f>
        <v>ซ้อมเต้นเพลง ฉันมีความสุข</v>
      </c>
      <c r="I763" s="3" t="str">
        <f>IFERROR(__xludf.DUMMYFUNCTION("""COMPUTED_VALUE"""),"วพอ.พอ.")</f>
        <v>วพอ.พอ.</v>
      </c>
      <c r="J763" s="12">
        <f>IFERROR(__xludf.DUMMYFUNCTION("""COMPUTED_VALUE"""),46177.0)</f>
        <v>46177</v>
      </c>
      <c r="K763" s="3" t="str">
        <f>IFERROR(__xludf.DUMMYFUNCTION("""COMPUTED_VALUE"""),"1800-1900")</f>
        <v>1800-1900</v>
      </c>
      <c r="L763" s="3">
        <f>IFERROR(__xludf.DUMMYFUNCTION("""COMPUTED_VALUE"""),1.0)</f>
        <v>1</v>
      </c>
      <c r="M763" s="3" t="str">
        <f>IFERROR(__xludf.DUMMYFUNCTION("""COMPUTED_VALUE""")," ร.อ.หญิง เบญญาดา บุรีรัตน์")</f>
        <v> ร.อ.หญิง เบญญาดา บุรีรัตน์</v>
      </c>
      <c r="N763" s="14" t="str">
        <f>IFERROR(__xludf.DUMMYFUNCTION("""COMPUTED_VALUE"""),"https://lh5.googleusercontent.com/d/1hsfVzjmdXCVliOOLfm-QzPqjgE_TxcS0")</f>
        <v>https://lh5.googleusercontent.com/d/1hsfVzjmdXCVliOOLfm-QzPqjgE_TxcS0</v>
      </c>
      <c r="O763" s="14" t="str">
        <f>IFERROR(__xludf.DUMMYFUNCTION("""COMPUTED_VALUE"""),"https://drive.google.com/file/d/1GQG7iaQQHZ9ojQ9AP3aZtHt_F_y7zVC1/view?usp=drivesdk")</f>
        <v>https://drive.google.com/file/d/1GQG7iaQQHZ9ojQ9AP3aZtHt_F_y7zVC1/view?usp=drivesdk</v>
      </c>
    </row>
    <row r="764">
      <c r="A764" s="3">
        <f>IFERROR(__xludf.DUMMYFUNCTION("""COMPUTED_VALUE"""),3276.0)</f>
        <v>3276</v>
      </c>
      <c r="B764" s="11">
        <f>IFERROR(__xludf.DUMMYFUNCTION("""COMPUTED_VALUE"""),46181.3724246875)</f>
        <v>46181.37242</v>
      </c>
      <c r="C764" s="3" t="str">
        <f>IFERROR(__xludf.DUMMYFUNCTION("""COMPUTED_VALUE"""),"ชั้นปีที่ 2")</f>
        <v>ชั้นปีที่ 2</v>
      </c>
      <c r="D764" s="3" t="str">
        <f>IFERROR(__xludf.DUMMYFUNCTION("""COMPUTED_VALUE"""),"6703818")</f>
        <v>6703818</v>
      </c>
      <c r="E764" s="3" t="str">
        <f>IFERROR(__xludf.DUMMYFUNCTION("""COMPUTED_VALUE"""),"1")</f>
        <v>1</v>
      </c>
      <c r="F764" s="3" t="str">
        <f>IFERROR(__xludf.DUMMYFUNCTION("""COMPUTED_VALUE"""),"นพอ.กนกวรรณ จิณเสน")</f>
        <v>นพอ.กนกวรรณ จิณเสน</v>
      </c>
      <c r="G764" s="3" t="str">
        <f>IFERROR(__xludf.DUMMYFUNCTION("""COMPUTED_VALUE"""),"ช่วยเหลืองานภายใน วพอ.")</f>
        <v>ช่วยเหลืองานภายใน วพอ.</v>
      </c>
      <c r="H764" s="3" t="str">
        <f>IFERROR(__xludf.DUMMYFUNCTION("""COMPUTED_VALUE"""),"ซ้อมเต้นเพลง ฉันมีความสุข")</f>
        <v>ซ้อมเต้นเพลง ฉันมีความสุข</v>
      </c>
      <c r="I764" s="3" t="str">
        <f>IFERROR(__xludf.DUMMYFUNCTION("""COMPUTED_VALUE"""),"วพอ.พอ.")</f>
        <v>วพอ.พอ.</v>
      </c>
      <c r="J764" s="12">
        <f>IFERROR(__xludf.DUMMYFUNCTION("""COMPUTED_VALUE"""),46176.0)</f>
        <v>46176</v>
      </c>
      <c r="K764" s="3" t="str">
        <f>IFERROR(__xludf.DUMMYFUNCTION("""COMPUTED_VALUE"""),"1800-1900")</f>
        <v>1800-1900</v>
      </c>
      <c r="L764" s="3">
        <f>IFERROR(__xludf.DUMMYFUNCTION("""COMPUTED_VALUE"""),1.0)</f>
        <v>1</v>
      </c>
      <c r="M764" s="3" t="str">
        <f>IFERROR(__xludf.DUMMYFUNCTION("""COMPUTED_VALUE"""),"ร.อ.หญิง เบญญาดา บุรีรัตน์")</f>
        <v>ร.อ.หญิง เบญญาดา บุรีรัตน์</v>
      </c>
      <c r="N764" s="14" t="str">
        <f>IFERROR(__xludf.DUMMYFUNCTION("""COMPUTED_VALUE"""),"https://lh5.googleusercontent.com/d/1O2uw4w1nXQA0IiQJeU0AAKBras3ZaHdg")</f>
        <v>https://lh5.googleusercontent.com/d/1O2uw4w1nXQA0IiQJeU0AAKBras3ZaHdg</v>
      </c>
      <c r="O764" s="14" t="str">
        <f>IFERROR(__xludf.DUMMYFUNCTION("""COMPUTED_VALUE"""),"https://drive.google.com/file/d/1ddnDai1S8bSKFVl2iddA3_PXBgsTB-Cz/view?usp=drivesdk")</f>
        <v>https://drive.google.com/file/d/1ddnDai1S8bSKFVl2iddA3_PXBgsTB-Cz/view?usp=drivesdk</v>
      </c>
    </row>
    <row r="765">
      <c r="A765" s="3">
        <f>IFERROR(__xludf.DUMMYFUNCTION("""COMPUTED_VALUE"""),3277.0)</f>
        <v>3277</v>
      </c>
      <c r="B765" s="11">
        <f>IFERROR(__xludf.DUMMYFUNCTION("""COMPUTED_VALUE"""),46181.37277618056)</f>
        <v>46181.37278</v>
      </c>
      <c r="C765" s="3" t="str">
        <f>IFERROR(__xludf.DUMMYFUNCTION("""COMPUTED_VALUE"""),"ชั้นปีที่ 2")</f>
        <v>ชั้นปีที่ 2</v>
      </c>
      <c r="D765" s="3" t="str">
        <f>IFERROR(__xludf.DUMMYFUNCTION("""COMPUTED_VALUE"""),"6703820")</f>
        <v>6703820</v>
      </c>
      <c r="E765" s="3" t="str">
        <f>IFERROR(__xludf.DUMMYFUNCTION("""COMPUTED_VALUE"""),"3")</f>
        <v>3</v>
      </c>
      <c r="F765" s="3" t="str">
        <f>IFERROR(__xludf.DUMMYFUNCTION("""COMPUTED_VALUE"""),"นพอ.กฤตพร พิทักษ์")</f>
        <v>นพอ.กฤตพร พิทักษ์</v>
      </c>
      <c r="G765" s="3" t="str">
        <f>IFERROR(__xludf.DUMMYFUNCTION("""COMPUTED_VALUE"""),"ช่วยเหลืองานภายใน วพอ.")</f>
        <v>ช่วยเหลืองานภายใน วพอ.</v>
      </c>
      <c r="H765" s="3" t="str">
        <f>IFERROR(__xludf.DUMMYFUNCTION("""COMPUTED_VALUE"""),"ซ้อมเต้นเพลง ฉันมีความสุข")</f>
        <v>ซ้อมเต้นเพลง ฉันมีความสุข</v>
      </c>
      <c r="I765" s="3" t="str">
        <f>IFERROR(__xludf.DUMMYFUNCTION("""COMPUTED_VALUE"""),"วพอ.พอ.")</f>
        <v>วพอ.พอ.</v>
      </c>
      <c r="J765" s="12">
        <f>IFERROR(__xludf.DUMMYFUNCTION("""COMPUTED_VALUE"""),46177.0)</f>
        <v>46177</v>
      </c>
      <c r="K765" s="3" t="str">
        <f>IFERROR(__xludf.DUMMYFUNCTION("""COMPUTED_VALUE"""),"1800-1900")</f>
        <v>1800-1900</v>
      </c>
      <c r="L765" s="3">
        <f>IFERROR(__xludf.DUMMYFUNCTION("""COMPUTED_VALUE"""),1.0)</f>
        <v>1</v>
      </c>
      <c r="M765" s="3" t="str">
        <f>IFERROR(__xludf.DUMMYFUNCTION("""COMPUTED_VALUE"""),"ร.อ.หญิง เบญญาดา บุรีรัตน์")</f>
        <v>ร.อ.หญิง เบญญาดา บุรีรัตน์</v>
      </c>
      <c r="N765" s="14" t="str">
        <f>IFERROR(__xludf.DUMMYFUNCTION("""COMPUTED_VALUE"""),"https://lh5.googleusercontent.com/d/1xbF18QY5fRlK76FTZHTPC0f2TSyC6exW")</f>
        <v>https://lh5.googleusercontent.com/d/1xbF18QY5fRlK76FTZHTPC0f2TSyC6exW</v>
      </c>
      <c r="O765" s="14" t="str">
        <f>IFERROR(__xludf.DUMMYFUNCTION("""COMPUTED_VALUE"""),"https://drive.google.com/file/d/1OKHp73AbUK-VphQ9IUSwoKGwYK4MAwEH/view?usp=drivesdk")</f>
        <v>https://drive.google.com/file/d/1OKHp73AbUK-VphQ9IUSwoKGwYK4MAwEH/view?usp=drivesdk</v>
      </c>
    </row>
    <row r="766">
      <c r="A766" s="3">
        <f>IFERROR(__xludf.DUMMYFUNCTION("""COMPUTED_VALUE"""),3278.0)</f>
        <v>3278</v>
      </c>
      <c r="B766" s="11">
        <f>IFERROR(__xludf.DUMMYFUNCTION("""COMPUTED_VALUE"""),46181.37327754629)</f>
        <v>46181.37328</v>
      </c>
      <c r="C766" s="3" t="str">
        <f>IFERROR(__xludf.DUMMYFUNCTION("""COMPUTED_VALUE"""),"ชั้นปีที่ 2")</f>
        <v>ชั้นปีที่ 2</v>
      </c>
      <c r="D766" s="3" t="str">
        <f>IFERROR(__xludf.DUMMYFUNCTION("""COMPUTED_VALUE"""),"6703818")</f>
        <v>6703818</v>
      </c>
      <c r="E766" s="3" t="str">
        <f>IFERROR(__xludf.DUMMYFUNCTION("""COMPUTED_VALUE"""),"1")</f>
        <v>1</v>
      </c>
      <c r="F766" s="3" t="str">
        <f>IFERROR(__xludf.DUMMYFUNCTION("""COMPUTED_VALUE"""),"นพอ.กนกวรรณ จิณเสน")</f>
        <v>นพอ.กนกวรรณ จิณเสน</v>
      </c>
      <c r="G766" s="3" t="str">
        <f>IFERROR(__xludf.DUMMYFUNCTION("""COMPUTED_VALUE"""),"ช่วยเหลืองานภายใน วพอ.")</f>
        <v>ช่วยเหลืองานภายใน วพอ.</v>
      </c>
      <c r="H766" s="3" t="str">
        <f>IFERROR(__xludf.DUMMYFUNCTION("""COMPUTED_VALUE"""),"ซ้อมเต้นเพลง ฉันมีความสุข")</f>
        <v>ซ้อมเต้นเพลง ฉันมีความสุข</v>
      </c>
      <c r="I766" s="3" t="str">
        <f>IFERROR(__xludf.DUMMYFUNCTION("""COMPUTED_VALUE"""),"วพอ.พอ.")</f>
        <v>วพอ.พอ.</v>
      </c>
      <c r="J766" s="12">
        <f>IFERROR(__xludf.DUMMYFUNCTION("""COMPUTED_VALUE"""),46177.0)</f>
        <v>46177</v>
      </c>
      <c r="K766" s="3" t="str">
        <f>IFERROR(__xludf.DUMMYFUNCTION("""COMPUTED_VALUE"""),"1800-1900")</f>
        <v>1800-1900</v>
      </c>
      <c r="L766" s="3">
        <f>IFERROR(__xludf.DUMMYFUNCTION("""COMPUTED_VALUE"""),1.0)</f>
        <v>1</v>
      </c>
      <c r="M766" s="3" t="str">
        <f>IFERROR(__xludf.DUMMYFUNCTION("""COMPUTED_VALUE"""),"ร.อ.หญิง เบญญาดา บุรีรัตน์")</f>
        <v>ร.อ.หญิง เบญญาดา บุรีรัตน์</v>
      </c>
      <c r="N766" s="14" t="str">
        <f>IFERROR(__xludf.DUMMYFUNCTION("""COMPUTED_VALUE"""),"https://lh5.googleusercontent.com/d/1vAeG2YPnImTDreof6wWPYH7D6bSb7dcw")</f>
        <v>https://lh5.googleusercontent.com/d/1vAeG2YPnImTDreof6wWPYH7D6bSb7dcw</v>
      </c>
      <c r="O766" s="14" t="str">
        <f>IFERROR(__xludf.DUMMYFUNCTION("""COMPUTED_VALUE"""),"https://drive.google.com/file/d/16UahvJWekbQkl_u6aYTPV_rVjeZ51vB5/view?usp=drivesdk")</f>
        <v>https://drive.google.com/file/d/16UahvJWekbQkl_u6aYTPV_rVjeZ51vB5/view?usp=drivesdk</v>
      </c>
    </row>
    <row r="767">
      <c r="A767" s="3">
        <f>IFERROR(__xludf.DUMMYFUNCTION("""COMPUTED_VALUE"""),3279.0)</f>
        <v>3279</v>
      </c>
      <c r="B767" s="11">
        <f>IFERROR(__xludf.DUMMYFUNCTION("""COMPUTED_VALUE"""),46181.37398621527)</f>
        <v>46181.37399</v>
      </c>
      <c r="C767" s="3" t="str">
        <f>IFERROR(__xludf.DUMMYFUNCTION("""COMPUTED_VALUE"""),"ชั้นปีที่ 2")</f>
        <v>ชั้นปีที่ 2</v>
      </c>
      <c r="D767" s="3" t="str">
        <f>IFERROR(__xludf.DUMMYFUNCTION("""COMPUTED_VALUE"""),"6703819")</f>
        <v>6703819</v>
      </c>
      <c r="E767" s="3" t="str">
        <f>IFERROR(__xludf.DUMMYFUNCTION("""COMPUTED_VALUE"""),"2")</f>
        <v>2</v>
      </c>
      <c r="F767" s="3" t="str">
        <f>IFERROR(__xludf.DUMMYFUNCTION("""COMPUTED_VALUE"""),"นพอ.กรณิศ เกษแก้ว")</f>
        <v>นพอ.กรณิศ เกษแก้ว</v>
      </c>
      <c r="G767" s="3" t="str">
        <f>IFERROR(__xludf.DUMMYFUNCTION("""COMPUTED_VALUE"""),"ช่วยเหลืองานภายใน วพอ.")</f>
        <v>ช่วยเหลืองานภายใน วพอ.</v>
      </c>
      <c r="H767" s="3" t="str">
        <f>IFERROR(__xludf.DUMMYFUNCTION("""COMPUTED_VALUE"""),"ซ้อมเต้นเพลง ฉันมีความสุข")</f>
        <v>ซ้อมเต้นเพลง ฉันมีความสุข</v>
      </c>
      <c r="I767" s="3" t="str">
        <f>IFERROR(__xludf.DUMMYFUNCTION("""COMPUTED_VALUE"""),"วพอ.พอ.")</f>
        <v>วพอ.พอ.</v>
      </c>
      <c r="J767" s="12">
        <f>IFERROR(__xludf.DUMMYFUNCTION("""COMPUTED_VALUE"""),46177.0)</f>
        <v>46177</v>
      </c>
      <c r="K767" s="3" t="str">
        <f>IFERROR(__xludf.DUMMYFUNCTION("""COMPUTED_VALUE"""),"1800-1900")</f>
        <v>1800-1900</v>
      </c>
      <c r="L767" s="3">
        <f>IFERROR(__xludf.DUMMYFUNCTION("""COMPUTED_VALUE"""),1.0)</f>
        <v>1</v>
      </c>
      <c r="M767" s="3" t="str">
        <f>IFERROR(__xludf.DUMMYFUNCTION("""COMPUTED_VALUE"""),"ร.อ.หญิง เบญญาดา บุรีรัตน์")</f>
        <v>ร.อ.หญิง เบญญาดา บุรีรัตน์</v>
      </c>
      <c r="N767" s="14" t="str">
        <f>IFERROR(__xludf.DUMMYFUNCTION("""COMPUTED_VALUE"""),"https://lh5.googleusercontent.com/d/1SCSLMaxVBMNA3rnrO82sWAfeNxC5XlM-")</f>
        <v>https://lh5.googleusercontent.com/d/1SCSLMaxVBMNA3rnrO82sWAfeNxC5XlM-</v>
      </c>
      <c r="O767" s="14" t="str">
        <f>IFERROR(__xludf.DUMMYFUNCTION("""COMPUTED_VALUE"""),"https://drive.google.com/file/d/1rP2QjGPskJO_coVZirDMS7C4LifpsAxl/view?usp=drivesdk")</f>
        <v>https://drive.google.com/file/d/1rP2QjGPskJO_coVZirDMS7C4LifpsAxl/view?usp=drivesdk</v>
      </c>
    </row>
    <row r="768">
      <c r="A768" s="3">
        <f>IFERROR(__xludf.DUMMYFUNCTION("""COMPUTED_VALUE"""),3280.0)</f>
        <v>3280</v>
      </c>
      <c r="B768" s="11">
        <f>IFERROR(__xludf.DUMMYFUNCTION("""COMPUTED_VALUE"""),46181.37434902778)</f>
        <v>46181.37435</v>
      </c>
      <c r="C768" s="3" t="str">
        <f>IFERROR(__xludf.DUMMYFUNCTION("""COMPUTED_VALUE"""),"ชั้นปีที่ 2")</f>
        <v>ชั้นปีที่ 2</v>
      </c>
      <c r="D768" s="3" t="str">
        <f>IFERROR(__xludf.DUMMYFUNCTION("""COMPUTED_VALUE"""),"6703858")</f>
        <v>6703858</v>
      </c>
      <c r="E768" s="3" t="str">
        <f>IFERROR(__xludf.DUMMYFUNCTION("""COMPUTED_VALUE"""),"39")</f>
        <v>39</v>
      </c>
      <c r="F768" s="3" t="str">
        <f>IFERROR(__xludf.DUMMYFUNCTION("""COMPUTED_VALUE"""),"นพอ.พิชชาภา  เรืองจุ้ย")</f>
        <v>นพอ.พิชชาภา  เรืองจุ้ย</v>
      </c>
      <c r="G768" s="3" t="str">
        <f>IFERROR(__xludf.DUMMYFUNCTION("""COMPUTED_VALUE"""),"ช่วยเหลืองานภายใน วพอ.")</f>
        <v>ช่วยเหลืองานภายใน วพอ.</v>
      </c>
      <c r="H768" s="3" t="str">
        <f>IFERROR(__xludf.DUMMYFUNCTION("""COMPUTED_VALUE"""),"ปรับปรุงทัศนียภาพใน วพอ.พอ.")</f>
        <v>ปรับปรุงทัศนียภาพใน วพอ.พอ.</v>
      </c>
      <c r="I768" s="3" t="str">
        <f>IFERROR(__xludf.DUMMYFUNCTION("""COMPUTED_VALUE"""),"วพอ.พอ.")</f>
        <v>วพอ.พอ.</v>
      </c>
      <c r="J768" s="12">
        <f>IFERROR(__xludf.DUMMYFUNCTION("""COMPUTED_VALUE"""),46177.0)</f>
        <v>46177</v>
      </c>
      <c r="K768" s="3" t="str">
        <f>IFERROR(__xludf.DUMMYFUNCTION("""COMPUTED_VALUE"""),"1430-1730")</f>
        <v>1430-1730</v>
      </c>
      <c r="L768" s="3">
        <f>IFERROR(__xludf.DUMMYFUNCTION("""COMPUTED_VALUE"""),3.0)</f>
        <v>3</v>
      </c>
      <c r="M768" s="3" t="str">
        <f>IFERROR(__xludf.DUMMYFUNCTION("""COMPUTED_VALUE"""),"น.อ.หญิง ผศ. นิตยา สุขแสน")</f>
        <v>น.อ.หญิง ผศ. นิตยา สุขแสน</v>
      </c>
      <c r="N768" s="14" t="str">
        <f>IFERROR(__xludf.DUMMYFUNCTION("""COMPUTED_VALUE"""),"https://lh5.googleusercontent.com/d/1LpPKRXUvmKLZMVLSbSERVNnPY1XZc0-O")</f>
        <v>https://lh5.googleusercontent.com/d/1LpPKRXUvmKLZMVLSbSERVNnPY1XZc0-O</v>
      </c>
      <c r="O768" s="14" t="str">
        <f>IFERROR(__xludf.DUMMYFUNCTION("""COMPUTED_VALUE"""),"https://drive.google.com/file/d/1ajQzTqluur1dfdQCePKNcSE3wHuJoc3Q/view?usp=drivesdk")</f>
        <v>https://drive.google.com/file/d/1ajQzTqluur1dfdQCePKNcSE3wHuJoc3Q/view?usp=drivesdk</v>
      </c>
    </row>
    <row r="769">
      <c r="A769" s="3">
        <f>IFERROR(__xludf.DUMMYFUNCTION("""COMPUTED_VALUE"""),3281.0)</f>
        <v>3281</v>
      </c>
      <c r="B769" s="11">
        <f>IFERROR(__xludf.DUMMYFUNCTION("""COMPUTED_VALUE"""),46181.37440100695)</f>
        <v>46181.3744</v>
      </c>
      <c r="C769" s="3" t="str">
        <f>IFERROR(__xludf.DUMMYFUNCTION("""COMPUTED_VALUE"""),"ชั้นปีที่ 2")</f>
        <v>ชั้นปีที่ 2</v>
      </c>
      <c r="D769" s="3" t="str">
        <f>IFERROR(__xludf.DUMMYFUNCTION("""COMPUTED_VALUE"""),"6703862")</f>
        <v>6703862</v>
      </c>
      <c r="E769" s="3" t="str">
        <f>IFERROR(__xludf.DUMMYFUNCTION("""COMPUTED_VALUE"""),"43")</f>
        <v>43</v>
      </c>
      <c r="F769" s="3" t="str">
        <f>IFERROR(__xludf.DUMMYFUNCTION("""COMPUTED_VALUE"""),"นพอ.ภัทรภรณ์ ลิมป์กิตติเจริญ")</f>
        <v>นพอ.ภัทรภรณ์ ลิมป์กิตติเจริญ</v>
      </c>
      <c r="G769" s="3" t="str">
        <f>IFERROR(__xludf.DUMMYFUNCTION("""COMPUTED_VALUE"""),"ช่วยเหลืองานภายใน วพอ.")</f>
        <v>ช่วยเหลืองานภายใน วพอ.</v>
      </c>
      <c r="H769" s="3" t="str">
        <f>IFERROR(__xludf.DUMMYFUNCTION("""COMPUTED_VALUE"""),"การตกแต่งวิสัยทัศน์ภายในวพอ.")</f>
        <v>การตกแต่งวิสัยทัศน์ภายในวพอ.</v>
      </c>
      <c r="I769" s="3" t="str">
        <f>IFERROR(__xludf.DUMMYFUNCTION("""COMPUTED_VALUE"""),"สวนลีลาวดี")</f>
        <v>สวนลีลาวดี</v>
      </c>
      <c r="J769" s="12">
        <f>IFERROR(__xludf.DUMMYFUNCTION("""COMPUTED_VALUE"""),46177.0)</f>
        <v>46177</v>
      </c>
      <c r="K769" s="3" t="str">
        <f>IFERROR(__xludf.DUMMYFUNCTION("""COMPUTED_VALUE"""),"1300-1600")</f>
        <v>1300-1600</v>
      </c>
      <c r="L769" s="3">
        <f>IFERROR(__xludf.DUMMYFUNCTION("""COMPUTED_VALUE"""),3.0)</f>
        <v>3</v>
      </c>
      <c r="M769" s="3" t="str">
        <f>IFERROR(__xludf.DUMMYFUNCTION("""COMPUTED_VALUE"""),"นอ.หญิง.ผศ.นิตยา สุขแสน")</f>
        <v>นอ.หญิง.ผศ.นิตยา สุขแสน</v>
      </c>
      <c r="N769" s="14" t="str">
        <f>IFERROR(__xludf.DUMMYFUNCTION("""COMPUTED_VALUE"""),"https://lh5.googleusercontent.com/d/15Ok1FzzN0rGETWdq0yfQP8gmRszaiRjN")</f>
        <v>https://lh5.googleusercontent.com/d/15Ok1FzzN0rGETWdq0yfQP8gmRszaiRjN</v>
      </c>
      <c r="O769" s="14" t="str">
        <f>IFERROR(__xludf.DUMMYFUNCTION("""COMPUTED_VALUE"""),"https://drive.google.com/file/d/1pCD4XyZ8d0tXD2ap-D1-DSqDxDhbLEfG/view?usp=drivesdk")</f>
        <v>https://drive.google.com/file/d/1pCD4XyZ8d0tXD2ap-D1-DSqDxDhbLEfG/view?usp=drivesdk</v>
      </c>
    </row>
    <row r="770">
      <c r="A770" s="3">
        <f>IFERROR(__xludf.DUMMYFUNCTION("""COMPUTED_VALUE"""),3282.0)</f>
        <v>3282</v>
      </c>
      <c r="B770" s="11">
        <f>IFERROR(__xludf.DUMMYFUNCTION("""COMPUTED_VALUE"""),46181.37497096065)</f>
        <v>46181.37497</v>
      </c>
      <c r="C770" s="3" t="str">
        <f>IFERROR(__xludf.DUMMYFUNCTION("""COMPUTED_VALUE"""),"ชั้นปีที่ 2")</f>
        <v>ชั้นปีที่ 2</v>
      </c>
      <c r="D770" s="3" t="str">
        <f>IFERROR(__xludf.DUMMYFUNCTION("""COMPUTED_VALUE"""),"6703861")</f>
        <v>6703861</v>
      </c>
      <c r="E770" s="3" t="str">
        <f>IFERROR(__xludf.DUMMYFUNCTION("""COMPUTED_VALUE"""),"42")</f>
        <v>42</v>
      </c>
      <c r="F770" s="3" t="str">
        <f>IFERROR(__xludf.DUMMYFUNCTION("""COMPUTED_VALUE"""),"นพอ.เพ็ญพิชชา จันทระพงษ์")</f>
        <v>นพอ.เพ็ญพิชชา จันทระพงษ์</v>
      </c>
      <c r="G770" s="3" t="str">
        <f>IFERROR(__xludf.DUMMYFUNCTION("""COMPUTED_VALUE"""),"ช่วยเหลืองานภายใน วพอ.")</f>
        <v>ช่วยเหลืองานภายใน วพอ.</v>
      </c>
      <c r="H770" s="3" t="str">
        <f>IFERROR(__xludf.DUMMYFUNCTION("""COMPUTED_VALUE"""),"ซ้อมเต้นเพลง ฉันมีความสุข")</f>
        <v>ซ้อมเต้นเพลง ฉันมีความสุข</v>
      </c>
      <c r="I770" s="3" t="str">
        <f>IFERROR(__xludf.DUMMYFUNCTION("""COMPUTED_VALUE"""),"วพอ.พอ.")</f>
        <v>วพอ.พอ.</v>
      </c>
      <c r="J770" s="12">
        <f>IFERROR(__xludf.DUMMYFUNCTION("""COMPUTED_VALUE"""),46178.0)</f>
        <v>46178</v>
      </c>
      <c r="K770" s="3" t="str">
        <f>IFERROR(__xludf.DUMMYFUNCTION("""COMPUTED_VALUE"""),"1400-1500")</f>
        <v>1400-1500</v>
      </c>
      <c r="L770" s="3">
        <f>IFERROR(__xludf.DUMMYFUNCTION("""COMPUTED_VALUE"""),1.0)</f>
        <v>1</v>
      </c>
      <c r="M770" s="3" t="str">
        <f>IFERROR(__xludf.DUMMYFUNCTION("""COMPUTED_VALUE"""),"ร.อ.หญิง เบญญาดา บุรีรัตน์")</f>
        <v>ร.อ.หญิง เบญญาดา บุรีรัตน์</v>
      </c>
      <c r="N770" s="14" t="str">
        <f>IFERROR(__xludf.DUMMYFUNCTION("""COMPUTED_VALUE"""),"https://lh5.googleusercontent.com/d/1agqO4t7nsPDoaw7ssLkNOU5HBJu9Wu3D")</f>
        <v>https://lh5.googleusercontent.com/d/1agqO4t7nsPDoaw7ssLkNOU5HBJu9Wu3D</v>
      </c>
      <c r="O770" s="14" t="str">
        <f>IFERROR(__xludf.DUMMYFUNCTION("""COMPUTED_VALUE"""),"https://drive.google.com/file/d/1qPBVX6BDakCoKokRUPh6oqRkXTiQa1j6/view?usp=drivesdk")</f>
        <v>https://drive.google.com/file/d/1qPBVX6BDakCoKokRUPh6oqRkXTiQa1j6/view?usp=drivesdk</v>
      </c>
    </row>
    <row r="771">
      <c r="A771" s="3">
        <f>IFERROR(__xludf.DUMMYFUNCTION("""COMPUTED_VALUE"""),3283.0)</f>
        <v>3283</v>
      </c>
      <c r="B771" s="11">
        <f>IFERROR(__xludf.DUMMYFUNCTION("""COMPUTED_VALUE"""),46181.37523065972)</f>
        <v>46181.37523</v>
      </c>
      <c r="C771" s="3" t="str">
        <f>IFERROR(__xludf.DUMMYFUNCTION("""COMPUTED_VALUE"""),"ชั้นปีที่ 2")</f>
        <v>ชั้นปีที่ 2</v>
      </c>
      <c r="D771" s="3" t="str">
        <f>IFERROR(__xludf.DUMMYFUNCTION("""COMPUTED_VALUE"""),"6703819")</f>
        <v>6703819</v>
      </c>
      <c r="E771" s="3" t="str">
        <f>IFERROR(__xludf.DUMMYFUNCTION("""COMPUTED_VALUE"""),"2")</f>
        <v>2</v>
      </c>
      <c r="F771" s="3" t="str">
        <f>IFERROR(__xludf.DUMMYFUNCTION("""COMPUTED_VALUE"""),"นพอ.กรณิศ เกษแก้ว")</f>
        <v>นพอ.กรณิศ เกษแก้ว</v>
      </c>
      <c r="G771" s="3" t="str">
        <f>IFERROR(__xludf.DUMMYFUNCTION("""COMPUTED_VALUE"""),"ช่วยเหลืองานภายใน วพอ.")</f>
        <v>ช่วยเหลืองานภายใน วพอ.</v>
      </c>
      <c r="H771" s="3" t="str">
        <f>IFERROR(__xludf.DUMMYFUNCTION("""COMPUTED_VALUE"""),"ซ้อมเต้นเพลง ฉันมีความสุข")</f>
        <v>ซ้อมเต้นเพลง ฉันมีความสุข</v>
      </c>
      <c r="I771" s="3" t="str">
        <f>IFERROR(__xludf.DUMMYFUNCTION("""COMPUTED_VALUE"""),"วพอ.พอ.")</f>
        <v>วพอ.พอ.</v>
      </c>
      <c r="J771" s="12">
        <f>IFERROR(__xludf.DUMMYFUNCTION("""COMPUTED_VALUE"""),46180.0)</f>
        <v>46180</v>
      </c>
      <c r="K771" s="3" t="str">
        <f>IFERROR(__xludf.DUMMYFUNCTION("""COMPUTED_VALUE"""),"1800-1900")</f>
        <v>1800-1900</v>
      </c>
      <c r="L771" s="3">
        <f>IFERROR(__xludf.DUMMYFUNCTION("""COMPUTED_VALUE"""),1.0)</f>
        <v>1</v>
      </c>
      <c r="M771" s="3" t="str">
        <f>IFERROR(__xludf.DUMMYFUNCTION("""COMPUTED_VALUE"""),"ร.อ.หญิง เบญญาดา บุรีรัตน์")</f>
        <v>ร.อ.หญิง เบญญาดา บุรีรัตน์</v>
      </c>
      <c r="N771" s="14" t="str">
        <f>IFERROR(__xludf.DUMMYFUNCTION("""COMPUTED_VALUE"""),"https://lh5.googleusercontent.com/d/1EkViikp8qnOhy2fCbMSYQznN4wzkZ5dq")</f>
        <v>https://lh5.googleusercontent.com/d/1EkViikp8qnOhy2fCbMSYQznN4wzkZ5dq</v>
      </c>
      <c r="O771" s="14" t="str">
        <f>IFERROR(__xludf.DUMMYFUNCTION("""COMPUTED_VALUE"""),"https://drive.google.com/file/d/1t8sGVXmZeneys-IjXChFnyf4KVeDsNIT/view?usp=drivesdk")</f>
        <v>https://drive.google.com/file/d/1t8sGVXmZeneys-IjXChFnyf4KVeDsNIT/view?usp=drivesdk</v>
      </c>
    </row>
    <row r="772">
      <c r="A772" s="3">
        <f>IFERROR(__xludf.DUMMYFUNCTION("""COMPUTED_VALUE"""),3284.0)</f>
        <v>3284</v>
      </c>
      <c r="B772" s="11">
        <f>IFERROR(__xludf.DUMMYFUNCTION("""COMPUTED_VALUE"""),46181.37640127315)</f>
        <v>46181.3764</v>
      </c>
      <c r="C772" s="3" t="str">
        <f>IFERROR(__xludf.DUMMYFUNCTION("""COMPUTED_VALUE"""),"ชั้นปีที่ 2")</f>
        <v>ชั้นปีที่ 2</v>
      </c>
      <c r="D772" s="3" t="str">
        <f>IFERROR(__xludf.DUMMYFUNCTION("""COMPUTED_VALUE"""),"6703860")</f>
        <v>6703860</v>
      </c>
      <c r="E772" s="3" t="str">
        <f>IFERROR(__xludf.DUMMYFUNCTION("""COMPUTED_VALUE"""),"41")</f>
        <v>41</v>
      </c>
      <c r="F772" s="3" t="str">
        <f>IFERROR(__xludf.DUMMYFUNCTION("""COMPUTED_VALUE"""),"นพอ.พิมพ์มาดา วงศาโรจน์")</f>
        <v>นพอ.พิมพ์มาดา วงศาโรจน์</v>
      </c>
      <c r="G7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2" s="3" t="str">
        <f>IFERROR(__xludf.DUMMYFUNCTION("""COMPUTED_VALUE"""),"เข้าร่วมงานวันเด็กแห่งชาติ")</f>
        <v>เข้าร่วมงานวันเด็กแห่งชาติ</v>
      </c>
      <c r="I772" s="3" t="str">
        <f>IFERROR(__xludf.DUMMYFUNCTION("""COMPUTED_VALUE"""),"กองบิน 6")</f>
        <v>กองบิน 6</v>
      </c>
      <c r="J772" s="12">
        <f>IFERROR(__xludf.DUMMYFUNCTION("""COMPUTED_VALUE"""),46032.0)</f>
        <v>46032</v>
      </c>
      <c r="K772" s="3" t="str">
        <f>IFERROR(__xludf.DUMMYFUNCTION("""COMPUTED_VALUE"""),"0600-1400")</f>
        <v>0600-1400</v>
      </c>
      <c r="L772" s="3">
        <f>IFERROR(__xludf.DUMMYFUNCTION("""COMPUTED_VALUE"""),8.0)</f>
        <v>8</v>
      </c>
      <c r="M77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72" s="14" t="str">
        <f>IFERROR(__xludf.DUMMYFUNCTION("""COMPUTED_VALUE"""),"https://lh5.googleusercontent.com/d/1Ls95WRccRWnvhy9TSib3vGqws2pvt0lS")</f>
        <v>https://lh5.googleusercontent.com/d/1Ls95WRccRWnvhy9TSib3vGqws2pvt0lS</v>
      </c>
      <c r="O772" s="14" t="str">
        <f>IFERROR(__xludf.DUMMYFUNCTION("""COMPUTED_VALUE"""),"https://drive.google.com/file/d/1jqFpby85v0oExX5zTBCBeKrtS6g0_byw/view?usp=drivesdk")</f>
        <v>https://drive.google.com/file/d/1jqFpby85v0oExX5zTBCBeKrtS6g0_byw/view?usp=drivesdk</v>
      </c>
    </row>
    <row r="773">
      <c r="A773" s="3">
        <f>IFERROR(__xludf.DUMMYFUNCTION("""COMPUTED_VALUE"""),3285.0)</f>
        <v>3285</v>
      </c>
      <c r="B773" s="11">
        <f>IFERROR(__xludf.DUMMYFUNCTION("""COMPUTED_VALUE"""),46181.37641460648)</f>
        <v>46181.37641</v>
      </c>
      <c r="C773" s="3" t="str">
        <f>IFERROR(__xludf.DUMMYFUNCTION("""COMPUTED_VALUE"""),"ชั้นปีที่ 2")</f>
        <v>ชั้นปีที่ 2</v>
      </c>
      <c r="D773" s="3" t="str">
        <f>IFERROR(__xludf.DUMMYFUNCTION("""COMPUTED_VALUE"""),"6703819")</f>
        <v>6703819</v>
      </c>
      <c r="E773" s="3" t="str">
        <f>IFERROR(__xludf.DUMMYFUNCTION("""COMPUTED_VALUE"""),"2")</f>
        <v>2</v>
      </c>
      <c r="F773" s="3" t="str">
        <f>IFERROR(__xludf.DUMMYFUNCTION("""COMPUTED_VALUE"""),"นพอ.กรณิศ เกษแก้ว")</f>
        <v>นพอ.กรณิศ เกษแก้ว</v>
      </c>
      <c r="G773" s="3" t="str">
        <f>IFERROR(__xludf.DUMMYFUNCTION("""COMPUTED_VALUE"""),"ช่วยเหลืองานภายใน วพอ.")</f>
        <v>ช่วยเหลืองานภายใน วพอ.</v>
      </c>
      <c r="H773" s="3" t="str">
        <f>IFERROR(__xludf.DUMMYFUNCTION("""COMPUTED_VALUE"""),"ปรับปรุงทัศนียภาพใน วพอ.พอ.")</f>
        <v>ปรับปรุงทัศนียภาพใน วพอ.พอ.</v>
      </c>
      <c r="I773" s="3" t="str">
        <f>IFERROR(__xludf.DUMMYFUNCTION("""COMPUTED_VALUE"""),"วพอ.พอ.")</f>
        <v>วพอ.พอ.</v>
      </c>
      <c r="J773" s="12">
        <f>IFERROR(__xludf.DUMMYFUNCTION("""COMPUTED_VALUE"""),46177.0)</f>
        <v>46177</v>
      </c>
      <c r="K773" s="3" t="str">
        <f>IFERROR(__xludf.DUMMYFUNCTION("""COMPUTED_VALUE"""),"1430-1730")</f>
        <v>1430-1730</v>
      </c>
      <c r="L773" s="3">
        <f>IFERROR(__xludf.DUMMYFUNCTION("""COMPUTED_VALUE"""),3.0)</f>
        <v>3</v>
      </c>
      <c r="M773" s="3" t="str">
        <f>IFERROR(__xludf.DUMMYFUNCTION("""COMPUTED_VALUE"""),"น.อ.หญิง ผศ.นิตยา สุขแสวง")</f>
        <v>น.อ.หญิง ผศ.นิตยา สุขแสวง</v>
      </c>
      <c r="N773" s="14" t="str">
        <f>IFERROR(__xludf.DUMMYFUNCTION("""COMPUTED_VALUE"""),"https://lh5.googleusercontent.com/d/1znQs38TiTeDAfax_MZu3EVV2vi0QlHX-")</f>
        <v>https://lh5.googleusercontent.com/d/1znQs38TiTeDAfax_MZu3EVV2vi0QlHX-</v>
      </c>
      <c r="O773" s="14" t="str">
        <f>IFERROR(__xludf.DUMMYFUNCTION("""COMPUTED_VALUE"""),"https://drive.google.com/file/d/1E3dGQR_jQkRF9aF43nKZp6KFAOuNb4LV/view?usp=drivesdk")</f>
        <v>https://drive.google.com/file/d/1E3dGQR_jQkRF9aF43nKZp6KFAOuNb4LV/view?usp=drivesdk</v>
      </c>
    </row>
    <row r="774">
      <c r="A774" s="3">
        <f>IFERROR(__xludf.DUMMYFUNCTION("""COMPUTED_VALUE"""),3286.0)</f>
        <v>3286</v>
      </c>
      <c r="B774" s="11">
        <f>IFERROR(__xludf.DUMMYFUNCTION("""COMPUTED_VALUE"""),46181.37713947917)</f>
        <v>46181.37714</v>
      </c>
      <c r="C774" s="3" t="str">
        <f>IFERROR(__xludf.DUMMYFUNCTION("""COMPUTED_VALUE"""),"ชั้นปีที่ 2")</f>
        <v>ชั้นปีที่ 2</v>
      </c>
      <c r="D774" s="3" t="str">
        <f>IFERROR(__xludf.DUMMYFUNCTION("""COMPUTED_VALUE"""),"6703828")</f>
        <v>6703828</v>
      </c>
      <c r="E774" s="3" t="str">
        <f>IFERROR(__xludf.DUMMYFUNCTION("""COMPUTED_VALUE"""),"11")</f>
        <v>11</v>
      </c>
      <c r="F774" s="3" t="str">
        <f>IFERROR(__xludf.DUMMYFUNCTION("""COMPUTED_VALUE"""),"นพอ.ชวพร โมลานิล")</f>
        <v>นพอ.ชวพร โมลานิล</v>
      </c>
      <c r="G77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4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74" s="3" t="str">
        <f>IFERROR(__xludf.DUMMYFUNCTION("""COMPUTED_VALUE"""),"สนามธูปะเตมีย์")</f>
        <v>สนามธูปะเตมีย์</v>
      </c>
      <c r="J774" s="12">
        <f>IFERROR(__xludf.DUMMYFUNCTION("""COMPUTED_VALUE"""),46078.0)</f>
        <v>46078</v>
      </c>
      <c r="K774" s="3" t="str">
        <f>IFERROR(__xludf.DUMMYFUNCTION("""COMPUTED_VALUE"""),"1200-2000")</f>
        <v>1200-2000</v>
      </c>
      <c r="L774" s="3">
        <f>IFERROR(__xludf.DUMMYFUNCTION("""COMPUTED_VALUE"""),8.0)</f>
        <v>8</v>
      </c>
      <c r="M77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74" s="14" t="str">
        <f>IFERROR(__xludf.DUMMYFUNCTION("""COMPUTED_VALUE"""),"https://lh5.googleusercontent.com/d/1ahQGXr2ht744WEFCAfKd1ZyhWMz9cAvO")</f>
        <v>https://lh5.googleusercontent.com/d/1ahQGXr2ht744WEFCAfKd1ZyhWMz9cAvO</v>
      </c>
      <c r="O774" s="14" t="str">
        <f>IFERROR(__xludf.DUMMYFUNCTION("""COMPUTED_VALUE"""),"https://drive.google.com/file/d/1aUEb7gDbCwo-MckvT2e6XU6qntF3iKuz/view?usp=drivesdk")</f>
        <v>https://drive.google.com/file/d/1aUEb7gDbCwo-MckvT2e6XU6qntF3iKuz/view?usp=drivesdk</v>
      </c>
    </row>
    <row r="775">
      <c r="A775" s="3">
        <f>IFERROR(__xludf.DUMMYFUNCTION("""COMPUTED_VALUE"""),3288.0)</f>
        <v>3288</v>
      </c>
      <c r="B775" s="11">
        <f>IFERROR(__xludf.DUMMYFUNCTION("""COMPUTED_VALUE"""),46181.38023376158)</f>
        <v>46181.38023</v>
      </c>
      <c r="C775" s="3" t="str">
        <f>IFERROR(__xludf.DUMMYFUNCTION("""COMPUTED_VALUE"""),"ชั้นปีที่ 2")</f>
        <v>ชั้นปีที่ 2</v>
      </c>
      <c r="D775" s="3" t="str">
        <f>IFERROR(__xludf.DUMMYFUNCTION("""COMPUTED_VALUE"""),"6703828")</f>
        <v>6703828</v>
      </c>
      <c r="E775" s="3" t="str">
        <f>IFERROR(__xludf.DUMMYFUNCTION("""COMPUTED_VALUE"""),"11")</f>
        <v>11</v>
      </c>
      <c r="F775" s="3" t="str">
        <f>IFERROR(__xludf.DUMMYFUNCTION("""COMPUTED_VALUE"""),"นพอ.ชวพร โมลานิล")</f>
        <v>นพอ.ชวพร โมลานิล</v>
      </c>
      <c r="G7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5" s="3" t="str">
        <f>IFERROR(__xludf.DUMMYFUNCTION("""COMPUTED_VALUE"""),"เข้าร่วมงานวันเด็กแห่งชาติ 2569")</f>
        <v>เข้าร่วมงานวันเด็กแห่งชาติ 2569</v>
      </c>
      <c r="I775" s="3" t="str">
        <f>IFERROR(__xludf.DUMMYFUNCTION("""COMPUTED_VALUE"""),"พิพิธภัณฑ์กองทัพอากาศ")</f>
        <v>พิพิธภัณฑ์กองทัพอากาศ</v>
      </c>
      <c r="J775" s="12">
        <f>IFERROR(__xludf.DUMMYFUNCTION("""COMPUTED_VALUE"""),46032.0)</f>
        <v>46032</v>
      </c>
      <c r="K775" s="3" t="str">
        <f>IFERROR(__xludf.DUMMYFUNCTION("""COMPUTED_VALUE"""),"0600-1400")</f>
        <v>0600-1400</v>
      </c>
      <c r="L775" s="3">
        <f>IFERROR(__xludf.DUMMYFUNCTION("""COMPUTED_VALUE"""),8.0)</f>
        <v>8</v>
      </c>
      <c r="M77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75" s="14" t="str">
        <f>IFERROR(__xludf.DUMMYFUNCTION("""COMPUTED_VALUE"""),"https://lh5.googleusercontent.com/d/1GFBOhOLJJ7odtKm8N1McXsg6Ox0q8MHJ")</f>
        <v>https://lh5.googleusercontent.com/d/1GFBOhOLJJ7odtKm8N1McXsg6Ox0q8MHJ</v>
      </c>
      <c r="O775" s="14" t="str">
        <f>IFERROR(__xludf.DUMMYFUNCTION("""COMPUTED_VALUE"""),"https://drive.google.com/file/d/1yFjk0iYcU-TE2sK4gUe819n5sqygQwag/view?usp=drivesdk")</f>
        <v>https://drive.google.com/file/d/1yFjk0iYcU-TE2sK4gUe819n5sqygQwag/view?usp=drivesdk</v>
      </c>
    </row>
    <row r="776">
      <c r="A776" s="3">
        <f>IFERROR(__xludf.DUMMYFUNCTION("""COMPUTED_VALUE"""),3289.0)</f>
        <v>3289</v>
      </c>
      <c r="B776" s="11">
        <f>IFERROR(__xludf.DUMMYFUNCTION("""COMPUTED_VALUE"""),46181.38048127315)</f>
        <v>46181.38048</v>
      </c>
      <c r="C776" s="3" t="str">
        <f>IFERROR(__xludf.DUMMYFUNCTION("""COMPUTED_VALUE"""),"ชั้นปีที่ 2")</f>
        <v>ชั้นปีที่ 2</v>
      </c>
      <c r="D776" s="3" t="str">
        <f>IFERROR(__xludf.DUMMYFUNCTION("""COMPUTED_VALUE"""),"6703860")</f>
        <v>6703860</v>
      </c>
      <c r="E776" s="3" t="str">
        <f>IFERROR(__xludf.DUMMYFUNCTION("""COMPUTED_VALUE"""),"41")</f>
        <v>41</v>
      </c>
      <c r="F776" s="3" t="str">
        <f>IFERROR(__xludf.DUMMYFUNCTION("""COMPUTED_VALUE"""),"นพอ.พิมพ์มาดา วงศาโรจน์")</f>
        <v>นพอ.พิมพ์มาดา วงศาโรจน์</v>
      </c>
      <c r="G77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7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76" s="3" t="str">
        <f>IFERROR(__xludf.DUMMYFUNCTION("""COMPUTED_VALUE"""),"สนามกีฬาธูปะเตมีย์")</f>
        <v>สนามกีฬาธูปะเตมีย์</v>
      </c>
      <c r="J776" s="12">
        <f>IFERROR(__xludf.DUMMYFUNCTION("""COMPUTED_VALUE"""),46078.0)</f>
        <v>46078</v>
      </c>
      <c r="K776" s="3" t="str">
        <f>IFERROR(__xludf.DUMMYFUNCTION("""COMPUTED_VALUE"""),"1200-2000")</f>
        <v>1200-2000</v>
      </c>
      <c r="L776" s="3">
        <f>IFERROR(__xludf.DUMMYFUNCTION("""COMPUTED_VALUE"""),8.0)</f>
        <v>8</v>
      </c>
      <c r="M776" s="3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776" s="14" t="str">
        <f>IFERROR(__xludf.DUMMYFUNCTION("""COMPUTED_VALUE"""),"https://lh5.googleusercontent.com/d/1xwH3F8xagsCv3e6HO7We6kDYcc6HR1Mj")</f>
        <v>https://lh5.googleusercontent.com/d/1xwH3F8xagsCv3e6HO7We6kDYcc6HR1Mj</v>
      </c>
      <c r="O776" s="14" t="str">
        <f>IFERROR(__xludf.DUMMYFUNCTION("""COMPUTED_VALUE"""),"https://drive.google.com/file/d/1CCCFNjLBgsDAIVbiLYD4zjZkkWgpzttZ/view?usp=drivesdk")</f>
        <v>https://drive.google.com/file/d/1CCCFNjLBgsDAIVbiLYD4zjZkkWgpzttZ/view?usp=drivesdk</v>
      </c>
    </row>
    <row r="777">
      <c r="A777" s="3">
        <f>IFERROR(__xludf.DUMMYFUNCTION("""COMPUTED_VALUE"""),3290.0)</f>
        <v>3290</v>
      </c>
      <c r="B777" s="11">
        <f>IFERROR(__xludf.DUMMYFUNCTION("""COMPUTED_VALUE"""),46181.3807075463)</f>
        <v>46181.38071</v>
      </c>
      <c r="C777" s="3" t="str">
        <f>IFERROR(__xludf.DUMMYFUNCTION("""COMPUTED_VALUE"""),"ชั้นปีที่ 2")</f>
        <v>ชั้นปีที่ 2</v>
      </c>
      <c r="D777" s="3" t="str">
        <f>IFERROR(__xludf.DUMMYFUNCTION("""COMPUTED_VALUE"""),"6703822")</f>
        <v>6703822</v>
      </c>
      <c r="E777" s="3" t="str">
        <f>IFERROR(__xludf.DUMMYFUNCTION("""COMPUTED_VALUE"""),"5")</f>
        <v>5</v>
      </c>
      <c r="F777" s="3" t="str">
        <f>IFERROR(__xludf.DUMMYFUNCTION("""COMPUTED_VALUE"""),"นพอ.กัณยวัลย์ เทียนบัญญัติ")</f>
        <v>นพอ.กัณยวัลย์ เทียนบัญญัติ</v>
      </c>
      <c r="G777" s="3" t="str">
        <f>IFERROR(__xludf.DUMMYFUNCTION("""COMPUTED_VALUE"""),"ช่วยเหลืองานภายใน วพอ.")</f>
        <v>ช่วยเหลืองานภายใน วพอ.</v>
      </c>
      <c r="H777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77" s="3" t="str">
        <f>IFERROR(__xludf.DUMMYFUNCTION("""COMPUTED_VALUE"""),"วพอ.พอ.")</f>
        <v>วพอ.พอ.</v>
      </c>
      <c r="J777" s="12">
        <f>IFERROR(__xludf.DUMMYFUNCTION("""COMPUTED_VALUE"""),46114.0)</f>
        <v>46114</v>
      </c>
      <c r="K777" s="3" t="str">
        <f>IFERROR(__xludf.DUMMYFUNCTION("""COMPUTED_VALUE"""),"1800-2000")</f>
        <v>1800-2000</v>
      </c>
      <c r="L777" s="3">
        <f>IFERROR(__xludf.DUMMYFUNCTION("""COMPUTED_VALUE"""),2.0)</f>
        <v>2</v>
      </c>
      <c r="M777" s="3" t="str">
        <f>IFERROR(__xludf.DUMMYFUNCTION("""COMPUTED_VALUE""")," ร.อ.หญิง ขนัฏฐา นาดี")</f>
        <v> ร.อ.หญิง ขนัฏฐา นาดี</v>
      </c>
      <c r="N777" s="14" t="str">
        <f>IFERROR(__xludf.DUMMYFUNCTION("""COMPUTED_VALUE"""),"https://lh5.googleusercontent.com/d/1TRQE7cwKzag2xo-p3hegcSY7vjwy63Qp")</f>
        <v>https://lh5.googleusercontent.com/d/1TRQE7cwKzag2xo-p3hegcSY7vjwy63Qp</v>
      </c>
      <c r="O777" s="14" t="str">
        <f>IFERROR(__xludf.DUMMYFUNCTION("""COMPUTED_VALUE"""),"https://drive.google.com/file/d/1PHBRQyPammGSXG4097MbAkJjT28DYEJK/view?usp=drivesdk")</f>
        <v>https://drive.google.com/file/d/1PHBRQyPammGSXG4097MbAkJjT28DYEJK/view?usp=drivesdk</v>
      </c>
    </row>
    <row r="778">
      <c r="A778" s="3">
        <f>IFERROR(__xludf.DUMMYFUNCTION("""COMPUTED_VALUE"""),3291.0)</f>
        <v>3291</v>
      </c>
      <c r="B778" s="11">
        <f>IFERROR(__xludf.DUMMYFUNCTION("""COMPUTED_VALUE"""),46181.38212403935)</f>
        <v>46181.38212</v>
      </c>
      <c r="C778" s="3" t="str">
        <f>IFERROR(__xludf.DUMMYFUNCTION("""COMPUTED_VALUE"""),"ชั้นปีที่ 2")</f>
        <v>ชั้นปีที่ 2</v>
      </c>
      <c r="D778" s="3" t="str">
        <f>IFERROR(__xludf.DUMMYFUNCTION("""COMPUTED_VALUE"""),"6703822")</f>
        <v>6703822</v>
      </c>
      <c r="E778" s="3" t="str">
        <f>IFERROR(__xludf.DUMMYFUNCTION("""COMPUTED_VALUE"""),"5")</f>
        <v>5</v>
      </c>
      <c r="F778" s="3" t="str">
        <f>IFERROR(__xludf.DUMMYFUNCTION("""COMPUTED_VALUE"""),"นพอ.กัณยวัลย์ เทียนบัญญัติ")</f>
        <v>นพอ.กัณยวัลย์ เทียนบัญญัติ</v>
      </c>
      <c r="G778" s="3" t="str">
        <f>IFERROR(__xludf.DUMMYFUNCTION("""COMPUTED_VALUE"""),"ช่วยเหลืองานภายใน วพอ.")</f>
        <v>ช่วยเหลืองานภายใน วพอ.</v>
      </c>
      <c r="H778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78" s="3" t="str">
        <f>IFERROR(__xludf.DUMMYFUNCTION("""COMPUTED_VALUE"""),"วพอ.พอ.")</f>
        <v>วพอ.พอ.</v>
      </c>
      <c r="J778" s="12">
        <f>IFERROR(__xludf.DUMMYFUNCTION("""COMPUTED_VALUE"""),46120.0)</f>
        <v>46120</v>
      </c>
      <c r="K778" s="3" t="str">
        <f>IFERROR(__xludf.DUMMYFUNCTION("""COMPUTED_VALUE"""),"1800-2000")</f>
        <v>1800-2000</v>
      </c>
      <c r="L778" s="3">
        <f>IFERROR(__xludf.DUMMYFUNCTION("""COMPUTED_VALUE"""),2.0)</f>
        <v>2</v>
      </c>
      <c r="M778" s="3" t="str">
        <f>IFERROR(__xludf.DUMMYFUNCTION("""COMPUTED_VALUE"""),"ร.อ.หญิง ขนัฏฐา นาดี")</f>
        <v>ร.อ.หญิง ขนัฏฐา นาดี</v>
      </c>
      <c r="N778" s="14" t="str">
        <f>IFERROR(__xludf.DUMMYFUNCTION("""COMPUTED_VALUE"""),"https://lh5.googleusercontent.com/d/1yUkoQf6eOGH19vhCX3kvnf0w2G1atz1T")</f>
        <v>https://lh5.googleusercontent.com/d/1yUkoQf6eOGH19vhCX3kvnf0w2G1atz1T</v>
      </c>
      <c r="O778" s="14" t="str">
        <f>IFERROR(__xludf.DUMMYFUNCTION("""COMPUTED_VALUE"""),"https://drive.google.com/file/d/1aU2497CLzl_3WcmKUMVp8awnu5fcR1g5/view?usp=drivesdk")</f>
        <v>https://drive.google.com/file/d/1aU2497CLzl_3WcmKUMVp8awnu5fcR1g5/view?usp=drivesdk</v>
      </c>
    </row>
    <row r="779">
      <c r="A779" s="3">
        <f>IFERROR(__xludf.DUMMYFUNCTION("""COMPUTED_VALUE"""),3292.0)</f>
        <v>3292</v>
      </c>
      <c r="B779" s="11">
        <f>IFERROR(__xludf.DUMMYFUNCTION("""COMPUTED_VALUE"""),46181.38254291667)</f>
        <v>46181.38254</v>
      </c>
      <c r="C779" s="3" t="str">
        <f>IFERROR(__xludf.DUMMYFUNCTION("""COMPUTED_VALUE"""),"ชั้นปีที่ 2")</f>
        <v>ชั้นปีที่ 2</v>
      </c>
      <c r="D779" s="3" t="str">
        <f>IFERROR(__xludf.DUMMYFUNCTION("""COMPUTED_VALUE"""),"6703819")</f>
        <v>6703819</v>
      </c>
      <c r="E779" s="3" t="str">
        <f>IFERROR(__xludf.DUMMYFUNCTION("""COMPUTED_VALUE"""),"2")</f>
        <v>2</v>
      </c>
      <c r="F779" s="3" t="str">
        <f>IFERROR(__xludf.DUMMYFUNCTION("""COMPUTED_VALUE"""),"นพอ.กรณิศ เกษแก้ว")</f>
        <v>นพอ.กรณิศ เกษแก้ว</v>
      </c>
      <c r="G779" s="3" t="str">
        <f>IFERROR(__xludf.DUMMYFUNCTION("""COMPUTED_VALUE"""),"ช่วยเหลืองานภายใน วพอ.")</f>
        <v>ช่วยเหลืองานภายใน วพอ.</v>
      </c>
      <c r="H779" s="3" t="str">
        <f>IFERROR(__xludf.DUMMYFUNCTION("""COMPUTED_VALUE"""),"ซ้อมเต้นเพลง ฉันมีความสุข")</f>
        <v>ซ้อมเต้นเพลง ฉันมีความสุข</v>
      </c>
      <c r="I779" s="3" t="str">
        <f>IFERROR(__xludf.DUMMYFUNCTION("""COMPUTED_VALUE"""),"วพอ.พอ.")</f>
        <v>วพอ.พอ.</v>
      </c>
      <c r="J779" s="12">
        <f>IFERROR(__xludf.DUMMYFUNCTION("""COMPUTED_VALUE"""),46176.0)</f>
        <v>46176</v>
      </c>
      <c r="K779" s="3" t="str">
        <f>IFERROR(__xludf.DUMMYFUNCTION("""COMPUTED_VALUE"""),"1800-1900")</f>
        <v>1800-1900</v>
      </c>
      <c r="L779" s="3">
        <f>IFERROR(__xludf.DUMMYFUNCTION("""COMPUTED_VALUE"""),1.0)</f>
        <v>1</v>
      </c>
      <c r="M779" s="3" t="str">
        <f>IFERROR(__xludf.DUMMYFUNCTION("""COMPUTED_VALUE"""),"ร.อ.หญิง เบญญาดา บุรีรัตน์")</f>
        <v>ร.อ.หญิง เบญญาดา บุรีรัตน์</v>
      </c>
      <c r="N779" s="14" t="str">
        <f>IFERROR(__xludf.DUMMYFUNCTION("""COMPUTED_VALUE"""),"https://lh5.googleusercontent.com/d/1KLbZ-HKnq7JJSva8n-5ghQzNp_KAK3zY")</f>
        <v>https://lh5.googleusercontent.com/d/1KLbZ-HKnq7JJSva8n-5ghQzNp_KAK3zY</v>
      </c>
      <c r="O779" s="14" t="str">
        <f>IFERROR(__xludf.DUMMYFUNCTION("""COMPUTED_VALUE"""),"https://drive.google.com/file/d/1jS7ft5J8SuTqGd9KvWYexnKTJVw5vroL/view?usp=drivesdk")</f>
        <v>https://drive.google.com/file/d/1jS7ft5J8SuTqGd9KvWYexnKTJVw5vroL/view?usp=drivesdk</v>
      </c>
    </row>
    <row r="780">
      <c r="A780" s="3">
        <f>IFERROR(__xludf.DUMMYFUNCTION("""COMPUTED_VALUE"""),3293.0)</f>
        <v>3293</v>
      </c>
      <c r="B780" s="11">
        <f>IFERROR(__xludf.DUMMYFUNCTION("""COMPUTED_VALUE"""),46181.38289778935)</f>
        <v>46181.3829</v>
      </c>
      <c r="C780" s="3" t="str">
        <f>IFERROR(__xludf.DUMMYFUNCTION("""COMPUTED_VALUE"""),"ชั้นปีที่ 2")</f>
        <v>ชั้นปีที่ 2</v>
      </c>
      <c r="D780" s="3" t="str">
        <f>IFERROR(__xludf.DUMMYFUNCTION("""COMPUTED_VALUE"""),"6703818")</f>
        <v>6703818</v>
      </c>
      <c r="E780" s="3" t="str">
        <f>IFERROR(__xludf.DUMMYFUNCTION("""COMPUTED_VALUE"""),"1")</f>
        <v>1</v>
      </c>
      <c r="F780" s="3" t="str">
        <f>IFERROR(__xludf.DUMMYFUNCTION("""COMPUTED_VALUE"""),"นพอ.กนกวรรณ จิณเสน")</f>
        <v>นพอ.กนกวรรณ จิณเสน</v>
      </c>
      <c r="G7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80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780" s="3" t="str">
        <f>IFERROR(__xludf.DUMMYFUNCTION("""COMPUTED_VALUE"""),"อาคารรณนภากาศ")</f>
        <v>อาคารรณนภากาศ</v>
      </c>
      <c r="J780" s="12">
        <f>IFERROR(__xludf.DUMMYFUNCTION("""COMPUTED_VALUE"""),46115.0)</f>
        <v>46115</v>
      </c>
      <c r="K780" s="3" t="str">
        <f>IFERROR(__xludf.DUMMYFUNCTION("""COMPUTED_VALUE"""),"1500-1800")</f>
        <v>1500-1800</v>
      </c>
      <c r="L780" s="3">
        <f>IFERROR(__xludf.DUMMYFUNCTION("""COMPUTED_VALUE"""),3.0)</f>
        <v>3</v>
      </c>
      <c r="M780" s="3" t="str">
        <f>IFERROR(__xludf.DUMMYFUNCTION("""COMPUTED_VALUE"""),"ร.อ.หญิง ขนัฏฐา นาดี")</f>
        <v>ร.อ.หญิง ขนัฏฐา นาดี</v>
      </c>
      <c r="N780" s="14" t="str">
        <f>IFERROR(__xludf.DUMMYFUNCTION("""COMPUTED_VALUE"""),"https://lh5.googleusercontent.com/d/1_hyGjDSMbPD7fz_3ctSnT1W670sML8q9")</f>
        <v>https://lh5.googleusercontent.com/d/1_hyGjDSMbPD7fz_3ctSnT1W670sML8q9</v>
      </c>
      <c r="O780" s="14" t="str">
        <f>IFERROR(__xludf.DUMMYFUNCTION("""COMPUTED_VALUE"""),"https://drive.google.com/file/d/10CzkWUZBpWvvcwpANuW90IjAxrwH7xbe/view?usp=drivesdk")</f>
        <v>https://drive.google.com/file/d/10CzkWUZBpWvvcwpANuW90IjAxrwH7xbe/view?usp=drivesdk</v>
      </c>
    </row>
    <row r="781">
      <c r="A781" s="3">
        <f>IFERROR(__xludf.DUMMYFUNCTION("""COMPUTED_VALUE"""),3294.0)</f>
        <v>3294</v>
      </c>
      <c r="B781" s="11">
        <f>IFERROR(__xludf.DUMMYFUNCTION("""COMPUTED_VALUE"""),46181.38340157408)</f>
        <v>46181.3834</v>
      </c>
      <c r="C781" s="3" t="str">
        <f>IFERROR(__xludf.DUMMYFUNCTION("""COMPUTED_VALUE"""),"ชั้นปีที่ 2")</f>
        <v>ชั้นปีที่ 2</v>
      </c>
      <c r="D781" s="3" t="str">
        <f>IFERROR(__xludf.DUMMYFUNCTION("""COMPUTED_VALUE"""),"6703822")</f>
        <v>6703822</v>
      </c>
      <c r="E781" s="3" t="str">
        <f>IFERROR(__xludf.DUMMYFUNCTION("""COMPUTED_VALUE"""),"5")</f>
        <v>5</v>
      </c>
      <c r="F781" s="3" t="str">
        <f>IFERROR(__xludf.DUMMYFUNCTION("""COMPUTED_VALUE"""),"นพอ.กัณยวัลย์ เทียนบัญญัติ")</f>
        <v>นพอ.กัณยวัลย์ เทียนบัญญัติ</v>
      </c>
      <c r="G781" s="3" t="str">
        <f>IFERROR(__xludf.DUMMYFUNCTION("""COMPUTED_VALUE"""),"ช่วยเหลืองานภายใน วพอ.")</f>
        <v>ช่วยเหลืองานภายใน วพอ.</v>
      </c>
      <c r="H781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81" s="3" t="str">
        <f>IFERROR(__xludf.DUMMYFUNCTION("""COMPUTED_VALUE"""),"วพอ.พอ.")</f>
        <v>วพอ.พอ.</v>
      </c>
      <c r="J781" s="12">
        <f>IFERROR(__xludf.DUMMYFUNCTION("""COMPUTED_VALUE"""),46113.0)</f>
        <v>46113</v>
      </c>
      <c r="K781" s="3" t="str">
        <f>IFERROR(__xludf.DUMMYFUNCTION("""COMPUTED_VALUE"""),"1800-2000")</f>
        <v>1800-2000</v>
      </c>
      <c r="L781" s="3">
        <f>IFERROR(__xludf.DUMMYFUNCTION("""COMPUTED_VALUE"""),2.0)</f>
        <v>2</v>
      </c>
      <c r="M781" s="3" t="str">
        <f>IFERROR(__xludf.DUMMYFUNCTION("""COMPUTED_VALUE"""),"ร.อ.หญิง ขนัฏฐา นาดี")</f>
        <v>ร.อ.หญิง ขนัฏฐา นาดี</v>
      </c>
      <c r="N781" s="14" t="str">
        <f>IFERROR(__xludf.DUMMYFUNCTION("""COMPUTED_VALUE"""),"https://lh5.googleusercontent.com/d/1lJQPMW3PL00sxbLWpY2sk-SMqHIREA2u")</f>
        <v>https://lh5.googleusercontent.com/d/1lJQPMW3PL00sxbLWpY2sk-SMqHIREA2u</v>
      </c>
      <c r="O781" s="14" t="str">
        <f>IFERROR(__xludf.DUMMYFUNCTION("""COMPUTED_VALUE"""),"https://drive.google.com/file/d/15vSeXhMBLxTFSg1md1y1-I9s-ZMR4qrM/view?usp=drivesdk")</f>
        <v>https://drive.google.com/file/d/15vSeXhMBLxTFSg1md1y1-I9s-ZMR4qrM/view?usp=drivesdk</v>
      </c>
    </row>
    <row r="782">
      <c r="A782" s="3">
        <f>IFERROR(__xludf.DUMMYFUNCTION("""COMPUTED_VALUE"""),3295.0)</f>
        <v>3295</v>
      </c>
      <c r="B782" s="11">
        <f>IFERROR(__xludf.DUMMYFUNCTION("""COMPUTED_VALUE"""),46181.38376545139)</f>
        <v>46181.38377</v>
      </c>
      <c r="C782" s="3" t="str">
        <f>IFERROR(__xludf.DUMMYFUNCTION("""COMPUTED_VALUE"""),"ชั้นปีที่ 2")</f>
        <v>ชั้นปีที่ 2</v>
      </c>
      <c r="D782" s="3" t="str">
        <f>IFERROR(__xludf.DUMMYFUNCTION("""COMPUTED_VALUE"""),"6703828")</f>
        <v>6703828</v>
      </c>
      <c r="E782" s="3" t="str">
        <f>IFERROR(__xludf.DUMMYFUNCTION("""COMPUTED_VALUE"""),"11")</f>
        <v>11</v>
      </c>
      <c r="F782" s="3" t="str">
        <f>IFERROR(__xludf.DUMMYFUNCTION("""COMPUTED_VALUE"""),"นพอ.ชวพร โมลานิล")</f>
        <v>นพอ.ชวพร โมลานิล</v>
      </c>
      <c r="G782" s="3" t="str">
        <f>IFERROR(__xludf.DUMMYFUNCTION("""COMPUTED_VALUE"""),"ช่วยเหลืองานภายใน วพอ.")</f>
        <v>ช่วยเหลืองานภายใน วพอ.</v>
      </c>
      <c r="H78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2" s="3" t="str">
        <f>IFERROR(__xludf.DUMMYFUNCTION("""COMPUTED_VALUE"""),"หอประชุมธูปะเตมีย์")</f>
        <v>หอประชุมธูปะเตมีย์</v>
      </c>
      <c r="J782" s="12">
        <f>IFERROR(__xludf.DUMMYFUNCTION("""COMPUTED_VALUE"""),46139.0)</f>
        <v>46139</v>
      </c>
      <c r="K782" s="3" t="str">
        <f>IFERROR(__xludf.DUMMYFUNCTION("""COMPUTED_VALUE"""),"1700-2100")</f>
        <v>1700-2100</v>
      </c>
      <c r="L782" s="3">
        <f>IFERROR(__xludf.DUMMYFUNCTION("""COMPUTED_VALUE"""),4.0)</f>
        <v>4</v>
      </c>
      <c r="M782" s="3" t="str">
        <f>IFERROR(__xludf.DUMMYFUNCTION("""COMPUTED_VALUE"""),"ร.อ.อนุชิต ทำจะดี")</f>
        <v>ร.อ.อนุชิต ทำจะดี</v>
      </c>
      <c r="N782" s="14" t="str">
        <f>IFERROR(__xludf.DUMMYFUNCTION("""COMPUTED_VALUE"""),"https://lh5.googleusercontent.com/d/1eL7rhoZIT9C7_bFnGWGxVB_UYtYo8_m3")</f>
        <v>https://lh5.googleusercontent.com/d/1eL7rhoZIT9C7_bFnGWGxVB_UYtYo8_m3</v>
      </c>
      <c r="O782" s="14" t="str">
        <f>IFERROR(__xludf.DUMMYFUNCTION("""COMPUTED_VALUE"""),"https://drive.google.com/file/d/1E1dm4I2tPBeRoat4D54CPIeSy8uvyitd/view?usp=drivesdk")</f>
        <v>https://drive.google.com/file/d/1E1dm4I2tPBeRoat4D54CPIeSy8uvyitd/view?usp=drivesdk</v>
      </c>
    </row>
    <row r="783">
      <c r="A783" s="3">
        <f>IFERROR(__xludf.DUMMYFUNCTION("""COMPUTED_VALUE"""),3296.0)</f>
        <v>3296</v>
      </c>
      <c r="B783" s="11">
        <f>IFERROR(__xludf.DUMMYFUNCTION("""COMPUTED_VALUE"""),46181.38418916667)</f>
        <v>46181.38419</v>
      </c>
      <c r="C783" s="3" t="str">
        <f>IFERROR(__xludf.DUMMYFUNCTION("""COMPUTED_VALUE"""),"ชั้นปีที่ 2")</f>
        <v>ชั้นปีที่ 2</v>
      </c>
      <c r="D783" s="3" t="str">
        <f>IFERROR(__xludf.DUMMYFUNCTION("""COMPUTED_VALUE"""),"6703866")</f>
        <v>6703866</v>
      </c>
      <c r="E783" s="3" t="str">
        <f>IFERROR(__xludf.DUMMYFUNCTION("""COMPUTED_VALUE"""),"47")</f>
        <v>47</v>
      </c>
      <c r="F783" s="3" t="str">
        <f>IFERROR(__xludf.DUMMYFUNCTION("""COMPUTED_VALUE"""),"นพอ.วนัชพร กันทะตา")</f>
        <v>นพอ.วนัชพร กันทะตา</v>
      </c>
      <c r="G783" s="3" t="str">
        <f>IFERROR(__xludf.DUMMYFUNCTION("""COMPUTED_VALUE"""),"ช่วยเหลืองานภายใน วพอ.")</f>
        <v>ช่วยเหลืองานภายใน วพอ.</v>
      </c>
      <c r="H783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83" s="3" t="str">
        <f>IFERROR(__xludf.DUMMYFUNCTION("""COMPUTED_VALUE"""),"วพอ.พอ.")</f>
        <v>วพอ.พอ.</v>
      </c>
      <c r="J783" s="12">
        <f>IFERROR(__xludf.DUMMYFUNCTION("""COMPUTED_VALUE"""),46113.0)</f>
        <v>46113</v>
      </c>
      <c r="K783" s="3" t="str">
        <f>IFERROR(__xludf.DUMMYFUNCTION("""COMPUTED_VALUE"""),"1800-2000")</f>
        <v>1800-2000</v>
      </c>
      <c r="L783" s="3">
        <f>IFERROR(__xludf.DUMMYFUNCTION("""COMPUTED_VALUE"""),2.0)</f>
        <v>2</v>
      </c>
      <c r="M783" s="3" t="str">
        <f>IFERROR(__xludf.DUMMYFUNCTION("""COMPUTED_VALUE"""),"ร.อ.หญิง ขนัฏฐา นาดี")</f>
        <v>ร.อ.หญิง ขนัฏฐา นาดี</v>
      </c>
      <c r="N783" s="14" t="str">
        <f>IFERROR(__xludf.DUMMYFUNCTION("""COMPUTED_VALUE"""),"https://lh5.googleusercontent.com/d/1Iob-JH5GrAzxglvbceQLPCLa5fQ0IxuV")</f>
        <v>https://lh5.googleusercontent.com/d/1Iob-JH5GrAzxglvbceQLPCLa5fQ0IxuV</v>
      </c>
      <c r="O783" s="14" t="str">
        <f>IFERROR(__xludf.DUMMYFUNCTION("""COMPUTED_VALUE"""),"https://drive.google.com/file/d/1eXc-ZRDV6sQ4VgDNJu9A_u9-gI-T0lMA/view?usp=drivesdk")</f>
        <v>https://drive.google.com/file/d/1eXc-ZRDV6sQ4VgDNJu9A_u9-gI-T0lMA/view?usp=drivesdk</v>
      </c>
    </row>
    <row r="784">
      <c r="A784" s="3">
        <f>IFERROR(__xludf.DUMMYFUNCTION("""COMPUTED_VALUE"""),3297.0)</f>
        <v>3297</v>
      </c>
      <c r="B784" s="11">
        <f>IFERROR(__xludf.DUMMYFUNCTION("""COMPUTED_VALUE"""),46181.38520517362)</f>
        <v>46181.38521</v>
      </c>
      <c r="C784" s="3" t="str">
        <f>IFERROR(__xludf.DUMMYFUNCTION("""COMPUTED_VALUE"""),"ชั้นปีที่ 2")</f>
        <v>ชั้นปีที่ 2</v>
      </c>
      <c r="D784" s="3" t="str">
        <f>IFERROR(__xludf.DUMMYFUNCTION("""COMPUTED_VALUE"""),"6703828")</f>
        <v>6703828</v>
      </c>
      <c r="E784" s="3" t="str">
        <f>IFERROR(__xludf.DUMMYFUNCTION("""COMPUTED_VALUE"""),"11")</f>
        <v>11</v>
      </c>
      <c r="F784" s="3" t="str">
        <f>IFERROR(__xludf.DUMMYFUNCTION("""COMPUTED_VALUE"""),"นพอ.ชวพร โมลานิล")</f>
        <v>นพอ.ชวพร โมลานิล</v>
      </c>
      <c r="G784" s="3" t="str">
        <f>IFERROR(__xludf.DUMMYFUNCTION("""COMPUTED_VALUE"""),"ช่วยเหลืองานภายใน วพอ.")</f>
        <v>ช่วยเหลืองานภายใน วพอ.</v>
      </c>
      <c r="H78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4" s="3" t="str">
        <f>IFERROR(__xludf.DUMMYFUNCTION("""COMPUTED_VALUE"""),"วพอ.พอ.")</f>
        <v>วพอ.พอ.</v>
      </c>
      <c r="J784" s="12">
        <f>IFERROR(__xludf.DUMMYFUNCTION("""COMPUTED_VALUE"""),46133.0)</f>
        <v>46133</v>
      </c>
      <c r="K784" s="3" t="str">
        <f>IFERROR(__xludf.DUMMYFUNCTION("""COMPUTED_VALUE"""),"1700-2100")</f>
        <v>1700-2100</v>
      </c>
      <c r="L784" s="3">
        <f>IFERROR(__xludf.DUMMYFUNCTION("""COMPUTED_VALUE"""),4.0)</f>
        <v>4</v>
      </c>
      <c r="M784" s="3" t="str">
        <f>IFERROR(__xludf.DUMMYFUNCTION("""COMPUTED_VALUE"""),"ร.อ.อนุชิต ทำจะดี")</f>
        <v>ร.อ.อนุชิต ทำจะดี</v>
      </c>
      <c r="N784" s="14" t="str">
        <f>IFERROR(__xludf.DUMMYFUNCTION("""COMPUTED_VALUE"""),"https://lh5.googleusercontent.com/d/1O99x6S8B15poTDTc7SDn-B6VO6Gj3lvl")</f>
        <v>https://lh5.googleusercontent.com/d/1O99x6S8B15poTDTc7SDn-B6VO6Gj3lvl</v>
      </c>
      <c r="O784" s="14" t="str">
        <f>IFERROR(__xludf.DUMMYFUNCTION("""COMPUTED_VALUE"""),"https://drive.google.com/file/d/1ZobZjCXnDNxUJJI7mTvhNV5119khnYw4/view?usp=drivesdk")</f>
        <v>https://drive.google.com/file/d/1ZobZjCXnDNxUJJI7mTvhNV5119khnYw4/view?usp=drivesdk</v>
      </c>
    </row>
    <row r="785">
      <c r="A785" s="3">
        <f>IFERROR(__xludf.DUMMYFUNCTION("""COMPUTED_VALUE"""),3298.0)</f>
        <v>3298</v>
      </c>
      <c r="B785" s="11">
        <f>IFERROR(__xludf.DUMMYFUNCTION("""COMPUTED_VALUE"""),46181.38657818287)</f>
        <v>46181.38658</v>
      </c>
      <c r="C785" s="3" t="str">
        <f>IFERROR(__xludf.DUMMYFUNCTION("""COMPUTED_VALUE"""),"ชั้นปีที่ 2")</f>
        <v>ชั้นปีที่ 2</v>
      </c>
      <c r="D785" s="3" t="str">
        <f>IFERROR(__xludf.DUMMYFUNCTION("""COMPUTED_VALUE"""),"6703828")</f>
        <v>6703828</v>
      </c>
      <c r="E785" s="3" t="str">
        <f>IFERROR(__xludf.DUMMYFUNCTION("""COMPUTED_VALUE"""),"11")</f>
        <v>11</v>
      </c>
      <c r="F785" s="3" t="str">
        <f>IFERROR(__xludf.DUMMYFUNCTION("""COMPUTED_VALUE"""),"นพอ.ชวพร โมลานิล")</f>
        <v>นพอ.ชวพร โมลานิล</v>
      </c>
      <c r="G785" s="3" t="str">
        <f>IFERROR(__xludf.DUMMYFUNCTION("""COMPUTED_VALUE"""),"ช่วยเหลืองานภายใน วพอ.")</f>
        <v>ช่วยเหลืองานภายใน วพอ.</v>
      </c>
      <c r="H78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5" s="3" t="str">
        <f>IFERROR(__xludf.DUMMYFUNCTION("""COMPUTED_VALUE"""),"วพอ.พอ.")</f>
        <v>วพอ.พอ.</v>
      </c>
      <c r="J785" s="12">
        <f>IFERROR(__xludf.DUMMYFUNCTION("""COMPUTED_VALUE"""),46134.0)</f>
        <v>46134</v>
      </c>
      <c r="K785" s="3" t="str">
        <f>IFERROR(__xludf.DUMMYFUNCTION("""COMPUTED_VALUE"""),"1700-2100")</f>
        <v>1700-2100</v>
      </c>
      <c r="L785" s="3">
        <f>IFERROR(__xludf.DUMMYFUNCTION("""COMPUTED_VALUE"""),4.0)</f>
        <v>4</v>
      </c>
      <c r="M785" s="3" t="str">
        <f>IFERROR(__xludf.DUMMYFUNCTION("""COMPUTED_VALUE"""),"ร.อ.อนุชิต ทำจะดี")</f>
        <v>ร.อ.อนุชิต ทำจะดี</v>
      </c>
      <c r="N785" s="14" t="str">
        <f>IFERROR(__xludf.DUMMYFUNCTION("""COMPUTED_VALUE"""),"https://lh5.googleusercontent.com/d/1uT56qFkrubhnDlWbA6HykGPsJaG6v8zA")</f>
        <v>https://lh5.googleusercontent.com/d/1uT56qFkrubhnDlWbA6HykGPsJaG6v8zA</v>
      </c>
      <c r="O785" s="14" t="str">
        <f>IFERROR(__xludf.DUMMYFUNCTION("""COMPUTED_VALUE"""),"https://drive.google.com/file/d/1hVdR5TkhH5hbTTQSGPIYYOY3BodFzb7g/view?usp=drivesdk")</f>
        <v>https://drive.google.com/file/d/1hVdR5TkhH5hbTTQSGPIYYOY3BodFzb7g/view?usp=drivesdk</v>
      </c>
    </row>
    <row r="786">
      <c r="A786" s="3">
        <f>IFERROR(__xludf.DUMMYFUNCTION("""COMPUTED_VALUE"""),3299.0)</f>
        <v>3299</v>
      </c>
      <c r="B786" s="11">
        <f>IFERROR(__xludf.DUMMYFUNCTION("""COMPUTED_VALUE"""),46181.38741364584)</f>
        <v>46181.38741</v>
      </c>
      <c r="C786" s="3" t="str">
        <f>IFERROR(__xludf.DUMMYFUNCTION("""COMPUTED_VALUE"""),"ชั้นปีที่ 2")</f>
        <v>ชั้นปีที่ 2</v>
      </c>
      <c r="D786" s="3" t="str">
        <f>IFERROR(__xludf.DUMMYFUNCTION("""COMPUTED_VALUE"""),"6703866")</f>
        <v>6703866</v>
      </c>
      <c r="E786" s="3" t="str">
        <f>IFERROR(__xludf.DUMMYFUNCTION("""COMPUTED_VALUE"""),"47")</f>
        <v>47</v>
      </c>
      <c r="F786" s="3" t="str">
        <f>IFERROR(__xludf.DUMMYFUNCTION("""COMPUTED_VALUE"""),"นพอ.วนัชพร กันทะตา")</f>
        <v>นพอ.วนัชพร กันทะตา</v>
      </c>
      <c r="G786" s="3" t="str">
        <f>IFERROR(__xludf.DUMMYFUNCTION("""COMPUTED_VALUE"""),"ช่วยเหลืองานภายใน วพอ.")</f>
        <v>ช่วยเหลืองานภายใน วพอ.</v>
      </c>
      <c r="H786" s="3" t="str">
        <f>IFERROR(__xludf.DUMMYFUNCTION("""COMPUTED_VALUE"""),"ซ้อมดนตรีไทยงานสงกราต์วพอ.2569")</f>
        <v>ซ้อมดนตรีไทยงานสงกราต์วพอ.2569</v>
      </c>
      <c r="I786" s="3" t="str">
        <f>IFERROR(__xludf.DUMMYFUNCTION("""COMPUTED_VALUE"""),"วพอ.พอ.")</f>
        <v>วพอ.พอ.</v>
      </c>
      <c r="J786" s="12">
        <f>IFERROR(__xludf.DUMMYFUNCTION("""COMPUTED_VALUE"""),46114.0)</f>
        <v>46114</v>
      </c>
      <c r="K786" s="3" t="str">
        <f>IFERROR(__xludf.DUMMYFUNCTION("""COMPUTED_VALUE"""),"1800-2000")</f>
        <v>1800-2000</v>
      </c>
      <c r="L786" s="3">
        <f>IFERROR(__xludf.DUMMYFUNCTION("""COMPUTED_VALUE"""),2.0)</f>
        <v>2</v>
      </c>
      <c r="M786" s="3" t="str">
        <f>IFERROR(__xludf.DUMMYFUNCTION("""COMPUTED_VALUE"""),"ร.อ.หญิง ขนัฏฐา นาดี")</f>
        <v>ร.อ.หญิง ขนัฏฐา นาดี</v>
      </c>
      <c r="N786" s="14" t="str">
        <f>IFERROR(__xludf.DUMMYFUNCTION("""COMPUTED_VALUE"""),"https://lh5.googleusercontent.com/d/12gaQKAtxV9kEZSN21fE5VxomBItLyH_0")</f>
        <v>https://lh5.googleusercontent.com/d/12gaQKAtxV9kEZSN21fE5VxomBItLyH_0</v>
      </c>
      <c r="O786" s="14" t="str">
        <f>IFERROR(__xludf.DUMMYFUNCTION("""COMPUTED_VALUE"""),"https://drive.google.com/file/d/1jwq1_tGiGDI1Fddsqd9cUl0kI8zaBdDo/view?usp=drivesdk")</f>
        <v>https://drive.google.com/file/d/1jwq1_tGiGDI1Fddsqd9cUl0kI8zaBdDo/view?usp=drivesdk</v>
      </c>
    </row>
    <row r="787">
      <c r="A787" s="3">
        <f>IFERROR(__xludf.DUMMYFUNCTION("""COMPUTED_VALUE"""),3300.0)</f>
        <v>3300</v>
      </c>
      <c r="B787" s="11">
        <f>IFERROR(__xludf.DUMMYFUNCTION("""COMPUTED_VALUE"""),46181.387846134254)</f>
        <v>46181.38785</v>
      </c>
      <c r="C787" s="3" t="str">
        <f>IFERROR(__xludf.DUMMYFUNCTION("""COMPUTED_VALUE"""),"ชั้นปีที่ 2")</f>
        <v>ชั้นปีที่ 2</v>
      </c>
      <c r="D787" s="3" t="str">
        <f>IFERROR(__xludf.DUMMYFUNCTION("""COMPUTED_VALUE"""),"6703828")</f>
        <v>6703828</v>
      </c>
      <c r="E787" s="3" t="str">
        <f>IFERROR(__xludf.DUMMYFUNCTION("""COMPUTED_VALUE"""),"11")</f>
        <v>11</v>
      </c>
      <c r="F787" s="3" t="str">
        <f>IFERROR(__xludf.DUMMYFUNCTION("""COMPUTED_VALUE"""),"นพอ.ชวพร โมลานิล")</f>
        <v>นพอ.ชวพร โมลานิล</v>
      </c>
      <c r="G787" s="3" t="str">
        <f>IFERROR(__xludf.DUMMYFUNCTION("""COMPUTED_VALUE"""),"ช่วยเหลืองานภายใน วพอ.")</f>
        <v>ช่วยเหลืองานภายใน วพอ.</v>
      </c>
      <c r="H78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87" s="3" t="str">
        <f>IFERROR(__xludf.DUMMYFUNCTION("""COMPUTED_VALUE"""),"วพอ.พอ.")</f>
        <v>วพอ.พอ.</v>
      </c>
      <c r="J787" s="12">
        <f>IFERROR(__xludf.DUMMYFUNCTION("""COMPUTED_VALUE"""),46135.0)</f>
        <v>46135</v>
      </c>
      <c r="K787" s="3" t="str">
        <f>IFERROR(__xludf.DUMMYFUNCTION("""COMPUTED_VALUE"""),"1700-2100")</f>
        <v>1700-2100</v>
      </c>
      <c r="L787" s="3">
        <f>IFERROR(__xludf.DUMMYFUNCTION("""COMPUTED_VALUE"""),4.0)</f>
        <v>4</v>
      </c>
      <c r="M787" s="3" t="str">
        <f>IFERROR(__xludf.DUMMYFUNCTION("""COMPUTED_VALUE"""),"ร.อ.อนุชิต ทำจะดี")</f>
        <v>ร.อ.อนุชิต ทำจะดี</v>
      </c>
      <c r="N787" s="14" t="str">
        <f>IFERROR(__xludf.DUMMYFUNCTION("""COMPUTED_VALUE"""),"https://lh5.googleusercontent.com/d/1B_MdTFwOBTxEHF7QbuXzc9T_hSUReFvN")</f>
        <v>https://lh5.googleusercontent.com/d/1B_MdTFwOBTxEHF7QbuXzc9T_hSUReFvN</v>
      </c>
      <c r="O787" s="14" t="str">
        <f>IFERROR(__xludf.DUMMYFUNCTION("""COMPUTED_VALUE"""),"https://drive.google.com/file/d/1jWzrAKOS2-TaN4UBZe1imYseC-hb8B0_/view?usp=drivesdk")</f>
        <v>https://drive.google.com/file/d/1jWzrAKOS2-TaN4UBZe1imYseC-hb8B0_/view?usp=drivesdk</v>
      </c>
    </row>
    <row r="788">
      <c r="A788" s="3">
        <f>IFERROR(__xludf.DUMMYFUNCTION("""COMPUTED_VALUE"""),3301.0)</f>
        <v>3301</v>
      </c>
      <c r="B788" s="11">
        <f>IFERROR(__xludf.DUMMYFUNCTION("""COMPUTED_VALUE"""),46181.38787054398)</f>
        <v>46181.38787</v>
      </c>
      <c r="C788" s="3" t="str">
        <f>IFERROR(__xludf.DUMMYFUNCTION("""COMPUTED_VALUE"""),"ชั้นปีที่ 2")</f>
        <v>ชั้นปีที่ 2</v>
      </c>
      <c r="D788" s="3" t="str">
        <f>IFERROR(__xludf.DUMMYFUNCTION("""COMPUTED_VALUE"""),"6703860")</f>
        <v>6703860</v>
      </c>
      <c r="E788" s="3" t="str">
        <f>IFERROR(__xludf.DUMMYFUNCTION("""COMPUTED_VALUE"""),"41")</f>
        <v>41</v>
      </c>
      <c r="F788" s="3" t="str">
        <f>IFERROR(__xludf.DUMMYFUNCTION("""COMPUTED_VALUE"""),"นพอ.พิมพ์มาดา วงศาโรจน์")</f>
        <v>นพอ.พิมพ์มาดา วงศาโรจน์</v>
      </c>
      <c r="G788" s="3" t="str">
        <f>IFERROR(__xludf.DUMMYFUNCTION("""COMPUTED_VALUE"""),"ช่วยเหลืองานภายใน วพอ.")</f>
        <v>ช่วยเหลืองานภายใน วพอ.</v>
      </c>
      <c r="H788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88" s="3" t="str">
        <f>IFERROR(__xludf.DUMMYFUNCTION("""COMPUTED_VALUE"""),"วพอ.พอ.")</f>
        <v>วพอ.พอ.</v>
      </c>
      <c r="J788" s="12">
        <f>IFERROR(__xludf.DUMMYFUNCTION("""COMPUTED_VALUE"""),46113.0)</f>
        <v>46113</v>
      </c>
      <c r="K788" s="3" t="str">
        <f>IFERROR(__xludf.DUMMYFUNCTION("""COMPUTED_VALUE"""),"1800-2000")</f>
        <v>1800-2000</v>
      </c>
      <c r="L788" s="3">
        <f>IFERROR(__xludf.DUMMYFUNCTION("""COMPUTED_VALUE"""),2.0)</f>
        <v>2</v>
      </c>
      <c r="M788" s="3" t="str">
        <f>IFERROR(__xludf.DUMMYFUNCTION("""COMPUTED_VALUE"""),"ร.อ.หญิง ขนัฏฐา นาดี")</f>
        <v>ร.อ.หญิง ขนัฏฐา นาดี</v>
      </c>
      <c r="N788" s="14" t="str">
        <f>IFERROR(__xludf.DUMMYFUNCTION("""COMPUTED_VALUE"""),"https://lh5.googleusercontent.com/d/1IbdRoPJ2pKfzFVl0Jzg6TB_H_0-p4_Es")</f>
        <v>https://lh5.googleusercontent.com/d/1IbdRoPJ2pKfzFVl0Jzg6TB_H_0-p4_Es</v>
      </c>
      <c r="O788" s="14" t="str">
        <f>IFERROR(__xludf.DUMMYFUNCTION("""COMPUTED_VALUE"""),"https://drive.google.com/file/d/1Ej_qzD77iwvM_fJb8lU_cXSiEXj_lcwu/view?usp=drivesdk")</f>
        <v>https://drive.google.com/file/d/1Ej_qzD77iwvM_fJb8lU_cXSiEXj_lcwu/view?usp=drivesdk</v>
      </c>
    </row>
    <row r="789">
      <c r="A789" s="3">
        <f>IFERROR(__xludf.DUMMYFUNCTION("""COMPUTED_VALUE"""),3302.0)</f>
        <v>3302</v>
      </c>
      <c r="B789" s="11">
        <f>IFERROR(__xludf.DUMMYFUNCTION("""COMPUTED_VALUE"""),46181.3896095949)</f>
        <v>46181.38961</v>
      </c>
      <c r="C789" s="3" t="str">
        <f>IFERROR(__xludf.DUMMYFUNCTION("""COMPUTED_VALUE"""),"ชั้นปีที่ 2")</f>
        <v>ชั้นปีที่ 2</v>
      </c>
      <c r="D789" s="3" t="str">
        <f>IFERROR(__xludf.DUMMYFUNCTION("""COMPUTED_VALUE"""),"6703860")</f>
        <v>6703860</v>
      </c>
      <c r="E789" s="3" t="str">
        <f>IFERROR(__xludf.DUMMYFUNCTION("""COMPUTED_VALUE"""),"41")</f>
        <v>41</v>
      </c>
      <c r="F789" s="3" t="str">
        <f>IFERROR(__xludf.DUMMYFUNCTION("""COMPUTED_VALUE"""),"นพอ.พิมพ์มาดา วงศาโรจน์")</f>
        <v>นพอ.พิมพ์มาดา วงศาโรจน์</v>
      </c>
      <c r="G789" s="3" t="str">
        <f>IFERROR(__xludf.DUMMYFUNCTION("""COMPUTED_VALUE"""),"ช่วยเหลืองานภายใน วพอ.")</f>
        <v>ช่วยเหลืองานภายใน วพอ.</v>
      </c>
      <c r="H789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89" s="3" t="str">
        <f>IFERROR(__xludf.DUMMYFUNCTION("""COMPUTED_VALUE"""),"วพอ.พอ.")</f>
        <v>วพอ.พอ.</v>
      </c>
      <c r="J789" s="12">
        <f>IFERROR(__xludf.DUMMYFUNCTION("""COMPUTED_VALUE"""),46114.0)</f>
        <v>46114</v>
      </c>
      <c r="K789" s="3" t="str">
        <f>IFERROR(__xludf.DUMMYFUNCTION("""COMPUTED_VALUE"""),"1800-2000")</f>
        <v>1800-2000</v>
      </c>
      <c r="L789" s="3">
        <f>IFERROR(__xludf.DUMMYFUNCTION("""COMPUTED_VALUE"""),2.0)</f>
        <v>2</v>
      </c>
      <c r="M789" s="3" t="str">
        <f>IFERROR(__xludf.DUMMYFUNCTION("""COMPUTED_VALUE"""),"ร.อ.หญิง ขนัฏฐา นาดี")</f>
        <v>ร.อ.หญิง ขนัฏฐา นาดี</v>
      </c>
      <c r="N789" s="14" t="str">
        <f>IFERROR(__xludf.DUMMYFUNCTION("""COMPUTED_VALUE"""),"https://lh5.googleusercontent.com/d/18DS52U8RWR1EshaxsG1ov-LrGx_InCXG")</f>
        <v>https://lh5.googleusercontent.com/d/18DS52U8RWR1EshaxsG1ov-LrGx_InCXG</v>
      </c>
      <c r="O789" s="14" t="str">
        <f>IFERROR(__xludf.DUMMYFUNCTION("""COMPUTED_VALUE"""),"https://drive.google.com/file/d/1b0RHOAERATScqg7LDV8ndvlKOxIbFR6g/view?usp=drivesdk")</f>
        <v>https://drive.google.com/file/d/1b0RHOAERATScqg7LDV8ndvlKOxIbFR6g/view?usp=drivesdk</v>
      </c>
    </row>
    <row r="790">
      <c r="A790" s="3">
        <f>IFERROR(__xludf.DUMMYFUNCTION("""COMPUTED_VALUE"""),3303.0)</f>
        <v>3303</v>
      </c>
      <c r="B790" s="11">
        <f>IFERROR(__xludf.DUMMYFUNCTION("""COMPUTED_VALUE"""),46181.3896930787)</f>
        <v>46181.38969</v>
      </c>
      <c r="C790" s="3" t="str">
        <f>IFERROR(__xludf.DUMMYFUNCTION("""COMPUTED_VALUE"""),"ชั้นปีที่ 2")</f>
        <v>ชั้นปีที่ 2</v>
      </c>
      <c r="D790" s="3" t="str">
        <f>IFERROR(__xludf.DUMMYFUNCTION("""COMPUTED_VALUE"""),"6703866")</f>
        <v>6703866</v>
      </c>
      <c r="E790" s="3" t="str">
        <f>IFERROR(__xludf.DUMMYFUNCTION("""COMPUTED_VALUE"""),"47")</f>
        <v>47</v>
      </c>
      <c r="F790" s="3" t="str">
        <f>IFERROR(__xludf.DUMMYFUNCTION("""COMPUTED_VALUE"""),"นพอ.วนัชพร กันทะตา")</f>
        <v>นพอ.วนัชพร กันทะตา</v>
      </c>
      <c r="G790" s="3" t="str">
        <f>IFERROR(__xludf.DUMMYFUNCTION("""COMPUTED_VALUE"""),"ช่วยเหลืองานภายใน วพอ.")</f>
        <v>ช่วยเหลืองานภายใน วพอ.</v>
      </c>
      <c r="H790" s="3" t="str">
        <f>IFERROR(__xludf.DUMMYFUNCTION("""COMPUTED_VALUE"""),"ซ้อมดนตรีไทยงานสงกราต์วพอ.2569")</f>
        <v>ซ้อมดนตรีไทยงานสงกราต์วพอ.2569</v>
      </c>
      <c r="I790" s="3" t="str">
        <f>IFERROR(__xludf.DUMMYFUNCTION("""COMPUTED_VALUE"""),"วพอ.พอ.")</f>
        <v>วพอ.พอ.</v>
      </c>
      <c r="J790" s="12">
        <f>IFERROR(__xludf.DUMMYFUNCTION("""COMPUTED_VALUE"""),46120.0)</f>
        <v>46120</v>
      </c>
      <c r="K790" s="3" t="str">
        <f>IFERROR(__xludf.DUMMYFUNCTION("""COMPUTED_VALUE"""),"1800-2000")</f>
        <v>1800-2000</v>
      </c>
      <c r="L790" s="3">
        <f>IFERROR(__xludf.DUMMYFUNCTION("""COMPUTED_VALUE"""),2.0)</f>
        <v>2</v>
      </c>
      <c r="M790" s="3" t="str">
        <f>IFERROR(__xludf.DUMMYFUNCTION("""COMPUTED_VALUE"""),"ร.อ.หญิง ขนัฏฐา นาดี")</f>
        <v>ร.อ.หญิง ขนัฏฐา นาดี</v>
      </c>
      <c r="N790" s="14" t="str">
        <f>IFERROR(__xludf.DUMMYFUNCTION("""COMPUTED_VALUE"""),"https://lh5.googleusercontent.com/d/17JvcNzJmrmpIikgmnQWzDla16Xdu0upR")</f>
        <v>https://lh5.googleusercontent.com/d/17JvcNzJmrmpIikgmnQWzDla16Xdu0upR</v>
      </c>
      <c r="O790" s="14" t="str">
        <f>IFERROR(__xludf.DUMMYFUNCTION("""COMPUTED_VALUE"""),"https://drive.google.com/file/d/1FNYI0AHpE5l1iWNvEDvakKQEN02gH7W8/view?usp=drivesdk")</f>
        <v>https://drive.google.com/file/d/1FNYI0AHpE5l1iWNvEDvakKQEN02gH7W8/view?usp=drivesdk</v>
      </c>
    </row>
    <row r="791">
      <c r="A791" s="3">
        <f>IFERROR(__xludf.DUMMYFUNCTION("""COMPUTED_VALUE"""),3304.0)</f>
        <v>3304</v>
      </c>
      <c r="B791" s="11">
        <f>IFERROR(__xludf.DUMMYFUNCTION("""COMPUTED_VALUE"""),46181.39045186342)</f>
        <v>46181.39045</v>
      </c>
      <c r="C791" s="3" t="str">
        <f>IFERROR(__xludf.DUMMYFUNCTION("""COMPUTED_VALUE"""),"ชั้นปีที่ 2")</f>
        <v>ชั้นปีที่ 2</v>
      </c>
      <c r="D791" s="3" t="str">
        <f>IFERROR(__xludf.DUMMYFUNCTION("""COMPUTED_VALUE"""),"6703828")</f>
        <v>6703828</v>
      </c>
      <c r="E791" s="3" t="str">
        <f>IFERROR(__xludf.DUMMYFUNCTION("""COMPUTED_VALUE"""),"11")</f>
        <v>11</v>
      </c>
      <c r="F791" s="3" t="str">
        <f>IFERROR(__xludf.DUMMYFUNCTION("""COMPUTED_VALUE"""),"นพอ.ชวพร โมลานิล")</f>
        <v>นพอ.ชวพร โมลานิล</v>
      </c>
      <c r="G791" s="3" t="str">
        <f>IFERROR(__xludf.DUMMYFUNCTION("""COMPUTED_VALUE"""),"ช่วยเหลืองานภายใน วพอ.")</f>
        <v>ช่วยเหลืองานภายใน วพอ.</v>
      </c>
      <c r="H791" s="3" t="str">
        <f>IFERROR(__xludf.DUMMYFUNCTION("""COMPUTED_VALUE"""),"ปรับปรุงทัศนียภาพในวพอ.พอ.")</f>
        <v>ปรับปรุงทัศนียภาพในวพอ.พอ.</v>
      </c>
      <c r="I791" s="3" t="str">
        <f>IFERROR(__xludf.DUMMYFUNCTION("""COMPUTED_VALUE"""),"วพอ.พอ.")</f>
        <v>วพอ.พอ.</v>
      </c>
      <c r="J791" s="12">
        <f>IFERROR(__xludf.DUMMYFUNCTION("""COMPUTED_VALUE"""),46177.0)</f>
        <v>46177</v>
      </c>
      <c r="K791" s="3" t="str">
        <f>IFERROR(__xludf.DUMMYFUNCTION("""COMPUTED_VALUE"""),"1430-1730")</f>
        <v>1430-1730</v>
      </c>
      <c r="L791" s="3">
        <f>IFERROR(__xludf.DUMMYFUNCTION("""COMPUTED_VALUE"""),3.0)</f>
        <v>3</v>
      </c>
      <c r="M791" s="3" t="str">
        <f>IFERROR(__xludf.DUMMYFUNCTION("""COMPUTED_VALUE"""),"น.อ.หญิง ผศ.นิตยา สุขแสน")</f>
        <v>น.อ.หญิง ผศ.นิตยา สุขแสน</v>
      </c>
      <c r="N791" s="14" t="str">
        <f>IFERROR(__xludf.DUMMYFUNCTION("""COMPUTED_VALUE"""),"https://lh5.googleusercontent.com/d/1HcsqSP9xP5jIDKdvHj2VMecquhKCvpr6")</f>
        <v>https://lh5.googleusercontent.com/d/1HcsqSP9xP5jIDKdvHj2VMecquhKCvpr6</v>
      </c>
      <c r="O791" s="14" t="str">
        <f>IFERROR(__xludf.DUMMYFUNCTION("""COMPUTED_VALUE"""),"https://drive.google.com/file/d/1M1qADP5TdDs6T7JTCuVdM6tyJ_alg8ZG/view?usp=drivesdk")</f>
        <v>https://drive.google.com/file/d/1M1qADP5TdDs6T7JTCuVdM6tyJ_alg8ZG/view?usp=drivesdk</v>
      </c>
    </row>
    <row r="792">
      <c r="A792" s="3">
        <f>IFERROR(__xludf.DUMMYFUNCTION("""COMPUTED_VALUE"""),3305.0)</f>
        <v>3305</v>
      </c>
      <c r="B792" s="11">
        <f>IFERROR(__xludf.DUMMYFUNCTION("""COMPUTED_VALUE"""),46181.391533043985)</f>
        <v>46181.39153</v>
      </c>
      <c r="C792" s="3" t="str">
        <f>IFERROR(__xludf.DUMMYFUNCTION("""COMPUTED_VALUE"""),"ชั้นปีที่ 2")</f>
        <v>ชั้นปีที่ 2</v>
      </c>
      <c r="D792" s="3" t="str">
        <f>IFERROR(__xludf.DUMMYFUNCTION("""COMPUTED_VALUE"""),"6703860")</f>
        <v>6703860</v>
      </c>
      <c r="E792" s="3" t="str">
        <f>IFERROR(__xludf.DUMMYFUNCTION("""COMPUTED_VALUE"""),"41")</f>
        <v>41</v>
      </c>
      <c r="F792" s="3" t="str">
        <f>IFERROR(__xludf.DUMMYFUNCTION("""COMPUTED_VALUE"""),"นพอ.พิมพ์มาดา วงศาโรจน์")</f>
        <v>นพอ.พิมพ์มาดา วงศาโรจน์</v>
      </c>
      <c r="G792" s="3" t="str">
        <f>IFERROR(__xludf.DUMMYFUNCTION("""COMPUTED_VALUE"""),"ช่วยเหลืองานภายใน วพอ.")</f>
        <v>ช่วยเหลืองานภายใน วพอ.</v>
      </c>
      <c r="H792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792" s="3" t="str">
        <f>IFERROR(__xludf.DUMMYFUNCTION("""COMPUTED_VALUE"""),"วพอ.พอ.")</f>
        <v>วพอ.พอ.</v>
      </c>
      <c r="J792" s="12">
        <f>IFERROR(__xludf.DUMMYFUNCTION("""COMPUTED_VALUE"""),46120.0)</f>
        <v>46120</v>
      </c>
      <c r="K792" s="3" t="str">
        <f>IFERROR(__xludf.DUMMYFUNCTION("""COMPUTED_VALUE"""),"1800-2000")</f>
        <v>1800-2000</v>
      </c>
      <c r="L792" s="3">
        <f>IFERROR(__xludf.DUMMYFUNCTION("""COMPUTED_VALUE"""),2.0)</f>
        <v>2</v>
      </c>
      <c r="M792" s="3" t="str">
        <f>IFERROR(__xludf.DUMMYFUNCTION("""COMPUTED_VALUE"""),"ร.อ.หญิง ขนัฏฐา นาดี")</f>
        <v>ร.อ.หญิง ขนัฏฐา นาดี</v>
      </c>
      <c r="N792" s="14" t="str">
        <f>IFERROR(__xludf.DUMMYFUNCTION("""COMPUTED_VALUE"""),"https://lh5.googleusercontent.com/d/1zpZqARrKAenTQao7wbHqvmzF8ySy1oTk")</f>
        <v>https://lh5.googleusercontent.com/d/1zpZqARrKAenTQao7wbHqvmzF8ySy1oTk</v>
      </c>
      <c r="O792" s="14" t="str">
        <f>IFERROR(__xludf.DUMMYFUNCTION("""COMPUTED_VALUE"""),"https://drive.google.com/file/d/1RVSLhUWwE-u_Zu6Y8rSR-sGMCk06damh/view?usp=drivesdk")</f>
        <v>https://drive.google.com/file/d/1RVSLhUWwE-u_Zu6Y8rSR-sGMCk06damh/view?usp=drivesdk</v>
      </c>
    </row>
    <row r="793">
      <c r="A793" s="3">
        <f>IFERROR(__xludf.DUMMYFUNCTION("""COMPUTED_VALUE"""),3306.0)</f>
        <v>3306</v>
      </c>
      <c r="B793" s="11">
        <f>IFERROR(__xludf.DUMMYFUNCTION("""COMPUTED_VALUE"""),46181.394737083334)</f>
        <v>46181.39474</v>
      </c>
      <c r="C793" s="3" t="str">
        <f>IFERROR(__xludf.DUMMYFUNCTION("""COMPUTED_VALUE"""),"ชั้นปีที่ 2")</f>
        <v>ชั้นปีที่ 2</v>
      </c>
      <c r="D793" s="3" t="str">
        <f>IFERROR(__xludf.DUMMYFUNCTION("""COMPUTED_VALUE"""),"6703828")</f>
        <v>6703828</v>
      </c>
      <c r="E793" s="3" t="str">
        <f>IFERROR(__xludf.DUMMYFUNCTION("""COMPUTED_VALUE"""),"11")</f>
        <v>11</v>
      </c>
      <c r="F793" s="3" t="str">
        <f>IFERROR(__xludf.DUMMYFUNCTION("""COMPUTED_VALUE"""),"นพอ.ชวพร โมลานิล")</f>
        <v>นพอ.ชวพร โมลานิล</v>
      </c>
      <c r="G793" s="3" t="str">
        <f>IFERROR(__xludf.DUMMYFUNCTION("""COMPUTED_VALUE"""),"ช่วยเหลืองานภายใน วพอ.")</f>
        <v>ช่วยเหลืองานภายใน วพอ.</v>
      </c>
      <c r="H793" s="3" t="str">
        <f>IFERROR(__xludf.DUMMYFUNCTION("""COMPUTED_VALUE"""),"ซ้อมเต้นเพลง ฉันมีความสุข")</f>
        <v>ซ้อมเต้นเพลง ฉันมีความสุข</v>
      </c>
      <c r="I793" s="3" t="str">
        <f>IFERROR(__xludf.DUMMYFUNCTION("""COMPUTED_VALUE"""),"วพอ.พอ.")</f>
        <v>วพอ.พอ.</v>
      </c>
      <c r="J793" s="12">
        <f>IFERROR(__xludf.DUMMYFUNCTION("""COMPUTED_VALUE"""),46176.0)</f>
        <v>46176</v>
      </c>
      <c r="K793" s="3" t="str">
        <f>IFERROR(__xludf.DUMMYFUNCTION("""COMPUTED_VALUE"""),"1800-1900")</f>
        <v>1800-1900</v>
      </c>
      <c r="L793" s="3">
        <f>IFERROR(__xludf.DUMMYFUNCTION("""COMPUTED_VALUE"""),1.0)</f>
        <v>1</v>
      </c>
      <c r="M793" s="3" t="str">
        <f>IFERROR(__xludf.DUMMYFUNCTION("""COMPUTED_VALUE"""),"ร.อ.หญิง เบญญาดา บุรีรัตน์")</f>
        <v>ร.อ.หญิง เบญญาดา บุรีรัตน์</v>
      </c>
      <c r="N793" s="14" t="str">
        <f>IFERROR(__xludf.DUMMYFUNCTION("""COMPUTED_VALUE"""),"https://lh5.googleusercontent.com/d/1sID3y-JqxD9NmDrQfWDEsFhbp6mfEL3S")</f>
        <v>https://lh5.googleusercontent.com/d/1sID3y-JqxD9NmDrQfWDEsFhbp6mfEL3S</v>
      </c>
      <c r="O793" s="14" t="str">
        <f>IFERROR(__xludf.DUMMYFUNCTION("""COMPUTED_VALUE"""),"https://drive.google.com/file/d/1eT5yzF-MJY5HAfOAKJsI50salN_OQBmq/view?usp=drivesdk")</f>
        <v>https://drive.google.com/file/d/1eT5yzF-MJY5HAfOAKJsI50salN_OQBmq/view?usp=drivesdk</v>
      </c>
    </row>
    <row r="794">
      <c r="A794" s="3">
        <f>IFERROR(__xludf.DUMMYFUNCTION("""COMPUTED_VALUE"""),3307.0)</f>
        <v>3307</v>
      </c>
      <c r="B794" s="11">
        <f>IFERROR(__xludf.DUMMYFUNCTION("""COMPUTED_VALUE"""),46181.39603652778)</f>
        <v>46181.39604</v>
      </c>
      <c r="C794" s="3" t="str">
        <f>IFERROR(__xludf.DUMMYFUNCTION("""COMPUTED_VALUE"""),"ชั้นปีที่ 2")</f>
        <v>ชั้นปีที่ 2</v>
      </c>
      <c r="D794" s="3" t="str">
        <f>IFERROR(__xludf.DUMMYFUNCTION("""COMPUTED_VALUE"""),"6703860")</f>
        <v>6703860</v>
      </c>
      <c r="E794" s="3" t="str">
        <f>IFERROR(__xludf.DUMMYFUNCTION("""COMPUTED_VALUE"""),"41")</f>
        <v>41</v>
      </c>
      <c r="F794" s="3" t="str">
        <f>IFERROR(__xludf.DUMMYFUNCTION("""COMPUTED_VALUE"""),"นพอ.พิมพ์มาดา วงศาโรจน์")</f>
        <v>นพอ.พิมพ์มาดา วงศาโรจน์</v>
      </c>
      <c r="G794" s="3" t="str">
        <f>IFERROR(__xludf.DUMMYFUNCTION("""COMPUTED_VALUE"""),"ช่วยเหลืองานภายใน วพอ.")</f>
        <v>ช่วยเหลืองานภายใน วพอ.</v>
      </c>
      <c r="H794" s="3" t="str">
        <f>IFERROR(__xludf.DUMMYFUNCTION("""COMPUTED_VALUE"""),"ปรับปรุงทัศนียภาพภายในวพอ.")</f>
        <v>ปรับปรุงทัศนียภาพภายในวพอ.</v>
      </c>
      <c r="I794" s="3" t="str">
        <f>IFERROR(__xludf.DUMMYFUNCTION("""COMPUTED_VALUE"""),"วพอ.พอ.")</f>
        <v>วพอ.พอ.</v>
      </c>
      <c r="J794" s="12">
        <f>IFERROR(__xludf.DUMMYFUNCTION("""COMPUTED_VALUE"""),46177.0)</f>
        <v>46177</v>
      </c>
      <c r="K794" s="3" t="str">
        <f>IFERROR(__xludf.DUMMYFUNCTION("""COMPUTED_VALUE"""),"1430-1730")</f>
        <v>1430-1730</v>
      </c>
      <c r="L794" s="3">
        <f>IFERROR(__xludf.DUMMYFUNCTION("""COMPUTED_VALUE"""),3.0)</f>
        <v>3</v>
      </c>
      <c r="M794" s="3" t="str">
        <f>IFERROR(__xludf.DUMMYFUNCTION("""COMPUTED_VALUE"""),"น.อ.หญิง ผศ. นิตยา สุขแสน")</f>
        <v>น.อ.หญิง ผศ. นิตยา สุขแสน</v>
      </c>
      <c r="N794" s="14" t="str">
        <f>IFERROR(__xludf.DUMMYFUNCTION("""COMPUTED_VALUE"""),"https://lh5.googleusercontent.com/d/1OLvRey4vvr698vzwZwlD0_qwl57bAKJF")</f>
        <v>https://lh5.googleusercontent.com/d/1OLvRey4vvr698vzwZwlD0_qwl57bAKJF</v>
      </c>
      <c r="O794" s="14" t="str">
        <f>IFERROR(__xludf.DUMMYFUNCTION("""COMPUTED_VALUE"""),"https://drive.google.com/file/d/1Dp7pWBg7Ue8JpiGXCGZoTwBEbtenEKdb/view?usp=drivesdk")</f>
        <v>https://drive.google.com/file/d/1Dp7pWBg7Ue8JpiGXCGZoTwBEbtenEKdb/view?usp=drivesdk</v>
      </c>
    </row>
    <row r="795">
      <c r="A795" s="3">
        <f>IFERROR(__xludf.DUMMYFUNCTION("""COMPUTED_VALUE"""),3308.0)</f>
        <v>3308</v>
      </c>
      <c r="B795" s="11">
        <f>IFERROR(__xludf.DUMMYFUNCTION("""COMPUTED_VALUE"""),46181.39616822916)</f>
        <v>46181.39617</v>
      </c>
      <c r="C795" s="3" t="str">
        <f>IFERROR(__xludf.DUMMYFUNCTION("""COMPUTED_VALUE"""),"ชั้นปีที่ 2")</f>
        <v>ชั้นปีที่ 2</v>
      </c>
      <c r="D795" s="3" t="str">
        <f>IFERROR(__xludf.DUMMYFUNCTION("""COMPUTED_VALUE"""),"6703828")</f>
        <v>6703828</v>
      </c>
      <c r="E795" s="3" t="str">
        <f>IFERROR(__xludf.DUMMYFUNCTION("""COMPUTED_VALUE"""),"11")</f>
        <v>11</v>
      </c>
      <c r="F795" s="3" t="str">
        <f>IFERROR(__xludf.DUMMYFUNCTION("""COMPUTED_VALUE"""),"นพอ.ชวพร โมลานิล")</f>
        <v>นพอ.ชวพร โมลานิล</v>
      </c>
      <c r="G795" s="3" t="str">
        <f>IFERROR(__xludf.DUMMYFUNCTION("""COMPUTED_VALUE"""),"ช่วยเหลืองานภายใน วพอ.")</f>
        <v>ช่วยเหลืองานภายใน วพอ.</v>
      </c>
      <c r="H795" s="3" t="str">
        <f>IFERROR(__xludf.DUMMYFUNCTION("""COMPUTED_VALUE"""),"ซ้อมเต้นเพลง ฉันมีความสุข")</f>
        <v>ซ้อมเต้นเพลง ฉันมีความสุข</v>
      </c>
      <c r="I795" s="3" t="str">
        <f>IFERROR(__xludf.DUMMYFUNCTION("""COMPUTED_VALUE"""),"วพอ.พอ.")</f>
        <v>วพอ.พอ.</v>
      </c>
      <c r="J795" s="12">
        <f>IFERROR(__xludf.DUMMYFUNCTION("""COMPUTED_VALUE"""),46177.0)</f>
        <v>46177</v>
      </c>
      <c r="K795" s="3" t="str">
        <f>IFERROR(__xludf.DUMMYFUNCTION("""COMPUTED_VALUE"""),"1800-1900")</f>
        <v>1800-1900</v>
      </c>
      <c r="L795" s="3">
        <f>IFERROR(__xludf.DUMMYFUNCTION("""COMPUTED_VALUE"""),1.0)</f>
        <v>1</v>
      </c>
      <c r="M795" s="3" t="str">
        <f>IFERROR(__xludf.DUMMYFUNCTION("""COMPUTED_VALUE"""),"ร.อ.หญิง เบญญาดา บุรีรัตน์")</f>
        <v>ร.อ.หญิง เบญญาดา บุรีรัตน์</v>
      </c>
      <c r="N795" s="14" t="str">
        <f>IFERROR(__xludf.DUMMYFUNCTION("""COMPUTED_VALUE"""),"https://lh5.googleusercontent.com/d/1a2yzJaqkHJa9NEQfGdniZ0AwciwohVMd")</f>
        <v>https://lh5.googleusercontent.com/d/1a2yzJaqkHJa9NEQfGdniZ0AwciwohVMd</v>
      </c>
      <c r="O795" s="14" t="str">
        <f>IFERROR(__xludf.DUMMYFUNCTION("""COMPUTED_VALUE"""),"https://drive.google.com/file/d/1QkC4VG_968I7iAevxvdnhfhwXgMxQNR6/view?usp=drivesdk")</f>
        <v>https://drive.google.com/file/d/1QkC4VG_968I7iAevxvdnhfhwXgMxQNR6/view?usp=drivesdk</v>
      </c>
    </row>
    <row r="796">
      <c r="A796" s="3">
        <f>IFERROR(__xludf.DUMMYFUNCTION("""COMPUTED_VALUE"""),3309.0)</f>
        <v>3309</v>
      </c>
      <c r="B796" s="11">
        <f>IFERROR(__xludf.DUMMYFUNCTION("""COMPUTED_VALUE"""),46181.39942592593)</f>
        <v>46181.39943</v>
      </c>
      <c r="C796" s="3" t="str">
        <f>IFERROR(__xludf.DUMMYFUNCTION("""COMPUTED_VALUE"""),"ชั้นปีที่ 2")</f>
        <v>ชั้นปีที่ 2</v>
      </c>
      <c r="D796" s="3" t="str">
        <f>IFERROR(__xludf.DUMMYFUNCTION("""COMPUTED_VALUE"""),"6703828")</f>
        <v>6703828</v>
      </c>
      <c r="E796" s="3" t="str">
        <f>IFERROR(__xludf.DUMMYFUNCTION("""COMPUTED_VALUE"""),"11")</f>
        <v>11</v>
      </c>
      <c r="F796" s="3" t="str">
        <f>IFERROR(__xludf.DUMMYFUNCTION("""COMPUTED_VALUE"""),"นพอ.ชวพร โมลานิล")</f>
        <v>นพอ.ชวพร โมลานิล</v>
      </c>
      <c r="G796" s="3" t="str">
        <f>IFERROR(__xludf.DUMMYFUNCTION("""COMPUTED_VALUE"""),"ช่วยเหลืองานภายใน วพอ.")</f>
        <v>ช่วยเหลืองานภายใน วพอ.</v>
      </c>
      <c r="H796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796" s="3" t="str">
        <f>IFERROR(__xludf.DUMMYFUNCTION("""COMPUTED_VALUE"""),"อาคารสำนักงานชั้น4")</f>
        <v>อาคารสำนักงานชั้น4</v>
      </c>
      <c r="J796" s="12">
        <f>IFERROR(__xludf.DUMMYFUNCTION("""COMPUTED_VALUE"""),46147.0)</f>
        <v>46147</v>
      </c>
      <c r="K796" s="3" t="str">
        <f>IFERROR(__xludf.DUMMYFUNCTION("""COMPUTED_VALUE"""),"1500-1800")</f>
        <v>1500-1800</v>
      </c>
      <c r="L796" s="3">
        <f>IFERROR(__xludf.DUMMYFUNCTION("""COMPUTED_VALUE"""),4.0)</f>
        <v>4</v>
      </c>
      <c r="M796" s="3" t="str">
        <f>IFERROR(__xludf.DUMMYFUNCTION("""COMPUTED_VALUE"""),"น.ต.ศักชัย บุญประสิทธิ์")</f>
        <v>น.ต.ศักชัย บุญประสิทธิ์</v>
      </c>
      <c r="N796" s="14" t="str">
        <f>IFERROR(__xludf.DUMMYFUNCTION("""COMPUTED_VALUE"""),"https://lh5.googleusercontent.com/d/1dgtAV2F4CfBIUG6fPPg31t25TGGkVoGZ")</f>
        <v>https://lh5.googleusercontent.com/d/1dgtAV2F4CfBIUG6fPPg31t25TGGkVoGZ</v>
      </c>
      <c r="O796" s="14" t="str">
        <f>IFERROR(__xludf.DUMMYFUNCTION("""COMPUTED_VALUE"""),"https://drive.google.com/file/d/1b-yh8K_d-BNMMCjZMOt-kbVHfQ7cnPfe/view?usp=drivesdk")</f>
        <v>https://drive.google.com/file/d/1b-yh8K_d-BNMMCjZMOt-kbVHfQ7cnPfe/view?usp=drivesdk</v>
      </c>
    </row>
    <row r="797">
      <c r="A797" s="3">
        <f>IFERROR(__xludf.DUMMYFUNCTION("""COMPUTED_VALUE"""),3333.0)</f>
        <v>3333</v>
      </c>
      <c r="B797" s="11">
        <f>IFERROR(__xludf.DUMMYFUNCTION("""COMPUTED_VALUE"""),46181.565288750004)</f>
        <v>46181.56529</v>
      </c>
      <c r="C797" s="3" t="str">
        <f>IFERROR(__xludf.DUMMYFUNCTION("""COMPUTED_VALUE"""),"ชั้นปีที่ 2")</f>
        <v>ชั้นปีที่ 2</v>
      </c>
      <c r="D797" s="3" t="str">
        <f>IFERROR(__xludf.DUMMYFUNCTION("""COMPUTED_VALUE"""),"6703881")</f>
        <v>6703881</v>
      </c>
      <c r="E797" s="3" t="str">
        <f>IFERROR(__xludf.DUMMYFUNCTION("""COMPUTED_VALUE"""),"61")</f>
        <v>61</v>
      </c>
      <c r="F797" s="3" t="str">
        <f>IFERROR(__xludf.DUMMYFUNCTION("""COMPUTED_VALUE"""),"นพอ.อัจจิมา สุวรรณประเสริฐ")</f>
        <v>นพอ.อัจจิมา สุวรรณประเสริฐ</v>
      </c>
      <c r="G79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7" s="3" t="str">
        <f>IFERROR(__xludf.DUMMYFUNCTION("""COMPUTED_VALUE"""),"ค่ายเยาวชาพัฒนา ครั้งที่ 215")</f>
        <v>ค่ายเยาวชาพัฒนา ครั้งที่ 215</v>
      </c>
      <c r="I797" s="3" t="str">
        <f>IFERROR(__xludf.DUMMYFUNCTION("""COMPUTED_VALUE"""),"วัดสามบัณฑิต จ.อยุธยา")</f>
        <v>วัดสามบัณฑิต จ.อยุธยา</v>
      </c>
      <c r="J797" s="12">
        <f>IFERROR(__xludf.DUMMYFUNCTION("""COMPUTED_VALUE"""),46136.0)</f>
        <v>46136</v>
      </c>
      <c r="K797" s="3" t="str">
        <f>IFERROR(__xludf.DUMMYFUNCTION("""COMPUTED_VALUE"""),"1600-2400")</f>
        <v>1600-2400</v>
      </c>
      <c r="L797" s="3">
        <f>IFERROR(__xludf.DUMMYFUNCTION("""COMPUTED_VALUE"""),8.0)</f>
        <v>8</v>
      </c>
      <c r="M79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97" s="14" t="str">
        <f>IFERROR(__xludf.DUMMYFUNCTION("""COMPUTED_VALUE"""),"https://lh5.googleusercontent.com/d/1GI9BO82yGIybKBc6W4_dHtETlFbo4zPr")</f>
        <v>https://lh5.googleusercontent.com/d/1GI9BO82yGIybKBc6W4_dHtETlFbo4zPr</v>
      </c>
      <c r="O797" s="14" t="str">
        <f>IFERROR(__xludf.DUMMYFUNCTION("""COMPUTED_VALUE"""),"https://drive.google.com/file/d/1tocSovzW987nvUo1fTznxPxEFUUpovws/view?usp=drivesdk")</f>
        <v>https://drive.google.com/file/d/1tocSovzW987nvUo1fTznxPxEFUUpovws/view?usp=drivesdk</v>
      </c>
    </row>
    <row r="798">
      <c r="A798" s="3">
        <f>IFERROR(__xludf.DUMMYFUNCTION("""COMPUTED_VALUE"""),3344.0)</f>
        <v>3344</v>
      </c>
      <c r="B798" s="11">
        <f>IFERROR(__xludf.DUMMYFUNCTION("""COMPUTED_VALUE"""),46181.57263966435)</f>
        <v>46181.57264</v>
      </c>
      <c r="C798" s="3" t="str">
        <f>IFERROR(__xludf.DUMMYFUNCTION("""COMPUTED_VALUE"""),"ชั้นปีที่ 2")</f>
        <v>ชั้นปีที่ 2</v>
      </c>
      <c r="D798" s="3" t="str">
        <f>IFERROR(__xludf.DUMMYFUNCTION("""COMPUTED_VALUE"""),"6703881")</f>
        <v>6703881</v>
      </c>
      <c r="E798" s="3" t="str">
        <f>IFERROR(__xludf.DUMMYFUNCTION("""COMPUTED_VALUE"""),"61")</f>
        <v>61</v>
      </c>
      <c r="F798" s="3" t="str">
        <f>IFERROR(__xludf.DUMMYFUNCTION("""COMPUTED_VALUE"""),"นพอ.อัจจิมา สุวรรณประเสริฐ")</f>
        <v>นพอ.อัจจิมา สุวรรณประเสริฐ</v>
      </c>
      <c r="G79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8" s="3" t="str">
        <f>IFERROR(__xludf.DUMMYFUNCTION("""COMPUTED_VALUE"""),"ค่ายเยาวชนพัฒนา ครั้งที่ 215")</f>
        <v>ค่ายเยาวชนพัฒนา ครั้งที่ 215</v>
      </c>
      <c r="I798" s="3" t="str">
        <f>IFERROR(__xludf.DUMMYFUNCTION("""COMPUTED_VALUE"""),"วัดสามบัณฑิต จ.อยุธยา")</f>
        <v>วัดสามบัณฑิต จ.อยุธยา</v>
      </c>
      <c r="J798" s="12">
        <f>IFERROR(__xludf.DUMMYFUNCTION("""COMPUTED_VALUE"""),46137.0)</f>
        <v>46137</v>
      </c>
      <c r="K798" s="3" t="str">
        <f>IFERROR(__xludf.DUMMYFUNCTION("""COMPUTED_VALUE"""),"0800-1600")</f>
        <v>0800-1600</v>
      </c>
      <c r="L798" s="3">
        <f>IFERROR(__xludf.DUMMYFUNCTION("""COMPUTED_VALUE"""),8.0)</f>
        <v>8</v>
      </c>
      <c r="M79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98" s="14" t="str">
        <f>IFERROR(__xludf.DUMMYFUNCTION("""COMPUTED_VALUE"""),"https://lh5.googleusercontent.com/d/1CGkgafxeseXjdfht583QYZ6zQTKDMUbg")</f>
        <v>https://lh5.googleusercontent.com/d/1CGkgafxeseXjdfht583QYZ6zQTKDMUbg</v>
      </c>
      <c r="O798" s="14" t="str">
        <f>IFERROR(__xludf.DUMMYFUNCTION("""COMPUTED_VALUE"""),"https://drive.google.com/file/d/1ePo99TIbSZX19DrXvOvVx-OpHCz77c_s/view?usp=drivesdk")</f>
        <v>https://drive.google.com/file/d/1ePo99TIbSZX19DrXvOvVx-OpHCz77c_s/view?usp=drivesdk</v>
      </c>
    </row>
    <row r="799">
      <c r="A799" s="3">
        <f>IFERROR(__xludf.DUMMYFUNCTION("""COMPUTED_VALUE"""),3348.0)</f>
        <v>3348</v>
      </c>
      <c r="B799" s="11">
        <f>IFERROR(__xludf.DUMMYFUNCTION("""COMPUTED_VALUE"""),46181.57466695602)</f>
        <v>46181.57467</v>
      </c>
      <c r="C799" s="3" t="str">
        <f>IFERROR(__xludf.DUMMYFUNCTION("""COMPUTED_VALUE"""),"ชั้นปีที่ 2")</f>
        <v>ชั้นปีที่ 2</v>
      </c>
      <c r="D799" s="3" t="str">
        <f>IFERROR(__xludf.DUMMYFUNCTION("""COMPUTED_VALUE"""),"6703881")</f>
        <v>6703881</v>
      </c>
      <c r="E799" s="3" t="str">
        <f>IFERROR(__xludf.DUMMYFUNCTION("""COMPUTED_VALUE"""),"61")</f>
        <v>61</v>
      </c>
      <c r="F799" s="3" t="str">
        <f>IFERROR(__xludf.DUMMYFUNCTION("""COMPUTED_VALUE"""),"นพอ.อัจจิมา สุวรรณประเสริฐ")</f>
        <v>นพอ.อัจจิมา สุวรรณประเสริฐ</v>
      </c>
      <c r="G7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9" s="3" t="str">
        <f>IFERROR(__xludf.DUMMYFUNCTION("""COMPUTED_VALUE"""),"ค่ายเยาวชนพัฒนา ครั้งที่ 215")</f>
        <v>ค่ายเยาวชนพัฒนา ครั้งที่ 215</v>
      </c>
      <c r="I799" s="3" t="str">
        <f>IFERROR(__xludf.DUMMYFUNCTION("""COMPUTED_VALUE"""),"วัดสามบัณฑิต จ.อยุธยา")</f>
        <v>วัดสามบัณฑิต จ.อยุธยา</v>
      </c>
      <c r="J799" s="12">
        <f>IFERROR(__xludf.DUMMYFUNCTION("""COMPUTED_VALUE"""),46138.0)</f>
        <v>46138</v>
      </c>
      <c r="K799" s="3" t="str">
        <f>IFERROR(__xludf.DUMMYFUNCTION("""COMPUTED_VALUE"""),"0800-1600")</f>
        <v>0800-1600</v>
      </c>
      <c r="L799" s="3">
        <f>IFERROR(__xludf.DUMMYFUNCTION("""COMPUTED_VALUE"""),8.0)</f>
        <v>8</v>
      </c>
      <c r="M79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99" s="14" t="str">
        <f>IFERROR(__xludf.DUMMYFUNCTION("""COMPUTED_VALUE"""),"https://lh5.googleusercontent.com/d/1TwlHXx8IvrYLzPrjIahIpiruw0eUiZN5")</f>
        <v>https://lh5.googleusercontent.com/d/1TwlHXx8IvrYLzPrjIahIpiruw0eUiZN5</v>
      </c>
      <c r="O799" s="14" t="str">
        <f>IFERROR(__xludf.DUMMYFUNCTION("""COMPUTED_VALUE"""),"https://drive.google.com/file/d/1bqtZ5FAs7wsPggS0YP6aAyAiwzOHN3Xr/view?usp=drivesdk")</f>
        <v>https://drive.google.com/file/d/1bqtZ5FAs7wsPggS0YP6aAyAiwzOHN3Xr/view?usp=drivesdk</v>
      </c>
    </row>
    <row r="800">
      <c r="A800" s="3">
        <f>IFERROR(__xludf.DUMMYFUNCTION("""COMPUTED_VALUE"""),3353.0)</f>
        <v>3353</v>
      </c>
      <c r="B800" s="11">
        <f>IFERROR(__xludf.DUMMYFUNCTION("""COMPUTED_VALUE"""),46181.57706028935)</f>
        <v>46181.57706</v>
      </c>
      <c r="C800" s="3" t="str">
        <f>IFERROR(__xludf.DUMMYFUNCTION("""COMPUTED_VALUE"""),"ชั้นปีที่ 2")</f>
        <v>ชั้นปีที่ 2</v>
      </c>
      <c r="D800" s="3" t="str">
        <f>IFERROR(__xludf.DUMMYFUNCTION("""COMPUTED_VALUE"""),"6703881")</f>
        <v>6703881</v>
      </c>
      <c r="E800" s="3" t="str">
        <f>IFERROR(__xludf.DUMMYFUNCTION("""COMPUTED_VALUE"""),"61")</f>
        <v>61</v>
      </c>
      <c r="F800" s="3" t="str">
        <f>IFERROR(__xludf.DUMMYFUNCTION("""COMPUTED_VALUE"""),"นพอ.อัจจิมา สุวรรณประเสริฐ")</f>
        <v>นพอ.อัจจิมา สุวรรณประเสริฐ</v>
      </c>
      <c r="G80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0" s="3" t="str">
        <f>IFERROR(__xludf.DUMMYFUNCTION("""COMPUTED_VALUE"""),"วันเด็กแห่งชาติ 2569")</f>
        <v>วันเด็กแห่งชาติ 2569</v>
      </c>
      <c r="I800" s="3" t="str">
        <f>IFERROR(__xludf.DUMMYFUNCTION("""COMPUTED_VALUE"""),"กองบัญชาการกองทัพไทย")</f>
        <v>กองบัญชาการกองทัพไทย</v>
      </c>
      <c r="J800" s="12">
        <f>IFERROR(__xludf.DUMMYFUNCTION("""COMPUTED_VALUE"""),46032.0)</f>
        <v>46032</v>
      </c>
      <c r="K800" s="3" t="str">
        <f>IFERROR(__xludf.DUMMYFUNCTION("""COMPUTED_VALUE"""),"0600-1400")</f>
        <v>0600-1400</v>
      </c>
      <c r="L800" s="3">
        <f>IFERROR(__xludf.DUMMYFUNCTION("""COMPUTED_VALUE"""),8.0)</f>
        <v>8</v>
      </c>
      <c r="M80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00" s="14" t="str">
        <f>IFERROR(__xludf.DUMMYFUNCTION("""COMPUTED_VALUE"""),"https://lh5.googleusercontent.com/d/1xS5Q7rlLxSnSjdLtAIUsYEA4VhbX-ZsQ")</f>
        <v>https://lh5.googleusercontent.com/d/1xS5Q7rlLxSnSjdLtAIUsYEA4VhbX-ZsQ</v>
      </c>
      <c r="O800" s="14" t="str">
        <f>IFERROR(__xludf.DUMMYFUNCTION("""COMPUTED_VALUE"""),"https://drive.google.com/file/d/1mgWP-uUtrzMX_kowhfbBZnkCQCHJWzd4/view?usp=drivesdk")</f>
        <v>https://drive.google.com/file/d/1mgWP-uUtrzMX_kowhfbBZnkCQCHJWzd4/view?usp=drivesdk</v>
      </c>
    </row>
    <row r="801">
      <c r="A801" s="3">
        <f>IFERROR(__xludf.DUMMYFUNCTION("""COMPUTED_VALUE"""),3357.0)</f>
        <v>3357</v>
      </c>
      <c r="B801" s="11">
        <f>IFERROR(__xludf.DUMMYFUNCTION("""COMPUTED_VALUE"""),46181.58016699074)</f>
        <v>46181.58017</v>
      </c>
      <c r="C801" s="3" t="str">
        <f>IFERROR(__xludf.DUMMYFUNCTION("""COMPUTED_VALUE"""),"ชั้นปีที่ 2")</f>
        <v>ชั้นปีที่ 2</v>
      </c>
      <c r="D801" s="3" t="str">
        <f>IFERROR(__xludf.DUMMYFUNCTION("""COMPUTED_VALUE"""),"6703881")</f>
        <v>6703881</v>
      </c>
      <c r="E801" s="3" t="str">
        <f>IFERROR(__xludf.DUMMYFUNCTION("""COMPUTED_VALUE"""),"61")</f>
        <v>61</v>
      </c>
      <c r="F801" s="3" t="str">
        <f>IFERROR(__xludf.DUMMYFUNCTION("""COMPUTED_VALUE"""),"นพอ.อัจจิมา สุวรรณประเสริฐ")</f>
        <v>นพอ.อัจจิมา สุวรรณประเสริฐ</v>
      </c>
      <c r="G80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1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01" s="3" t="str">
        <f>IFERROR(__xludf.DUMMYFUNCTION("""COMPUTED_VALUE"""),"สนามกีฬาธูปะเตมีย์")</f>
        <v>สนามกีฬาธูปะเตมีย์</v>
      </c>
      <c r="J801" s="12">
        <f>IFERROR(__xludf.DUMMYFUNCTION("""COMPUTED_VALUE"""),46078.0)</f>
        <v>46078</v>
      </c>
      <c r="K801" s="3" t="str">
        <f>IFERROR(__xludf.DUMMYFUNCTION("""COMPUTED_VALUE"""),"1200-2000")</f>
        <v>1200-2000</v>
      </c>
      <c r="L801" s="3">
        <f>IFERROR(__xludf.DUMMYFUNCTION("""COMPUTED_VALUE"""),8.0)</f>
        <v>8</v>
      </c>
      <c r="M80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01" s="14" t="str">
        <f>IFERROR(__xludf.DUMMYFUNCTION("""COMPUTED_VALUE"""),"https://lh5.googleusercontent.com/d/1n9C9iijmO0u54yiu4BTG1sfZ5mp1t9Qf")</f>
        <v>https://lh5.googleusercontent.com/d/1n9C9iijmO0u54yiu4BTG1sfZ5mp1t9Qf</v>
      </c>
      <c r="O801" s="14" t="str">
        <f>IFERROR(__xludf.DUMMYFUNCTION("""COMPUTED_VALUE"""),"https://drive.google.com/file/d/1gCzfIReZvJUDkhQiMX5VuIT-PcCvX0J4/view?usp=drivesdk")</f>
        <v>https://drive.google.com/file/d/1gCzfIReZvJUDkhQiMX5VuIT-PcCvX0J4/view?usp=drivesdk</v>
      </c>
    </row>
    <row r="802">
      <c r="A802" s="3">
        <f>IFERROR(__xludf.DUMMYFUNCTION("""COMPUTED_VALUE"""),3360.0)</f>
        <v>3360</v>
      </c>
      <c r="B802" s="11">
        <f>IFERROR(__xludf.DUMMYFUNCTION("""COMPUTED_VALUE"""),46181.589058564816)</f>
        <v>46181.58906</v>
      </c>
      <c r="C802" s="3" t="str">
        <f>IFERROR(__xludf.DUMMYFUNCTION("""COMPUTED_VALUE"""),"ชั้นปีที่ 2")</f>
        <v>ชั้นปีที่ 2</v>
      </c>
      <c r="D802" s="3" t="str">
        <f>IFERROR(__xludf.DUMMYFUNCTION("""COMPUTED_VALUE"""),"6703881")</f>
        <v>6703881</v>
      </c>
      <c r="E802" s="3" t="str">
        <f>IFERROR(__xludf.DUMMYFUNCTION("""COMPUTED_VALUE"""),"61")</f>
        <v>61</v>
      </c>
      <c r="F802" s="3" t="str">
        <f>IFERROR(__xludf.DUMMYFUNCTION("""COMPUTED_VALUE"""),"นพอ.อัจจิมา สุวรรณประเสริฐ")</f>
        <v>นพอ.อัจจิมา สุวรรณประเสริฐ</v>
      </c>
      <c r="G802" s="3" t="str">
        <f>IFERROR(__xludf.DUMMYFUNCTION("""COMPUTED_VALUE"""),"ช่วยเหลืองานภายใน วพอ.")</f>
        <v>ช่วยเหลืองานภายใน วพอ.</v>
      </c>
      <c r="H802" s="3" t="str">
        <f>IFERROR(__xludf.DUMMYFUNCTION("""COMPUTED_VALUE"""),"งานมอบหมวกพยาบาลวิชาชีพ ปีการศึกษา 2568")</f>
        <v>งานมอบหมวกพยาบาลวิชาชีพ ปีการศึกษา 2568</v>
      </c>
      <c r="I802" s="3" t="str">
        <f>IFERROR(__xludf.DUMMYFUNCTION("""COMPUTED_VALUE"""),"วพอ.พอ.")</f>
        <v>วพอ.พอ.</v>
      </c>
      <c r="J802" s="12">
        <f>IFERROR(__xludf.DUMMYFUNCTION("""COMPUTED_VALUE"""),46138.0)</f>
        <v>46138</v>
      </c>
      <c r="K802" s="3" t="str">
        <f>IFERROR(__xludf.DUMMYFUNCTION("""COMPUTED_VALUE"""),"1500-2100")</f>
        <v>1500-2100</v>
      </c>
      <c r="L802" s="3">
        <f>IFERROR(__xludf.DUMMYFUNCTION("""COMPUTED_VALUE"""),6.0)</f>
        <v>6</v>
      </c>
      <c r="M802" s="3" t="str">
        <f>IFERROR(__xludf.DUMMYFUNCTION("""COMPUTED_VALUE"""),"ร.อ.อนุชิต ทำจะดี")</f>
        <v>ร.อ.อนุชิต ทำจะดี</v>
      </c>
      <c r="N802" s="14" t="str">
        <f>IFERROR(__xludf.DUMMYFUNCTION("""COMPUTED_VALUE"""),"https://lh5.googleusercontent.com/d/1mhzwD76GYBo4ZJt6EVDIOGhrDcAz0uGI")</f>
        <v>https://lh5.googleusercontent.com/d/1mhzwD76GYBo4ZJt6EVDIOGhrDcAz0uGI</v>
      </c>
      <c r="O802" s="14" t="str">
        <f>IFERROR(__xludf.DUMMYFUNCTION("""COMPUTED_VALUE"""),"https://drive.google.com/file/d/1h1YN-ifSs_1ghn8p4bVWq9uFMs6YezDK/view?usp=drivesdk")</f>
        <v>https://drive.google.com/file/d/1h1YN-ifSs_1ghn8p4bVWq9uFMs6YezDK/view?usp=drivesdk</v>
      </c>
    </row>
    <row r="803">
      <c r="A803" s="3">
        <f>IFERROR(__xludf.DUMMYFUNCTION("""COMPUTED_VALUE"""),3363.0)</f>
        <v>3363</v>
      </c>
      <c r="B803" s="11">
        <f>IFERROR(__xludf.DUMMYFUNCTION("""COMPUTED_VALUE"""),46181.59673960648)</f>
        <v>46181.59674</v>
      </c>
      <c r="C803" s="3" t="str">
        <f>IFERROR(__xludf.DUMMYFUNCTION("""COMPUTED_VALUE"""),"ชั้นปีที่ 2")</f>
        <v>ชั้นปีที่ 2</v>
      </c>
      <c r="D803" s="3" t="str">
        <f>IFERROR(__xludf.DUMMYFUNCTION("""COMPUTED_VALUE"""),"6703881")</f>
        <v>6703881</v>
      </c>
      <c r="E803" s="3" t="str">
        <f>IFERROR(__xludf.DUMMYFUNCTION("""COMPUTED_VALUE"""),"61")</f>
        <v>61</v>
      </c>
      <c r="F803" s="3" t="str">
        <f>IFERROR(__xludf.DUMMYFUNCTION("""COMPUTED_VALUE"""),"นพอ.อัจจิมา สุวรรณประเสริฐ")</f>
        <v>นพอ.อัจจิมา สุวรรณประเสริฐ</v>
      </c>
      <c r="G803" s="3" t="str">
        <f>IFERROR(__xludf.DUMMYFUNCTION("""COMPUTED_VALUE"""),"ช่วยเหลืองานภายใน วพอ.")</f>
        <v>ช่วยเหลืองานภายใน วพอ.</v>
      </c>
      <c r="H803" s="3" t="str">
        <f>IFERROR(__xludf.DUMMYFUNCTION("""COMPUTED_VALUE"""),"ทดสอบสมรรถภาพร่างกาย นพอ.69")</f>
        <v>ทดสอบสมรรถภาพร่างกาย นพอ.69</v>
      </c>
      <c r="I803" s="3" t="str">
        <f>IFERROR(__xludf.DUMMYFUNCTION("""COMPUTED_VALUE"""),"สนามกีฬาจันทรุเบกษา")</f>
        <v>สนามกีฬาจันทรุเบกษา</v>
      </c>
      <c r="J803" s="12">
        <f>IFERROR(__xludf.DUMMYFUNCTION("""COMPUTED_VALUE"""),46147.0)</f>
        <v>46147</v>
      </c>
      <c r="K803" s="3" t="str">
        <f>IFERROR(__xludf.DUMMYFUNCTION("""COMPUTED_VALUE"""),"1600-1900")</f>
        <v>1600-1900</v>
      </c>
      <c r="L803" s="3">
        <f>IFERROR(__xludf.DUMMYFUNCTION("""COMPUTED_VALUE"""),3.0)</f>
        <v>3</v>
      </c>
      <c r="M803" s="3" t="str">
        <f>IFERROR(__xludf.DUMMYFUNCTION("""COMPUTED_VALUE"""),"น.ต.ศักชัย บุญประสิทธิ์")</f>
        <v>น.ต.ศักชัย บุญประสิทธิ์</v>
      </c>
      <c r="N803" s="14" t="str">
        <f>IFERROR(__xludf.DUMMYFUNCTION("""COMPUTED_VALUE"""),"https://lh5.googleusercontent.com/d/1levfkz2pwW5nKkhYTt1kQxgaZjQzk_70")</f>
        <v>https://lh5.googleusercontent.com/d/1levfkz2pwW5nKkhYTt1kQxgaZjQzk_70</v>
      </c>
      <c r="O803" s="14" t="str">
        <f>IFERROR(__xludf.DUMMYFUNCTION("""COMPUTED_VALUE"""),"https://drive.google.com/file/d/19uxdemVqfjYHHZu78MSYV0_p3SzNczzk/view?usp=drivesdk")</f>
        <v>https://drive.google.com/file/d/19uxdemVqfjYHHZu78MSYV0_p3SzNczzk/view?usp=drivesdk</v>
      </c>
    </row>
    <row r="804">
      <c r="A804" s="3">
        <f>IFERROR(__xludf.DUMMYFUNCTION("""COMPUTED_VALUE"""),3364.0)</f>
        <v>3364</v>
      </c>
      <c r="B804" s="11">
        <f>IFERROR(__xludf.DUMMYFUNCTION("""COMPUTED_VALUE"""),46181.59894773148)</f>
        <v>46181.59895</v>
      </c>
      <c r="C804" s="3" t="str">
        <f>IFERROR(__xludf.DUMMYFUNCTION("""COMPUTED_VALUE"""),"ชั้นปีที่ 2")</f>
        <v>ชั้นปีที่ 2</v>
      </c>
      <c r="D804" s="3" t="str">
        <f>IFERROR(__xludf.DUMMYFUNCTION("""COMPUTED_VALUE"""),"6703881")</f>
        <v>6703881</v>
      </c>
      <c r="E804" s="3" t="str">
        <f>IFERROR(__xludf.DUMMYFUNCTION("""COMPUTED_VALUE"""),"61")</f>
        <v>61</v>
      </c>
      <c r="F804" s="3" t="str">
        <f>IFERROR(__xludf.DUMMYFUNCTION("""COMPUTED_VALUE"""),"นพอ.อัจจิมา สุวรรณประเสริฐ")</f>
        <v>นพอ.อัจจิมา สุวรรณประเสริฐ</v>
      </c>
      <c r="G804" s="3" t="str">
        <f>IFERROR(__xludf.DUMMYFUNCTION("""COMPUTED_VALUE"""),"ช่วยเหลืองานภายใน วพอ.")</f>
        <v>ช่วยเหลืองานภายใน วพอ.</v>
      </c>
      <c r="H804" s="3" t="str">
        <f>IFERROR(__xludf.DUMMYFUNCTION("""COMPUTED_VALUE"""),"งานรับหมวกพยาบาลวิชาชีพ ปีการศึกษา 2568")</f>
        <v>งานรับหมวกพยาบาลวิชาชีพ ปีการศึกษา 2568</v>
      </c>
      <c r="I804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804" s="12">
        <f>IFERROR(__xludf.DUMMYFUNCTION("""COMPUTED_VALUE"""),46139.0)</f>
        <v>46139</v>
      </c>
      <c r="K804" s="3" t="str">
        <f>IFERROR(__xludf.DUMMYFUNCTION("""COMPUTED_VALUE"""),"0800-1200")</f>
        <v>0800-1200</v>
      </c>
      <c r="L804" s="3">
        <f>IFERROR(__xludf.DUMMYFUNCTION("""COMPUTED_VALUE"""),4.0)</f>
        <v>4</v>
      </c>
      <c r="M804" s="3" t="str">
        <f>IFERROR(__xludf.DUMMYFUNCTION("""COMPUTED_VALUE"""),"ร.อ.อนุชิต ทำจะดี")</f>
        <v>ร.อ.อนุชิต ทำจะดี</v>
      </c>
      <c r="N804" s="14" t="str">
        <f>IFERROR(__xludf.DUMMYFUNCTION("""COMPUTED_VALUE"""),"https://lh5.googleusercontent.com/d/1pQs-DhlA7OZDeFrmYy5k7tofivInOBaO")</f>
        <v>https://lh5.googleusercontent.com/d/1pQs-DhlA7OZDeFrmYy5k7tofivInOBaO</v>
      </c>
      <c r="O804" s="14" t="str">
        <f>IFERROR(__xludf.DUMMYFUNCTION("""COMPUTED_VALUE"""),"https://drive.google.com/file/d/1C3mKinMXAzaZwdReYiz6B-3WNsU1k2-z/view?usp=drivesdk")</f>
        <v>https://drive.google.com/file/d/1C3mKinMXAzaZwdReYiz6B-3WNsU1k2-z/view?usp=drivesdk</v>
      </c>
    </row>
    <row r="805">
      <c r="A805" s="3">
        <f>IFERROR(__xludf.DUMMYFUNCTION("""COMPUTED_VALUE"""),3367.0)</f>
        <v>3367</v>
      </c>
      <c r="B805" s="11">
        <f>IFERROR(__xludf.DUMMYFUNCTION("""COMPUTED_VALUE"""),46181.60873583333)</f>
        <v>46181.60874</v>
      </c>
      <c r="C805" s="3" t="str">
        <f>IFERROR(__xludf.DUMMYFUNCTION("""COMPUTED_VALUE"""),"ชั้นปีที่ 2")</f>
        <v>ชั้นปีที่ 2</v>
      </c>
      <c r="D805" s="3" t="str">
        <f>IFERROR(__xludf.DUMMYFUNCTION("""COMPUTED_VALUE"""),"6703881")</f>
        <v>6703881</v>
      </c>
      <c r="E805" s="3" t="str">
        <f>IFERROR(__xludf.DUMMYFUNCTION("""COMPUTED_VALUE"""),"61")</f>
        <v>61</v>
      </c>
      <c r="F805" s="3" t="str">
        <f>IFERROR(__xludf.DUMMYFUNCTION("""COMPUTED_VALUE"""),"นพอ.อัจจิมา สุวรรณประเสริฐ")</f>
        <v>นพอ.อัจจิมา สุวรรณประเสริฐ</v>
      </c>
      <c r="G805" s="3" t="str">
        <f>IFERROR(__xludf.DUMMYFUNCTION("""COMPUTED_VALUE"""),"ช่วยเหลืองานภายใน วพอ.")</f>
        <v>ช่วยเหลืองานภายใน วพอ.</v>
      </c>
      <c r="H805" s="3" t="str">
        <f>IFERROR(__xludf.DUMMYFUNCTION("""COMPUTED_VALUE"""),"ปรับปรุงทัศนียภาพภายใน วพอ.พอ.")</f>
        <v>ปรับปรุงทัศนียภาพภายใน วพอ.พอ.</v>
      </c>
      <c r="I805" s="3" t="str">
        <f>IFERROR(__xludf.DUMMYFUNCTION("""COMPUTED_VALUE"""),"วพอ.พอ.")</f>
        <v>วพอ.พอ.</v>
      </c>
      <c r="J805" s="12">
        <f>IFERROR(__xludf.DUMMYFUNCTION("""COMPUTED_VALUE"""),46177.0)</f>
        <v>46177</v>
      </c>
      <c r="K805" s="3" t="str">
        <f>IFERROR(__xludf.DUMMYFUNCTION("""COMPUTED_VALUE"""),"1430-1730")</f>
        <v>1430-1730</v>
      </c>
      <c r="L805" s="3">
        <f>IFERROR(__xludf.DUMMYFUNCTION("""COMPUTED_VALUE"""),3.0)</f>
        <v>3</v>
      </c>
      <c r="M805" s="3" t="str">
        <f>IFERROR(__xludf.DUMMYFUNCTION("""COMPUTED_VALUE"""),"น.อ.หญิง ผศ.นิตยา สุขแสน")</f>
        <v>น.อ.หญิง ผศ.นิตยา สุขแสน</v>
      </c>
      <c r="N805" s="14" t="str">
        <f>IFERROR(__xludf.DUMMYFUNCTION("""COMPUTED_VALUE"""),"https://lh5.googleusercontent.com/d/18fwDP0wmTO1d_wFNoovkvFKKwJ3whLDO")</f>
        <v>https://lh5.googleusercontent.com/d/18fwDP0wmTO1d_wFNoovkvFKKwJ3whLDO</v>
      </c>
      <c r="O805" s="14" t="str">
        <f>IFERROR(__xludf.DUMMYFUNCTION("""COMPUTED_VALUE"""),"https://drive.google.com/file/d/1iyJOU-wXo7OzDXyA3-xzDazynUwjDKhB/view?usp=drivesdk")</f>
        <v>https://drive.google.com/file/d/1iyJOU-wXo7OzDXyA3-xzDazynUwjDKhB/view?usp=drivesdk</v>
      </c>
    </row>
    <row r="806">
      <c r="A806" s="3">
        <f>IFERROR(__xludf.DUMMYFUNCTION("""COMPUTED_VALUE"""),3369.0)</f>
        <v>3369</v>
      </c>
      <c r="B806" s="11">
        <f>IFERROR(__xludf.DUMMYFUNCTION("""COMPUTED_VALUE"""),46181.610703206024)</f>
        <v>46181.6107</v>
      </c>
      <c r="C806" s="3" t="str">
        <f>IFERROR(__xludf.DUMMYFUNCTION("""COMPUTED_VALUE"""),"ชั้นปีที่ 2")</f>
        <v>ชั้นปีที่ 2</v>
      </c>
      <c r="D806" s="3" t="str">
        <f>IFERROR(__xludf.DUMMYFUNCTION("""COMPUTED_VALUE"""),"6703881")</f>
        <v>6703881</v>
      </c>
      <c r="E806" s="3" t="str">
        <f>IFERROR(__xludf.DUMMYFUNCTION("""COMPUTED_VALUE"""),"61")</f>
        <v>61</v>
      </c>
      <c r="F806" s="3" t="str">
        <f>IFERROR(__xludf.DUMMYFUNCTION("""COMPUTED_VALUE"""),"นพอ.อัจจิมา สุวรรณประเสริฐ")</f>
        <v>นพอ.อัจจิมา สุวรรณประเสริฐ</v>
      </c>
      <c r="G806" s="3" t="str">
        <f>IFERROR(__xludf.DUMMYFUNCTION("""COMPUTED_VALUE"""),"ช่วยเหลืองานภายใน วพอ.")</f>
        <v>ช่วยเหลืองานภายใน วพอ.</v>
      </c>
      <c r="H806" s="3" t="str">
        <f>IFERROR(__xludf.DUMMYFUNCTION("""COMPUTED_VALUE"""),"ซ้อมเต้นเพลง ฉันมีความสุข")</f>
        <v>ซ้อมเต้นเพลง ฉันมีความสุข</v>
      </c>
      <c r="I806" s="3" t="str">
        <f>IFERROR(__xludf.DUMMYFUNCTION("""COMPUTED_VALUE"""),"วพอ.พอ.")</f>
        <v>วพอ.พอ.</v>
      </c>
      <c r="J806" s="12">
        <f>IFERROR(__xludf.DUMMYFUNCTION("""COMPUTED_VALUE"""),46176.0)</f>
        <v>46176</v>
      </c>
      <c r="K806" s="3" t="str">
        <f>IFERROR(__xludf.DUMMYFUNCTION("""COMPUTED_VALUE"""),"1800-1900")</f>
        <v>1800-1900</v>
      </c>
      <c r="L806" s="3">
        <f>IFERROR(__xludf.DUMMYFUNCTION("""COMPUTED_VALUE"""),1.0)</f>
        <v>1</v>
      </c>
      <c r="M806" s="3" t="str">
        <f>IFERROR(__xludf.DUMMYFUNCTION("""COMPUTED_VALUE"""),"ร.อ.หญิง เบญญาดา บุรีรัตน์")</f>
        <v>ร.อ.หญิง เบญญาดา บุรีรัตน์</v>
      </c>
      <c r="N806" s="14" t="str">
        <f>IFERROR(__xludf.DUMMYFUNCTION("""COMPUTED_VALUE"""),"https://lh5.googleusercontent.com/d/1krHcHVC6t4YO_62ADWqqyD7blPKUyLHK")</f>
        <v>https://lh5.googleusercontent.com/d/1krHcHVC6t4YO_62ADWqqyD7blPKUyLHK</v>
      </c>
      <c r="O806" s="14" t="str">
        <f>IFERROR(__xludf.DUMMYFUNCTION("""COMPUTED_VALUE"""),"https://drive.google.com/file/d/1eTbA72Jn4yz5j7Ewo5b3RtgPCZ09C_D0/view?usp=drivesdk")</f>
        <v>https://drive.google.com/file/d/1eTbA72Jn4yz5j7Ewo5b3RtgPCZ09C_D0/view?usp=drivesdk</v>
      </c>
    </row>
    <row r="807">
      <c r="A807" s="3">
        <f>IFERROR(__xludf.DUMMYFUNCTION("""COMPUTED_VALUE"""),3372.0)</f>
        <v>3372</v>
      </c>
      <c r="B807" s="11">
        <f>IFERROR(__xludf.DUMMYFUNCTION("""COMPUTED_VALUE"""),46181.62873107639)</f>
        <v>46181.62873</v>
      </c>
      <c r="C807" s="3" t="str">
        <f>IFERROR(__xludf.DUMMYFUNCTION("""COMPUTED_VALUE"""),"ชั้นปีที่ 2")</f>
        <v>ชั้นปีที่ 2</v>
      </c>
      <c r="D807" s="3" t="str">
        <f>IFERROR(__xludf.DUMMYFUNCTION("""COMPUTED_VALUE"""),"6703844")</f>
        <v>6703844</v>
      </c>
      <c r="E807" s="3" t="str">
        <f>IFERROR(__xludf.DUMMYFUNCTION("""COMPUTED_VALUE"""),"26")</f>
        <v>26</v>
      </c>
      <c r="F807" s="3" t="str">
        <f>IFERROR(__xludf.DUMMYFUNCTION("""COMPUTED_VALUE"""),"นพอ.นพชกร ทิวแพ")</f>
        <v>นพอ.นพชกร ทิวแพ</v>
      </c>
      <c r="G807" s="3" t="str">
        <f>IFERROR(__xludf.DUMMYFUNCTION("""COMPUTED_VALUE"""),"ช่วยเหลืองานภายใน วพอ.")</f>
        <v>ช่วยเหลืองานภายใน วพอ.</v>
      </c>
      <c r="H807" s="3" t="str">
        <f>IFERROR(__xludf.DUMMYFUNCTION("""COMPUTED_VALUE"""),"ซ้อมเต้นเพลง ฉันมีความสุข")</f>
        <v>ซ้อมเต้นเพลง ฉันมีความสุข</v>
      </c>
      <c r="I807" s="3" t="str">
        <f>IFERROR(__xludf.DUMMYFUNCTION("""COMPUTED_VALUE"""),"วพอ.พอ.")</f>
        <v>วพอ.พอ.</v>
      </c>
      <c r="J807" s="12">
        <f>IFERROR(__xludf.DUMMYFUNCTION("""COMPUTED_VALUE"""),46177.0)</f>
        <v>46177</v>
      </c>
      <c r="K807" s="3" t="str">
        <f>IFERROR(__xludf.DUMMYFUNCTION("""COMPUTED_VALUE"""),"1800-1900")</f>
        <v>1800-1900</v>
      </c>
      <c r="L807" s="3">
        <f>IFERROR(__xludf.DUMMYFUNCTION("""COMPUTED_VALUE"""),1.0)</f>
        <v>1</v>
      </c>
      <c r="M807" s="3" t="str">
        <f>IFERROR(__xludf.DUMMYFUNCTION("""COMPUTED_VALUE"""),"ร.อ.หญิง เบญญาดา บุรีรัตน์")</f>
        <v>ร.อ.หญิง เบญญาดา บุรีรัตน์</v>
      </c>
      <c r="N807" s="14" t="str">
        <f>IFERROR(__xludf.DUMMYFUNCTION("""COMPUTED_VALUE"""),"https://lh5.googleusercontent.com/d/1vNJir2RrvjeCMJXD-idRBYS8bw4SokyH")</f>
        <v>https://lh5.googleusercontent.com/d/1vNJir2RrvjeCMJXD-idRBYS8bw4SokyH</v>
      </c>
      <c r="O807" s="14" t="str">
        <f>IFERROR(__xludf.DUMMYFUNCTION("""COMPUTED_VALUE"""),"https://drive.google.com/file/d/1aS8eiTsZzOKNyDHFDyOWpbafuQQ4xSmn/view?usp=drivesdk")</f>
        <v>https://drive.google.com/file/d/1aS8eiTsZzOKNyDHFDyOWpbafuQQ4xSmn/view?usp=drivesdk</v>
      </c>
    </row>
    <row r="808">
      <c r="A808" s="3">
        <f>IFERROR(__xludf.DUMMYFUNCTION("""COMPUTED_VALUE"""),3373.0)</f>
        <v>3373</v>
      </c>
      <c r="B808" s="11">
        <f>IFERROR(__xludf.DUMMYFUNCTION("""COMPUTED_VALUE"""),46181.631379652776)</f>
        <v>46181.63138</v>
      </c>
      <c r="C808" s="3" t="str">
        <f>IFERROR(__xludf.DUMMYFUNCTION("""COMPUTED_VALUE"""),"ชั้นปีที่ 2")</f>
        <v>ชั้นปีที่ 2</v>
      </c>
      <c r="D808" s="3" t="str">
        <f>IFERROR(__xludf.DUMMYFUNCTION("""COMPUTED_VALUE"""),"6703844")</f>
        <v>6703844</v>
      </c>
      <c r="E808" s="3" t="str">
        <f>IFERROR(__xludf.DUMMYFUNCTION("""COMPUTED_VALUE"""),"26")</f>
        <v>26</v>
      </c>
      <c r="F808" s="3" t="str">
        <f>IFERROR(__xludf.DUMMYFUNCTION("""COMPUTED_VALUE"""),"นพอ.นพชกร ทิวแพ")</f>
        <v>นพอ.นพชกร ทิวแพ</v>
      </c>
      <c r="G808" s="3" t="str">
        <f>IFERROR(__xludf.DUMMYFUNCTION("""COMPUTED_VALUE"""),"ช่วยเหลืองานภายใน วพอ.")</f>
        <v>ช่วยเหลืองานภายใน วพอ.</v>
      </c>
      <c r="H808" s="3" t="str">
        <f>IFERROR(__xludf.DUMMYFUNCTION("""COMPUTED_VALUE"""),"ซ้อมเต้นเพลง ฉันมีความสุข")</f>
        <v>ซ้อมเต้นเพลง ฉันมีความสุข</v>
      </c>
      <c r="I808" s="3" t="str">
        <f>IFERROR(__xludf.DUMMYFUNCTION("""COMPUTED_VALUE"""),"วพอ.พอ.")</f>
        <v>วพอ.พอ.</v>
      </c>
      <c r="J808" s="12">
        <f>IFERROR(__xludf.DUMMYFUNCTION("""COMPUTED_VALUE"""),46178.0)</f>
        <v>46178</v>
      </c>
      <c r="K808" s="3" t="str">
        <f>IFERROR(__xludf.DUMMYFUNCTION("""COMPUTED_VALUE"""),"1300-1400")</f>
        <v>1300-1400</v>
      </c>
      <c r="L808" s="3">
        <f>IFERROR(__xludf.DUMMYFUNCTION("""COMPUTED_VALUE"""),1.0)</f>
        <v>1</v>
      </c>
      <c r="M808" s="3" t="str">
        <f>IFERROR(__xludf.DUMMYFUNCTION("""COMPUTED_VALUE"""),"ร.อ.หญิง เบญญาดา บุรีรัตน์")</f>
        <v>ร.อ.หญิง เบญญาดา บุรีรัตน์</v>
      </c>
      <c r="N808" s="14" t="str">
        <f>IFERROR(__xludf.DUMMYFUNCTION("""COMPUTED_VALUE"""),"https://lh5.googleusercontent.com/d/1j7kF_Fkv4R0oom6iNiFEMqy8n5C60ffB")</f>
        <v>https://lh5.googleusercontent.com/d/1j7kF_Fkv4R0oom6iNiFEMqy8n5C60ffB</v>
      </c>
      <c r="O808" s="14" t="str">
        <f>IFERROR(__xludf.DUMMYFUNCTION("""COMPUTED_VALUE"""),"https://drive.google.com/file/d/1PJYjnO0SJiAPxqfI41IzNlICLJl3okcD/view?usp=drivesdk")</f>
        <v>https://drive.google.com/file/d/1PJYjnO0SJiAPxqfI41IzNlICLJl3okcD/view?usp=drivesdk</v>
      </c>
    </row>
    <row r="809">
      <c r="A809" s="3">
        <f>IFERROR(__xludf.DUMMYFUNCTION("""COMPUTED_VALUE"""),3375.0)</f>
        <v>3375</v>
      </c>
      <c r="B809" s="11">
        <f>IFERROR(__xludf.DUMMYFUNCTION("""COMPUTED_VALUE"""),46181.66641518519)</f>
        <v>46181.66642</v>
      </c>
      <c r="C809" s="3" t="str">
        <f>IFERROR(__xludf.DUMMYFUNCTION("""COMPUTED_VALUE"""),"ชั้นปีที่ 2")</f>
        <v>ชั้นปีที่ 2</v>
      </c>
      <c r="D809" s="3" t="str">
        <f>IFERROR(__xludf.DUMMYFUNCTION("""COMPUTED_VALUE"""),"6703874")</f>
        <v>6703874</v>
      </c>
      <c r="E809" s="3" t="str">
        <f>IFERROR(__xludf.DUMMYFUNCTION("""COMPUTED_VALUE"""),"54")</f>
        <v>54</v>
      </c>
      <c r="F809" s="3" t="str">
        <f>IFERROR(__xludf.DUMMYFUNCTION("""COMPUTED_VALUE"""),"นพอ.สรารัตน์ หาญจันทร์")</f>
        <v>นพอ.สรารัตน์ หาญจันทร์</v>
      </c>
      <c r="G809" s="3" t="str">
        <f>IFERROR(__xludf.DUMMYFUNCTION("""COMPUTED_VALUE"""),"ช่วยเหลืองานภายใน วพอ.")</f>
        <v>ช่วยเหลืองานภายใน วพอ.</v>
      </c>
      <c r="H809" s="3" t="str">
        <f>IFERROR(__xludf.DUMMYFUNCTION("""COMPUTED_VALUE"""),"ซ้อมเต้นเพลง ฉันมีความสุข")</f>
        <v>ซ้อมเต้นเพลง ฉันมีความสุข</v>
      </c>
      <c r="I809" s="3" t="str">
        <f>IFERROR(__xludf.DUMMYFUNCTION("""COMPUTED_VALUE"""),"วพอ.พอ.")</f>
        <v>วพอ.พอ.</v>
      </c>
      <c r="J809" s="12">
        <f>IFERROR(__xludf.DUMMYFUNCTION("""COMPUTED_VALUE"""),46176.0)</f>
        <v>46176</v>
      </c>
      <c r="K809" s="3" t="str">
        <f>IFERROR(__xludf.DUMMYFUNCTION("""COMPUTED_VALUE"""),"1800-1900")</f>
        <v>1800-1900</v>
      </c>
      <c r="L809" s="3">
        <f>IFERROR(__xludf.DUMMYFUNCTION("""COMPUTED_VALUE"""),1.0)</f>
        <v>1</v>
      </c>
      <c r="M809" s="3" t="str">
        <f>IFERROR(__xludf.DUMMYFUNCTION("""COMPUTED_VALUE"""),"ร.อ.หญิง เบญญาดา บุรีรัตน์")</f>
        <v>ร.อ.หญิง เบญญาดา บุรีรัตน์</v>
      </c>
      <c r="N809" s="14" t="str">
        <f>IFERROR(__xludf.DUMMYFUNCTION("""COMPUTED_VALUE"""),"https://lh5.googleusercontent.com/d/19Dbp4XvcmZZ0hQCY3S1UHMceM_E58XK2")</f>
        <v>https://lh5.googleusercontent.com/d/19Dbp4XvcmZZ0hQCY3S1UHMceM_E58XK2</v>
      </c>
      <c r="O809" s="14" t="str">
        <f>IFERROR(__xludf.DUMMYFUNCTION("""COMPUTED_VALUE"""),"https://drive.google.com/file/d/17opHE1EHiFnkTzc39q9vXJyvSu6l0Dap/view?usp=drivesdk")</f>
        <v>https://drive.google.com/file/d/17opHE1EHiFnkTzc39q9vXJyvSu6l0Dap/view?usp=drivesdk</v>
      </c>
    </row>
    <row r="810">
      <c r="A810" s="3">
        <f>IFERROR(__xludf.DUMMYFUNCTION("""COMPUTED_VALUE"""),3376.0)</f>
        <v>3376</v>
      </c>
      <c r="B810" s="11">
        <f>IFERROR(__xludf.DUMMYFUNCTION("""COMPUTED_VALUE"""),46181.671580023154)</f>
        <v>46181.67158</v>
      </c>
      <c r="C810" s="3" t="str">
        <f>IFERROR(__xludf.DUMMYFUNCTION("""COMPUTED_VALUE"""),"ชั้นปีที่ 2")</f>
        <v>ชั้นปีที่ 2</v>
      </c>
      <c r="D810" s="3" t="str">
        <f>IFERROR(__xludf.DUMMYFUNCTION("""COMPUTED_VALUE"""),"6703874")</f>
        <v>6703874</v>
      </c>
      <c r="E810" s="3" t="str">
        <f>IFERROR(__xludf.DUMMYFUNCTION("""COMPUTED_VALUE"""),"54")</f>
        <v>54</v>
      </c>
      <c r="F810" s="3" t="str">
        <f>IFERROR(__xludf.DUMMYFUNCTION("""COMPUTED_VALUE"""),"นพอ.สรารัตน์ หาญจันทร์")</f>
        <v>นพอ.สรารัตน์ หาญจันทร์</v>
      </c>
      <c r="G810" s="3" t="str">
        <f>IFERROR(__xludf.DUMMYFUNCTION("""COMPUTED_VALUE"""),"ช่วยเหลืองานภายใน วพอ.")</f>
        <v>ช่วยเหลืองานภายใน วพอ.</v>
      </c>
      <c r="H810" s="3" t="str">
        <f>IFERROR(__xludf.DUMMYFUNCTION("""COMPUTED_VALUE"""),"ซ้อมเต้นเพลง ฉันมีความสุข")</f>
        <v>ซ้อมเต้นเพลง ฉันมีความสุข</v>
      </c>
      <c r="I810" s="3" t="str">
        <f>IFERROR(__xludf.DUMMYFUNCTION("""COMPUTED_VALUE"""),"วพอ.พอ.")</f>
        <v>วพอ.พอ.</v>
      </c>
      <c r="J810" s="12">
        <f>IFERROR(__xludf.DUMMYFUNCTION("""COMPUTED_VALUE"""),46177.0)</f>
        <v>46177</v>
      </c>
      <c r="K810" s="3" t="str">
        <f>IFERROR(__xludf.DUMMYFUNCTION("""COMPUTED_VALUE"""),"1800-1900")</f>
        <v>1800-1900</v>
      </c>
      <c r="L810" s="3">
        <f>IFERROR(__xludf.DUMMYFUNCTION("""COMPUTED_VALUE"""),1.0)</f>
        <v>1</v>
      </c>
      <c r="M810" s="3" t="str">
        <f>IFERROR(__xludf.DUMMYFUNCTION("""COMPUTED_VALUE"""),"ร.อ.หญิง เบญญาดา บุรีรัตน์")</f>
        <v>ร.อ.หญิง เบญญาดา บุรีรัตน์</v>
      </c>
      <c r="N810" s="14" t="str">
        <f>IFERROR(__xludf.DUMMYFUNCTION("""COMPUTED_VALUE"""),"https://lh5.googleusercontent.com/d/1JhZe63NyL8gFTgaH-pUqMDA6b2M38Xfn")</f>
        <v>https://lh5.googleusercontent.com/d/1JhZe63NyL8gFTgaH-pUqMDA6b2M38Xfn</v>
      </c>
      <c r="O810" s="14" t="str">
        <f>IFERROR(__xludf.DUMMYFUNCTION("""COMPUTED_VALUE"""),"https://drive.google.com/file/d/1eV_mE3VJul5noWwdcIl4-hCzUX8bBaq0/view?usp=drivesdk")</f>
        <v>https://drive.google.com/file/d/1eV_mE3VJul5noWwdcIl4-hCzUX8bBaq0/view?usp=drivesdk</v>
      </c>
    </row>
    <row r="811">
      <c r="A811" s="3">
        <f>IFERROR(__xludf.DUMMYFUNCTION("""COMPUTED_VALUE"""),3377.0)</f>
        <v>3377</v>
      </c>
      <c r="B811" s="11">
        <f>IFERROR(__xludf.DUMMYFUNCTION("""COMPUTED_VALUE"""),46181.672142916665)</f>
        <v>46181.67214</v>
      </c>
      <c r="C811" s="3" t="str">
        <f>IFERROR(__xludf.DUMMYFUNCTION("""COMPUTED_VALUE"""),"ชั้นปีที่ 2")</f>
        <v>ชั้นปีที่ 2</v>
      </c>
      <c r="D811" s="3" t="str">
        <f>IFERROR(__xludf.DUMMYFUNCTION("""COMPUTED_VALUE"""),"6703855")</f>
        <v>6703855</v>
      </c>
      <c r="E811" s="3" t="str">
        <f>IFERROR(__xludf.DUMMYFUNCTION("""COMPUTED_VALUE"""),"36")</f>
        <v>36</v>
      </c>
      <c r="F811" s="3" t="str">
        <f>IFERROR(__xludf.DUMMYFUNCTION("""COMPUTED_VALUE"""),"นพอ.พนารัตน์ สร้างลิ้ม")</f>
        <v>นพอ.พนารัตน์ สร้างลิ้ม</v>
      </c>
      <c r="G811" s="3" t="str">
        <f>IFERROR(__xludf.DUMMYFUNCTION("""COMPUTED_VALUE"""),"ช่วยเหลืองานภายใน วพอ.")</f>
        <v>ช่วยเหลืองานภายใน วพอ.</v>
      </c>
      <c r="H811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811" s="3" t="str">
        <f>IFERROR(__xludf.DUMMYFUNCTION("""COMPUTED_VALUE"""),"วิทยาลัยพยาบาลทหารอากาศ")</f>
        <v>วิทยาลัยพยาบาลทหารอากาศ</v>
      </c>
      <c r="J811" s="12">
        <f>IFERROR(__xludf.DUMMYFUNCTION("""COMPUTED_VALUE"""),46113.0)</f>
        <v>46113</v>
      </c>
      <c r="K811" s="3" t="str">
        <f>IFERROR(__xludf.DUMMYFUNCTION("""COMPUTED_VALUE"""),"1800-2000")</f>
        <v>1800-2000</v>
      </c>
      <c r="L811" s="3">
        <f>IFERROR(__xludf.DUMMYFUNCTION("""COMPUTED_VALUE"""),2.0)</f>
        <v>2</v>
      </c>
      <c r="M811" s="3" t="str">
        <f>IFERROR(__xludf.DUMMYFUNCTION("""COMPUTED_VALUE"""),"ร.อ.หญิง ขนัฏฐา นาดี")</f>
        <v>ร.อ.หญิง ขนัฏฐา นาดี</v>
      </c>
      <c r="N811" s="14" t="str">
        <f>IFERROR(__xludf.DUMMYFUNCTION("""COMPUTED_VALUE"""),"https://lh5.googleusercontent.com/d/1APqfsBjmUI50F1Zh428HaAMIeMOPdHCm")</f>
        <v>https://lh5.googleusercontent.com/d/1APqfsBjmUI50F1Zh428HaAMIeMOPdHCm</v>
      </c>
      <c r="O811" s="14" t="str">
        <f>IFERROR(__xludf.DUMMYFUNCTION("""COMPUTED_VALUE"""),"https://drive.google.com/file/d/16s5MEJxBl1-qDSrjoxkSm-hI67r8FTWF/view?usp=drivesdk")</f>
        <v>https://drive.google.com/file/d/16s5MEJxBl1-qDSrjoxkSm-hI67r8FTWF/view?usp=drivesdk</v>
      </c>
    </row>
    <row r="812">
      <c r="A812" s="3">
        <f>IFERROR(__xludf.DUMMYFUNCTION("""COMPUTED_VALUE"""),3384.0)</f>
        <v>3384</v>
      </c>
      <c r="B812" s="11">
        <f>IFERROR(__xludf.DUMMYFUNCTION("""COMPUTED_VALUE"""),46181.8459771412)</f>
        <v>46181.84598</v>
      </c>
      <c r="C812" s="3" t="str">
        <f>IFERROR(__xludf.DUMMYFUNCTION("""COMPUTED_VALUE"""),"ชั้นปีที่ 2")</f>
        <v>ชั้นปีที่ 2</v>
      </c>
      <c r="D812" s="3" t="str">
        <f>IFERROR(__xludf.DUMMYFUNCTION("""COMPUTED_VALUE"""),"6703874")</f>
        <v>6703874</v>
      </c>
      <c r="E812" s="3" t="str">
        <f>IFERROR(__xludf.DUMMYFUNCTION("""COMPUTED_VALUE"""),"54")</f>
        <v>54</v>
      </c>
      <c r="F812" s="3" t="str">
        <f>IFERROR(__xludf.DUMMYFUNCTION("""COMPUTED_VALUE"""),"นพอ.สรารัตน์ หาญจันทร์")</f>
        <v>นพอ.สรารัตน์ หาญจันทร์</v>
      </c>
      <c r="G812" s="3" t="str">
        <f>IFERROR(__xludf.DUMMYFUNCTION("""COMPUTED_VALUE"""),"ช่วยเหลืองานภายใน วพอ.")</f>
        <v>ช่วยเหลืองานภายใน วพอ.</v>
      </c>
      <c r="H812" s="3" t="str">
        <f>IFERROR(__xludf.DUMMYFUNCTION("""COMPUTED_VALUE"""),"ซ้อมเต้นเพลง ฉันมีความสุข")</f>
        <v>ซ้อมเต้นเพลง ฉันมีความสุข</v>
      </c>
      <c r="I812" s="3" t="str">
        <f>IFERROR(__xludf.DUMMYFUNCTION("""COMPUTED_VALUE"""),"วพอ.พอ")</f>
        <v>วพอ.พอ</v>
      </c>
      <c r="J812" s="12">
        <f>IFERROR(__xludf.DUMMYFUNCTION("""COMPUTED_VALUE"""),46180.0)</f>
        <v>46180</v>
      </c>
      <c r="K812" s="3" t="str">
        <f>IFERROR(__xludf.DUMMYFUNCTION("""COMPUTED_VALUE"""),"1800-1900")</f>
        <v>1800-1900</v>
      </c>
      <c r="L812" s="3">
        <f>IFERROR(__xludf.DUMMYFUNCTION("""COMPUTED_VALUE"""),1.0)</f>
        <v>1</v>
      </c>
      <c r="M812" s="3" t="str">
        <f>IFERROR(__xludf.DUMMYFUNCTION("""COMPUTED_VALUE"""),"ร.อ.หญิง เบญญาดา บุรีรัตน์")</f>
        <v>ร.อ.หญิง เบญญาดา บุรีรัตน์</v>
      </c>
      <c r="N812" s="14" t="str">
        <f>IFERROR(__xludf.DUMMYFUNCTION("""COMPUTED_VALUE"""),"https://lh5.googleusercontent.com/d/1N8H_VWhWq0YdrkCBeJqEDUZu8Syib3CH")</f>
        <v>https://lh5.googleusercontent.com/d/1N8H_VWhWq0YdrkCBeJqEDUZu8Syib3CH</v>
      </c>
      <c r="O812" s="14" t="str">
        <f>IFERROR(__xludf.DUMMYFUNCTION("""COMPUTED_VALUE"""),"https://drive.google.com/file/d/1k_yCRX5Ub1BKBCQO5IPouTe18jRdvMu0/view?usp=drivesdk")</f>
        <v>https://drive.google.com/file/d/1k_yCRX5Ub1BKBCQO5IPouTe18jRdvMu0/view?usp=drivesdk</v>
      </c>
    </row>
    <row r="813">
      <c r="A813" s="3">
        <f>IFERROR(__xludf.DUMMYFUNCTION("""COMPUTED_VALUE"""),3386.0)</f>
        <v>3386</v>
      </c>
      <c r="B813" s="11">
        <f>IFERROR(__xludf.DUMMYFUNCTION("""COMPUTED_VALUE"""),46181.88978416666)</f>
        <v>46181.88978</v>
      </c>
      <c r="C813" s="3" t="str">
        <f>IFERROR(__xludf.DUMMYFUNCTION("""COMPUTED_VALUE"""),"ชั้นปีที่ 2")</f>
        <v>ชั้นปีที่ 2</v>
      </c>
      <c r="D813" s="3" t="str">
        <f>IFERROR(__xludf.DUMMYFUNCTION("""COMPUTED_VALUE"""),"6703863")</f>
        <v>6703863</v>
      </c>
      <c r="E813" s="3" t="str">
        <f>IFERROR(__xludf.DUMMYFUNCTION("""COMPUTED_VALUE"""),"44")</f>
        <v>44</v>
      </c>
      <c r="F813" s="3" t="str">
        <f>IFERROR(__xludf.DUMMYFUNCTION("""COMPUTED_VALUE"""),"นพอ.ยศสินี มีมงคล")</f>
        <v>นพอ.ยศสินี มีมงคล</v>
      </c>
      <c r="G813" s="3" t="str">
        <f>IFERROR(__xludf.DUMMYFUNCTION("""COMPUTED_VALUE"""),"ช่วยเหลืองานภายใน วพอ.")</f>
        <v>ช่วยเหลืองานภายใน วพอ.</v>
      </c>
      <c r="H813" s="3" t="str">
        <f>IFERROR(__xludf.DUMMYFUNCTION("""COMPUTED_VALUE"""),"น เก็บสถานที่สอบคัดเลือก นพอ.69")</f>
        <v>น เก็บสถานที่สอบคัดเลือก นพอ.69</v>
      </c>
      <c r="I813" s="3" t="str">
        <f>IFERROR(__xludf.DUMMYFUNCTION("""COMPUTED_VALUE"""),"อาคารสำนักงานชั้น 4")</f>
        <v>อาคารสำนักงานชั้น 4</v>
      </c>
      <c r="J813" s="12">
        <f>IFERROR(__xludf.DUMMYFUNCTION("""COMPUTED_VALUE"""),46147.0)</f>
        <v>46147</v>
      </c>
      <c r="K813" s="3" t="str">
        <f>IFERROR(__xludf.DUMMYFUNCTION("""COMPUTED_VALUE"""),"1500-1800")</f>
        <v>1500-1800</v>
      </c>
      <c r="L813" s="3">
        <f>IFERROR(__xludf.DUMMYFUNCTION("""COMPUTED_VALUE"""),3.0)</f>
        <v>3</v>
      </c>
      <c r="M813" s="3" t="str">
        <f>IFERROR(__xludf.DUMMYFUNCTION("""COMPUTED_VALUE"""),"น.ต.ศักชัย บุญประสิทธิ์")</f>
        <v>น.ต.ศักชัย บุญประสิทธิ์</v>
      </c>
      <c r="N813" s="14" t="str">
        <f>IFERROR(__xludf.DUMMYFUNCTION("""COMPUTED_VALUE"""),"https://lh5.googleusercontent.com/d/1AIo5P6mx4WP7C2sF94aq9sLLqnIr-cUE")</f>
        <v>https://lh5.googleusercontent.com/d/1AIo5P6mx4WP7C2sF94aq9sLLqnIr-cUE</v>
      </c>
      <c r="O813" s="14" t="str">
        <f>IFERROR(__xludf.DUMMYFUNCTION("""COMPUTED_VALUE"""),"https://drive.google.com/file/d/1nnM_0gGZaW_qPxuL5zKgY8qw6gPKD7_8/view?usp=drivesdk")</f>
        <v>https://drive.google.com/file/d/1nnM_0gGZaW_qPxuL5zKgY8qw6gPKD7_8/view?usp=drivesdk</v>
      </c>
    </row>
    <row r="814">
      <c r="A814" s="3">
        <f>IFERROR(__xludf.DUMMYFUNCTION("""COMPUTED_VALUE"""),3387.0)</f>
        <v>3387</v>
      </c>
      <c r="B814" s="11">
        <f>IFERROR(__xludf.DUMMYFUNCTION("""COMPUTED_VALUE"""),46181.89318313658)</f>
        <v>46181.89318</v>
      </c>
      <c r="C814" s="3" t="str">
        <f>IFERROR(__xludf.DUMMYFUNCTION("""COMPUTED_VALUE"""),"ชั้นปีที่ 2")</f>
        <v>ชั้นปีที่ 2</v>
      </c>
      <c r="D814" s="3" t="str">
        <f>IFERROR(__xludf.DUMMYFUNCTION("""COMPUTED_VALUE"""),"6703836")</f>
        <v>6703836</v>
      </c>
      <c r="E814" s="3" t="str">
        <f>IFERROR(__xludf.DUMMYFUNCTION("""COMPUTED_VALUE"""),"19")</f>
        <v>19</v>
      </c>
      <c r="F814" s="3" t="str">
        <f>IFERROR(__xludf.DUMMYFUNCTION("""COMPUTED_VALUE"""),"นพอ.ณัฐธิดา จันทร์อนันต์")</f>
        <v>นพอ.ณัฐธิดา จันทร์อนันต์</v>
      </c>
      <c r="G814" s="3" t="str">
        <f>IFERROR(__xludf.DUMMYFUNCTION("""COMPUTED_VALUE"""),"ช่วยเหลืองานภายใน วพอ.")</f>
        <v>ช่วยเหลืองานภายใน วพอ.</v>
      </c>
      <c r="H814" s="3" t="str">
        <f>IFERROR(__xludf.DUMMYFUNCTION("""COMPUTED_VALUE"""),"ปรับปรุงทัศนียภาพวพอ.")</f>
        <v>ปรับปรุงทัศนียภาพวพอ.</v>
      </c>
      <c r="I814" s="3" t="str">
        <f>IFERROR(__xludf.DUMMYFUNCTION("""COMPUTED_VALUE"""),"วพอ.พอ.")</f>
        <v>วพอ.พอ.</v>
      </c>
      <c r="J814" s="12">
        <f>IFERROR(__xludf.DUMMYFUNCTION("""COMPUTED_VALUE"""),46177.0)</f>
        <v>46177</v>
      </c>
      <c r="K814" s="3" t="str">
        <f>IFERROR(__xludf.DUMMYFUNCTION("""COMPUTED_VALUE"""),"1430-1730")</f>
        <v>1430-1730</v>
      </c>
      <c r="L814" s="3">
        <f>IFERROR(__xludf.DUMMYFUNCTION("""COMPUTED_VALUE"""),3.0)</f>
        <v>3</v>
      </c>
      <c r="M814" s="3" t="str">
        <f>IFERROR(__xludf.DUMMYFUNCTION("""COMPUTED_VALUE"""),"น.อ.หญิง ผศ.นิตยา สุขแสน")</f>
        <v>น.อ.หญิง ผศ.นิตยา สุขแสน</v>
      </c>
      <c r="N814" s="14" t="str">
        <f>IFERROR(__xludf.DUMMYFUNCTION("""COMPUTED_VALUE"""),"https://lh5.googleusercontent.com/d/1TDicQiJak8MGj5UEOzSJqht1EP-9RuN5")</f>
        <v>https://lh5.googleusercontent.com/d/1TDicQiJak8MGj5UEOzSJqht1EP-9RuN5</v>
      </c>
      <c r="O814" s="14" t="str">
        <f>IFERROR(__xludf.DUMMYFUNCTION("""COMPUTED_VALUE"""),"https://drive.google.com/file/d/1DZ4Sd8RCEmVuqvQXgR-_3DBfCQRvg59J/view?usp=drivesdk")</f>
        <v>https://drive.google.com/file/d/1DZ4Sd8RCEmVuqvQXgR-_3DBfCQRvg59J/view?usp=drivesdk</v>
      </c>
    </row>
    <row r="815">
      <c r="A815" s="3">
        <f>IFERROR(__xludf.DUMMYFUNCTION("""COMPUTED_VALUE"""),3388.0)</f>
        <v>3388</v>
      </c>
      <c r="B815" s="11">
        <f>IFERROR(__xludf.DUMMYFUNCTION("""COMPUTED_VALUE"""),46181.89368925926)</f>
        <v>46181.89369</v>
      </c>
      <c r="C815" s="3" t="str">
        <f>IFERROR(__xludf.DUMMYFUNCTION("""COMPUTED_VALUE"""),"ชั้นปีที่ 2")</f>
        <v>ชั้นปีที่ 2</v>
      </c>
      <c r="D815" s="3" t="str">
        <f>IFERROR(__xludf.DUMMYFUNCTION("""COMPUTED_VALUE"""),"6703863")</f>
        <v>6703863</v>
      </c>
      <c r="E815" s="3" t="str">
        <f>IFERROR(__xludf.DUMMYFUNCTION("""COMPUTED_VALUE"""),"44")</f>
        <v>44</v>
      </c>
      <c r="F815" s="3" t="str">
        <f>IFERROR(__xludf.DUMMYFUNCTION("""COMPUTED_VALUE"""),"นพอ.ยศสินี มีมงคล")</f>
        <v>นพอ.ยศสินี มีมงคล</v>
      </c>
      <c r="G8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5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15" s="3" t="str">
        <f>IFERROR(__xludf.DUMMYFUNCTION("""COMPUTED_VALUE"""),"สนามกีฬาธูปะเตมีย์")</f>
        <v>สนามกีฬาธูปะเตมีย์</v>
      </c>
      <c r="J815" s="12">
        <f>IFERROR(__xludf.DUMMYFUNCTION("""COMPUTED_VALUE"""),46181.0)</f>
        <v>46181</v>
      </c>
      <c r="K815" s="3" t="str">
        <f>IFERROR(__xludf.DUMMYFUNCTION("""COMPUTED_VALUE"""),"1200 - 2000")</f>
        <v>1200 - 2000</v>
      </c>
      <c r="L815" s="3">
        <f>IFERROR(__xludf.DUMMYFUNCTION("""COMPUTED_VALUE"""),8.0)</f>
        <v>8</v>
      </c>
      <c r="M81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15" s="14" t="str">
        <f>IFERROR(__xludf.DUMMYFUNCTION("""COMPUTED_VALUE"""),"https://lh5.googleusercontent.com/d/1EtJf5i5TuKxVLDICm7XVANhSdblVrL-u")</f>
        <v>https://lh5.googleusercontent.com/d/1EtJf5i5TuKxVLDICm7XVANhSdblVrL-u</v>
      </c>
      <c r="O815" s="14" t="str">
        <f>IFERROR(__xludf.DUMMYFUNCTION("""COMPUTED_VALUE"""),"https://drive.google.com/file/d/11dk-2fuQFg3Jb709T1UKXLfzmZFbgOmA/view?usp=drivesdk")</f>
        <v>https://drive.google.com/file/d/11dk-2fuQFg3Jb709T1UKXLfzmZFbgOmA/view?usp=drivesdk</v>
      </c>
    </row>
    <row r="816">
      <c r="A816" s="3">
        <f>IFERROR(__xludf.DUMMYFUNCTION("""COMPUTED_VALUE"""),3389.0)</f>
        <v>3389</v>
      </c>
      <c r="B816" s="11">
        <f>IFERROR(__xludf.DUMMYFUNCTION("""COMPUTED_VALUE"""),46181.89474427083)</f>
        <v>46181.89474</v>
      </c>
      <c r="C816" s="3" t="str">
        <f>IFERROR(__xludf.DUMMYFUNCTION("""COMPUTED_VALUE"""),"ชั้นปีที่ 2")</f>
        <v>ชั้นปีที่ 2</v>
      </c>
      <c r="D816" s="3" t="str">
        <f>IFERROR(__xludf.DUMMYFUNCTION("""COMPUTED_VALUE"""),"6703838")</f>
        <v>6703838</v>
      </c>
      <c r="E816" s="3" t="str">
        <f>IFERROR(__xludf.DUMMYFUNCTION("""COMPUTED_VALUE"""),"21")</f>
        <v>21</v>
      </c>
      <c r="F816" s="3" t="str">
        <f>IFERROR(__xludf.DUMMYFUNCTION("""COMPUTED_VALUE"""),"นพอ.ณัฐพงษ์ วงษ์บัวงาม")</f>
        <v>นพอ.ณัฐพงษ์ วงษ์บัวงาม</v>
      </c>
      <c r="G816" s="3" t="str">
        <f>IFERROR(__xludf.DUMMYFUNCTION("""COMPUTED_VALUE"""),"ช่วยเหลืองานภายใน วพอ.")</f>
        <v>ช่วยเหลืองานภายใน วพอ.</v>
      </c>
      <c r="H816" s="3" t="str">
        <f>IFERROR(__xludf.DUMMYFUNCTION("""COMPUTED_VALUE"""),"ซ้อมดนตรีไทยงานสงกรานต์วพอ. 2569")</f>
        <v>ซ้อมดนตรีไทยงานสงกรานต์วพอ. 2569</v>
      </c>
      <c r="I816" s="3" t="str">
        <f>IFERROR(__xludf.DUMMYFUNCTION("""COMPUTED_VALUE"""),"วพอ.พอ.")</f>
        <v>วพอ.พอ.</v>
      </c>
      <c r="J816" s="12">
        <f>IFERROR(__xludf.DUMMYFUNCTION("""COMPUTED_VALUE"""),46113.0)</f>
        <v>46113</v>
      </c>
      <c r="K816" s="3" t="str">
        <f>IFERROR(__xludf.DUMMYFUNCTION("""COMPUTED_VALUE"""),"1800-2000")</f>
        <v>1800-2000</v>
      </c>
      <c r="L816" s="3">
        <f>IFERROR(__xludf.DUMMYFUNCTION("""COMPUTED_VALUE"""),2.0)</f>
        <v>2</v>
      </c>
      <c r="M816" s="3" t="str">
        <f>IFERROR(__xludf.DUMMYFUNCTION("""COMPUTED_VALUE"""),"ร.อ.หญิง ขนัฏฐา นาดี")</f>
        <v>ร.อ.หญิง ขนัฏฐา นาดี</v>
      </c>
      <c r="N816" s="14" t="str">
        <f>IFERROR(__xludf.DUMMYFUNCTION("""COMPUTED_VALUE"""),"https://lh5.googleusercontent.com/d/1WQfaWT8W2LCNyQL3Z2hndNnH9Rac2789")</f>
        <v>https://lh5.googleusercontent.com/d/1WQfaWT8W2LCNyQL3Z2hndNnH9Rac2789</v>
      </c>
      <c r="O816" s="14" t="str">
        <f>IFERROR(__xludf.DUMMYFUNCTION("""COMPUTED_VALUE"""),"https://drive.google.com/file/d/1-mR9Q_1bHyK71x-K2-2BB2DQuYTKEYdy/view?usp=drivesdk")</f>
        <v>https://drive.google.com/file/d/1-mR9Q_1bHyK71x-K2-2BB2DQuYTKEYdy/view?usp=drivesdk</v>
      </c>
    </row>
    <row r="817">
      <c r="A817" s="3">
        <f>IFERROR(__xludf.DUMMYFUNCTION("""COMPUTED_VALUE"""),3390.0)</f>
        <v>3390</v>
      </c>
      <c r="B817" s="11">
        <f>IFERROR(__xludf.DUMMYFUNCTION("""COMPUTED_VALUE"""),46181.89502747685)</f>
        <v>46181.89503</v>
      </c>
      <c r="C817" s="3" t="str">
        <f>IFERROR(__xludf.DUMMYFUNCTION("""COMPUTED_VALUE"""),"ชั้นปีที่ 2")</f>
        <v>ชั้นปีที่ 2</v>
      </c>
      <c r="D817" s="3" t="str">
        <f>IFERROR(__xludf.DUMMYFUNCTION("""COMPUTED_VALUE"""),"6703836")</f>
        <v>6703836</v>
      </c>
      <c r="E817" s="3" t="str">
        <f>IFERROR(__xludf.DUMMYFUNCTION("""COMPUTED_VALUE"""),"19")</f>
        <v>19</v>
      </c>
      <c r="F817" s="3" t="str">
        <f>IFERROR(__xludf.DUMMYFUNCTION("""COMPUTED_VALUE"""),"นพอ.ณัฐธิดา จันทร์อนันต์")</f>
        <v>นพอ.ณัฐธิดา จันทร์อนันต์</v>
      </c>
      <c r="G817" s="3" t="str">
        <f>IFERROR(__xludf.DUMMYFUNCTION("""COMPUTED_VALUE"""),"ช่วยเหลืองานภายใน วพอ.")</f>
        <v>ช่วยเหลืองานภายใน วพอ.</v>
      </c>
      <c r="H817" s="3" t="str">
        <f>IFERROR(__xludf.DUMMYFUNCTION("""COMPUTED_VALUE"""),"ซ้อมเต้นเพลงฉันมีความสุข")</f>
        <v>ซ้อมเต้นเพลงฉันมีความสุข</v>
      </c>
      <c r="I817" s="3" t="str">
        <f>IFERROR(__xludf.DUMMYFUNCTION("""COMPUTED_VALUE"""),"วพอ.พอ.")</f>
        <v>วพอ.พอ.</v>
      </c>
      <c r="J817" s="12">
        <f>IFERROR(__xludf.DUMMYFUNCTION("""COMPUTED_VALUE"""),46180.0)</f>
        <v>46180</v>
      </c>
      <c r="K817" s="3" t="str">
        <f>IFERROR(__xludf.DUMMYFUNCTION("""COMPUTED_VALUE"""),"1700-1800")</f>
        <v>1700-1800</v>
      </c>
      <c r="L817" s="3">
        <f>IFERROR(__xludf.DUMMYFUNCTION("""COMPUTED_VALUE"""),1.0)</f>
        <v>1</v>
      </c>
      <c r="M817" s="3" t="str">
        <f>IFERROR(__xludf.DUMMYFUNCTION("""COMPUTED_VALUE"""),"ร.อ.หญิง เบญญาดา บุรีรัตน์")</f>
        <v>ร.อ.หญิง เบญญาดา บุรีรัตน์</v>
      </c>
      <c r="N817" s="14" t="str">
        <f>IFERROR(__xludf.DUMMYFUNCTION("""COMPUTED_VALUE"""),"https://lh5.googleusercontent.com/d/145vLhk7vfTWrtusaEQEP3dhQRmXzSkP6")</f>
        <v>https://lh5.googleusercontent.com/d/145vLhk7vfTWrtusaEQEP3dhQRmXzSkP6</v>
      </c>
      <c r="O817" s="14" t="str">
        <f>IFERROR(__xludf.DUMMYFUNCTION("""COMPUTED_VALUE"""),"https://drive.google.com/file/d/1pae5z0CT0i0L7o7bRMMInr1LuPI4P5BY/view?usp=drivesdk")</f>
        <v>https://drive.google.com/file/d/1pae5z0CT0i0L7o7bRMMInr1LuPI4P5BY/view?usp=drivesdk</v>
      </c>
    </row>
    <row r="818">
      <c r="A818" s="3">
        <f>IFERROR(__xludf.DUMMYFUNCTION("""COMPUTED_VALUE"""),3391.0)</f>
        <v>3391</v>
      </c>
      <c r="B818" s="11">
        <f>IFERROR(__xludf.DUMMYFUNCTION("""COMPUTED_VALUE"""),46181.89847885417)</f>
        <v>46181.89848</v>
      </c>
      <c r="C818" s="3" t="str">
        <f>IFERROR(__xludf.DUMMYFUNCTION("""COMPUTED_VALUE"""),"ชั้นปีที่ 2")</f>
        <v>ชั้นปีที่ 2</v>
      </c>
      <c r="D818" s="3" t="str">
        <f>IFERROR(__xludf.DUMMYFUNCTION("""COMPUTED_VALUE"""),"6703873")</f>
        <v>6703873</v>
      </c>
      <c r="E818" s="3" t="str">
        <f>IFERROR(__xludf.DUMMYFUNCTION("""COMPUTED_VALUE"""),"53")</f>
        <v>53</v>
      </c>
      <c r="F818" s="3" t="str">
        <f>IFERROR(__xludf.DUMMYFUNCTION("""COMPUTED_VALUE"""),"นพอ.ศุภางค์พักตร์  อักษรนิติ")</f>
        <v>นพอ.ศุภางค์พักตร์  อักษรนิติ</v>
      </c>
      <c r="G818" s="3" t="str">
        <f>IFERROR(__xludf.DUMMYFUNCTION("""COMPUTED_VALUE"""),"ช่วยเหลืองานภายใน วพอ.")</f>
        <v>ช่วยเหลืองานภายใน วพอ.</v>
      </c>
      <c r="H818" s="3" t="str">
        <f>IFERROR(__xludf.DUMMYFUNCTION("""COMPUTED_VALUE"""),"ปรับปรุงทัศนียภาพใน วพอ.พอ.")</f>
        <v>ปรับปรุงทัศนียภาพใน วพอ.พอ.</v>
      </c>
      <c r="I818" s="3" t="str">
        <f>IFERROR(__xludf.DUMMYFUNCTION("""COMPUTED_VALUE"""),"วพอ.พอ.")</f>
        <v>วพอ.พอ.</v>
      </c>
      <c r="J818" s="12">
        <f>IFERROR(__xludf.DUMMYFUNCTION("""COMPUTED_VALUE"""),46177.0)</f>
        <v>46177</v>
      </c>
      <c r="K818" s="3" t="str">
        <f>IFERROR(__xludf.DUMMYFUNCTION("""COMPUTED_VALUE"""),"1430-1730")</f>
        <v>1430-1730</v>
      </c>
      <c r="L818" s="3">
        <f>IFERROR(__xludf.DUMMYFUNCTION("""COMPUTED_VALUE"""),3.0)</f>
        <v>3</v>
      </c>
      <c r="M818" s="3" t="str">
        <f>IFERROR(__xludf.DUMMYFUNCTION("""COMPUTED_VALUE"""),"น.อ.หญิง ผศ.นิตยา สุขแสน")</f>
        <v>น.อ.หญิง ผศ.นิตยา สุขแสน</v>
      </c>
      <c r="N818" s="14" t="str">
        <f>IFERROR(__xludf.DUMMYFUNCTION("""COMPUTED_VALUE"""),"https://lh5.googleusercontent.com/d/1dozsjmY5w2nqpJdO1aySlWOCJBphNcaU")</f>
        <v>https://lh5.googleusercontent.com/d/1dozsjmY5w2nqpJdO1aySlWOCJBphNcaU</v>
      </c>
      <c r="O818" s="14" t="str">
        <f>IFERROR(__xludf.DUMMYFUNCTION("""COMPUTED_VALUE"""),"https://drive.google.com/file/d/1BlondYAwuzGuCnITVXanvlbom-k_fVF2/view?usp=drivesdk")</f>
        <v>https://drive.google.com/file/d/1BlondYAwuzGuCnITVXanvlbom-k_fVF2/view?usp=drivesdk</v>
      </c>
    </row>
    <row r="819">
      <c r="A819" s="3">
        <f>IFERROR(__xludf.DUMMYFUNCTION("""COMPUTED_VALUE"""),3398.0)</f>
        <v>3398</v>
      </c>
      <c r="B819" s="11">
        <f>IFERROR(__xludf.DUMMYFUNCTION("""COMPUTED_VALUE"""),46181.9163119213)</f>
        <v>46181.91631</v>
      </c>
      <c r="C819" s="3" t="str">
        <f>IFERROR(__xludf.DUMMYFUNCTION("""COMPUTED_VALUE"""),"ชั้นปีที่ 2")</f>
        <v>ชั้นปีที่ 2</v>
      </c>
      <c r="D819" s="3" t="str">
        <f>IFERROR(__xludf.DUMMYFUNCTION("""COMPUTED_VALUE"""),"6703851")</f>
        <v>6703851</v>
      </c>
      <c r="E819" s="3" t="str">
        <f>IFERROR(__xludf.DUMMYFUNCTION("""COMPUTED_VALUE"""),"32")</f>
        <v>32</v>
      </c>
      <c r="F819" s="3" t="str">
        <f>IFERROR(__xludf.DUMMYFUNCTION("""COMPUTED_VALUE"""),"นพอ.ปุญญิศา ฤทธิ์หมุน")</f>
        <v>นพอ.ปุญญิศา ฤทธิ์หมุน</v>
      </c>
      <c r="G8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9" s="3" t="str">
        <f>IFERROR(__xludf.DUMMYFUNCTION("""COMPUTED_VALUE"""),"เข้าร่วมงานวันเด็กแห่งชาติ")</f>
        <v>เข้าร่วมงานวันเด็กแห่งชาติ</v>
      </c>
      <c r="I819" s="3" t="str">
        <f>IFERROR(__xludf.DUMMYFUNCTION("""COMPUTED_VALUE"""),"กองบัญชาการกองทัพไทย")</f>
        <v>กองบัญชาการกองทัพไทย</v>
      </c>
      <c r="J819" s="12">
        <f>IFERROR(__xludf.DUMMYFUNCTION("""COMPUTED_VALUE"""),46032.0)</f>
        <v>46032</v>
      </c>
      <c r="K819" s="3" t="str">
        <f>IFERROR(__xludf.DUMMYFUNCTION("""COMPUTED_VALUE"""),"0700-1500")</f>
        <v>0700-1500</v>
      </c>
      <c r="L819" s="3">
        <f>IFERROR(__xludf.DUMMYFUNCTION("""COMPUTED_VALUE"""),8.0)</f>
        <v>8</v>
      </c>
      <c r="M81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19" s="14" t="str">
        <f>IFERROR(__xludf.DUMMYFUNCTION("""COMPUTED_VALUE"""),"https://lh5.googleusercontent.com/d/1KmgCRh2HM2qd2Sat6Jk-WR4A2QGcFqQs")</f>
        <v>https://lh5.googleusercontent.com/d/1KmgCRh2HM2qd2Sat6Jk-WR4A2QGcFqQs</v>
      </c>
      <c r="O819" s="14" t="str">
        <f>IFERROR(__xludf.DUMMYFUNCTION("""COMPUTED_VALUE"""),"https://drive.google.com/file/d/1tT3fUgVYFxnaMLU8_80S8p4x_Qjlmvmi/view?usp=drivesdk")</f>
        <v>https://drive.google.com/file/d/1tT3fUgVYFxnaMLU8_80S8p4x_Qjlmvmi/view?usp=drivesdk</v>
      </c>
    </row>
    <row r="820">
      <c r="A820" s="3">
        <f>IFERROR(__xludf.DUMMYFUNCTION("""COMPUTED_VALUE"""),3409.0)</f>
        <v>3409</v>
      </c>
      <c r="B820" s="11">
        <f>IFERROR(__xludf.DUMMYFUNCTION("""COMPUTED_VALUE"""),46181.95323565973)</f>
        <v>46181.95324</v>
      </c>
      <c r="C820" s="3" t="str">
        <f>IFERROR(__xludf.DUMMYFUNCTION("""COMPUTED_VALUE"""),"ชั้นปีที่ 2")</f>
        <v>ชั้นปีที่ 2</v>
      </c>
      <c r="D820" s="3" t="str">
        <f>IFERROR(__xludf.DUMMYFUNCTION("""COMPUTED_VALUE"""),"6703855")</f>
        <v>6703855</v>
      </c>
      <c r="E820" s="3" t="str">
        <f>IFERROR(__xludf.DUMMYFUNCTION("""COMPUTED_VALUE"""),"36")</f>
        <v>36</v>
      </c>
      <c r="F820" s="3" t="str">
        <f>IFERROR(__xludf.DUMMYFUNCTION("""COMPUTED_VALUE"""),"นพอ.พนารัตน์ สร้างลิ้ม")</f>
        <v>นพอ.พนารัตน์ สร้างลิ้ม</v>
      </c>
      <c r="G820" s="3" t="str">
        <f>IFERROR(__xludf.DUMMYFUNCTION("""COMPUTED_VALUE"""),"ช่วยเหลืองานภายใน วพอ.")</f>
        <v>ช่วยเหลืองานภายใน วพอ.</v>
      </c>
      <c r="H820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820" s="3" t="str">
        <f>IFERROR(__xludf.DUMMYFUNCTION("""COMPUTED_VALUE"""),"วิทยาลัยพยาบาลทหารอากาศ")</f>
        <v>วิทยาลัยพยาบาลทหารอากาศ</v>
      </c>
      <c r="J820" s="12">
        <f>IFERROR(__xludf.DUMMYFUNCTION("""COMPUTED_VALUE"""),46114.0)</f>
        <v>46114</v>
      </c>
      <c r="K820" s="3" t="str">
        <f>IFERROR(__xludf.DUMMYFUNCTION("""COMPUTED_VALUE"""),"1800-2000")</f>
        <v>1800-2000</v>
      </c>
      <c r="L820" s="3">
        <f>IFERROR(__xludf.DUMMYFUNCTION("""COMPUTED_VALUE"""),2.0)</f>
        <v>2</v>
      </c>
      <c r="M820" s="3" t="str">
        <f>IFERROR(__xludf.DUMMYFUNCTION("""COMPUTED_VALUE"""),"ร.อ.หญิง ขนัฏฐา นาดี")</f>
        <v>ร.อ.หญิง ขนัฏฐา นาดี</v>
      </c>
      <c r="N820" s="14" t="str">
        <f>IFERROR(__xludf.DUMMYFUNCTION("""COMPUTED_VALUE"""),"https://lh5.googleusercontent.com/d/1zuq6abcHhXBefHCPwRD5qG6eh43UeSPb")</f>
        <v>https://lh5.googleusercontent.com/d/1zuq6abcHhXBefHCPwRD5qG6eh43UeSPb</v>
      </c>
      <c r="O820" s="14" t="str">
        <f>IFERROR(__xludf.DUMMYFUNCTION("""COMPUTED_VALUE"""),"https://drive.google.com/file/d/1dEw9Cg7L6YrKqjboIPMZv-OoCFgKqjiC/view?usp=drivesdk")</f>
        <v>https://drive.google.com/file/d/1dEw9Cg7L6YrKqjboIPMZv-OoCFgKqjiC/view?usp=drivesdk</v>
      </c>
    </row>
    <row r="821">
      <c r="A821" s="3">
        <f>IFERROR(__xludf.DUMMYFUNCTION("""COMPUTED_VALUE"""),3411.0)</f>
        <v>3411</v>
      </c>
      <c r="B821" s="11">
        <f>IFERROR(__xludf.DUMMYFUNCTION("""COMPUTED_VALUE"""),46181.95499777778)</f>
        <v>46181.955</v>
      </c>
      <c r="C821" s="3" t="str">
        <f>IFERROR(__xludf.DUMMYFUNCTION("""COMPUTED_VALUE"""),"ชั้นปีที่ 2")</f>
        <v>ชั้นปีที่ 2</v>
      </c>
      <c r="D821" s="3" t="str">
        <f>IFERROR(__xludf.DUMMYFUNCTION("""COMPUTED_VALUE"""),"6703855")</f>
        <v>6703855</v>
      </c>
      <c r="E821" s="3" t="str">
        <f>IFERROR(__xludf.DUMMYFUNCTION("""COMPUTED_VALUE"""),"36")</f>
        <v>36</v>
      </c>
      <c r="F821" s="3" t="str">
        <f>IFERROR(__xludf.DUMMYFUNCTION("""COMPUTED_VALUE"""),"นพอ.พนารัตน์ สร้างลิ้ม")</f>
        <v>นพอ.พนารัตน์ สร้างลิ้ม</v>
      </c>
      <c r="G821" s="3" t="str">
        <f>IFERROR(__xludf.DUMMYFUNCTION("""COMPUTED_VALUE"""),"ช่วยเหลืองานภายใน วพอ.")</f>
        <v>ช่วยเหลืองานภายใน วพอ.</v>
      </c>
      <c r="H821" s="3" t="str">
        <f>IFERROR(__xludf.DUMMYFUNCTION("""COMPUTED_VALUE"""),"ซ้อมดนตรีไทยงานสงกรานต์วพอ.2569")</f>
        <v>ซ้อมดนตรีไทยงานสงกรานต์วพอ.2569</v>
      </c>
      <c r="I821" s="3" t="str">
        <f>IFERROR(__xludf.DUMMYFUNCTION("""COMPUTED_VALUE"""),"วิทยาลัยพยาบาลทหารอากาศ")</f>
        <v>วิทยาลัยพยาบาลทหารอากาศ</v>
      </c>
      <c r="J821" s="12">
        <f>IFERROR(__xludf.DUMMYFUNCTION("""COMPUTED_VALUE"""),46120.0)</f>
        <v>46120</v>
      </c>
      <c r="K821" s="3" t="str">
        <f>IFERROR(__xludf.DUMMYFUNCTION("""COMPUTED_VALUE"""),"1800-2000")</f>
        <v>1800-2000</v>
      </c>
      <c r="L821" s="3">
        <f>IFERROR(__xludf.DUMMYFUNCTION("""COMPUTED_VALUE"""),2.0)</f>
        <v>2</v>
      </c>
      <c r="M821" s="3" t="str">
        <f>IFERROR(__xludf.DUMMYFUNCTION("""COMPUTED_VALUE"""),"ร.อ.หญิง ขนัฏฐา นาดี")</f>
        <v>ร.อ.หญิง ขนัฏฐา นาดี</v>
      </c>
      <c r="N821" s="14" t="str">
        <f>IFERROR(__xludf.DUMMYFUNCTION("""COMPUTED_VALUE"""),"https://lh5.googleusercontent.com/d/14F9UNEFjcok-0S2jjmVes6t8XjE_xhgN")</f>
        <v>https://lh5.googleusercontent.com/d/14F9UNEFjcok-0S2jjmVes6t8XjE_xhgN</v>
      </c>
      <c r="O821" s="14" t="str">
        <f>IFERROR(__xludf.DUMMYFUNCTION("""COMPUTED_VALUE"""),"https://drive.google.com/file/d/10GgV373rM6MK4EH6muKl5UAwuwdJlfke/view?usp=drivesdk")</f>
        <v>https://drive.google.com/file/d/10GgV373rM6MK4EH6muKl5UAwuwdJlfke/view?usp=drivesdk</v>
      </c>
    </row>
    <row r="822">
      <c r="A822" s="3">
        <f>IFERROR(__xludf.DUMMYFUNCTION("""COMPUTED_VALUE"""),3416.0)</f>
        <v>3416</v>
      </c>
      <c r="B822" s="11">
        <f>IFERROR(__xludf.DUMMYFUNCTION("""COMPUTED_VALUE"""),46181.963274317124)</f>
        <v>46181.96327</v>
      </c>
      <c r="C822" s="3" t="str">
        <f>IFERROR(__xludf.DUMMYFUNCTION("""COMPUTED_VALUE"""),"ชั้นปีที่ 2")</f>
        <v>ชั้นปีที่ 2</v>
      </c>
      <c r="D822" s="3" t="str">
        <f>IFERROR(__xludf.DUMMYFUNCTION("""COMPUTED_VALUE"""),"6703855")</f>
        <v>6703855</v>
      </c>
      <c r="E822" s="3" t="str">
        <f>IFERROR(__xludf.DUMMYFUNCTION("""COMPUTED_VALUE"""),"36")</f>
        <v>36</v>
      </c>
      <c r="F822" s="3" t="str">
        <f>IFERROR(__xludf.DUMMYFUNCTION("""COMPUTED_VALUE"""),"นพอ.พนารัตน์ สร้างลิ้ม")</f>
        <v>นพอ.พนารัตน์ สร้างลิ้ม</v>
      </c>
      <c r="G822" s="3" t="str">
        <f>IFERROR(__xludf.DUMMYFUNCTION("""COMPUTED_VALUE"""),"ช่วยเหลืองานภายใน วพอ.")</f>
        <v>ช่วยเหลืองานภายใน วพอ.</v>
      </c>
      <c r="H822" s="3" t="str">
        <f>IFERROR(__xludf.DUMMYFUNCTION("""COMPUTED_VALUE"""),"ปรับปรุงทัศนียภาพใน วพอ.พอ.")</f>
        <v>ปรับปรุงทัศนียภาพใน วพอ.พอ.</v>
      </c>
      <c r="I822" s="3" t="str">
        <f>IFERROR(__xludf.DUMMYFUNCTION("""COMPUTED_VALUE"""),"วิทยาลัพยาบาลทหารอากาศ")</f>
        <v>วิทยาลัพยาบาลทหารอากาศ</v>
      </c>
      <c r="J822" s="12">
        <f>IFERROR(__xludf.DUMMYFUNCTION("""COMPUTED_VALUE"""),46177.0)</f>
        <v>46177</v>
      </c>
      <c r="K822" s="3" t="str">
        <f>IFERROR(__xludf.DUMMYFUNCTION("""COMPUTED_VALUE"""),"1430-1730")</f>
        <v>1430-1730</v>
      </c>
      <c r="L822" s="3">
        <f>IFERROR(__xludf.DUMMYFUNCTION("""COMPUTED_VALUE"""),3.0)</f>
        <v>3</v>
      </c>
      <c r="M822" s="3" t="str">
        <f>IFERROR(__xludf.DUMMYFUNCTION("""COMPUTED_VALUE"""),"น.อ.หญิง ผศ.นิตยา สุขแสน")</f>
        <v>น.อ.หญิง ผศ.นิตยา สุขแสน</v>
      </c>
      <c r="N822" s="14" t="str">
        <f>IFERROR(__xludf.DUMMYFUNCTION("""COMPUTED_VALUE"""),"https://lh5.googleusercontent.com/d/177uygTfAhMufMqblN4vSTKb8T2wwfpNi")</f>
        <v>https://lh5.googleusercontent.com/d/177uygTfAhMufMqblN4vSTKb8T2wwfpNi</v>
      </c>
      <c r="O822" s="14" t="str">
        <f>IFERROR(__xludf.DUMMYFUNCTION("""COMPUTED_VALUE"""),"https://drive.google.com/file/d/1IiNuyk8cp1guj22fbyxqGJdsaZdZNo4e/view?usp=drivesdk")</f>
        <v>https://drive.google.com/file/d/1IiNuyk8cp1guj22fbyxqGJdsaZdZNo4e/view?usp=drivesdk</v>
      </c>
    </row>
    <row r="823">
      <c r="A823" s="3">
        <f>IFERROR(__xludf.DUMMYFUNCTION("""COMPUTED_VALUE"""),3450.0)</f>
        <v>3450</v>
      </c>
      <c r="B823" s="11">
        <f>IFERROR(__xludf.DUMMYFUNCTION("""COMPUTED_VALUE"""),46182.34853122685)</f>
        <v>46182.34853</v>
      </c>
      <c r="C823" s="3" t="str">
        <f>IFERROR(__xludf.DUMMYFUNCTION("""COMPUTED_VALUE"""),"ชั้นปีที่ 2")</f>
        <v>ชั้นปีที่ 2</v>
      </c>
      <c r="D823" s="3" t="str">
        <f>IFERROR(__xludf.DUMMYFUNCTION("""COMPUTED_VALUE"""),"6703846")</f>
        <v>6703846</v>
      </c>
      <c r="E823" s="3" t="str">
        <f>IFERROR(__xludf.DUMMYFUNCTION("""COMPUTED_VALUE"""),"28")</f>
        <v>28</v>
      </c>
      <c r="F823" s="3" t="str">
        <f>IFERROR(__xludf.DUMMYFUNCTION("""COMPUTED_VALUE"""),"นพอ.นัฐพร บูรพันธ์")</f>
        <v>นพอ.นัฐพร บูรพันธ์</v>
      </c>
      <c r="G8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3" s="3" t="str">
        <f>IFERROR(__xludf.DUMMYFUNCTION("""COMPUTED_VALUE"""),"พิธิเปิดปิดกีฬาภายในกองทัพอากาศ")</f>
        <v>พิธิเปิดปิดกีฬาภายในกองทัพอากาศ</v>
      </c>
      <c r="I823" s="3" t="str">
        <f>IFERROR(__xludf.DUMMYFUNCTION("""COMPUTED_VALUE"""),"สนามกีฬาธูปะเตมีย์")</f>
        <v>สนามกีฬาธูปะเตมีย์</v>
      </c>
      <c r="J823" s="12">
        <f>IFERROR(__xludf.DUMMYFUNCTION("""COMPUTED_VALUE"""),46078.0)</f>
        <v>46078</v>
      </c>
      <c r="K823" s="3" t="str">
        <f>IFERROR(__xludf.DUMMYFUNCTION("""COMPUTED_VALUE"""),"1200-2000")</f>
        <v>1200-2000</v>
      </c>
      <c r="L823" s="3">
        <f>IFERROR(__xludf.DUMMYFUNCTION("""COMPUTED_VALUE"""),8.0)</f>
        <v>8</v>
      </c>
      <c r="M823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823" s="14" t="str">
        <f>IFERROR(__xludf.DUMMYFUNCTION("""COMPUTED_VALUE"""),"https://lh5.googleusercontent.com/d/1-Nl6NS5krvWfSFDhAhRvWzMvDLLRolBy")</f>
        <v>https://lh5.googleusercontent.com/d/1-Nl6NS5krvWfSFDhAhRvWzMvDLLRolBy</v>
      </c>
      <c r="O823" s="14" t="str">
        <f>IFERROR(__xludf.DUMMYFUNCTION("""COMPUTED_VALUE"""),"https://drive.google.com/file/d/1dSWtlBh3VWJASTpCcBUMbIJI2L1N5x7L/view?usp=drivesdk")</f>
        <v>https://drive.google.com/file/d/1dSWtlBh3VWJASTpCcBUMbIJI2L1N5x7L/view?usp=drivesdk</v>
      </c>
    </row>
    <row r="824">
      <c r="A824" s="3">
        <f>IFERROR(__xludf.DUMMYFUNCTION("""COMPUTED_VALUE"""),3451.0)</f>
        <v>3451</v>
      </c>
      <c r="B824" s="11">
        <f>IFERROR(__xludf.DUMMYFUNCTION("""COMPUTED_VALUE"""),46182.34963768518)</f>
        <v>46182.34964</v>
      </c>
      <c r="C824" s="3" t="str">
        <f>IFERROR(__xludf.DUMMYFUNCTION("""COMPUTED_VALUE"""),"ชั้นปีที่ 2")</f>
        <v>ชั้นปีที่ 2</v>
      </c>
      <c r="D824" s="3" t="str">
        <f>IFERROR(__xludf.DUMMYFUNCTION("""COMPUTED_VALUE"""),"6703845")</f>
        <v>6703845</v>
      </c>
      <c r="E824" s="3" t="str">
        <f>IFERROR(__xludf.DUMMYFUNCTION("""COMPUTED_VALUE"""),"27")</f>
        <v>27</v>
      </c>
      <c r="F824" s="3" t="str">
        <f>IFERROR(__xludf.DUMMYFUNCTION("""COMPUTED_VALUE"""),"นพอ.นภันต์กร อินทรแก้ว")</f>
        <v>นพอ.นภันต์กร อินทรแก้ว</v>
      </c>
      <c r="G824" s="3" t="str">
        <f>IFERROR(__xludf.DUMMYFUNCTION("""COMPUTED_VALUE"""),"ช่วยเหลืองานภายใน วพอ.")</f>
        <v>ช่วยเหลืองานภายใน วพอ.</v>
      </c>
      <c r="H824" s="3" t="str">
        <f>IFERROR(__xludf.DUMMYFUNCTION("""COMPUTED_VALUE"""),"ปรับปรุงทัศนียภาพใน วพอ.พอ.")</f>
        <v>ปรับปรุงทัศนียภาพใน วพอ.พอ.</v>
      </c>
      <c r="I824" s="3" t="str">
        <f>IFERROR(__xludf.DUMMYFUNCTION("""COMPUTED_VALUE"""),"วพอ.พอ.")</f>
        <v>วพอ.พอ.</v>
      </c>
      <c r="J824" s="12">
        <f>IFERROR(__xludf.DUMMYFUNCTION("""COMPUTED_VALUE"""),46177.0)</f>
        <v>46177</v>
      </c>
      <c r="K824" s="3" t="str">
        <f>IFERROR(__xludf.DUMMYFUNCTION("""COMPUTED_VALUE"""),"1430-1730")</f>
        <v>1430-1730</v>
      </c>
      <c r="L824" s="3">
        <f>IFERROR(__xludf.DUMMYFUNCTION("""COMPUTED_VALUE"""),3.0)</f>
        <v>3</v>
      </c>
      <c r="M824" s="3" t="str">
        <f>IFERROR(__xludf.DUMMYFUNCTION("""COMPUTED_VALUE"""),"น.อ.หญิง ผศ. นิตยา สุขแสน")</f>
        <v>น.อ.หญิง ผศ. นิตยา สุขแสน</v>
      </c>
      <c r="N824" s="14" t="str">
        <f>IFERROR(__xludf.DUMMYFUNCTION("""COMPUTED_VALUE"""),"https://lh5.googleusercontent.com/d/1qXIK7sZI4EOPmBqe2Ke9eJVJ0ihhwtaD")</f>
        <v>https://lh5.googleusercontent.com/d/1qXIK7sZI4EOPmBqe2Ke9eJVJ0ihhwtaD</v>
      </c>
      <c r="O824" s="14" t="str">
        <f>IFERROR(__xludf.DUMMYFUNCTION("""COMPUTED_VALUE"""),"https://drive.google.com/file/d/1JGYSM4qM60qpEy-vkTLxp-ZZzYW4CLBc/view?usp=drivesdk")</f>
        <v>https://drive.google.com/file/d/1JGYSM4qM60qpEy-vkTLxp-ZZzYW4CLBc/view?usp=drivesdk</v>
      </c>
    </row>
    <row r="825">
      <c r="A825" s="3">
        <f>IFERROR(__xludf.DUMMYFUNCTION("""COMPUTED_VALUE"""),3452.0)</f>
        <v>3452</v>
      </c>
      <c r="B825" s="11">
        <f>IFERROR(__xludf.DUMMYFUNCTION("""COMPUTED_VALUE"""),46182.36520366898)</f>
        <v>46182.3652</v>
      </c>
      <c r="C825" s="3" t="str">
        <f>IFERROR(__xludf.DUMMYFUNCTION("""COMPUTED_VALUE"""),"ชั้นปีที่ 2")</f>
        <v>ชั้นปีที่ 2</v>
      </c>
      <c r="D825" s="3" t="str">
        <f>IFERROR(__xludf.DUMMYFUNCTION("""COMPUTED_VALUE"""),"6703846")</f>
        <v>6703846</v>
      </c>
      <c r="E825" s="3" t="str">
        <f>IFERROR(__xludf.DUMMYFUNCTION("""COMPUTED_VALUE"""),"28")</f>
        <v>28</v>
      </c>
      <c r="F825" s="3" t="str">
        <f>IFERROR(__xludf.DUMMYFUNCTION("""COMPUTED_VALUE"""),"นพอ.นัฐพร บูรพันธ์")</f>
        <v>นพอ.นัฐพร บูรพันธ์</v>
      </c>
      <c r="G825" s="3" t="str">
        <f>IFERROR(__xludf.DUMMYFUNCTION("""COMPUTED_VALUE"""),"ช่วยเหลืองานภายใน วพอ.")</f>
        <v>ช่วยเหลืองานภายใน วพอ.</v>
      </c>
      <c r="H825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25" s="3" t="str">
        <f>IFERROR(__xludf.DUMMYFUNCTION("""COMPUTED_VALUE"""),"อาคารสำนักงานชั้น 4")</f>
        <v>อาคารสำนักงานชั้น 4</v>
      </c>
      <c r="J825" s="12">
        <f>IFERROR(__xludf.DUMMYFUNCTION("""COMPUTED_VALUE"""),46147.0)</f>
        <v>46147</v>
      </c>
      <c r="K825" s="3" t="str">
        <f>IFERROR(__xludf.DUMMYFUNCTION("""COMPUTED_VALUE"""),"1500-1800")</f>
        <v>1500-1800</v>
      </c>
      <c r="L825" s="3">
        <f>IFERROR(__xludf.DUMMYFUNCTION("""COMPUTED_VALUE"""),3.0)</f>
        <v>3</v>
      </c>
      <c r="M825" s="3" t="str">
        <f>IFERROR(__xludf.DUMMYFUNCTION("""COMPUTED_VALUE"""),"น.ต.ศักชัย บุญประสิทธิ์")</f>
        <v>น.ต.ศักชัย บุญประสิทธิ์</v>
      </c>
      <c r="N825" s="14" t="str">
        <f>IFERROR(__xludf.DUMMYFUNCTION("""COMPUTED_VALUE"""),"https://lh5.googleusercontent.com/d/1spODMp3cN-f2N4MbzxVs4r_rzAWO9TLi")</f>
        <v>https://lh5.googleusercontent.com/d/1spODMp3cN-f2N4MbzxVs4r_rzAWO9TLi</v>
      </c>
      <c r="O825" s="14" t="str">
        <f>IFERROR(__xludf.DUMMYFUNCTION("""COMPUTED_VALUE"""),"https://drive.google.com/file/d/1--p3fa_im5JBfmq5Ix8X1xlMsJa0iG8T/view?usp=drivesdk")</f>
        <v>https://drive.google.com/file/d/1--p3fa_im5JBfmq5Ix8X1xlMsJa0iG8T/view?usp=drivesdk</v>
      </c>
    </row>
    <row r="826">
      <c r="A826" s="3">
        <f>IFERROR(__xludf.DUMMYFUNCTION("""COMPUTED_VALUE"""),3454.0)</f>
        <v>3454</v>
      </c>
      <c r="B826" s="11">
        <f>IFERROR(__xludf.DUMMYFUNCTION("""COMPUTED_VALUE"""),46182.36705410879)</f>
        <v>46182.36705</v>
      </c>
      <c r="C826" s="3" t="str">
        <f>IFERROR(__xludf.DUMMYFUNCTION("""COMPUTED_VALUE"""),"ชั้นปีที่ 2")</f>
        <v>ชั้นปีที่ 2</v>
      </c>
      <c r="D826" s="3" t="str">
        <f>IFERROR(__xludf.DUMMYFUNCTION("""COMPUTED_VALUE"""),"6703846")</f>
        <v>6703846</v>
      </c>
      <c r="E826" s="3" t="str">
        <f>IFERROR(__xludf.DUMMYFUNCTION("""COMPUTED_VALUE"""),"28")</f>
        <v>28</v>
      </c>
      <c r="F826" s="3" t="str">
        <f>IFERROR(__xludf.DUMMYFUNCTION("""COMPUTED_VALUE"""),"นพอ.นัฐพร บูรพันธ์")</f>
        <v>นพอ.นัฐพร บูรพันธ์</v>
      </c>
      <c r="G826" s="3" t="str">
        <f>IFERROR(__xludf.DUMMYFUNCTION("""COMPUTED_VALUE"""),"ช่วยเหลืองานภายใน วพอ.")</f>
        <v>ช่วยเหลืองานภายใน วพอ.</v>
      </c>
      <c r="H826" s="3" t="str">
        <f>IFERROR(__xludf.DUMMYFUNCTION("""COMPUTED_VALUE"""),"ซ้อมเต้นเพลงฉันมีความสุข")</f>
        <v>ซ้อมเต้นเพลงฉันมีความสุข</v>
      </c>
      <c r="I826" s="3" t="str">
        <f>IFERROR(__xludf.DUMMYFUNCTION("""COMPUTED_VALUE"""),"วพอ.พอ")</f>
        <v>วพอ.พอ</v>
      </c>
      <c r="J826" s="12">
        <f>IFERROR(__xludf.DUMMYFUNCTION("""COMPUTED_VALUE"""),46176.0)</f>
        <v>46176</v>
      </c>
      <c r="K826" s="3" t="str">
        <f>IFERROR(__xludf.DUMMYFUNCTION("""COMPUTED_VALUE"""),"1800-1900")</f>
        <v>1800-1900</v>
      </c>
      <c r="L826" s="3">
        <f>IFERROR(__xludf.DUMMYFUNCTION("""COMPUTED_VALUE"""),1.0)</f>
        <v>1</v>
      </c>
      <c r="M826" s="3" t="str">
        <f>IFERROR(__xludf.DUMMYFUNCTION("""COMPUTED_VALUE"""),"ร.อ.หญิงเบญญาดา บุรีรัตน์")</f>
        <v>ร.อ.หญิงเบญญาดา บุรีรัตน์</v>
      </c>
      <c r="N826" s="14" t="str">
        <f>IFERROR(__xludf.DUMMYFUNCTION("""COMPUTED_VALUE"""),"https://lh5.googleusercontent.com/d/1TIUX4IMh8v1mSDcz-xvBxgDi6ZVu4z3G")</f>
        <v>https://lh5.googleusercontent.com/d/1TIUX4IMh8v1mSDcz-xvBxgDi6ZVu4z3G</v>
      </c>
      <c r="O826" s="14" t="str">
        <f>IFERROR(__xludf.DUMMYFUNCTION("""COMPUTED_VALUE"""),"https://drive.google.com/file/d/1HSz2pp4RiwQ3So3iFANHY0vbaMZJ2OOH/view?usp=drivesdk")</f>
        <v>https://drive.google.com/file/d/1HSz2pp4RiwQ3So3iFANHY0vbaMZJ2OOH/view?usp=drivesdk</v>
      </c>
    </row>
    <row r="827">
      <c r="A827" s="3">
        <f>IFERROR(__xludf.DUMMYFUNCTION("""COMPUTED_VALUE"""),3455.0)</f>
        <v>3455</v>
      </c>
      <c r="B827" s="11">
        <f>IFERROR(__xludf.DUMMYFUNCTION("""COMPUTED_VALUE"""),46182.36877097223)</f>
        <v>46182.36877</v>
      </c>
      <c r="C827" s="3" t="str">
        <f>IFERROR(__xludf.DUMMYFUNCTION("""COMPUTED_VALUE"""),"ชั้นปีที่ 2")</f>
        <v>ชั้นปีที่ 2</v>
      </c>
      <c r="D827" s="3" t="str">
        <f>IFERROR(__xludf.DUMMYFUNCTION("""COMPUTED_VALUE"""),"6703846")</f>
        <v>6703846</v>
      </c>
      <c r="E827" s="3" t="str">
        <f>IFERROR(__xludf.DUMMYFUNCTION("""COMPUTED_VALUE"""),"28")</f>
        <v>28</v>
      </c>
      <c r="F827" s="3" t="str">
        <f>IFERROR(__xludf.DUMMYFUNCTION("""COMPUTED_VALUE"""),"นพอ.นัฐพร บูรพันธ์")</f>
        <v>นพอ.นัฐพร บูรพันธ์</v>
      </c>
      <c r="G827" s="3" t="str">
        <f>IFERROR(__xludf.DUMMYFUNCTION("""COMPUTED_VALUE"""),"ช่วยเหลืองานภายใน วพอ.")</f>
        <v>ช่วยเหลืองานภายใน วพอ.</v>
      </c>
      <c r="H827" s="3" t="str">
        <f>IFERROR(__xludf.DUMMYFUNCTION("""COMPUTED_VALUE"""),"ซ้อมเต้นเพลงฉันมีความสุข")</f>
        <v>ซ้อมเต้นเพลงฉันมีความสุข</v>
      </c>
      <c r="I827" s="3" t="str">
        <f>IFERROR(__xludf.DUMMYFUNCTION("""COMPUTED_VALUE"""),"วพอ.พอ")</f>
        <v>วพอ.พอ</v>
      </c>
      <c r="J827" s="12">
        <f>IFERROR(__xludf.DUMMYFUNCTION("""COMPUTED_VALUE"""),46177.0)</f>
        <v>46177</v>
      </c>
      <c r="K827" s="3" t="str">
        <f>IFERROR(__xludf.DUMMYFUNCTION("""COMPUTED_VALUE"""),"1800-1900")</f>
        <v>1800-1900</v>
      </c>
      <c r="L827" s="3">
        <f>IFERROR(__xludf.DUMMYFUNCTION("""COMPUTED_VALUE"""),1.0)</f>
        <v>1</v>
      </c>
      <c r="M827" s="3" t="str">
        <f>IFERROR(__xludf.DUMMYFUNCTION("""COMPUTED_VALUE"""),"ร.อ.หญิงเบญญาดา บุรีรัตน์")</f>
        <v>ร.อ.หญิงเบญญาดา บุรีรัตน์</v>
      </c>
      <c r="N827" s="14" t="str">
        <f>IFERROR(__xludf.DUMMYFUNCTION("""COMPUTED_VALUE"""),"https://lh5.googleusercontent.com/d/1PqvOgzCvTaOa9XAUvNjaoQUGlSsMb0iI")</f>
        <v>https://lh5.googleusercontent.com/d/1PqvOgzCvTaOa9XAUvNjaoQUGlSsMb0iI</v>
      </c>
      <c r="O827" s="14" t="str">
        <f>IFERROR(__xludf.DUMMYFUNCTION("""COMPUTED_VALUE"""),"https://drive.google.com/file/d/1g3xlZeCAMhlKEBd1_cYreOKrGeTslmjE/view?usp=drivesdk")</f>
        <v>https://drive.google.com/file/d/1g3xlZeCAMhlKEBd1_cYreOKrGeTslmjE/view?usp=drivesdk</v>
      </c>
    </row>
    <row r="828">
      <c r="A828" s="3">
        <f>IFERROR(__xludf.DUMMYFUNCTION("""COMPUTED_VALUE"""),3456.0)</f>
        <v>3456</v>
      </c>
      <c r="B828" s="11">
        <f>IFERROR(__xludf.DUMMYFUNCTION("""COMPUTED_VALUE"""),46182.370337291664)</f>
        <v>46182.37034</v>
      </c>
      <c r="C828" s="3" t="str">
        <f>IFERROR(__xludf.DUMMYFUNCTION("""COMPUTED_VALUE"""),"ชั้นปีที่ 2")</f>
        <v>ชั้นปีที่ 2</v>
      </c>
      <c r="D828" s="3" t="str">
        <f>IFERROR(__xludf.DUMMYFUNCTION("""COMPUTED_VALUE"""),"6703876")</f>
        <v>6703876</v>
      </c>
      <c r="E828" s="3" t="str">
        <f>IFERROR(__xludf.DUMMYFUNCTION("""COMPUTED_VALUE"""),"56")</f>
        <v>56</v>
      </c>
      <c r="F828" s="3" t="str">
        <f>IFERROR(__xludf.DUMMYFUNCTION("""COMPUTED_VALUE"""),"นพอ.สืบสกุล ธรรมขันธ์")</f>
        <v>นพอ.สืบสกุล ธรรมขันธ์</v>
      </c>
      <c r="G828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828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28" s="3" t="str">
        <f>IFERROR(__xludf.DUMMYFUNCTION("""COMPUTED_VALUE"""),"สนามกีฬาธูปะเตมีย์")</f>
        <v>สนามกีฬาธูปะเตมีย์</v>
      </c>
      <c r="J828" s="12">
        <f>IFERROR(__xludf.DUMMYFUNCTION("""COMPUTED_VALUE"""),46078.0)</f>
        <v>46078</v>
      </c>
      <c r="K828" s="3" t="str">
        <f>IFERROR(__xludf.DUMMYFUNCTION("""COMPUTED_VALUE"""),"1200-2000")</f>
        <v>1200-2000</v>
      </c>
      <c r="L828" s="3">
        <f>IFERROR(__xludf.DUMMYFUNCTION("""COMPUTED_VALUE"""),8.0)</f>
        <v>8</v>
      </c>
      <c r="M82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28" s="14" t="str">
        <f>IFERROR(__xludf.DUMMYFUNCTION("""COMPUTED_VALUE"""),"https://lh5.googleusercontent.com/d/1OQGo1BlsCE0QOQZ80i8lJUlRnX3xG4FR")</f>
        <v>https://lh5.googleusercontent.com/d/1OQGo1BlsCE0QOQZ80i8lJUlRnX3xG4FR</v>
      </c>
      <c r="O828" s="14" t="str">
        <f>IFERROR(__xludf.DUMMYFUNCTION("""COMPUTED_VALUE"""),"https://drive.google.com/file/d/1vNUs4kTure2yB3wPF1fcTwopimkR2rsK/view?usp=drivesdk")</f>
        <v>https://drive.google.com/file/d/1vNUs4kTure2yB3wPF1fcTwopimkR2rsK/view?usp=drivesdk</v>
      </c>
    </row>
    <row r="829">
      <c r="A829" s="3">
        <f>IFERROR(__xludf.DUMMYFUNCTION("""COMPUTED_VALUE"""),3457.0)</f>
        <v>3457</v>
      </c>
      <c r="B829" s="11">
        <f>IFERROR(__xludf.DUMMYFUNCTION("""COMPUTED_VALUE"""),46182.37097101852)</f>
        <v>46182.37097</v>
      </c>
      <c r="C829" s="3" t="str">
        <f>IFERROR(__xludf.DUMMYFUNCTION("""COMPUTED_VALUE"""),"ชั้นปีที่ 2")</f>
        <v>ชั้นปีที่ 2</v>
      </c>
      <c r="D829" s="3" t="str">
        <f>IFERROR(__xludf.DUMMYFUNCTION("""COMPUTED_VALUE"""),"6703846")</f>
        <v>6703846</v>
      </c>
      <c r="E829" s="3" t="str">
        <f>IFERROR(__xludf.DUMMYFUNCTION("""COMPUTED_VALUE"""),"28")</f>
        <v>28</v>
      </c>
      <c r="F829" s="3" t="str">
        <f>IFERROR(__xludf.DUMMYFUNCTION("""COMPUTED_VALUE"""),"นพอ.นัฐพร บูรพันธ์")</f>
        <v>นพอ.นัฐพร บูรพันธ์</v>
      </c>
      <c r="G829" s="3" t="str">
        <f>IFERROR(__xludf.DUMMYFUNCTION("""COMPUTED_VALUE"""),"ช่วยเหลืองานภายใน วพอ.")</f>
        <v>ช่วยเหลืองานภายใน วพอ.</v>
      </c>
      <c r="H829" s="3" t="str">
        <f>IFERROR(__xludf.DUMMYFUNCTION("""COMPUTED_VALUE"""),"ซ้อมเต้นเพลงฉันมีความสุข")</f>
        <v>ซ้อมเต้นเพลงฉันมีความสุข</v>
      </c>
      <c r="I829" s="3" t="str">
        <f>IFERROR(__xludf.DUMMYFUNCTION("""COMPUTED_VALUE"""),"ห้องประชุมชั้นสามอาคารเรียน")</f>
        <v>ห้องประชุมชั้นสามอาคารเรียน</v>
      </c>
      <c r="J829" s="12">
        <f>IFERROR(__xludf.DUMMYFUNCTION("""COMPUTED_VALUE"""),46178.0)</f>
        <v>46178</v>
      </c>
      <c r="K829" s="3" t="str">
        <f>IFERROR(__xludf.DUMMYFUNCTION("""COMPUTED_VALUE"""),"1300-1400")</f>
        <v>1300-1400</v>
      </c>
      <c r="L829" s="3">
        <f>IFERROR(__xludf.DUMMYFUNCTION("""COMPUTED_VALUE"""),1.0)</f>
        <v>1</v>
      </c>
      <c r="M829" s="3" t="str">
        <f>IFERROR(__xludf.DUMMYFUNCTION("""COMPUTED_VALUE"""),"ร.อ.หญิงเบญญาดา บุรีรัตน์")</f>
        <v>ร.อ.หญิงเบญญาดา บุรีรัตน์</v>
      </c>
      <c r="N829" s="14" t="str">
        <f>IFERROR(__xludf.DUMMYFUNCTION("""COMPUTED_VALUE"""),"https://lh5.googleusercontent.com/d/1v0gG25ZpvnX1QgQTQtLH0PHu1dA6ShFA")</f>
        <v>https://lh5.googleusercontent.com/d/1v0gG25ZpvnX1QgQTQtLH0PHu1dA6ShFA</v>
      </c>
      <c r="O829" s="14" t="str">
        <f>IFERROR(__xludf.DUMMYFUNCTION("""COMPUTED_VALUE"""),"https://drive.google.com/file/d/1SUZfNoL9o_PQdQIipFXmwixvuNrH_sL6/view?usp=drivesdk")</f>
        <v>https://drive.google.com/file/d/1SUZfNoL9o_PQdQIipFXmwixvuNrH_sL6/view?usp=drivesdk</v>
      </c>
    </row>
    <row r="830">
      <c r="A830" s="3">
        <f>IFERROR(__xludf.DUMMYFUNCTION("""COMPUTED_VALUE"""),3458.0)</f>
        <v>3458</v>
      </c>
      <c r="B830" s="11">
        <f>IFERROR(__xludf.DUMMYFUNCTION("""COMPUTED_VALUE"""),46182.37191040509)</f>
        <v>46182.37191</v>
      </c>
      <c r="C830" s="3" t="str">
        <f>IFERROR(__xludf.DUMMYFUNCTION("""COMPUTED_VALUE"""),"ชั้นปีที่ 2")</f>
        <v>ชั้นปีที่ 2</v>
      </c>
      <c r="D830" s="3" t="str">
        <f>IFERROR(__xludf.DUMMYFUNCTION("""COMPUTED_VALUE"""),"6703853")</f>
        <v>6703853</v>
      </c>
      <c r="E830" s="3" t="str">
        <f>IFERROR(__xludf.DUMMYFUNCTION("""COMPUTED_VALUE"""),"34")</f>
        <v>34</v>
      </c>
      <c r="F830" s="3" t="str">
        <f>IFERROR(__xludf.DUMMYFUNCTION("""COMPUTED_VALUE"""),"นพอ.เปรมยุดา ศรีสุข")</f>
        <v>นพอ.เปรมยุดา ศรีสุข</v>
      </c>
      <c r="G830" s="3" t="str">
        <f>IFERROR(__xludf.DUMMYFUNCTION("""COMPUTED_VALUE"""),"ช่วยเหลืองานภายใน วพอ.")</f>
        <v>ช่วยเหลืองานภายใน วพอ.</v>
      </c>
      <c r="H830" s="3" t="str">
        <f>IFERROR(__xludf.DUMMYFUNCTION("""COMPUTED_VALUE"""),"เก็บสถานที่สอบคัดเลือก นพอ.69")</f>
        <v>เก็บสถานที่สอบคัดเลือก นพอ.69</v>
      </c>
      <c r="I830" s="3" t="str">
        <f>IFERROR(__xludf.DUMMYFUNCTION("""COMPUTED_VALUE"""),"อาคารสำนักงานชั้น 4")</f>
        <v>อาคารสำนักงานชั้น 4</v>
      </c>
      <c r="J830" s="12">
        <f>IFERROR(__xludf.DUMMYFUNCTION("""COMPUTED_VALUE"""),46147.0)</f>
        <v>46147</v>
      </c>
      <c r="K830" s="3" t="str">
        <f>IFERROR(__xludf.DUMMYFUNCTION("""COMPUTED_VALUE"""),"1500-1800")</f>
        <v>1500-1800</v>
      </c>
      <c r="L830" s="3">
        <f>IFERROR(__xludf.DUMMYFUNCTION("""COMPUTED_VALUE"""),3.0)</f>
        <v>3</v>
      </c>
      <c r="M830" s="3" t="str">
        <f>IFERROR(__xludf.DUMMYFUNCTION("""COMPUTED_VALUE"""),"น.ต.ศักชัย บุญประสิทธิ์")</f>
        <v>น.ต.ศักชัย บุญประสิทธิ์</v>
      </c>
      <c r="N830" s="14" t="str">
        <f>IFERROR(__xludf.DUMMYFUNCTION("""COMPUTED_VALUE"""),"https://lh5.googleusercontent.com/d/1ZkGP8k8_xLQiQfTXoQgd6fUSLEvleJ8e")</f>
        <v>https://lh5.googleusercontent.com/d/1ZkGP8k8_xLQiQfTXoQgd6fUSLEvleJ8e</v>
      </c>
      <c r="O830" s="14" t="str">
        <f>IFERROR(__xludf.DUMMYFUNCTION("""COMPUTED_VALUE"""),"https://drive.google.com/file/d/1tdaRDJ3zbE6Z1QD2jU5MjeLMIV26nJRT/view?usp=drivesdk")</f>
        <v>https://drive.google.com/file/d/1tdaRDJ3zbE6Z1QD2jU5MjeLMIV26nJRT/view?usp=drivesdk</v>
      </c>
    </row>
    <row r="831">
      <c r="A831" s="3">
        <f>IFERROR(__xludf.DUMMYFUNCTION("""COMPUTED_VALUE"""),3459.0)</f>
        <v>3459</v>
      </c>
      <c r="B831" s="11">
        <f>IFERROR(__xludf.DUMMYFUNCTION("""COMPUTED_VALUE"""),46182.37604122685)</f>
        <v>46182.37604</v>
      </c>
      <c r="C831" s="3" t="str">
        <f>IFERROR(__xludf.DUMMYFUNCTION("""COMPUTED_VALUE"""),"ชั้นปีที่ 2")</f>
        <v>ชั้นปีที่ 2</v>
      </c>
      <c r="D831" s="3" t="str">
        <f>IFERROR(__xludf.DUMMYFUNCTION("""COMPUTED_VALUE"""),"6703846")</f>
        <v>6703846</v>
      </c>
      <c r="E831" s="3" t="str">
        <f>IFERROR(__xludf.DUMMYFUNCTION("""COMPUTED_VALUE"""),"28")</f>
        <v>28</v>
      </c>
      <c r="F831" s="3" t="str">
        <f>IFERROR(__xludf.DUMMYFUNCTION("""COMPUTED_VALUE"""),"นพอ.นัฐพร บูรพันธ์")</f>
        <v>นพอ.นัฐพร บูรพันธ์</v>
      </c>
      <c r="G831" s="3" t="str">
        <f>IFERROR(__xludf.DUMMYFUNCTION("""COMPUTED_VALUE"""),"ช่วยเหลืองานภายใน วพอ.")</f>
        <v>ช่วยเหลืองานภายใน วพอ.</v>
      </c>
      <c r="H831" s="3" t="str">
        <f>IFERROR(__xludf.DUMMYFUNCTION("""COMPUTED_VALUE"""),"ซ้อมเต้นเพลงฉันมีความสุข")</f>
        <v>ซ้อมเต้นเพลงฉันมีความสุข</v>
      </c>
      <c r="I831" s="3" t="str">
        <f>IFERROR(__xludf.DUMMYFUNCTION("""COMPUTED_VALUE"""),"วพอ.พอ")</f>
        <v>วพอ.พอ</v>
      </c>
      <c r="J831" s="12">
        <f>IFERROR(__xludf.DUMMYFUNCTION("""COMPUTED_VALUE"""),46180.0)</f>
        <v>46180</v>
      </c>
      <c r="K831" s="3" t="str">
        <f>IFERROR(__xludf.DUMMYFUNCTION("""COMPUTED_VALUE"""),"1700-1800")</f>
        <v>1700-1800</v>
      </c>
      <c r="L831" s="3">
        <f>IFERROR(__xludf.DUMMYFUNCTION("""COMPUTED_VALUE"""),1.0)</f>
        <v>1</v>
      </c>
      <c r="M831" s="3" t="str">
        <f>IFERROR(__xludf.DUMMYFUNCTION("""COMPUTED_VALUE"""),"ร.อ.หญิงเบญญาดา บุรีรัตน์")</f>
        <v>ร.อ.หญิงเบญญาดา บุรีรัตน์</v>
      </c>
      <c r="N831" s="14" t="str">
        <f>IFERROR(__xludf.DUMMYFUNCTION("""COMPUTED_VALUE"""),"https://lh5.googleusercontent.com/d/1INMU_nlGn0QBQPQdPPJemLVnd2-ye7qi")</f>
        <v>https://lh5.googleusercontent.com/d/1INMU_nlGn0QBQPQdPPJemLVnd2-ye7qi</v>
      </c>
      <c r="O831" s="14" t="str">
        <f>IFERROR(__xludf.DUMMYFUNCTION("""COMPUTED_VALUE"""),"https://drive.google.com/file/d/14sg6QsAFxaA1FXhWQ1OW4BcVAsDdQevW/view?usp=drivesdk")</f>
        <v>https://drive.google.com/file/d/14sg6QsAFxaA1FXhWQ1OW4BcVAsDdQevW/view?usp=drivesdk</v>
      </c>
    </row>
    <row r="832">
      <c r="A832" s="3">
        <f>IFERROR(__xludf.DUMMYFUNCTION("""COMPUTED_VALUE"""),3460.0)</f>
        <v>3460</v>
      </c>
      <c r="B832" s="11">
        <f>IFERROR(__xludf.DUMMYFUNCTION("""COMPUTED_VALUE"""),46182.3775804051)</f>
        <v>46182.37758</v>
      </c>
      <c r="C832" s="3" t="str">
        <f>IFERROR(__xludf.DUMMYFUNCTION("""COMPUTED_VALUE"""),"ชั้นปีที่ 2")</f>
        <v>ชั้นปีที่ 2</v>
      </c>
      <c r="D832" s="3" t="str">
        <f>IFERROR(__xludf.DUMMYFUNCTION("""COMPUTED_VALUE"""),"6703846")</f>
        <v>6703846</v>
      </c>
      <c r="E832" s="3" t="str">
        <f>IFERROR(__xludf.DUMMYFUNCTION("""COMPUTED_VALUE"""),"28")</f>
        <v>28</v>
      </c>
      <c r="F832" s="3" t="str">
        <f>IFERROR(__xludf.DUMMYFUNCTION("""COMPUTED_VALUE"""),"นพอ.นัฐพร บูรพันธ์")</f>
        <v>นพอ.นัฐพร บูรพันธ์</v>
      </c>
      <c r="G832" s="3" t="str">
        <f>IFERROR(__xludf.DUMMYFUNCTION("""COMPUTED_VALUE"""),"ช่วยเหลืองานภายใน วพอ.")</f>
        <v>ช่วยเหลืองานภายใน วพอ.</v>
      </c>
      <c r="H832" s="3" t="str">
        <f>IFERROR(__xludf.DUMMYFUNCTION("""COMPUTED_VALUE"""),"ปรับปรุงทัศนียภาพใน วพอ.พอ")</f>
        <v>ปรับปรุงทัศนียภาพใน วพอ.พอ</v>
      </c>
      <c r="I832" s="3" t="str">
        <f>IFERROR(__xludf.DUMMYFUNCTION("""COMPUTED_VALUE"""),"วพอ.พอ")</f>
        <v>วพอ.พอ</v>
      </c>
      <c r="J832" s="12">
        <f>IFERROR(__xludf.DUMMYFUNCTION("""COMPUTED_VALUE"""),46177.0)</f>
        <v>46177</v>
      </c>
      <c r="K832" s="3" t="str">
        <f>IFERROR(__xludf.DUMMYFUNCTION("""COMPUTED_VALUE"""),"1430-1730")</f>
        <v>1430-1730</v>
      </c>
      <c r="L832" s="3">
        <f>IFERROR(__xludf.DUMMYFUNCTION("""COMPUTED_VALUE"""),3.0)</f>
        <v>3</v>
      </c>
      <c r="M832" s="3" t="str">
        <f>IFERROR(__xludf.DUMMYFUNCTION("""COMPUTED_VALUE"""),"น.อ.หญิง ผศ.นิตยา สุขแสน")</f>
        <v>น.อ.หญิง ผศ.นิตยา สุขแสน</v>
      </c>
      <c r="N832" s="14" t="str">
        <f>IFERROR(__xludf.DUMMYFUNCTION("""COMPUTED_VALUE"""),"https://lh5.googleusercontent.com/d/1hcNwjkpDW1DAeFaWDtEx_wotH00Iffyv")</f>
        <v>https://lh5.googleusercontent.com/d/1hcNwjkpDW1DAeFaWDtEx_wotH00Iffyv</v>
      </c>
      <c r="O832" s="14" t="str">
        <f>IFERROR(__xludf.DUMMYFUNCTION("""COMPUTED_VALUE"""),"https://drive.google.com/file/d/1sCyLPWAq3SDg6VW_k1H9JLCUYqlB7NxH/view?usp=drivesdk")</f>
        <v>https://drive.google.com/file/d/1sCyLPWAq3SDg6VW_k1H9JLCUYqlB7NxH/view?usp=drivesdk</v>
      </c>
    </row>
    <row r="833">
      <c r="A833" s="3">
        <f>IFERROR(__xludf.DUMMYFUNCTION("""COMPUTED_VALUE"""),3461.0)</f>
        <v>3461</v>
      </c>
      <c r="B833" s="11">
        <f>IFERROR(__xludf.DUMMYFUNCTION("""COMPUTED_VALUE"""),46182.38472631945)</f>
        <v>46182.38473</v>
      </c>
      <c r="C833" s="3" t="str">
        <f>IFERROR(__xludf.DUMMYFUNCTION("""COMPUTED_VALUE"""),"ชั้นปีที่ 2")</f>
        <v>ชั้นปีที่ 2</v>
      </c>
      <c r="D833" s="3" t="str">
        <f>IFERROR(__xludf.DUMMYFUNCTION("""COMPUTED_VALUE"""),"6703846")</f>
        <v>6703846</v>
      </c>
      <c r="E833" s="3" t="str">
        <f>IFERROR(__xludf.DUMMYFUNCTION("""COMPUTED_VALUE"""),"2")</f>
        <v>2</v>
      </c>
      <c r="F833" s="3" t="str">
        <f>IFERROR(__xludf.DUMMYFUNCTION("""COMPUTED_VALUE"""),"นพอ.นัฐพร บูรพันธ์")</f>
        <v>นพอ.นัฐพร บูรพันธ์</v>
      </c>
      <c r="G833" s="3" t="str">
        <f>IFERROR(__xludf.DUMMYFUNCTION("""COMPUTED_VALUE"""),"ช่วยเหลืองานภายใน วพอ.")</f>
        <v>ช่วยเหลืองานภายใน วพอ.</v>
      </c>
      <c r="H833" s="3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3" s="3" t="str">
        <f>IFERROR(__xludf.DUMMYFUNCTION("""COMPUTED_VALUE"""),"วพอ.พอ")</f>
        <v>วพอ.พอ</v>
      </c>
      <c r="J833" s="12">
        <f>IFERROR(__xludf.DUMMYFUNCTION("""COMPUTED_VALUE"""),46113.0)</f>
        <v>46113</v>
      </c>
      <c r="K833" s="3" t="str">
        <f>IFERROR(__xludf.DUMMYFUNCTION("""COMPUTED_VALUE"""),"1800-2000")</f>
        <v>1800-2000</v>
      </c>
      <c r="L833" s="3">
        <f>IFERROR(__xludf.DUMMYFUNCTION("""COMPUTED_VALUE"""),2.0)</f>
        <v>2</v>
      </c>
      <c r="M833" s="3" t="str">
        <f>IFERROR(__xludf.DUMMYFUNCTION("""COMPUTED_VALUE"""),"ร.อ.หญิงขนัฎฐา นาดี")</f>
        <v>ร.อ.หญิงขนัฎฐา นาดี</v>
      </c>
      <c r="N833" s="14" t="str">
        <f>IFERROR(__xludf.DUMMYFUNCTION("""COMPUTED_VALUE"""),"https://lh5.googleusercontent.com/d/13RNGWoJQU3P0PhQUXn95u7hMILXMzOjt")</f>
        <v>https://lh5.googleusercontent.com/d/13RNGWoJQU3P0PhQUXn95u7hMILXMzOjt</v>
      </c>
      <c r="O833" s="14" t="str">
        <f>IFERROR(__xludf.DUMMYFUNCTION("""COMPUTED_VALUE"""),"https://drive.google.com/file/d/1LPLt2b8wZ_Kr3UmfyeEYj-c3CW5HqkDf/view?usp=drivesdk")</f>
        <v>https://drive.google.com/file/d/1LPLt2b8wZ_Kr3UmfyeEYj-c3CW5HqkDf/view?usp=drivesdk</v>
      </c>
    </row>
    <row r="834">
      <c r="A834" s="3">
        <f>IFERROR(__xludf.DUMMYFUNCTION("""COMPUTED_VALUE"""),3462.0)</f>
        <v>3462</v>
      </c>
      <c r="B834" s="11">
        <f>IFERROR(__xludf.DUMMYFUNCTION("""COMPUTED_VALUE"""),46182.38477658565)</f>
        <v>46182.38478</v>
      </c>
      <c r="C834" s="3" t="str">
        <f>IFERROR(__xludf.DUMMYFUNCTION("""COMPUTED_VALUE"""),"ชั้นปีที่ 2")</f>
        <v>ชั้นปีที่ 2</v>
      </c>
      <c r="D834" s="3" t="str">
        <f>IFERROR(__xludf.DUMMYFUNCTION("""COMPUTED_VALUE"""),"6703845")</f>
        <v>6703845</v>
      </c>
      <c r="E834" s="3" t="str">
        <f>IFERROR(__xludf.DUMMYFUNCTION("""COMPUTED_VALUE"""),"27")</f>
        <v>27</v>
      </c>
      <c r="F834" s="3" t="str">
        <f>IFERROR(__xludf.DUMMYFUNCTION("""COMPUTED_VALUE"""),"นพอ.นภันต์กร อินทรแก้ว")</f>
        <v>นพอ.นภันต์กร อินทรแก้ว</v>
      </c>
      <c r="G834" s="3" t="str">
        <f>IFERROR(__xludf.DUMMYFUNCTION("""COMPUTED_VALUE"""),"ช่วยเหลืองานภายใน วพอ.")</f>
        <v>ช่วยเหลืองานภายใน วพอ.</v>
      </c>
      <c r="H834" s="3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4" s="3" t="str">
        <f>IFERROR(__xludf.DUMMYFUNCTION("""COMPUTED_VALUE"""),"วพอ.พอ.")</f>
        <v>วพอ.พอ.</v>
      </c>
      <c r="J834" s="12">
        <f>IFERROR(__xludf.DUMMYFUNCTION("""COMPUTED_VALUE"""),46114.0)</f>
        <v>46114</v>
      </c>
      <c r="K834" s="3" t="str">
        <f>IFERROR(__xludf.DUMMYFUNCTION("""COMPUTED_VALUE"""),"1800-2000")</f>
        <v>1800-2000</v>
      </c>
      <c r="L834" s="3">
        <f>IFERROR(__xludf.DUMMYFUNCTION("""COMPUTED_VALUE"""),2.0)</f>
        <v>2</v>
      </c>
      <c r="M834" s="3" t="str">
        <f>IFERROR(__xludf.DUMMYFUNCTION("""COMPUTED_VALUE"""),"ร.อ.หญิง ขนัฏฐา นาดี")</f>
        <v>ร.อ.หญิง ขนัฏฐา นาดี</v>
      </c>
      <c r="N834" s="14" t="str">
        <f>IFERROR(__xludf.DUMMYFUNCTION("""COMPUTED_VALUE"""),"https://lh5.googleusercontent.com/d/1YHcC6JhAEdwwEu4TNxXymDE6B3KZhw_T")</f>
        <v>https://lh5.googleusercontent.com/d/1YHcC6JhAEdwwEu4TNxXymDE6B3KZhw_T</v>
      </c>
      <c r="O834" s="14" t="str">
        <f>IFERROR(__xludf.DUMMYFUNCTION("""COMPUTED_VALUE"""),"https://drive.google.com/file/d/1MFmSeakwaQFf3G7huJTKCQk4hqJuF6AX/view?usp=drivesdk")</f>
        <v>https://drive.google.com/file/d/1MFmSeakwaQFf3G7huJTKCQk4hqJuF6AX/view?usp=drivesdk</v>
      </c>
    </row>
    <row r="835">
      <c r="A835" s="3">
        <f>IFERROR(__xludf.DUMMYFUNCTION("""COMPUTED_VALUE"""),3463.0)</f>
        <v>3463</v>
      </c>
      <c r="B835" s="11">
        <f>IFERROR(__xludf.DUMMYFUNCTION("""COMPUTED_VALUE"""),46182.38624807871)</f>
        <v>46182.38625</v>
      </c>
      <c r="C835" s="3" t="str">
        <f>IFERROR(__xludf.DUMMYFUNCTION("""COMPUTED_VALUE"""),"ชั้นปีที่ 2")</f>
        <v>ชั้นปีที่ 2</v>
      </c>
      <c r="D835" s="3" t="str">
        <f>IFERROR(__xludf.DUMMYFUNCTION("""COMPUTED_VALUE"""),"6703845")</f>
        <v>6703845</v>
      </c>
      <c r="E835" s="3" t="str">
        <f>IFERROR(__xludf.DUMMYFUNCTION("""COMPUTED_VALUE"""),"27")</f>
        <v>27</v>
      </c>
      <c r="F835" s="3" t="str">
        <f>IFERROR(__xludf.DUMMYFUNCTION("""COMPUTED_VALUE"""),"นพอ.นภันต์กร อินทรแก้ว")</f>
        <v>นพอ.นภันต์กร อินทรแก้ว</v>
      </c>
      <c r="G835" s="3" t="str">
        <f>IFERROR(__xludf.DUMMYFUNCTION("""COMPUTED_VALUE"""),"ช่วยเหลืองานภายใน วพอ.")</f>
        <v>ช่วยเหลืองานภายใน วพอ.</v>
      </c>
      <c r="H835" s="3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5" s="3" t="str">
        <f>IFERROR(__xludf.DUMMYFUNCTION("""COMPUTED_VALUE"""),"วพอ.พอ.")</f>
        <v>วพอ.พอ.</v>
      </c>
      <c r="J835" s="12">
        <f>IFERROR(__xludf.DUMMYFUNCTION("""COMPUTED_VALUE"""),46120.0)</f>
        <v>46120</v>
      </c>
      <c r="K835" s="3" t="str">
        <f>IFERROR(__xludf.DUMMYFUNCTION("""COMPUTED_VALUE"""),"1800-2000")</f>
        <v>1800-2000</v>
      </c>
      <c r="L835" s="3">
        <f>IFERROR(__xludf.DUMMYFUNCTION("""COMPUTED_VALUE"""),2.0)</f>
        <v>2</v>
      </c>
      <c r="M835" s="3" t="str">
        <f>IFERROR(__xludf.DUMMYFUNCTION("""COMPUTED_VALUE"""),"ร.อ.หญิง ขนัฏฐา นาดี")</f>
        <v>ร.อ.หญิง ขนัฏฐา นาดี</v>
      </c>
      <c r="N835" s="14" t="str">
        <f>IFERROR(__xludf.DUMMYFUNCTION("""COMPUTED_VALUE"""),"https://lh5.googleusercontent.com/d/1hTUb1SmD6H7aCQ-lhyaWhbyvuSQKrY3z")</f>
        <v>https://lh5.googleusercontent.com/d/1hTUb1SmD6H7aCQ-lhyaWhbyvuSQKrY3z</v>
      </c>
      <c r="O835" s="14" t="str">
        <f>IFERROR(__xludf.DUMMYFUNCTION("""COMPUTED_VALUE"""),"https://drive.google.com/file/d/12tHOr7hRAksw_i3KkSPSV2tVq6dBitjr/view?usp=drivesdk")</f>
        <v>https://drive.google.com/file/d/12tHOr7hRAksw_i3KkSPSV2tVq6dBitjr/view?usp=drivesdk</v>
      </c>
    </row>
    <row r="836">
      <c r="A836" s="3">
        <f>IFERROR(__xludf.DUMMYFUNCTION("""COMPUTED_VALUE"""),3464.0)</f>
        <v>3464</v>
      </c>
      <c r="B836" s="11">
        <f>IFERROR(__xludf.DUMMYFUNCTION("""COMPUTED_VALUE"""),46182.38630839121)</f>
        <v>46182.38631</v>
      </c>
      <c r="C836" s="3" t="str">
        <f>IFERROR(__xludf.DUMMYFUNCTION("""COMPUTED_VALUE"""),"ชั้นปีที่ 2")</f>
        <v>ชั้นปีที่ 2</v>
      </c>
      <c r="D836" s="3" t="str">
        <f>IFERROR(__xludf.DUMMYFUNCTION("""COMPUTED_VALUE"""),"6703846")</f>
        <v>6703846</v>
      </c>
      <c r="E836" s="3" t="str">
        <f>IFERROR(__xludf.DUMMYFUNCTION("""COMPUTED_VALUE"""),"28")</f>
        <v>28</v>
      </c>
      <c r="F836" s="3" t="str">
        <f>IFERROR(__xludf.DUMMYFUNCTION("""COMPUTED_VALUE"""),"นพอ.นัฐพร บูรพันธ์")</f>
        <v>นพอ.นัฐพร บูรพันธ์</v>
      </c>
      <c r="G836" s="3" t="str">
        <f>IFERROR(__xludf.DUMMYFUNCTION("""COMPUTED_VALUE"""),"ช่วยเหลืองานภายใน วพอ.")</f>
        <v>ช่วยเหลืองานภายใน วพอ.</v>
      </c>
      <c r="H836" s="3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6" s="3" t="str">
        <f>IFERROR(__xludf.DUMMYFUNCTION("""COMPUTED_VALUE"""),"วพอ.พอ")</f>
        <v>วพอ.พอ</v>
      </c>
      <c r="J836" s="12">
        <f>IFERROR(__xludf.DUMMYFUNCTION("""COMPUTED_VALUE"""),46114.0)</f>
        <v>46114</v>
      </c>
      <c r="K836" s="3" t="str">
        <f>IFERROR(__xludf.DUMMYFUNCTION("""COMPUTED_VALUE"""),"1800-2000")</f>
        <v>1800-2000</v>
      </c>
      <c r="L836" s="3">
        <f>IFERROR(__xludf.DUMMYFUNCTION("""COMPUTED_VALUE"""),2.0)</f>
        <v>2</v>
      </c>
      <c r="M836" s="3" t="str">
        <f>IFERROR(__xludf.DUMMYFUNCTION("""COMPUTED_VALUE"""),"ร.อ.หญิงขนัฎฐา นาดี")</f>
        <v>ร.อ.หญิงขนัฎฐา นาดี</v>
      </c>
      <c r="N836" s="14" t="str">
        <f>IFERROR(__xludf.DUMMYFUNCTION("""COMPUTED_VALUE"""),"https://lh5.googleusercontent.com/d/1Oy_oenAaWcoE_hCGLS1A7l9yJK2jAPy2")</f>
        <v>https://lh5.googleusercontent.com/d/1Oy_oenAaWcoE_hCGLS1A7l9yJK2jAPy2</v>
      </c>
      <c r="O836" s="14" t="str">
        <f>IFERROR(__xludf.DUMMYFUNCTION("""COMPUTED_VALUE"""),"https://drive.google.com/file/d/1yznu22KoW-q0_-nlngCXYQUt5YSlKxBq/view?usp=drivesdk")</f>
        <v>https://drive.google.com/file/d/1yznu22KoW-q0_-nlngCXYQUt5YSlKxBq/view?usp=drivesdk</v>
      </c>
    </row>
    <row r="837">
      <c r="A837" s="3">
        <f>IFERROR(__xludf.DUMMYFUNCTION("""COMPUTED_VALUE"""),3465.0)</f>
        <v>3465</v>
      </c>
      <c r="B837" s="11">
        <f>IFERROR(__xludf.DUMMYFUNCTION("""COMPUTED_VALUE"""),46182.38771018519)</f>
        <v>46182.38771</v>
      </c>
      <c r="C837" s="3" t="str">
        <f>IFERROR(__xludf.DUMMYFUNCTION("""COMPUTED_VALUE"""),"ชั้นปีที่ 2")</f>
        <v>ชั้นปีที่ 2</v>
      </c>
      <c r="D837" s="3" t="str">
        <f>IFERROR(__xludf.DUMMYFUNCTION("""COMPUTED_VALUE"""),"6703846")</f>
        <v>6703846</v>
      </c>
      <c r="E837" s="3" t="str">
        <f>IFERROR(__xludf.DUMMYFUNCTION("""COMPUTED_VALUE"""),"28")</f>
        <v>28</v>
      </c>
      <c r="F837" s="3" t="str">
        <f>IFERROR(__xludf.DUMMYFUNCTION("""COMPUTED_VALUE"""),"นพอ.นัฐพร บูรพันธ์")</f>
        <v>นพอ.นัฐพร บูรพันธ์</v>
      </c>
      <c r="G837" s="3" t="str">
        <f>IFERROR(__xludf.DUMMYFUNCTION("""COMPUTED_VALUE"""),"ช่วยเหลืองานภายใน วพอ.")</f>
        <v>ช่วยเหลืองานภายใน วพอ.</v>
      </c>
      <c r="H837" s="3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7" s="3" t="str">
        <f>IFERROR(__xludf.DUMMYFUNCTION("""COMPUTED_VALUE"""),"วพอ.พอ")</f>
        <v>วพอ.พอ</v>
      </c>
      <c r="J837" s="12">
        <f>IFERROR(__xludf.DUMMYFUNCTION("""COMPUTED_VALUE"""),46115.0)</f>
        <v>46115</v>
      </c>
      <c r="K837" s="3" t="str">
        <f>IFERROR(__xludf.DUMMYFUNCTION("""COMPUTED_VALUE"""),"1800-2000")</f>
        <v>1800-2000</v>
      </c>
      <c r="L837" s="3">
        <f>IFERROR(__xludf.DUMMYFUNCTION("""COMPUTED_VALUE"""),2.0)</f>
        <v>2</v>
      </c>
      <c r="M837" s="3" t="str">
        <f>IFERROR(__xludf.DUMMYFUNCTION("""COMPUTED_VALUE"""),"ร.อ.หญิงขนัฎฐา นาดี")</f>
        <v>ร.อ.หญิงขนัฎฐา นาดี</v>
      </c>
      <c r="N837" s="14" t="str">
        <f>IFERROR(__xludf.DUMMYFUNCTION("""COMPUTED_VALUE"""),"https://lh5.googleusercontent.com/d/1Dv8ZWFT3TZTLdrQH8n8RboTEa4gNwxll")</f>
        <v>https://lh5.googleusercontent.com/d/1Dv8ZWFT3TZTLdrQH8n8RboTEa4gNwxll</v>
      </c>
      <c r="O837" s="14" t="str">
        <f>IFERROR(__xludf.DUMMYFUNCTION("""COMPUTED_VALUE"""),"https://drive.google.com/file/d/1CedSgF4wnY3-3dalbpDeiuAd2OiQAeVb/view?usp=drivesdk")</f>
        <v>https://drive.google.com/file/d/1CedSgF4wnY3-3dalbpDeiuAd2OiQAeVb/view?usp=drivesdk</v>
      </c>
    </row>
    <row r="838">
      <c r="A838" s="3">
        <f>IFERROR(__xludf.DUMMYFUNCTION("""COMPUTED_VALUE"""),3466.0)</f>
        <v>3466</v>
      </c>
      <c r="B838" s="11">
        <f>IFERROR(__xludf.DUMMYFUNCTION("""COMPUTED_VALUE"""),46182.393036249996)</f>
        <v>46182.39304</v>
      </c>
      <c r="C838" s="3" t="str">
        <f>IFERROR(__xludf.DUMMYFUNCTION("""COMPUTED_VALUE"""),"ชั้นปีที่ 2")</f>
        <v>ชั้นปีที่ 2</v>
      </c>
      <c r="D838" s="3" t="str">
        <f>IFERROR(__xludf.DUMMYFUNCTION("""COMPUTED_VALUE"""),"6703845")</f>
        <v>6703845</v>
      </c>
      <c r="E838" s="3" t="str">
        <f>IFERROR(__xludf.DUMMYFUNCTION("""COMPUTED_VALUE"""),"27")</f>
        <v>27</v>
      </c>
      <c r="F838" s="3" t="str">
        <f>IFERROR(__xludf.DUMMYFUNCTION("""COMPUTED_VALUE"""),"นพอ.นภันต์กร อินทรแก้ว")</f>
        <v>นพอ.นภันต์กร อินทรแก้ว</v>
      </c>
      <c r="G838" s="3" t="str">
        <f>IFERROR(__xludf.DUMMYFUNCTION("""COMPUTED_VALUE"""),"ช่วยเหลืองานภายใน วพอ.")</f>
        <v>ช่วยเหลืองานภายใน วพอ.</v>
      </c>
      <c r="H838" s="3" t="str">
        <f>IFERROR(__xludf.DUMMYFUNCTION("""COMPUTED_VALUE"""),"ซ้อมดนตรีไทยงานสงกรานต์ วพอ.2569")</f>
        <v>ซ้อมดนตรีไทยงานสงกรานต์ วพอ.2569</v>
      </c>
      <c r="I838" s="3" t="str">
        <f>IFERROR(__xludf.DUMMYFUNCTION("""COMPUTED_VALUE"""),"วพอ.พอ.")</f>
        <v>วพอ.พอ.</v>
      </c>
      <c r="J838" s="12">
        <f>IFERROR(__xludf.DUMMYFUNCTION("""COMPUTED_VALUE"""),46113.0)</f>
        <v>46113</v>
      </c>
      <c r="K838" s="3" t="str">
        <f>IFERROR(__xludf.DUMMYFUNCTION("""COMPUTED_VALUE"""),"1800-2000")</f>
        <v>1800-2000</v>
      </c>
      <c r="L838" s="3">
        <f>IFERROR(__xludf.DUMMYFUNCTION("""COMPUTED_VALUE"""),2.0)</f>
        <v>2</v>
      </c>
      <c r="M838" s="3" t="str">
        <f>IFERROR(__xludf.DUMMYFUNCTION("""COMPUTED_VALUE"""),"ร.อ.หญิง ขนัฏฐา นาดี")</f>
        <v>ร.อ.หญิง ขนัฏฐา นาดี</v>
      </c>
      <c r="N838" s="14" t="str">
        <f>IFERROR(__xludf.DUMMYFUNCTION("""COMPUTED_VALUE"""),"https://lh5.googleusercontent.com/d/1PV_3IDoZmC3gOelB9tvGwpsRsUCKQ2JL")</f>
        <v>https://lh5.googleusercontent.com/d/1PV_3IDoZmC3gOelB9tvGwpsRsUCKQ2JL</v>
      </c>
      <c r="O838" s="14" t="str">
        <f>IFERROR(__xludf.DUMMYFUNCTION("""COMPUTED_VALUE"""),"https://drive.google.com/file/d/1ShXbtTMzp2q4D70jIwodOkbLzRcSTksU/view?usp=drivesdk")</f>
        <v>https://drive.google.com/file/d/1ShXbtTMzp2q4D70jIwodOkbLzRcSTksU/view?usp=drivesdk</v>
      </c>
    </row>
    <row r="839">
      <c r="A839" s="3">
        <f>IFERROR(__xludf.DUMMYFUNCTION("""COMPUTED_VALUE"""),3469.0)</f>
        <v>3469</v>
      </c>
      <c r="B839" s="11">
        <f>IFERROR(__xludf.DUMMYFUNCTION("""COMPUTED_VALUE"""),46182.40068298611)</f>
        <v>46182.40068</v>
      </c>
      <c r="C839" s="3" t="str">
        <f>IFERROR(__xludf.DUMMYFUNCTION("""COMPUTED_VALUE"""),"ชั้นปีที่ 2")</f>
        <v>ชั้นปีที่ 2</v>
      </c>
      <c r="D839" s="3" t="str">
        <f>IFERROR(__xludf.DUMMYFUNCTION("""COMPUTED_VALUE"""),"6703853")</f>
        <v>6703853</v>
      </c>
      <c r="E839" s="3" t="str">
        <f>IFERROR(__xludf.DUMMYFUNCTION("""COMPUTED_VALUE"""),"34")</f>
        <v>34</v>
      </c>
      <c r="F839" s="3" t="str">
        <f>IFERROR(__xludf.DUMMYFUNCTION("""COMPUTED_VALUE"""),"นพอ.เปรมยุดา ศรีสุข")</f>
        <v>นพอ.เปรมยุดา ศรีสุข</v>
      </c>
      <c r="G839" s="3" t="str">
        <f>IFERROR(__xludf.DUMMYFUNCTION("""COMPUTED_VALUE"""),"ช่วยเหลืองานภายใน วพอ.")</f>
        <v>ช่วยเหลืองานภายใน วพอ.</v>
      </c>
      <c r="H839" s="3" t="str">
        <f>IFERROR(__xludf.DUMMYFUNCTION("""COMPUTED_VALUE"""),"ปรับปรุงทัศนียภาพใน วพอ.พอ.")</f>
        <v>ปรับปรุงทัศนียภาพใน วพอ.พอ.</v>
      </c>
      <c r="I839" s="3" t="str">
        <f>IFERROR(__xludf.DUMMYFUNCTION("""COMPUTED_VALUE"""),"วพอ.พอ.")</f>
        <v>วพอ.พอ.</v>
      </c>
      <c r="J839" s="12">
        <f>IFERROR(__xludf.DUMMYFUNCTION("""COMPUTED_VALUE"""),46177.0)</f>
        <v>46177</v>
      </c>
      <c r="K839" s="3" t="str">
        <f>IFERROR(__xludf.DUMMYFUNCTION("""COMPUTED_VALUE"""),"1430-1730")</f>
        <v>1430-1730</v>
      </c>
      <c r="L839" s="3">
        <f>IFERROR(__xludf.DUMMYFUNCTION("""COMPUTED_VALUE"""),3.0)</f>
        <v>3</v>
      </c>
      <c r="M839" s="3" t="str">
        <f>IFERROR(__xludf.DUMMYFUNCTION("""COMPUTED_VALUE""")," น.อ.หญิง ผศ. นิตยา สุขแสน")</f>
        <v> น.อ.หญิง ผศ. นิตยา สุขแสน</v>
      </c>
      <c r="N839" s="14" t="str">
        <f>IFERROR(__xludf.DUMMYFUNCTION("""COMPUTED_VALUE"""),"https://lh5.googleusercontent.com/d/16MBy8O7Ino5sOChWjEIvcc9y4zgW9ITz")</f>
        <v>https://lh5.googleusercontent.com/d/16MBy8O7Ino5sOChWjEIvcc9y4zgW9ITz</v>
      </c>
      <c r="O839" s="14" t="str">
        <f>IFERROR(__xludf.DUMMYFUNCTION("""COMPUTED_VALUE"""),"https://drive.google.com/file/d/138Y8uGP_msVA7r8uNCuFQqAI5lVKad7U/view?usp=drivesdk")</f>
        <v>https://drive.google.com/file/d/138Y8uGP_msVA7r8uNCuFQqAI5lVKad7U/view?usp=drivesdk</v>
      </c>
    </row>
    <row r="840">
      <c r="A840" s="3">
        <f>IFERROR(__xludf.DUMMYFUNCTION("""COMPUTED_VALUE"""),3470.0)</f>
        <v>3470</v>
      </c>
      <c r="B840" s="11">
        <f>IFERROR(__xludf.DUMMYFUNCTION("""COMPUTED_VALUE"""),46182.41170895834)</f>
        <v>46182.41171</v>
      </c>
      <c r="C840" s="3" t="str">
        <f>IFERROR(__xludf.DUMMYFUNCTION("""COMPUTED_VALUE"""),"ชั้นปีที่ 2")</f>
        <v>ชั้นปีที่ 2</v>
      </c>
      <c r="D840" s="3" t="str">
        <f>IFERROR(__xludf.DUMMYFUNCTION("""COMPUTED_VALUE"""),"6703853")</f>
        <v>6703853</v>
      </c>
      <c r="E840" s="3" t="str">
        <f>IFERROR(__xludf.DUMMYFUNCTION("""COMPUTED_VALUE"""),"34")</f>
        <v>34</v>
      </c>
      <c r="F840" s="3" t="str">
        <f>IFERROR(__xludf.DUMMYFUNCTION("""COMPUTED_VALUE"""),"นพอ.เปรมยุดา ศรีสุข")</f>
        <v>นพอ.เปรมยุดา ศรีสุข</v>
      </c>
      <c r="G84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0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40" s="3" t="str">
        <f>IFERROR(__xludf.DUMMYFUNCTION("""COMPUTED_VALUE"""),"สนามกีฬากองทัพอากาศ ธูปะเตมีย์")</f>
        <v>สนามกีฬากองทัพอากาศ ธูปะเตมีย์</v>
      </c>
      <c r="J840" s="12">
        <f>IFERROR(__xludf.DUMMYFUNCTION("""COMPUTED_VALUE"""),46078.0)</f>
        <v>46078</v>
      </c>
      <c r="K840" s="3" t="str">
        <f>IFERROR(__xludf.DUMMYFUNCTION("""COMPUTED_VALUE"""),"1200-2000")</f>
        <v>1200-2000</v>
      </c>
      <c r="L840" s="3">
        <f>IFERROR(__xludf.DUMMYFUNCTION("""COMPUTED_VALUE"""),8.0)</f>
        <v>8</v>
      </c>
      <c r="M84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40" s="14" t="str">
        <f>IFERROR(__xludf.DUMMYFUNCTION("""COMPUTED_VALUE"""),"https://lh5.googleusercontent.com/d/1zce41xU3LshSS8EGAHe9Q0D5Q89DFUDK")</f>
        <v>https://lh5.googleusercontent.com/d/1zce41xU3LshSS8EGAHe9Q0D5Q89DFUDK</v>
      </c>
      <c r="O840" s="14" t="str">
        <f>IFERROR(__xludf.DUMMYFUNCTION("""COMPUTED_VALUE"""),"https://drive.google.com/file/d/1bzwXWiyYUnaNOHKvtr1novSOvFIeXReP/view?usp=drivesdk")</f>
        <v>https://drive.google.com/file/d/1bzwXWiyYUnaNOHKvtr1novSOvFIeXReP/view?usp=drivesdk</v>
      </c>
    </row>
    <row r="841">
      <c r="A841" s="3">
        <f>IFERROR(__xludf.DUMMYFUNCTION("""COMPUTED_VALUE"""),3471.0)</f>
        <v>3471</v>
      </c>
      <c r="B841" s="11">
        <f>IFERROR(__xludf.DUMMYFUNCTION("""COMPUTED_VALUE"""),46182.47029657408)</f>
        <v>46182.4703</v>
      </c>
      <c r="C841" s="3" t="str">
        <f>IFERROR(__xludf.DUMMYFUNCTION("""COMPUTED_VALUE"""),"ชั้นปีที่ 2")</f>
        <v>ชั้นปีที่ 2</v>
      </c>
      <c r="D841" s="3" t="str">
        <f>IFERROR(__xludf.DUMMYFUNCTION("""COMPUTED_VALUE"""),"6703846")</f>
        <v>6703846</v>
      </c>
      <c r="E841" s="3" t="str">
        <f>IFERROR(__xludf.DUMMYFUNCTION("""COMPUTED_VALUE"""),"28")</f>
        <v>28</v>
      </c>
      <c r="F841" s="3" t="str">
        <f>IFERROR(__xludf.DUMMYFUNCTION("""COMPUTED_VALUE"""),"นพอ.นัฐพร บูรพันธ์")</f>
        <v>นพอ.นัฐพร บูรพันธ์</v>
      </c>
      <c r="G841" s="3" t="str">
        <f>IFERROR(__xludf.DUMMYFUNCTION("""COMPUTED_VALUE"""),"งานฟรีทั่วไป")</f>
        <v>งานฟรีทั่วไป</v>
      </c>
      <c r="H841" s="3" t="str">
        <f>IFERROR(__xludf.DUMMYFUNCTION("""COMPUTED_VALUE"""),"กวาดลานวัด")</f>
        <v>กวาดลานวัด</v>
      </c>
      <c r="I841" s="3" t="str">
        <f>IFERROR(__xludf.DUMMYFUNCTION("""COMPUTED_VALUE"""),"วัดคลองบ้านใหม่")</f>
        <v>วัดคลองบ้านใหม่</v>
      </c>
      <c r="J841" s="12">
        <f>IFERROR(__xludf.DUMMYFUNCTION("""COMPUTED_VALUE"""),46109.0)</f>
        <v>46109</v>
      </c>
      <c r="K841" s="3" t="str">
        <f>IFERROR(__xludf.DUMMYFUNCTION("""COMPUTED_VALUE"""),"1000-1100")</f>
        <v>1000-1100</v>
      </c>
      <c r="L841" s="3">
        <f>IFERROR(__xludf.DUMMYFUNCTION("""COMPUTED_VALUE"""),1.0)</f>
        <v>1</v>
      </c>
      <c r="M841" s="3" t="str">
        <f>IFERROR(__xludf.DUMMYFUNCTION("""COMPUTED_VALUE"""),"พระครูปริยัติคุณาทร")</f>
        <v>พระครูปริยัติคุณาทร</v>
      </c>
      <c r="N841" s="14" t="str">
        <f>IFERROR(__xludf.DUMMYFUNCTION("""COMPUTED_VALUE"""),"https://lh5.googleusercontent.com/d/19cz6LJHNk3QuFix9ykPJUKOjT5SbzLKQ")</f>
        <v>https://lh5.googleusercontent.com/d/19cz6LJHNk3QuFix9ykPJUKOjT5SbzLKQ</v>
      </c>
      <c r="O841" s="14" t="str">
        <f>IFERROR(__xludf.DUMMYFUNCTION("""COMPUTED_VALUE"""),"https://drive.google.com/file/d/1wBMKsbntiPEE5p_E6fCTnG9POkALqH-A/view?usp=drivesdk")</f>
        <v>https://drive.google.com/file/d/1wBMKsbntiPEE5p_E6fCTnG9POkALqH-A/view?usp=drivesdk</v>
      </c>
    </row>
    <row r="842">
      <c r="A842" s="3">
        <f>IFERROR(__xludf.DUMMYFUNCTION("""COMPUTED_VALUE"""),3474.0)</f>
        <v>3474</v>
      </c>
      <c r="B842" s="11">
        <f>IFERROR(__xludf.DUMMYFUNCTION("""COMPUTED_VALUE"""),46182.55701880787)</f>
        <v>46182.55702</v>
      </c>
      <c r="C842" s="3" t="str">
        <f>IFERROR(__xludf.DUMMYFUNCTION("""COMPUTED_VALUE"""),"ชั้นปีที่ 2")</f>
        <v>ชั้นปีที่ 2</v>
      </c>
      <c r="D842" s="3" t="str">
        <f>IFERROR(__xludf.DUMMYFUNCTION("""COMPUTED_VALUE"""),"6703849")</f>
        <v>6703849</v>
      </c>
      <c r="E842" s="3" t="str">
        <f>IFERROR(__xludf.DUMMYFUNCTION("""COMPUTED_VALUE"""),"31")</f>
        <v>31</v>
      </c>
      <c r="F842" s="3" t="str">
        <f>IFERROR(__xludf.DUMMYFUNCTION("""COMPUTED_VALUE"""),"นพอ.ปภาดา สุจิณณานนท์")</f>
        <v>นพอ.ปภาดา สุจิณณานนท์</v>
      </c>
      <c r="G8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2" s="3" t="str">
        <f>IFERROR(__xludf.DUMMYFUNCTION("""COMPUTED_VALUE"""),"เข้าร่วมพิธีวางพวงมาลา ถวายสักการะพระบรมราชานุสาวรีย์ ร.8")</f>
        <v>เข้าร่วมพิธีวางพวงมาลา ถวายสักการะพระบรมราชานุสาวรีย์ ร.8</v>
      </c>
      <c r="I842" s="3" t="str">
        <f>IFERROR(__xludf.DUMMYFUNCTION("""COMPUTED_VALUE"""),"โรงพยาบาลจุฬาลงกรณ์")</f>
        <v>โรงพยาบาลจุฬาลงกรณ์</v>
      </c>
      <c r="J842" s="12">
        <f>IFERROR(__xludf.DUMMYFUNCTION("""COMPUTED_VALUE"""),46182.0)</f>
        <v>46182</v>
      </c>
      <c r="K842" s="3" t="str">
        <f>IFERROR(__xludf.DUMMYFUNCTION("""COMPUTED_VALUE"""),"0530-0730")</f>
        <v>0530-0730</v>
      </c>
      <c r="L842" s="3">
        <f>IFERROR(__xludf.DUMMYFUNCTION("""COMPUTED_VALUE"""),2.0)</f>
        <v>2</v>
      </c>
      <c r="M842" s="3" t="str">
        <f>IFERROR(__xludf.DUMMYFUNCTION("""COMPUTED_VALUE"""),"ร.ท.เรวัติ วัชรสิทธิ์")</f>
        <v>ร.ท.เรวัติ วัชรสิทธิ์</v>
      </c>
      <c r="N842" s="14" t="str">
        <f>IFERROR(__xludf.DUMMYFUNCTION("""COMPUTED_VALUE"""),"https://lh5.googleusercontent.com/d/15GCxxw5Ro8GZqNXo-H_3SVI_D8sYrEZi")</f>
        <v>https://lh5.googleusercontent.com/d/15GCxxw5Ro8GZqNXo-H_3SVI_D8sYrEZi</v>
      </c>
      <c r="O842" s="14" t="str">
        <f>IFERROR(__xludf.DUMMYFUNCTION("""COMPUTED_VALUE"""),"https://drive.google.com/file/d/1sHut5IekQNS4LSnKLPh7zA0RzxlwDS7J/view?usp=drivesdk")</f>
        <v>https://drive.google.com/file/d/1sHut5IekQNS4LSnKLPh7zA0RzxlwDS7J/view?usp=drivesdk</v>
      </c>
    </row>
    <row r="843">
      <c r="A843" s="3">
        <f>IFERROR(__xludf.DUMMYFUNCTION("""COMPUTED_VALUE"""),3475.0)</f>
        <v>3475</v>
      </c>
      <c r="B843" s="11">
        <f>IFERROR(__xludf.DUMMYFUNCTION("""COMPUTED_VALUE"""),46182.567840138894)</f>
        <v>46182.56784</v>
      </c>
      <c r="C843" s="3" t="str">
        <f>IFERROR(__xludf.DUMMYFUNCTION("""COMPUTED_VALUE"""),"ชั้นปีที่ 2")</f>
        <v>ชั้นปีที่ 2</v>
      </c>
      <c r="D843" s="3" t="str">
        <f>IFERROR(__xludf.DUMMYFUNCTION("""COMPUTED_VALUE"""),"6703831")</f>
        <v>6703831</v>
      </c>
      <c r="E843" s="3" t="str">
        <f>IFERROR(__xludf.DUMMYFUNCTION("""COMPUTED_VALUE"""),"14")</f>
        <v>14</v>
      </c>
      <c r="F843" s="3" t="str">
        <f>IFERROR(__xludf.DUMMYFUNCTION("""COMPUTED_VALUE"""),"นพอ.ญาณิศา ตุ้งซี่")</f>
        <v>นพอ.ญาณิศา ตุ้งซี่</v>
      </c>
      <c r="G843" s="3" t="str">
        <f>IFERROR(__xludf.DUMMYFUNCTION("""COMPUTED_VALUE"""),"ช่วยเหลืองานภายใน วพอ.")</f>
        <v>ช่วยเหลืองานภายใน วพอ.</v>
      </c>
      <c r="H843" s="3" t="str">
        <f>IFERROR(__xludf.DUMMYFUNCTION("""COMPUTED_VALUE"""),"ช่วยจัดทำปกตารางสอนและระเบียบการเข้าเรียนออนไลน์")</f>
        <v>ช่วยจัดทำปกตารางสอนและระเบียบการเข้าเรียนออนไลน์</v>
      </c>
      <c r="I843" s="3" t="str">
        <f>IFERROR(__xludf.DUMMYFUNCTION("""COMPUTED_VALUE"""),"วพอ.พอ.")</f>
        <v>วพอ.พอ.</v>
      </c>
      <c r="J843" s="12">
        <f>IFERROR(__xludf.DUMMYFUNCTION("""COMPUTED_VALUE"""),46178.0)</f>
        <v>46178</v>
      </c>
      <c r="K843" s="3" t="str">
        <f>IFERROR(__xludf.DUMMYFUNCTION("""COMPUTED_VALUE"""),"1100-1700")</f>
        <v>1100-1700</v>
      </c>
      <c r="L843" s="3">
        <f>IFERROR(__xludf.DUMMYFUNCTION("""COMPUTED_VALUE"""),6.0)</f>
        <v>6</v>
      </c>
      <c r="M843" s="3" t="str">
        <f>IFERROR(__xludf.DUMMYFUNCTION("""COMPUTED_VALUE"""),"ร.ท.เรวัติ วัชรสิทธิ์")</f>
        <v>ร.ท.เรวัติ วัชรสิทธิ์</v>
      </c>
      <c r="N843" s="14" t="str">
        <f>IFERROR(__xludf.DUMMYFUNCTION("""COMPUTED_VALUE"""),"https://lh5.googleusercontent.com/d/1cUR6qqfLzOQePBP-KEJGlSPh0UPVyM7L")</f>
        <v>https://lh5.googleusercontent.com/d/1cUR6qqfLzOQePBP-KEJGlSPh0UPVyM7L</v>
      </c>
      <c r="O843" s="14" t="str">
        <f>IFERROR(__xludf.DUMMYFUNCTION("""COMPUTED_VALUE"""),"https://drive.google.com/file/d/1MXKrGa7WyxIb8BnRzU2Z0RswSE1FZJD1/view?usp=drivesdk")</f>
        <v>https://drive.google.com/file/d/1MXKrGa7WyxIb8BnRzU2Z0RswSE1FZJD1/view?usp=drivesdk</v>
      </c>
    </row>
    <row r="844">
      <c r="A844" s="3">
        <f>IFERROR(__xludf.DUMMYFUNCTION("""COMPUTED_VALUE"""),3476.0)</f>
        <v>3476</v>
      </c>
      <c r="B844" s="11">
        <f>IFERROR(__xludf.DUMMYFUNCTION("""COMPUTED_VALUE"""),46182.582918217595)</f>
        <v>46182.58292</v>
      </c>
      <c r="C844" s="3" t="str">
        <f>IFERROR(__xludf.DUMMYFUNCTION("""COMPUTED_VALUE"""),"ชั้นปีที่ 2")</f>
        <v>ชั้นปีที่ 2</v>
      </c>
      <c r="D844" s="3" t="str">
        <f>IFERROR(__xludf.DUMMYFUNCTION("""COMPUTED_VALUE"""),"6703821")</f>
        <v>6703821</v>
      </c>
      <c r="E844" s="3" t="str">
        <f>IFERROR(__xludf.DUMMYFUNCTION("""COMPUTED_VALUE"""),"4")</f>
        <v>4</v>
      </c>
      <c r="F844" s="3" t="str">
        <f>IFERROR(__xludf.DUMMYFUNCTION("""COMPUTED_VALUE"""),"นพอ.กัญญณัช เดชธนาธันยกร")</f>
        <v>นพอ.กัญญณัช เดชธนาธันยกร</v>
      </c>
      <c r="G8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4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44" s="3" t="str">
        <f>IFERROR(__xludf.DUMMYFUNCTION("""COMPUTED_VALUE"""),"สนามกีฬาธูปะเตมีย์")</f>
        <v>สนามกีฬาธูปะเตมีย์</v>
      </c>
      <c r="J844" s="12">
        <f>IFERROR(__xludf.DUMMYFUNCTION("""COMPUTED_VALUE"""),46078.0)</f>
        <v>46078</v>
      </c>
      <c r="K844" s="3" t="str">
        <f>IFERROR(__xludf.DUMMYFUNCTION("""COMPUTED_VALUE"""),"1200-2000")</f>
        <v>1200-2000</v>
      </c>
      <c r="L844" s="3">
        <f>IFERROR(__xludf.DUMMYFUNCTION("""COMPUTED_VALUE"""),8.0)</f>
        <v>8</v>
      </c>
      <c r="M844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844" s="14" t="str">
        <f>IFERROR(__xludf.DUMMYFUNCTION("""COMPUTED_VALUE"""),"https://lh5.googleusercontent.com/d/1CZDfH6tit45bFauhOFXJ4ZUKj9xWQkf_")</f>
        <v>https://lh5.googleusercontent.com/d/1CZDfH6tit45bFauhOFXJ4ZUKj9xWQkf_</v>
      </c>
      <c r="O844" s="14" t="str">
        <f>IFERROR(__xludf.DUMMYFUNCTION("""COMPUTED_VALUE"""),"https://drive.google.com/file/d/1JE6vWzq3YAWv8r8QI8scA7rdyyMbphEQ/view?usp=drivesdk")</f>
        <v>https://drive.google.com/file/d/1JE6vWzq3YAWv8r8QI8scA7rdyyMbphEQ/view?usp=drivesdk</v>
      </c>
    </row>
    <row r="845">
      <c r="A845" s="3">
        <f>IFERROR(__xludf.DUMMYFUNCTION("""COMPUTED_VALUE"""),3477.0)</f>
        <v>3477</v>
      </c>
      <c r="B845" s="11">
        <f>IFERROR(__xludf.DUMMYFUNCTION("""COMPUTED_VALUE"""),46182.587169907405)</f>
        <v>46182.58717</v>
      </c>
      <c r="C845" s="3" t="str">
        <f>IFERROR(__xludf.DUMMYFUNCTION("""COMPUTED_VALUE"""),"ชั้นปีที่ 2")</f>
        <v>ชั้นปีที่ 2</v>
      </c>
      <c r="D845" s="3" t="str">
        <f>IFERROR(__xludf.DUMMYFUNCTION("""COMPUTED_VALUE"""),"6703821")</f>
        <v>6703821</v>
      </c>
      <c r="E845" s="3" t="str">
        <f>IFERROR(__xludf.DUMMYFUNCTION("""COMPUTED_VALUE"""),"4")</f>
        <v>4</v>
      </c>
      <c r="F845" s="3" t="str">
        <f>IFERROR(__xludf.DUMMYFUNCTION("""COMPUTED_VALUE"""),"นพอ.กัญญณัช เดชธนาธันยกร")</f>
        <v>นพอ.กัญญณัช เดชธนาธันยกร</v>
      </c>
      <c r="G845" s="3" t="str">
        <f>IFERROR(__xludf.DUMMYFUNCTION("""COMPUTED_VALUE"""),"ช่วยเหลืองานภายใน วพอ.")</f>
        <v>ช่วยเหลืองานภายใน วพอ.</v>
      </c>
      <c r="H84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5" s="3" t="str">
        <f>IFERROR(__xludf.DUMMYFUNCTION("""COMPUTED_VALUE"""),"วพอ.พอ.")</f>
        <v>วพอ.พอ.</v>
      </c>
      <c r="J845" s="12">
        <f>IFERROR(__xludf.DUMMYFUNCTION("""COMPUTED_VALUE"""),46133.0)</f>
        <v>46133</v>
      </c>
      <c r="K845" s="3" t="str">
        <f>IFERROR(__xludf.DUMMYFUNCTION("""COMPUTED_VALUE"""),"1700-2100")</f>
        <v>1700-2100</v>
      </c>
      <c r="L845" s="3">
        <f>IFERROR(__xludf.DUMMYFUNCTION("""COMPUTED_VALUE"""),4.0)</f>
        <v>4</v>
      </c>
      <c r="M845" s="3" t="str">
        <f>IFERROR(__xludf.DUMMYFUNCTION("""COMPUTED_VALUE"""),"ร.อ.อนุชิต ทำจะดี")</f>
        <v>ร.อ.อนุชิต ทำจะดี</v>
      </c>
      <c r="N845" s="14" t="str">
        <f>IFERROR(__xludf.DUMMYFUNCTION("""COMPUTED_VALUE"""),"https://lh5.googleusercontent.com/d/1yNYzgSctEcrHeMWHCui2ulwV4z8OBm83")</f>
        <v>https://lh5.googleusercontent.com/d/1yNYzgSctEcrHeMWHCui2ulwV4z8OBm83</v>
      </c>
      <c r="O845" s="14" t="str">
        <f>IFERROR(__xludf.DUMMYFUNCTION("""COMPUTED_VALUE"""),"https://drive.google.com/file/d/1N0Ud26k3vMBdsaiCKJnIdRt01QrJLs4H/view?usp=drivesdk")</f>
        <v>https://drive.google.com/file/d/1N0Ud26k3vMBdsaiCKJnIdRt01QrJLs4H/view?usp=drivesdk</v>
      </c>
    </row>
    <row r="846">
      <c r="A846" s="3">
        <f>IFERROR(__xludf.DUMMYFUNCTION("""COMPUTED_VALUE"""),3478.0)</f>
        <v>3478</v>
      </c>
      <c r="B846" s="11">
        <f>IFERROR(__xludf.DUMMYFUNCTION("""COMPUTED_VALUE"""),46182.590617939815)</f>
        <v>46182.59062</v>
      </c>
      <c r="C846" s="3" t="str">
        <f>IFERROR(__xludf.DUMMYFUNCTION("""COMPUTED_VALUE"""),"ชั้นปีที่ 2")</f>
        <v>ชั้นปีที่ 2</v>
      </c>
      <c r="D846" s="3" t="str">
        <f>IFERROR(__xludf.DUMMYFUNCTION("""COMPUTED_VALUE"""),"6703821")</f>
        <v>6703821</v>
      </c>
      <c r="E846" s="3" t="str">
        <f>IFERROR(__xludf.DUMMYFUNCTION("""COMPUTED_VALUE"""),"4")</f>
        <v>4</v>
      </c>
      <c r="F846" s="3" t="str">
        <f>IFERROR(__xludf.DUMMYFUNCTION("""COMPUTED_VALUE"""),"นพอ.กัญญณัช เดชธนาธันยกร")</f>
        <v>นพอ.กัญญณัช เดชธนาธันยกร</v>
      </c>
      <c r="G846" s="3" t="str">
        <f>IFERROR(__xludf.DUMMYFUNCTION("""COMPUTED_VALUE"""),"ช่วยเหลืองานภายใน วพอ.")</f>
        <v>ช่วยเหลืองานภายใน วพอ.</v>
      </c>
      <c r="H84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6" s="3" t="str">
        <f>IFERROR(__xludf.DUMMYFUNCTION("""COMPUTED_VALUE"""),"วพอ.พอ.")</f>
        <v>วพอ.พอ.</v>
      </c>
      <c r="J846" s="12">
        <f>IFERROR(__xludf.DUMMYFUNCTION("""COMPUTED_VALUE"""),46138.0)</f>
        <v>46138</v>
      </c>
      <c r="K846" s="3" t="str">
        <f>IFERROR(__xludf.DUMMYFUNCTION("""COMPUTED_VALUE"""),"1500-2100")</f>
        <v>1500-2100</v>
      </c>
      <c r="L846" s="3">
        <f>IFERROR(__xludf.DUMMYFUNCTION("""COMPUTED_VALUE"""),6.0)</f>
        <v>6</v>
      </c>
      <c r="M846" s="3" t="str">
        <f>IFERROR(__xludf.DUMMYFUNCTION("""COMPUTED_VALUE"""),"ร.อ.อนุชิต ทำจะดี")</f>
        <v>ร.อ.อนุชิต ทำจะดี</v>
      </c>
      <c r="N846" s="14" t="str">
        <f>IFERROR(__xludf.DUMMYFUNCTION("""COMPUTED_VALUE"""),"https://lh5.googleusercontent.com/d/1klzpMMWk80-ERJFyonEaeggfdoN0MjIk")</f>
        <v>https://lh5.googleusercontent.com/d/1klzpMMWk80-ERJFyonEaeggfdoN0MjIk</v>
      </c>
      <c r="O846" s="14" t="str">
        <f>IFERROR(__xludf.DUMMYFUNCTION("""COMPUTED_VALUE"""),"https://drive.google.com/file/d/1BM-1Kdfosuo3qZZ17d9aBEyfOO7zf_dT/view?usp=drivesdk")</f>
        <v>https://drive.google.com/file/d/1BM-1Kdfosuo3qZZ17d9aBEyfOO7zf_dT/view?usp=drivesdk</v>
      </c>
    </row>
    <row r="847">
      <c r="A847" s="3">
        <f>IFERROR(__xludf.DUMMYFUNCTION("""COMPUTED_VALUE"""),3481.0)</f>
        <v>3481</v>
      </c>
      <c r="B847" s="11">
        <f>IFERROR(__xludf.DUMMYFUNCTION("""COMPUTED_VALUE"""),46182.845747060186)</f>
        <v>46182.84575</v>
      </c>
      <c r="C847" s="3" t="str">
        <f>IFERROR(__xludf.DUMMYFUNCTION("""COMPUTED_VALUE"""),"ชั้นปีที่ 2")</f>
        <v>ชั้นปีที่ 2</v>
      </c>
      <c r="D847" s="3" t="str">
        <f>IFERROR(__xludf.DUMMYFUNCTION("""COMPUTED_VALUE"""),"6703880")</f>
        <v>6703880</v>
      </c>
      <c r="E847" s="3" t="str">
        <f>IFERROR(__xludf.DUMMYFUNCTION("""COMPUTED_VALUE"""),"60")</f>
        <v>60</v>
      </c>
      <c r="F847" s="3" t="str">
        <f>IFERROR(__xludf.DUMMYFUNCTION("""COMPUTED_VALUE"""),"นพอ.อริสรา ศรีโพธิ์")</f>
        <v>นพอ.อริสรา ศรีโพธิ์</v>
      </c>
      <c r="G847" s="3" t="str">
        <f>IFERROR(__xludf.DUMMYFUNCTION("""COMPUTED_VALUE"""),"ช่วยเหลืองานภายใน วพอ.")</f>
        <v>ช่วยเหลืองานภายใน วพอ.</v>
      </c>
      <c r="H847" s="3" t="str">
        <f>IFERROR(__xludf.DUMMYFUNCTION("""COMPUTED_VALUE"""),"ปรับปรุงทัศนียภาพใน วพอ.พอ.")</f>
        <v>ปรับปรุงทัศนียภาพใน วพอ.พอ.</v>
      </c>
      <c r="I847" s="3" t="str">
        <f>IFERROR(__xludf.DUMMYFUNCTION("""COMPUTED_VALUE"""),"วพอ.พอ.")</f>
        <v>วพอ.พอ.</v>
      </c>
      <c r="J847" s="12">
        <f>IFERROR(__xludf.DUMMYFUNCTION("""COMPUTED_VALUE"""),46177.0)</f>
        <v>46177</v>
      </c>
      <c r="K847" s="3" t="str">
        <f>IFERROR(__xludf.DUMMYFUNCTION("""COMPUTED_VALUE"""),"1430-1730")</f>
        <v>1430-1730</v>
      </c>
      <c r="L847" s="3">
        <f>IFERROR(__xludf.DUMMYFUNCTION("""COMPUTED_VALUE"""),3.0)</f>
        <v>3</v>
      </c>
      <c r="M847" s="3" t="str">
        <f>IFERROR(__xludf.DUMMYFUNCTION("""COMPUTED_VALUE"""),"น.อ.หญิง ผศ. นิตยา สุขแสน")</f>
        <v>น.อ.หญิง ผศ. นิตยา สุขแสน</v>
      </c>
      <c r="N847" s="14" t="str">
        <f>IFERROR(__xludf.DUMMYFUNCTION("""COMPUTED_VALUE"""),"https://lh5.googleusercontent.com/d/1mz2jK60Zk6_w6vZoNhK-iw1YU81qrX4R")</f>
        <v>https://lh5.googleusercontent.com/d/1mz2jK60Zk6_w6vZoNhK-iw1YU81qrX4R</v>
      </c>
      <c r="O847" s="14" t="str">
        <f>IFERROR(__xludf.DUMMYFUNCTION("""COMPUTED_VALUE"""),"https://drive.google.com/file/d/1ULKnczyllyih6pDY2j_ooHnFXnajNhmG/view?usp=drivesdk")</f>
        <v>https://drive.google.com/file/d/1ULKnczyllyih6pDY2j_ooHnFXnajNhmG/view?usp=drivesdk</v>
      </c>
    </row>
    <row r="848">
      <c r="A848" s="3">
        <f>IFERROR(__xludf.DUMMYFUNCTION("""COMPUTED_VALUE"""),3483.0)</f>
        <v>3483</v>
      </c>
      <c r="B848" s="11">
        <f>IFERROR(__xludf.DUMMYFUNCTION("""COMPUTED_VALUE"""),46182.8476469213)</f>
        <v>46182.84765</v>
      </c>
      <c r="C848" s="3" t="str">
        <f>IFERROR(__xludf.DUMMYFUNCTION("""COMPUTED_VALUE"""),"ชั้นปีที่ 2")</f>
        <v>ชั้นปีที่ 2</v>
      </c>
      <c r="D848" s="3" t="str">
        <f>IFERROR(__xludf.DUMMYFUNCTION("""COMPUTED_VALUE"""),"6703835")</f>
        <v>6703835</v>
      </c>
      <c r="E848" s="3" t="str">
        <f>IFERROR(__xludf.DUMMYFUNCTION("""COMPUTED_VALUE"""),"18")</f>
        <v>18</v>
      </c>
      <c r="F848" s="3" t="str">
        <f>IFERROR(__xludf.DUMMYFUNCTION("""COMPUTED_VALUE"""),"นพอ.ณัฐณิชา พิทักษ์สันติ")</f>
        <v>นพอ.ณัฐณิชา พิทักษ์สันติ</v>
      </c>
      <c r="G848" s="3" t="str">
        <f>IFERROR(__xludf.DUMMYFUNCTION("""COMPUTED_VALUE"""),"ช่วยเหลืองานภายใน วพอ.")</f>
        <v>ช่วยเหลืองานภายใน วพอ.</v>
      </c>
      <c r="H84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48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848" s="12">
        <f>IFERROR(__xludf.DUMMYFUNCTION("""COMPUTED_VALUE"""),46139.0)</f>
        <v>46139</v>
      </c>
      <c r="K848" s="3" t="str">
        <f>IFERROR(__xludf.DUMMYFUNCTION("""COMPUTED_VALUE"""),"1700-2100")</f>
        <v>1700-2100</v>
      </c>
      <c r="L848" s="3">
        <f>IFERROR(__xludf.DUMMYFUNCTION("""COMPUTED_VALUE"""),4.0)</f>
        <v>4</v>
      </c>
      <c r="M848" s="3" t="str">
        <f>IFERROR(__xludf.DUMMYFUNCTION("""COMPUTED_VALUE"""),"ร.อ.อนุชิต ทำจะดี")</f>
        <v>ร.อ.อนุชิต ทำจะดี</v>
      </c>
      <c r="N848" s="14" t="str">
        <f>IFERROR(__xludf.DUMMYFUNCTION("""COMPUTED_VALUE"""),"https://lh5.googleusercontent.com/d/1Oe_yWZOJB8yDv1a9wcBZTi0jTA1wJcWi")</f>
        <v>https://lh5.googleusercontent.com/d/1Oe_yWZOJB8yDv1a9wcBZTi0jTA1wJcWi</v>
      </c>
      <c r="O848" s="14" t="str">
        <f>IFERROR(__xludf.DUMMYFUNCTION("""COMPUTED_VALUE"""),"https://drive.google.com/file/d/1Ru-WSzl_dypDBVw9TkcynwruzIK9bynz/view?usp=drivesdk")</f>
        <v>https://drive.google.com/file/d/1Ru-WSzl_dypDBVw9TkcynwruzIK9bynz/view?usp=drivesdk</v>
      </c>
    </row>
    <row r="849">
      <c r="A849" s="3">
        <f>IFERROR(__xludf.DUMMYFUNCTION("""COMPUTED_VALUE"""),3495.0)</f>
        <v>3495</v>
      </c>
      <c r="B849" s="11">
        <f>IFERROR(__xludf.DUMMYFUNCTION("""COMPUTED_VALUE"""),46182.87107907407)</f>
        <v>46182.87108</v>
      </c>
      <c r="C849" s="3" t="str">
        <f>IFERROR(__xludf.DUMMYFUNCTION("""COMPUTED_VALUE"""),"ชั้นปีที่ 2")</f>
        <v>ชั้นปีที่ 2</v>
      </c>
      <c r="D849" s="3" t="str">
        <f>IFERROR(__xludf.DUMMYFUNCTION("""COMPUTED_VALUE"""),"6603802")</f>
        <v>6603802</v>
      </c>
      <c r="E849" s="3" t="str">
        <f>IFERROR(__xludf.DUMMYFUNCTION("""COMPUTED_VALUE"""),"48")</f>
        <v>48</v>
      </c>
      <c r="F849" s="3" t="str">
        <f>IFERROR(__xludf.DUMMYFUNCTION("""COMPUTED_VALUE"""),"นพอ.ศตพร คงศักดิ์")</f>
        <v>นพอ.ศตพร คงศักดิ์</v>
      </c>
      <c r="G849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49" s="3" t="str">
        <f>IFERROR(__xludf.DUMMYFUNCTION("""COMPUTED_VALUE"""),"บริจาคเลือด")</f>
        <v>บริจาคเลือด</v>
      </c>
      <c r="I849" s="3" t="str">
        <f>IFERROR(__xludf.DUMMYFUNCTION("""COMPUTED_VALUE"""),"สภากาชาดไทย")</f>
        <v>สภากาชาดไทย</v>
      </c>
      <c r="J849" s="12">
        <f>IFERROR(__xludf.DUMMYFUNCTION("""COMPUTED_VALUE"""),46117.0)</f>
        <v>46117</v>
      </c>
      <c r="K849" s="3" t="str">
        <f>IFERROR(__xludf.DUMMYFUNCTION("""COMPUTED_VALUE"""),"1000-1700")</f>
        <v>1000-1700</v>
      </c>
      <c r="L849" s="3">
        <f>IFERROR(__xludf.DUMMYFUNCTION("""COMPUTED_VALUE"""),8.0)</f>
        <v>8</v>
      </c>
      <c r="M849" s="3" t="str">
        <f>IFERROR(__xludf.DUMMYFUNCTION("""COMPUTED_VALUE"""),"ร.อ.อนุชิต ทำจะดี")</f>
        <v>ร.อ.อนุชิต ทำจะดี</v>
      </c>
      <c r="N849" s="14" t="str">
        <f>IFERROR(__xludf.DUMMYFUNCTION("""COMPUTED_VALUE"""),"https://lh5.googleusercontent.com/d/1jEa0XsiGiccUDuUB0JvtoRdUG3ygertF")</f>
        <v>https://lh5.googleusercontent.com/d/1jEa0XsiGiccUDuUB0JvtoRdUG3ygertF</v>
      </c>
      <c r="O849" s="14" t="str">
        <f>IFERROR(__xludf.DUMMYFUNCTION("""COMPUTED_VALUE"""),"https://drive.google.com/file/d/1BlqwFeYroonTxLLGR3yFKgd5tltD_Sdb/view?usp=drivesdk")</f>
        <v>https://drive.google.com/file/d/1BlqwFeYroonTxLLGR3yFKgd5tltD_Sdb/view?usp=drivesdk</v>
      </c>
    </row>
    <row r="850">
      <c r="A850" s="3">
        <f>IFERROR(__xludf.DUMMYFUNCTION("""COMPUTED_VALUE"""),3497.0)</f>
        <v>3497</v>
      </c>
      <c r="B850" s="11">
        <f>IFERROR(__xludf.DUMMYFUNCTION("""COMPUTED_VALUE"""),46182.87562537037)</f>
        <v>46182.87563</v>
      </c>
      <c r="C850" s="3" t="str">
        <f>IFERROR(__xludf.DUMMYFUNCTION("""COMPUTED_VALUE"""),"ชั้นปีที่ 2")</f>
        <v>ชั้นปีที่ 2</v>
      </c>
      <c r="D850" s="3" t="str">
        <f>IFERROR(__xludf.DUMMYFUNCTION("""COMPUTED_VALUE"""),"6703841")</f>
        <v>6703841</v>
      </c>
      <c r="E850" s="3" t="str">
        <f>IFERROR(__xludf.DUMMYFUNCTION("""COMPUTED_VALUE"""),"23")</f>
        <v>23</v>
      </c>
      <c r="F850" s="3" t="str">
        <f>IFERROR(__xludf.DUMMYFUNCTION("""COMPUTED_VALUE"""),"นพอ.ธนภูมิ กระจ่างจาย")</f>
        <v>นพอ.ธนภูมิ กระจ่างจาย</v>
      </c>
      <c r="G8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0" s="3" t="str">
        <f>IFERROR(__xludf.DUMMYFUNCTION("""COMPUTED_VALUE"""),"พิธีวางพวงมาลาวันอานันทมหิดล")</f>
        <v>พิธีวางพวงมาลาวันอานันทมหิดล</v>
      </c>
      <c r="I850" s="3" t="str">
        <f>IFERROR(__xludf.DUMMYFUNCTION("""COMPUTED_VALUE"""),"คณะแพทยศาสตร์ จุฬาลงกรณ์ราชวิทยาลัย")</f>
        <v>คณะแพทยศาสตร์ จุฬาลงกรณ์ราชวิทยาลัย</v>
      </c>
      <c r="J850" s="12">
        <f>IFERROR(__xludf.DUMMYFUNCTION("""COMPUTED_VALUE"""),46182.0)</f>
        <v>46182</v>
      </c>
      <c r="K850" s="3" t="str">
        <f>IFERROR(__xludf.DUMMYFUNCTION("""COMPUTED_VALUE"""),"0600-0800")</f>
        <v>0600-0800</v>
      </c>
      <c r="L850" s="3">
        <f>IFERROR(__xludf.DUMMYFUNCTION("""COMPUTED_VALUE"""),2.0)</f>
        <v>2</v>
      </c>
      <c r="M850" s="3" t="str">
        <f>IFERROR(__xludf.DUMMYFUNCTION("""COMPUTED_VALUE"""),"ร.ต.เรวัช วัชรสิทธิ์")</f>
        <v>ร.ต.เรวัช วัชรสิทธิ์</v>
      </c>
      <c r="N850" s="14" t="str">
        <f>IFERROR(__xludf.DUMMYFUNCTION("""COMPUTED_VALUE"""),"https://lh5.googleusercontent.com/d/1XGiXUcdgdrLX_GgEdJbtXqmVCH0ettMV")</f>
        <v>https://lh5.googleusercontent.com/d/1XGiXUcdgdrLX_GgEdJbtXqmVCH0ettMV</v>
      </c>
      <c r="O850" s="14" t="str">
        <f>IFERROR(__xludf.DUMMYFUNCTION("""COMPUTED_VALUE"""),"https://drive.google.com/file/d/11wTjq6aftQGOgC3RzhHaC0mSS9h4UBVS/view?usp=drivesdk")</f>
        <v>https://drive.google.com/file/d/11wTjq6aftQGOgC3RzhHaC0mSS9h4UBVS/view?usp=drivesdk</v>
      </c>
    </row>
    <row r="851">
      <c r="A851" s="3">
        <f>IFERROR(__xludf.DUMMYFUNCTION("""COMPUTED_VALUE"""),3499.0)</f>
        <v>3499</v>
      </c>
      <c r="B851" s="11">
        <f>IFERROR(__xludf.DUMMYFUNCTION("""COMPUTED_VALUE"""),46182.876839143515)</f>
        <v>46182.87684</v>
      </c>
      <c r="C851" s="3" t="str">
        <f>IFERROR(__xludf.DUMMYFUNCTION("""COMPUTED_VALUE"""),"ชั้นปีที่ 2")</f>
        <v>ชั้นปีที่ 2</v>
      </c>
      <c r="D851" s="3" t="str">
        <f>IFERROR(__xludf.DUMMYFUNCTION("""COMPUTED_VALUE"""),"6703863")</f>
        <v>6703863</v>
      </c>
      <c r="E851" s="3" t="str">
        <f>IFERROR(__xludf.DUMMYFUNCTION("""COMPUTED_VALUE"""),"44")</f>
        <v>44</v>
      </c>
      <c r="F851" s="3" t="str">
        <f>IFERROR(__xludf.DUMMYFUNCTION("""COMPUTED_VALUE"""),"นพอ.ยศสินี มีมงคล")</f>
        <v>นพอ.ยศสินี มีมงคล</v>
      </c>
      <c r="G8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1" s="3" t="str">
        <f>IFERROR(__xludf.DUMMYFUNCTION("""COMPUTED_VALUE"""),"งานวันเด็กแห่งชาติ 2569")</f>
        <v>งานวันเด็กแห่งชาติ 2569</v>
      </c>
      <c r="I851" s="3" t="str">
        <f>IFERROR(__xludf.DUMMYFUNCTION("""COMPUTED_VALUE"""),"โรงเรียนการบิน")</f>
        <v>โรงเรียนการบิน</v>
      </c>
      <c r="J851" s="12">
        <f>IFERROR(__xludf.DUMMYFUNCTION("""COMPUTED_VALUE"""),46027.0)</f>
        <v>46027</v>
      </c>
      <c r="K851" s="3" t="str">
        <f>IFERROR(__xludf.DUMMYFUNCTION("""COMPUTED_VALUE"""),"0600-1400")</f>
        <v>0600-1400</v>
      </c>
      <c r="L851" s="3">
        <f>IFERROR(__xludf.DUMMYFUNCTION("""COMPUTED_VALUE"""),8.0)</f>
        <v>8</v>
      </c>
      <c r="M85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1" s="14" t="str">
        <f>IFERROR(__xludf.DUMMYFUNCTION("""COMPUTED_VALUE"""),"https://lh5.googleusercontent.com/d/1UYdIZG6mwsdNHUukpq8TmmS0XV8fAXjl")</f>
        <v>https://lh5.googleusercontent.com/d/1UYdIZG6mwsdNHUukpq8TmmS0XV8fAXjl</v>
      </c>
      <c r="O851" s="14" t="str">
        <f>IFERROR(__xludf.DUMMYFUNCTION("""COMPUTED_VALUE"""),"https://drive.google.com/file/d/1xq0VpJsRul2lISMIecAks71cxOU8ObcL/view?usp=drivesdk")</f>
        <v>https://drive.google.com/file/d/1xq0VpJsRul2lISMIecAks71cxOU8ObcL/view?usp=drivesdk</v>
      </c>
    </row>
    <row r="852">
      <c r="A852" s="3">
        <f>IFERROR(__xludf.DUMMYFUNCTION("""COMPUTED_VALUE"""),3500.0)</f>
        <v>3500</v>
      </c>
      <c r="B852" s="11">
        <f>IFERROR(__xludf.DUMMYFUNCTION("""COMPUTED_VALUE"""),46182.87704935185)</f>
        <v>46182.87705</v>
      </c>
      <c r="C852" s="3" t="str">
        <f>IFERROR(__xludf.DUMMYFUNCTION("""COMPUTED_VALUE"""),"ชั้นปีที่ 2")</f>
        <v>ชั้นปีที่ 2</v>
      </c>
      <c r="D852" s="3" t="str">
        <f>IFERROR(__xludf.DUMMYFUNCTION("""COMPUTED_VALUE"""),"6703849")</f>
        <v>6703849</v>
      </c>
      <c r="E852" s="3" t="str">
        <f>IFERROR(__xludf.DUMMYFUNCTION("""COMPUTED_VALUE"""),"31")</f>
        <v>31</v>
      </c>
      <c r="F852" s="3" t="str">
        <f>IFERROR(__xludf.DUMMYFUNCTION("""COMPUTED_VALUE"""),"นพอ.ปภาดา สุจิณณานนท์")</f>
        <v>นพอ.ปภาดา สุจิณณานนท์</v>
      </c>
      <c r="G852" s="3" t="str">
        <f>IFERROR(__xludf.DUMMYFUNCTION("""COMPUTED_VALUE"""),"ช่วยเหลืองานภายใน วพอ.")</f>
        <v>ช่วยเหลืองานภายใน วพอ.</v>
      </c>
      <c r="H852" s="3" t="str">
        <f>IFERROR(__xludf.DUMMYFUNCTION("""COMPUTED_VALUE"""),"ช่วยจัดทำปกตารางสอนและระเบียบการเข้าเรียนออนไลน์")</f>
        <v>ช่วยจัดทำปกตารางสอนและระเบียบการเข้าเรียนออนไลน์</v>
      </c>
      <c r="I852" s="3" t="str">
        <f>IFERROR(__xludf.DUMMYFUNCTION("""COMPUTED_VALUE"""),"วพอ.พอ.")</f>
        <v>วพอ.พอ.</v>
      </c>
      <c r="J852" s="12">
        <f>IFERROR(__xludf.DUMMYFUNCTION("""COMPUTED_VALUE"""),46178.0)</f>
        <v>46178</v>
      </c>
      <c r="K852" s="3" t="str">
        <f>IFERROR(__xludf.DUMMYFUNCTION("""COMPUTED_VALUE"""),"1100-1700")</f>
        <v>1100-1700</v>
      </c>
      <c r="L852" s="3">
        <f>IFERROR(__xludf.DUMMYFUNCTION("""COMPUTED_VALUE"""),6.0)</f>
        <v>6</v>
      </c>
      <c r="M852" s="3" t="str">
        <f>IFERROR(__xludf.DUMMYFUNCTION("""COMPUTED_VALUE"""),"ร.ท.เรวัติ วัชรสิทธิ์")</f>
        <v>ร.ท.เรวัติ วัชรสิทธิ์</v>
      </c>
      <c r="N852" s="14" t="str">
        <f>IFERROR(__xludf.DUMMYFUNCTION("""COMPUTED_VALUE"""),"https://lh5.googleusercontent.com/d/1e0T9zKpRSHchtAILQ6V9x7uFW3RAjRBj")</f>
        <v>https://lh5.googleusercontent.com/d/1e0T9zKpRSHchtAILQ6V9x7uFW3RAjRBj</v>
      </c>
      <c r="O852" s="14" t="str">
        <f>IFERROR(__xludf.DUMMYFUNCTION("""COMPUTED_VALUE"""),"https://drive.google.com/file/d/1dFXdgxa6h4KwZjEDQ4QYXUfw8NU-3qUG/view?usp=drivesdk")</f>
        <v>https://drive.google.com/file/d/1dFXdgxa6h4KwZjEDQ4QYXUfw8NU-3qUG/view?usp=drivesdk</v>
      </c>
    </row>
    <row r="853">
      <c r="A853" s="3">
        <f>IFERROR(__xludf.DUMMYFUNCTION("""COMPUTED_VALUE"""),3502.0)</f>
        <v>3502</v>
      </c>
      <c r="B853" s="11">
        <f>IFERROR(__xludf.DUMMYFUNCTION("""COMPUTED_VALUE"""),46182.88070391204)</f>
        <v>46182.8807</v>
      </c>
      <c r="C853" s="3" t="str">
        <f>IFERROR(__xludf.DUMMYFUNCTION("""COMPUTED_VALUE"""),"ชั้นปีที่ 2")</f>
        <v>ชั้นปีที่ 2</v>
      </c>
      <c r="D853" s="3" t="str">
        <f>IFERROR(__xludf.DUMMYFUNCTION("""COMPUTED_VALUE"""),"6703863")</f>
        <v>6703863</v>
      </c>
      <c r="E853" s="3" t="str">
        <f>IFERROR(__xludf.DUMMYFUNCTION("""COMPUTED_VALUE"""),"44")</f>
        <v>44</v>
      </c>
      <c r="F853" s="3" t="str">
        <f>IFERROR(__xludf.DUMMYFUNCTION("""COMPUTED_VALUE"""),"นพอ.ยศสินี มีมงคล")</f>
        <v>นพอ.ยศสินี มีมงคล</v>
      </c>
      <c r="G8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3" s="3" t="str">
        <f>IFERROR(__xludf.DUMMYFUNCTION("""COMPUTED_VALUE"""),"ค่ายเยาวชนพัฒนา ครั้งที่ 215")</f>
        <v>ค่ายเยาวชนพัฒนา ครั้งที่ 215</v>
      </c>
      <c r="I853" s="3" t="str">
        <f>IFERROR(__xludf.DUMMYFUNCTION("""COMPUTED_VALUE"""),"วัดสามบัณฑิต")</f>
        <v>วัดสามบัณฑิต</v>
      </c>
      <c r="J853" s="12">
        <f>IFERROR(__xludf.DUMMYFUNCTION("""COMPUTED_VALUE"""),46136.0)</f>
        <v>46136</v>
      </c>
      <c r="K853" s="3" t="str">
        <f>IFERROR(__xludf.DUMMYFUNCTION("""COMPUTED_VALUE"""),"1600-2400")</f>
        <v>1600-2400</v>
      </c>
      <c r="L853" s="3">
        <f>IFERROR(__xludf.DUMMYFUNCTION("""COMPUTED_VALUE"""),8.0)</f>
        <v>8</v>
      </c>
      <c r="M85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3" s="14" t="str">
        <f>IFERROR(__xludf.DUMMYFUNCTION("""COMPUTED_VALUE"""),"https://lh5.googleusercontent.com/d/1AiFdie224xV-qjYgr_joESfWGIJNRrqQ")</f>
        <v>https://lh5.googleusercontent.com/d/1AiFdie224xV-qjYgr_joESfWGIJNRrqQ</v>
      </c>
      <c r="O853" s="14" t="str">
        <f>IFERROR(__xludf.DUMMYFUNCTION("""COMPUTED_VALUE"""),"https://drive.google.com/file/d/1psb4manjrmGTOSNymacrKcPRveqgWP8-/view?usp=drivesdk")</f>
        <v>https://drive.google.com/file/d/1psb4manjrmGTOSNymacrKcPRveqgWP8-/view?usp=drivesdk</v>
      </c>
    </row>
    <row r="854">
      <c r="A854" s="3">
        <f>IFERROR(__xludf.DUMMYFUNCTION("""COMPUTED_VALUE"""),3506.0)</f>
        <v>3506</v>
      </c>
      <c r="B854" s="11">
        <f>IFERROR(__xludf.DUMMYFUNCTION("""COMPUTED_VALUE"""),46182.882500671294)</f>
        <v>46182.8825</v>
      </c>
      <c r="C854" s="3" t="str">
        <f>IFERROR(__xludf.DUMMYFUNCTION("""COMPUTED_VALUE"""),"ชั้นปีที่ 2")</f>
        <v>ชั้นปีที่ 2</v>
      </c>
      <c r="D854" s="3" t="str">
        <f>IFERROR(__xludf.DUMMYFUNCTION("""COMPUTED_VALUE"""),"6703863")</f>
        <v>6703863</v>
      </c>
      <c r="E854" s="3" t="str">
        <f>IFERROR(__xludf.DUMMYFUNCTION("""COMPUTED_VALUE"""),"44")</f>
        <v>44</v>
      </c>
      <c r="F854" s="3" t="str">
        <f>IFERROR(__xludf.DUMMYFUNCTION("""COMPUTED_VALUE"""),"นพอ.ยศสินี มีมงคล")</f>
        <v>นพอ.ยศสินี มีมงคล</v>
      </c>
      <c r="G8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4" s="3" t="str">
        <f>IFERROR(__xludf.DUMMYFUNCTION("""COMPUTED_VALUE"""),"ค่ายเยาวชนพัฒนา ครั้งที่ 215")</f>
        <v>ค่ายเยาวชนพัฒนา ครั้งที่ 215</v>
      </c>
      <c r="I854" s="3" t="str">
        <f>IFERROR(__xludf.DUMMYFUNCTION("""COMPUTED_VALUE"""),"วัดสามบัณฑิต")</f>
        <v>วัดสามบัณฑิต</v>
      </c>
      <c r="J854" s="12">
        <f>IFERROR(__xludf.DUMMYFUNCTION("""COMPUTED_VALUE"""),46137.0)</f>
        <v>46137</v>
      </c>
      <c r="K854" s="3" t="str">
        <f>IFERROR(__xludf.DUMMYFUNCTION("""COMPUTED_VALUE"""),"0800-1600")</f>
        <v>0800-1600</v>
      </c>
      <c r="L854" s="3">
        <f>IFERROR(__xludf.DUMMYFUNCTION("""COMPUTED_VALUE"""),8.0)</f>
        <v>8</v>
      </c>
      <c r="M85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4" s="14" t="str">
        <f>IFERROR(__xludf.DUMMYFUNCTION("""COMPUTED_VALUE"""),"https://lh5.googleusercontent.com/d/1uQcCzizUv9PRzT8gHfX3dCXB6oBsA7vi")</f>
        <v>https://lh5.googleusercontent.com/d/1uQcCzizUv9PRzT8gHfX3dCXB6oBsA7vi</v>
      </c>
      <c r="O854" s="14" t="str">
        <f>IFERROR(__xludf.DUMMYFUNCTION("""COMPUTED_VALUE"""),"https://drive.google.com/file/d/19JjaRZM-EnzKhPW5QsgZLsFBocwRHlc3/view?usp=drivesdk")</f>
        <v>https://drive.google.com/file/d/19JjaRZM-EnzKhPW5QsgZLsFBocwRHlc3/view?usp=drivesdk</v>
      </c>
    </row>
    <row r="855">
      <c r="A855" s="3">
        <f>IFERROR(__xludf.DUMMYFUNCTION("""COMPUTED_VALUE"""),3509.0)</f>
        <v>3509</v>
      </c>
      <c r="B855" s="11">
        <f>IFERROR(__xludf.DUMMYFUNCTION("""COMPUTED_VALUE"""),46182.88427753472)</f>
        <v>46182.88428</v>
      </c>
      <c r="C855" s="3" t="str">
        <f>IFERROR(__xludf.DUMMYFUNCTION("""COMPUTED_VALUE"""),"ชั้นปีที่ 2")</f>
        <v>ชั้นปีที่ 2</v>
      </c>
      <c r="D855" s="3" t="str">
        <f>IFERROR(__xludf.DUMMYFUNCTION("""COMPUTED_VALUE"""),"6703863")</f>
        <v>6703863</v>
      </c>
      <c r="E855" s="3" t="str">
        <f>IFERROR(__xludf.DUMMYFUNCTION("""COMPUTED_VALUE"""),"44")</f>
        <v>44</v>
      </c>
      <c r="F855" s="3" t="str">
        <f>IFERROR(__xludf.DUMMYFUNCTION("""COMPUTED_VALUE"""),"นพอ.ยศสินี มีมงคล")</f>
        <v>นพอ.ยศสินี มีมงคล</v>
      </c>
      <c r="G85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5" s="3" t="str">
        <f>IFERROR(__xludf.DUMMYFUNCTION("""COMPUTED_VALUE"""),"ค่ายเยาวชนพัฒนา ครั้งที่ 215")</f>
        <v>ค่ายเยาวชนพัฒนา ครั้งที่ 215</v>
      </c>
      <c r="I855" s="3" t="str">
        <f>IFERROR(__xludf.DUMMYFUNCTION("""COMPUTED_VALUE"""),"วัดสามบัณฑิต")</f>
        <v>วัดสามบัณฑิต</v>
      </c>
      <c r="J855" s="12">
        <f>IFERROR(__xludf.DUMMYFUNCTION("""COMPUTED_VALUE"""),46138.0)</f>
        <v>46138</v>
      </c>
      <c r="K855" s="3" t="str">
        <f>IFERROR(__xludf.DUMMYFUNCTION("""COMPUTED_VALUE"""),"0800-1600")</f>
        <v>0800-1600</v>
      </c>
      <c r="L855" s="3">
        <f>IFERROR(__xludf.DUMMYFUNCTION("""COMPUTED_VALUE"""),8.0)</f>
        <v>8</v>
      </c>
      <c r="M85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5" s="14" t="str">
        <f>IFERROR(__xludf.DUMMYFUNCTION("""COMPUTED_VALUE"""),"https://lh5.googleusercontent.com/d/160r9bLCJhJ6K0JEo3Ueawpbk_9wTTdqv")</f>
        <v>https://lh5.googleusercontent.com/d/160r9bLCJhJ6K0JEo3Ueawpbk_9wTTdqv</v>
      </c>
      <c r="O855" s="14" t="str">
        <f>IFERROR(__xludf.DUMMYFUNCTION("""COMPUTED_VALUE"""),"https://drive.google.com/file/d/1dr99QFAMVkxLJM4DIxAqLbd55MmwNkby/view?usp=drivesdk")</f>
        <v>https://drive.google.com/file/d/1dr99QFAMVkxLJM4DIxAqLbd55MmwNkby/view?usp=drivesdk</v>
      </c>
    </row>
    <row r="856">
      <c r="A856" s="3">
        <f>IFERROR(__xludf.DUMMYFUNCTION("""COMPUTED_VALUE"""),3523.0)</f>
        <v>3523</v>
      </c>
      <c r="B856" s="11">
        <f>IFERROR(__xludf.DUMMYFUNCTION("""COMPUTED_VALUE"""),46182.92939910879)</f>
        <v>46182.9294</v>
      </c>
      <c r="C856" s="3" t="str">
        <f>IFERROR(__xludf.DUMMYFUNCTION("""COMPUTED_VALUE"""),"ชั้นปีที่ 2")</f>
        <v>ชั้นปีที่ 2</v>
      </c>
      <c r="D856" s="3" t="str">
        <f>IFERROR(__xludf.DUMMYFUNCTION("""COMPUTED_VALUE"""),"6703855")</f>
        <v>6703855</v>
      </c>
      <c r="E856" s="3" t="str">
        <f>IFERROR(__xludf.DUMMYFUNCTION("""COMPUTED_VALUE"""),"36")</f>
        <v>36</v>
      </c>
      <c r="F856" s="3" t="str">
        <f>IFERROR(__xludf.DUMMYFUNCTION("""COMPUTED_VALUE"""),"นพอ.พนารัตน์ สร้างลิ้ม")</f>
        <v>นพอ.พนารัตน์ สร้างลิ้ม</v>
      </c>
      <c r="G856" s="3" t="str">
        <f>IFERROR(__xludf.DUMMYFUNCTION("""COMPUTED_VALUE"""),"ช่วยเหลืองานภายใน วพอ.")</f>
        <v>ช่วยเหลืองานภายใน วพอ.</v>
      </c>
      <c r="H856" s="3" t="str">
        <f>IFERROR(__xludf.DUMMYFUNCTION("""COMPUTED_VALUE"""),"ปรับปรุงทัศนียภาพใน วพอ.พอ.")</f>
        <v>ปรับปรุงทัศนียภาพใน วพอ.พอ.</v>
      </c>
      <c r="I856" s="3" t="str">
        <f>IFERROR(__xludf.DUMMYFUNCTION("""COMPUTED_VALUE"""),"วิทยาลัพยาบาลทหารอากาศ")</f>
        <v>วิทยาลัพยาบาลทหารอากาศ</v>
      </c>
      <c r="J856" s="12">
        <f>IFERROR(__xludf.DUMMYFUNCTION("""COMPUTED_VALUE"""),46177.0)</f>
        <v>46177</v>
      </c>
      <c r="K856" s="3" t="str">
        <f>IFERROR(__xludf.DUMMYFUNCTION("""COMPUTED_VALUE"""),"1430-1730")</f>
        <v>1430-1730</v>
      </c>
      <c r="L856" s="3">
        <f>IFERROR(__xludf.DUMMYFUNCTION("""COMPUTED_VALUE"""),3.0)</f>
        <v>3</v>
      </c>
      <c r="M856" s="3" t="str">
        <f>IFERROR(__xludf.DUMMYFUNCTION("""COMPUTED_VALUE"""),"น.อ.หญิง ผศ.นิตยา สุขแสน")</f>
        <v>น.อ.หญิง ผศ.นิตยา สุขแสน</v>
      </c>
      <c r="N856" s="3"/>
      <c r="O856" s="14" t="str">
        <f>IFERROR(__xludf.DUMMYFUNCTION("""COMPUTED_VALUE"""),"https://drive.google.com/file/d/1p_CLCTdORqtBh-Woksdyi-Ir1suZgLum/view?usp=drivesdk")</f>
        <v>https://drive.google.com/file/d/1p_CLCTdORqtBh-Woksdyi-Ir1suZgLum/view?usp=drivesdk</v>
      </c>
    </row>
    <row r="857">
      <c r="A857" s="3">
        <f>IFERROR(__xludf.DUMMYFUNCTION("""COMPUTED_VALUE"""),3525.0)</f>
        <v>3525</v>
      </c>
      <c r="B857" s="11">
        <f>IFERROR(__xludf.DUMMYFUNCTION("""COMPUTED_VALUE"""),46183.24245113426)</f>
        <v>46183.24245</v>
      </c>
      <c r="C857" s="3" t="str">
        <f>IFERROR(__xludf.DUMMYFUNCTION("""COMPUTED_VALUE"""),"ชั้นปีที่ 2")</f>
        <v>ชั้นปีที่ 2</v>
      </c>
      <c r="D857" s="3" t="str">
        <f>IFERROR(__xludf.DUMMYFUNCTION("""COMPUTED_VALUE"""),"6703846")</f>
        <v>6703846</v>
      </c>
      <c r="E857" s="3" t="str">
        <f>IFERROR(__xludf.DUMMYFUNCTION("""COMPUTED_VALUE"""),"28")</f>
        <v>28</v>
      </c>
      <c r="F857" s="3" t="str">
        <f>IFERROR(__xludf.DUMMYFUNCTION("""COMPUTED_VALUE"""),"นพอ.นัฐพร บูรพันธ์")</f>
        <v>นพอ.นัฐพร บูรพันธ์</v>
      </c>
      <c r="G857" s="3" t="str">
        <f>IFERROR(__xludf.DUMMYFUNCTION("""COMPUTED_VALUE"""),"งานฟรีทั่วไป")</f>
        <v>งานฟรีทั่วไป</v>
      </c>
      <c r="H857" s="3" t="str">
        <f>IFERROR(__xludf.DUMMYFUNCTION("""COMPUTED_VALUE"""),"กวาดลานวัด")</f>
        <v>กวาดลานวัด</v>
      </c>
      <c r="I857" s="3" t="str">
        <f>IFERROR(__xludf.DUMMYFUNCTION("""COMPUTED_VALUE"""),"วัดคลองบ้านใหม่")</f>
        <v>วัดคลองบ้านใหม่</v>
      </c>
      <c r="J857" s="12">
        <f>IFERROR(__xludf.DUMMYFUNCTION("""COMPUTED_VALUE"""),46109.0)</f>
        <v>46109</v>
      </c>
      <c r="K857" s="3" t="str">
        <f>IFERROR(__xludf.DUMMYFUNCTION("""COMPUTED_VALUE"""),"1000-1100")</f>
        <v>1000-1100</v>
      </c>
      <c r="L857" s="3">
        <f>IFERROR(__xludf.DUMMYFUNCTION("""COMPUTED_VALUE"""),1.0)</f>
        <v>1</v>
      </c>
      <c r="M857" s="3" t="str">
        <f>IFERROR(__xludf.DUMMYFUNCTION("""COMPUTED_VALUE"""),"พระครูปริยัติคุณาทร")</f>
        <v>พระครูปริยัติคุณาทร</v>
      </c>
      <c r="N857" s="14" t="str">
        <f>IFERROR(__xludf.DUMMYFUNCTION("""COMPUTED_VALUE"""),"https://lh5.googleusercontent.com/d/19tsBl9Okwn5IhEdn69kqV_jMnDy8RRtD")</f>
        <v>https://lh5.googleusercontent.com/d/19tsBl9Okwn5IhEdn69kqV_jMnDy8RRtD</v>
      </c>
      <c r="O857" s="14" t="str">
        <f>IFERROR(__xludf.DUMMYFUNCTION("""COMPUTED_VALUE"""),"https://drive.google.com/file/d/1bMfTf5mwzvJtqqtSReWLFLCK5uowBIOD/view?usp=drivesdk")</f>
        <v>https://drive.google.com/file/d/1bMfTf5mwzvJtqqtSReWLFLCK5uowBIOD/view?usp=drivesdk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O31"/>
    <hyperlink r:id="rId61" ref="N32"/>
    <hyperlink r:id="rId62" ref="O32"/>
    <hyperlink r:id="rId63" ref="N33"/>
    <hyperlink r:id="rId64" ref="O33"/>
    <hyperlink r:id="rId65" ref="N34"/>
    <hyperlink r:id="rId66" ref="O34"/>
    <hyperlink r:id="rId67" ref="N35"/>
    <hyperlink r:id="rId68" ref="O35"/>
    <hyperlink r:id="rId69" ref="N36"/>
    <hyperlink r:id="rId70" ref="O36"/>
    <hyperlink r:id="rId71" ref="N37"/>
    <hyperlink r:id="rId72" ref="O37"/>
    <hyperlink r:id="rId73" ref="N38"/>
    <hyperlink r:id="rId74" ref="O38"/>
    <hyperlink r:id="rId75" ref="N39"/>
    <hyperlink r:id="rId76" ref="O39"/>
    <hyperlink r:id="rId77" ref="N40"/>
    <hyperlink r:id="rId78" ref="O40"/>
    <hyperlink r:id="rId79" ref="N41"/>
    <hyperlink r:id="rId80" ref="O41"/>
    <hyperlink r:id="rId81" ref="N42"/>
    <hyperlink r:id="rId82" ref="O42"/>
    <hyperlink r:id="rId83" ref="N43"/>
    <hyperlink r:id="rId84" ref="O43"/>
    <hyperlink r:id="rId85" ref="N44"/>
    <hyperlink r:id="rId86" ref="O44"/>
    <hyperlink r:id="rId87" ref="N45"/>
    <hyperlink r:id="rId88" ref="O45"/>
    <hyperlink r:id="rId89" ref="N46"/>
    <hyperlink r:id="rId90" ref="O46"/>
    <hyperlink r:id="rId91" ref="N47"/>
    <hyperlink r:id="rId92" ref="O47"/>
    <hyperlink r:id="rId93" ref="N48"/>
    <hyperlink r:id="rId94" ref="O48"/>
    <hyperlink r:id="rId95" ref="N49"/>
    <hyperlink r:id="rId96" ref="O49"/>
    <hyperlink r:id="rId97" ref="N50"/>
    <hyperlink r:id="rId98" ref="O50"/>
    <hyperlink r:id="rId99" ref="N51"/>
    <hyperlink r:id="rId100" ref="O51"/>
    <hyperlink r:id="rId101" ref="N52"/>
    <hyperlink r:id="rId102" ref="O52"/>
    <hyperlink r:id="rId103" ref="N53"/>
    <hyperlink r:id="rId104" ref="O53"/>
    <hyperlink r:id="rId105" ref="N54"/>
    <hyperlink r:id="rId106" ref="O54"/>
    <hyperlink r:id="rId107" ref="N55"/>
    <hyperlink r:id="rId108" ref="O55"/>
    <hyperlink r:id="rId109" ref="N56"/>
    <hyperlink r:id="rId110" ref="O56"/>
    <hyperlink r:id="rId111" ref="N57"/>
    <hyperlink r:id="rId112" ref="O57"/>
    <hyperlink r:id="rId113" ref="N58"/>
    <hyperlink r:id="rId114" ref="O58"/>
    <hyperlink r:id="rId115" ref="N59"/>
    <hyperlink r:id="rId116" ref="O59"/>
    <hyperlink r:id="rId117" ref="N60"/>
    <hyperlink r:id="rId118" ref="O60"/>
    <hyperlink r:id="rId119" ref="N61"/>
    <hyperlink r:id="rId120" ref="O61"/>
    <hyperlink r:id="rId121" ref="N62"/>
    <hyperlink r:id="rId122" ref="O62"/>
    <hyperlink r:id="rId123" ref="N63"/>
    <hyperlink r:id="rId124" ref="O63"/>
    <hyperlink r:id="rId125" ref="N64"/>
    <hyperlink r:id="rId126" ref="O64"/>
    <hyperlink r:id="rId127" ref="N65"/>
    <hyperlink r:id="rId128" ref="O65"/>
    <hyperlink r:id="rId129" ref="N66"/>
    <hyperlink r:id="rId130" ref="O66"/>
    <hyperlink r:id="rId131" ref="N67"/>
    <hyperlink r:id="rId132" ref="O67"/>
    <hyperlink r:id="rId133" ref="N68"/>
    <hyperlink r:id="rId134" ref="O68"/>
    <hyperlink r:id="rId135" ref="N69"/>
    <hyperlink r:id="rId136" ref="O69"/>
    <hyperlink r:id="rId137" ref="N70"/>
    <hyperlink r:id="rId138" ref="O70"/>
    <hyperlink r:id="rId139" ref="N71"/>
    <hyperlink r:id="rId140" ref="O71"/>
    <hyperlink r:id="rId141" ref="N72"/>
    <hyperlink r:id="rId142" ref="O72"/>
    <hyperlink r:id="rId143" ref="N73"/>
    <hyperlink r:id="rId144" ref="O73"/>
    <hyperlink r:id="rId145" ref="N74"/>
    <hyperlink r:id="rId146" ref="O74"/>
    <hyperlink r:id="rId147" ref="N75"/>
    <hyperlink r:id="rId148" ref="O75"/>
    <hyperlink r:id="rId149" ref="N76"/>
    <hyperlink r:id="rId150" ref="O76"/>
    <hyperlink r:id="rId151" ref="N77"/>
    <hyperlink r:id="rId152" ref="O77"/>
    <hyperlink r:id="rId153" ref="N78"/>
    <hyperlink r:id="rId154" ref="O78"/>
    <hyperlink r:id="rId155" ref="N79"/>
    <hyperlink r:id="rId156" ref="O79"/>
    <hyperlink r:id="rId157" ref="N80"/>
    <hyperlink r:id="rId158" ref="O80"/>
    <hyperlink r:id="rId159" ref="N81"/>
    <hyperlink r:id="rId160" ref="O81"/>
    <hyperlink r:id="rId161" ref="N82"/>
    <hyperlink r:id="rId162" ref="O82"/>
    <hyperlink r:id="rId163" ref="N83"/>
    <hyperlink r:id="rId164" ref="O83"/>
    <hyperlink r:id="rId165" ref="N84"/>
    <hyperlink r:id="rId166" ref="O84"/>
    <hyperlink r:id="rId167" ref="N85"/>
    <hyperlink r:id="rId168" ref="O85"/>
    <hyperlink r:id="rId169" ref="N86"/>
    <hyperlink r:id="rId170" ref="O86"/>
    <hyperlink r:id="rId171" ref="N87"/>
    <hyperlink r:id="rId172" ref="O87"/>
    <hyperlink r:id="rId173" ref="N88"/>
    <hyperlink r:id="rId174" ref="O88"/>
    <hyperlink r:id="rId175" ref="N89"/>
    <hyperlink r:id="rId176" ref="O89"/>
    <hyperlink r:id="rId177" ref="N90"/>
    <hyperlink r:id="rId178" ref="O90"/>
    <hyperlink r:id="rId179" ref="N91"/>
    <hyperlink r:id="rId180" ref="O91"/>
    <hyperlink r:id="rId181" ref="N92"/>
    <hyperlink r:id="rId182" ref="O92"/>
    <hyperlink r:id="rId183" ref="N93"/>
    <hyperlink r:id="rId184" ref="O93"/>
    <hyperlink r:id="rId185" ref="N94"/>
    <hyperlink r:id="rId186" ref="O94"/>
    <hyperlink r:id="rId187" ref="N95"/>
    <hyperlink r:id="rId188" ref="O95"/>
    <hyperlink r:id="rId189" ref="N96"/>
    <hyperlink r:id="rId190" ref="O96"/>
    <hyperlink r:id="rId191" ref="N97"/>
    <hyperlink r:id="rId192" ref="O97"/>
    <hyperlink r:id="rId193" ref="N98"/>
    <hyperlink r:id="rId194" ref="O98"/>
    <hyperlink r:id="rId195" ref="N99"/>
    <hyperlink r:id="rId196" ref="O99"/>
    <hyperlink r:id="rId197" ref="N100"/>
    <hyperlink r:id="rId198" ref="O100"/>
    <hyperlink r:id="rId199" ref="N101"/>
    <hyperlink r:id="rId200" ref="O101"/>
    <hyperlink r:id="rId201" ref="N102"/>
    <hyperlink r:id="rId202" ref="O102"/>
    <hyperlink r:id="rId203" ref="N103"/>
    <hyperlink r:id="rId204" ref="O103"/>
    <hyperlink r:id="rId205" ref="N104"/>
    <hyperlink r:id="rId206" ref="O104"/>
    <hyperlink r:id="rId207" ref="N105"/>
    <hyperlink r:id="rId208" ref="O105"/>
    <hyperlink r:id="rId209" ref="N106"/>
    <hyperlink r:id="rId210" ref="O106"/>
    <hyperlink r:id="rId211" ref="N107"/>
    <hyperlink r:id="rId212" ref="O107"/>
    <hyperlink r:id="rId213" ref="N108"/>
    <hyperlink r:id="rId214" ref="O108"/>
    <hyperlink r:id="rId215" ref="N109"/>
    <hyperlink r:id="rId216" ref="O109"/>
    <hyperlink r:id="rId217" ref="N110"/>
    <hyperlink r:id="rId218" ref="O110"/>
    <hyperlink r:id="rId219" ref="N111"/>
    <hyperlink r:id="rId220" ref="O111"/>
    <hyperlink r:id="rId221" ref="N112"/>
    <hyperlink r:id="rId222" ref="O112"/>
    <hyperlink r:id="rId223" ref="N113"/>
    <hyperlink r:id="rId224" ref="O113"/>
    <hyperlink r:id="rId225" ref="N114"/>
    <hyperlink r:id="rId226" ref="O114"/>
    <hyperlink r:id="rId227" ref="N115"/>
    <hyperlink r:id="rId228" ref="O115"/>
    <hyperlink r:id="rId229" ref="N116"/>
    <hyperlink r:id="rId230" ref="O116"/>
    <hyperlink r:id="rId231" ref="N117"/>
    <hyperlink r:id="rId232" ref="O117"/>
    <hyperlink r:id="rId233" ref="N118"/>
    <hyperlink r:id="rId234" ref="O118"/>
    <hyperlink r:id="rId235" ref="N119"/>
    <hyperlink r:id="rId236" ref="O119"/>
    <hyperlink r:id="rId237" ref="N120"/>
    <hyperlink r:id="rId238" ref="O120"/>
    <hyperlink r:id="rId239" ref="N121"/>
    <hyperlink r:id="rId240" ref="O121"/>
    <hyperlink r:id="rId241" ref="N122"/>
    <hyperlink r:id="rId242" ref="O122"/>
    <hyperlink r:id="rId243" ref="N123"/>
    <hyperlink r:id="rId244" ref="O123"/>
    <hyperlink r:id="rId245" ref="N124"/>
    <hyperlink r:id="rId246" ref="O124"/>
    <hyperlink r:id="rId247" ref="N125"/>
    <hyperlink r:id="rId248" ref="O125"/>
    <hyperlink r:id="rId249" ref="N126"/>
    <hyperlink r:id="rId250" ref="O126"/>
    <hyperlink r:id="rId251" ref="N127"/>
    <hyperlink r:id="rId252" ref="O127"/>
    <hyperlink r:id="rId253" ref="N128"/>
    <hyperlink r:id="rId254" ref="O128"/>
    <hyperlink r:id="rId255" ref="N129"/>
    <hyperlink r:id="rId256" ref="O129"/>
    <hyperlink r:id="rId257" ref="N130"/>
    <hyperlink r:id="rId258" ref="O130"/>
    <hyperlink r:id="rId259" ref="N131"/>
    <hyperlink r:id="rId260" ref="O131"/>
    <hyperlink r:id="rId261" ref="N132"/>
    <hyperlink r:id="rId262" ref="O132"/>
    <hyperlink r:id="rId263" ref="N133"/>
    <hyperlink r:id="rId264" ref="O133"/>
    <hyperlink r:id="rId265" ref="N134"/>
    <hyperlink r:id="rId266" ref="O134"/>
    <hyperlink r:id="rId267" ref="N135"/>
    <hyperlink r:id="rId268" ref="O135"/>
    <hyperlink r:id="rId269" ref="N136"/>
    <hyperlink r:id="rId270" ref="O136"/>
    <hyperlink r:id="rId271" ref="N137"/>
    <hyperlink r:id="rId272" ref="O137"/>
    <hyperlink r:id="rId273" ref="N138"/>
    <hyperlink r:id="rId274" ref="O138"/>
    <hyperlink r:id="rId275" ref="N139"/>
    <hyperlink r:id="rId276" ref="O139"/>
    <hyperlink r:id="rId277" ref="N140"/>
    <hyperlink r:id="rId278" ref="O140"/>
    <hyperlink r:id="rId279" ref="N141"/>
    <hyperlink r:id="rId280" ref="O141"/>
    <hyperlink r:id="rId281" ref="N142"/>
    <hyperlink r:id="rId282" ref="O142"/>
    <hyperlink r:id="rId283" ref="N143"/>
    <hyperlink r:id="rId284" ref="O143"/>
    <hyperlink r:id="rId285" ref="N144"/>
    <hyperlink r:id="rId286" ref="O144"/>
    <hyperlink r:id="rId287" ref="N145"/>
    <hyperlink r:id="rId288" ref="O145"/>
    <hyperlink r:id="rId289" ref="N146"/>
    <hyperlink r:id="rId290" ref="O146"/>
    <hyperlink r:id="rId291" ref="N147"/>
    <hyperlink r:id="rId292" ref="O147"/>
    <hyperlink r:id="rId293" ref="N148"/>
    <hyperlink r:id="rId294" ref="O148"/>
    <hyperlink r:id="rId295" ref="N149"/>
    <hyperlink r:id="rId296" ref="O149"/>
    <hyperlink r:id="rId297" ref="N150"/>
    <hyperlink r:id="rId298" ref="O150"/>
    <hyperlink r:id="rId299" ref="N151"/>
    <hyperlink r:id="rId300" ref="O151"/>
    <hyperlink r:id="rId301" ref="N152"/>
    <hyperlink r:id="rId302" ref="O152"/>
    <hyperlink r:id="rId303" ref="N153"/>
    <hyperlink r:id="rId304" ref="O153"/>
    <hyperlink r:id="rId305" ref="N154"/>
    <hyperlink r:id="rId306" ref="O154"/>
    <hyperlink r:id="rId307" ref="N155"/>
    <hyperlink r:id="rId308" ref="O155"/>
    <hyperlink r:id="rId309" ref="N156"/>
    <hyperlink r:id="rId310" ref="O156"/>
    <hyperlink r:id="rId311" ref="N157"/>
    <hyperlink r:id="rId312" ref="O157"/>
    <hyperlink r:id="rId313" ref="N158"/>
    <hyperlink r:id="rId314" ref="O158"/>
    <hyperlink r:id="rId315" ref="N159"/>
    <hyperlink r:id="rId316" ref="O159"/>
    <hyperlink r:id="rId317" ref="N160"/>
    <hyperlink r:id="rId318" ref="O160"/>
    <hyperlink r:id="rId319" ref="N161"/>
    <hyperlink r:id="rId320" ref="O161"/>
    <hyperlink r:id="rId321" ref="N162"/>
    <hyperlink r:id="rId322" ref="O162"/>
    <hyperlink r:id="rId323" ref="N163"/>
    <hyperlink r:id="rId324" ref="O163"/>
    <hyperlink r:id="rId325" ref="N164"/>
    <hyperlink r:id="rId326" ref="O164"/>
    <hyperlink r:id="rId327" ref="N165"/>
    <hyperlink r:id="rId328" ref="O165"/>
    <hyperlink r:id="rId329" ref="N166"/>
    <hyperlink r:id="rId330" ref="O166"/>
    <hyperlink r:id="rId331" ref="N167"/>
    <hyperlink r:id="rId332" ref="O167"/>
    <hyperlink r:id="rId333" ref="N168"/>
    <hyperlink r:id="rId334" ref="O168"/>
    <hyperlink r:id="rId335" ref="N169"/>
    <hyperlink r:id="rId336" ref="O169"/>
    <hyperlink r:id="rId337" ref="N170"/>
    <hyperlink r:id="rId338" ref="O170"/>
    <hyperlink r:id="rId339" ref="N171"/>
    <hyperlink r:id="rId340" ref="O171"/>
    <hyperlink r:id="rId341" ref="N172"/>
    <hyperlink r:id="rId342" ref="O172"/>
    <hyperlink r:id="rId343" ref="N173"/>
    <hyperlink r:id="rId344" ref="O173"/>
    <hyperlink r:id="rId345" ref="N174"/>
    <hyperlink r:id="rId346" ref="O174"/>
    <hyperlink r:id="rId347" ref="N175"/>
    <hyperlink r:id="rId348" ref="O175"/>
    <hyperlink r:id="rId349" ref="N176"/>
    <hyperlink r:id="rId350" ref="O176"/>
    <hyperlink r:id="rId351" ref="N177"/>
    <hyperlink r:id="rId352" ref="O177"/>
    <hyperlink r:id="rId353" ref="N178"/>
    <hyperlink r:id="rId354" ref="O178"/>
    <hyperlink r:id="rId355" ref="N179"/>
    <hyperlink r:id="rId356" ref="O179"/>
    <hyperlink r:id="rId357" ref="N180"/>
    <hyperlink r:id="rId358" ref="O180"/>
    <hyperlink r:id="rId359" ref="N181"/>
    <hyperlink r:id="rId360" ref="O181"/>
    <hyperlink r:id="rId361" ref="N182"/>
    <hyperlink r:id="rId362" ref="O182"/>
    <hyperlink r:id="rId363" ref="N183"/>
    <hyperlink r:id="rId364" ref="O183"/>
    <hyperlink r:id="rId365" ref="N184"/>
    <hyperlink r:id="rId366" ref="O184"/>
    <hyperlink r:id="rId367" ref="N185"/>
    <hyperlink r:id="rId368" ref="O185"/>
    <hyperlink r:id="rId369" ref="N186"/>
    <hyperlink r:id="rId370" ref="O186"/>
    <hyperlink r:id="rId371" ref="N187"/>
    <hyperlink r:id="rId372" ref="O187"/>
    <hyperlink r:id="rId373" ref="N188"/>
    <hyperlink r:id="rId374" ref="O188"/>
    <hyperlink r:id="rId375" ref="N190"/>
    <hyperlink r:id="rId376" ref="O190"/>
    <hyperlink r:id="rId377" ref="N191"/>
    <hyperlink r:id="rId378" ref="O191"/>
    <hyperlink r:id="rId379" ref="N192"/>
    <hyperlink r:id="rId380" ref="O192"/>
    <hyperlink r:id="rId381" ref="N193"/>
    <hyperlink r:id="rId382" ref="O193"/>
    <hyperlink r:id="rId383" ref="N194"/>
    <hyperlink r:id="rId384" ref="O194"/>
    <hyperlink r:id="rId385" ref="N195"/>
    <hyperlink r:id="rId386" ref="O195"/>
    <hyperlink r:id="rId387" ref="N196"/>
    <hyperlink r:id="rId388" ref="O196"/>
    <hyperlink r:id="rId389" ref="N197"/>
    <hyperlink r:id="rId390" ref="O197"/>
    <hyperlink r:id="rId391" ref="N198"/>
    <hyperlink r:id="rId392" ref="O198"/>
    <hyperlink r:id="rId393" ref="N199"/>
    <hyperlink r:id="rId394" ref="O199"/>
    <hyperlink r:id="rId395" ref="N200"/>
    <hyperlink r:id="rId396" ref="O200"/>
    <hyperlink r:id="rId397" ref="N201"/>
    <hyperlink r:id="rId398" ref="O201"/>
    <hyperlink r:id="rId399" ref="N202"/>
    <hyperlink r:id="rId400" ref="O202"/>
    <hyperlink r:id="rId401" ref="N203"/>
    <hyperlink r:id="rId402" ref="O203"/>
    <hyperlink r:id="rId403" ref="N204"/>
    <hyperlink r:id="rId404" ref="O204"/>
    <hyperlink r:id="rId405" ref="N205"/>
    <hyperlink r:id="rId406" ref="O205"/>
    <hyperlink r:id="rId407" ref="N206"/>
    <hyperlink r:id="rId408" ref="O206"/>
    <hyperlink r:id="rId409" ref="N207"/>
    <hyperlink r:id="rId410" ref="O207"/>
    <hyperlink r:id="rId411" ref="N208"/>
    <hyperlink r:id="rId412" ref="O208"/>
    <hyperlink r:id="rId413" ref="N209"/>
    <hyperlink r:id="rId414" ref="O209"/>
    <hyperlink r:id="rId415" ref="N210"/>
    <hyperlink r:id="rId416" ref="O210"/>
    <hyperlink r:id="rId417" ref="N211"/>
    <hyperlink r:id="rId418" ref="O211"/>
    <hyperlink r:id="rId419" ref="N212"/>
    <hyperlink r:id="rId420" ref="O212"/>
    <hyperlink r:id="rId421" ref="N213"/>
    <hyperlink r:id="rId422" ref="O213"/>
    <hyperlink r:id="rId423" ref="N214"/>
    <hyperlink r:id="rId424" ref="O214"/>
    <hyperlink r:id="rId425" ref="N215"/>
    <hyperlink r:id="rId426" ref="O215"/>
    <hyperlink r:id="rId427" ref="N216"/>
    <hyperlink r:id="rId428" ref="O216"/>
    <hyperlink r:id="rId429" ref="N217"/>
    <hyperlink r:id="rId430" ref="O217"/>
    <hyperlink r:id="rId431" ref="N218"/>
    <hyperlink r:id="rId432" ref="O218"/>
    <hyperlink r:id="rId433" ref="N219"/>
    <hyperlink r:id="rId434" ref="O219"/>
    <hyperlink r:id="rId435" ref="N220"/>
    <hyperlink r:id="rId436" ref="O220"/>
    <hyperlink r:id="rId437" ref="N221"/>
    <hyperlink r:id="rId438" ref="O221"/>
    <hyperlink r:id="rId439" ref="N222"/>
    <hyperlink r:id="rId440" ref="O222"/>
    <hyperlink r:id="rId441" ref="N223"/>
    <hyperlink r:id="rId442" ref="O223"/>
    <hyperlink r:id="rId443" ref="N224"/>
    <hyperlink r:id="rId444" ref="O224"/>
    <hyperlink r:id="rId445" ref="N225"/>
    <hyperlink r:id="rId446" ref="O225"/>
    <hyperlink r:id="rId447" ref="N226"/>
    <hyperlink r:id="rId448" ref="O226"/>
    <hyperlink r:id="rId449" ref="N227"/>
    <hyperlink r:id="rId450" ref="O227"/>
    <hyperlink r:id="rId451" ref="N228"/>
    <hyperlink r:id="rId452" ref="O228"/>
    <hyperlink r:id="rId453" ref="N229"/>
    <hyperlink r:id="rId454" ref="O229"/>
    <hyperlink r:id="rId455" ref="N230"/>
    <hyperlink r:id="rId456" ref="O230"/>
    <hyperlink r:id="rId457" ref="N231"/>
    <hyperlink r:id="rId458" ref="O231"/>
    <hyperlink r:id="rId459" ref="N232"/>
    <hyperlink r:id="rId460" ref="O232"/>
    <hyperlink r:id="rId461" ref="N233"/>
    <hyperlink r:id="rId462" ref="O233"/>
    <hyperlink r:id="rId463" ref="N234"/>
    <hyperlink r:id="rId464" ref="O234"/>
    <hyperlink r:id="rId465" ref="N235"/>
    <hyperlink r:id="rId466" ref="O235"/>
    <hyperlink r:id="rId467" ref="N236"/>
    <hyperlink r:id="rId468" ref="O236"/>
    <hyperlink r:id="rId469" ref="N237"/>
    <hyperlink r:id="rId470" ref="O237"/>
    <hyperlink r:id="rId471" ref="N238"/>
    <hyperlink r:id="rId472" ref="O238"/>
    <hyperlink r:id="rId473" ref="N239"/>
    <hyperlink r:id="rId474" ref="O239"/>
    <hyperlink r:id="rId475" ref="N240"/>
    <hyperlink r:id="rId476" ref="N241"/>
    <hyperlink r:id="rId477" ref="O241"/>
    <hyperlink r:id="rId478" ref="N242"/>
    <hyperlink r:id="rId479" ref="O242"/>
    <hyperlink r:id="rId480" ref="N243"/>
    <hyperlink r:id="rId481" ref="O243"/>
    <hyperlink r:id="rId482" ref="N244"/>
    <hyperlink r:id="rId483" ref="O244"/>
    <hyperlink r:id="rId484" ref="N245"/>
    <hyperlink r:id="rId485" ref="O245"/>
    <hyperlink r:id="rId486" ref="N246"/>
    <hyperlink r:id="rId487" ref="O246"/>
    <hyperlink r:id="rId488" ref="N247"/>
    <hyperlink r:id="rId489" ref="O247"/>
    <hyperlink r:id="rId490" ref="N248"/>
    <hyperlink r:id="rId491" ref="O248"/>
    <hyperlink r:id="rId492" ref="N249"/>
    <hyperlink r:id="rId493" ref="O249"/>
    <hyperlink r:id="rId494" ref="N250"/>
    <hyperlink r:id="rId495" ref="O250"/>
    <hyperlink r:id="rId496" ref="N251"/>
    <hyperlink r:id="rId497" ref="O251"/>
    <hyperlink r:id="rId498" ref="N252"/>
    <hyperlink r:id="rId499" ref="O252"/>
    <hyperlink r:id="rId500" ref="N253"/>
    <hyperlink r:id="rId501" ref="O253"/>
    <hyperlink r:id="rId502" ref="N254"/>
    <hyperlink r:id="rId503" ref="O254"/>
    <hyperlink r:id="rId504" ref="N255"/>
    <hyperlink r:id="rId505" ref="O255"/>
    <hyperlink r:id="rId506" ref="N256"/>
    <hyperlink r:id="rId507" ref="O256"/>
    <hyperlink r:id="rId508" ref="N257"/>
    <hyperlink r:id="rId509" ref="O257"/>
    <hyperlink r:id="rId510" ref="N258"/>
    <hyperlink r:id="rId511" ref="O258"/>
    <hyperlink r:id="rId512" ref="N259"/>
    <hyperlink r:id="rId513" ref="O259"/>
    <hyperlink r:id="rId514" ref="N260"/>
    <hyperlink r:id="rId515" ref="O260"/>
    <hyperlink r:id="rId516" ref="N261"/>
    <hyperlink r:id="rId517" ref="O261"/>
    <hyperlink r:id="rId518" ref="N262"/>
    <hyperlink r:id="rId519" ref="O262"/>
    <hyperlink r:id="rId520" ref="N263"/>
    <hyperlink r:id="rId521" ref="O263"/>
    <hyperlink r:id="rId522" ref="N264"/>
    <hyperlink r:id="rId523" ref="O264"/>
    <hyperlink r:id="rId524" ref="N265"/>
    <hyperlink r:id="rId525" ref="O265"/>
    <hyperlink r:id="rId526" ref="N266"/>
    <hyperlink r:id="rId527" ref="O266"/>
    <hyperlink r:id="rId528" ref="N267"/>
    <hyperlink r:id="rId529" ref="O267"/>
    <hyperlink r:id="rId530" ref="N268"/>
    <hyperlink r:id="rId531" ref="O268"/>
    <hyperlink r:id="rId532" ref="N269"/>
    <hyperlink r:id="rId533" ref="O269"/>
    <hyperlink r:id="rId534" ref="N270"/>
    <hyperlink r:id="rId535" ref="O270"/>
    <hyperlink r:id="rId536" ref="N271"/>
    <hyperlink r:id="rId537" ref="O271"/>
    <hyperlink r:id="rId538" ref="N272"/>
    <hyperlink r:id="rId539" ref="O272"/>
    <hyperlink r:id="rId540" ref="N273"/>
    <hyperlink r:id="rId541" ref="O273"/>
    <hyperlink r:id="rId542" ref="N274"/>
    <hyperlink r:id="rId543" ref="O274"/>
    <hyperlink r:id="rId544" ref="N275"/>
    <hyperlink r:id="rId545" ref="O275"/>
    <hyperlink r:id="rId546" ref="N276"/>
    <hyperlink r:id="rId547" ref="O276"/>
    <hyperlink r:id="rId548" ref="N277"/>
    <hyperlink r:id="rId549" ref="O277"/>
    <hyperlink r:id="rId550" ref="N278"/>
    <hyperlink r:id="rId551" ref="O278"/>
    <hyperlink r:id="rId552" ref="N279"/>
    <hyperlink r:id="rId553" ref="O279"/>
    <hyperlink r:id="rId554" ref="N280"/>
    <hyperlink r:id="rId555" ref="N281"/>
    <hyperlink r:id="rId556" ref="O281"/>
    <hyperlink r:id="rId557" ref="N282"/>
    <hyperlink r:id="rId558" ref="O282"/>
    <hyperlink r:id="rId559" ref="N283"/>
    <hyperlink r:id="rId560" ref="O283"/>
    <hyperlink r:id="rId561" ref="N284"/>
    <hyperlink r:id="rId562" ref="O284"/>
    <hyperlink r:id="rId563" ref="N285"/>
    <hyperlink r:id="rId564" ref="O285"/>
    <hyperlink r:id="rId565" ref="N286"/>
    <hyperlink r:id="rId566" ref="O286"/>
    <hyperlink r:id="rId567" ref="N287"/>
    <hyperlink r:id="rId568" ref="O287"/>
    <hyperlink r:id="rId569" ref="N288"/>
    <hyperlink r:id="rId570" ref="O288"/>
    <hyperlink r:id="rId571" ref="N289"/>
    <hyperlink r:id="rId572" ref="O289"/>
    <hyperlink r:id="rId573" ref="N290"/>
    <hyperlink r:id="rId574" ref="O290"/>
    <hyperlink r:id="rId575" ref="N291"/>
    <hyperlink r:id="rId576" ref="N292"/>
    <hyperlink r:id="rId577" ref="O292"/>
    <hyperlink r:id="rId578" ref="N293"/>
    <hyperlink r:id="rId579" ref="O293"/>
    <hyperlink r:id="rId580" ref="N294"/>
    <hyperlink r:id="rId581" ref="N295"/>
    <hyperlink r:id="rId582" ref="O295"/>
    <hyperlink r:id="rId583" ref="N296"/>
    <hyperlink r:id="rId584" ref="O296"/>
    <hyperlink r:id="rId585" ref="N297"/>
    <hyperlink r:id="rId586" ref="O297"/>
    <hyperlink r:id="rId587" ref="N298"/>
    <hyperlink r:id="rId588" ref="O298"/>
    <hyperlink r:id="rId589" ref="N299"/>
    <hyperlink r:id="rId590" ref="O299"/>
    <hyperlink r:id="rId591" ref="N300"/>
    <hyperlink r:id="rId592" ref="O300"/>
    <hyperlink r:id="rId593" ref="N301"/>
    <hyperlink r:id="rId594" ref="O301"/>
    <hyperlink r:id="rId595" ref="N302"/>
    <hyperlink r:id="rId596" ref="O302"/>
    <hyperlink r:id="rId597" ref="N303"/>
    <hyperlink r:id="rId598" ref="N304"/>
    <hyperlink r:id="rId599" ref="O304"/>
    <hyperlink r:id="rId600" ref="N305"/>
    <hyperlink r:id="rId601" ref="O305"/>
    <hyperlink r:id="rId602" ref="N306"/>
    <hyperlink r:id="rId603" ref="O306"/>
    <hyperlink r:id="rId604" ref="N307"/>
    <hyperlink r:id="rId605" ref="O307"/>
    <hyperlink r:id="rId606" ref="N308"/>
    <hyperlink r:id="rId607" ref="O308"/>
    <hyperlink r:id="rId608" ref="N309"/>
    <hyperlink r:id="rId609" ref="O309"/>
    <hyperlink r:id="rId610" ref="N310"/>
    <hyperlink r:id="rId611" ref="O310"/>
    <hyperlink r:id="rId612" ref="N311"/>
    <hyperlink r:id="rId613" ref="O311"/>
    <hyperlink r:id="rId614" ref="N312"/>
    <hyperlink r:id="rId615" ref="O312"/>
    <hyperlink r:id="rId616" ref="N313"/>
    <hyperlink r:id="rId617" ref="N314"/>
    <hyperlink r:id="rId618" ref="O314"/>
    <hyperlink r:id="rId619" ref="N315"/>
    <hyperlink r:id="rId620" ref="O315"/>
    <hyperlink r:id="rId621" ref="N316"/>
    <hyperlink r:id="rId622" ref="O316"/>
    <hyperlink r:id="rId623" ref="N317"/>
    <hyperlink r:id="rId624" ref="O317"/>
    <hyperlink r:id="rId625" ref="N318"/>
    <hyperlink r:id="rId626" ref="O318"/>
    <hyperlink r:id="rId627" ref="N319"/>
    <hyperlink r:id="rId628" ref="O319"/>
    <hyperlink r:id="rId629" ref="N320"/>
    <hyperlink r:id="rId630" ref="O320"/>
    <hyperlink r:id="rId631" ref="N321"/>
    <hyperlink r:id="rId632" ref="O321"/>
    <hyperlink r:id="rId633" ref="N322"/>
    <hyperlink r:id="rId634" ref="O322"/>
    <hyperlink r:id="rId635" ref="N323"/>
    <hyperlink r:id="rId636" ref="O323"/>
    <hyperlink r:id="rId637" ref="N324"/>
    <hyperlink r:id="rId638" ref="O324"/>
    <hyperlink r:id="rId639" ref="N325"/>
    <hyperlink r:id="rId640" ref="O325"/>
    <hyperlink r:id="rId641" ref="N326"/>
    <hyperlink r:id="rId642" ref="O326"/>
    <hyperlink r:id="rId643" ref="N327"/>
    <hyperlink r:id="rId644" ref="O327"/>
    <hyperlink r:id="rId645" ref="N328"/>
    <hyperlink r:id="rId646" ref="O328"/>
    <hyperlink r:id="rId647" ref="N329"/>
    <hyperlink r:id="rId648" ref="O329"/>
    <hyperlink r:id="rId649" ref="N330"/>
    <hyperlink r:id="rId650" ref="O330"/>
    <hyperlink r:id="rId651" ref="N331"/>
    <hyperlink r:id="rId652" ref="O331"/>
    <hyperlink r:id="rId653" ref="N332"/>
    <hyperlink r:id="rId654" ref="O332"/>
    <hyperlink r:id="rId655" ref="N333"/>
    <hyperlink r:id="rId656" ref="O333"/>
    <hyperlink r:id="rId657" ref="N334"/>
    <hyperlink r:id="rId658" ref="O334"/>
    <hyperlink r:id="rId659" ref="N335"/>
    <hyperlink r:id="rId660" ref="O335"/>
    <hyperlink r:id="rId661" ref="N336"/>
    <hyperlink r:id="rId662" ref="O336"/>
    <hyperlink r:id="rId663" ref="N337"/>
    <hyperlink r:id="rId664" ref="O337"/>
    <hyperlink r:id="rId665" ref="N338"/>
    <hyperlink r:id="rId666" ref="O338"/>
    <hyperlink r:id="rId667" ref="N339"/>
    <hyperlink r:id="rId668" ref="O339"/>
    <hyperlink r:id="rId669" ref="N340"/>
    <hyperlink r:id="rId670" ref="O340"/>
    <hyperlink r:id="rId671" ref="N341"/>
    <hyperlink r:id="rId672" ref="O341"/>
    <hyperlink r:id="rId673" ref="N342"/>
    <hyperlink r:id="rId674" ref="O342"/>
    <hyperlink r:id="rId675" ref="N343"/>
    <hyperlink r:id="rId676" ref="O343"/>
    <hyperlink r:id="rId677" ref="N344"/>
    <hyperlink r:id="rId678" ref="O344"/>
    <hyperlink r:id="rId679" ref="N345"/>
    <hyperlink r:id="rId680" ref="O345"/>
    <hyperlink r:id="rId681" ref="N346"/>
    <hyperlink r:id="rId682" ref="O346"/>
    <hyperlink r:id="rId683" ref="N347"/>
    <hyperlink r:id="rId684" ref="O347"/>
    <hyperlink r:id="rId685" ref="N348"/>
    <hyperlink r:id="rId686" ref="O348"/>
    <hyperlink r:id="rId687" ref="N349"/>
    <hyperlink r:id="rId688" ref="O349"/>
    <hyperlink r:id="rId689" ref="N350"/>
    <hyperlink r:id="rId690" ref="O350"/>
    <hyperlink r:id="rId691" ref="N351"/>
    <hyperlink r:id="rId692" ref="O351"/>
    <hyperlink r:id="rId693" ref="N352"/>
    <hyperlink r:id="rId694" ref="O352"/>
    <hyperlink r:id="rId695" ref="N353"/>
    <hyperlink r:id="rId696" ref="O353"/>
    <hyperlink r:id="rId697" ref="N354"/>
    <hyperlink r:id="rId698" ref="O354"/>
    <hyperlink r:id="rId699" ref="N355"/>
    <hyperlink r:id="rId700" ref="O355"/>
    <hyperlink r:id="rId701" ref="N356"/>
    <hyperlink r:id="rId702" ref="O356"/>
    <hyperlink r:id="rId703" ref="N357"/>
    <hyperlink r:id="rId704" ref="O357"/>
    <hyperlink r:id="rId705" ref="N358"/>
    <hyperlink r:id="rId706" ref="O358"/>
    <hyperlink r:id="rId707" ref="N359"/>
    <hyperlink r:id="rId708" ref="O359"/>
    <hyperlink r:id="rId709" ref="N360"/>
    <hyperlink r:id="rId710" ref="O360"/>
    <hyperlink r:id="rId711" ref="N361"/>
    <hyperlink r:id="rId712" ref="O361"/>
    <hyperlink r:id="rId713" ref="N362"/>
    <hyperlink r:id="rId714" ref="O362"/>
    <hyperlink r:id="rId715" ref="N363"/>
    <hyperlink r:id="rId716" ref="O363"/>
    <hyperlink r:id="rId717" ref="N364"/>
    <hyperlink r:id="rId718" ref="O364"/>
    <hyperlink r:id="rId719" ref="N365"/>
    <hyperlink r:id="rId720" ref="O365"/>
    <hyperlink r:id="rId721" ref="N366"/>
    <hyperlink r:id="rId722" ref="O366"/>
    <hyperlink r:id="rId723" ref="N367"/>
    <hyperlink r:id="rId724" ref="O367"/>
    <hyperlink r:id="rId725" ref="N368"/>
    <hyperlink r:id="rId726" ref="O368"/>
    <hyperlink r:id="rId727" ref="N369"/>
    <hyperlink r:id="rId728" ref="O369"/>
    <hyperlink r:id="rId729" ref="N370"/>
    <hyperlink r:id="rId730" ref="O370"/>
    <hyperlink r:id="rId731" ref="N371"/>
    <hyperlink r:id="rId732" ref="O371"/>
    <hyperlink r:id="rId733" ref="N372"/>
    <hyperlink r:id="rId734" ref="O372"/>
    <hyperlink r:id="rId735" ref="N373"/>
    <hyperlink r:id="rId736" ref="O373"/>
    <hyperlink r:id="rId737" ref="N374"/>
    <hyperlink r:id="rId738" ref="O374"/>
    <hyperlink r:id="rId739" ref="N375"/>
    <hyperlink r:id="rId740" ref="O375"/>
    <hyperlink r:id="rId741" ref="N376"/>
    <hyperlink r:id="rId742" ref="O376"/>
    <hyperlink r:id="rId743" ref="N377"/>
    <hyperlink r:id="rId744" ref="O377"/>
    <hyperlink r:id="rId745" ref="N378"/>
    <hyperlink r:id="rId746" ref="O378"/>
    <hyperlink r:id="rId747" ref="N379"/>
    <hyperlink r:id="rId748" ref="O379"/>
    <hyperlink r:id="rId749" ref="N380"/>
    <hyperlink r:id="rId750" ref="O380"/>
    <hyperlink r:id="rId751" ref="N381"/>
    <hyperlink r:id="rId752" ref="O381"/>
    <hyperlink r:id="rId753" ref="N382"/>
    <hyperlink r:id="rId754" ref="O382"/>
    <hyperlink r:id="rId755" ref="N383"/>
    <hyperlink r:id="rId756" ref="O383"/>
    <hyperlink r:id="rId757" ref="N384"/>
    <hyperlink r:id="rId758" ref="O384"/>
    <hyperlink r:id="rId759" ref="N385"/>
    <hyperlink r:id="rId760" ref="O385"/>
    <hyperlink r:id="rId761" ref="N386"/>
    <hyperlink r:id="rId762" ref="O386"/>
    <hyperlink r:id="rId763" ref="N387"/>
    <hyperlink r:id="rId764" ref="O387"/>
    <hyperlink r:id="rId765" ref="N388"/>
    <hyperlink r:id="rId766" ref="O388"/>
    <hyperlink r:id="rId767" ref="N389"/>
    <hyperlink r:id="rId768" ref="O389"/>
    <hyperlink r:id="rId769" ref="N390"/>
    <hyperlink r:id="rId770" ref="O390"/>
    <hyperlink r:id="rId771" ref="N391"/>
    <hyperlink r:id="rId772" ref="O391"/>
    <hyperlink r:id="rId773" ref="N392"/>
    <hyperlink r:id="rId774" ref="O392"/>
    <hyperlink r:id="rId775" ref="N393"/>
    <hyperlink r:id="rId776" ref="O393"/>
    <hyperlink r:id="rId777" ref="N394"/>
    <hyperlink r:id="rId778" ref="O394"/>
    <hyperlink r:id="rId779" ref="N395"/>
    <hyperlink r:id="rId780" ref="O395"/>
    <hyperlink r:id="rId781" ref="N396"/>
    <hyperlink r:id="rId782" ref="O396"/>
    <hyperlink r:id="rId783" ref="N397"/>
    <hyperlink r:id="rId784" ref="O397"/>
    <hyperlink r:id="rId785" ref="N398"/>
    <hyperlink r:id="rId786" ref="O398"/>
    <hyperlink r:id="rId787" ref="N399"/>
    <hyperlink r:id="rId788" ref="O399"/>
    <hyperlink r:id="rId789" ref="N400"/>
    <hyperlink r:id="rId790" ref="O400"/>
    <hyperlink r:id="rId791" ref="N401"/>
    <hyperlink r:id="rId792" ref="O401"/>
    <hyperlink r:id="rId793" ref="N402"/>
    <hyperlink r:id="rId794" ref="O402"/>
    <hyperlink r:id="rId795" ref="N403"/>
    <hyperlink r:id="rId796" ref="O403"/>
    <hyperlink r:id="rId797" ref="N404"/>
    <hyperlink r:id="rId798" ref="O404"/>
    <hyperlink r:id="rId799" ref="N405"/>
    <hyperlink r:id="rId800" ref="O405"/>
    <hyperlink r:id="rId801" ref="N406"/>
    <hyperlink r:id="rId802" ref="O406"/>
    <hyperlink r:id="rId803" ref="N407"/>
    <hyperlink r:id="rId804" ref="O407"/>
    <hyperlink r:id="rId805" ref="N408"/>
    <hyperlink r:id="rId806" ref="O408"/>
    <hyperlink r:id="rId807" ref="N409"/>
    <hyperlink r:id="rId808" ref="O409"/>
    <hyperlink r:id="rId809" ref="N410"/>
    <hyperlink r:id="rId810" ref="O410"/>
    <hyperlink r:id="rId811" ref="N411"/>
    <hyperlink r:id="rId812" ref="O411"/>
    <hyperlink r:id="rId813" ref="N412"/>
    <hyperlink r:id="rId814" ref="O412"/>
    <hyperlink r:id="rId815" ref="N413"/>
    <hyperlink r:id="rId816" ref="O413"/>
    <hyperlink r:id="rId817" ref="N414"/>
    <hyperlink r:id="rId818" ref="O414"/>
    <hyperlink r:id="rId819" ref="N415"/>
    <hyperlink r:id="rId820" ref="O415"/>
    <hyperlink r:id="rId821" ref="N416"/>
    <hyperlink r:id="rId822" ref="O416"/>
    <hyperlink r:id="rId823" ref="N417"/>
    <hyperlink r:id="rId824" ref="O417"/>
    <hyperlink r:id="rId825" ref="N418"/>
    <hyperlink r:id="rId826" ref="O418"/>
    <hyperlink r:id="rId827" ref="N419"/>
    <hyperlink r:id="rId828" ref="O419"/>
    <hyperlink r:id="rId829" ref="N420"/>
    <hyperlink r:id="rId830" ref="O420"/>
    <hyperlink r:id="rId831" ref="N421"/>
    <hyperlink r:id="rId832" ref="O421"/>
    <hyperlink r:id="rId833" ref="N422"/>
    <hyperlink r:id="rId834" ref="O422"/>
    <hyperlink r:id="rId835" ref="N423"/>
    <hyperlink r:id="rId836" ref="O423"/>
    <hyperlink r:id="rId837" ref="N424"/>
    <hyperlink r:id="rId838" ref="O424"/>
    <hyperlink r:id="rId839" ref="N425"/>
    <hyperlink r:id="rId840" ref="O425"/>
    <hyperlink r:id="rId841" ref="N426"/>
    <hyperlink r:id="rId842" ref="O426"/>
    <hyperlink r:id="rId843" ref="N427"/>
    <hyperlink r:id="rId844" ref="O427"/>
    <hyperlink r:id="rId845" ref="N428"/>
    <hyperlink r:id="rId846" ref="O428"/>
    <hyperlink r:id="rId847" ref="N429"/>
    <hyperlink r:id="rId848" ref="O429"/>
    <hyperlink r:id="rId849" ref="N430"/>
    <hyperlink r:id="rId850" ref="O430"/>
    <hyperlink r:id="rId851" ref="N431"/>
    <hyperlink r:id="rId852" ref="O431"/>
    <hyperlink r:id="rId853" ref="N432"/>
    <hyperlink r:id="rId854" ref="O432"/>
    <hyperlink r:id="rId855" ref="N433"/>
    <hyperlink r:id="rId856" ref="O433"/>
    <hyperlink r:id="rId857" ref="N434"/>
    <hyperlink r:id="rId858" ref="O434"/>
    <hyperlink r:id="rId859" ref="N435"/>
    <hyperlink r:id="rId860" ref="O435"/>
    <hyperlink r:id="rId861" ref="N436"/>
    <hyperlink r:id="rId862" ref="O436"/>
    <hyperlink r:id="rId863" ref="N437"/>
    <hyperlink r:id="rId864" ref="O437"/>
    <hyperlink r:id="rId865" ref="N438"/>
    <hyperlink r:id="rId866" ref="O438"/>
    <hyperlink r:id="rId867" ref="N439"/>
    <hyperlink r:id="rId868" ref="O439"/>
    <hyperlink r:id="rId869" ref="N440"/>
    <hyperlink r:id="rId870" ref="O440"/>
    <hyperlink r:id="rId871" ref="N441"/>
    <hyperlink r:id="rId872" ref="O441"/>
    <hyperlink r:id="rId873" ref="N442"/>
    <hyperlink r:id="rId874" ref="O442"/>
    <hyperlink r:id="rId875" ref="N443"/>
    <hyperlink r:id="rId876" ref="O443"/>
    <hyperlink r:id="rId877" ref="N444"/>
    <hyperlink r:id="rId878" ref="O444"/>
    <hyperlink r:id="rId879" ref="N445"/>
    <hyperlink r:id="rId880" ref="O445"/>
    <hyperlink r:id="rId881" ref="N446"/>
    <hyperlink r:id="rId882" ref="O446"/>
    <hyperlink r:id="rId883" ref="N447"/>
    <hyperlink r:id="rId884" ref="O447"/>
    <hyperlink r:id="rId885" ref="N448"/>
    <hyperlink r:id="rId886" ref="O448"/>
    <hyperlink r:id="rId887" ref="N449"/>
    <hyperlink r:id="rId888" ref="O449"/>
    <hyperlink r:id="rId889" ref="N450"/>
    <hyperlink r:id="rId890" ref="O450"/>
    <hyperlink r:id="rId891" ref="N451"/>
    <hyperlink r:id="rId892" ref="O451"/>
    <hyperlink r:id="rId893" ref="N452"/>
    <hyperlink r:id="rId894" ref="O452"/>
    <hyperlink r:id="rId895" ref="N453"/>
    <hyperlink r:id="rId896" ref="O453"/>
    <hyperlink r:id="rId897" ref="N454"/>
    <hyperlink r:id="rId898" ref="O454"/>
    <hyperlink r:id="rId899" ref="N455"/>
    <hyperlink r:id="rId900" ref="O455"/>
    <hyperlink r:id="rId901" ref="N456"/>
    <hyperlink r:id="rId902" ref="O456"/>
    <hyperlink r:id="rId903" ref="N457"/>
    <hyperlink r:id="rId904" ref="O457"/>
    <hyperlink r:id="rId905" ref="N458"/>
    <hyperlink r:id="rId906" ref="O458"/>
    <hyperlink r:id="rId907" ref="N459"/>
    <hyperlink r:id="rId908" ref="O459"/>
    <hyperlink r:id="rId909" ref="O460"/>
    <hyperlink r:id="rId910" ref="N461"/>
    <hyperlink r:id="rId911" ref="O461"/>
    <hyperlink r:id="rId912" ref="N462"/>
    <hyperlink r:id="rId913" ref="O462"/>
    <hyperlink r:id="rId914" ref="N463"/>
    <hyperlink r:id="rId915" ref="O463"/>
    <hyperlink r:id="rId916" ref="N464"/>
    <hyperlink r:id="rId917" ref="O464"/>
    <hyperlink r:id="rId918" ref="N465"/>
    <hyperlink r:id="rId919" ref="O465"/>
    <hyperlink r:id="rId920" ref="N466"/>
    <hyperlink r:id="rId921" ref="O466"/>
    <hyperlink r:id="rId922" ref="N467"/>
    <hyperlink r:id="rId923" ref="O467"/>
    <hyperlink r:id="rId924" ref="N468"/>
    <hyperlink r:id="rId925" ref="O468"/>
    <hyperlink r:id="rId926" ref="N469"/>
    <hyperlink r:id="rId927" ref="O469"/>
    <hyperlink r:id="rId928" ref="N470"/>
    <hyperlink r:id="rId929" ref="O470"/>
    <hyperlink r:id="rId930" ref="N471"/>
    <hyperlink r:id="rId931" ref="O471"/>
    <hyperlink r:id="rId932" ref="N472"/>
    <hyperlink r:id="rId933" ref="O472"/>
    <hyperlink r:id="rId934" ref="N473"/>
    <hyperlink r:id="rId935" ref="O473"/>
    <hyperlink r:id="rId936" ref="N474"/>
    <hyperlink r:id="rId937" ref="O474"/>
    <hyperlink r:id="rId938" ref="N475"/>
    <hyperlink r:id="rId939" ref="O475"/>
    <hyperlink r:id="rId940" ref="N476"/>
    <hyperlink r:id="rId941" ref="O476"/>
    <hyperlink r:id="rId942" ref="N477"/>
    <hyperlink r:id="rId943" ref="O477"/>
    <hyperlink r:id="rId944" ref="N478"/>
    <hyperlink r:id="rId945" ref="O478"/>
    <hyperlink r:id="rId946" ref="N479"/>
    <hyperlink r:id="rId947" ref="O479"/>
    <hyperlink r:id="rId948" ref="N480"/>
    <hyperlink r:id="rId949" ref="O480"/>
    <hyperlink r:id="rId950" ref="N481"/>
    <hyperlink r:id="rId951" ref="O481"/>
    <hyperlink r:id="rId952" ref="N482"/>
    <hyperlink r:id="rId953" ref="O482"/>
    <hyperlink r:id="rId954" ref="N483"/>
    <hyperlink r:id="rId955" ref="O483"/>
    <hyperlink r:id="rId956" ref="N484"/>
    <hyperlink r:id="rId957" ref="O484"/>
    <hyperlink r:id="rId958" ref="N485"/>
    <hyperlink r:id="rId959" ref="O485"/>
    <hyperlink r:id="rId960" ref="N486"/>
    <hyperlink r:id="rId961" ref="O486"/>
    <hyperlink r:id="rId962" ref="N487"/>
    <hyperlink r:id="rId963" ref="O487"/>
    <hyperlink r:id="rId964" ref="N488"/>
    <hyperlink r:id="rId965" ref="O488"/>
    <hyperlink r:id="rId966" ref="N489"/>
    <hyperlink r:id="rId967" ref="O489"/>
    <hyperlink r:id="rId968" ref="N490"/>
    <hyperlink r:id="rId969" ref="O490"/>
    <hyperlink r:id="rId970" ref="N491"/>
    <hyperlink r:id="rId971" ref="O491"/>
    <hyperlink r:id="rId972" ref="N492"/>
    <hyperlink r:id="rId973" ref="O492"/>
    <hyperlink r:id="rId974" ref="N493"/>
    <hyperlink r:id="rId975" ref="O493"/>
    <hyperlink r:id="rId976" ref="N494"/>
    <hyperlink r:id="rId977" ref="O494"/>
    <hyperlink r:id="rId978" ref="N495"/>
    <hyperlink r:id="rId979" ref="O495"/>
    <hyperlink r:id="rId980" ref="N496"/>
    <hyperlink r:id="rId981" ref="O496"/>
    <hyperlink r:id="rId982" ref="N497"/>
    <hyperlink r:id="rId983" ref="O497"/>
    <hyperlink r:id="rId984" ref="N498"/>
    <hyperlink r:id="rId985" ref="O498"/>
    <hyperlink r:id="rId986" ref="N499"/>
    <hyperlink r:id="rId987" ref="O499"/>
    <hyperlink r:id="rId988" ref="N500"/>
    <hyperlink r:id="rId989" ref="O500"/>
    <hyperlink r:id="rId990" ref="N501"/>
    <hyperlink r:id="rId991" ref="O501"/>
    <hyperlink r:id="rId992" ref="N502"/>
    <hyperlink r:id="rId993" ref="O502"/>
    <hyperlink r:id="rId994" ref="N503"/>
    <hyperlink r:id="rId995" ref="O503"/>
    <hyperlink r:id="rId996" ref="N504"/>
    <hyperlink r:id="rId997" ref="O504"/>
    <hyperlink r:id="rId998" ref="N505"/>
    <hyperlink r:id="rId999" ref="O505"/>
    <hyperlink r:id="rId1000" ref="N506"/>
    <hyperlink r:id="rId1001" ref="O506"/>
    <hyperlink r:id="rId1002" ref="N507"/>
    <hyperlink r:id="rId1003" ref="O507"/>
    <hyperlink r:id="rId1004" ref="N508"/>
    <hyperlink r:id="rId1005" ref="O508"/>
    <hyperlink r:id="rId1006" ref="N509"/>
    <hyperlink r:id="rId1007" ref="O509"/>
    <hyperlink r:id="rId1008" ref="N510"/>
    <hyperlink r:id="rId1009" ref="O510"/>
    <hyperlink r:id="rId1010" ref="N511"/>
    <hyperlink r:id="rId1011" ref="O511"/>
    <hyperlink r:id="rId1012" ref="N512"/>
    <hyperlink r:id="rId1013" ref="O512"/>
    <hyperlink r:id="rId1014" ref="N513"/>
    <hyperlink r:id="rId1015" ref="O513"/>
    <hyperlink r:id="rId1016" ref="N514"/>
    <hyperlink r:id="rId1017" ref="O514"/>
    <hyperlink r:id="rId1018" ref="N515"/>
    <hyperlink r:id="rId1019" ref="O515"/>
    <hyperlink r:id="rId1020" ref="N516"/>
    <hyperlink r:id="rId1021" ref="O516"/>
    <hyperlink r:id="rId1022" ref="N517"/>
    <hyperlink r:id="rId1023" ref="O517"/>
    <hyperlink r:id="rId1024" ref="N518"/>
    <hyperlink r:id="rId1025" ref="O518"/>
    <hyperlink r:id="rId1026" ref="N519"/>
    <hyperlink r:id="rId1027" ref="O519"/>
    <hyperlink r:id="rId1028" ref="N520"/>
    <hyperlink r:id="rId1029" ref="O520"/>
    <hyperlink r:id="rId1030" ref="N521"/>
    <hyperlink r:id="rId1031" ref="O521"/>
    <hyperlink r:id="rId1032" ref="N522"/>
    <hyperlink r:id="rId1033" ref="O522"/>
    <hyperlink r:id="rId1034" ref="N523"/>
    <hyperlink r:id="rId1035" ref="O523"/>
    <hyperlink r:id="rId1036" ref="N524"/>
    <hyperlink r:id="rId1037" ref="O524"/>
    <hyperlink r:id="rId1038" ref="N525"/>
    <hyperlink r:id="rId1039" ref="O525"/>
    <hyperlink r:id="rId1040" ref="N526"/>
    <hyperlink r:id="rId1041" ref="O526"/>
    <hyperlink r:id="rId1042" ref="N527"/>
    <hyperlink r:id="rId1043" ref="O527"/>
    <hyperlink r:id="rId1044" ref="N528"/>
    <hyperlink r:id="rId1045" ref="O528"/>
    <hyperlink r:id="rId1046" ref="N529"/>
    <hyperlink r:id="rId1047" ref="O529"/>
    <hyperlink r:id="rId1048" ref="N530"/>
    <hyperlink r:id="rId1049" ref="O530"/>
    <hyperlink r:id="rId1050" ref="N531"/>
    <hyperlink r:id="rId1051" ref="O531"/>
    <hyperlink r:id="rId1052" ref="N532"/>
    <hyperlink r:id="rId1053" ref="O532"/>
    <hyperlink r:id="rId1054" ref="N533"/>
    <hyperlink r:id="rId1055" ref="O533"/>
    <hyperlink r:id="rId1056" ref="N534"/>
    <hyperlink r:id="rId1057" ref="O534"/>
    <hyperlink r:id="rId1058" ref="N535"/>
    <hyperlink r:id="rId1059" ref="O535"/>
    <hyperlink r:id="rId1060" ref="N536"/>
    <hyperlink r:id="rId1061" ref="O536"/>
    <hyperlink r:id="rId1062" ref="N537"/>
    <hyperlink r:id="rId1063" ref="O537"/>
    <hyperlink r:id="rId1064" ref="N538"/>
    <hyperlink r:id="rId1065" ref="O538"/>
    <hyperlink r:id="rId1066" ref="N539"/>
    <hyperlink r:id="rId1067" ref="O539"/>
    <hyperlink r:id="rId1068" ref="N540"/>
    <hyperlink r:id="rId1069" ref="O540"/>
    <hyperlink r:id="rId1070" ref="N541"/>
    <hyperlink r:id="rId1071" ref="O541"/>
    <hyperlink r:id="rId1072" ref="N542"/>
    <hyperlink r:id="rId1073" ref="O542"/>
    <hyperlink r:id="rId1074" ref="N543"/>
    <hyperlink r:id="rId1075" ref="O543"/>
    <hyperlink r:id="rId1076" ref="N544"/>
    <hyperlink r:id="rId1077" ref="O544"/>
    <hyperlink r:id="rId1078" ref="N545"/>
    <hyperlink r:id="rId1079" ref="O545"/>
    <hyperlink r:id="rId1080" ref="N546"/>
    <hyperlink r:id="rId1081" ref="O546"/>
    <hyperlink r:id="rId1082" ref="N547"/>
    <hyperlink r:id="rId1083" ref="O547"/>
    <hyperlink r:id="rId1084" ref="N548"/>
    <hyperlink r:id="rId1085" ref="O548"/>
    <hyperlink r:id="rId1086" ref="N549"/>
    <hyperlink r:id="rId1087" ref="O549"/>
    <hyperlink r:id="rId1088" ref="N550"/>
    <hyperlink r:id="rId1089" ref="O550"/>
    <hyperlink r:id="rId1090" ref="N551"/>
    <hyperlink r:id="rId1091" ref="O551"/>
    <hyperlink r:id="rId1092" ref="N552"/>
    <hyperlink r:id="rId1093" ref="O552"/>
    <hyperlink r:id="rId1094" ref="N553"/>
    <hyperlink r:id="rId1095" ref="O553"/>
    <hyperlink r:id="rId1096" ref="N554"/>
    <hyperlink r:id="rId1097" ref="O554"/>
    <hyperlink r:id="rId1098" ref="N555"/>
    <hyperlink r:id="rId1099" ref="O555"/>
    <hyperlink r:id="rId1100" ref="N556"/>
    <hyperlink r:id="rId1101" ref="O556"/>
    <hyperlink r:id="rId1102" ref="N557"/>
    <hyperlink r:id="rId1103" ref="O557"/>
    <hyperlink r:id="rId1104" ref="N558"/>
    <hyperlink r:id="rId1105" ref="O558"/>
    <hyperlink r:id="rId1106" ref="N559"/>
    <hyperlink r:id="rId1107" ref="O559"/>
    <hyperlink r:id="rId1108" ref="N560"/>
    <hyperlink r:id="rId1109" ref="O560"/>
    <hyperlink r:id="rId1110" ref="N561"/>
    <hyperlink r:id="rId1111" ref="O561"/>
    <hyperlink r:id="rId1112" ref="N562"/>
    <hyperlink r:id="rId1113" ref="O562"/>
    <hyperlink r:id="rId1114" ref="N563"/>
    <hyperlink r:id="rId1115" ref="O563"/>
    <hyperlink r:id="rId1116" ref="N564"/>
    <hyperlink r:id="rId1117" ref="O564"/>
    <hyperlink r:id="rId1118" ref="N565"/>
    <hyperlink r:id="rId1119" ref="O565"/>
    <hyperlink r:id="rId1120" ref="N566"/>
    <hyperlink r:id="rId1121" ref="O566"/>
    <hyperlink r:id="rId1122" ref="N567"/>
    <hyperlink r:id="rId1123" ref="O567"/>
    <hyperlink r:id="rId1124" ref="N568"/>
    <hyperlink r:id="rId1125" ref="O568"/>
    <hyperlink r:id="rId1126" ref="N569"/>
    <hyperlink r:id="rId1127" ref="O569"/>
    <hyperlink r:id="rId1128" ref="N570"/>
    <hyperlink r:id="rId1129" ref="O570"/>
    <hyperlink r:id="rId1130" ref="N571"/>
    <hyperlink r:id="rId1131" ref="O571"/>
    <hyperlink r:id="rId1132" ref="N572"/>
    <hyperlink r:id="rId1133" ref="O572"/>
    <hyperlink r:id="rId1134" ref="N573"/>
    <hyperlink r:id="rId1135" ref="O573"/>
    <hyperlink r:id="rId1136" ref="N574"/>
    <hyperlink r:id="rId1137" ref="O574"/>
    <hyperlink r:id="rId1138" ref="N575"/>
    <hyperlink r:id="rId1139" ref="O575"/>
    <hyperlink r:id="rId1140" ref="N576"/>
    <hyperlink r:id="rId1141" ref="O576"/>
    <hyperlink r:id="rId1142" ref="N577"/>
    <hyperlink r:id="rId1143" ref="O577"/>
    <hyperlink r:id="rId1144" ref="N578"/>
    <hyperlink r:id="rId1145" ref="O578"/>
    <hyperlink r:id="rId1146" ref="N579"/>
    <hyperlink r:id="rId1147" ref="O579"/>
    <hyperlink r:id="rId1148" ref="N580"/>
    <hyperlink r:id="rId1149" ref="O580"/>
    <hyperlink r:id="rId1150" ref="N581"/>
    <hyperlink r:id="rId1151" ref="O581"/>
    <hyperlink r:id="rId1152" ref="N582"/>
    <hyperlink r:id="rId1153" ref="O582"/>
    <hyperlink r:id="rId1154" ref="N583"/>
    <hyperlink r:id="rId1155" ref="O583"/>
    <hyperlink r:id="rId1156" ref="N584"/>
    <hyperlink r:id="rId1157" ref="O584"/>
    <hyperlink r:id="rId1158" ref="N585"/>
    <hyperlink r:id="rId1159" ref="O585"/>
    <hyperlink r:id="rId1160" ref="N586"/>
    <hyperlink r:id="rId1161" ref="O586"/>
    <hyperlink r:id="rId1162" ref="N587"/>
    <hyperlink r:id="rId1163" ref="O587"/>
    <hyperlink r:id="rId1164" ref="N588"/>
    <hyperlink r:id="rId1165" ref="O588"/>
    <hyperlink r:id="rId1166" ref="N589"/>
    <hyperlink r:id="rId1167" ref="O589"/>
    <hyperlink r:id="rId1168" ref="N590"/>
    <hyperlink r:id="rId1169" ref="O590"/>
    <hyperlink r:id="rId1170" ref="N591"/>
    <hyperlink r:id="rId1171" ref="O591"/>
    <hyperlink r:id="rId1172" ref="N592"/>
    <hyperlink r:id="rId1173" ref="O592"/>
    <hyperlink r:id="rId1174" ref="N593"/>
    <hyperlink r:id="rId1175" ref="O593"/>
    <hyperlink r:id="rId1176" ref="N594"/>
    <hyperlink r:id="rId1177" ref="O594"/>
    <hyperlink r:id="rId1178" ref="N595"/>
    <hyperlink r:id="rId1179" ref="O595"/>
    <hyperlink r:id="rId1180" ref="N596"/>
    <hyperlink r:id="rId1181" ref="O596"/>
    <hyperlink r:id="rId1182" ref="N597"/>
    <hyperlink r:id="rId1183" ref="O597"/>
    <hyperlink r:id="rId1184" ref="N598"/>
    <hyperlink r:id="rId1185" ref="O598"/>
    <hyperlink r:id="rId1186" ref="N599"/>
    <hyperlink r:id="rId1187" ref="O599"/>
    <hyperlink r:id="rId1188" ref="N600"/>
    <hyperlink r:id="rId1189" ref="O600"/>
    <hyperlink r:id="rId1190" ref="N601"/>
    <hyperlink r:id="rId1191" ref="O601"/>
    <hyperlink r:id="rId1192" ref="N602"/>
    <hyperlink r:id="rId1193" ref="O602"/>
    <hyperlink r:id="rId1194" ref="N603"/>
    <hyperlink r:id="rId1195" ref="O603"/>
    <hyperlink r:id="rId1196" ref="N604"/>
    <hyperlink r:id="rId1197" ref="O604"/>
    <hyperlink r:id="rId1198" ref="N605"/>
    <hyperlink r:id="rId1199" ref="O605"/>
    <hyperlink r:id="rId1200" ref="N606"/>
    <hyperlink r:id="rId1201" ref="O606"/>
    <hyperlink r:id="rId1202" ref="N607"/>
    <hyperlink r:id="rId1203" ref="O607"/>
    <hyperlink r:id="rId1204" ref="N608"/>
    <hyperlink r:id="rId1205" ref="O608"/>
    <hyperlink r:id="rId1206" ref="N609"/>
    <hyperlink r:id="rId1207" ref="O609"/>
    <hyperlink r:id="rId1208" ref="N610"/>
    <hyperlink r:id="rId1209" ref="O610"/>
    <hyperlink r:id="rId1210" ref="N611"/>
    <hyperlink r:id="rId1211" ref="O611"/>
    <hyperlink r:id="rId1212" ref="N612"/>
    <hyperlink r:id="rId1213" ref="O612"/>
    <hyperlink r:id="rId1214" ref="N613"/>
    <hyperlink r:id="rId1215" ref="O613"/>
    <hyperlink r:id="rId1216" ref="N614"/>
    <hyperlink r:id="rId1217" ref="O614"/>
    <hyperlink r:id="rId1218" ref="N615"/>
    <hyperlink r:id="rId1219" ref="O615"/>
    <hyperlink r:id="rId1220" ref="N616"/>
    <hyperlink r:id="rId1221" ref="O616"/>
    <hyperlink r:id="rId1222" ref="N617"/>
    <hyperlink r:id="rId1223" ref="O617"/>
    <hyperlink r:id="rId1224" ref="N618"/>
    <hyperlink r:id="rId1225" ref="O618"/>
    <hyperlink r:id="rId1226" ref="N619"/>
    <hyperlink r:id="rId1227" ref="O619"/>
    <hyperlink r:id="rId1228" ref="N620"/>
    <hyperlink r:id="rId1229" ref="O620"/>
    <hyperlink r:id="rId1230" ref="N621"/>
    <hyperlink r:id="rId1231" ref="O621"/>
    <hyperlink r:id="rId1232" ref="N622"/>
    <hyperlink r:id="rId1233" ref="N623"/>
    <hyperlink r:id="rId1234" ref="O623"/>
    <hyperlink r:id="rId1235" ref="N624"/>
    <hyperlink r:id="rId1236" ref="O624"/>
    <hyperlink r:id="rId1237" ref="N625"/>
    <hyperlink r:id="rId1238" ref="O625"/>
    <hyperlink r:id="rId1239" ref="N626"/>
    <hyperlink r:id="rId1240" ref="O626"/>
    <hyperlink r:id="rId1241" ref="N627"/>
    <hyperlink r:id="rId1242" ref="O627"/>
    <hyperlink r:id="rId1243" ref="N628"/>
    <hyperlink r:id="rId1244" ref="O628"/>
    <hyperlink r:id="rId1245" ref="N629"/>
    <hyperlink r:id="rId1246" ref="O629"/>
    <hyperlink r:id="rId1247" ref="N630"/>
    <hyperlink r:id="rId1248" ref="O630"/>
    <hyperlink r:id="rId1249" ref="N631"/>
    <hyperlink r:id="rId1250" ref="O631"/>
    <hyperlink r:id="rId1251" ref="N632"/>
    <hyperlink r:id="rId1252" ref="O632"/>
    <hyperlink r:id="rId1253" ref="N633"/>
    <hyperlink r:id="rId1254" ref="O633"/>
    <hyperlink r:id="rId1255" ref="N634"/>
    <hyperlink r:id="rId1256" ref="O634"/>
    <hyperlink r:id="rId1257" ref="N635"/>
    <hyperlink r:id="rId1258" ref="O635"/>
    <hyperlink r:id="rId1259" ref="N636"/>
    <hyperlink r:id="rId1260" ref="O636"/>
    <hyperlink r:id="rId1261" ref="N637"/>
    <hyperlink r:id="rId1262" ref="O637"/>
    <hyperlink r:id="rId1263" ref="N638"/>
    <hyperlink r:id="rId1264" ref="O638"/>
    <hyperlink r:id="rId1265" ref="N639"/>
    <hyperlink r:id="rId1266" ref="O639"/>
    <hyperlink r:id="rId1267" ref="N640"/>
    <hyperlink r:id="rId1268" ref="O640"/>
    <hyperlink r:id="rId1269" ref="N641"/>
    <hyperlink r:id="rId1270" ref="O641"/>
    <hyperlink r:id="rId1271" ref="N642"/>
    <hyperlink r:id="rId1272" ref="O642"/>
    <hyperlink r:id="rId1273" ref="N643"/>
    <hyperlink r:id="rId1274" ref="O643"/>
    <hyperlink r:id="rId1275" ref="N644"/>
    <hyperlink r:id="rId1276" ref="O644"/>
    <hyperlink r:id="rId1277" ref="N645"/>
    <hyperlink r:id="rId1278" ref="O645"/>
    <hyperlink r:id="rId1279" ref="N646"/>
    <hyperlink r:id="rId1280" ref="O646"/>
    <hyperlink r:id="rId1281" ref="N647"/>
    <hyperlink r:id="rId1282" ref="O647"/>
    <hyperlink r:id="rId1283" ref="N648"/>
    <hyperlink r:id="rId1284" ref="O648"/>
    <hyperlink r:id="rId1285" ref="N649"/>
    <hyperlink r:id="rId1286" ref="O649"/>
    <hyperlink r:id="rId1287" ref="N650"/>
    <hyperlink r:id="rId1288" ref="O650"/>
    <hyperlink r:id="rId1289" ref="N651"/>
    <hyperlink r:id="rId1290" ref="O651"/>
    <hyperlink r:id="rId1291" ref="N652"/>
    <hyperlink r:id="rId1292" ref="O652"/>
    <hyperlink r:id="rId1293" ref="N653"/>
    <hyperlink r:id="rId1294" ref="O653"/>
    <hyperlink r:id="rId1295" ref="N654"/>
    <hyperlink r:id="rId1296" ref="O654"/>
    <hyperlink r:id="rId1297" ref="N655"/>
    <hyperlink r:id="rId1298" ref="O655"/>
    <hyperlink r:id="rId1299" ref="N656"/>
    <hyperlink r:id="rId1300" ref="O656"/>
    <hyperlink r:id="rId1301" ref="N657"/>
    <hyperlink r:id="rId1302" ref="O657"/>
    <hyperlink r:id="rId1303" ref="N658"/>
    <hyperlink r:id="rId1304" ref="O658"/>
    <hyperlink r:id="rId1305" ref="N659"/>
    <hyperlink r:id="rId1306" ref="O659"/>
    <hyperlink r:id="rId1307" ref="N660"/>
    <hyperlink r:id="rId1308" ref="O660"/>
    <hyperlink r:id="rId1309" ref="N661"/>
    <hyperlink r:id="rId1310" ref="O661"/>
    <hyperlink r:id="rId1311" ref="N662"/>
    <hyperlink r:id="rId1312" ref="O662"/>
    <hyperlink r:id="rId1313" ref="N663"/>
    <hyperlink r:id="rId1314" ref="O663"/>
    <hyperlink r:id="rId1315" ref="N664"/>
    <hyperlink r:id="rId1316" ref="O664"/>
    <hyperlink r:id="rId1317" ref="N665"/>
    <hyperlink r:id="rId1318" ref="O665"/>
    <hyperlink r:id="rId1319" ref="N666"/>
    <hyperlink r:id="rId1320" ref="O666"/>
    <hyperlink r:id="rId1321" ref="N667"/>
    <hyperlink r:id="rId1322" ref="O667"/>
    <hyperlink r:id="rId1323" ref="N668"/>
    <hyperlink r:id="rId1324" ref="O668"/>
    <hyperlink r:id="rId1325" ref="N669"/>
    <hyperlink r:id="rId1326" ref="O669"/>
    <hyperlink r:id="rId1327" ref="N670"/>
    <hyperlink r:id="rId1328" ref="O670"/>
    <hyperlink r:id="rId1329" ref="N671"/>
    <hyperlink r:id="rId1330" ref="O671"/>
    <hyperlink r:id="rId1331" ref="N672"/>
    <hyperlink r:id="rId1332" ref="O672"/>
    <hyperlink r:id="rId1333" ref="N673"/>
    <hyperlink r:id="rId1334" ref="O673"/>
    <hyperlink r:id="rId1335" ref="N674"/>
    <hyperlink r:id="rId1336" ref="O674"/>
    <hyperlink r:id="rId1337" ref="N675"/>
    <hyperlink r:id="rId1338" ref="O675"/>
    <hyperlink r:id="rId1339" ref="N676"/>
    <hyperlink r:id="rId1340" ref="O676"/>
    <hyperlink r:id="rId1341" ref="N677"/>
    <hyperlink r:id="rId1342" ref="O677"/>
    <hyperlink r:id="rId1343" ref="N678"/>
    <hyperlink r:id="rId1344" ref="O678"/>
    <hyperlink r:id="rId1345" ref="N679"/>
    <hyperlink r:id="rId1346" ref="O679"/>
    <hyperlink r:id="rId1347" ref="N680"/>
    <hyperlink r:id="rId1348" ref="O680"/>
    <hyperlink r:id="rId1349" ref="N681"/>
    <hyperlink r:id="rId1350" ref="O681"/>
    <hyperlink r:id="rId1351" ref="N682"/>
    <hyperlink r:id="rId1352" ref="O682"/>
    <hyperlink r:id="rId1353" ref="N683"/>
    <hyperlink r:id="rId1354" ref="O683"/>
    <hyperlink r:id="rId1355" ref="N684"/>
    <hyperlink r:id="rId1356" ref="O684"/>
    <hyperlink r:id="rId1357" ref="N685"/>
    <hyperlink r:id="rId1358" ref="O685"/>
    <hyperlink r:id="rId1359" ref="N686"/>
    <hyperlink r:id="rId1360" ref="O686"/>
    <hyperlink r:id="rId1361" ref="N687"/>
    <hyperlink r:id="rId1362" ref="O687"/>
    <hyperlink r:id="rId1363" ref="N688"/>
    <hyperlink r:id="rId1364" ref="O688"/>
    <hyperlink r:id="rId1365" ref="N689"/>
    <hyperlink r:id="rId1366" ref="O689"/>
    <hyperlink r:id="rId1367" ref="N690"/>
    <hyperlink r:id="rId1368" ref="O690"/>
    <hyperlink r:id="rId1369" ref="N691"/>
    <hyperlink r:id="rId1370" ref="O691"/>
    <hyperlink r:id="rId1371" ref="N692"/>
    <hyperlink r:id="rId1372" ref="O692"/>
    <hyperlink r:id="rId1373" ref="N693"/>
    <hyperlink r:id="rId1374" ref="O693"/>
    <hyperlink r:id="rId1375" ref="N694"/>
    <hyperlink r:id="rId1376" ref="O694"/>
    <hyperlink r:id="rId1377" ref="N695"/>
    <hyperlink r:id="rId1378" ref="O695"/>
    <hyperlink r:id="rId1379" ref="N696"/>
    <hyperlink r:id="rId1380" ref="O696"/>
    <hyperlink r:id="rId1381" ref="N697"/>
    <hyperlink r:id="rId1382" ref="O697"/>
    <hyperlink r:id="rId1383" ref="N698"/>
    <hyperlink r:id="rId1384" ref="O698"/>
    <hyperlink r:id="rId1385" ref="N699"/>
    <hyperlink r:id="rId1386" ref="O699"/>
    <hyperlink r:id="rId1387" ref="N700"/>
    <hyperlink r:id="rId1388" ref="O700"/>
    <hyperlink r:id="rId1389" ref="N701"/>
    <hyperlink r:id="rId1390" ref="O701"/>
    <hyperlink r:id="rId1391" ref="N702"/>
    <hyperlink r:id="rId1392" ref="O702"/>
    <hyperlink r:id="rId1393" ref="N703"/>
    <hyperlink r:id="rId1394" ref="O703"/>
    <hyperlink r:id="rId1395" ref="N704"/>
    <hyperlink r:id="rId1396" ref="O704"/>
    <hyperlink r:id="rId1397" ref="N705"/>
    <hyperlink r:id="rId1398" ref="O705"/>
    <hyperlink r:id="rId1399" ref="N706"/>
    <hyperlink r:id="rId1400" ref="O706"/>
    <hyperlink r:id="rId1401" ref="N707"/>
    <hyperlink r:id="rId1402" ref="O707"/>
    <hyperlink r:id="rId1403" ref="N708"/>
    <hyperlink r:id="rId1404" ref="O708"/>
    <hyperlink r:id="rId1405" ref="N709"/>
    <hyperlink r:id="rId1406" ref="O709"/>
    <hyperlink r:id="rId1407" ref="N710"/>
    <hyperlink r:id="rId1408" ref="O710"/>
    <hyperlink r:id="rId1409" ref="N711"/>
    <hyperlink r:id="rId1410" ref="O711"/>
    <hyperlink r:id="rId1411" ref="N712"/>
    <hyperlink r:id="rId1412" ref="O712"/>
    <hyperlink r:id="rId1413" ref="N713"/>
    <hyperlink r:id="rId1414" ref="O713"/>
    <hyperlink r:id="rId1415" ref="N714"/>
    <hyperlink r:id="rId1416" ref="O714"/>
    <hyperlink r:id="rId1417" ref="N715"/>
    <hyperlink r:id="rId1418" ref="O715"/>
    <hyperlink r:id="rId1419" ref="N716"/>
    <hyperlink r:id="rId1420" ref="O716"/>
    <hyperlink r:id="rId1421" ref="N717"/>
    <hyperlink r:id="rId1422" ref="O717"/>
    <hyperlink r:id="rId1423" ref="N718"/>
    <hyperlink r:id="rId1424" ref="O718"/>
    <hyperlink r:id="rId1425" ref="N719"/>
    <hyperlink r:id="rId1426" ref="O719"/>
    <hyperlink r:id="rId1427" ref="N720"/>
    <hyperlink r:id="rId1428" ref="O720"/>
    <hyperlink r:id="rId1429" ref="N721"/>
    <hyperlink r:id="rId1430" ref="O721"/>
    <hyperlink r:id="rId1431" ref="N722"/>
    <hyperlink r:id="rId1432" ref="O722"/>
    <hyperlink r:id="rId1433" ref="N723"/>
    <hyperlink r:id="rId1434" ref="O723"/>
    <hyperlink r:id="rId1435" ref="N724"/>
    <hyperlink r:id="rId1436" ref="O724"/>
    <hyperlink r:id="rId1437" ref="N725"/>
    <hyperlink r:id="rId1438" ref="O725"/>
    <hyperlink r:id="rId1439" ref="N726"/>
    <hyperlink r:id="rId1440" ref="O726"/>
    <hyperlink r:id="rId1441" ref="N727"/>
    <hyperlink r:id="rId1442" ref="O727"/>
    <hyperlink r:id="rId1443" ref="N728"/>
    <hyperlink r:id="rId1444" ref="O728"/>
    <hyperlink r:id="rId1445" ref="N729"/>
    <hyperlink r:id="rId1446" ref="O729"/>
    <hyperlink r:id="rId1447" ref="N730"/>
    <hyperlink r:id="rId1448" ref="O730"/>
    <hyperlink r:id="rId1449" ref="N731"/>
    <hyperlink r:id="rId1450" ref="O731"/>
    <hyperlink r:id="rId1451" ref="N732"/>
    <hyperlink r:id="rId1452" ref="O732"/>
    <hyperlink r:id="rId1453" ref="N733"/>
    <hyperlink r:id="rId1454" ref="O733"/>
    <hyperlink r:id="rId1455" ref="N734"/>
    <hyperlink r:id="rId1456" ref="O734"/>
    <hyperlink r:id="rId1457" ref="N735"/>
    <hyperlink r:id="rId1458" ref="O735"/>
    <hyperlink r:id="rId1459" ref="N736"/>
    <hyperlink r:id="rId1460" ref="O736"/>
    <hyperlink r:id="rId1461" ref="N737"/>
    <hyperlink r:id="rId1462" ref="O737"/>
    <hyperlink r:id="rId1463" ref="N738"/>
    <hyperlink r:id="rId1464" ref="O738"/>
    <hyperlink r:id="rId1465" ref="N739"/>
    <hyperlink r:id="rId1466" ref="O739"/>
    <hyperlink r:id="rId1467" ref="N740"/>
    <hyperlink r:id="rId1468" ref="O740"/>
    <hyperlink r:id="rId1469" ref="N741"/>
    <hyperlink r:id="rId1470" ref="O741"/>
    <hyperlink r:id="rId1471" ref="N742"/>
    <hyperlink r:id="rId1472" ref="O742"/>
    <hyperlink r:id="rId1473" ref="N743"/>
    <hyperlink r:id="rId1474" ref="O743"/>
    <hyperlink r:id="rId1475" ref="N744"/>
    <hyperlink r:id="rId1476" ref="O744"/>
    <hyperlink r:id="rId1477" ref="N745"/>
    <hyperlink r:id="rId1478" ref="O745"/>
    <hyperlink r:id="rId1479" ref="N746"/>
    <hyperlink r:id="rId1480" ref="O746"/>
    <hyperlink r:id="rId1481" ref="N747"/>
    <hyperlink r:id="rId1482" ref="O747"/>
    <hyperlink r:id="rId1483" ref="N748"/>
    <hyperlink r:id="rId1484" ref="O748"/>
    <hyperlink r:id="rId1485" ref="N749"/>
    <hyperlink r:id="rId1486" ref="O749"/>
    <hyperlink r:id="rId1487" ref="N750"/>
    <hyperlink r:id="rId1488" ref="O750"/>
    <hyperlink r:id="rId1489" ref="N751"/>
    <hyperlink r:id="rId1490" ref="O751"/>
    <hyperlink r:id="rId1491" ref="N752"/>
    <hyperlink r:id="rId1492" ref="O752"/>
    <hyperlink r:id="rId1493" ref="N753"/>
    <hyperlink r:id="rId1494" ref="O753"/>
    <hyperlink r:id="rId1495" ref="N754"/>
    <hyperlink r:id="rId1496" ref="O754"/>
    <hyperlink r:id="rId1497" ref="N755"/>
    <hyperlink r:id="rId1498" ref="O755"/>
    <hyperlink r:id="rId1499" ref="N756"/>
    <hyperlink r:id="rId1500" ref="O756"/>
    <hyperlink r:id="rId1501" ref="N757"/>
    <hyperlink r:id="rId1502" ref="O757"/>
    <hyperlink r:id="rId1503" ref="N758"/>
    <hyperlink r:id="rId1504" ref="O758"/>
    <hyperlink r:id="rId1505" ref="N759"/>
    <hyperlink r:id="rId1506" ref="O759"/>
    <hyperlink r:id="rId1507" ref="N760"/>
    <hyperlink r:id="rId1508" ref="O760"/>
    <hyperlink r:id="rId1509" ref="N761"/>
    <hyperlink r:id="rId1510" ref="O761"/>
    <hyperlink r:id="rId1511" ref="N762"/>
    <hyperlink r:id="rId1512" ref="O762"/>
    <hyperlink r:id="rId1513" ref="N763"/>
    <hyperlink r:id="rId1514" ref="O763"/>
    <hyperlink r:id="rId1515" ref="N764"/>
    <hyperlink r:id="rId1516" ref="O764"/>
    <hyperlink r:id="rId1517" ref="N765"/>
    <hyperlink r:id="rId1518" ref="O765"/>
    <hyperlink r:id="rId1519" ref="N766"/>
    <hyperlink r:id="rId1520" ref="O766"/>
    <hyperlink r:id="rId1521" ref="N767"/>
    <hyperlink r:id="rId1522" ref="O767"/>
    <hyperlink r:id="rId1523" ref="N768"/>
    <hyperlink r:id="rId1524" ref="O768"/>
    <hyperlink r:id="rId1525" ref="N769"/>
    <hyperlink r:id="rId1526" ref="O769"/>
    <hyperlink r:id="rId1527" ref="N770"/>
    <hyperlink r:id="rId1528" ref="O770"/>
    <hyperlink r:id="rId1529" ref="N771"/>
    <hyperlink r:id="rId1530" ref="O771"/>
    <hyperlink r:id="rId1531" ref="N772"/>
    <hyperlink r:id="rId1532" ref="O772"/>
    <hyperlink r:id="rId1533" ref="N773"/>
    <hyperlink r:id="rId1534" ref="O773"/>
    <hyperlink r:id="rId1535" ref="N774"/>
    <hyperlink r:id="rId1536" ref="O774"/>
    <hyperlink r:id="rId1537" ref="N775"/>
    <hyperlink r:id="rId1538" ref="O775"/>
    <hyperlink r:id="rId1539" ref="N776"/>
    <hyperlink r:id="rId1540" ref="O776"/>
    <hyperlink r:id="rId1541" ref="N777"/>
    <hyperlink r:id="rId1542" ref="O777"/>
    <hyperlink r:id="rId1543" ref="N778"/>
    <hyperlink r:id="rId1544" ref="O778"/>
    <hyperlink r:id="rId1545" ref="N779"/>
    <hyperlink r:id="rId1546" ref="O779"/>
    <hyperlink r:id="rId1547" ref="N780"/>
    <hyperlink r:id="rId1548" ref="O780"/>
    <hyperlink r:id="rId1549" ref="N781"/>
    <hyperlink r:id="rId1550" ref="O781"/>
    <hyperlink r:id="rId1551" ref="N782"/>
    <hyperlink r:id="rId1552" ref="O782"/>
    <hyperlink r:id="rId1553" ref="N783"/>
    <hyperlink r:id="rId1554" ref="O783"/>
    <hyperlink r:id="rId1555" ref="N784"/>
    <hyperlink r:id="rId1556" ref="O784"/>
    <hyperlink r:id="rId1557" ref="N785"/>
    <hyperlink r:id="rId1558" ref="O785"/>
    <hyperlink r:id="rId1559" ref="N786"/>
    <hyperlink r:id="rId1560" ref="O786"/>
    <hyperlink r:id="rId1561" ref="N787"/>
    <hyperlink r:id="rId1562" ref="O787"/>
    <hyperlink r:id="rId1563" ref="N788"/>
    <hyperlink r:id="rId1564" ref="O788"/>
    <hyperlink r:id="rId1565" ref="N789"/>
    <hyperlink r:id="rId1566" ref="O789"/>
    <hyperlink r:id="rId1567" ref="N790"/>
    <hyperlink r:id="rId1568" ref="O790"/>
    <hyperlink r:id="rId1569" ref="N791"/>
    <hyperlink r:id="rId1570" ref="O791"/>
    <hyperlink r:id="rId1571" ref="N792"/>
    <hyperlink r:id="rId1572" ref="O792"/>
    <hyperlink r:id="rId1573" ref="N793"/>
    <hyperlink r:id="rId1574" ref="O793"/>
    <hyperlink r:id="rId1575" ref="N794"/>
    <hyperlink r:id="rId1576" ref="O794"/>
    <hyperlink r:id="rId1577" ref="N795"/>
    <hyperlink r:id="rId1578" ref="O795"/>
    <hyperlink r:id="rId1579" ref="N796"/>
    <hyperlink r:id="rId1580" ref="O796"/>
    <hyperlink r:id="rId1581" ref="N797"/>
    <hyperlink r:id="rId1582" ref="O797"/>
    <hyperlink r:id="rId1583" ref="N798"/>
    <hyperlink r:id="rId1584" ref="O798"/>
    <hyperlink r:id="rId1585" ref="N799"/>
    <hyperlink r:id="rId1586" ref="O799"/>
    <hyperlink r:id="rId1587" ref="N800"/>
    <hyperlink r:id="rId1588" ref="O800"/>
    <hyperlink r:id="rId1589" ref="N801"/>
    <hyperlink r:id="rId1590" ref="O801"/>
    <hyperlink r:id="rId1591" ref="N802"/>
    <hyperlink r:id="rId1592" ref="O802"/>
    <hyperlink r:id="rId1593" ref="N803"/>
    <hyperlink r:id="rId1594" ref="O803"/>
    <hyperlink r:id="rId1595" ref="N804"/>
    <hyperlink r:id="rId1596" ref="O804"/>
    <hyperlink r:id="rId1597" ref="N805"/>
    <hyperlink r:id="rId1598" ref="O805"/>
    <hyperlink r:id="rId1599" ref="N806"/>
    <hyperlink r:id="rId1600" ref="O806"/>
    <hyperlink r:id="rId1601" ref="N807"/>
    <hyperlink r:id="rId1602" ref="O807"/>
    <hyperlink r:id="rId1603" ref="N808"/>
    <hyperlink r:id="rId1604" ref="O808"/>
    <hyperlink r:id="rId1605" ref="N809"/>
    <hyperlink r:id="rId1606" ref="O809"/>
    <hyperlink r:id="rId1607" ref="N810"/>
    <hyperlink r:id="rId1608" ref="O810"/>
    <hyperlink r:id="rId1609" ref="N811"/>
    <hyperlink r:id="rId1610" ref="O811"/>
    <hyperlink r:id="rId1611" ref="N812"/>
    <hyperlink r:id="rId1612" ref="O812"/>
    <hyperlink r:id="rId1613" ref="N813"/>
    <hyperlink r:id="rId1614" ref="O813"/>
    <hyperlink r:id="rId1615" ref="N814"/>
    <hyperlink r:id="rId1616" ref="O814"/>
    <hyperlink r:id="rId1617" ref="N815"/>
    <hyperlink r:id="rId1618" ref="O815"/>
    <hyperlink r:id="rId1619" ref="N816"/>
    <hyperlink r:id="rId1620" ref="O816"/>
    <hyperlink r:id="rId1621" ref="N817"/>
    <hyperlink r:id="rId1622" ref="O817"/>
    <hyperlink r:id="rId1623" ref="N818"/>
    <hyperlink r:id="rId1624" ref="O818"/>
    <hyperlink r:id="rId1625" ref="N819"/>
    <hyperlink r:id="rId1626" ref="O819"/>
    <hyperlink r:id="rId1627" ref="N820"/>
    <hyperlink r:id="rId1628" ref="O820"/>
    <hyperlink r:id="rId1629" ref="N821"/>
    <hyperlink r:id="rId1630" ref="O821"/>
    <hyperlink r:id="rId1631" ref="N822"/>
    <hyperlink r:id="rId1632" ref="O822"/>
    <hyperlink r:id="rId1633" ref="N823"/>
    <hyperlink r:id="rId1634" ref="O823"/>
    <hyperlink r:id="rId1635" ref="N824"/>
    <hyperlink r:id="rId1636" ref="O824"/>
    <hyperlink r:id="rId1637" ref="N825"/>
    <hyperlink r:id="rId1638" ref="O825"/>
    <hyperlink r:id="rId1639" ref="N826"/>
    <hyperlink r:id="rId1640" ref="O826"/>
    <hyperlink r:id="rId1641" ref="N827"/>
    <hyperlink r:id="rId1642" ref="O827"/>
    <hyperlink r:id="rId1643" ref="N828"/>
    <hyperlink r:id="rId1644" ref="O828"/>
    <hyperlink r:id="rId1645" ref="N829"/>
    <hyperlink r:id="rId1646" ref="O829"/>
    <hyperlink r:id="rId1647" ref="N830"/>
    <hyperlink r:id="rId1648" ref="O830"/>
    <hyperlink r:id="rId1649" ref="N831"/>
    <hyperlink r:id="rId1650" ref="O831"/>
    <hyperlink r:id="rId1651" ref="N832"/>
    <hyperlink r:id="rId1652" ref="O832"/>
    <hyperlink r:id="rId1653" ref="N833"/>
    <hyperlink r:id="rId1654" ref="O833"/>
    <hyperlink r:id="rId1655" ref="N834"/>
    <hyperlink r:id="rId1656" ref="O834"/>
    <hyperlink r:id="rId1657" ref="N835"/>
    <hyperlink r:id="rId1658" ref="O835"/>
    <hyperlink r:id="rId1659" ref="N836"/>
    <hyperlink r:id="rId1660" ref="O836"/>
    <hyperlink r:id="rId1661" ref="N837"/>
    <hyperlink r:id="rId1662" ref="O837"/>
    <hyperlink r:id="rId1663" ref="N838"/>
    <hyperlink r:id="rId1664" ref="O838"/>
    <hyperlink r:id="rId1665" ref="N839"/>
    <hyperlink r:id="rId1666" ref="O839"/>
    <hyperlink r:id="rId1667" ref="N840"/>
    <hyperlink r:id="rId1668" ref="O840"/>
    <hyperlink r:id="rId1669" ref="N841"/>
    <hyperlink r:id="rId1670" ref="O841"/>
    <hyperlink r:id="rId1671" ref="N842"/>
    <hyperlink r:id="rId1672" ref="O842"/>
    <hyperlink r:id="rId1673" ref="N843"/>
    <hyperlink r:id="rId1674" ref="O843"/>
    <hyperlink r:id="rId1675" ref="N844"/>
    <hyperlink r:id="rId1676" ref="O844"/>
    <hyperlink r:id="rId1677" ref="N845"/>
    <hyperlink r:id="rId1678" ref="O845"/>
    <hyperlink r:id="rId1679" ref="N846"/>
    <hyperlink r:id="rId1680" ref="O846"/>
    <hyperlink r:id="rId1681" ref="N847"/>
    <hyperlink r:id="rId1682" ref="O847"/>
    <hyperlink r:id="rId1683" ref="N848"/>
    <hyperlink r:id="rId1684" ref="O848"/>
    <hyperlink r:id="rId1685" ref="N849"/>
    <hyperlink r:id="rId1686" ref="O849"/>
    <hyperlink r:id="rId1687" ref="N850"/>
    <hyperlink r:id="rId1688" ref="O850"/>
    <hyperlink r:id="rId1689" ref="N851"/>
    <hyperlink r:id="rId1690" ref="O851"/>
    <hyperlink r:id="rId1691" ref="N852"/>
    <hyperlink r:id="rId1692" ref="O852"/>
    <hyperlink r:id="rId1693" ref="N853"/>
    <hyperlink r:id="rId1694" ref="O853"/>
    <hyperlink r:id="rId1695" ref="N854"/>
    <hyperlink r:id="rId1696" ref="O854"/>
    <hyperlink r:id="rId1697" ref="N855"/>
    <hyperlink r:id="rId1698" ref="O855"/>
    <hyperlink r:id="rId1699" ref="O856"/>
    <hyperlink r:id="rId1700" ref="N857"/>
    <hyperlink r:id="rId1701" ref="O857"/>
  </hyperlinks>
  <drawing r:id="rId170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IFERROR(__xludf.DUMMYFUNCTION("QUERY(Data!A:O,""select A,B,C,D,E,F,G,H,I,J,K,L,M,N,O where C contains'ชั้นปีที่ 1'"")"),"ไอดี")</f>
        <v>ไอดี</v>
      </c>
      <c r="B1" s="3" t="str">
        <f>IFERROR(__xludf.DUMMYFUNCTION("""COMPUTED_VALUE"""),"ประทับเวลา")</f>
        <v>ประทับเวลา</v>
      </c>
      <c r="C1" s="3" t="str">
        <f>IFERROR(__xludf.DUMMYFUNCTION("""COMPUTED_VALUE"""),"ชั้นปีการศึกษา")</f>
        <v>ชั้นปีการศึกษา</v>
      </c>
      <c r="D1" s="3" t="str">
        <f>IFERROR(__xludf.DUMMYFUNCTION("""COMPUTED_VALUE"""),"รหัส นพอ.")</f>
        <v>รหัส นพอ.</v>
      </c>
      <c r="E1" s="3" t="str">
        <f>IFERROR(__xludf.DUMMYFUNCTION("""COMPUTED_VALUE"""),"เลขที่")</f>
        <v>เลขที่</v>
      </c>
      <c r="F1" s="3" t="str">
        <f>IFERROR(__xludf.DUMMYFUNCTION("""COMPUTED_VALUE"""),"ชื่อ-สกุล")</f>
        <v>ชื่อ-สกุล</v>
      </c>
      <c r="G1" s="3" t="str">
        <f>IFERROR(__xludf.DUMMYFUNCTION("""COMPUTED_VALUE"""),"ประเภทความดี")</f>
        <v>ประเภทความดี</v>
      </c>
      <c r="H1" s="3" t="str">
        <f>IFERROR(__xludf.DUMMYFUNCTION("""COMPUTED_VALUE"""),"ชื่อกิจกรรม")</f>
        <v>ชื่อกิจกรรม</v>
      </c>
      <c r="I1" s="3" t="str">
        <f>IFERROR(__xludf.DUMMYFUNCTION("""COMPUTED_VALUE"""),"สถานที่")</f>
        <v>สถานที่</v>
      </c>
      <c r="J1" s="3" t="str">
        <f>IFERROR(__xludf.DUMMYFUNCTION("""COMPUTED_VALUE"""),"วันทีทำกิจกรรม")</f>
        <v>วันทีทำกิจกรรม</v>
      </c>
      <c r="K1" s="3" t="str">
        <f>IFERROR(__xludf.DUMMYFUNCTION("""COMPUTED_VALUE"""),"ช่วงเวลาที่ทำ")</f>
        <v>ช่วงเวลาที่ทำ</v>
      </c>
      <c r="L1" s="3" t="str">
        <f>IFERROR(__xludf.DUMMYFUNCTION("""COMPUTED_VALUE"""),"จำนวนชั่วโมงที่ได้")</f>
        <v>จำนวนชั่วโมงที่ได้</v>
      </c>
      <c r="M1" s="3" t="str">
        <f>IFERROR(__xludf.DUMMYFUNCTION("""COMPUTED_VALUE"""),"ผู้ลงชื่อรับทราบ")</f>
        <v>ผู้ลงชื่อรับทราบ</v>
      </c>
      <c r="N1" s="3" t="str">
        <f>IFERROR(__xludf.DUMMYFUNCTION("""COMPUTED_VALUE"""),"รูปภาพ")</f>
        <v>รูปภาพ</v>
      </c>
      <c r="O1" s="3" t="str">
        <f>IFERROR(__xludf.DUMMYFUNCTION("""COMPUTED_VALUE"""),"PDF")</f>
        <v>PDF</v>
      </c>
    </row>
    <row r="2">
      <c r="A2" s="3">
        <f>IFERROR(__xludf.DUMMYFUNCTION("""COMPUTED_VALUE"""),213.0)</f>
        <v>213</v>
      </c>
      <c r="B2" s="11">
        <f>IFERROR(__xludf.DUMMYFUNCTION("""COMPUTED_VALUE"""),45984.859976342595)</f>
        <v>45984.85998</v>
      </c>
      <c r="C2" s="3" t="str">
        <f>IFERROR(__xludf.DUMMYFUNCTION("""COMPUTED_VALUE"""),"ชั้นปีที่ 1")</f>
        <v>ชั้นปีที่ 1</v>
      </c>
      <c r="D2" s="3" t="str">
        <f>IFERROR(__xludf.DUMMYFUNCTION("""COMPUTED_VALUE"""),"6803933")</f>
        <v>6803933</v>
      </c>
      <c r="E2" s="3" t="str">
        <f>IFERROR(__xludf.DUMMYFUNCTION("""COMPUTED_VALUE"""),"52")</f>
        <v>52</v>
      </c>
      <c r="F2" s="3" t="str">
        <f>IFERROR(__xludf.DUMMYFUNCTION("""COMPUTED_VALUE"""),"นพอ.รศิตา ปลื้มจิตร์")</f>
        <v>นพอ.รศิตา ปลื้มจิตร์</v>
      </c>
      <c r="G2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" s="3" t="str">
        <f>IFERROR(__xludf.DUMMYFUNCTION("""COMPUTED_VALUE"""),"พยาบาลไทยบริจาคโลหิต ช่วยชีวิตเพื่อนมนุษย์ ปี 4")</f>
        <v>พยาบาลไทยบริจาคโลหิต ช่วยชีวิตเพื่อนมนุษย์ ปี 4</v>
      </c>
      <c r="I2" s="3" t="str">
        <f>IFERROR(__xludf.DUMMYFUNCTION("""COMPUTED_VALUE"""),"สภากาชาด")</f>
        <v>สภากาชาด</v>
      </c>
      <c r="J2" s="12">
        <f>IFERROR(__xludf.DUMMYFUNCTION("""COMPUTED_VALUE"""),45916.0)</f>
        <v>45916</v>
      </c>
      <c r="K2" s="3" t="str">
        <f>IFERROR(__xludf.DUMMYFUNCTION("""COMPUTED_VALUE"""),"0800")</f>
        <v>0800</v>
      </c>
      <c r="L2" s="3">
        <f>IFERROR(__xludf.DUMMYFUNCTION("""COMPUTED_VALUE"""),8.0)</f>
        <v>8</v>
      </c>
      <c r="M2" s="3" t="str">
        <f>IFERROR(__xludf.DUMMYFUNCTION("""COMPUTED_VALUE"""),"น.ท.หญิง อนุกูล")</f>
        <v>น.ท.หญิง อนุกูล</v>
      </c>
      <c r="N2" s="14" t="str">
        <f>IFERROR(__xludf.DUMMYFUNCTION("""COMPUTED_VALUE"""),"https://lh5.googleusercontent.com/d/1s5WxtqPQg-n0PN25slNUjo4mKha3_1N-")</f>
        <v>https://lh5.googleusercontent.com/d/1s5WxtqPQg-n0PN25slNUjo4mKha3_1N-</v>
      </c>
      <c r="O2" s="14" t="str">
        <f>IFERROR(__xludf.DUMMYFUNCTION("""COMPUTED_VALUE"""),"https://drive.google.com/file/d/1114MCL4Ukk6P7wQUm-AmaMlPqlMkOPdU/view?usp=drivesdk")</f>
        <v>https://drive.google.com/file/d/1114MCL4Ukk6P7wQUm-AmaMlPqlMkOPdU/view?usp=drivesdk</v>
      </c>
    </row>
    <row r="3">
      <c r="A3" s="3">
        <f>IFERROR(__xludf.DUMMYFUNCTION("""COMPUTED_VALUE"""),214.0)</f>
        <v>214</v>
      </c>
      <c r="B3" s="11">
        <f>IFERROR(__xludf.DUMMYFUNCTION("""COMPUTED_VALUE"""),45984.87038468751)</f>
        <v>45984.87038</v>
      </c>
      <c r="C3" s="3" t="str">
        <f>IFERROR(__xludf.DUMMYFUNCTION("""COMPUTED_VALUE"""),"ชั้นปีที่ 1")</f>
        <v>ชั้นปีที่ 1</v>
      </c>
      <c r="D3" s="3" t="str">
        <f>IFERROR(__xludf.DUMMYFUNCTION("""COMPUTED_VALUE"""),"6803937")</f>
        <v>6803937</v>
      </c>
      <c r="E3" s="3" t="str">
        <f>IFERROR(__xludf.DUMMYFUNCTION("""COMPUTED_VALUE"""),"56")</f>
        <v>56</v>
      </c>
      <c r="F3" s="3" t="str">
        <f>IFERROR(__xludf.DUMMYFUNCTION("""COMPUTED_VALUE"""),"นพอ.ศิริกานดา  แหลมไธสง")</f>
        <v>นพอ.ศิริกานดา  แหลมไธสง</v>
      </c>
      <c r="G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" s="3" t="str">
        <f>IFERROR(__xludf.DUMMYFUNCTION("""COMPUTED_VALUE"""),"""พยาบาลไทยบริจาคโลหิต ช่วยชิวิตเพื่อนมนุษย์ ปี4""")</f>
        <v>"พยาบาลไทยบริจาคโลหิต ช่วยชิวิตเพื่อนมนุษย์ ปี4"</v>
      </c>
      <c r="I3" s="3" t="str">
        <f>IFERROR(__xludf.DUMMYFUNCTION("""COMPUTED_VALUE"""),"ศูนย์บริจาคโลหิตสภากาชาดไทย")</f>
        <v>ศูนย์บริจาคโลหิตสภากาชาดไทย</v>
      </c>
      <c r="J3" s="12">
        <f>IFERROR(__xludf.DUMMYFUNCTION("""COMPUTED_VALUE"""),45916.0)</f>
        <v>45916</v>
      </c>
      <c r="K3" s="3" t="str">
        <f>IFERROR(__xludf.DUMMYFUNCTION("""COMPUTED_VALUE"""),"0900")</f>
        <v>0900</v>
      </c>
      <c r="L3" s="3">
        <f>IFERROR(__xludf.DUMMYFUNCTION("""COMPUTED_VALUE"""),8.0)</f>
        <v>8</v>
      </c>
      <c r="M3" s="3" t="str">
        <f>IFERROR(__xludf.DUMMYFUNCTION("""COMPUTED_VALUE"""),"น.ท.หญิง อนุกูล บำรุงวงค์")</f>
        <v>น.ท.หญิง อนุกูล บำรุงวงค์</v>
      </c>
      <c r="N3" s="14" t="str">
        <f>IFERROR(__xludf.DUMMYFUNCTION("""COMPUTED_VALUE"""),"https://lh5.googleusercontent.com/d/1wCujP2swHeSvMsDi7LtsLfDVax24DOK5")</f>
        <v>https://lh5.googleusercontent.com/d/1wCujP2swHeSvMsDi7LtsLfDVax24DOK5</v>
      </c>
      <c r="O3" s="14" t="str">
        <f>IFERROR(__xludf.DUMMYFUNCTION("""COMPUTED_VALUE"""),"https://drive.google.com/file/d/1SQ-NNmBq0-Sl8kKXyUX0HtTA3d5JIJmR/view?usp=drivesdk")</f>
        <v>https://drive.google.com/file/d/1SQ-NNmBq0-Sl8kKXyUX0HtTA3d5JIJmR/view?usp=drivesdk</v>
      </c>
    </row>
    <row r="4">
      <c r="A4" s="3">
        <f>IFERROR(__xludf.DUMMYFUNCTION("""COMPUTED_VALUE"""),217.0)</f>
        <v>217</v>
      </c>
      <c r="B4" s="11">
        <f>IFERROR(__xludf.DUMMYFUNCTION("""COMPUTED_VALUE"""),45984.884768298616)</f>
        <v>45984.88477</v>
      </c>
      <c r="C4" s="3" t="str">
        <f>IFERROR(__xludf.DUMMYFUNCTION("""COMPUTED_VALUE"""),"ชั้นปีที่ 1")</f>
        <v>ชั้นปีที่ 1</v>
      </c>
      <c r="D4" s="3" t="str">
        <f>IFERROR(__xludf.DUMMYFUNCTION("""COMPUTED_VALUE"""),"6803927")</f>
        <v>6803927</v>
      </c>
      <c r="E4" s="3" t="str">
        <f>IFERROR(__xludf.DUMMYFUNCTION("""COMPUTED_VALUE"""),"46")</f>
        <v>46</v>
      </c>
      <c r="F4" s="3" t="str">
        <f>IFERROR(__xludf.DUMMYFUNCTION("""COMPUTED_VALUE"""),"นพอ.มณฑกาญจน์ กองจะริตร์")</f>
        <v>นพอ.มณฑกาญจน์ กองจะริตร์</v>
      </c>
      <c r="G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" s="3" t="str">
        <f>IFERROR(__xludf.DUMMYFUNCTION("""COMPUTED_VALUE"""),"พยาบาลไทยบริจาคโลหิต ช่วยชีวิตเพื่อนมนุษย์ ปี 4")</f>
        <v>พยาบาลไทยบริจาคโลหิต ช่วยชีวิตเพื่อนมนุษย์ ปี 4</v>
      </c>
      <c r="I4" s="3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4" s="12">
        <f>IFERROR(__xludf.DUMMYFUNCTION("""COMPUTED_VALUE"""),45916.0)</f>
        <v>45916</v>
      </c>
      <c r="K4" s="3" t="str">
        <f>IFERROR(__xludf.DUMMYFUNCTION("""COMPUTED_VALUE"""),"0800-1200")</f>
        <v>0800-1200</v>
      </c>
      <c r="L4" s="3">
        <f>IFERROR(__xludf.DUMMYFUNCTION("""COMPUTED_VALUE"""),8.0)</f>
        <v>8</v>
      </c>
      <c r="M4" s="3" t="str">
        <f>IFERROR(__xludf.DUMMYFUNCTION("""COMPUTED_VALUE"""),"น.ท.หญิง อนุกูล บำรุงวงค์")</f>
        <v>น.ท.หญิง อนุกูล บำรุงวงค์</v>
      </c>
      <c r="N4" s="14" t="str">
        <f>IFERROR(__xludf.DUMMYFUNCTION("""COMPUTED_VALUE"""),"https://lh5.googleusercontent.com/d/1ghxn_dY5GWvTQbtMwEV_NK9K2aVe1m1W")</f>
        <v>https://lh5.googleusercontent.com/d/1ghxn_dY5GWvTQbtMwEV_NK9K2aVe1m1W</v>
      </c>
      <c r="O4" s="14" t="str">
        <f>IFERROR(__xludf.DUMMYFUNCTION("""COMPUTED_VALUE"""),"https://drive.google.com/file/d/1uoHQRJnz2_WsMX8vF3R2MpsuKRfX3Pzt/view?usp=drivesdk")</f>
        <v>https://drive.google.com/file/d/1uoHQRJnz2_WsMX8vF3R2MpsuKRfX3Pzt/view?usp=drivesdk</v>
      </c>
    </row>
    <row r="5">
      <c r="A5" s="3">
        <f>IFERROR(__xludf.DUMMYFUNCTION("""COMPUTED_VALUE"""),223.0)</f>
        <v>223</v>
      </c>
      <c r="B5" s="11">
        <f>IFERROR(__xludf.DUMMYFUNCTION("""COMPUTED_VALUE"""),45984.89745329861)</f>
        <v>45984.89745</v>
      </c>
      <c r="C5" s="3" t="str">
        <f>IFERROR(__xludf.DUMMYFUNCTION("""COMPUTED_VALUE"""),"ชั้นปีที่ 1")</f>
        <v>ชั้นปีที่ 1</v>
      </c>
      <c r="D5" s="3" t="str">
        <f>IFERROR(__xludf.DUMMYFUNCTION("""COMPUTED_VALUE"""),"6803940")</f>
        <v>6803940</v>
      </c>
      <c r="E5" s="3" t="str">
        <f>IFERROR(__xludf.DUMMYFUNCTION("""COMPUTED_VALUE"""),"59")</f>
        <v>59</v>
      </c>
      <c r="F5" s="3" t="str">
        <f>IFERROR(__xludf.DUMMYFUNCTION("""COMPUTED_VALUE"""),"หฤทชนัน อุทกัง")</f>
        <v>หฤทชนัน อุทกัง</v>
      </c>
      <c r="G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" s="3" t="str">
        <f>IFERROR(__xludf.DUMMYFUNCTION("""COMPUTED_VALUE"""),"“พยาบาลไทยบริจาคบริจาคโลหิต ช่วยชีวิตเพื่อนมนุษย์ ปี4")</f>
        <v>“พยาบาลไทยบริจาคบริจาคโลหิต ช่วยชีวิตเพื่อนมนุษย์ ปี4</v>
      </c>
      <c r="I5" s="3" t="str">
        <f>IFERROR(__xludf.DUMMYFUNCTION("""COMPUTED_VALUE"""),"ศูนย์บริจาคโลหิตสภากาชาดไทย")</f>
        <v>ศูนย์บริจาคโลหิตสภากาชาดไทย</v>
      </c>
      <c r="J5" s="12">
        <f>IFERROR(__xludf.DUMMYFUNCTION("""COMPUTED_VALUE"""),45916.0)</f>
        <v>45916</v>
      </c>
      <c r="K5" s="3" t="str">
        <f>IFERROR(__xludf.DUMMYFUNCTION("""COMPUTED_VALUE"""),"09.00")</f>
        <v>09.00</v>
      </c>
      <c r="L5" s="3">
        <f>IFERROR(__xludf.DUMMYFUNCTION("""COMPUTED_VALUE"""),8.0)</f>
        <v>8</v>
      </c>
      <c r="M5" s="3" t="str">
        <f>IFERROR(__xludf.DUMMYFUNCTION("""COMPUTED_VALUE"""),"น.ท.หญิง อนุกูล บำรุงวงค์")</f>
        <v>น.ท.หญิง อนุกูล บำรุงวงค์</v>
      </c>
      <c r="N5" s="14" t="str">
        <f>IFERROR(__xludf.DUMMYFUNCTION("""COMPUTED_VALUE"""),"https://lh5.googleusercontent.com/d/1LKHQqWlo7xUIS0pL-DSNYIUf-GXdCvRR")</f>
        <v>https://lh5.googleusercontent.com/d/1LKHQqWlo7xUIS0pL-DSNYIUf-GXdCvRR</v>
      </c>
      <c r="O5" s="14" t="str">
        <f>IFERROR(__xludf.DUMMYFUNCTION("""COMPUTED_VALUE"""),"https://drive.google.com/file/d/1sjN3f7_n5zKAGAPQf3-CzIjCdeK8SOWy/view?usp=drivesdk")</f>
        <v>https://drive.google.com/file/d/1sjN3f7_n5zKAGAPQf3-CzIjCdeK8SOWy/view?usp=drivesdk</v>
      </c>
    </row>
    <row r="6">
      <c r="A6" s="3">
        <f>IFERROR(__xludf.DUMMYFUNCTION("""COMPUTED_VALUE"""),224.0)</f>
        <v>224</v>
      </c>
      <c r="B6" s="11">
        <f>IFERROR(__xludf.DUMMYFUNCTION("""COMPUTED_VALUE"""),45984.90174877315)</f>
        <v>45984.90175</v>
      </c>
      <c r="C6" s="3" t="str">
        <f>IFERROR(__xludf.DUMMYFUNCTION("""COMPUTED_VALUE"""),"ชั้นปีที่ 1")</f>
        <v>ชั้นปีที่ 1</v>
      </c>
      <c r="D6" s="3" t="str">
        <f>IFERROR(__xludf.DUMMYFUNCTION("""COMPUTED_VALUE"""),"6803883")</f>
        <v>6803883</v>
      </c>
      <c r="E6" s="3" t="str">
        <f>IFERROR(__xludf.DUMMYFUNCTION("""COMPUTED_VALUE"""),"2")</f>
        <v>2</v>
      </c>
      <c r="F6" s="3" t="str">
        <f>IFERROR(__xludf.DUMMYFUNCTION("""COMPUTED_VALUE"""),"นพอ.กรชนก หน่อทิม")</f>
        <v>นพอ.กรชนก หน่อทิม</v>
      </c>
      <c r="G6" s="3" t="str">
        <f>IFERROR(__xludf.DUMMYFUNCTION("""COMPUTED_VALUE"""),"ทำนุบำรุงศาสนสถาน")</f>
        <v>ทำนุบำรุงศาสนสถาน</v>
      </c>
      <c r="H6" s="3" t="str">
        <f>IFERROR(__xludf.DUMMYFUNCTION("""COMPUTED_VALUE"""),"กวาดวัด")</f>
        <v>กวาดวัด</v>
      </c>
      <c r="I6" s="3" t="str">
        <f>IFERROR(__xludf.DUMMYFUNCTION("""COMPUTED_VALUE"""),"วัดคลองวาฬ พระอารามหลวง")</f>
        <v>วัดคลองวาฬ พระอารามหลวง</v>
      </c>
      <c r="J6" s="12">
        <f>IFERROR(__xludf.DUMMYFUNCTION("""COMPUTED_VALUE"""),45948.0)</f>
        <v>45948</v>
      </c>
      <c r="K6" s="3" t="str">
        <f>IFERROR(__xludf.DUMMYFUNCTION("""COMPUTED_VALUE"""),"08.00 น.")</f>
        <v>08.00 น.</v>
      </c>
      <c r="L6" s="3">
        <f>IFERROR(__xludf.DUMMYFUNCTION("""COMPUTED_VALUE"""),4.0)</f>
        <v>4</v>
      </c>
      <c r="M6" s="3" t="str">
        <f>IFERROR(__xludf.DUMMYFUNCTION("""COMPUTED_VALUE"""),"ร.อ.ปรีดา หน่อทิม")</f>
        <v>ร.อ.ปรีดา หน่อทิม</v>
      </c>
      <c r="N6" s="14" t="str">
        <f>IFERROR(__xludf.DUMMYFUNCTION("""COMPUTED_VALUE"""),"https://lh5.googleusercontent.com/d/1xL_mDKPzIoMoD6qpfGKDgCA9oUZzt2KY")</f>
        <v>https://lh5.googleusercontent.com/d/1xL_mDKPzIoMoD6qpfGKDgCA9oUZzt2KY</v>
      </c>
      <c r="O6" s="14" t="str">
        <f>IFERROR(__xludf.DUMMYFUNCTION("""COMPUTED_VALUE"""),"https://drive.google.com/file/d/15krmNBAiIc7DCJt5vDqXjHA1D0PKyNMh/view?usp=drivesdk")</f>
        <v>https://drive.google.com/file/d/15krmNBAiIc7DCJt5vDqXjHA1D0PKyNMh/view?usp=drivesdk</v>
      </c>
    </row>
    <row r="7">
      <c r="A7" s="3">
        <f>IFERROR(__xludf.DUMMYFUNCTION("""COMPUTED_VALUE"""),225.0)</f>
        <v>225</v>
      </c>
      <c r="B7" s="11">
        <f>IFERROR(__xludf.DUMMYFUNCTION("""COMPUTED_VALUE"""),45984.90507226852)</f>
        <v>45984.90507</v>
      </c>
      <c r="C7" s="3" t="str">
        <f>IFERROR(__xludf.DUMMYFUNCTION("""COMPUTED_VALUE"""),"ชั้นปีที่ 1")</f>
        <v>ชั้นปีที่ 1</v>
      </c>
      <c r="D7" s="3" t="str">
        <f>IFERROR(__xludf.DUMMYFUNCTION("""COMPUTED_VALUE"""),"6803884")</f>
        <v>6803884</v>
      </c>
      <c r="E7" s="3" t="str">
        <f>IFERROR(__xludf.DUMMYFUNCTION("""COMPUTED_VALUE"""),"3")</f>
        <v>3</v>
      </c>
      <c r="F7" s="3" t="str">
        <f>IFERROR(__xludf.DUMMYFUNCTION("""COMPUTED_VALUE"""),"นพอ.กรองทอง กันฟัก")</f>
        <v>นพอ.กรองทอง กันฟัก</v>
      </c>
      <c r="G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7" s="3" t="str">
        <f>IFERROR(__xludf.DUMMYFUNCTION("""COMPUTED_VALUE"""),"แจกผ้าห่มแก่ผู้ยากไร้ในชุมชน")</f>
        <v>แจกผ้าห่มแก่ผู้ยากไร้ในชุมชน</v>
      </c>
      <c r="I7" s="3" t="str">
        <f>IFERROR(__xludf.DUMMYFUNCTION("""COMPUTED_VALUE"""),"ชุมชนศาลเจ้าพ่อหลวง จังหวัดพิจิตร")</f>
        <v>ชุมชนศาลเจ้าพ่อหลวง จังหวัดพิจิตร</v>
      </c>
      <c r="J7" s="12">
        <f>IFERROR(__xludf.DUMMYFUNCTION("""COMPUTED_VALUE"""),45983.0)</f>
        <v>45983</v>
      </c>
      <c r="K7" s="3" t="str">
        <f>IFERROR(__xludf.DUMMYFUNCTION("""COMPUTED_VALUE"""),"12.00 น.")</f>
        <v>12.00 น.</v>
      </c>
      <c r="L7" s="3">
        <f>IFERROR(__xludf.DUMMYFUNCTION("""COMPUTED_VALUE"""),4.0)</f>
        <v>4</v>
      </c>
      <c r="M7" s="3" t="str">
        <f>IFERROR(__xludf.DUMMYFUNCTION("""COMPUTED_VALUE"""),"น.ส.ชุติมา กันฟัก")</f>
        <v>น.ส.ชุติมา กันฟัก</v>
      </c>
      <c r="N7" s="14" t="str">
        <f>IFERROR(__xludf.DUMMYFUNCTION("""COMPUTED_VALUE"""),"https://lh5.googleusercontent.com/d/1JwpHu2JsvgFXffmjF_JcKRmPEc2blcP2")</f>
        <v>https://lh5.googleusercontent.com/d/1JwpHu2JsvgFXffmjF_JcKRmPEc2blcP2</v>
      </c>
      <c r="O7" s="14" t="str">
        <f>IFERROR(__xludf.DUMMYFUNCTION("""COMPUTED_VALUE"""),"https://drive.google.com/file/d/1N5niKwpAzjDaHjwZHqoYn4DXj552msab/view?usp=drivesdk")</f>
        <v>https://drive.google.com/file/d/1N5niKwpAzjDaHjwZHqoYn4DXj552msab/view?usp=drivesdk</v>
      </c>
    </row>
    <row r="8">
      <c r="A8" s="3">
        <f>IFERROR(__xludf.DUMMYFUNCTION("""COMPUTED_VALUE"""),226.0)</f>
        <v>226</v>
      </c>
      <c r="B8" s="11">
        <f>IFERROR(__xludf.DUMMYFUNCTION("""COMPUTED_VALUE"""),45984.905325162035)</f>
        <v>45984.90533</v>
      </c>
      <c r="C8" s="3" t="str">
        <f>IFERROR(__xludf.DUMMYFUNCTION("""COMPUTED_VALUE"""),"ชั้นปีที่ 1")</f>
        <v>ชั้นปีที่ 1</v>
      </c>
      <c r="D8" s="3" t="str">
        <f>IFERROR(__xludf.DUMMYFUNCTION("""COMPUTED_VALUE"""),"6803883")</f>
        <v>6803883</v>
      </c>
      <c r="E8" s="3" t="str">
        <f>IFERROR(__xludf.DUMMYFUNCTION("""COMPUTED_VALUE"""),"2")</f>
        <v>2</v>
      </c>
      <c r="F8" s="3" t="str">
        <f>IFERROR(__xludf.DUMMYFUNCTION("""COMPUTED_VALUE"""),"นพอ.กรชนก หน่อทิม")</f>
        <v>นพอ.กรชนก หน่อทิม</v>
      </c>
      <c r="G8" s="3" t="str">
        <f>IFERROR(__xludf.DUMMYFUNCTION("""COMPUTED_VALUE"""),"ทำนุบำรุงศาสนสถาน")</f>
        <v>ทำนุบำรุงศาสนสถาน</v>
      </c>
      <c r="H8" s="3" t="str">
        <f>IFERROR(__xludf.DUMMYFUNCTION("""COMPUTED_VALUE"""),"กวาดลานวัด")</f>
        <v>กวาดลานวัด</v>
      </c>
      <c r="I8" s="3" t="str">
        <f>IFERROR(__xludf.DUMMYFUNCTION("""COMPUTED_VALUE"""),"วัดเกาะหลัก")</f>
        <v>วัดเกาะหลัก</v>
      </c>
      <c r="J8" s="12">
        <f>IFERROR(__xludf.DUMMYFUNCTION("""COMPUTED_VALUE"""),45955.0)</f>
        <v>45955</v>
      </c>
      <c r="K8" s="3" t="str">
        <f>IFERROR(__xludf.DUMMYFUNCTION("""COMPUTED_VALUE"""),"07.30 น.")</f>
        <v>07.30 น.</v>
      </c>
      <c r="L8" s="3">
        <f>IFERROR(__xludf.DUMMYFUNCTION("""COMPUTED_VALUE"""),4.0)</f>
        <v>4</v>
      </c>
      <c r="M8" s="3" t="str">
        <f>IFERROR(__xludf.DUMMYFUNCTION("""COMPUTED_VALUE"""),"ร.อ.ปรีดา หน่อทิม")</f>
        <v>ร.อ.ปรีดา หน่อทิม</v>
      </c>
      <c r="N8" s="14" t="str">
        <f>IFERROR(__xludf.DUMMYFUNCTION("""COMPUTED_VALUE"""),"https://lh5.googleusercontent.com/d/1KaWi3Rfkq9jXOICCoVUcvWGdUwMW1-pc")</f>
        <v>https://lh5.googleusercontent.com/d/1KaWi3Rfkq9jXOICCoVUcvWGdUwMW1-pc</v>
      </c>
      <c r="O8" s="14" t="str">
        <f>IFERROR(__xludf.DUMMYFUNCTION("""COMPUTED_VALUE"""),"https://drive.google.com/file/d/1QY6ilacERaUGqCl-f0pmjSsxbhU3iDvk/view?usp=drivesdk")</f>
        <v>https://drive.google.com/file/d/1QY6ilacERaUGqCl-f0pmjSsxbhU3iDvk/view?usp=drivesdk</v>
      </c>
    </row>
    <row r="9">
      <c r="A9" s="3">
        <f>IFERROR(__xludf.DUMMYFUNCTION("""COMPUTED_VALUE"""),227.0)</f>
        <v>227</v>
      </c>
      <c r="B9" s="11">
        <f>IFERROR(__xludf.DUMMYFUNCTION("""COMPUTED_VALUE"""),45984.908694143516)</f>
        <v>45984.90869</v>
      </c>
      <c r="C9" s="3" t="str">
        <f>IFERROR(__xludf.DUMMYFUNCTION("""COMPUTED_VALUE"""),"ชั้นปีที่ 1")</f>
        <v>ชั้นปีที่ 1</v>
      </c>
      <c r="D9" s="3" t="str">
        <f>IFERROR(__xludf.DUMMYFUNCTION("""COMPUTED_VALUE"""),"6803884")</f>
        <v>6803884</v>
      </c>
      <c r="E9" s="3" t="str">
        <f>IFERROR(__xludf.DUMMYFUNCTION("""COMPUTED_VALUE"""),"3")</f>
        <v>3</v>
      </c>
      <c r="F9" s="3" t="str">
        <f>IFERROR(__xludf.DUMMYFUNCTION("""COMPUTED_VALUE"""),"นพอ.กรองทอง กันฟัก")</f>
        <v>นพอ.กรองทอง กันฟัก</v>
      </c>
      <c r="G9" s="3" t="str">
        <f>IFERROR(__xludf.DUMMYFUNCTION("""COMPUTED_VALUE"""),"ทำนุบำรุงศาสนสถาน")</f>
        <v>ทำนุบำรุงศาสนสถาน</v>
      </c>
      <c r="H9" s="3" t="str">
        <f>IFERROR(__xludf.DUMMYFUNCTION("""COMPUTED_VALUE"""),"กวาดลานวัด")</f>
        <v>กวาดลานวัด</v>
      </c>
      <c r="I9" s="3" t="str">
        <f>IFERROR(__xludf.DUMMYFUNCTION("""COMPUTED_VALUE"""),"วัดท่าหลวง จังหวัดพิจิตร")</f>
        <v>วัดท่าหลวง จังหวัดพิจิตร</v>
      </c>
      <c r="J9" s="12">
        <f>IFERROR(__xludf.DUMMYFUNCTION("""COMPUTED_VALUE"""),45983.0)</f>
        <v>45983</v>
      </c>
      <c r="K9" s="3" t="str">
        <f>IFERROR(__xludf.DUMMYFUNCTION("""COMPUTED_VALUE"""),"13.00 น.")</f>
        <v>13.00 น.</v>
      </c>
      <c r="L9" s="3">
        <f>IFERROR(__xludf.DUMMYFUNCTION("""COMPUTED_VALUE"""),4.0)</f>
        <v>4</v>
      </c>
      <c r="M9" s="3" t="str">
        <f>IFERROR(__xludf.DUMMYFUNCTION("""COMPUTED_VALUE"""),"นางดาวรุ่ง กันฟัก")</f>
        <v>นางดาวรุ่ง กันฟัก</v>
      </c>
      <c r="N9" s="14" t="str">
        <f>IFERROR(__xludf.DUMMYFUNCTION("""COMPUTED_VALUE"""),"https://lh5.googleusercontent.com/d/1pAkP3ui_gDFnFCMDAQaq6H15p51vewca")</f>
        <v>https://lh5.googleusercontent.com/d/1pAkP3ui_gDFnFCMDAQaq6H15p51vewca</v>
      </c>
      <c r="O9" s="14" t="str">
        <f>IFERROR(__xludf.DUMMYFUNCTION("""COMPUTED_VALUE"""),"https://drive.google.com/file/d/1COUxKLKMsyR23Jr98WqjjG-vX7H7rbAO/view?usp=drivesdk")</f>
        <v>https://drive.google.com/file/d/1COUxKLKMsyR23Jr98WqjjG-vX7H7rbAO/view?usp=drivesdk</v>
      </c>
    </row>
    <row r="10">
      <c r="A10" s="3">
        <f>IFERROR(__xludf.DUMMYFUNCTION("""COMPUTED_VALUE"""),229.0)</f>
        <v>229</v>
      </c>
      <c r="B10" s="11">
        <f>IFERROR(__xludf.DUMMYFUNCTION("""COMPUTED_VALUE"""),45984.91329464121)</f>
        <v>45984.91329</v>
      </c>
      <c r="C10" s="3" t="str">
        <f>IFERROR(__xludf.DUMMYFUNCTION("""COMPUTED_VALUE"""),"ชั้นปีที่ 1")</f>
        <v>ชั้นปีที่ 1</v>
      </c>
      <c r="D10" s="3" t="str">
        <f>IFERROR(__xludf.DUMMYFUNCTION("""COMPUTED_VALUE"""),"6803887")</f>
        <v>6803887</v>
      </c>
      <c r="E10" s="3" t="str">
        <f>IFERROR(__xludf.DUMMYFUNCTION("""COMPUTED_VALUE"""),"6")</f>
        <v>6</v>
      </c>
      <c r="F10" s="3" t="str">
        <f>IFERROR(__xludf.DUMMYFUNCTION("""COMPUTED_VALUE"""),"นพอ.กัญญวรา โกษาเสวียง")</f>
        <v>นพอ.กัญญวรา โกษาเสวียง</v>
      </c>
      <c r="G1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" s="3" t="str">
        <f>IFERROR(__xludf.DUMMYFUNCTION("""COMPUTED_VALUE"""),"รณรงค์“วันโลกรำลึกถึงผู้สูญเสียจากอุบัติเหตุทางถนน”")</f>
        <v>รณรงค์“วันโลกรำลึกถึงผู้สูญเสียจากอุบัติเหตุทางถนน”</v>
      </c>
      <c r="I10" s="3" t="str">
        <f>IFERROR(__xludf.DUMMYFUNCTION("""COMPUTED_VALUE"""),"ตึกสหประชาชาติ")</f>
        <v>ตึกสหประชาชาติ</v>
      </c>
      <c r="J10" s="12">
        <f>IFERROR(__xludf.DUMMYFUNCTION("""COMPUTED_VALUE"""),45977.0)</f>
        <v>45977</v>
      </c>
      <c r="K10" s="3" t="str">
        <f>IFERROR(__xludf.DUMMYFUNCTION("""COMPUTED_VALUE"""),"0600-0930")</f>
        <v>0600-0930</v>
      </c>
      <c r="L10" s="3">
        <f>IFERROR(__xludf.DUMMYFUNCTION("""COMPUTED_VALUE"""),3.0)</f>
        <v>3</v>
      </c>
      <c r="M10" s="3" t="str">
        <f>IFERROR(__xludf.DUMMYFUNCTION("""COMPUTED_VALUE"""),"น.ต.หญิง ตวงทิพย์ ลดาวัลย์")</f>
        <v>น.ต.หญิง ตวงทิพย์ ลดาวัลย์</v>
      </c>
      <c r="N10" s="14" t="str">
        <f>IFERROR(__xludf.DUMMYFUNCTION("""COMPUTED_VALUE"""),"https://lh5.googleusercontent.com/d/1ojuIDmz6bWA-59w4ZzBsEfwY2-GiBKiC")</f>
        <v>https://lh5.googleusercontent.com/d/1ojuIDmz6bWA-59w4ZzBsEfwY2-GiBKiC</v>
      </c>
      <c r="O10" s="14" t="str">
        <f>IFERROR(__xludf.DUMMYFUNCTION("""COMPUTED_VALUE"""),"https://drive.google.com/file/d/1XlLo1iZjIVsbPUPW4My5iFtAawi9s7qa/view?usp=drivesdk")</f>
        <v>https://drive.google.com/file/d/1XlLo1iZjIVsbPUPW4My5iFtAawi9s7qa/view?usp=drivesdk</v>
      </c>
    </row>
    <row r="11">
      <c r="A11" s="3">
        <f>IFERROR(__xludf.DUMMYFUNCTION("""COMPUTED_VALUE"""),230.0)</f>
        <v>230</v>
      </c>
      <c r="B11" s="11">
        <f>IFERROR(__xludf.DUMMYFUNCTION("""COMPUTED_VALUE"""),45984.91569858796)</f>
        <v>45984.9157</v>
      </c>
      <c r="C11" s="3" t="str">
        <f>IFERROR(__xludf.DUMMYFUNCTION("""COMPUTED_VALUE"""),"ชั้นปีที่ 1")</f>
        <v>ชั้นปีที่ 1</v>
      </c>
      <c r="D11" s="3" t="str">
        <f>IFERROR(__xludf.DUMMYFUNCTION("""COMPUTED_VALUE"""),"6803884")</f>
        <v>6803884</v>
      </c>
      <c r="E11" s="3" t="str">
        <f>IFERROR(__xludf.DUMMYFUNCTION("""COMPUTED_VALUE"""),"3")</f>
        <v>3</v>
      </c>
      <c r="F11" s="3" t="str">
        <f>IFERROR(__xludf.DUMMYFUNCTION("""COMPUTED_VALUE"""),"นพอ.กรองทอง กันฟัก")</f>
        <v>นพอ.กรองทอง กันฟัก</v>
      </c>
      <c r="G11" s="3" t="str">
        <f>IFERROR(__xludf.DUMMYFUNCTION("""COMPUTED_VALUE"""),"งานฟรีทั่วไป")</f>
        <v>งานฟรีทั่วไป</v>
      </c>
      <c r="H11" s="3" t="str">
        <f>IFERROR(__xludf.DUMMYFUNCTION("""COMPUTED_VALUE"""),"ล้างจาน")</f>
        <v>ล้างจาน</v>
      </c>
      <c r="I11" s="3" t="str">
        <f>IFERROR(__xludf.DUMMYFUNCTION("""COMPUTED_VALUE"""),"บ้าน")</f>
        <v>บ้าน</v>
      </c>
      <c r="J11" s="12">
        <f>IFERROR(__xludf.DUMMYFUNCTION("""COMPUTED_VALUE"""),45941.0)</f>
        <v>45941</v>
      </c>
      <c r="K11" s="3" t="str">
        <f>IFERROR(__xludf.DUMMYFUNCTION("""COMPUTED_VALUE"""),"10.00 น.")</f>
        <v>10.00 น.</v>
      </c>
      <c r="L11" s="3">
        <f>IFERROR(__xludf.DUMMYFUNCTION("""COMPUTED_VALUE"""),4.0)</f>
        <v>4</v>
      </c>
      <c r="M11" s="3" t="str">
        <f>IFERROR(__xludf.DUMMYFUNCTION("""COMPUTED_VALUE"""),"นางดาวรุ่ง กันฟัก")</f>
        <v>นางดาวรุ่ง กันฟัก</v>
      </c>
      <c r="N11" s="14" t="str">
        <f>IFERROR(__xludf.DUMMYFUNCTION("""COMPUTED_VALUE"""),"https://lh5.googleusercontent.com/d/1U00QC2X3gt-I-XaK_w_jevNrsOIsmTod")</f>
        <v>https://lh5.googleusercontent.com/d/1U00QC2X3gt-I-XaK_w_jevNrsOIsmTod</v>
      </c>
      <c r="O11" s="14" t="str">
        <f>IFERROR(__xludf.DUMMYFUNCTION("""COMPUTED_VALUE"""),"https://drive.google.com/file/d/1tI96j9K7ShBAcmSeglGxT_h8sFIJrjF3/view?usp=drivesdk")</f>
        <v>https://drive.google.com/file/d/1tI96j9K7ShBAcmSeglGxT_h8sFIJrjF3/view?usp=drivesdk</v>
      </c>
    </row>
    <row r="12">
      <c r="A12" s="3">
        <f>IFERROR(__xludf.DUMMYFUNCTION("""COMPUTED_VALUE"""),231.0)</f>
        <v>231</v>
      </c>
      <c r="B12" s="11">
        <f>IFERROR(__xludf.DUMMYFUNCTION("""COMPUTED_VALUE"""),45984.91598141204)</f>
        <v>45984.91598</v>
      </c>
      <c r="C12" s="3" t="str">
        <f>IFERROR(__xludf.DUMMYFUNCTION("""COMPUTED_VALUE"""),"ชั้นปีที่ 1")</f>
        <v>ชั้นปีที่ 1</v>
      </c>
      <c r="D12" s="3" t="str">
        <f>IFERROR(__xludf.DUMMYFUNCTION("""COMPUTED_VALUE"""),"6803882")</f>
        <v>6803882</v>
      </c>
      <c r="E12" s="3" t="str">
        <f>IFERROR(__xludf.DUMMYFUNCTION("""COMPUTED_VALUE"""),"1")</f>
        <v>1</v>
      </c>
      <c r="F12" s="3" t="str">
        <f>IFERROR(__xludf.DUMMYFUNCTION("""COMPUTED_VALUE"""),"นพอ.กมลฉัตร ชาสุรีย์")</f>
        <v>นพอ.กมลฉัตร ชาสุรีย์</v>
      </c>
      <c r="G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" s="3" t="str">
        <f>IFERROR(__xludf.DUMMYFUNCTION("""COMPUTED_VALUE"""),"รณรงค์วันโลกรำลึกถึงผู้เสียชีวิตจากอุบัติเหตุทางถนน")</f>
        <v>รณรงค์วันโลกรำลึกถึงผู้เสียชีวิตจากอุบัติเหตุทางถนน</v>
      </c>
      <c r="I12" s="3" t="str">
        <f>IFERROR(__xludf.DUMMYFUNCTION("""COMPUTED_VALUE"""),"ตึกสหประชาชาติ")</f>
        <v>ตึกสหประชาชาติ</v>
      </c>
      <c r="J12" s="12">
        <f>IFERROR(__xludf.DUMMYFUNCTION("""COMPUTED_VALUE"""),45977.0)</f>
        <v>45977</v>
      </c>
      <c r="K12" s="3" t="str">
        <f>IFERROR(__xludf.DUMMYFUNCTION("""COMPUTED_VALUE"""),"0600-0930")</f>
        <v>0600-0930</v>
      </c>
      <c r="L12" s="3">
        <f>IFERROR(__xludf.DUMMYFUNCTION("""COMPUTED_VALUE"""),3.0)</f>
        <v>3</v>
      </c>
      <c r="M12" s="3" t="str">
        <f>IFERROR(__xludf.DUMMYFUNCTION("""COMPUTED_VALUE"""),"น.ต.หญิงตวงทิพย์ ลดาวัลย์")</f>
        <v>น.ต.หญิงตวงทิพย์ ลดาวัลย์</v>
      </c>
      <c r="N12" s="14" t="str">
        <f>IFERROR(__xludf.DUMMYFUNCTION("""COMPUTED_VALUE"""),"https://lh5.googleusercontent.com/d/1HRdh7G1R_TNZliakKMD6M4Q2xEXmQbUZ")</f>
        <v>https://lh5.googleusercontent.com/d/1HRdh7G1R_TNZliakKMD6M4Q2xEXmQbUZ</v>
      </c>
      <c r="O12" s="14" t="str">
        <f>IFERROR(__xludf.DUMMYFUNCTION("""COMPUTED_VALUE"""),"https://drive.google.com/file/d/19Sit6O7OwntoORvY_TxOnFoqvPlmft4y/view?usp=drivesdk")</f>
        <v>https://drive.google.com/file/d/19Sit6O7OwntoORvY_TxOnFoqvPlmft4y/view?usp=drivesdk</v>
      </c>
    </row>
    <row r="13">
      <c r="A13" s="3">
        <f>IFERROR(__xludf.DUMMYFUNCTION("""COMPUTED_VALUE"""),232.0)</f>
        <v>232</v>
      </c>
      <c r="B13" s="11">
        <f>IFERROR(__xludf.DUMMYFUNCTION("""COMPUTED_VALUE"""),45984.916572118054)</f>
        <v>45984.91657</v>
      </c>
      <c r="C13" s="3" t="str">
        <f>IFERROR(__xludf.DUMMYFUNCTION("""COMPUTED_VALUE"""),"ชั้นปีที่ 1")</f>
        <v>ชั้นปีที่ 1</v>
      </c>
      <c r="D13" s="3" t="str">
        <f>IFERROR(__xludf.DUMMYFUNCTION("""COMPUTED_VALUE"""),"6803883")</f>
        <v>6803883</v>
      </c>
      <c r="E13" s="3" t="str">
        <f>IFERROR(__xludf.DUMMYFUNCTION("""COMPUTED_VALUE"""),"2")</f>
        <v>2</v>
      </c>
      <c r="F13" s="3" t="str">
        <f>IFERROR(__xludf.DUMMYFUNCTION("""COMPUTED_VALUE"""),"นพอ.กรชนก หน่อทิม")</f>
        <v>นพอ.กรชนก หน่อทิม</v>
      </c>
      <c r="G13" s="3" t="str">
        <f>IFERROR(__xludf.DUMMYFUNCTION("""COMPUTED_VALUE"""),"งานฟรีทั่วไป")</f>
        <v>งานฟรีทั่วไป</v>
      </c>
      <c r="H13" s="3" t="str">
        <f>IFERROR(__xludf.DUMMYFUNCTION("""COMPUTED_VALUE"""),"ช่วยพ่อเตรียมเรือ")</f>
        <v>ช่วยพ่อเตรียมเรือ</v>
      </c>
      <c r="I13" s="3" t="str">
        <f>IFERROR(__xludf.DUMMYFUNCTION("""COMPUTED_VALUE"""),"บ้าน")</f>
        <v>บ้าน</v>
      </c>
      <c r="J13" s="12">
        <f>IFERROR(__xludf.DUMMYFUNCTION("""COMPUTED_VALUE"""),45962.0)</f>
        <v>45962</v>
      </c>
      <c r="K13" s="3" t="str">
        <f>IFERROR(__xludf.DUMMYFUNCTION("""COMPUTED_VALUE"""),"16.00 น.")</f>
        <v>16.00 น.</v>
      </c>
      <c r="L13" s="3">
        <f>IFERROR(__xludf.DUMMYFUNCTION("""COMPUTED_VALUE"""),4.0)</f>
        <v>4</v>
      </c>
      <c r="M13" s="3" t="str">
        <f>IFERROR(__xludf.DUMMYFUNCTION("""COMPUTED_VALUE"""),"ร.อ.ปรีดา หน่อทิม")</f>
        <v>ร.อ.ปรีดา หน่อทิม</v>
      </c>
      <c r="N13" s="14" t="str">
        <f>IFERROR(__xludf.DUMMYFUNCTION("""COMPUTED_VALUE"""),"https://lh5.googleusercontent.com/d/1R7sfRxlnbb6yDECEjvC1Sx-rVLJJB17g")</f>
        <v>https://lh5.googleusercontent.com/d/1R7sfRxlnbb6yDECEjvC1Sx-rVLJJB17g</v>
      </c>
      <c r="O13" s="14" t="str">
        <f>IFERROR(__xludf.DUMMYFUNCTION("""COMPUTED_VALUE"""),"https://drive.google.com/file/d/1-RADgll9Z5-mEckj-qtGfhOd99Hr4B9p/view?usp=drivesdk")</f>
        <v>https://drive.google.com/file/d/1-RADgll9Z5-mEckj-qtGfhOd99Hr4B9p/view?usp=drivesdk</v>
      </c>
    </row>
    <row r="14">
      <c r="A14" s="3">
        <f>IFERROR(__xludf.DUMMYFUNCTION("""COMPUTED_VALUE"""),234.0)</f>
        <v>234</v>
      </c>
      <c r="B14" s="11">
        <f>IFERROR(__xludf.DUMMYFUNCTION("""COMPUTED_VALUE"""),45984.91858464121)</f>
        <v>45984.91858</v>
      </c>
      <c r="C14" s="3" t="str">
        <f>IFERROR(__xludf.DUMMYFUNCTION("""COMPUTED_VALUE"""),"ชั้นปีที่ 1")</f>
        <v>ชั้นปีที่ 1</v>
      </c>
      <c r="D14" s="3" t="str">
        <f>IFERROR(__xludf.DUMMYFUNCTION("""COMPUTED_VALUE"""),"6803884")</f>
        <v>6803884</v>
      </c>
      <c r="E14" s="3" t="str">
        <f>IFERROR(__xludf.DUMMYFUNCTION("""COMPUTED_VALUE"""),"3")</f>
        <v>3</v>
      </c>
      <c r="F14" s="3" t="str">
        <f>IFERROR(__xludf.DUMMYFUNCTION("""COMPUTED_VALUE"""),"นพอ.กรองทอง กันฟัก")</f>
        <v>นพอ.กรองทอง กันฟัก</v>
      </c>
      <c r="G14" s="3" t="str">
        <f>IFERROR(__xludf.DUMMYFUNCTION("""COMPUTED_VALUE"""),"ทำนุบำรุงศาสนสถาน")</f>
        <v>ทำนุบำรุงศาสนสถาน</v>
      </c>
      <c r="H14" s="3" t="str">
        <f>IFERROR(__xludf.DUMMYFUNCTION("""COMPUTED_VALUE"""),"กวาดลานวัด")</f>
        <v>กวาดลานวัด</v>
      </c>
      <c r="I14" s="3" t="str">
        <f>IFERROR(__xludf.DUMMYFUNCTION("""COMPUTED_VALUE"""),"วัดท่าหลวง จังหวัดพิจิตร")</f>
        <v>วัดท่าหลวง จังหวัดพิจิตร</v>
      </c>
      <c r="J14" s="12">
        <f>IFERROR(__xludf.DUMMYFUNCTION("""COMPUTED_VALUE"""),45941.0)</f>
        <v>45941</v>
      </c>
      <c r="K14" s="3" t="str">
        <f>IFERROR(__xludf.DUMMYFUNCTION("""COMPUTED_VALUE"""),"15.00 น.")</f>
        <v>15.00 น.</v>
      </c>
      <c r="L14" s="3">
        <f>IFERROR(__xludf.DUMMYFUNCTION("""COMPUTED_VALUE"""),4.0)</f>
        <v>4</v>
      </c>
      <c r="M14" s="3" t="str">
        <f>IFERROR(__xludf.DUMMYFUNCTION("""COMPUTED_VALUE"""),"นางดาวรุ่ง กันฟัก")</f>
        <v>นางดาวรุ่ง กันฟัก</v>
      </c>
      <c r="N14" s="14" t="str">
        <f>IFERROR(__xludf.DUMMYFUNCTION("""COMPUTED_VALUE"""),"https://lh5.googleusercontent.com/d/1lAcv86SmZbYbwHDEKhPo3Q9aTLGaDiwt")</f>
        <v>https://lh5.googleusercontent.com/d/1lAcv86SmZbYbwHDEKhPo3Q9aTLGaDiwt</v>
      </c>
      <c r="O14" s="14" t="str">
        <f>IFERROR(__xludf.DUMMYFUNCTION("""COMPUTED_VALUE"""),"https://drive.google.com/file/d/1nDT_tcxuWhyJlORmXIefQMJk0M2wDtX2/view?usp=drivesdk")</f>
        <v>https://drive.google.com/file/d/1nDT_tcxuWhyJlORmXIefQMJk0M2wDtX2/view?usp=drivesdk</v>
      </c>
    </row>
    <row r="15">
      <c r="A15" s="3">
        <f>IFERROR(__xludf.DUMMYFUNCTION("""COMPUTED_VALUE"""),235.0)</f>
        <v>235</v>
      </c>
      <c r="B15" s="11">
        <f>IFERROR(__xludf.DUMMYFUNCTION("""COMPUTED_VALUE"""),45984.919999641206)</f>
        <v>45984.92</v>
      </c>
      <c r="C15" s="3" t="str">
        <f>IFERROR(__xludf.DUMMYFUNCTION("""COMPUTED_VALUE"""),"ชั้นปีที่ 1")</f>
        <v>ชั้นปีที่ 1</v>
      </c>
      <c r="D15" s="3" t="str">
        <f>IFERROR(__xludf.DUMMYFUNCTION("""COMPUTED_VALUE"""),"6803883")</f>
        <v>6803883</v>
      </c>
      <c r="E15" s="3" t="str">
        <f>IFERROR(__xludf.DUMMYFUNCTION("""COMPUTED_VALUE"""),"2")</f>
        <v>2</v>
      </c>
      <c r="F15" s="3" t="str">
        <f>IFERROR(__xludf.DUMMYFUNCTION("""COMPUTED_VALUE"""),"นพอ.กรชนก หน่อทิม")</f>
        <v>นพอ.กรชนก หน่อทิม</v>
      </c>
      <c r="G15" s="3" t="str">
        <f>IFERROR(__xludf.DUMMYFUNCTION("""COMPUTED_VALUE"""),"งานฟรีทั่วไป")</f>
        <v>งานฟรีทั่วไป</v>
      </c>
      <c r="H15" s="3" t="str">
        <f>IFERROR(__xludf.DUMMYFUNCTION("""COMPUTED_VALUE"""),"กวาดใบไม้")</f>
        <v>กวาดใบไม้</v>
      </c>
      <c r="I15" s="3" t="str">
        <f>IFERROR(__xludf.DUMMYFUNCTION("""COMPUTED_VALUE"""),"บ้าน")</f>
        <v>บ้าน</v>
      </c>
      <c r="J15" s="12">
        <f>IFERROR(__xludf.DUMMYFUNCTION("""COMPUTED_VALUE"""),45969.0)</f>
        <v>45969</v>
      </c>
      <c r="K15" s="3" t="str">
        <f>IFERROR(__xludf.DUMMYFUNCTION("""COMPUTED_VALUE"""),"17.00 น.")</f>
        <v>17.00 น.</v>
      </c>
      <c r="L15" s="3">
        <f>IFERROR(__xludf.DUMMYFUNCTION("""COMPUTED_VALUE"""),4.0)</f>
        <v>4</v>
      </c>
      <c r="M15" s="3" t="str">
        <f>IFERROR(__xludf.DUMMYFUNCTION("""COMPUTED_VALUE"""),"นางวราพร หน่อทิม")</f>
        <v>นางวราพร หน่อทิม</v>
      </c>
      <c r="N15" s="14" t="str">
        <f>IFERROR(__xludf.DUMMYFUNCTION("""COMPUTED_VALUE"""),"https://lh5.googleusercontent.com/d/1eM1H789h8228wTnywZ2MQn9JIyyRsOzJ")</f>
        <v>https://lh5.googleusercontent.com/d/1eM1H789h8228wTnywZ2MQn9JIyyRsOzJ</v>
      </c>
      <c r="O15" s="14" t="str">
        <f>IFERROR(__xludf.DUMMYFUNCTION("""COMPUTED_VALUE"""),"https://drive.google.com/file/d/1Hb2zlSa2VfW3fwXRSt4wjCzXCOFIFDWC/view?usp=drivesdk")</f>
        <v>https://drive.google.com/file/d/1Hb2zlSa2VfW3fwXRSt4wjCzXCOFIFDWC/view?usp=drivesdk</v>
      </c>
    </row>
    <row r="16">
      <c r="A16" s="3">
        <f>IFERROR(__xludf.DUMMYFUNCTION("""COMPUTED_VALUE"""),237.0)</f>
        <v>237</v>
      </c>
      <c r="B16" s="11">
        <f>IFERROR(__xludf.DUMMYFUNCTION("""COMPUTED_VALUE"""),45984.921357245374)</f>
        <v>45984.92136</v>
      </c>
      <c r="C16" s="3" t="str">
        <f>IFERROR(__xludf.DUMMYFUNCTION("""COMPUTED_VALUE"""),"ชั้นปีที่ 1")</f>
        <v>ชั้นปีที่ 1</v>
      </c>
      <c r="D16" s="3" t="str">
        <f>IFERROR(__xludf.DUMMYFUNCTION("""COMPUTED_VALUE"""),"6803884")</f>
        <v>6803884</v>
      </c>
      <c r="E16" s="3" t="str">
        <f>IFERROR(__xludf.DUMMYFUNCTION("""COMPUTED_VALUE"""),"3")</f>
        <v>3</v>
      </c>
      <c r="F16" s="3" t="str">
        <f>IFERROR(__xludf.DUMMYFUNCTION("""COMPUTED_VALUE"""),"นพอ.กรองทอง กันฟัก")</f>
        <v>นพอ.กรองทอง กันฟัก</v>
      </c>
      <c r="G16" s="3" t="str">
        <f>IFERROR(__xludf.DUMMYFUNCTION("""COMPUTED_VALUE"""),"งานฟรีทั่วไป")</f>
        <v>งานฟรีทั่วไป</v>
      </c>
      <c r="H16" s="3" t="str">
        <f>IFERROR(__xludf.DUMMYFUNCTION("""COMPUTED_VALUE"""),"กวาดบ้าน")</f>
        <v>กวาดบ้าน</v>
      </c>
      <c r="I16" s="3" t="str">
        <f>IFERROR(__xludf.DUMMYFUNCTION("""COMPUTED_VALUE"""),"บ้าน")</f>
        <v>บ้าน</v>
      </c>
      <c r="J16" s="12">
        <f>IFERROR(__xludf.DUMMYFUNCTION("""COMPUTED_VALUE"""),45906.0)</f>
        <v>45906</v>
      </c>
      <c r="K16" s="3" t="str">
        <f>IFERROR(__xludf.DUMMYFUNCTION("""COMPUTED_VALUE"""),"18.00 น.")</f>
        <v>18.00 น.</v>
      </c>
      <c r="L16" s="3">
        <f>IFERROR(__xludf.DUMMYFUNCTION("""COMPUTED_VALUE"""),4.0)</f>
        <v>4</v>
      </c>
      <c r="M16" s="3" t="str">
        <f>IFERROR(__xludf.DUMMYFUNCTION("""COMPUTED_VALUE"""),"นางดาวรุ่ง กันฟัก")</f>
        <v>นางดาวรุ่ง กันฟัก</v>
      </c>
      <c r="N16" s="14" t="str">
        <f>IFERROR(__xludf.DUMMYFUNCTION("""COMPUTED_VALUE"""),"https://lh5.googleusercontent.com/d/1mU5EiMrG0BF7K9dpsyh8HnwtVSKvXWGW")</f>
        <v>https://lh5.googleusercontent.com/d/1mU5EiMrG0BF7K9dpsyh8HnwtVSKvXWGW</v>
      </c>
      <c r="O16" s="14" t="str">
        <f>IFERROR(__xludf.DUMMYFUNCTION("""COMPUTED_VALUE"""),"https://drive.google.com/file/d/13ZTzMLg6gT77C3T9-F5q6A7tapiVK7Lp/view?usp=drivesdk")</f>
        <v>https://drive.google.com/file/d/13ZTzMLg6gT77C3T9-F5q6A7tapiVK7Lp/view?usp=drivesdk</v>
      </c>
    </row>
    <row r="17">
      <c r="A17" s="3">
        <f>IFERROR(__xludf.DUMMYFUNCTION("""COMPUTED_VALUE"""),246.0)</f>
        <v>246</v>
      </c>
      <c r="B17" s="11">
        <f>IFERROR(__xludf.DUMMYFUNCTION("""COMPUTED_VALUE"""),45985.32426447917)</f>
        <v>45985.32426</v>
      </c>
      <c r="C17" s="3" t="str">
        <f>IFERROR(__xludf.DUMMYFUNCTION("""COMPUTED_VALUE"""),"ชั้นปีที่ 1")</f>
        <v>ชั้นปีที่ 1</v>
      </c>
      <c r="D17" s="3" t="str">
        <f>IFERROR(__xludf.DUMMYFUNCTION("""COMPUTED_VALUE"""),"6803944")</f>
        <v>6803944</v>
      </c>
      <c r="E17" s="3" t="str">
        <f>IFERROR(__xludf.DUMMYFUNCTION("""COMPUTED_VALUE"""),"63")</f>
        <v>63</v>
      </c>
      <c r="F17" s="3" t="str">
        <f>IFERROR(__xludf.DUMMYFUNCTION("""COMPUTED_VALUE"""),"นพอ.อริสา หฤทัยบริรักษ์")</f>
        <v>นพอ.อริสา หฤทัยบริรักษ์</v>
      </c>
      <c r="G1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7" s="3" t="str">
        <f>IFERROR(__xludf.DUMMYFUNCTION("""COMPUTED_VALUE"""),"โครงการส่งเสริมสุขภาพกาย จิตและสังคมผู้สูงอายุ")</f>
        <v>โครงการส่งเสริมสุขภาพกาย จิตและสังคมผู้สูงอายุ</v>
      </c>
      <c r="I17" s="3" t="str">
        <f>IFERROR(__xludf.DUMMYFUNCTION("""COMPUTED_VALUE"""),"องค์การบริหารส่วนตำบลศาลายา")</f>
        <v>องค์การบริหารส่วนตำบลศาลายา</v>
      </c>
      <c r="J17" s="12">
        <f>IFERROR(__xludf.DUMMYFUNCTION("""COMPUTED_VALUE"""),45955.0)</f>
        <v>45955</v>
      </c>
      <c r="K17" s="3" t="str">
        <f>IFERROR(__xludf.DUMMYFUNCTION("""COMPUTED_VALUE"""),"0900")</f>
        <v>0900</v>
      </c>
      <c r="L17" s="3">
        <f>IFERROR(__xludf.DUMMYFUNCTION("""COMPUTED_VALUE"""),8.0)</f>
        <v>8</v>
      </c>
      <c r="M17" s="3" t="str">
        <f>IFERROR(__xludf.DUMMYFUNCTION("""COMPUTED_VALUE"""),"นายประเสริฐ อิ่มเอิบรัตน์")</f>
        <v>นายประเสริฐ อิ่มเอิบรัตน์</v>
      </c>
      <c r="N17" s="14" t="str">
        <f>IFERROR(__xludf.DUMMYFUNCTION("""COMPUTED_VALUE"""),"https://lh5.googleusercontent.com/d/1Od-TEfkwnVRM1qhO9Cot-JNvmUvM8Y_d")</f>
        <v>https://lh5.googleusercontent.com/d/1Od-TEfkwnVRM1qhO9Cot-JNvmUvM8Y_d</v>
      </c>
      <c r="O17" s="14" t="str">
        <f>IFERROR(__xludf.DUMMYFUNCTION("""COMPUTED_VALUE"""),"https://drive.google.com/file/d/1wRl_6xgZCzmr61eq_B_gDtAJ5mIj4KoQ/view?usp=drivesdk")</f>
        <v>https://drive.google.com/file/d/1wRl_6xgZCzmr61eq_B_gDtAJ5mIj4KoQ/view?usp=drivesdk</v>
      </c>
    </row>
    <row r="18">
      <c r="A18" s="3">
        <f>IFERROR(__xludf.DUMMYFUNCTION("""COMPUTED_VALUE"""),247.0)</f>
        <v>247</v>
      </c>
      <c r="B18" s="11">
        <f>IFERROR(__xludf.DUMMYFUNCTION("""COMPUTED_VALUE"""),45985.33878155093)</f>
        <v>45985.33878</v>
      </c>
      <c r="C18" s="3" t="str">
        <f>IFERROR(__xludf.DUMMYFUNCTION("""COMPUTED_VALUE"""),"ชั้นปีที่ 1")</f>
        <v>ชั้นปีที่ 1</v>
      </c>
      <c r="D18" s="3" t="str">
        <f>IFERROR(__xludf.DUMMYFUNCTION("""COMPUTED_VALUE"""),"6803944")</f>
        <v>6803944</v>
      </c>
      <c r="E18" s="3" t="str">
        <f>IFERROR(__xludf.DUMMYFUNCTION("""COMPUTED_VALUE"""),"63")</f>
        <v>63</v>
      </c>
      <c r="F18" s="3" t="str">
        <f>IFERROR(__xludf.DUMMYFUNCTION("""COMPUTED_VALUE"""),"นพอ.อริสา หฤทัยบริรักษ์")</f>
        <v>นพอ.อริสา หฤทัยบริรักษ์</v>
      </c>
      <c r="G1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8" s="3" t="str">
        <f>IFERROR(__xludf.DUMMYFUNCTION("""COMPUTED_VALUE"""),"โครงการส่งเสริมสุขภาพ จิตและสังคมผู้สูงอายุ")</f>
        <v>โครงการส่งเสริมสุขภาพ จิตและสังคมผู้สูงอายุ</v>
      </c>
      <c r="I18" s="3" t="str">
        <f>IFERROR(__xludf.DUMMYFUNCTION("""COMPUTED_VALUE"""),"องค์การบริหารส่วนตำบลศาลายา")</f>
        <v>องค์การบริหารส่วนตำบลศาลายา</v>
      </c>
      <c r="J18" s="12">
        <f>IFERROR(__xludf.DUMMYFUNCTION("""COMPUTED_VALUE"""),45962.0)</f>
        <v>45962</v>
      </c>
      <c r="K18" s="3" t="str">
        <f>IFERROR(__xludf.DUMMYFUNCTION("""COMPUTED_VALUE"""),"0800")</f>
        <v>0800</v>
      </c>
      <c r="L18" s="3">
        <f>IFERROR(__xludf.DUMMYFUNCTION("""COMPUTED_VALUE"""),8.0)</f>
        <v>8</v>
      </c>
      <c r="M18" s="3" t="str">
        <f>IFERROR(__xludf.DUMMYFUNCTION("""COMPUTED_VALUE"""),"นางเพ็ญศรี สีสดใส")</f>
        <v>นางเพ็ญศรี สีสดใส</v>
      </c>
      <c r="N18" s="14" t="str">
        <f>IFERROR(__xludf.DUMMYFUNCTION("""COMPUTED_VALUE"""),"https://lh5.googleusercontent.com/d/1WhoLv0TM3ANhqyFjL6O0XbX9rrj110Br")</f>
        <v>https://lh5.googleusercontent.com/d/1WhoLv0TM3ANhqyFjL6O0XbX9rrj110Br</v>
      </c>
      <c r="O18" s="14" t="str">
        <f>IFERROR(__xludf.DUMMYFUNCTION("""COMPUTED_VALUE"""),"https://drive.google.com/file/d/1GwDec_2-4Rp3lBOaHdXBwQ7matrf6gIL/view?usp=drivesdk")</f>
        <v>https://drive.google.com/file/d/1GwDec_2-4Rp3lBOaHdXBwQ7matrf6gIL/view?usp=drivesdk</v>
      </c>
    </row>
    <row r="19">
      <c r="A19" s="3">
        <f>IFERROR(__xludf.DUMMYFUNCTION("""COMPUTED_VALUE"""),255.0)</f>
        <v>255</v>
      </c>
      <c r="B19" s="11">
        <f>IFERROR(__xludf.DUMMYFUNCTION("""COMPUTED_VALUE"""),45985.47675376158)</f>
        <v>45985.47675</v>
      </c>
      <c r="C19" s="3" t="str">
        <f>IFERROR(__xludf.DUMMYFUNCTION("""COMPUTED_VALUE"""),"ชั้นปีที่ 1")</f>
        <v>ชั้นปีที่ 1</v>
      </c>
      <c r="D19" s="3" t="str">
        <f>IFERROR(__xludf.DUMMYFUNCTION("""COMPUTED_VALUE"""),"6803896")</f>
        <v>6803896</v>
      </c>
      <c r="E19" s="3" t="str">
        <f>IFERROR(__xludf.DUMMYFUNCTION("""COMPUTED_VALUE"""),"15")</f>
        <v>15</v>
      </c>
      <c r="F19" s="3" t="str">
        <f>IFERROR(__xludf.DUMMYFUNCTION("""COMPUTED_VALUE"""),"ณัชปวีย์  เยาวภา")</f>
        <v>ณัชปวีย์  เยาวภา</v>
      </c>
      <c r="G19" s="3" t="str">
        <f>IFERROR(__xludf.DUMMYFUNCTION("""COMPUTED_VALUE"""),"ช่วยเหลืองานภายใน วพอ.")</f>
        <v>ช่วยเหลืองานภายใน วพอ.</v>
      </c>
      <c r="H19" s="3" t="str">
        <f>IFERROR(__xludf.DUMMYFUNCTION("""COMPUTED_VALUE"""),"เล่นดุริยางค์")</f>
        <v>เล่นดุริยางค์</v>
      </c>
      <c r="I19" s="3" t="str">
        <f>IFERROR(__xludf.DUMMYFUNCTION("""COMPUTED_VALUE"""),"วิทยาลัยพยาบาลทหารอากาศ")</f>
        <v>วิทยาลัยพยาบาลทหารอากาศ</v>
      </c>
      <c r="J19" s="12">
        <f>IFERROR(__xludf.DUMMYFUNCTION("""COMPUTED_VALUE"""),45951.0)</f>
        <v>45951</v>
      </c>
      <c r="K19" s="3" t="str">
        <f>IFERROR(__xludf.DUMMYFUNCTION("""COMPUTED_VALUE"""),"0700-0740")</f>
        <v>0700-0740</v>
      </c>
      <c r="L19" s="3">
        <f>IFERROR(__xludf.DUMMYFUNCTION("""COMPUTED_VALUE"""),1.0)</f>
        <v>1</v>
      </c>
      <c r="M19" s="3" t="str">
        <f>IFERROR(__xludf.DUMMYFUNCTION("""COMPUTED_VALUE"""),"ร.อ.อนุชิต ทำจะดี")</f>
        <v>ร.อ.อนุชิต ทำจะดี</v>
      </c>
      <c r="N19" s="14" t="str">
        <f>IFERROR(__xludf.DUMMYFUNCTION("""COMPUTED_VALUE"""),"https://lh5.googleusercontent.com/d/1ZY9HupRCUed7mPNoG_H20O26fEMRjaBM")</f>
        <v>https://lh5.googleusercontent.com/d/1ZY9HupRCUed7mPNoG_H20O26fEMRjaBM</v>
      </c>
      <c r="O19" s="14" t="str">
        <f>IFERROR(__xludf.DUMMYFUNCTION("""COMPUTED_VALUE"""),"https://drive.google.com/file/d/1b_rOAkLyT1yPzIm4JHI5sZjJ6YdwiqFD/view?usp=drivesdk")</f>
        <v>https://drive.google.com/file/d/1b_rOAkLyT1yPzIm4JHI5sZjJ6YdwiqFD/view?usp=drivesdk</v>
      </c>
    </row>
    <row r="20">
      <c r="A20" s="3">
        <f>IFERROR(__xludf.DUMMYFUNCTION("""COMPUTED_VALUE"""),256.0)</f>
        <v>256</v>
      </c>
      <c r="B20" s="11">
        <f>IFERROR(__xludf.DUMMYFUNCTION("""COMPUTED_VALUE"""),45985.48188623842)</f>
        <v>45985.48189</v>
      </c>
      <c r="C20" s="3" t="str">
        <f>IFERROR(__xludf.DUMMYFUNCTION("""COMPUTED_VALUE"""),"ชั้นปีที่ 1")</f>
        <v>ชั้นปีที่ 1</v>
      </c>
      <c r="D20" s="3" t="str">
        <f>IFERROR(__xludf.DUMMYFUNCTION("""COMPUTED_VALUE"""),"6803896")</f>
        <v>6803896</v>
      </c>
      <c r="E20" s="3" t="str">
        <f>IFERROR(__xludf.DUMMYFUNCTION("""COMPUTED_VALUE"""),"15")</f>
        <v>15</v>
      </c>
      <c r="F20" s="3" t="str">
        <f>IFERROR(__xludf.DUMMYFUNCTION("""COMPUTED_VALUE"""),"นพอ.ณัชปวีย์ เยาวภา")</f>
        <v>นพอ.ณัชปวีย์ เยาวภา</v>
      </c>
      <c r="G20" s="3" t="str">
        <f>IFERROR(__xludf.DUMMYFUNCTION("""COMPUTED_VALUE"""),"ช่วยเหลืองานภายใน วพอ.")</f>
        <v>ช่วยเหลืองานภายใน วพอ.</v>
      </c>
      <c r="H20" s="3" t="str">
        <f>IFERROR(__xludf.DUMMYFUNCTION("""COMPUTED_VALUE"""),"เล่นดุริยางค์")</f>
        <v>เล่นดุริยางค์</v>
      </c>
      <c r="I20" s="3" t="str">
        <f>IFERROR(__xludf.DUMMYFUNCTION("""COMPUTED_VALUE"""),"วิทยาลัยพยาบาลทหารอากาศ")</f>
        <v>วิทยาลัยพยาบาลทหารอากาศ</v>
      </c>
      <c r="J20" s="12">
        <f>IFERROR(__xludf.DUMMYFUNCTION("""COMPUTED_VALUE"""),45950.0)</f>
        <v>45950</v>
      </c>
      <c r="K20" s="3" t="str">
        <f>IFERROR(__xludf.DUMMYFUNCTION("""COMPUTED_VALUE"""),"0700-0740")</f>
        <v>0700-0740</v>
      </c>
      <c r="L20" s="3">
        <f>IFERROR(__xludf.DUMMYFUNCTION("""COMPUTED_VALUE"""),1.0)</f>
        <v>1</v>
      </c>
      <c r="M20" s="3" t="str">
        <f>IFERROR(__xludf.DUMMYFUNCTION("""COMPUTED_VALUE"""),"ร.อ.อนุชิต ทำจะดี")</f>
        <v>ร.อ.อนุชิต ทำจะดี</v>
      </c>
      <c r="N20" s="14" t="str">
        <f>IFERROR(__xludf.DUMMYFUNCTION("""COMPUTED_VALUE"""),"https://lh5.googleusercontent.com/d/1yEr1pjzRbiLTEuj36oXMNg5QaTxA1hFi")</f>
        <v>https://lh5.googleusercontent.com/d/1yEr1pjzRbiLTEuj36oXMNg5QaTxA1hFi</v>
      </c>
      <c r="O20" s="14" t="str">
        <f>IFERROR(__xludf.DUMMYFUNCTION("""COMPUTED_VALUE"""),"https://drive.google.com/file/d/10d2n-SjYqsjI-WeG9jbVuXwXH1Kdth3P/view?usp=drivesdk")</f>
        <v>https://drive.google.com/file/d/10d2n-SjYqsjI-WeG9jbVuXwXH1Kdth3P/view?usp=drivesdk</v>
      </c>
    </row>
    <row r="21">
      <c r="A21" s="3">
        <f>IFERROR(__xludf.DUMMYFUNCTION("""COMPUTED_VALUE"""),257.0)</f>
        <v>257</v>
      </c>
      <c r="B21" s="11">
        <f>IFERROR(__xludf.DUMMYFUNCTION("""COMPUTED_VALUE"""),45985.48930133102)</f>
        <v>45985.4893</v>
      </c>
      <c r="C21" s="3" t="str">
        <f>IFERROR(__xludf.DUMMYFUNCTION("""COMPUTED_VALUE"""),"ชั้นปีที่ 1")</f>
        <v>ชั้นปีที่ 1</v>
      </c>
      <c r="D21" s="3" t="str">
        <f>IFERROR(__xludf.DUMMYFUNCTION("""COMPUTED_VALUE"""),"6803907")</f>
        <v>6803907</v>
      </c>
      <c r="E21" s="3" t="str">
        <f>IFERROR(__xludf.DUMMYFUNCTION("""COMPUTED_VALUE"""),"26")</f>
        <v>26</v>
      </c>
      <c r="F21" s="3" t="str">
        <f>IFERROR(__xludf.DUMMYFUNCTION("""COMPUTED_VALUE"""),"ธีราพร ประสิทธิภาพ")</f>
        <v>ธีราพร ประสิทธิภาพ</v>
      </c>
      <c r="G2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" s="3" t="str">
        <f>IFERROR(__xludf.DUMMYFUNCTION("""COMPUTED_VALUE"""),"Meet the youth hacker Thailand 2025")</f>
        <v>Meet the youth hacker Thailand 2025</v>
      </c>
      <c r="I21" s="3" t="str">
        <f>IFERROR(__xludf.DUMMYFUNCTION("""COMPUTED_VALUE"""),"อาคาร 15 กองบัญชาการกองทัพไทย")</f>
        <v>อาคาร 15 กองบัญชาการกองทัพไทย</v>
      </c>
      <c r="J21" s="12">
        <f>IFERROR(__xludf.DUMMYFUNCTION("""COMPUTED_VALUE"""),45907.0)</f>
        <v>45907</v>
      </c>
      <c r="K21" s="3" t="str">
        <f>IFERROR(__xludf.DUMMYFUNCTION("""COMPUTED_VALUE"""),"07:00-16:30")</f>
        <v>07:00-16:30</v>
      </c>
      <c r="L21" s="3">
        <f>IFERROR(__xludf.DUMMYFUNCTION("""COMPUTED_VALUE"""),8.0)</f>
        <v>8</v>
      </c>
      <c r="M21" s="3" t="str">
        <f>IFERROR(__xludf.DUMMYFUNCTION("""COMPUTED_VALUE"""),"ร.อ. อนุชิต  ทำจะดี")</f>
        <v>ร.อ. อนุชิต  ทำจะดี</v>
      </c>
      <c r="N21" s="14" t="str">
        <f>IFERROR(__xludf.DUMMYFUNCTION("""COMPUTED_VALUE"""),"https://lh5.googleusercontent.com/d/1qlnzS8GE4XV9R_9leWQLQQAM-lR1drGp")</f>
        <v>https://lh5.googleusercontent.com/d/1qlnzS8GE4XV9R_9leWQLQQAM-lR1drGp</v>
      </c>
      <c r="O21" s="14" t="str">
        <f>IFERROR(__xludf.DUMMYFUNCTION("""COMPUTED_VALUE"""),"https://drive.google.com/file/d/1gQt3wdHcYOU3RjGMrj1-NmxYxEcUDmUr/view?usp=drivesdk")</f>
        <v>https://drive.google.com/file/d/1gQt3wdHcYOU3RjGMrj1-NmxYxEcUDmUr/view?usp=drivesdk</v>
      </c>
    </row>
    <row r="22">
      <c r="A22" s="3">
        <f>IFERROR(__xludf.DUMMYFUNCTION("""COMPUTED_VALUE"""),342.0)</f>
        <v>342</v>
      </c>
      <c r="B22" s="11">
        <f>IFERROR(__xludf.DUMMYFUNCTION("""COMPUTED_VALUE"""),45987.540305925926)</f>
        <v>45987.54031</v>
      </c>
      <c r="C22" s="3" t="str">
        <f>IFERROR(__xludf.DUMMYFUNCTION("""COMPUTED_VALUE"""),"ชั้นปีที่ 1")</f>
        <v>ชั้นปีที่ 1</v>
      </c>
      <c r="D22" s="3" t="str">
        <f>IFERROR(__xludf.DUMMYFUNCTION("""COMPUTED_VALUE"""),"6803930")</f>
        <v>6803930</v>
      </c>
      <c r="E22" s="3" t="str">
        <f>IFERROR(__xludf.DUMMYFUNCTION("""COMPUTED_VALUE"""),"49")</f>
        <v>49</v>
      </c>
      <c r="F22" s="3" t="str">
        <f>IFERROR(__xludf.DUMMYFUNCTION("""COMPUTED_VALUE"""),"นพอ.ยุพารัตน์ ดาวลาย")</f>
        <v>นพอ.ยุพารัตน์ ดาวลาย</v>
      </c>
      <c r="G2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2" s="3" t="str">
        <f>IFERROR(__xludf.DUMMYFUNCTION("""COMPUTED_VALUE"""),"ฟังการสัมมนาสื่อสร้างสรรค์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</v>
      </c>
      <c r="I22" s="3" t="str">
        <f>IFERROR(__xludf.DUMMYFUNCTION("""COMPUTED_VALUE"""),"อาคารเอนกประสงค์ เอสซีจี สำนักงานใหญ่ บางซื่อ")</f>
        <v>อาคารเอนกประสงค์ เอสซีจี สำนักงานใหญ่ บางซื่อ</v>
      </c>
      <c r="J22" s="12">
        <f>IFERROR(__xludf.DUMMYFUNCTION("""COMPUTED_VALUE"""),45955.0)</f>
        <v>45955</v>
      </c>
      <c r="K22" s="3" t="str">
        <f>IFERROR(__xludf.DUMMYFUNCTION("""COMPUTED_VALUE"""),"0730-1230")</f>
        <v>0730-1230</v>
      </c>
      <c r="L22" s="3">
        <f>IFERROR(__xludf.DUMMYFUNCTION("""COMPUTED_VALUE"""),5.0)</f>
        <v>5</v>
      </c>
      <c r="M22" s="3" t="str">
        <f>IFERROR(__xludf.DUMMYFUNCTION("""COMPUTED_VALUE"""),"น.ท.หญิง ฤทัยวรรณ นวมพันธ์")</f>
        <v>น.ท.หญิง ฤทัยวรรณ นวมพันธ์</v>
      </c>
      <c r="N22" s="14" t="str">
        <f>IFERROR(__xludf.DUMMYFUNCTION("""COMPUTED_VALUE"""),"https://lh5.googleusercontent.com/d/16vRoi4HgXgJ1UnKNloqc-cHuszsjlHsg")</f>
        <v>https://lh5.googleusercontent.com/d/16vRoi4HgXgJ1UnKNloqc-cHuszsjlHsg</v>
      </c>
      <c r="O22" s="14" t="str">
        <f>IFERROR(__xludf.DUMMYFUNCTION("""COMPUTED_VALUE"""),"https://drive.google.com/file/d/1ML3f_y24uOGylVrkO_wcFrKKfFs1IFG-/view?usp=drivesdk")</f>
        <v>https://drive.google.com/file/d/1ML3f_y24uOGylVrkO_wcFrKKfFs1IFG-/view?usp=drivesdk</v>
      </c>
    </row>
    <row r="23">
      <c r="A23" s="3">
        <f>IFERROR(__xludf.DUMMYFUNCTION("""COMPUTED_VALUE"""),343.0)</f>
        <v>343</v>
      </c>
      <c r="B23" s="11">
        <f>IFERROR(__xludf.DUMMYFUNCTION("""COMPUTED_VALUE"""),45987.61967880787)</f>
        <v>45987.61968</v>
      </c>
      <c r="C23" s="3" t="str">
        <f>IFERROR(__xludf.DUMMYFUNCTION("""COMPUTED_VALUE"""),"ชั้นปีที่ 1")</f>
        <v>ชั้นปีที่ 1</v>
      </c>
      <c r="D23" s="3" t="str">
        <f>IFERROR(__xludf.DUMMYFUNCTION("""COMPUTED_VALUE"""),"6803932")</f>
        <v>6803932</v>
      </c>
      <c r="E23" s="3" t="str">
        <f>IFERROR(__xludf.DUMMYFUNCTION("""COMPUTED_VALUE"""),"51")</f>
        <v>51</v>
      </c>
      <c r="F23" s="3" t="str">
        <f>IFERROR(__xludf.DUMMYFUNCTION("""COMPUTED_VALUE"""),"นพอ.รตนพร สินทรัพย์")</f>
        <v>นพอ.รตนพร สินทรัพย์</v>
      </c>
      <c r="G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" s="3" t="str">
        <f>IFERROR(__xludf.DUMMYFUNCTION("""COMPUTED_VALUE"""),"ฟังการสัมมนาสื่อสร้างสรรค์ เสริมพลังการสื่อสาร พัฒนาสังคมไทย")</f>
        <v>ฟังการสัมมนาสื่อสร้างสรรค์ เสริมพลังการสื่อสาร พัฒนาสังคมไทย</v>
      </c>
      <c r="I23" s="3" t="str">
        <f>IFERROR(__xludf.DUMMYFUNCTION("""COMPUTED_VALUE"""),"อาคารเอนกประสงค์ เอสซีจี สำนักงานใหญ่ บางซื่อ")</f>
        <v>อาคารเอนกประสงค์ เอสซีจี สำนักงานใหญ่ บางซื่อ</v>
      </c>
      <c r="J23" s="12">
        <f>IFERROR(__xludf.DUMMYFUNCTION("""COMPUTED_VALUE"""),45955.0)</f>
        <v>45955</v>
      </c>
      <c r="K23" s="3" t="str">
        <f>IFERROR(__xludf.DUMMYFUNCTION("""COMPUTED_VALUE"""),"0730-1230")</f>
        <v>0730-1230</v>
      </c>
      <c r="L23" s="3">
        <f>IFERROR(__xludf.DUMMYFUNCTION("""COMPUTED_VALUE"""),5.0)</f>
        <v>5</v>
      </c>
      <c r="M23" s="3" t="str">
        <f>IFERROR(__xludf.DUMMYFUNCTION("""COMPUTED_VALUE"""),"น.ท.หญิง ฤทัยวรรณ นวมพันธ์")</f>
        <v>น.ท.หญิง ฤทัยวรรณ นวมพันธ์</v>
      </c>
      <c r="N23" s="14" t="str">
        <f>IFERROR(__xludf.DUMMYFUNCTION("""COMPUTED_VALUE"""),"https://lh5.googleusercontent.com/d/1ySwxfodx8DX0BC1BJZtO0heSYopZWV4r")</f>
        <v>https://lh5.googleusercontent.com/d/1ySwxfodx8DX0BC1BJZtO0heSYopZWV4r</v>
      </c>
      <c r="O23" s="14" t="str">
        <f>IFERROR(__xludf.DUMMYFUNCTION("""COMPUTED_VALUE"""),"https://drive.google.com/file/d/1MFVWG3_u18G55wmbCysXAlTZg2Qswx6p/view?usp=drivesdk")</f>
        <v>https://drive.google.com/file/d/1MFVWG3_u18G55wmbCysXAlTZg2Qswx6p/view?usp=drivesdk</v>
      </c>
    </row>
    <row r="24">
      <c r="A24" s="3">
        <f>IFERROR(__xludf.DUMMYFUNCTION("""COMPUTED_VALUE"""),344.0)</f>
        <v>344</v>
      </c>
      <c r="B24" s="11">
        <f>IFERROR(__xludf.DUMMYFUNCTION("""COMPUTED_VALUE"""),45987.626854861104)</f>
        <v>45987.62685</v>
      </c>
      <c r="C24" s="3" t="str">
        <f>IFERROR(__xludf.DUMMYFUNCTION("""COMPUTED_VALUE"""),"ชั้นปีที่ 1")</f>
        <v>ชั้นปีที่ 1</v>
      </c>
      <c r="D24" s="3" t="str">
        <f>IFERROR(__xludf.DUMMYFUNCTION("""COMPUTED_VALUE"""),"6803888")</f>
        <v>6803888</v>
      </c>
      <c r="E24" s="3" t="str">
        <f>IFERROR(__xludf.DUMMYFUNCTION("""COMPUTED_VALUE"""),"7")</f>
        <v>7</v>
      </c>
      <c r="F24" s="3" t="str">
        <f>IFERROR(__xludf.DUMMYFUNCTION("""COMPUTED_VALUE"""),"กันต์ธิดา นาคทอง")</f>
        <v>กันต์ธิดา นาคทอง</v>
      </c>
      <c r="G2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4" s="3" t="str">
        <f>IFERROR(__xludf.DUMMYFUNCTION("""COMPUTED_VALUE"""),"บริจาคโลหิต")</f>
        <v>บริจาคโลหิต</v>
      </c>
      <c r="I24" s="3" t="str">
        <f>IFERROR(__xludf.DUMMYFUNCTION("""COMPUTED_VALUE"""),"สภากาชาดไทย")</f>
        <v>สภากาชาดไทย</v>
      </c>
      <c r="J24" s="12">
        <f>IFERROR(__xludf.DUMMYFUNCTION("""COMPUTED_VALUE"""),45916.0)</f>
        <v>45916</v>
      </c>
      <c r="K24" s="3" t="str">
        <f>IFERROR(__xludf.DUMMYFUNCTION("""COMPUTED_VALUE"""),"06.00-14.00")</f>
        <v>06.00-14.00</v>
      </c>
      <c r="L24" s="3">
        <f>IFERROR(__xludf.DUMMYFUNCTION("""COMPUTED_VALUE"""),8.0)</f>
        <v>8</v>
      </c>
      <c r="M24" s="3" t="str">
        <f>IFERROR(__xludf.DUMMYFUNCTION("""COMPUTED_VALUE"""),"น.ท.หญิง อนุกูล บำรุงวงค์")</f>
        <v>น.ท.หญิง อนุกูล บำรุงวงค์</v>
      </c>
      <c r="N24" s="14" t="str">
        <f>IFERROR(__xludf.DUMMYFUNCTION("""COMPUTED_VALUE"""),"https://lh5.googleusercontent.com/d/1P3GHimpu4ok9jQP9Xd_gv52bhGFCBFGs")</f>
        <v>https://lh5.googleusercontent.com/d/1P3GHimpu4ok9jQP9Xd_gv52bhGFCBFGs</v>
      </c>
      <c r="O24" s="14" t="str">
        <f>IFERROR(__xludf.DUMMYFUNCTION("""COMPUTED_VALUE"""),"https://drive.google.com/file/d/14ma_6XYiBLjim9sZCSb8qssES5_NKYzN/view?usp=drivesdk")</f>
        <v>https://drive.google.com/file/d/14ma_6XYiBLjim9sZCSb8qssES5_NKYzN/view?usp=drivesdk</v>
      </c>
    </row>
    <row r="25">
      <c r="A25" s="3">
        <f>IFERROR(__xludf.DUMMYFUNCTION("""COMPUTED_VALUE"""),345.0)</f>
        <v>345</v>
      </c>
      <c r="B25" s="11">
        <f>IFERROR(__xludf.DUMMYFUNCTION("""COMPUTED_VALUE"""),45987.630135196756)</f>
        <v>45987.63014</v>
      </c>
      <c r="C25" s="3" t="str">
        <f>IFERROR(__xludf.DUMMYFUNCTION("""COMPUTED_VALUE"""),"ชั้นปีที่ 1")</f>
        <v>ชั้นปีที่ 1</v>
      </c>
      <c r="D25" s="3" t="str">
        <f>IFERROR(__xludf.DUMMYFUNCTION("""COMPUTED_VALUE"""),"6803934")</f>
        <v>6803934</v>
      </c>
      <c r="E25" s="3" t="str">
        <f>IFERROR(__xludf.DUMMYFUNCTION("""COMPUTED_VALUE"""),"53")</f>
        <v>53</v>
      </c>
      <c r="F25" s="3" t="str">
        <f>IFERROR(__xludf.DUMMYFUNCTION("""COMPUTED_VALUE"""),"นพอ.วริศรา ออละมาลี")</f>
        <v>นพอ.วริศรา ออละมาลี</v>
      </c>
      <c r="G2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5" s="3" t="str">
        <f>IFERROR(__xludf.DUMMYFUNCTION("""COMPUTED_VALUE"""),"พยาบาลไทยบริจาคโลหิต ช่วยชิวิตเพื่อนมนุษย์ ปี4")</f>
        <v>พยาบาลไทยบริจาคโลหิต ช่วยชิวิตเพื่อนมนุษย์ ปี4</v>
      </c>
      <c r="I25" s="3" t="str">
        <f>IFERROR(__xludf.DUMMYFUNCTION("""COMPUTED_VALUE"""),"สภากาชาด")</f>
        <v>สภากาชาด</v>
      </c>
      <c r="J25" s="12">
        <f>IFERROR(__xludf.DUMMYFUNCTION("""COMPUTED_VALUE"""),45916.0)</f>
        <v>45916</v>
      </c>
      <c r="K25" s="3" t="str">
        <f>IFERROR(__xludf.DUMMYFUNCTION("""COMPUTED_VALUE"""),"0900")</f>
        <v>0900</v>
      </c>
      <c r="L25" s="3">
        <f>IFERROR(__xludf.DUMMYFUNCTION("""COMPUTED_VALUE"""),8.0)</f>
        <v>8</v>
      </c>
      <c r="M25" s="3" t="str">
        <f>IFERROR(__xludf.DUMMYFUNCTION("""COMPUTED_VALUE"""),"น.ท.หญิง อนุกูล บำรุงวงค์")</f>
        <v>น.ท.หญิง อนุกูล บำรุงวงค์</v>
      </c>
      <c r="N25" s="14" t="str">
        <f>IFERROR(__xludf.DUMMYFUNCTION("""COMPUTED_VALUE"""),"https://lh5.googleusercontent.com/d/1f0ArCIHHcPvN-Gb2PA_iUTn5pvfq0OYe")</f>
        <v>https://lh5.googleusercontent.com/d/1f0ArCIHHcPvN-Gb2PA_iUTn5pvfq0OYe</v>
      </c>
      <c r="O25" s="14" t="str">
        <f>IFERROR(__xludf.DUMMYFUNCTION("""COMPUTED_VALUE"""),"https://drive.google.com/file/d/1ZE9Gti52tTqOYV0vZWJxf9pB8ms1tIBv/view?usp=drivesdk")</f>
        <v>https://drive.google.com/file/d/1ZE9Gti52tTqOYV0vZWJxf9pB8ms1tIBv/view?usp=drivesdk</v>
      </c>
    </row>
    <row r="26">
      <c r="A26" s="3">
        <f>IFERROR(__xludf.DUMMYFUNCTION("""COMPUTED_VALUE"""),346.0)</f>
        <v>346</v>
      </c>
      <c r="B26" s="11">
        <f>IFERROR(__xludf.DUMMYFUNCTION("""COMPUTED_VALUE"""),45987.63355626157)</f>
        <v>45987.63356</v>
      </c>
      <c r="C26" s="3" t="str">
        <f>IFERROR(__xludf.DUMMYFUNCTION("""COMPUTED_VALUE"""),"ชั้นปีที่ 1")</f>
        <v>ชั้นปีที่ 1</v>
      </c>
      <c r="D26" s="3" t="str">
        <f>IFERROR(__xludf.DUMMYFUNCTION("""COMPUTED_VALUE"""),"6803888")</f>
        <v>6803888</v>
      </c>
      <c r="E26" s="3" t="str">
        <f>IFERROR(__xludf.DUMMYFUNCTION("""COMPUTED_VALUE"""),"7")</f>
        <v>7</v>
      </c>
      <c r="F26" s="3" t="str">
        <f>IFERROR(__xludf.DUMMYFUNCTION("""COMPUTED_VALUE"""),"กันต์ธิดา นาคทอง")</f>
        <v>กันต์ธิดา นาคทอง</v>
      </c>
      <c r="G2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" s="3" t="str">
        <f>IFERROR(__xludf.DUMMYFUNCTION("""COMPUTED_VALUE"""),"การเดินรณรงค์เพื่อรำลึกถึงผู้สูญเสียจากอุบัติเหตุจราจร")</f>
        <v>การเดินรณรงค์เพื่อรำลึกถึงผู้สูญเสียจากอุบัติเหตุจราจร</v>
      </c>
      <c r="I26" s="3" t="str">
        <f>IFERROR(__xludf.DUMMYFUNCTION("""COMPUTED_VALUE"""),"ตึกสหประชาชาติ")</f>
        <v>ตึกสหประชาชาติ</v>
      </c>
      <c r="J26" s="12">
        <f>IFERROR(__xludf.DUMMYFUNCTION("""COMPUTED_VALUE"""),45977.0)</f>
        <v>45977</v>
      </c>
      <c r="K26" s="3" t="str">
        <f>IFERROR(__xludf.DUMMYFUNCTION("""COMPUTED_VALUE"""),"6.30-9.30")</f>
        <v>6.30-9.30</v>
      </c>
      <c r="L26" s="3">
        <f>IFERROR(__xludf.DUMMYFUNCTION("""COMPUTED_VALUE"""),3.0)</f>
        <v>3</v>
      </c>
      <c r="M26" s="3" t="str">
        <f>IFERROR(__xludf.DUMMYFUNCTION("""COMPUTED_VALUE"""),"น.ต.หญิง ตวงทิพย์ ลดาวัลย์")</f>
        <v>น.ต.หญิง ตวงทิพย์ ลดาวัลย์</v>
      </c>
      <c r="N26" s="14" t="str">
        <f>IFERROR(__xludf.DUMMYFUNCTION("""COMPUTED_VALUE"""),"https://lh5.googleusercontent.com/d/155Ej3nvULoZSIogQx6zc0PX0jlFtoCHy")</f>
        <v>https://lh5.googleusercontent.com/d/155Ej3nvULoZSIogQx6zc0PX0jlFtoCHy</v>
      </c>
      <c r="O26" s="14" t="str">
        <f>IFERROR(__xludf.DUMMYFUNCTION("""COMPUTED_VALUE"""),"https://drive.google.com/file/d/1OyRcyGF5tPYSwoGLpo9EGKjN1Jp_XDWR/view?usp=drivesdk")</f>
        <v>https://drive.google.com/file/d/1OyRcyGF5tPYSwoGLpo9EGKjN1Jp_XDWR/view?usp=drivesdk</v>
      </c>
    </row>
    <row r="27">
      <c r="A27" s="3">
        <f>IFERROR(__xludf.DUMMYFUNCTION("""COMPUTED_VALUE"""),348.0)</f>
        <v>348</v>
      </c>
      <c r="B27" s="11">
        <f>IFERROR(__xludf.DUMMYFUNCTION("""COMPUTED_VALUE"""),46177.955062361114)</f>
        <v>46177.95506</v>
      </c>
      <c r="C27" s="3" t="str">
        <f>IFERROR(__xludf.DUMMYFUNCTION("""COMPUTED_VALUE"""),"ชั้นปีที่ 1")</f>
        <v>ชั้นปีที่ 1</v>
      </c>
      <c r="D27" s="3" t="str">
        <f>IFERROR(__xludf.DUMMYFUNCTION("""COMPUTED_VALUE"""),"6803896")</f>
        <v>6803896</v>
      </c>
      <c r="E27" s="3" t="str">
        <f>IFERROR(__xludf.DUMMYFUNCTION("""COMPUTED_VALUE"""),"15")</f>
        <v>15</v>
      </c>
      <c r="F27" s="3" t="str">
        <f>IFERROR(__xludf.DUMMYFUNCTION("""COMPUTED_VALUE"""),"ณัชปวีย์ เยาวภา")</f>
        <v>ณัชปวีย์ เยาวภา</v>
      </c>
      <c r="G27" s="3" t="str">
        <f>IFERROR(__xludf.DUMMYFUNCTION("""COMPUTED_VALUE"""),"ช่วยเหลืองานภายใน วพอ.")</f>
        <v>ช่วยเหลืองานภายใน วพอ.</v>
      </c>
      <c r="H27" s="3" t="str">
        <f>IFERROR(__xludf.DUMMYFUNCTION("""COMPUTED_VALUE"""),"เล่นดุริยางค์")</f>
        <v>เล่นดุริยางค์</v>
      </c>
      <c r="I27" s="3" t="str">
        <f>IFERROR(__xludf.DUMMYFUNCTION("""COMPUTED_VALUE"""),"วพอ.พอ.")</f>
        <v>วพอ.พอ.</v>
      </c>
      <c r="J27" s="12">
        <f>IFERROR(__xludf.DUMMYFUNCTION("""COMPUTED_VALUE"""),45950.0)</f>
        <v>45950</v>
      </c>
      <c r="K27" s="3" t="str">
        <f>IFERROR(__xludf.DUMMYFUNCTION("""COMPUTED_VALUE"""),"ร.อ.อนุชิต ทำจะดี")</f>
        <v>ร.อ.อนุชิต ทำจะดี</v>
      </c>
      <c r="L27" s="3"/>
      <c r="M27" s="3" t="str">
        <f>IFERROR(__xludf.DUMMYFUNCTION("""COMPUTED_VALUE"""),"ร.อ.อนุชิต ทำจะดี")</f>
        <v>ร.อ.อนุชิต ทำจะดี</v>
      </c>
      <c r="N27" s="14" t="str">
        <f>IFERROR(__xludf.DUMMYFUNCTION("""COMPUTED_VALUE"""),"https://lh5.googleusercontent.com/d/1d1Bjp2Q4TABNMK6b86Ky2bJ7aR85l5kM")</f>
        <v>https://lh5.googleusercontent.com/d/1d1Bjp2Q4TABNMK6b86Ky2bJ7aR85l5kM</v>
      </c>
      <c r="O27" s="14" t="str">
        <f>IFERROR(__xludf.DUMMYFUNCTION("""COMPUTED_VALUE"""),"https://drive.google.com/file/d/1vRwNK69JSG8qmBXwf60jSQu6-ylnF8u0/view?usp=drivesdk")</f>
        <v>https://drive.google.com/file/d/1vRwNK69JSG8qmBXwf60jSQu6-ylnF8u0/view?usp=drivesdk</v>
      </c>
    </row>
    <row r="28">
      <c r="A28" s="3">
        <f>IFERROR(__xludf.DUMMYFUNCTION("""COMPUTED_VALUE"""),349.0)</f>
        <v>349</v>
      </c>
      <c r="B28" s="11">
        <f>IFERROR(__xludf.DUMMYFUNCTION("""COMPUTED_VALUE"""),45987.754642708336)</f>
        <v>45987.75464</v>
      </c>
      <c r="C28" s="3" t="str">
        <f>IFERROR(__xludf.DUMMYFUNCTION("""COMPUTED_VALUE"""),"ชั้นปีที่ 1")</f>
        <v>ชั้นปีที่ 1</v>
      </c>
      <c r="D28" s="3" t="str">
        <f>IFERROR(__xludf.DUMMYFUNCTION("""COMPUTED_VALUE"""),"6803910")</f>
        <v>6803910</v>
      </c>
      <c r="E28" s="3" t="str">
        <f>IFERROR(__xludf.DUMMYFUNCTION("""COMPUTED_VALUE"""),"29")</f>
        <v>29</v>
      </c>
      <c r="F28" s="3" t="str">
        <f>IFERROR(__xludf.DUMMYFUNCTION("""COMPUTED_VALUE"""),"นวพร โอรัตนสถาพร")</f>
        <v>นวพร โอรัตนสถาพร</v>
      </c>
      <c r="G28" s="3" t="str">
        <f>IFERROR(__xludf.DUMMYFUNCTION("""COMPUTED_VALUE"""),"ช่วยเหลืองานภายใน วพอ.")</f>
        <v>ช่วยเหลืองานภายใน วพอ.</v>
      </c>
      <c r="H28" s="3" t="str">
        <f>IFERROR(__xludf.DUMMYFUNCTION("""COMPUTED_VALUE"""),"เล่นดุริยางค์")</f>
        <v>เล่นดุริยางค์</v>
      </c>
      <c r="I28" s="3" t="str">
        <f>IFERROR(__xludf.DUMMYFUNCTION("""COMPUTED_VALUE"""),"วพอ.พอ")</f>
        <v>วพอ.พอ</v>
      </c>
      <c r="J28" s="12">
        <f>IFERROR(__xludf.DUMMYFUNCTION("""COMPUTED_VALUE"""),45950.0)</f>
        <v>45950</v>
      </c>
      <c r="K28" s="3" t="str">
        <f>IFERROR(__xludf.DUMMYFUNCTION("""COMPUTED_VALUE"""),"0700-0740")</f>
        <v>0700-0740</v>
      </c>
      <c r="L28" s="3">
        <f>IFERROR(__xludf.DUMMYFUNCTION("""COMPUTED_VALUE"""),1.0)</f>
        <v>1</v>
      </c>
      <c r="M28" s="3" t="str">
        <f>IFERROR(__xludf.DUMMYFUNCTION("""COMPUTED_VALUE"""),"ร.อ.อนุชิต ทำจะดี")</f>
        <v>ร.อ.อนุชิต ทำจะดี</v>
      </c>
      <c r="N28" s="14" t="str">
        <f>IFERROR(__xludf.DUMMYFUNCTION("""COMPUTED_VALUE"""),"https://lh5.googleusercontent.com/d/10AvAsF3oINfe9THRihPTowaWs6rC4A3a")</f>
        <v>https://lh5.googleusercontent.com/d/10AvAsF3oINfe9THRihPTowaWs6rC4A3a</v>
      </c>
      <c r="O28" s="14" t="str">
        <f>IFERROR(__xludf.DUMMYFUNCTION("""COMPUTED_VALUE"""),"https://drive.google.com/file/d/1ppigfG_uvsAui-38e3utF5CdZWBowi4_/view?usp=drivesdk")</f>
        <v>https://drive.google.com/file/d/1ppigfG_uvsAui-38e3utF5CdZWBowi4_/view?usp=drivesdk</v>
      </c>
    </row>
    <row r="29">
      <c r="A29" s="3">
        <f>IFERROR(__xludf.DUMMYFUNCTION("""COMPUTED_VALUE"""),350.0)</f>
        <v>350</v>
      </c>
      <c r="B29" s="11">
        <f>IFERROR(__xludf.DUMMYFUNCTION("""COMPUTED_VALUE"""),45987.754999108794)</f>
        <v>45987.755</v>
      </c>
      <c r="C29" s="3" t="str">
        <f>IFERROR(__xludf.DUMMYFUNCTION("""COMPUTED_VALUE"""),"ชั้นปีที่ 1")</f>
        <v>ชั้นปีที่ 1</v>
      </c>
      <c r="D29" s="3" t="str">
        <f>IFERROR(__xludf.DUMMYFUNCTION("""COMPUTED_VALUE"""),"6803925")</f>
        <v>6803925</v>
      </c>
      <c r="E29" s="3" t="str">
        <f>IFERROR(__xludf.DUMMYFUNCTION("""COMPUTED_VALUE"""),"44")</f>
        <v>44</v>
      </c>
      <c r="F29" s="3" t="str">
        <f>IFERROR(__xludf.DUMMYFUNCTION("""COMPUTED_VALUE"""),"ภัทรพร ม่วงแคล้ว")</f>
        <v>ภัทรพร ม่วงแคล้ว</v>
      </c>
      <c r="G29" s="3" t="str">
        <f>IFERROR(__xludf.DUMMYFUNCTION("""COMPUTED_VALUE"""),"ช่วยเหลืองานภายใน วพอ.")</f>
        <v>ช่วยเหลืองานภายใน วพอ.</v>
      </c>
      <c r="H29" s="3" t="str">
        <f>IFERROR(__xludf.DUMMYFUNCTION("""COMPUTED_VALUE"""),"เล่นดุริยางค์นำเข้าแถว")</f>
        <v>เล่นดุริยางค์นำเข้าแถว</v>
      </c>
      <c r="I29" s="3" t="str">
        <f>IFERROR(__xludf.DUMMYFUNCTION("""COMPUTED_VALUE"""),"วพอ. พอ.")</f>
        <v>วพอ. พอ.</v>
      </c>
      <c r="J29" s="12">
        <f>IFERROR(__xludf.DUMMYFUNCTION("""COMPUTED_VALUE"""),45951.0)</f>
        <v>45951</v>
      </c>
      <c r="K29" s="3" t="str">
        <f>IFERROR(__xludf.DUMMYFUNCTION("""COMPUTED_VALUE"""),"0700-0740")</f>
        <v>0700-0740</v>
      </c>
      <c r="L29" s="3">
        <f>IFERROR(__xludf.DUMMYFUNCTION("""COMPUTED_VALUE"""),1.0)</f>
        <v>1</v>
      </c>
      <c r="M29" s="3" t="str">
        <f>IFERROR(__xludf.DUMMYFUNCTION("""COMPUTED_VALUE"""),"ร.อ.อนุชิต ทำจะดี")</f>
        <v>ร.อ.อนุชิต ทำจะดี</v>
      </c>
      <c r="N29" s="14" t="str">
        <f>IFERROR(__xludf.DUMMYFUNCTION("""COMPUTED_VALUE"""),"https://lh5.googleusercontent.com/d/18nM3bQoGh7YqZ7MmhIX3hdhdVy1bGnQX")</f>
        <v>https://lh5.googleusercontent.com/d/18nM3bQoGh7YqZ7MmhIX3hdhdVy1bGnQX</v>
      </c>
      <c r="O29" s="14" t="str">
        <f>IFERROR(__xludf.DUMMYFUNCTION("""COMPUTED_VALUE"""),"https://drive.google.com/file/d/1F1ZnyA6Yv94kcXF---uxALwR8h1mNBqr/view?usp=drivesdk")</f>
        <v>https://drive.google.com/file/d/1F1ZnyA6Yv94kcXF---uxALwR8h1mNBqr/view?usp=drivesdk</v>
      </c>
    </row>
    <row r="30">
      <c r="A30" s="3">
        <f>IFERROR(__xludf.DUMMYFUNCTION("""COMPUTED_VALUE"""),351.0)</f>
        <v>351</v>
      </c>
      <c r="B30" s="11">
        <f>IFERROR(__xludf.DUMMYFUNCTION("""COMPUTED_VALUE"""),45987.75693859954)</f>
        <v>45987.75694</v>
      </c>
      <c r="C30" s="3" t="str">
        <f>IFERROR(__xludf.DUMMYFUNCTION("""COMPUTED_VALUE"""),"ชั้นปีที่ 1")</f>
        <v>ชั้นปีที่ 1</v>
      </c>
      <c r="D30" s="3" t="str">
        <f>IFERROR(__xludf.DUMMYFUNCTION("""COMPUTED_VALUE"""),"6803912")</f>
        <v>6803912</v>
      </c>
      <c r="E30" s="3" t="str">
        <f>IFERROR(__xludf.DUMMYFUNCTION("""COMPUTED_VALUE"""),"31")</f>
        <v>31</v>
      </c>
      <c r="F30" s="3" t="str">
        <f>IFERROR(__xludf.DUMMYFUNCTION("""COMPUTED_VALUE"""),"เบญจวรรณ มณีแนว")</f>
        <v>เบญจวรรณ มณีแนว</v>
      </c>
      <c r="G30" s="3" t="str">
        <f>IFERROR(__xludf.DUMMYFUNCTION("""COMPUTED_VALUE"""),"ช่วยเหลืองานภายใน วพอ.")</f>
        <v>ช่วยเหลืองานภายใน วพอ.</v>
      </c>
      <c r="H30" s="3" t="str">
        <f>IFERROR(__xludf.DUMMYFUNCTION("""COMPUTED_VALUE"""),"ดุริยางค์")</f>
        <v>ดุริยางค์</v>
      </c>
      <c r="I30" s="3" t="str">
        <f>IFERROR(__xludf.DUMMYFUNCTION("""COMPUTED_VALUE"""),"หน้าคุณพ่อ")</f>
        <v>หน้าคุณพ่อ</v>
      </c>
      <c r="J30" s="12">
        <f>IFERROR(__xludf.DUMMYFUNCTION("""COMPUTED_VALUE"""),45946.0)</f>
        <v>45946</v>
      </c>
      <c r="K30" s="3" t="str">
        <f>IFERROR(__xludf.DUMMYFUNCTION("""COMPUTED_VALUE"""),"0700-0740")</f>
        <v>0700-0740</v>
      </c>
      <c r="L30" s="3">
        <f>IFERROR(__xludf.DUMMYFUNCTION("""COMPUTED_VALUE"""),1.0)</f>
        <v>1</v>
      </c>
      <c r="M30" s="3" t="str">
        <f>IFERROR(__xludf.DUMMYFUNCTION("""COMPUTED_VALUE"""),"ร.อ.อนุชิต ทำจะดี")</f>
        <v>ร.อ.อนุชิต ทำจะดี</v>
      </c>
      <c r="N30" s="14" t="str">
        <f>IFERROR(__xludf.DUMMYFUNCTION("""COMPUTED_VALUE"""),"https://lh5.googleusercontent.com/d/1dLtLDdA6U2FLXJkkXAJTSds97YXTZmXz")</f>
        <v>https://lh5.googleusercontent.com/d/1dLtLDdA6U2FLXJkkXAJTSds97YXTZmXz</v>
      </c>
      <c r="O30" s="14" t="str">
        <f>IFERROR(__xludf.DUMMYFUNCTION("""COMPUTED_VALUE"""),"https://drive.google.com/file/d/1JGyi_YHwsHTZ2Gv-jO9VHSM7UCVZ0ab_/view?usp=drivesdk")</f>
        <v>https://drive.google.com/file/d/1JGyi_YHwsHTZ2Gv-jO9VHSM7UCVZ0ab_/view?usp=drivesdk</v>
      </c>
    </row>
    <row r="31">
      <c r="A31" s="3">
        <f>IFERROR(__xludf.DUMMYFUNCTION("""COMPUTED_VALUE"""),352.0)</f>
        <v>352</v>
      </c>
      <c r="B31" s="11">
        <f>IFERROR(__xludf.DUMMYFUNCTION("""COMPUTED_VALUE"""),45987.75884717593)</f>
        <v>45987.75885</v>
      </c>
      <c r="C31" s="3" t="str">
        <f>IFERROR(__xludf.DUMMYFUNCTION("""COMPUTED_VALUE"""),"ชั้นปีที่ 1")</f>
        <v>ชั้นปีที่ 1</v>
      </c>
      <c r="D31" s="3" t="str">
        <f>IFERROR(__xludf.DUMMYFUNCTION("""COMPUTED_VALUE"""),"6803910")</f>
        <v>6803910</v>
      </c>
      <c r="E31" s="3" t="str">
        <f>IFERROR(__xludf.DUMMYFUNCTION("""COMPUTED_VALUE"""),"29")</f>
        <v>29</v>
      </c>
      <c r="F31" s="3" t="str">
        <f>IFERROR(__xludf.DUMMYFUNCTION("""COMPUTED_VALUE"""),"นวพร โอรัตนสถาพร")</f>
        <v>นวพร โอรัตนสถาพร</v>
      </c>
      <c r="G31" s="3" t="str">
        <f>IFERROR(__xludf.DUMMYFUNCTION("""COMPUTED_VALUE"""),"ช่วยเหลืองานภายใน วพอ.")</f>
        <v>ช่วยเหลืองานภายใน วพอ.</v>
      </c>
      <c r="H31" s="3" t="str">
        <f>IFERROR(__xludf.DUMMYFUNCTION("""COMPUTED_VALUE"""),"เล่นดุริยางค์")</f>
        <v>เล่นดุริยางค์</v>
      </c>
      <c r="I31" s="3" t="str">
        <f>IFERROR(__xludf.DUMMYFUNCTION("""COMPUTED_VALUE"""),"วพอ.พอ.")</f>
        <v>วพอ.พอ.</v>
      </c>
      <c r="J31" s="12">
        <f>IFERROR(__xludf.DUMMYFUNCTION("""COMPUTED_VALUE"""),45951.0)</f>
        <v>45951</v>
      </c>
      <c r="K31" s="3" t="str">
        <f>IFERROR(__xludf.DUMMYFUNCTION("""COMPUTED_VALUE"""),"0700-0740")</f>
        <v>0700-0740</v>
      </c>
      <c r="L31" s="3">
        <f>IFERROR(__xludf.DUMMYFUNCTION("""COMPUTED_VALUE"""),1.0)</f>
        <v>1</v>
      </c>
      <c r="M31" s="3" t="str">
        <f>IFERROR(__xludf.DUMMYFUNCTION("""COMPUTED_VALUE"""),"ร.อ.อนุชิต ทำจะดี")</f>
        <v>ร.อ.อนุชิต ทำจะดี</v>
      </c>
      <c r="N31" s="14" t="str">
        <f>IFERROR(__xludf.DUMMYFUNCTION("""COMPUTED_VALUE"""),"https://lh5.googleusercontent.com/d/1fY0xt2vV17WlLrzOYdOpEyywtl7L_aSY")</f>
        <v>https://lh5.googleusercontent.com/d/1fY0xt2vV17WlLrzOYdOpEyywtl7L_aSY</v>
      </c>
      <c r="O31" s="14" t="str">
        <f>IFERROR(__xludf.DUMMYFUNCTION("""COMPUTED_VALUE"""),"https://drive.google.com/file/d/1eX8OU-JHzU4n6FkM3orMAkv677vk25ST/view?usp=drivesdk")</f>
        <v>https://drive.google.com/file/d/1eX8OU-JHzU4n6FkM3orMAkv677vk25ST/view?usp=drivesdk</v>
      </c>
    </row>
    <row r="32">
      <c r="A32" s="3">
        <f>IFERROR(__xludf.DUMMYFUNCTION("""COMPUTED_VALUE"""),353.0)</f>
        <v>353</v>
      </c>
      <c r="B32" s="11">
        <f>IFERROR(__xludf.DUMMYFUNCTION("""COMPUTED_VALUE"""),45987.75924738427)</f>
        <v>45987.75925</v>
      </c>
      <c r="C32" s="3" t="str">
        <f>IFERROR(__xludf.DUMMYFUNCTION("""COMPUTED_VALUE"""),"ชั้นปีที่ 1")</f>
        <v>ชั้นปีที่ 1</v>
      </c>
      <c r="D32" s="3" t="str">
        <f>IFERROR(__xludf.DUMMYFUNCTION("""COMPUTED_VALUE"""),"6803925")</f>
        <v>6803925</v>
      </c>
      <c r="E32" s="3" t="str">
        <f>IFERROR(__xludf.DUMMYFUNCTION("""COMPUTED_VALUE"""),"44")</f>
        <v>44</v>
      </c>
      <c r="F32" s="3" t="str">
        <f>IFERROR(__xludf.DUMMYFUNCTION("""COMPUTED_VALUE"""),"ภัทรพร ม่วงแคล้ว")</f>
        <v>ภัทรพร ม่วงแคล้ว</v>
      </c>
      <c r="G32" s="3" t="str">
        <f>IFERROR(__xludf.DUMMYFUNCTION("""COMPUTED_VALUE"""),"ช่วยเหลืองานภายใน วพอ.")</f>
        <v>ช่วยเหลืองานภายใน วพอ.</v>
      </c>
      <c r="H32" s="3" t="str">
        <f>IFERROR(__xludf.DUMMYFUNCTION("""COMPUTED_VALUE"""),"เล่นดุริยางค์นำเข้าแถว")</f>
        <v>เล่นดุริยางค์นำเข้าแถว</v>
      </c>
      <c r="I32" s="3" t="str">
        <f>IFERROR(__xludf.DUMMYFUNCTION("""COMPUTED_VALUE"""),"วพอ. พอ.")</f>
        <v>วพอ. พอ.</v>
      </c>
      <c r="J32" s="12">
        <f>IFERROR(__xludf.DUMMYFUNCTION("""COMPUTED_VALUE"""),45946.0)</f>
        <v>45946</v>
      </c>
      <c r="K32" s="3" t="str">
        <f>IFERROR(__xludf.DUMMYFUNCTION("""COMPUTED_VALUE"""),"0700-0740")</f>
        <v>0700-0740</v>
      </c>
      <c r="L32" s="3">
        <f>IFERROR(__xludf.DUMMYFUNCTION("""COMPUTED_VALUE"""),1.0)</f>
        <v>1</v>
      </c>
      <c r="M32" s="3" t="str">
        <f>IFERROR(__xludf.DUMMYFUNCTION("""COMPUTED_VALUE"""),"ร.อ.อนุชิต ทำจะดี")</f>
        <v>ร.อ.อนุชิต ทำจะดี</v>
      </c>
      <c r="N32" s="14" t="str">
        <f>IFERROR(__xludf.DUMMYFUNCTION("""COMPUTED_VALUE"""),"https://lh5.googleusercontent.com/d/1j6CuJppwDVfR2PLtoADTU7lA3gd1V61q")</f>
        <v>https://lh5.googleusercontent.com/d/1j6CuJppwDVfR2PLtoADTU7lA3gd1V61q</v>
      </c>
      <c r="O32" s="14" t="str">
        <f>IFERROR(__xludf.DUMMYFUNCTION("""COMPUTED_VALUE"""),"https://drive.google.com/file/d/1b2h7Cxhu3yg8pVFwHLiVnOKOeJQmcVzR/view?usp=drivesdk")</f>
        <v>https://drive.google.com/file/d/1b2h7Cxhu3yg8pVFwHLiVnOKOeJQmcVzR/view?usp=drivesdk</v>
      </c>
    </row>
    <row r="33">
      <c r="A33" s="3">
        <f>IFERROR(__xludf.DUMMYFUNCTION("""COMPUTED_VALUE"""),396.0)</f>
        <v>396</v>
      </c>
      <c r="B33" s="11">
        <f>IFERROR(__xludf.DUMMYFUNCTION("""COMPUTED_VALUE"""),45988.79369162037)</f>
        <v>45988.79369</v>
      </c>
      <c r="C33" s="3" t="str">
        <f>IFERROR(__xludf.DUMMYFUNCTION("""COMPUTED_VALUE"""),"ชั้นปีที่ 1")</f>
        <v>ชั้นปีที่ 1</v>
      </c>
      <c r="D33" s="3" t="str">
        <f>IFERROR(__xludf.DUMMYFUNCTION("""COMPUTED_VALUE"""),"6803926")</f>
        <v>6803926</v>
      </c>
      <c r="E33" s="3" t="str">
        <f>IFERROR(__xludf.DUMMYFUNCTION("""COMPUTED_VALUE"""),"45")</f>
        <v>45</v>
      </c>
      <c r="F33" s="3" t="str">
        <f>IFERROR(__xludf.DUMMYFUNCTION("""COMPUTED_VALUE"""),"ภัทราพร ถึงกัน")</f>
        <v>ภัทราพร ถึงกัน</v>
      </c>
      <c r="G3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3" s="3" t="str">
        <f>IFERROR(__xludf.DUMMYFUNCTION("""COMPUTED_VALUE"""),"Meet The Youth Cyber Guardians Thailand 2025")</f>
        <v>Meet The Youth Cyber Guardians Thailand 2025</v>
      </c>
      <c r="I33" s="3" t="str">
        <f>IFERROR(__xludf.DUMMYFUNCTION("""COMPUTED_VALUE"""),"กองบัญชาการกองทัพไทย")</f>
        <v>กองบัญชาการกองทัพไทย</v>
      </c>
      <c r="J33" s="12">
        <f>IFERROR(__xludf.DUMMYFUNCTION("""COMPUTED_VALUE"""),45907.0)</f>
        <v>45907</v>
      </c>
      <c r="K33" s="3" t="str">
        <f>IFERROR(__xludf.DUMMYFUNCTION("""COMPUTED_VALUE"""),"0700-1630")</f>
        <v>0700-1630</v>
      </c>
      <c r="L33" s="3">
        <f>IFERROR(__xludf.DUMMYFUNCTION("""COMPUTED_VALUE"""),8.0)</f>
        <v>8</v>
      </c>
      <c r="M33" s="3" t="str">
        <f>IFERROR(__xludf.DUMMYFUNCTION("""COMPUTED_VALUE"""),"ร.อ.อนุชิต ทำจะดี")</f>
        <v>ร.อ.อนุชิต ทำจะดี</v>
      </c>
      <c r="N33" s="14" t="str">
        <f>IFERROR(__xludf.DUMMYFUNCTION("""COMPUTED_VALUE"""),"https://lh5.googleusercontent.com/d/1dEzdrFA4LNJJpZpLUCy7tMqZXcDBxJ8u")</f>
        <v>https://lh5.googleusercontent.com/d/1dEzdrFA4LNJJpZpLUCy7tMqZXcDBxJ8u</v>
      </c>
      <c r="O33" s="14" t="str">
        <f>IFERROR(__xludf.DUMMYFUNCTION("""COMPUTED_VALUE"""),"https://drive.google.com/file/d/1idQDkvrVZUlvwS4Hq3pt2eri38PQAz1U/view?usp=drivesdk")</f>
        <v>https://drive.google.com/file/d/1idQDkvrVZUlvwS4Hq3pt2eri38PQAz1U/view?usp=drivesdk</v>
      </c>
    </row>
    <row r="34">
      <c r="A34" s="3">
        <f>IFERROR(__xludf.DUMMYFUNCTION("""COMPUTED_VALUE"""),400.0)</f>
        <v>400</v>
      </c>
      <c r="B34" s="11">
        <f>IFERROR(__xludf.DUMMYFUNCTION("""COMPUTED_VALUE"""),45988.90003549768)</f>
        <v>45988.90004</v>
      </c>
      <c r="C34" s="3" t="str">
        <f>IFERROR(__xludf.DUMMYFUNCTION("""COMPUTED_VALUE"""),"ชั้นปีที่ 1")</f>
        <v>ชั้นปีที่ 1</v>
      </c>
      <c r="D34" s="3" t="str">
        <f>IFERROR(__xludf.DUMMYFUNCTION("""COMPUTED_VALUE"""),"6803886")</f>
        <v>6803886</v>
      </c>
      <c r="E34" s="3" t="str">
        <f>IFERROR(__xludf.DUMMYFUNCTION("""COMPUTED_VALUE"""),"5")</f>
        <v>5</v>
      </c>
      <c r="F34" s="3" t="str">
        <f>IFERROR(__xludf.DUMMYFUNCTION("""COMPUTED_VALUE"""),"นพอ.กัญญพัชร ทองสุข")</f>
        <v>นพอ.กัญญพัชร ทองสุข</v>
      </c>
      <c r="G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" s="3" t="str">
        <f>IFERROR(__xludf.DUMMYFUNCTION("""COMPUTED_VALUE"""),"รณรงค์“วันโลกรำลึกถึงผู้สูญเสียจากอุบัติเหตุทางถนน”")</f>
        <v>รณรงค์“วันโลกรำลึกถึงผู้สูญเสียจากอุบัติเหตุทางถนน”</v>
      </c>
      <c r="I34" s="3" t="str">
        <f>IFERROR(__xludf.DUMMYFUNCTION("""COMPUTED_VALUE"""),"ตึกสหประชาชาติ")</f>
        <v>ตึกสหประชาชาติ</v>
      </c>
      <c r="J34" s="12">
        <f>IFERROR(__xludf.DUMMYFUNCTION("""COMPUTED_VALUE"""),45977.0)</f>
        <v>45977</v>
      </c>
      <c r="K34" s="3" t="str">
        <f>IFERROR(__xludf.DUMMYFUNCTION("""COMPUTED_VALUE"""),"08.00")</f>
        <v>08.00</v>
      </c>
      <c r="L34" s="3">
        <f>IFERROR(__xludf.DUMMYFUNCTION("""COMPUTED_VALUE"""),3.0)</f>
        <v>3</v>
      </c>
      <c r="M34" s="3" t="str">
        <f>IFERROR(__xludf.DUMMYFUNCTION("""COMPUTED_VALUE"""),"น.ต.หญิง ตวงทิพย์ ลดาวัลย์")</f>
        <v>น.ต.หญิง ตวงทิพย์ ลดาวัลย์</v>
      </c>
      <c r="N34" s="14" t="str">
        <f>IFERROR(__xludf.DUMMYFUNCTION("""COMPUTED_VALUE"""),"https://lh5.googleusercontent.com/d/16Y7MKOx59eKq40gCSrmRzRunEJL_-rS8")</f>
        <v>https://lh5.googleusercontent.com/d/16Y7MKOx59eKq40gCSrmRzRunEJL_-rS8</v>
      </c>
      <c r="O34" s="14" t="str">
        <f>IFERROR(__xludf.DUMMYFUNCTION("""COMPUTED_VALUE"""),"https://drive.google.com/file/d/1KZr6FmTiE3Y-uAEF_Wure87jza6yUOBP/view?usp=drivesdk")</f>
        <v>https://drive.google.com/file/d/1KZr6FmTiE3Y-uAEF_Wure87jza6yUOBP/view?usp=drivesdk</v>
      </c>
    </row>
    <row r="35">
      <c r="A35" s="3">
        <f>IFERROR(__xludf.DUMMYFUNCTION("""COMPUTED_VALUE"""),404.0)</f>
        <v>404</v>
      </c>
      <c r="B35" s="11">
        <f>IFERROR(__xludf.DUMMYFUNCTION("""COMPUTED_VALUE"""),45988.917151539354)</f>
        <v>45988.91715</v>
      </c>
      <c r="C35" s="3" t="str">
        <f>IFERROR(__xludf.DUMMYFUNCTION("""COMPUTED_VALUE"""),"ชั้นปีที่ 1")</f>
        <v>ชั้นปีที่ 1</v>
      </c>
      <c r="D35" s="3" t="str">
        <f>IFERROR(__xludf.DUMMYFUNCTION("""COMPUTED_VALUE"""),"6803926")</f>
        <v>6803926</v>
      </c>
      <c r="E35" s="3" t="str">
        <f>IFERROR(__xludf.DUMMYFUNCTION("""COMPUTED_VALUE"""),"45")</f>
        <v>45</v>
      </c>
      <c r="F35" s="3" t="str">
        <f>IFERROR(__xludf.DUMMYFUNCTION("""COMPUTED_VALUE"""),"ภัทราพร ถึงกัน")</f>
        <v>ภัทราพร ถึงกัน</v>
      </c>
      <c r="G35" s="3" t="str">
        <f>IFERROR(__xludf.DUMMYFUNCTION("""COMPUTED_VALUE"""),"ช่วยเหลืองานภายใน วพอ.")</f>
        <v>ช่วยเหลืองานภายใน วพอ.</v>
      </c>
      <c r="H35" s="3" t="str">
        <f>IFERROR(__xludf.DUMMYFUNCTION("""COMPUTED_VALUE"""),"เล่นดุริยางค์นำเข้าแถว")</f>
        <v>เล่นดุริยางค์นำเข้าแถว</v>
      </c>
      <c r="I35" s="3" t="str">
        <f>IFERROR(__xludf.DUMMYFUNCTION("""COMPUTED_VALUE"""),"วพอ.พอ.")</f>
        <v>วพอ.พอ.</v>
      </c>
      <c r="J35" s="12">
        <f>IFERROR(__xludf.DUMMYFUNCTION("""COMPUTED_VALUE"""),45950.0)</f>
        <v>45950</v>
      </c>
      <c r="K35" s="3" t="str">
        <f>IFERROR(__xludf.DUMMYFUNCTION("""COMPUTED_VALUE"""),"0730-0745")</f>
        <v>0730-0745</v>
      </c>
      <c r="L35" s="3">
        <f>IFERROR(__xludf.DUMMYFUNCTION("""COMPUTED_VALUE"""),1.0)</f>
        <v>1</v>
      </c>
      <c r="M35" s="3" t="str">
        <f>IFERROR(__xludf.DUMMYFUNCTION("""COMPUTED_VALUE"""),"ร.อ.อนุชิต ทำจะดี")</f>
        <v>ร.อ.อนุชิต ทำจะดี</v>
      </c>
      <c r="N35" s="14" t="str">
        <f>IFERROR(__xludf.DUMMYFUNCTION("""COMPUTED_VALUE"""),"https://lh5.googleusercontent.com/d/1lX0xz5H0XsoYHr-M5kaOeq6Uokd-B6E7")</f>
        <v>https://lh5.googleusercontent.com/d/1lX0xz5H0XsoYHr-M5kaOeq6Uokd-B6E7</v>
      </c>
      <c r="O35" s="14" t="str">
        <f>IFERROR(__xludf.DUMMYFUNCTION("""COMPUTED_VALUE"""),"https://drive.google.com/file/d/1bQ-28KzIy3BRdCghgbUfr9Kz4Oel2PhY/view?usp=drivesdk")</f>
        <v>https://drive.google.com/file/d/1bQ-28KzIy3BRdCghgbUfr9Kz4Oel2PhY/view?usp=drivesdk</v>
      </c>
    </row>
    <row r="36">
      <c r="A36" s="3">
        <f>IFERROR(__xludf.DUMMYFUNCTION("""COMPUTED_VALUE"""),405.0)</f>
        <v>405</v>
      </c>
      <c r="B36" s="11">
        <f>IFERROR(__xludf.DUMMYFUNCTION("""COMPUTED_VALUE"""),45988.919804502315)</f>
        <v>45988.9198</v>
      </c>
      <c r="C36" s="3" t="str">
        <f>IFERROR(__xludf.DUMMYFUNCTION("""COMPUTED_VALUE"""),"ชั้นปีที่ 1")</f>
        <v>ชั้นปีที่ 1</v>
      </c>
      <c r="D36" s="3" t="str">
        <f>IFERROR(__xludf.DUMMYFUNCTION("""COMPUTED_VALUE"""),"6803926")</f>
        <v>6803926</v>
      </c>
      <c r="E36" s="3" t="str">
        <f>IFERROR(__xludf.DUMMYFUNCTION("""COMPUTED_VALUE"""),"45")</f>
        <v>45</v>
      </c>
      <c r="F36" s="3" t="str">
        <f>IFERROR(__xludf.DUMMYFUNCTION("""COMPUTED_VALUE"""),"ภัทราพร ถึงกัน")</f>
        <v>ภัทราพร ถึงกัน</v>
      </c>
      <c r="G36" s="3" t="str">
        <f>IFERROR(__xludf.DUMMYFUNCTION("""COMPUTED_VALUE"""),"ช่วยเหลืองานภายใน วพอ.")</f>
        <v>ช่วยเหลืองานภายใน วพอ.</v>
      </c>
      <c r="H36" s="3" t="str">
        <f>IFERROR(__xludf.DUMMYFUNCTION("""COMPUTED_VALUE"""),"เล่นดุริยางค์นำเข้าแถว")</f>
        <v>เล่นดุริยางค์นำเข้าแถว</v>
      </c>
      <c r="I36" s="3" t="str">
        <f>IFERROR(__xludf.DUMMYFUNCTION("""COMPUTED_VALUE"""),"วพอ.พอ.")</f>
        <v>วพอ.พอ.</v>
      </c>
      <c r="J36" s="12">
        <f>IFERROR(__xludf.DUMMYFUNCTION("""COMPUTED_VALUE"""),45951.0)</f>
        <v>45951</v>
      </c>
      <c r="K36" s="3" t="str">
        <f>IFERROR(__xludf.DUMMYFUNCTION("""COMPUTED_VALUE"""),"0730-0745")</f>
        <v>0730-0745</v>
      </c>
      <c r="L36" s="3">
        <f>IFERROR(__xludf.DUMMYFUNCTION("""COMPUTED_VALUE"""),1.0)</f>
        <v>1</v>
      </c>
      <c r="M36" s="3" t="str">
        <f>IFERROR(__xludf.DUMMYFUNCTION("""COMPUTED_VALUE"""),"ร.อ.อนุชิต ทำจะดี")</f>
        <v>ร.อ.อนุชิต ทำจะดี</v>
      </c>
      <c r="N36" s="14" t="str">
        <f>IFERROR(__xludf.DUMMYFUNCTION("""COMPUTED_VALUE"""),"https://lh5.googleusercontent.com/d/19wrZaf4jTH7cohF8My29od2kyljV5Vx5")</f>
        <v>https://lh5.googleusercontent.com/d/19wrZaf4jTH7cohF8My29od2kyljV5Vx5</v>
      </c>
      <c r="O36" s="14" t="str">
        <f>IFERROR(__xludf.DUMMYFUNCTION("""COMPUTED_VALUE"""),"https://drive.google.com/file/d/1oBSIU4mTg3ADgqHM8315lg4p6yWDTiC_/view?usp=drivesdk")</f>
        <v>https://drive.google.com/file/d/1oBSIU4mTg3ADgqHM8315lg4p6yWDTiC_/view?usp=drivesdk</v>
      </c>
    </row>
    <row r="37">
      <c r="A37" s="3">
        <f>IFERROR(__xludf.DUMMYFUNCTION("""COMPUTED_VALUE"""),407.0)</f>
        <v>407</v>
      </c>
      <c r="B37" s="11">
        <f>IFERROR(__xludf.DUMMYFUNCTION("""COMPUTED_VALUE"""),45988.92257871528)</f>
        <v>45988.92258</v>
      </c>
      <c r="C37" s="3" t="str">
        <f>IFERROR(__xludf.DUMMYFUNCTION("""COMPUTED_VALUE"""),"ชั้นปีที่ 1")</f>
        <v>ชั้นปีที่ 1</v>
      </c>
      <c r="D37" s="3" t="str">
        <f>IFERROR(__xludf.DUMMYFUNCTION("""COMPUTED_VALUE"""),"6803926")</f>
        <v>6803926</v>
      </c>
      <c r="E37" s="3" t="str">
        <f>IFERROR(__xludf.DUMMYFUNCTION("""COMPUTED_VALUE"""),"45")</f>
        <v>45</v>
      </c>
      <c r="F37" s="3" t="str">
        <f>IFERROR(__xludf.DUMMYFUNCTION("""COMPUTED_VALUE"""),"ภัทราพร ถึงกัน")</f>
        <v>ภัทราพร ถึงกัน</v>
      </c>
      <c r="G37" s="3" t="str">
        <f>IFERROR(__xludf.DUMMYFUNCTION("""COMPUTED_VALUE"""),"ช่วยเหลืองานภายใน วพอ.")</f>
        <v>ช่วยเหลืองานภายใน วพอ.</v>
      </c>
      <c r="H37" s="3" t="str">
        <f>IFERROR(__xludf.DUMMYFUNCTION("""COMPUTED_VALUE"""),"เล่นดุริยางค์นำเข้าแถว")</f>
        <v>เล่นดุริยางค์นำเข้าแถว</v>
      </c>
      <c r="I37" s="3" t="str">
        <f>IFERROR(__xludf.DUMMYFUNCTION("""COMPUTED_VALUE"""),"วพอ.พอ.")</f>
        <v>วพอ.พอ.</v>
      </c>
      <c r="J37" s="12">
        <f>IFERROR(__xludf.DUMMYFUNCTION("""COMPUTED_VALUE"""),45959.0)</f>
        <v>45959</v>
      </c>
      <c r="K37" s="3" t="str">
        <f>IFERROR(__xludf.DUMMYFUNCTION("""COMPUTED_VALUE"""),"0730-0745")</f>
        <v>0730-0745</v>
      </c>
      <c r="L37" s="3">
        <f>IFERROR(__xludf.DUMMYFUNCTION("""COMPUTED_VALUE"""),1.0)</f>
        <v>1</v>
      </c>
      <c r="M37" s="3" t="str">
        <f>IFERROR(__xludf.DUMMYFUNCTION("""COMPUTED_VALUE"""),"ร.อ.อนุชิต ทำจะชิต")</f>
        <v>ร.อ.อนุชิต ทำจะชิต</v>
      </c>
      <c r="N37" s="14" t="str">
        <f>IFERROR(__xludf.DUMMYFUNCTION("""COMPUTED_VALUE"""),"https://lh5.googleusercontent.com/d/1vCJ2VzLSXJpIBrTYnASUK-eX_Nnr-EMD")</f>
        <v>https://lh5.googleusercontent.com/d/1vCJ2VzLSXJpIBrTYnASUK-eX_Nnr-EMD</v>
      </c>
      <c r="O37" s="14" t="str">
        <f>IFERROR(__xludf.DUMMYFUNCTION("""COMPUTED_VALUE"""),"https://drive.google.com/file/d/1Z9kpvIL8aKpY3JpRAR1r-WmBUNtNXXgn/view?usp=drivesdk")</f>
        <v>https://drive.google.com/file/d/1Z9kpvIL8aKpY3JpRAR1r-WmBUNtNXXgn/view?usp=drivesdk</v>
      </c>
    </row>
    <row r="38">
      <c r="A38" s="3">
        <f>IFERROR(__xludf.DUMMYFUNCTION("""COMPUTED_VALUE"""),408.0)</f>
        <v>408</v>
      </c>
      <c r="B38" s="11">
        <f>IFERROR(__xludf.DUMMYFUNCTION("""COMPUTED_VALUE"""),45988.92394815972)</f>
        <v>45988.92395</v>
      </c>
      <c r="C38" s="3" t="str">
        <f>IFERROR(__xludf.DUMMYFUNCTION("""COMPUTED_VALUE"""),"ชั้นปีที่ 1")</f>
        <v>ชั้นปีที่ 1</v>
      </c>
      <c r="D38" s="3" t="str">
        <f>IFERROR(__xludf.DUMMYFUNCTION("""COMPUTED_VALUE"""),"6803926")</f>
        <v>6803926</v>
      </c>
      <c r="E38" s="3" t="str">
        <f>IFERROR(__xludf.DUMMYFUNCTION("""COMPUTED_VALUE"""),"45")</f>
        <v>45</v>
      </c>
      <c r="F38" s="3" t="str">
        <f>IFERROR(__xludf.DUMMYFUNCTION("""COMPUTED_VALUE"""),"ภัทราพร ถึงกัน")</f>
        <v>ภัทราพร ถึงกัน</v>
      </c>
      <c r="G38" s="3" t="str">
        <f>IFERROR(__xludf.DUMMYFUNCTION("""COMPUTED_VALUE"""),"ช่วยเหลืองานภายใน วพอ.")</f>
        <v>ช่วยเหลืองานภายใน วพอ.</v>
      </c>
      <c r="H38" s="3" t="str">
        <f>IFERROR(__xludf.DUMMYFUNCTION("""COMPUTED_VALUE"""),"เล่นดุริยางค์นำเข้าแถว")</f>
        <v>เล่นดุริยางค์นำเข้าแถว</v>
      </c>
      <c r="I38" s="3" t="str">
        <f>IFERROR(__xludf.DUMMYFUNCTION("""COMPUTED_VALUE"""),"วพอ.พอ.")</f>
        <v>วพอ.พอ.</v>
      </c>
      <c r="J38" s="12">
        <f>IFERROR(__xludf.DUMMYFUNCTION("""COMPUTED_VALUE"""),45964.0)</f>
        <v>45964</v>
      </c>
      <c r="K38" s="3" t="str">
        <f>IFERROR(__xludf.DUMMYFUNCTION("""COMPUTED_VALUE"""),"0730-0745")</f>
        <v>0730-0745</v>
      </c>
      <c r="L38" s="3">
        <f>IFERROR(__xludf.DUMMYFUNCTION("""COMPUTED_VALUE"""),1.0)</f>
        <v>1</v>
      </c>
      <c r="M38" s="3" t="str">
        <f>IFERROR(__xludf.DUMMYFUNCTION("""COMPUTED_VALUE"""),"ร.อ.อนุชิต ทำจะดี")</f>
        <v>ร.อ.อนุชิต ทำจะดี</v>
      </c>
      <c r="N38" s="14" t="str">
        <f>IFERROR(__xludf.DUMMYFUNCTION("""COMPUTED_VALUE"""),"https://lh5.googleusercontent.com/d/1tf00qIMB-87OEVRO_ZJ-m4lRg7iaxUOr")</f>
        <v>https://lh5.googleusercontent.com/d/1tf00qIMB-87OEVRO_ZJ-m4lRg7iaxUOr</v>
      </c>
      <c r="O38" s="14" t="str">
        <f>IFERROR(__xludf.DUMMYFUNCTION("""COMPUTED_VALUE"""),"https://drive.google.com/file/d/14OY-tCjHkPY_qIQe9BSDL7PJT54oUsuw/view?usp=drivesdk")</f>
        <v>https://drive.google.com/file/d/14OY-tCjHkPY_qIQe9BSDL7PJT54oUsuw/view?usp=drivesdk</v>
      </c>
    </row>
    <row r="39">
      <c r="A39" s="3">
        <f>IFERROR(__xludf.DUMMYFUNCTION("""COMPUTED_VALUE"""),410.0)</f>
        <v>410</v>
      </c>
      <c r="B39" s="11">
        <f>IFERROR(__xludf.DUMMYFUNCTION("""COMPUTED_VALUE"""),45989.35277506945)</f>
        <v>45989.35278</v>
      </c>
      <c r="C39" s="3" t="str">
        <f>IFERROR(__xludf.DUMMYFUNCTION("""COMPUTED_VALUE"""),"ชั้นปีที่ 1")</f>
        <v>ชั้นปีที่ 1</v>
      </c>
      <c r="D39" s="3" t="str">
        <f>IFERROR(__xludf.DUMMYFUNCTION("""COMPUTED_VALUE"""),"6803917")</f>
        <v>6803917</v>
      </c>
      <c r="E39" s="3" t="str">
        <f>IFERROR(__xludf.DUMMYFUNCTION("""COMPUTED_VALUE"""),"36")</f>
        <v>36</v>
      </c>
      <c r="F39" s="3" t="str">
        <f>IFERROR(__xludf.DUMMYFUNCTION("""COMPUTED_VALUE"""),"นพอ.ไปรยา อิ่มเหว่า")</f>
        <v>นพอ.ไปรยา อิ่มเหว่า</v>
      </c>
      <c r="G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" s="3" t="str">
        <f>IFERROR(__xludf.DUMMYFUNCTION("""COMPUTED_VALUE"""),"ค่ายแนะแนวรัฐบุรุษ 2")</f>
        <v>ค่ายแนะแนวรัฐบุรุษ 2</v>
      </c>
      <c r="I39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39" s="12">
        <f>IFERROR(__xludf.DUMMYFUNCTION("""COMPUTED_VALUE"""),45968.0)</f>
        <v>45968</v>
      </c>
      <c r="K39" s="3" t="str">
        <f>IFERROR(__xludf.DUMMYFUNCTION("""COMPUTED_VALUE"""),"1800-2200")</f>
        <v>1800-2200</v>
      </c>
      <c r="L39" s="3">
        <f>IFERROR(__xludf.DUMMYFUNCTION("""COMPUTED_VALUE"""),4.0)</f>
        <v>4</v>
      </c>
      <c r="M3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9" s="14" t="str">
        <f>IFERROR(__xludf.DUMMYFUNCTION("""COMPUTED_VALUE"""),"https://lh5.googleusercontent.com/d/1JurYuvIT0Sgk5auq-jTiegNNICW3u4ss")</f>
        <v>https://lh5.googleusercontent.com/d/1JurYuvIT0Sgk5auq-jTiegNNICW3u4ss</v>
      </c>
      <c r="O39" s="14" t="str">
        <f>IFERROR(__xludf.DUMMYFUNCTION("""COMPUTED_VALUE"""),"https://drive.google.com/file/d/1M6lL8wN7d1huGboOsKW0w4jmt9Q3oOf6/view?usp=drivesdk")</f>
        <v>https://drive.google.com/file/d/1M6lL8wN7d1huGboOsKW0w4jmt9Q3oOf6/view?usp=drivesdk</v>
      </c>
    </row>
    <row r="40">
      <c r="A40" s="3">
        <f>IFERROR(__xludf.DUMMYFUNCTION("""COMPUTED_VALUE"""),411.0)</f>
        <v>411</v>
      </c>
      <c r="B40" s="11">
        <f>IFERROR(__xludf.DUMMYFUNCTION("""COMPUTED_VALUE"""),45989.35882641204)</f>
        <v>45989.35883</v>
      </c>
      <c r="C40" s="3" t="str">
        <f>IFERROR(__xludf.DUMMYFUNCTION("""COMPUTED_VALUE"""),"ชั้นปีที่ 1")</f>
        <v>ชั้นปีที่ 1</v>
      </c>
      <c r="D40" s="3" t="str">
        <f>IFERROR(__xludf.DUMMYFUNCTION("""COMPUTED_VALUE"""),"6803917")</f>
        <v>6803917</v>
      </c>
      <c r="E40" s="3" t="str">
        <f>IFERROR(__xludf.DUMMYFUNCTION("""COMPUTED_VALUE"""),"36")</f>
        <v>36</v>
      </c>
      <c r="F40" s="3" t="str">
        <f>IFERROR(__xludf.DUMMYFUNCTION("""COMPUTED_VALUE"""),"นพอ.ไปรยา อิ่มเหว่า")</f>
        <v>นพอ.ไปรยา อิ่มเหว่า</v>
      </c>
      <c r="G4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0" s="3" t="str">
        <f>IFERROR(__xludf.DUMMYFUNCTION("""COMPUTED_VALUE"""),"ค่ายแนะแนวรัฐบุรุษ 2")</f>
        <v>ค่ายแนะแนวรัฐบุรุษ 2</v>
      </c>
      <c r="I40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40" s="12">
        <f>IFERROR(__xludf.DUMMYFUNCTION("""COMPUTED_VALUE"""),45969.0)</f>
        <v>45969</v>
      </c>
      <c r="K40" s="3" t="str">
        <f>IFERROR(__xludf.DUMMYFUNCTION("""COMPUTED_VALUE"""),"0800-1600")</f>
        <v>0800-1600</v>
      </c>
      <c r="L40" s="3">
        <f>IFERROR(__xludf.DUMMYFUNCTION("""COMPUTED_VALUE"""),8.0)</f>
        <v>8</v>
      </c>
      <c r="M4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0" s="14" t="str">
        <f>IFERROR(__xludf.DUMMYFUNCTION("""COMPUTED_VALUE"""),"https://lh5.googleusercontent.com/d/1mkw2KuS-pFXttbd3nbtlCw8rmun0ExZI")</f>
        <v>https://lh5.googleusercontent.com/d/1mkw2KuS-pFXttbd3nbtlCw8rmun0ExZI</v>
      </c>
      <c r="O40" s="14" t="str">
        <f>IFERROR(__xludf.DUMMYFUNCTION("""COMPUTED_VALUE"""),"https://drive.google.com/file/d/1fLYlkyzvh4zZd-hk_Fxrf5HKo1kRmTns/view?usp=drivesdk")</f>
        <v>https://drive.google.com/file/d/1fLYlkyzvh4zZd-hk_Fxrf5HKo1kRmTns/view?usp=drivesdk</v>
      </c>
    </row>
    <row r="41">
      <c r="A41" s="3">
        <f>IFERROR(__xludf.DUMMYFUNCTION("""COMPUTED_VALUE"""),412.0)</f>
        <v>412</v>
      </c>
      <c r="B41" s="11">
        <f>IFERROR(__xludf.DUMMYFUNCTION("""COMPUTED_VALUE"""),45989.3616137037)</f>
        <v>45989.36161</v>
      </c>
      <c r="C41" s="3" t="str">
        <f>IFERROR(__xludf.DUMMYFUNCTION("""COMPUTED_VALUE"""),"ชั้นปีที่ 1")</f>
        <v>ชั้นปีที่ 1</v>
      </c>
      <c r="D41" s="3" t="str">
        <f>IFERROR(__xludf.DUMMYFUNCTION("""COMPUTED_VALUE"""),"6803917")</f>
        <v>6803917</v>
      </c>
      <c r="E41" s="3" t="str">
        <f>IFERROR(__xludf.DUMMYFUNCTION("""COMPUTED_VALUE"""),"36")</f>
        <v>36</v>
      </c>
      <c r="F41" s="3" t="str">
        <f>IFERROR(__xludf.DUMMYFUNCTION("""COMPUTED_VALUE"""),"นพอ.ไปรยา อิ่มเหว่า")</f>
        <v>นพอ.ไปรยา อิ่มเหว่า</v>
      </c>
      <c r="G4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" s="3" t="str">
        <f>IFERROR(__xludf.DUMMYFUNCTION("""COMPUTED_VALUE"""),"ค่ายแนะแนวรัฐบุรุษ 2")</f>
        <v>ค่ายแนะแนวรัฐบุรุษ 2</v>
      </c>
      <c r="I41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41" s="12">
        <f>IFERROR(__xludf.DUMMYFUNCTION("""COMPUTED_VALUE"""),45970.0)</f>
        <v>45970</v>
      </c>
      <c r="K41" s="3" t="str">
        <f>IFERROR(__xludf.DUMMYFUNCTION("""COMPUTED_VALUE"""),"0800-1600")</f>
        <v>0800-1600</v>
      </c>
      <c r="L41" s="3">
        <f>IFERROR(__xludf.DUMMYFUNCTION("""COMPUTED_VALUE"""),8.0)</f>
        <v>8</v>
      </c>
      <c r="M4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1" s="14" t="str">
        <f>IFERROR(__xludf.DUMMYFUNCTION("""COMPUTED_VALUE"""),"https://lh5.googleusercontent.com/d/1Iuk80g83sgnXkAYgce_YuM_R4uPHcJRt")</f>
        <v>https://lh5.googleusercontent.com/d/1Iuk80g83sgnXkAYgce_YuM_R4uPHcJRt</v>
      </c>
      <c r="O41" s="14" t="str">
        <f>IFERROR(__xludf.DUMMYFUNCTION("""COMPUTED_VALUE"""),"https://drive.google.com/file/d/1mQuAlomZm6bmiHH9gOWxMQLZdV2n1I7Q/view?usp=drivesdk")</f>
        <v>https://drive.google.com/file/d/1mQuAlomZm6bmiHH9gOWxMQLZdV2n1I7Q/view?usp=drivesdk</v>
      </c>
    </row>
    <row r="42">
      <c r="A42" s="3">
        <f>IFERROR(__xludf.DUMMYFUNCTION("""COMPUTED_VALUE"""),413.0)</f>
        <v>413</v>
      </c>
      <c r="B42" s="11">
        <f>IFERROR(__xludf.DUMMYFUNCTION("""COMPUTED_VALUE"""),45989.4354471875)</f>
        <v>45989.43545</v>
      </c>
      <c r="C42" s="3" t="str">
        <f>IFERROR(__xludf.DUMMYFUNCTION("""COMPUTED_VALUE"""),"ชั้นปีที่ 1")</f>
        <v>ชั้นปีที่ 1</v>
      </c>
      <c r="D42" s="3" t="str">
        <f>IFERROR(__xludf.DUMMYFUNCTION("""COMPUTED_VALUE"""),"6803907")</f>
        <v>6803907</v>
      </c>
      <c r="E42" s="3" t="str">
        <f>IFERROR(__xludf.DUMMYFUNCTION("""COMPUTED_VALUE"""),"26")</f>
        <v>26</v>
      </c>
      <c r="F42" s="3" t="str">
        <f>IFERROR(__xludf.DUMMYFUNCTION("""COMPUTED_VALUE"""),"ธีราพร  ประสิทธิภาพ")</f>
        <v>ธีราพร  ประสิทธิภาพ</v>
      </c>
      <c r="G42" s="3" t="str">
        <f>IFERROR(__xludf.DUMMYFUNCTION("""COMPUTED_VALUE"""),"ช่วยเหลืองานภายใน วพอ.")</f>
        <v>ช่วยเหลืองานภายใน วพอ.</v>
      </c>
      <c r="H42" s="3" t="str">
        <f>IFERROR(__xludf.DUMMYFUNCTION("""COMPUTED_VALUE"""),"ดุริยางค์เข้าแถวตอนเช้า")</f>
        <v>ดุริยางค์เข้าแถวตอนเช้า</v>
      </c>
      <c r="I42" s="3" t="str">
        <f>IFERROR(__xludf.DUMMYFUNCTION("""COMPUTED_VALUE"""),"วพอ.พอ")</f>
        <v>วพอ.พอ</v>
      </c>
      <c r="J42" s="12">
        <f>IFERROR(__xludf.DUMMYFUNCTION("""COMPUTED_VALUE"""),45981.0)</f>
        <v>45981</v>
      </c>
      <c r="K42" s="3" t="str">
        <f>IFERROR(__xludf.DUMMYFUNCTION("""COMPUTED_VALUE"""),"08:00")</f>
        <v>08:00</v>
      </c>
      <c r="L42" s="3">
        <f>IFERROR(__xludf.DUMMYFUNCTION("""COMPUTED_VALUE"""),1.0)</f>
        <v>1</v>
      </c>
      <c r="M42" s="3" t="str">
        <f>IFERROR(__xludf.DUMMYFUNCTION("""COMPUTED_VALUE"""),"ร.อ. อนุชิต ทำจะดี")</f>
        <v>ร.อ. อนุชิต ทำจะดี</v>
      </c>
      <c r="N42" s="14" t="str">
        <f>IFERROR(__xludf.DUMMYFUNCTION("""COMPUTED_VALUE"""),"https://lh5.googleusercontent.com/d/19lPbe-F2VOjEdw1fsSUr6O4KY2hSwD8c")</f>
        <v>https://lh5.googleusercontent.com/d/19lPbe-F2VOjEdw1fsSUr6O4KY2hSwD8c</v>
      </c>
      <c r="O42" s="14" t="str">
        <f>IFERROR(__xludf.DUMMYFUNCTION("""COMPUTED_VALUE"""),"https://drive.google.com/file/d/1IAh7g6jYVi4HE4I2FG5twkmhWU9T66Iu/view?usp=drivesdk")</f>
        <v>https://drive.google.com/file/d/1IAh7g6jYVi4HE4I2FG5twkmhWU9T66Iu/view?usp=drivesdk</v>
      </c>
    </row>
    <row r="43">
      <c r="A43" s="3">
        <f>IFERROR(__xludf.DUMMYFUNCTION("""COMPUTED_VALUE"""),414.0)</f>
        <v>414</v>
      </c>
      <c r="B43" s="11">
        <f>IFERROR(__xludf.DUMMYFUNCTION("""COMPUTED_VALUE"""),45989.437700138886)</f>
        <v>45989.4377</v>
      </c>
      <c r="C43" s="3" t="str">
        <f>IFERROR(__xludf.DUMMYFUNCTION("""COMPUTED_VALUE"""),"ชั้นปีที่ 1")</f>
        <v>ชั้นปีที่ 1</v>
      </c>
      <c r="D43" s="3" t="str">
        <f>IFERROR(__xludf.DUMMYFUNCTION("""COMPUTED_VALUE"""),"6803907")</f>
        <v>6803907</v>
      </c>
      <c r="E43" s="3" t="str">
        <f>IFERROR(__xludf.DUMMYFUNCTION("""COMPUTED_VALUE"""),"26")</f>
        <v>26</v>
      </c>
      <c r="F43" s="3" t="str">
        <f>IFERROR(__xludf.DUMMYFUNCTION("""COMPUTED_VALUE"""),"ธีราพร  ประสิทธิภาพ")</f>
        <v>ธีราพร  ประสิทธิภาพ</v>
      </c>
      <c r="G43" s="3" t="str">
        <f>IFERROR(__xludf.DUMMYFUNCTION("""COMPUTED_VALUE"""),"ช่วยเหลืองานภายใน วพอ.")</f>
        <v>ช่วยเหลืองานภายใน วพอ.</v>
      </c>
      <c r="H43" s="3" t="str">
        <f>IFERROR(__xludf.DUMMYFUNCTION("""COMPUTED_VALUE"""),"ดุริยางค์เข้าแถวตอนเช้า")</f>
        <v>ดุริยางค์เข้าแถวตอนเช้า</v>
      </c>
      <c r="I43" s="3" t="str">
        <f>IFERROR(__xludf.DUMMYFUNCTION("""COMPUTED_VALUE"""),"วพอ.พอ")</f>
        <v>วพอ.พอ</v>
      </c>
      <c r="J43" s="12">
        <f>IFERROR(__xludf.DUMMYFUNCTION("""COMPUTED_VALUE"""),45973.0)</f>
        <v>45973</v>
      </c>
      <c r="K43" s="3" t="str">
        <f>IFERROR(__xludf.DUMMYFUNCTION("""COMPUTED_VALUE"""),"08:00")</f>
        <v>08:00</v>
      </c>
      <c r="L43" s="3">
        <f>IFERROR(__xludf.DUMMYFUNCTION("""COMPUTED_VALUE"""),1.0)</f>
        <v>1</v>
      </c>
      <c r="M43" s="3" t="str">
        <f>IFERROR(__xludf.DUMMYFUNCTION("""COMPUTED_VALUE"""),"ร.อ. อนุชิต ทำจะดี")</f>
        <v>ร.อ. อนุชิต ทำจะดี</v>
      </c>
      <c r="N43" s="14" t="str">
        <f>IFERROR(__xludf.DUMMYFUNCTION("""COMPUTED_VALUE"""),"https://lh5.googleusercontent.com/d/1tXiFHgeCgo4UJN4aQvMNEa5b-cx-hBGf")</f>
        <v>https://lh5.googleusercontent.com/d/1tXiFHgeCgo4UJN4aQvMNEa5b-cx-hBGf</v>
      </c>
      <c r="O43" s="14" t="str">
        <f>IFERROR(__xludf.DUMMYFUNCTION("""COMPUTED_VALUE"""),"https://drive.google.com/file/d/132jZD7rRVECietsmxfTjqKFwzxBQeVkd/view?usp=drivesdk")</f>
        <v>https://drive.google.com/file/d/132jZD7rRVECietsmxfTjqKFwzxBQeVkd/view?usp=drivesdk</v>
      </c>
    </row>
    <row r="44">
      <c r="A44" s="3">
        <f>IFERROR(__xludf.DUMMYFUNCTION("""COMPUTED_VALUE"""),415.0)</f>
        <v>415</v>
      </c>
      <c r="B44" s="11">
        <f>IFERROR(__xludf.DUMMYFUNCTION("""COMPUTED_VALUE"""),45989.439373333335)</f>
        <v>45989.43937</v>
      </c>
      <c r="C44" s="3" t="str">
        <f>IFERROR(__xludf.DUMMYFUNCTION("""COMPUTED_VALUE"""),"ชั้นปีที่ 1")</f>
        <v>ชั้นปีที่ 1</v>
      </c>
      <c r="D44" s="3" t="str">
        <f>IFERROR(__xludf.DUMMYFUNCTION("""COMPUTED_VALUE"""),"6803907")</f>
        <v>6803907</v>
      </c>
      <c r="E44" s="3" t="str">
        <f>IFERROR(__xludf.DUMMYFUNCTION("""COMPUTED_VALUE"""),"26")</f>
        <v>26</v>
      </c>
      <c r="F44" s="3" t="str">
        <f>IFERROR(__xludf.DUMMYFUNCTION("""COMPUTED_VALUE"""),"ธีราพร  ประสิทธิภาพ")</f>
        <v>ธีราพร  ประสิทธิภาพ</v>
      </c>
      <c r="G44" s="3" t="str">
        <f>IFERROR(__xludf.DUMMYFUNCTION("""COMPUTED_VALUE"""),"ช่วยเหลืองานภายใน วพอ.")</f>
        <v>ช่วยเหลืองานภายใน วพอ.</v>
      </c>
      <c r="H44" s="3" t="str">
        <f>IFERROR(__xludf.DUMMYFUNCTION("""COMPUTED_VALUE"""),"ดุริยางค์เข้าแถวตอนเช้า")</f>
        <v>ดุริยางค์เข้าแถวตอนเช้า</v>
      </c>
      <c r="I44" s="3" t="str">
        <f>IFERROR(__xludf.DUMMYFUNCTION("""COMPUTED_VALUE"""),"วพอ.พอ")</f>
        <v>วพอ.พอ</v>
      </c>
      <c r="J44" s="12">
        <f>IFERROR(__xludf.DUMMYFUNCTION("""COMPUTED_VALUE"""),45946.0)</f>
        <v>45946</v>
      </c>
      <c r="K44" s="3" t="str">
        <f>IFERROR(__xludf.DUMMYFUNCTION("""COMPUTED_VALUE"""),"08:00")</f>
        <v>08:00</v>
      </c>
      <c r="L44" s="3">
        <f>IFERROR(__xludf.DUMMYFUNCTION("""COMPUTED_VALUE"""),1.0)</f>
        <v>1</v>
      </c>
      <c r="M44" s="3" t="str">
        <f>IFERROR(__xludf.DUMMYFUNCTION("""COMPUTED_VALUE"""),"ร.อ. อนุชิต  ทำจะดี")</f>
        <v>ร.อ. อนุชิต  ทำจะดี</v>
      </c>
      <c r="N44" s="14" t="str">
        <f>IFERROR(__xludf.DUMMYFUNCTION("""COMPUTED_VALUE"""),"https://lh5.googleusercontent.com/d/1-qZec--2CAiJzhjW9KZ6_P0dtcMM-FzF")</f>
        <v>https://lh5.googleusercontent.com/d/1-qZec--2CAiJzhjW9KZ6_P0dtcMM-FzF</v>
      </c>
      <c r="O44" s="14" t="str">
        <f>IFERROR(__xludf.DUMMYFUNCTION("""COMPUTED_VALUE"""),"https://drive.google.com/file/d/1-Zl1wK2JsDABoFsnhmsKNOFqrXWt5w1M/view?usp=drivesdk")</f>
        <v>https://drive.google.com/file/d/1-Zl1wK2JsDABoFsnhmsKNOFqrXWt5w1M/view?usp=drivesdk</v>
      </c>
    </row>
    <row r="45">
      <c r="A45" s="3">
        <f>IFERROR(__xludf.DUMMYFUNCTION("""COMPUTED_VALUE"""),416.0)</f>
        <v>416</v>
      </c>
      <c r="B45" s="11">
        <f>IFERROR(__xludf.DUMMYFUNCTION("""COMPUTED_VALUE"""),45989.44095754629)</f>
        <v>45989.44096</v>
      </c>
      <c r="C45" s="3" t="str">
        <f>IFERROR(__xludf.DUMMYFUNCTION("""COMPUTED_VALUE"""),"ชั้นปีที่ 1")</f>
        <v>ชั้นปีที่ 1</v>
      </c>
      <c r="D45" s="3" t="str">
        <f>IFERROR(__xludf.DUMMYFUNCTION("""COMPUTED_VALUE"""),"6803907")</f>
        <v>6803907</v>
      </c>
      <c r="E45" s="3" t="str">
        <f>IFERROR(__xludf.DUMMYFUNCTION("""COMPUTED_VALUE"""),"26")</f>
        <v>26</v>
      </c>
      <c r="F45" s="3" t="str">
        <f>IFERROR(__xludf.DUMMYFUNCTION("""COMPUTED_VALUE"""),"ธีราพร  ประสิทธิภาพ")</f>
        <v>ธีราพร  ประสิทธิภาพ</v>
      </c>
      <c r="G45" s="3" t="str">
        <f>IFERROR(__xludf.DUMMYFUNCTION("""COMPUTED_VALUE"""),"ช่วยเหลืองานภายใน วพอ.")</f>
        <v>ช่วยเหลืองานภายใน วพอ.</v>
      </c>
      <c r="H45" s="3" t="str">
        <f>IFERROR(__xludf.DUMMYFUNCTION("""COMPUTED_VALUE"""),"ดุริยางค์เข้าแถวตอนเช้า")</f>
        <v>ดุริยางค์เข้าแถวตอนเช้า</v>
      </c>
      <c r="I45" s="3" t="str">
        <f>IFERROR(__xludf.DUMMYFUNCTION("""COMPUTED_VALUE"""),"วพอ.พอ")</f>
        <v>วพอ.พอ</v>
      </c>
      <c r="J45" s="12">
        <f>IFERROR(__xludf.DUMMYFUNCTION("""COMPUTED_VALUE"""),45964.0)</f>
        <v>45964</v>
      </c>
      <c r="K45" s="3" t="str">
        <f>IFERROR(__xludf.DUMMYFUNCTION("""COMPUTED_VALUE"""),"08:00")</f>
        <v>08:00</v>
      </c>
      <c r="L45" s="3">
        <f>IFERROR(__xludf.DUMMYFUNCTION("""COMPUTED_VALUE"""),1.0)</f>
        <v>1</v>
      </c>
      <c r="M45" s="3" t="str">
        <f>IFERROR(__xludf.DUMMYFUNCTION("""COMPUTED_VALUE"""),"ร.อ. อนุชิต   ทำจะดี")</f>
        <v>ร.อ. อนุชิต   ทำจะดี</v>
      </c>
      <c r="N45" s="14" t="str">
        <f>IFERROR(__xludf.DUMMYFUNCTION("""COMPUTED_VALUE"""),"https://lh5.googleusercontent.com/d/1WodCVKk6Hgy8R-0s35nxwUy9l9fDxMAm")</f>
        <v>https://lh5.googleusercontent.com/d/1WodCVKk6Hgy8R-0s35nxwUy9l9fDxMAm</v>
      </c>
      <c r="O45" s="14" t="str">
        <f>IFERROR(__xludf.DUMMYFUNCTION("""COMPUTED_VALUE"""),"https://drive.google.com/file/d/1xoQy5xOwJLga2SMkBJyeMrfD65D_-YRg/view?usp=drivesdk")</f>
        <v>https://drive.google.com/file/d/1xoQy5xOwJLga2SMkBJyeMrfD65D_-YRg/view?usp=drivesdk</v>
      </c>
    </row>
    <row r="46">
      <c r="A46" s="3">
        <f>IFERROR(__xludf.DUMMYFUNCTION("""COMPUTED_VALUE"""),417.0)</f>
        <v>417</v>
      </c>
      <c r="B46" s="11">
        <f>IFERROR(__xludf.DUMMYFUNCTION("""COMPUTED_VALUE"""),45989.443261886576)</f>
        <v>45989.44326</v>
      </c>
      <c r="C46" s="3" t="str">
        <f>IFERROR(__xludf.DUMMYFUNCTION("""COMPUTED_VALUE"""),"ชั้นปีที่ 1")</f>
        <v>ชั้นปีที่ 1</v>
      </c>
      <c r="D46" s="3" t="str">
        <f>IFERROR(__xludf.DUMMYFUNCTION("""COMPUTED_VALUE"""),"6803907")</f>
        <v>6803907</v>
      </c>
      <c r="E46" s="3" t="str">
        <f>IFERROR(__xludf.DUMMYFUNCTION("""COMPUTED_VALUE"""),"26")</f>
        <v>26</v>
      </c>
      <c r="F46" s="3" t="str">
        <f>IFERROR(__xludf.DUMMYFUNCTION("""COMPUTED_VALUE"""),"ธีราพร  ประสิทธิภาพ")</f>
        <v>ธีราพร  ประสิทธิภาพ</v>
      </c>
      <c r="G46" s="3" t="str">
        <f>IFERROR(__xludf.DUMMYFUNCTION("""COMPUTED_VALUE"""),"ช่วยเหลืองานภายใน วพอ.")</f>
        <v>ช่วยเหลืองานภายใน วพอ.</v>
      </c>
      <c r="H46" s="3" t="str">
        <f>IFERROR(__xludf.DUMMYFUNCTION("""COMPUTED_VALUE"""),"ดุริยางค์เข้าแถวตอนเช้า")</f>
        <v>ดุริยางค์เข้าแถวตอนเช้า</v>
      </c>
      <c r="I46" s="3" t="str">
        <f>IFERROR(__xludf.DUMMYFUNCTION("""COMPUTED_VALUE"""),"วพอ.พอ")</f>
        <v>วพอ.พอ</v>
      </c>
      <c r="J46" s="12">
        <f>IFERROR(__xludf.DUMMYFUNCTION("""COMPUTED_VALUE"""),45950.0)</f>
        <v>45950</v>
      </c>
      <c r="K46" s="3" t="str">
        <f>IFERROR(__xludf.DUMMYFUNCTION("""COMPUTED_VALUE"""),"08:00")</f>
        <v>08:00</v>
      </c>
      <c r="L46" s="3">
        <f>IFERROR(__xludf.DUMMYFUNCTION("""COMPUTED_VALUE"""),1.0)</f>
        <v>1</v>
      </c>
      <c r="M46" s="3" t="str">
        <f>IFERROR(__xludf.DUMMYFUNCTION("""COMPUTED_VALUE"""),"ร.อ. อนุชิต  ทำจะดี")</f>
        <v>ร.อ. อนุชิต  ทำจะดี</v>
      </c>
      <c r="N46" s="14" t="str">
        <f>IFERROR(__xludf.DUMMYFUNCTION("""COMPUTED_VALUE"""),"https://lh5.googleusercontent.com/d/1VV4f538XLqbCmeqzKUT3Zi3Vn2Ac0WOM")</f>
        <v>https://lh5.googleusercontent.com/d/1VV4f538XLqbCmeqzKUT3Zi3Vn2Ac0WOM</v>
      </c>
      <c r="O46" s="14" t="str">
        <f>IFERROR(__xludf.DUMMYFUNCTION("""COMPUTED_VALUE"""),"https://drive.google.com/file/d/1fMZIRmnFGq1uE9fuKcgnSygD_gxXZbl_/view?usp=drivesdk")</f>
        <v>https://drive.google.com/file/d/1fMZIRmnFGq1uE9fuKcgnSygD_gxXZbl_/view?usp=drivesdk</v>
      </c>
    </row>
    <row r="47">
      <c r="A47" s="3">
        <f>IFERROR(__xludf.DUMMYFUNCTION("""COMPUTED_VALUE"""),420.0)</f>
        <v>420</v>
      </c>
      <c r="B47" s="11">
        <f>IFERROR(__xludf.DUMMYFUNCTION("""COMPUTED_VALUE"""),45989.47593083334)</f>
        <v>45989.47593</v>
      </c>
      <c r="C47" s="3" t="str">
        <f>IFERROR(__xludf.DUMMYFUNCTION("""COMPUTED_VALUE"""),"ชั้นปีที่ 1")</f>
        <v>ชั้นปีที่ 1</v>
      </c>
      <c r="D47" s="3" t="str">
        <f>IFERROR(__xludf.DUMMYFUNCTION("""COMPUTED_VALUE"""),"6803931")</f>
        <v>6803931</v>
      </c>
      <c r="E47" s="3" t="str">
        <f>IFERROR(__xludf.DUMMYFUNCTION("""COMPUTED_VALUE"""),"50")</f>
        <v>50</v>
      </c>
      <c r="F47" s="3" t="str">
        <f>IFERROR(__xludf.DUMMYFUNCTION("""COMPUTED_VALUE"""),"นพอ.โยษิตา ลากุล")</f>
        <v>นพอ.โยษิตา ลากุล</v>
      </c>
      <c r="G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" s="3" t="str">
        <f>IFERROR(__xludf.DUMMYFUNCTION("""COMPUTED_VALUE"""),"ฟังการสัมมนาสื่อสร้างสรรค์ เสริมสร้างพลังการสื่อสาร พัฒนาสังคม")</f>
        <v>ฟังการสัมมนาสื่อสร้างสรรค์ เสริมสร้างพลังการสื่อสาร พัฒนาสังคม</v>
      </c>
      <c r="I47" s="3" t="str">
        <f>IFERROR(__xludf.DUMMYFUNCTION("""COMPUTED_VALUE"""),"ณ อาคาร เอนกประสงค์ เอสซีจี สำนักงานใหญ่ บางซื่อ")</f>
        <v>ณ อาคาร เอนกประสงค์ เอสซีจี สำนักงานใหญ่ บางซื่อ</v>
      </c>
      <c r="J47" s="12">
        <f>IFERROR(__xludf.DUMMYFUNCTION("""COMPUTED_VALUE"""),45955.0)</f>
        <v>45955</v>
      </c>
      <c r="K47" s="3" t="str">
        <f>IFERROR(__xludf.DUMMYFUNCTION("""COMPUTED_VALUE"""),"0730-1230")</f>
        <v>0730-1230</v>
      </c>
      <c r="L47" s="3">
        <f>IFERROR(__xludf.DUMMYFUNCTION("""COMPUTED_VALUE"""),5.0)</f>
        <v>5</v>
      </c>
      <c r="M47" s="3" t="str">
        <f>IFERROR(__xludf.DUMMYFUNCTION("""COMPUTED_VALUE"""),"น.ท.หญิง ฤทัยวรรณ นวมพันธ์")</f>
        <v>น.ท.หญิง ฤทัยวรรณ นวมพันธ์</v>
      </c>
      <c r="N47" s="14" t="str">
        <f>IFERROR(__xludf.DUMMYFUNCTION("""COMPUTED_VALUE"""),"https://lh5.googleusercontent.com/d/1a_ovAI_T6yWRrRWJDgtZITCnNxfhWGUT")</f>
        <v>https://lh5.googleusercontent.com/d/1a_ovAI_T6yWRrRWJDgtZITCnNxfhWGUT</v>
      </c>
      <c r="O47" s="14" t="str">
        <f>IFERROR(__xludf.DUMMYFUNCTION("""COMPUTED_VALUE"""),"https://drive.google.com/file/d/1O3s1XPYr80D-IJSkiMblJWyNpn2LRKVu/view?usp=drivesdk")</f>
        <v>https://drive.google.com/file/d/1O3s1XPYr80D-IJSkiMblJWyNpn2LRKVu/view?usp=drivesdk</v>
      </c>
    </row>
    <row r="48">
      <c r="A48" s="3">
        <f>IFERROR(__xludf.DUMMYFUNCTION("""COMPUTED_VALUE"""),424.0)</f>
        <v>424</v>
      </c>
      <c r="B48" s="11">
        <f>IFERROR(__xludf.DUMMYFUNCTION("""COMPUTED_VALUE"""),45989.53001621528)</f>
        <v>45989.53002</v>
      </c>
      <c r="C48" s="3" t="str">
        <f>IFERROR(__xludf.DUMMYFUNCTION("""COMPUTED_VALUE"""),"ชั้นปีที่ 1")</f>
        <v>ชั้นปีที่ 1</v>
      </c>
      <c r="D48" s="3" t="str">
        <f>IFERROR(__xludf.DUMMYFUNCTION("""COMPUTED_VALUE"""),"6803922")</f>
        <v>6803922</v>
      </c>
      <c r="E48" s="3" t="str">
        <f>IFERROR(__xludf.DUMMYFUNCTION("""COMPUTED_VALUE"""),"41")</f>
        <v>41</v>
      </c>
      <c r="F48" s="3" t="str">
        <f>IFERROR(__xludf.DUMMYFUNCTION("""COMPUTED_VALUE"""),"นพอ.พินิษา อินทร์ศวร")</f>
        <v>นพอ.พินิษา อินทร์ศวร</v>
      </c>
      <c r="G48" s="3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48" s="3" t="str">
        <f>IFERROR(__xludf.DUMMYFUNCTION("""COMPUTED_VALUE"""),"Meet the youth cyber guardians Thailand 2025")</f>
        <v>Meet the youth cyber guardians Thailand 2025</v>
      </c>
      <c r="I48" s="3" t="str">
        <f>IFERROR(__xludf.DUMMYFUNCTION("""COMPUTED_VALUE"""),"หน่วยบัญชาการกองทัพไทย")</f>
        <v>หน่วยบัญชาการกองทัพไทย</v>
      </c>
      <c r="J48" s="12">
        <f>IFERROR(__xludf.DUMMYFUNCTION("""COMPUTED_VALUE"""),45907.0)</f>
        <v>45907</v>
      </c>
      <c r="K48" s="3" t="str">
        <f>IFERROR(__xludf.DUMMYFUNCTION("""COMPUTED_VALUE"""),"07.00-16.30")</f>
        <v>07.00-16.30</v>
      </c>
      <c r="L48" s="3">
        <f>IFERROR(__xludf.DUMMYFUNCTION("""COMPUTED_VALUE"""),8.0)</f>
        <v>8</v>
      </c>
      <c r="M48" s="3" t="str">
        <f>IFERROR(__xludf.DUMMYFUNCTION("""COMPUTED_VALUE"""),"ร.อ.อนุชิต ทำจะดี")</f>
        <v>ร.อ.อนุชิต ทำจะดี</v>
      </c>
      <c r="N48" s="14" t="str">
        <f>IFERROR(__xludf.DUMMYFUNCTION("""COMPUTED_VALUE"""),"https://lh5.googleusercontent.com/d/11IAEItZFqkMdu1FmVrWzulTqha3pmg_M")</f>
        <v>https://lh5.googleusercontent.com/d/11IAEItZFqkMdu1FmVrWzulTqha3pmg_M</v>
      </c>
      <c r="O48" s="14" t="str">
        <f>IFERROR(__xludf.DUMMYFUNCTION("""COMPUTED_VALUE"""),"https://drive.google.com/file/d/17i---RagTryhIOC7ndsQ75NLaUnkR2Hw/view?usp=drivesdk")</f>
        <v>https://drive.google.com/file/d/17i---RagTryhIOC7ndsQ75NLaUnkR2Hw/view?usp=drivesdk</v>
      </c>
    </row>
    <row r="49">
      <c r="A49" s="3">
        <f>IFERROR(__xludf.DUMMYFUNCTION("""COMPUTED_VALUE"""),425.0)</f>
        <v>425</v>
      </c>
      <c r="B49" s="11">
        <f>IFERROR(__xludf.DUMMYFUNCTION("""COMPUTED_VALUE"""),45989.53556008102)</f>
        <v>45989.53556</v>
      </c>
      <c r="C49" s="3" t="str">
        <f>IFERROR(__xludf.DUMMYFUNCTION("""COMPUTED_VALUE"""),"ชั้นปีที่ 1")</f>
        <v>ชั้นปีที่ 1</v>
      </c>
      <c r="D49" s="3" t="str">
        <f>IFERROR(__xludf.DUMMYFUNCTION("""COMPUTED_VALUE"""),"6803911")</f>
        <v>6803911</v>
      </c>
      <c r="E49" s="3" t="str">
        <f>IFERROR(__xludf.DUMMYFUNCTION("""COMPUTED_VALUE"""),"30")</f>
        <v>30</v>
      </c>
      <c r="F49" s="3" t="str">
        <f>IFERROR(__xludf.DUMMYFUNCTION("""COMPUTED_VALUE"""),"นายิกา นกแก้ว")</f>
        <v>นายิกา นกแก้ว</v>
      </c>
      <c r="G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9" s="3" t="str">
        <f>IFERROR(__xludf.DUMMYFUNCTION("""COMPUTED_VALUE"""),"เดินรณรงค์“วันโลกรำลึกถึงผู้สูญเสียจากอุบัติเหตุทางถนน”กับพลังโรทาแรค์")</f>
        <v>เดินรณรงค์“วันโลกรำลึกถึงผู้สูญเสียจากอุบัติเหตุทางถนน”กับพลังโรทาแรค์</v>
      </c>
      <c r="I49" s="3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49" s="12">
        <f>IFERROR(__xludf.DUMMYFUNCTION("""COMPUTED_VALUE"""),45977.0)</f>
        <v>45977</v>
      </c>
      <c r="K49" s="3" t="str">
        <f>IFERROR(__xludf.DUMMYFUNCTION("""COMPUTED_VALUE"""),"0600-1000")</f>
        <v>0600-1000</v>
      </c>
      <c r="L49" s="3">
        <f>IFERROR(__xludf.DUMMYFUNCTION("""COMPUTED_VALUE"""),4.0)</f>
        <v>4</v>
      </c>
      <c r="M4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9" s="14" t="str">
        <f>IFERROR(__xludf.DUMMYFUNCTION("""COMPUTED_VALUE"""),"https://lh5.googleusercontent.com/d/1EoXBE6esY4L-5E-p-AF2_7mt-4Tx0mNt")</f>
        <v>https://lh5.googleusercontent.com/d/1EoXBE6esY4L-5E-p-AF2_7mt-4Tx0mNt</v>
      </c>
      <c r="O49" s="14" t="str">
        <f>IFERROR(__xludf.DUMMYFUNCTION("""COMPUTED_VALUE"""),"https://drive.google.com/file/d/16ORzHzuZfM6Zy4w6OOxhpAIvh49saOIp/view?usp=drivesdk")</f>
        <v>https://drive.google.com/file/d/16ORzHzuZfM6Zy4w6OOxhpAIvh49saOIp/view?usp=drivesdk</v>
      </c>
    </row>
    <row r="50">
      <c r="A50" s="3">
        <f>IFERROR(__xludf.DUMMYFUNCTION("""COMPUTED_VALUE"""),426.0)</f>
        <v>426</v>
      </c>
      <c r="B50" s="11">
        <f>IFERROR(__xludf.DUMMYFUNCTION("""COMPUTED_VALUE"""),45989.53728819445)</f>
        <v>45989.53729</v>
      </c>
      <c r="C50" s="3" t="str">
        <f>IFERROR(__xludf.DUMMYFUNCTION("""COMPUTED_VALUE"""),"ชั้นปีที่ 1")</f>
        <v>ชั้นปีที่ 1</v>
      </c>
      <c r="D50" s="3" t="str">
        <f>IFERROR(__xludf.DUMMYFUNCTION("""COMPUTED_VALUE"""),"6803927")</f>
        <v>6803927</v>
      </c>
      <c r="E50" s="3" t="str">
        <f>IFERROR(__xludf.DUMMYFUNCTION("""COMPUTED_VALUE"""),"46")</f>
        <v>46</v>
      </c>
      <c r="F50" s="3" t="str">
        <f>IFERROR(__xludf.DUMMYFUNCTION("""COMPUTED_VALUE"""),"นพอ.มณฑกาญจน์ กองจะริตร์")</f>
        <v>นพอ.มณฑกาญจน์ กองจะริตร์</v>
      </c>
      <c r="G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" s="3" t="str">
        <f>IFERROR(__xludf.DUMMYFUNCTION("""COMPUTED_VALUE"""),"เดินรณรงค์ “วันโลกรำลึกถึงผู้สูญเสียจากอุบัติเหตุทางถนน” กับพลังโรทาแรคท์")</f>
        <v>เดินรณรงค์ “วันโลกรำลึกถึงผู้สูญเสียจากอุบัติเหตุทางถนน” กับพลังโรทาแรคท์</v>
      </c>
      <c r="I50" s="3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50" s="12">
        <f>IFERROR(__xludf.DUMMYFUNCTION("""COMPUTED_VALUE"""),45977.0)</f>
        <v>45977</v>
      </c>
      <c r="K50" s="3" t="str">
        <f>IFERROR(__xludf.DUMMYFUNCTION("""COMPUTED_VALUE"""),"0600-1000")</f>
        <v>0600-1000</v>
      </c>
      <c r="L50" s="3">
        <f>IFERROR(__xludf.DUMMYFUNCTION("""COMPUTED_VALUE"""),4.0)</f>
        <v>4</v>
      </c>
      <c r="M5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0" s="14" t="str">
        <f>IFERROR(__xludf.DUMMYFUNCTION("""COMPUTED_VALUE"""),"https://lh5.googleusercontent.com/d/1lA1uqZ3cTFXg4bEjBhEgvTeS4NWzP4l-")</f>
        <v>https://lh5.googleusercontent.com/d/1lA1uqZ3cTFXg4bEjBhEgvTeS4NWzP4l-</v>
      </c>
      <c r="O50" s="14" t="str">
        <f>IFERROR(__xludf.DUMMYFUNCTION("""COMPUTED_VALUE"""),"https://drive.google.com/file/d/1JPrDwcTQTCvL8kI8gI57K1XN9DCQQryt/view?usp=drivesdk")</f>
        <v>https://drive.google.com/file/d/1JPrDwcTQTCvL8kI8gI57K1XN9DCQQryt/view?usp=drivesdk</v>
      </c>
    </row>
    <row r="51">
      <c r="A51" s="3">
        <f>IFERROR(__xludf.DUMMYFUNCTION("""COMPUTED_VALUE"""),427.0)</f>
        <v>427</v>
      </c>
      <c r="B51" s="11">
        <f>IFERROR(__xludf.DUMMYFUNCTION("""COMPUTED_VALUE"""),45989.5400033912)</f>
        <v>45989.54</v>
      </c>
      <c r="C51" s="3" t="str">
        <f>IFERROR(__xludf.DUMMYFUNCTION("""COMPUTED_VALUE"""),"ชั้นปีที่ 1")</f>
        <v>ชั้นปีที่ 1</v>
      </c>
      <c r="D51" s="3" t="str">
        <f>IFERROR(__xludf.DUMMYFUNCTION("""COMPUTED_VALUE"""),"6803883")</f>
        <v>6803883</v>
      </c>
      <c r="E51" s="3" t="str">
        <f>IFERROR(__xludf.DUMMYFUNCTION("""COMPUTED_VALUE"""),"2")</f>
        <v>2</v>
      </c>
      <c r="F51" s="3" t="str">
        <f>IFERROR(__xludf.DUMMYFUNCTION("""COMPUTED_VALUE"""),"นพอ.กรชนก หน่อทิม")</f>
        <v>นพอ.กรชนก หน่อทิม</v>
      </c>
      <c r="G51" s="3" t="str">
        <f>IFERROR(__xludf.DUMMYFUNCTION("""COMPUTED_VALUE"""),"ทำนุบำรุงศาสนสถาน")</f>
        <v>ทำนุบำรุงศาสนสถาน</v>
      </c>
      <c r="H51" s="3" t="str">
        <f>IFERROR(__xludf.DUMMYFUNCTION("""COMPUTED_VALUE"""),"กวาดลานวัด")</f>
        <v>กวาดลานวัด</v>
      </c>
      <c r="I51" s="3" t="str">
        <f>IFERROR(__xludf.DUMMYFUNCTION("""COMPUTED_VALUE"""),"วัดธรรมิการาม (เขาช่องกระจก)")</f>
        <v>วัดธรรมิการาม (เขาช่องกระจก)</v>
      </c>
      <c r="J51" s="12">
        <f>IFERROR(__xludf.DUMMYFUNCTION("""COMPUTED_VALUE"""),45983.0)</f>
        <v>45983</v>
      </c>
      <c r="K51" s="3" t="str">
        <f>IFERROR(__xludf.DUMMYFUNCTION("""COMPUTED_VALUE"""),"07.00น.")</f>
        <v>07.00น.</v>
      </c>
      <c r="L51" s="3">
        <f>IFERROR(__xludf.DUMMYFUNCTION("""COMPUTED_VALUE"""),4.0)</f>
        <v>4</v>
      </c>
      <c r="M51" s="3" t="str">
        <f>IFERROR(__xludf.DUMMYFUNCTION("""COMPUTED_VALUE"""),"ร.อ.ปรีดา หน่อทิม")</f>
        <v>ร.อ.ปรีดา หน่อทิม</v>
      </c>
      <c r="N51" s="14" t="str">
        <f>IFERROR(__xludf.DUMMYFUNCTION("""COMPUTED_VALUE"""),"https://lh5.googleusercontent.com/d/1endnzpXzUzZiMex5PQXm8oBW1rM83f2f")</f>
        <v>https://lh5.googleusercontent.com/d/1endnzpXzUzZiMex5PQXm8oBW1rM83f2f</v>
      </c>
      <c r="O51" s="14" t="str">
        <f>IFERROR(__xludf.DUMMYFUNCTION("""COMPUTED_VALUE"""),"https://drive.google.com/file/d/13o-w9THqJnb3fhYpwk62VgzMuGzwKf3e/view?usp=drivesdk")</f>
        <v>https://drive.google.com/file/d/13o-w9THqJnb3fhYpwk62VgzMuGzwKf3e/view?usp=drivesdk</v>
      </c>
    </row>
    <row r="52">
      <c r="A52" s="3">
        <f>IFERROR(__xludf.DUMMYFUNCTION("""COMPUTED_VALUE"""),428.0)</f>
        <v>428</v>
      </c>
      <c r="B52" s="11">
        <f>IFERROR(__xludf.DUMMYFUNCTION("""COMPUTED_VALUE"""),45989.54316710648)</f>
        <v>45989.54317</v>
      </c>
      <c r="C52" s="3" t="str">
        <f>IFERROR(__xludf.DUMMYFUNCTION("""COMPUTED_VALUE"""),"ชั้นปีที่ 1")</f>
        <v>ชั้นปีที่ 1</v>
      </c>
      <c r="D52" s="3" t="str">
        <f>IFERROR(__xludf.DUMMYFUNCTION("""COMPUTED_VALUE"""),"6803929")</f>
        <v>6803929</v>
      </c>
      <c r="E52" s="3" t="str">
        <f>IFERROR(__xludf.DUMMYFUNCTION("""COMPUTED_VALUE"""),"48")</f>
        <v>48</v>
      </c>
      <c r="F52" s="3" t="str">
        <f>IFERROR(__xludf.DUMMYFUNCTION("""COMPUTED_VALUE"""),"นพอ.ยลภาม ลำดับวงพุฒิปาณ")</f>
        <v>นพอ.ยลภาม ลำดับวงพุฒิปาณ</v>
      </c>
      <c r="G5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2" s="3" t="str">
        <f>IFERROR(__xludf.DUMMYFUNCTION("""COMPUTED_VALUE"""),"จัดยา จัดอุปกรณ์")</f>
        <v>จัดยา จัดอุปกรณ์</v>
      </c>
      <c r="I52" s="3" t="str">
        <f>IFERROR(__xludf.DUMMYFUNCTION("""COMPUTED_VALUE"""),"สถานีกาชาดที่8")</f>
        <v>สถานีกาชาดที่8</v>
      </c>
      <c r="J52" s="12">
        <f>IFERROR(__xludf.DUMMYFUNCTION("""COMPUTED_VALUE"""),45934.0)</f>
        <v>45934</v>
      </c>
      <c r="K52" s="3" t="str">
        <f>IFERROR(__xludf.DUMMYFUNCTION("""COMPUTED_VALUE"""),"0800")</f>
        <v>0800</v>
      </c>
      <c r="L52" s="3">
        <f>IFERROR(__xludf.DUMMYFUNCTION("""COMPUTED_VALUE"""),4.0)</f>
        <v>4</v>
      </c>
      <c r="M52" s="3" t="str">
        <f>IFERROR(__xludf.DUMMYFUNCTION("""COMPUTED_VALUE"""),"นางอรวรรณ ขำเพชร")</f>
        <v>นางอรวรรณ ขำเพชร</v>
      </c>
      <c r="N52" s="14" t="str">
        <f>IFERROR(__xludf.DUMMYFUNCTION("""COMPUTED_VALUE"""),"https://lh5.googleusercontent.com/d/1mJQOPgOliGSDfcc1klMFArPalfclUj-_")</f>
        <v>https://lh5.googleusercontent.com/d/1mJQOPgOliGSDfcc1klMFArPalfclUj-_</v>
      </c>
      <c r="O52" s="14" t="str">
        <f>IFERROR(__xludf.DUMMYFUNCTION("""COMPUTED_VALUE"""),"https://drive.google.com/file/d/1IhE4Fgc7-rWmPZtLxoQh5D84tTd8nRN4/view?usp=drivesdk")</f>
        <v>https://drive.google.com/file/d/1IhE4Fgc7-rWmPZtLxoQh5D84tTd8nRN4/view?usp=drivesdk</v>
      </c>
    </row>
    <row r="53">
      <c r="A53" s="3">
        <f>IFERROR(__xludf.DUMMYFUNCTION("""COMPUTED_VALUE"""),430.0)</f>
        <v>430</v>
      </c>
      <c r="B53" s="11">
        <f>IFERROR(__xludf.DUMMYFUNCTION("""COMPUTED_VALUE"""),45989.563837800924)</f>
        <v>45989.56384</v>
      </c>
      <c r="C53" s="3" t="str">
        <f>IFERROR(__xludf.DUMMYFUNCTION("""COMPUTED_VALUE"""),"ชั้นปีที่ 1")</f>
        <v>ชั้นปีที่ 1</v>
      </c>
      <c r="D53" s="3" t="str">
        <f>IFERROR(__xludf.DUMMYFUNCTION("""COMPUTED_VALUE"""),"6803883")</f>
        <v>6803883</v>
      </c>
      <c r="E53" s="3" t="str">
        <f>IFERROR(__xludf.DUMMYFUNCTION("""COMPUTED_VALUE"""),"2")</f>
        <v>2</v>
      </c>
      <c r="F53" s="3" t="str">
        <f>IFERROR(__xludf.DUMMYFUNCTION("""COMPUTED_VALUE"""),"นพอ.กรชนก หน่อทิม")</f>
        <v>นพอ.กรชนก หน่อทิม</v>
      </c>
      <c r="G53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53" s="3" t="str">
        <f>IFERROR(__xludf.DUMMYFUNCTION("""COMPUTED_VALUE"""),"ลงนามถวายความอาลัยพระพันปีหลวง")</f>
        <v>ลงนามถวายความอาลัยพระพันปีหลวง</v>
      </c>
      <c r="I53" s="3" t="str">
        <f>IFERROR(__xludf.DUMMYFUNCTION("""COMPUTED_VALUE"""),"-")</f>
        <v>-</v>
      </c>
      <c r="J53" s="12">
        <f>IFERROR(__xludf.DUMMYFUNCTION("""COMPUTED_VALUE"""),45960.0)</f>
        <v>45960</v>
      </c>
      <c r="K53" s="3" t="str">
        <f>IFERROR(__xludf.DUMMYFUNCTION("""COMPUTED_VALUE"""),"13.30")</f>
        <v>13.30</v>
      </c>
      <c r="L53" s="3">
        <f>IFERROR(__xludf.DUMMYFUNCTION("""COMPUTED_VALUE"""),1.0)</f>
        <v>1</v>
      </c>
      <c r="M53" s="3" t="str">
        <f>IFERROR(__xludf.DUMMYFUNCTION("""COMPUTED_VALUE"""),"-")</f>
        <v>-</v>
      </c>
      <c r="N53" s="14" t="str">
        <f>IFERROR(__xludf.DUMMYFUNCTION("""COMPUTED_VALUE"""),"https://lh5.googleusercontent.com/d/18Bf02u2wJrvOL2e2abBDiwKsKw-Y1B02")</f>
        <v>https://lh5.googleusercontent.com/d/18Bf02u2wJrvOL2e2abBDiwKsKw-Y1B02</v>
      </c>
      <c r="O53" s="14" t="str">
        <f>IFERROR(__xludf.DUMMYFUNCTION("""COMPUTED_VALUE"""),"https://drive.google.com/file/d/1igyhVQt0vb4k62h2XF8pWJgiXnpvb7Ab/view?usp=drivesdk")</f>
        <v>https://drive.google.com/file/d/1igyhVQt0vb4k62h2XF8pWJgiXnpvb7Ab/view?usp=drivesdk</v>
      </c>
    </row>
    <row r="54">
      <c r="A54" s="3">
        <f>IFERROR(__xludf.DUMMYFUNCTION("""COMPUTED_VALUE"""),435.0)</f>
        <v>435</v>
      </c>
      <c r="B54" s="11">
        <f>IFERROR(__xludf.DUMMYFUNCTION("""COMPUTED_VALUE"""),45989.94745329861)</f>
        <v>45989.94745</v>
      </c>
      <c r="C54" s="3" t="str">
        <f>IFERROR(__xludf.DUMMYFUNCTION("""COMPUTED_VALUE"""),"ชั้นปีที่ 1")</f>
        <v>ชั้นปีที่ 1</v>
      </c>
      <c r="D54" s="3" t="str">
        <f>IFERROR(__xludf.DUMMYFUNCTION("""COMPUTED_VALUE"""),"6803929")</f>
        <v>6803929</v>
      </c>
      <c r="E54" s="3" t="str">
        <f>IFERROR(__xludf.DUMMYFUNCTION("""COMPUTED_VALUE"""),"48")</f>
        <v>48</v>
      </c>
      <c r="F54" s="3" t="str">
        <f>IFERROR(__xludf.DUMMYFUNCTION("""COMPUTED_VALUE"""),"นพอ.ยลภาม ลำดับวงพุฒิปาณ")</f>
        <v>นพอ.ยลภาม ลำดับวงพุฒิปาณ</v>
      </c>
      <c r="G54" s="3" t="str">
        <f>IFERROR(__xludf.DUMMYFUNCTION("""COMPUTED_VALUE"""),"งานฟรีทั่วไป")</f>
        <v>งานฟรีทั่วไป</v>
      </c>
      <c r="H54" s="3" t="str">
        <f>IFERROR(__xludf.DUMMYFUNCTION("""COMPUTED_VALUE"""),"ช่วยแม่ล้างจาน")</f>
        <v>ช่วยแม่ล้างจาน</v>
      </c>
      <c r="I54" s="3" t="str">
        <f>IFERROR(__xludf.DUMMYFUNCTION("""COMPUTED_VALUE"""),"บ้าน")</f>
        <v>บ้าน</v>
      </c>
      <c r="J54" s="12">
        <f>IFERROR(__xludf.DUMMYFUNCTION("""COMPUTED_VALUE"""),45989.0)</f>
        <v>45989</v>
      </c>
      <c r="K54" s="3" t="str">
        <f>IFERROR(__xludf.DUMMYFUNCTION("""COMPUTED_VALUE"""),"2000")</f>
        <v>2000</v>
      </c>
      <c r="L54" s="3">
        <f>IFERROR(__xludf.DUMMYFUNCTION("""COMPUTED_VALUE"""),4.0)</f>
        <v>4</v>
      </c>
      <c r="M54" s="3" t="str">
        <f>IFERROR(__xludf.DUMMYFUNCTION("""COMPUTED_VALUE"""),"นางธัญจิรา มินศิริ")</f>
        <v>นางธัญจิรา มินศิริ</v>
      </c>
      <c r="N54" s="14" t="str">
        <f>IFERROR(__xludf.DUMMYFUNCTION("""COMPUTED_VALUE"""),"https://lh5.googleusercontent.com/d/1JyW1T1ELwpYMpZkxYsH9DQrENeyw9XA2")</f>
        <v>https://lh5.googleusercontent.com/d/1JyW1T1ELwpYMpZkxYsH9DQrENeyw9XA2</v>
      </c>
      <c r="O54" s="14" t="str">
        <f>IFERROR(__xludf.DUMMYFUNCTION("""COMPUTED_VALUE"""),"https://drive.google.com/file/d/1AXc_r8bnsiEw12CHPrfCM35QHMzGRvbG/view?usp=drivesdk")</f>
        <v>https://drive.google.com/file/d/1AXc_r8bnsiEw12CHPrfCM35QHMzGRvbG/view?usp=drivesdk</v>
      </c>
    </row>
    <row r="55">
      <c r="A55" s="3">
        <f>IFERROR(__xludf.DUMMYFUNCTION("""COMPUTED_VALUE"""),443.0)</f>
        <v>443</v>
      </c>
      <c r="B55" s="11">
        <f>IFERROR(__xludf.DUMMYFUNCTION("""COMPUTED_VALUE"""),45990.54803638889)</f>
        <v>45990.54804</v>
      </c>
      <c r="C55" s="3" t="str">
        <f>IFERROR(__xludf.DUMMYFUNCTION("""COMPUTED_VALUE"""),"ชั้นปีที่ 1")</f>
        <v>ชั้นปีที่ 1</v>
      </c>
      <c r="D55" s="3" t="str">
        <f>IFERROR(__xludf.DUMMYFUNCTION("""COMPUTED_VALUE"""),"6803929")</f>
        <v>6803929</v>
      </c>
      <c r="E55" s="3" t="str">
        <f>IFERROR(__xludf.DUMMYFUNCTION("""COMPUTED_VALUE"""),"48")</f>
        <v>48</v>
      </c>
      <c r="F55" s="3" t="str">
        <f>IFERROR(__xludf.DUMMYFUNCTION("""COMPUTED_VALUE"""),"นพอ.ยลภาม ลำดับวงพุฒิปาณ")</f>
        <v>นพอ.ยลภาม ลำดับวงพุฒิปาณ</v>
      </c>
      <c r="G55" s="3" t="str">
        <f>IFERROR(__xludf.DUMMYFUNCTION("""COMPUTED_VALUE"""),"งานฟรีทั่วไป")</f>
        <v>งานฟรีทั่วไป</v>
      </c>
      <c r="H55" s="3" t="str">
        <f>IFERROR(__xludf.DUMMYFUNCTION("""COMPUTED_VALUE"""),"กวาดพื้น")</f>
        <v>กวาดพื้น</v>
      </c>
      <c r="I55" s="3" t="str">
        <f>IFERROR(__xludf.DUMMYFUNCTION("""COMPUTED_VALUE"""),"บ้าน")</f>
        <v>บ้าน</v>
      </c>
      <c r="J55" s="12">
        <f>IFERROR(__xludf.DUMMYFUNCTION("""COMPUTED_VALUE"""),45989.0)</f>
        <v>45989</v>
      </c>
      <c r="K55" s="3" t="str">
        <f>IFERROR(__xludf.DUMMYFUNCTION("""COMPUTED_VALUE"""),"0800")</f>
        <v>0800</v>
      </c>
      <c r="L55" s="3">
        <f>IFERROR(__xludf.DUMMYFUNCTION("""COMPUTED_VALUE"""),4.0)</f>
        <v>4</v>
      </c>
      <c r="M55" s="3" t="str">
        <f>IFERROR(__xludf.DUMMYFUNCTION("""COMPUTED_VALUE"""),"นายชโยภณ ลำดับวงพุฒิปาณ")</f>
        <v>นายชโยภณ ลำดับวงพุฒิปาณ</v>
      </c>
      <c r="N55" s="14" t="str">
        <f>IFERROR(__xludf.DUMMYFUNCTION("""COMPUTED_VALUE"""),"https://lh5.googleusercontent.com/d/1Xf6kzEBWBsnJH3KYW3HTQP5mxgIkND6p")</f>
        <v>https://lh5.googleusercontent.com/d/1Xf6kzEBWBsnJH3KYW3HTQP5mxgIkND6p</v>
      </c>
      <c r="O55" s="14" t="str">
        <f>IFERROR(__xludf.DUMMYFUNCTION("""COMPUTED_VALUE"""),"https://drive.google.com/file/d/1FKBJIKKtu5ut1q629YTY3BmEp3ld0MQ1/view?usp=drivesdk")</f>
        <v>https://drive.google.com/file/d/1FKBJIKKtu5ut1q629YTY3BmEp3ld0MQ1/view?usp=drivesdk</v>
      </c>
    </row>
    <row r="56">
      <c r="A56" s="3">
        <f>IFERROR(__xludf.DUMMYFUNCTION("""COMPUTED_VALUE"""),446.0)</f>
        <v>446</v>
      </c>
      <c r="B56" s="11">
        <f>IFERROR(__xludf.DUMMYFUNCTION("""COMPUTED_VALUE"""),45990.58883173611)</f>
        <v>45990.58883</v>
      </c>
      <c r="C56" s="3" t="str">
        <f>IFERROR(__xludf.DUMMYFUNCTION("""COMPUTED_VALUE"""),"ชั้นปีที่ 1")</f>
        <v>ชั้นปีที่ 1</v>
      </c>
      <c r="D56" s="3" t="str">
        <f>IFERROR(__xludf.DUMMYFUNCTION("""COMPUTED_VALUE"""),"6803926")</f>
        <v>6803926</v>
      </c>
      <c r="E56" s="3" t="str">
        <f>IFERROR(__xludf.DUMMYFUNCTION("""COMPUTED_VALUE"""),"45")</f>
        <v>45</v>
      </c>
      <c r="F56" s="3" t="str">
        <f>IFERROR(__xludf.DUMMYFUNCTION("""COMPUTED_VALUE"""),"ภัทราพร ถึงกัน")</f>
        <v>ภัทราพร ถึงกัน</v>
      </c>
      <c r="G56" s="3" t="str">
        <f>IFERROR(__xludf.DUMMYFUNCTION("""COMPUTED_VALUE"""),"ช่วยเหลืองานภายใน วพอ.")</f>
        <v>ช่วยเหลืองานภายใน วพอ.</v>
      </c>
      <c r="H56" s="3" t="str">
        <f>IFERROR(__xludf.DUMMYFUNCTION("""COMPUTED_VALUE"""),"เล่นดุริยางค์")</f>
        <v>เล่นดุริยางค์</v>
      </c>
      <c r="I56" s="3" t="str">
        <f>IFERROR(__xludf.DUMMYFUNCTION("""COMPUTED_VALUE"""),"วพอ.พอ.")</f>
        <v>วพอ.พอ.</v>
      </c>
      <c r="J56" s="12">
        <f>IFERROR(__xludf.DUMMYFUNCTION("""COMPUTED_VALUE"""),45989.0)</f>
        <v>45989</v>
      </c>
      <c r="K56" s="3" t="str">
        <f>IFERROR(__xludf.DUMMYFUNCTION("""COMPUTED_VALUE"""),"0730-0745")</f>
        <v>0730-0745</v>
      </c>
      <c r="L56" s="3">
        <f>IFERROR(__xludf.DUMMYFUNCTION("""COMPUTED_VALUE"""),1.0)</f>
        <v>1</v>
      </c>
      <c r="M56" s="3" t="str">
        <f>IFERROR(__xludf.DUMMYFUNCTION("""COMPUTED_VALUE"""),"ร.อ.อนุชิต ทำจะดี")</f>
        <v>ร.อ.อนุชิต ทำจะดี</v>
      </c>
      <c r="N56" s="14" t="str">
        <f>IFERROR(__xludf.DUMMYFUNCTION("""COMPUTED_VALUE"""),"https://lh5.googleusercontent.com/d/1SpynwLwliYm9CjwmSalcmhF03dAWeVI5")</f>
        <v>https://lh5.googleusercontent.com/d/1SpynwLwliYm9CjwmSalcmhF03dAWeVI5</v>
      </c>
      <c r="O56" s="14" t="str">
        <f>IFERROR(__xludf.DUMMYFUNCTION("""COMPUTED_VALUE"""),"https://drive.google.com/file/d/1pS095XsnEAeV1neoFtO3PRnjscuh88rm/view?usp=drivesdk")</f>
        <v>https://drive.google.com/file/d/1pS095XsnEAeV1neoFtO3PRnjscuh88rm/view?usp=drivesdk</v>
      </c>
    </row>
    <row r="57">
      <c r="A57" s="3">
        <f>IFERROR(__xludf.DUMMYFUNCTION("""COMPUTED_VALUE"""),449.0)</f>
        <v>449</v>
      </c>
      <c r="B57" s="11">
        <f>IFERROR(__xludf.DUMMYFUNCTION("""COMPUTED_VALUE"""),45990.67400414352)</f>
        <v>45990.674</v>
      </c>
      <c r="C57" s="3" t="str">
        <f>IFERROR(__xludf.DUMMYFUNCTION("""COMPUTED_VALUE"""),"ชั้นปีที่ 1")</f>
        <v>ชั้นปีที่ 1</v>
      </c>
      <c r="D57" s="3" t="str">
        <f>IFERROR(__xludf.DUMMYFUNCTION("""COMPUTED_VALUE"""),"6803926")</f>
        <v>6803926</v>
      </c>
      <c r="E57" s="3" t="str">
        <f>IFERROR(__xludf.DUMMYFUNCTION("""COMPUTED_VALUE"""),"45")</f>
        <v>45</v>
      </c>
      <c r="F57" s="3" t="str">
        <f>IFERROR(__xludf.DUMMYFUNCTION("""COMPUTED_VALUE"""),"ภัทราพร ถึงกัน")</f>
        <v>ภัทราพร ถึงกัน</v>
      </c>
      <c r="G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" s="3" t="str">
        <f>IFERROR(__xludf.DUMMYFUNCTION("""COMPUTED_VALUE"""),"งานแจกของพระราชทานพระบรมศพพระพันปีหลวง ")</f>
        <v>งานแจกของพระราชทานพระบรมศพพระพันปีหลวง </v>
      </c>
      <c r="I57" s="3" t="str">
        <f>IFERROR(__xludf.DUMMYFUNCTION("""COMPUTED_VALUE"""),"สนามหลวง")</f>
        <v>สนามหลวง</v>
      </c>
      <c r="J57" s="12">
        <f>IFERROR(__xludf.DUMMYFUNCTION("""COMPUTED_VALUE"""),45990.0)</f>
        <v>45990</v>
      </c>
      <c r="K57" s="3" t="str">
        <f>IFERROR(__xludf.DUMMYFUNCTION("""COMPUTED_VALUE"""),"0800-1200")</f>
        <v>0800-1200</v>
      </c>
      <c r="L57" s="3">
        <f>IFERROR(__xludf.DUMMYFUNCTION("""COMPUTED_VALUE"""),4.0)</f>
        <v>4</v>
      </c>
      <c r="M5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7" s="14" t="str">
        <f>IFERROR(__xludf.DUMMYFUNCTION("""COMPUTED_VALUE"""),"https://lh5.googleusercontent.com/d/1LVp1pReFjndnfgkVYCWJ04_8Kdwv185R")</f>
        <v>https://lh5.googleusercontent.com/d/1LVp1pReFjndnfgkVYCWJ04_8Kdwv185R</v>
      </c>
      <c r="O57" s="14" t="str">
        <f>IFERROR(__xludf.DUMMYFUNCTION("""COMPUTED_VALUE"""),"https://drive.google.com/file/d/1WU-lYm-NUgIFuAiGzhvRqXY0uWh9qIMh/view?usp=drivesdk")</f>
        <v>https://drive.google.com/file/d/1WU-lYm-NUgIFuAiGzhvRqXY0uWh9qIMh/view?usp=drivesdk</v>
      </c>
    </row>
    <row r="58">
      <c r="A58" s="3">
        <f>IFERROR(__xludf.DUMMYFUNCTION("""COMPUTED_VALUE"""),455.0)</f>
        <v>455</v>
      </c>
      <c r="B58" s="11">
        <f>IFERROR(__xludf.DUMMYFUNCTION("""COMPUTED_VALUE"""),45990.70159125)</f>
        <v>45990.70159</v>
      </c>
      <c r="C58" s="3" t="str">
        <f>IFERROR(__xludf.DUMMYFUNCTION("""COMPUTED_VALUE"""),"ชั้นปีที่ 1")</f>
        <v>ชั้นปีที่ 1</v>
      </c>
      <c r="D58" s="3" t="str">
        <f>IFERROR(__xludf.DUMMYFUNCTION("""COMPUTED_VALUE"""),"6803926")</f>
        <v>6803926</v>
      </c>
      <c r="E58" s="3" t="str">
        <f>IFERROR(__xludf.DUMMYFUNCTION("""COMPUTED_VALUE"""),"45")</f>
        <v>45</v>
      </c>
      <c r="F58" s="3" t="str">
        <f>IFERROR(__xludf.DUMMYFUNCTION("""COMPUTED_VALUE"""),"ภัทราพร ถึงกัน")</f>
        <v>ภัทราพร ถึงกัน</v>
      </c>
      <c r="G58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8" s="3" t="str">
        <f>IFERROR(__xludf.DUMMYFUNCTION("""COMPUTED_VALUE"""),"Say Hi น้องเต่า เขาทิ้งเราเก็บช่วย save สัตว์ทะเล")</f>
        <v>Say Hi น้องเต่า เขาทิ้งเราเก็บช่วย save สัตว์ทะเล</v>
      </c>
      <c r="I58" s="3" t="str">
        <f>IFERROR(__xludf.DUMMYFUNCTION("""COMPUTED_VALUE"""),"ชายหาดสัตหีบ")</f>
        <v>ชายหาดสัตหีบ</v>
      </c>
      <c r="J58" s="12">
        <f>IFERROR(__xludf.DUMMYFUNCTION("""COMPUTED_VALUE"""),45942.0)</f>
        <v>45942</v>
      </c>
      <c r="K58" s="3" t="str">
        <f>IFERROR(__xludf.DUMMYFUNCTION("""COMPUTED_VALUE"""),"0900-1300")</f>
        <v>0900-1300</v>
      </c>
      <c r="L58" s="3">
        <f>IFERROR(__xludf.DUMMYFUNCTION("""COMPUTED_VALUE"""),4.0)</f>
        <v>4</v>
      </c>
      <c r="M58" s="3" t="str">
        <f>IFERROR(__xludf.DUMMYFUNCTION("""COMPUTED_VALUE"""),"นายทิพย์ชยพล ปารีณาพัฒน์นรี")</f>
        <v>นายทิพย์ชยพล ปารีณาพัฒน์นรี</v>
      </c>
      <c r="N58" s="14" t="str">
        <f>IFERROR(__xludf.DUMMYFUNCTION("""COMPUTED_VALUE"""),"https://lh5.googleusercontent.com/d/10hwX5qEkQ0HSURlf0aqqEUaVjmLm79Dq")</f>
        <v>https://lh5.googleusercontent.com/d/10hwX5qEkQ0HSURlf0aqqEUaVjmLm79Dq</v>
      </c>
      <c r="O58" s="14" t="str">
        <f>IFERROR(__xludf.DUMMYFUNCTION("""COMPUTED_VALUE"""),"https://drive.google.com/file/d/16I4gJ-NJdVxFz8cVW6hJufImHANGuC1K/view?usp=drivesdk")</f>
        <v>https://drive.google.com/file/d/16I4gJ-NJdVxFz8cVW6hJufImHANGuC1K/view?usp=drivesdk</v>
      </c>
    </row>
    <row r="59">
      <c r="A59" s="3">
        <f>IFERROR(__xludf.DUMMYFUNCTION("""COMPUTED_VALUE"""),461.0)</f>
        <v>461</v>
      </c>
      <c r="B59" s="11">
        <f>IFERROR(__xludf.DUMMYFUNCTION("""COMPUTED_VALUE"""),45990.721793969904)</f>
        <v>45990.72179</v>
      </c>
      <c r="C59" s="3" t="str">
        <f>IFERROR(__xludf.DUMMYFUNCTION("""COMPUTED_VALUE"""),"ชั้นปีที่ 1")</f>
        <v>ชั้นปีที่ 1</v>
      </c>
      <c r="D59" s="3" t="str">
        <f>IFERROR(__xludf.DUMMYFUNCTION("""COMPUTED_VALUE"""),"6803926")</f>
        <v>6803926</v>
      </c>
      <c r="E59" s="3" t="str">
        <f>IFERROR(__xludf.DUMMYFUNCTION("""COMPUTED_VALUE"""),"45")</f>
        <v>45</v>
      </c>
      <c r="F59" s="3" t="str">
        <f>IFERROR(__xludf.DUMMYFUNCTION("""COMPUTED_VALUE"""),"ภัทราพร ถึงกัน")</f>
        <v>ภัทราพร ถึงกัน</v>
      </c>
      <c r="G5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59" s="3" t="str">
        <f>IFERROR(__xludf.DUMMYFUNCTION("""COMPUTED_VALUE"""),"ขัดบ่อเต่า")</f>
        <v>ขัดบ่อเต่า</v>
      </c>
      <c r="I59" s="3" t="str">
        <f>IFERROR(__xludf.DUMMYFUNCTION("""COMPUTED_VALUE"""),"ศูนย์อนุรักษ์พันธุ์เต่าทะเลกองทัพเรือสัตหีบ")</f>
        <v>ศูนย์อนุรักษ์พันธุ์เต่าทะเลกองทัพเรือสัตหีบ</v>
      </c>
      <c r="J59" s="12">
        <f>IFERROR(__xludf.DUMMYFUNCTION("""COMPUTED_VALUE"""),45962.0)</f>
        <v>45962</v>
      </c>
      <c r="K59" s="3" t="str">
        <f>IFERROR(__xludf.DUMMYFUNCTION("""COMPUTED_VALUE"""),"1000-1400")</f>
        <v>1000-1400</v>
      </c>
      <c r="L59" s="3">
        <f>IFERROR(__xludf.DUMMYFUNCTION("""COMPUTED_VALUE"""),4.0)</f>
        <v>4</v>
      </c>
      <c r="M59" s="3" t="str">
        <f>IFERROR(__xludf.DUMMYFUNCTION("""COMPUTED_VALUE"""),"พ.จ.อ.ภาสกร ถึงกัน")</f>
        <v>พ.จ.อ.ภาสกร ถึงกัน</v>
      </c>
      <c r="N59" s="14" t="str">
        <f>IFERROR(__xludf.DUMMYFUNCTION("""COMPUTED_VALUE"""),"https://lh5.googleusercontent.com/d/1YQqXwOUpU7qO-ekweWmR9DX-rakQXK_f")</f>
        <v>https://lh5.googleusercontent.com/d/1YQqXwOUpU7qO-ekweWmR9DX-rakQXK_f</v>
      </c>
      <c r="O59" s="14" t="str">
        <f>IFERROR(__xludf.DUMMYFUNCTION("""COMPUTED_VALUE"""),"https://drive.google.com/file/d/1cd4-tZOB8KsggVu0arwqahmF2bKD6qNO/view?usp=drivesdk")</f>
        <v>https://drive.google.com/file/d/1cd4-tZOB8KsggVu0arwqahmF2bKD6qNO/view?usp=drivesdk</v>
      </c>
    </row>
    <row r="60">
      <c r="A60" s="3">
        <f>IFERROR(__xludf.DUMMYFUNCTION("""COMPUTED_VALUE"""),490.0)</f>
        <v>490</v>
      </c>
      <c r="B60" s="11">
        <f>IFERROR(__xludf.DUMMYFUNCTION("""COMPUTED_VALUE"""),45990.98236163194)</f>
        <v>45990.98236</v>
      </c>
      <c r="C60" s="3" t="str">
        <f>IFERROR(__xludf.DUMMYFUNCTION("""COMPUTED_VALUE"""),"ชั้นปีที่ 1")</f>
        <v>ชั้นปีที่ 1</v>
      </c>
      <c r="D60" s="3" t="str">
        <f>IFERROR(__xludf.DUMMYFUNCTION("""COMPUTED_VALUE"""),"6803929")</f>
        <v>6803929</v>
      </c>
      <c r="E60" s="3" t="str">
        <f>IFERROR(__xludf.DUMMYFUNCTION("""COMPUTED_VALUE"""),"48")</f>
        <v>48</v>
      </c>
      <c r="F60" s="3" t="str">
        <f>IFERROR(__xludf.DUMMYFUNCTION("""COMPUTED_VALUE"""),"นพอ.ยลภาม ลำดับวงพุฒิปาณ")</f>
        <v>นพอ.ยลภาม ลำดับวงพุฒิปาณ</v>
      </c>
      <c r="G60" s="3" t="str">
        <f>IFERROR(__xludf.DUMMYFUNCTION("""COMPUTED_VALUE"""),"ทำนุบำรุงศาสนสถาน")</f>
        <v>ทำนุบำรุงศาสนสถาน</v>
      </c>
      <c r="H60" s="3" t="str">
        <f>IFERROR(__xludf.DUMMYFUNCTION("""COMPUTED_VALUE"""),"เก็บขยะที่สถานปฏิบัติธรรม")</f>
        <v>เก็บขยะที่สถานปฏิบัติธรรม</v>
      </c>
      <c r="I60" s="3" t="str">
        <f>IFERROR(__xludf.DUMMYFUNCTION("""COMPUTED_VALUE"""),"สถานปฏิบัติธรรมพุทธพรหมปัญโญ เพชรบุรี")</f>
        <v>สถานปฏิบัติธรรมพุทธพรหมปัญโญ เพชรบุรี</v>
      </c>
      <c r="J60" s="12">
        <f>IFERROR(__xludf.DUMMYFUNCTION("""COMPUTED_VALUE"""),45976.0)</f>
        <v>45976</v>
      </c>
      <c r="K60" s="3" t="str">
        <f>IFERROR(__xludf.DUMMYFUNCTION("""COMPUTED_VALUE"""),"1200")</f>
        <v>1200</v>
      </c>
      <c r="L60" s="3">
        <f>IFERROR(__xludf.DUMMYFUNCTION("""COMPUTED_VALUE"""),4.0)</f>
        <v>4</v>
      </c>
      <c r="M60" s="3" t="str">
        <f>IFERROR(__xludf.DUMMYFUNCTION("""COMPUTED_VALUE"""),"วัชรดุล ลีชูวงศ์")</f>
        <v>วัชรดุล ลีชูวงศ์</v>
      </c>
      <c r="N60" s="14" t="str">
        <f>IFERROR(__xludf.DUMMYFUNCTION("""COMPUTED_VALUE"""),"https://lh5.googleusercontent.com/d/1TWh0UbzVIb0TFtoebDdFEHJjshbL1QVU")</f>
        <v>https://lh5.googleusercontent.com/d/1TWh0UbzVIb0TFtoebDdFEHJjshbL1QVU</v>
      </c>
      <c r="O60" s="14" t="str">
        <f>IFERROR(__xludf.DUMMYFUNCTION("""COMPUTED_VALUE"""),"https://drive.google.com/file/d/1GJ2rm1l95TQyaoTOOwNX_e5-5R0wdCGK/view?usp=drivesdk")</f>
        <v>https://drive.google.com/file/d/1GJ2rm1l95TQyaoTOOwNX_e5-5R0wdCGK/view?usp=drivesdk</v>
      </c>
    </row>
    <row r="61">
      <c r="A61" s="3">
        <f>IFERROR(__xludf.DUMMYFUNCTION("""COMPUTED_VALUE"""),491.0)</f>
        <v>491</v>
      </c>
      <c r="B61" s="11">
        <f>IFERROR(__xludf.DUMMYFUNCTION("""COMPUTED_VALUE"""),45990.985734259266)</f>
        <v>45990.98573</v>
      </c>
      <c r="C61" s="3" t="str">
        <f>IFERROR(__xludf.DUMMYFUNCTION("""COMPUTED_VALUE"""),"ชั้นปีที่ 1")</f>
        <v>ชั้นปีที่ 1</v>
      </c>
      <c r="D61" s="3" t="str">
        <f>IFERROR(__xludf.DUMMYFUNCTION("""COMPUTED_VALUE"""),"6803929")</f>
        <v>6803929</v>
      </c>
      <c r="E61" s="3" t="str">
        <f>IFERROR(__xludf.DUMMYFUNCTION("""COMPUTED_VALUE"""),"48")</f>
        <v>48</v>
      </c>
      <c r="F61" s="3" t="str">
        <f>IFERROR(__xludf.DUMMYFUNCTION("""COMPUTED_VALUE"""),"นพอ.ยลภาม ลำดับวงพุฒิปาณ")</f>
        <v>นพอ.ยลภาม ลำดับวงพุฒิปาณ</v>
      </c>
      <c r="G61" s="3" t="str">
        <f>IFERROR(__xludf.DUMMYFUNCTION("""COMPUTED_VALUE"""),"ทำนุบำรุงศาสนสถาน")</f>
        <v>ทำนุบำรุงศาสนสถาน</v>
      </c>
      <c r="H61" s="3" t="str">
        <f>IFERROR(__xludf.DUMMYFUNCTION("""COMPUTED_VALUE"""),"กวาดลานวัด")</f>
        <v>กวาดลานวัด</v>
      </c>
      <c r="I61" s="3" t="str">
        <f>IFERROR(__xludf.DUMMYFUNCTION("""COMPUTED_VALUE"""),"วัดท่ากระเทียม")</f>
        <v>วัดท่ากระเทียม</v>
      </c>
      <c r="J61" s="12">
        <f>IFERROR(__xludf.DUMMYFUNCTION("""COMPUTED_VALUE"""),45989.0)</f>
        <v>45989</v>
      </c>
      <c r="K61" s="3" t="str">
        <f>IFERROR(__xludf.DUMMYFUNCTION("""COMPUTED_VALUE"""),"1600")</f>
        <v>1600</v>
      </c>
      <c r="L61" s="3">
        <f>IFERROR(__xludf.DUMMYFUNCTION("""COMPUTED_VALUE"""),4.0)</f>
        <v>4</v>
      </c>
      <c r="M61" s="3" t="str">
        <f>IFERROR(__xludf.DUMMYFUNCTION("""COMPUTED_VALUE"""),"ลำใย มินศิริ")</f>
        <v>ลำใย มินศิริ</v>
      </c>
      <c r="N61" s="14" t="str">
        <f>IFERROR(__xludf.DUMMYFUNCTION("""COMPUTED_VALUE"""),"https://lh5.googleusercontent.com/d/1vuaX0lmRBxeOIy7_EKKUg0ByAHA6raIm")</f>
        <v>https://lh5.googleusercontent.com/d/1vuaX0lmRBxeOIy7_EKKUg0ByAHA6raIm</v>
      </c>
      <c r="O61" s="14" t="str">
        <f>IFERROR(__xludf.DUMMYFUNCTION("""COMPUTED_VALUE"""),"https://drive.google.com/file/d/1Cnt5D-F0OYnbImxxf4QcfBY2C4HlD74x/view?usp=drivesdk")</f>
        <v>https://drive.google.com/file/d/1Cnt5D-F0OYnbImxxf4QcfBY2C4HlD74x/view?usp=drivesdk</v>
      </c>
    </row>
    <row r="62">
      <c r="A62" s="3">
        <f>IFERROR(__xludf.DUMMYFUNCTION("""COMPUTED_VALUE"""),492.0)</f>
        <v>492</v>
      </c>
      <c r="B62" s="11">
        <f>IFERROR(__xludf.DUMMYFUNCTION("""COMPUTED_VALUE"""),45990.987876597224)</f>
        <v>45990.98788</v>
      </c>
      <c r="C62" s="3" t="str">
        <f>IFERROR(__xludf.DUMMYFUNCTION("""COMPUTED_VALUE"""),"ชั้นปีที่ 1")</f>
        <v>ชั้นปีที่ 1</v>
      </c>
      <c r="D62" s="3" t="str">
        <f>IFERROR(__xludf.DUMMYFUNCTION("""COMPUTED_VALUE"""),"6803929")</f>
        <v>6803929</v>
      </c>
      <c r="E62" s="3" t="str">
        <f>IFERROR(__xludf.DUMMYFUNCTION("""COMPUTED_VALUE"""),"48")</f>
        <v>48</v>
      </c>
      <c r="F62" s="3" t="str">
        <f>IFERROR(__xludf.DUMMYFUNCTION("""COMPUTED_VALUE"""),"นพอ.ยลภาม ลำดับวงพุฒิปาณ")</f>
        <v>นพอ.ยลภาม ลำดับวงพุฒิปาณ</v>
      </c>
      <c r="G62" s="3" t="str">
        <f>IFERROR(__xludf.DUMMYFUNCTION("""COMPUTED_VALUE"""),"ทำนุบำรุงศาสนสถาน")</f>
        <v>ทำนุบำรุงศาสนสถาน</v>
      </c>
      <c r="H62" s="3" t="str">
        <f>IFERROR(__xludf.DUMMYFUNCTION("""COMPUTED_VALUE"""),"กวาดลานวัด")</f>
        <v>กวาดลานวัด</v>
      </c>
      <c r="I62" s="3" t="str">
        <f>IFERROR(__xludf.DUMMYFUNCTION("""COMPUTED_VALUE"""),"วัดไสค้าน เพชรบุรี")</f>
        <v>วัดไสค้าน เพชรบุรี</v>
      </c>
      <c r="J62" s="12">
        <f>IFERROR(__xludf.DUMMYFUNCTION("""COMPUTED_VALUE"""),45990.0)</f>
        <v>45990</v>
      </c>
      <c r="K62" s="3" t="str">
        <f>IFERROR(__xludf.DUMMYFUNCTION("""COMPUTED_VALUE"""),"1000")</f>
        <v>1000</v>
      </c>
      <c r="L62" s="3">
        <f>IFERROR(__xludf.DUMMYFUNCTION("""COMPUTED_VALUE"""),4.0)</f>
        <v>4</v>
      </c>
      <c r="M62" s="3" t="str">
        <f>IFERROR(__xludf.DUMMYFUNCTION("""COMPUTED_VALUE"""),"ธัญจิรา มินศิริ")</f>
        <v>ธัญจิรา มินศิริ</v>
      </c>
      <c r="N62" s="14" t="str">
        <f>IFERROR(__xludf.DUMMYFUNCTION("""COMPUTED_VALUE"""),"https://lh5.googleusercontent.com/d/1JSsCy4os-nf_Um4C0lIOLXyqkgBQJORt")</f>
        <v>https://lh5.googleusercontent.com/d/1JSsCy4os-nf_Um4C0lIOLXyqkgBQJORt</v>
      </c>
      <c r="O62" s="14" t="str">
        <f>IFERROR(__xludf.DUMMYFUNCTION("""COMPUTED_VALUE"""),"https://drive.google.com/file/d/1bm3aYcwlWyU5MemK4ZsrLFoG_0FV55ni/view?usp=drivesdk")</f>
        <v>https://drive.google.com/file/d/1bm3aYcwlWyU5MemK4ZsrLFoG_0FV55ni/view?usp=drivesdk</v>
      </c>
    </row>
    <row r="63">
      <c r="A63" s="3">
        <f>IFERROR(__xludf.DUMMYFUNCTION("""COMPUTED_VALUE"""),503.0)</f>
        <v>503</v>
      </c>
      <c r="B63" s="11">
        <f>IFERROR(__xludf.DUMMYFUNCTION("""COMPUTED_VALUE"""),45991.330353287034)</f>
        <v>45991.33035</v>
      </c>
      <c r="C63" s="3" t="str">
        <f>IFERROR(__xludf.DUMMYFUNCTION("""COMPUTED_VALUE"""),"ชั้นปีที่ 1")</f>
        <v>ชั้นปีที่ 1</v>
      </c>
      <c r="D63" s="3" t="str">
        <f>IFERROR(__xludf.DUMMYFUNCTION("""COMPUTED_VALUE"""),"6803932")</f>
        <v>6803932</v>
      </c>
      <c r="E63" s="3" t="str">
        <f>IFERROR(__xludf.DUMMYFUNCTION("""COMPUTED_VALUE"""),"51")</f>
        <v>51</v>
      </c>
      <c r="F63" s="3" t="str">
        <f>IFERROR(__xludf.DUMMYFUNCTION("""COMPUTED_VALUE"""),"นพอ.รตนพร สินทรัพย์")</f>
        <v>นพอ.รตนพร สินทรัพย์</v>
      </c>
      <c r="G63" s="3" t="str">
        <f>IFERROR(__xludf.DUMMYFUNCTION("""COMPUTED_VALUE"""),"ช่วยเหลืองานภายใน วพอ.")</f>
        <v>ช่วยเหลืองานภายใน วพอ.</v>
      </c>
      <c r="H63" s="3" t="str">
        <f>IFERROR(__xludf.DUMMYFUNCTION("""COMPUTED_VALUE""")," ช่วยท่านอาจารย์แพ็คเสื้อ")</f>
        <v> ช่วยท่านอาจารย์แพ็คเสื้อ</v>
      </c>
      <c r="I63" s="3" t="str">
        <f>IFERROR(__xludf.DUMMYFUNCTION("""COMPUTED_VALUE"""),"ห้องปกครอง วพอ.")</f>
        <v>ห้องปกครอง วพอ.</v>
      </c>
      <c r="J63" s="12">
        <f>IFERROR(__xludf.DUMMYFUNCTION("""COMPUTED_VALUE"""),45895.0)</f>
        <v>45895</v>
      </c>
      <c r="K63" s="3" t="str">
        <f>IFERROR(__xludf.DUMMYFUNCTION("""COMPUTED_VALUE"""),"1600-1800")</f>
        <v>1600-1800</v>
      </c>
      <c r="L63" s="3">
        <f>IFERROR(__xludf.DUMMYFUNCTION("""COMPUTED_VALUE"""),2.0)</f>
        <v>2</v>
      </c>
      <c r="M63" s="3" t="str">
        <f>IFERROR(__xludf.DUMMYFUNCTION("""COMPUTED_VALUE"""),"ิ  ร.อ.หญิง ขนัฎฐา นาดี")</f>
        <v>ิ  ร.อ.หญิง ขนัฎฐา นาดี</v>
      </c>
      <c r="N63" s="14" t="str">
        <f>IFERROR(__xludf.DUMMYFUNCTION("""COMPUTED_VALUE"""),"https://lh5.googleusercontent.com/d/1WpsmAgKx6hj5nIyTntCJQbMJ8GnoH1ZY")</f>
        <v>https://lh5.googleusercontent.com/d/1WpsmAgKx6hj5nIyTntCJQbMJ8GnoH1ZY</v>
      </c>
      <c r="O63" s="14" t="str">
        <f>IFERROR(__xludf.DUMMYFUNCTION("""COMPUTED_VALUE"""),"https://drive.google.com/file/d/1JjwJyb__Gxo9FY_2ePN8FaAKTq5Si-Vp/view?usp=drivesdk")</f>
        <v>https://drive.google.com/file/d/1JjwJyb__Gxo9FY_2ePN8FaAKTq5Si-Vp/view?usp=drivesdk</v>
      </c>
    </row>
    <row r="64">
      <c r="A64" s="3">
        <f>IFERROR(__xludf.DUMMYFUNCTION("""COMPUTED_VALUE"""),504.0)</f>
        <v>504</v>
      </c>
      <c r="B64" s="11">
        <f>IFERROR(__xludf.DUMMYFUNCTION("""COMPUTED_VALUE"""),45991.33274024306)</f>
        <v>45991.33274</v>
      </c>
      <c r="C64" s="3" t="str">
        <f>IFERROR(__xludf.DUMMYFUNCTION("""COMPUTED_VALUE"""),"ชั้นปีที่ 1")</f>
        <v>ชั้นปีที่ 1</v>
      </c>
      <c r="D64" s="3" t="str">
        <f>IFERROR(__xludf.DUMMYFUNCTION("""COMPUTED_VALUE"""),"6803927")</f>
        <v>6803927</v>
      </c>
      <c r="E64" s="3" t="str">
        <f>IFERROR(__xludf.DUMMYFUNCTION("""COMPUTED_VALUE"""),"46")</f>
        <v>46</v>
      </c>
      <c r="F64" s="3" t="str">
        <f>IFERROR(__xludf.DUMMYFUNCTION("""COMPUTED_VALUE"""),"นพอ.มณฑกาญจน์ กองจะริตร์")</f>
        <v>นพอ.มณฑกาญจน์ กองจะริตร์</v>
      </c>
      <c r="G64" s="3" t="str">
        <f>IFERROR(__xludf.DUMMYFUNCTION("""COMPUTED_VALUE"""),"ช่วยเหลืองานภายใน วพอ.")</f>
        <v>ช่วยเหลืองานภายใน วพอ.</v>
      </c>
      <c r="H64" s="3" t="str">
        <f>IFERROR(__xludf.DUMMYFUNCTION("""COMPUTED_VALUE"""),"ช่วยท่านอาจารย์แพ็คเสื้อ")</f>
        <v>ช่วยท่านอาจารย์แพ็คเสื้อ</v>
      </c>
      <c r="I64" s="3" t="str">
        <f>IFERROR(__xludf.DUMMYFUNCTION("""COMPUTED_VALUE"""),"ห้องปกครอง วพอ.")</f>
        <v>ห้องปกครอง วพอ.</v>
      </c>
      <c r="J64" s="12">
        <f>IFERROR(__xludf.DUMMYFUNCTION("""COMPUTED_VALUE"""),45895.0)</f>
        <v>45895</v>
      </c>
      <c r="K64" s="3" t="str">
        <f>IFERROR(__xludf.DUMMYFUNCTION("""COMPUTED_VALUE"""),"1600-1800")</f>
        <v>1600-1800</v>
      </c>
      <c r="L64" s="3">
        <f>IFERROR(__xludf.DUMMYFUNCTION("""COMPUTED_VALUE"""),2.0)</f>
        <v>2</v>
      </c>
      <c r="M64" s="3" t="str">
        <f>IFERROR(__xludf.DUMMYFUNCTION("""COMPUTED_VALUE"""),"ร.อ.หญิง ขนัฎฐา นาดี")</f>
        <v>ร.อ.หญิง ขนัฎฐา นาดี</v>
      </c>
      <c r="N64" s="14" t="str">
        <f>IFERROR(__xludf.DUMMYFUNCTION("""COMPUTED_VALUE"""),"https://lh5.googleusercontent.com/d/1AF9VlXqsv_d1FMsUyr5krzT87gZJrbL2")</f>
        <v>https://lh5.googleusercontent.com/d/1AF9VlXqsv_d1FMsUyr5krzT87gZJrbL2</v>
      </c>
      <c r="O64" s="14" t="str">
        <f>IFERROR(__xludf.DUMMYFUNCTION("""COMPUTED_VALUE"""),"https://drive.google.com/file/d/1Cwdy3aKd8fczm3b42_nyAB0703i4XOra/view?usp=drivesdk")</f>
        <v>https://drive.google.com/file/d/1Cwdy3aKd8fczm3b42_nyAB0703i4XOra/view?usp=drivesdk</v>
      </c>
    </row>
    <row r="65">
      <c r="A65" s="3">
        <f>IFERROR(__xludf.DUMMYFUNCTION("""COMPUTED_VALUE"""),505.0)</f>
        <v>505</v>
      </c>
      <c r="B65" s="11">
        <f>IFERROR(__xludf.DUMMYFUNCTION("""COMPUTED_VALUE"""),45991.33395782408)</f>
        <v>45991.33396</v>
      </c>
      <c r="C65" s="3" t="str">
        <f>IFERROR(__xludf.DUMMYFUNCTION("""COMPUTED_VALUE"""),"ชั้นปีที่ 1")</f>
        <v>ชั้นปีที่ 1</v>
      </c>
      <c r="D65" s="3" t="str">
        <f>IFERROR(__xludf.DUMMYFUNCTION("""COMPUTED_VALUE"""),"6803921")</f>
        <v>6803921</v>
      </c>
      <c r="E65" s="3" t="str">
        <f>IFERROR(__xludf.DUMMYFUNCTION("""COMPUTED_VALUE"""),"40")</f>
        <v>40</v>
      </c>
      <c r="F65" s="3" t="str">
        <f>IFERROR(__xludf.DUMMYFUNCTION("""COMPUTED_VALUE"""),"นพอ.พิชญาภรณ์ บุตรวัง")</f>
        <v>นพอ.พิชญาภรณ์ บุตรวัง</v>
      </c>
      <c r="G65" s="3" t="str">
        <f>IFERROR(__xludf.DUMMYFUNCTION("""COMPUTED_VALUE"""),"ช่วยเหลืองานภายใน วพอ.")</f>
        <v>ช่วยเหลืองานภายใน วพอ.</v>
      </c>
      <c r="H65" s="3" t="str">
        <f>IFERROR(__xludf.DUMMYFUNCTION("""COMPUTED_VALUE"""),"ช่วยท่านอาจารย์แพ็คเสื้อ")</f>
        <v>ช่วยท่านอาจารย์แพ็คเสื้อ</v>
      </c>
      <c r="I65" s="3" t="str">
        <f>IFERROR(__xludf.DUMMYFUNCTION("""COMPUTED_VALUE"""),"ห้องปกครอง วพอ.")</f>
        <v>ห้องปกครอง วพอ.</v>
      </c>
      <c r="J65" s="12">
        <f>IFERROR(__xludf.DUMMYFUNCTION("""COMPUTED_VALUE"""),45895.0)</f>
        <v>45895</v>
      </c>
      <c r="K65" s="3" t="str">
        <f>IFERROR(__xludf.DUMMYFUNCTION("""COMPUTED_VALUE"""),"1600-1800")</f>
        <v>1600-1800</v>
      </c>
      <c r="L65" s="3">
        <f>IFERROR(__xludf.DUMMYFUNCTION("""COMPUTED_VALUE"""),2.0)</f>
        <v>2</v>
      </c>
      <c r="M65" s="3" t="str">
        <f>IFERROR(__xludf.DUMMYFUNCTION("""COMPUTED_VALUE"""),"ร.อ.หญิง ขนัฎฐา นาดี")</f>
        <v>ร.อ.หญิง ขนัฎฐา นาดี</v>
      </c>
      <c r="N65" s="14" t="str">
        <f>IFERROR(__xludf.DUMMYFUNCTION("""COMPUTED_VALUE"""),"https://lh5.googleusercontent.com/d/1uL8rrtlWX3NKVVc_ymLIbfO2Eu51dvkN")</f>
        <v>https://lh5.googleusercontent.com/d/1uL8rrtlWX3NKVVc_ymLIbfO2Eu51dvkN</v>
      </c>
      <c r="O65" s="14" t="str">
        <f>IFERROR(__xludf.DUMMYFUNCTION("""COMPUTED_VALUE"""),"https://drive.google.com/file/d/1VagjHp0QIxx5Lofd-MWwlL_Z9B1ZdEjW/view?usp=drivesdk")</f>
        <v>https://drive.google.com/file/d/1VagjHp0QIxx5Lofd-MWwlL_Z9B1ZdEjW/view?usp=drivesdk</v>
      </c>
    </row>
    <row r="66">
      <c r="A66" s="3">
        <f>IFERROR(__xludf.DUMMYFUNCTION("""COMPUTED_VALUE"""),507.0)</f>
        <v>507</v>
      </c>
      <c r="B66" s="11">
        <f>IFERROR(__xludf.DUMMYFUNCTION("""COMPUTED_VALUE"""),45991.33647539352)</f>
        <v>45991.33648</v>
      </c>
      <c r="C66" s="3" t="str">
        <f>IFERROR(__xludf.DUMMYFUNCTION("""COMPUTED_VALUE"""),"ชั้นปีที่ 1")</f>
        <v>ชั้นปีที่ 1</v>
      </c>
      <c r="D66" s="3" t="str">
        <f>IFERROR(__xludf.DUMMYFUNCTION("""COMPUTED_VALUE"""),"6803921")</f>
        <v>6803921</v>
      </c>
      <c r="E66" s="3" t="str">
        <f>IFERROR(__xludf.DUMMYFUNCTION("""COMPUTED_VALUE"""),"40")</f>
        <v>40</v>
      </c>
      <c r="F66" s="3" t="str">
        <f>IFERROR(__xludf.DUMMYFUNCTION("""COMPUTED_VALUE"""),"นพอ.พิชญาภรณ์ บุตรวัง")</f>
        <v>นพอ.พิชญาภรณ์ บุตรวัง</v>
      </c>
      <c r="G66" s="3" t="str">
        <f>IFERROR(__xludf.DUMMYFUNCTION("""COMPUTED_VALUE"""),"ช่วยเหลืองานภายใน วพอ.")</f>
        <v>ช่วยเหลืองานภายใน วพอ.</v>
      </c>
      <c r="H66" s="3" t="str">
        <f>IFERROR(__xludf.DUMMYFUNCTION("""COMPUTED_VALUE"""),"ช่วยท่านอาจารย์แพ็คเสื้อ")</f>
        <v>ช่วยท่านอาจารย์แพ็คเสื้อ</v>
      </c>
      <c r="I66" s="3" t="str">
        <f>IFERROR(__xludf.DUMMYFUNCTION("""COMPUTED_VALUE"""),"ห้องปกครอง วพอ.")</f>
        <v>ห้องปกครอง วพอ.</v>
      </c>
      <c r="J66" s="12">
        <f>IFERROR(__xludf.DUMMYFUNCTION("""COMPUTED_VALUE"""),45896.0)</f>
        <v>45896</v>
      </c>
      <c r="K66" s="3" t="str">
        <f>IFERROR(__xludf.DUMMYFUNCTION("""COMPUTED_VALUE"""),"1600-1800")</f>
        <v>1600-1800</v>
      </c>
      <c r="L66" s="3">
        <f>IFERROR(__xludf.DUMMYFUNCTION("""COMPUTED_VALUE"""),2.0)</f>
        <v>2</v>
      </c>
      <c r="M66" s="3" t="str">
        <f>IFERROR(__xludf.DUMMYFUNCTION("""COMPUTED_VALUE"""),"ร.อ.หญิง ขนัฎฐา นาดี")</f>
        <v>ร.อ.หญิง ขนัฎฐา นาดี</v>
      </c>
      <c r="N66" s="14" t="str">
        <f>IFERROR(__xludf.DUMMYFUNCTION("""COMPUTED_VALUE"""),"https://lh5.googleusercontent.com/d/1E6SET-6jybw4Jne7_KpwpzQQeauLyRnD")</f>
        <v>https://lh5.googleusercontent.com/d/1E6SET-6jybw4Jne7_KpwpzQQeauLyRnD</v>
      </c>
      <c r="O66" s="14" t="str">
        <f>IFERROR(__xludf.DUMMYFUNCTION("""COMPUTED_VALUE"""),"https://drive.google.com/file/d/1EMiDGxepdXFlJ3VjzE_MFas2pBMFEL1O/view?usp=drivesdk")</f>
        <v>https://drive.google.com/file/d/1EMiDGxepdXFlJ3VjzE_MFas2pBMFEL1O/view?usp=drivesdk</v>
      </c>
    </row>
    <row r="67">
      <c r="A67" s="3">
        <f>IFERROR(__xludf.DUMMYFUNCTION("""COMPUTED_VALUE"""),511.0)</f>
        <v>511</v>
      </c>
      <c r="B67" s="11">
        <f>IFERROR(__xludf.DUMMYFUNCTION("""COMPUTED_VALUE"""),45991.34690459491)</f>
        <v>45991.3469</v>
      </c>
      <c r="C67" s="3" t="str">
        <f>IFERROR(__xludf.DUMMYFUNCTION("""COMPUTED_VALUE"""),"ชั้นปีที่ 1")</f>
        <v>ชั้นปีที่ 1</v>
      </c>
      <c r="D67" s="3" t="str">
        <f>IFERROR(__xludf.DUMMYFUNCTION("""COMPUTED_VALUE"""),"6803932")</f>
        <v>6803932</v>
      </c>
      <c r="E67" s="3" t="str">
        <f>IFERROR(__xludf.DUMMYFUNCTION("""COMPUTED_VALUE"""),"51")</f>
        <v>51</v>
      </c>
      <c r="F67" s="3" t="str">
        <f>IFERROR(__xludf.DUMMYFUNCTION("""COMPUTED_VALUE"""),"นพอ.รตนพร สินทรัพย์")</f>
        <v>นพอ.รตนพร สินทรัพย์</v>
      </c>
      <c r="G67" s="3" t="str">
        <f>IFERROR(__xludf.DUMMYFUNCTION("""COMPUTED_VALUE"""),"ช่วยเหลืองานภายใน วพอ.")</f>
        <v>ช่วยเหลืองานภายใน วพอ.</v>
      </c>
      <c r="H67" s="3" t="str">
        <f>IFERROR(__xludf.DUMMYFUNCTION("""COMPUTED_VALUE"""),"ช่วยท่านอาจารย์เเพ็คเสื้อ")</f>
        <v>ช่วยท่านอาจารย์เเพ็คเสื้อ</v>
      </c>
      <c r="I67" s="3" t="str">
        <f>IFERROR(__xludf.DUMMYFUNCTION("""COMPUTED_VALUE"""),"ห้องปกครอง วพอ.")</f>
        <v>ห้องปกครอง วพอ.</v>
      </c>
      <c r="J67" s="12">
        <f>IFERROR(__xludf.DUMMYFUNCTION("""COMPUTED_VALUE"""),45896.0)</f>
        <v>45896</v>
      </c>
      <c r="K67" s="3" t="str">
        <f>IFERROR(__xludf.DUMMYFUNCTION("""COMPUTED_VALUE"""),"1600-1800")</f>
        <v>1600-1800</v>
      </c>
      <c r="L67" s="3">
        <f>IFERROR(__xludf.DUMMYFUNCTION("""COMPUTED_VALUE"""),2.0)</f>
        <v>2</v>
      </c>
      <c r="M67" s="3" t="str">
        <f>IFERROR(__xludf.DUMMYFUNCTION("""COMPUTED_VALUE"""),"ร.อ.หญิง ขนัฎฐา นาดี")</f>
        <v>ร.อ.หญิง ขนัฎฐา นาดี</v>
      </c>
      <c r="N67" s="14" t="str">
        <f>IFERROR(__xludf.DUMMYFUNCTION("""COMPUTED_VALUE"""),"https://lh5.googleusercontent.com/d/1S9R6BVSlhOzPwJo2SFty0pOQS4NrBbRV")</f>
        <v>https://lh5.googleusercontent.com/d/1S9R6BVSlhOzPwJo2SFty0pOQS4NrBbRV</v>
      </c>
      <c r="O67" s="14" t="str">
        <f>IFERROR(__xludf.DUMMYFUNCTION("""COMPUTED_VALUE"""),"https://drive.google.com/file/d/15z-mxqOmKA3IW1jxI427yQtVWD-RZQ84/view?usp=drivesdk")</f>
        <v>https://drive.google.com/file/d/15z-mxqOmKA3IW1jxI427yQtVWD-RZQ84/view?usp=drivesdk</v>
      </c>
    </row>
    <row r="68">
      <c r="A68" s="3">
        <f>IFERROR(__xludf.DUMMYFUNCTION("""COMPUTED_VALUE"""),514.0)</f>
        <v>514</v>
      </c>
      <c r="B68" s="11">
        <f>IFERROR(__xludf.DUMMYFUNCTION("""COMPUTED_VALUE"""),45991.369243113426)</f>
        <v>45991.36924</v>
      </c>
      <c r="C68" s="3" t="str">
        <f>IFERROR(__xludf.DUMMYFUNCTION("""COMPUTED_VALUE"""),"ชั้นปีที่ 1")</f>
        <v>ชั้นปีที่ 1</v>
      </c>
      <c r="D68" s="3" t="str">
        <f>IFERROR(__xludf.DUMMYFUNCTION("""COMPUTED_VALUE"""),"6803884")</f>
        <v>6803884</v>
      </c>
      <c r="E68" s="3" t="str">
        <f>IFERROR(__xludf.DUMMYFUNCTION("""COMPUTED_VALUE"""),"3")</f>
        <v>3</v>
      </c>
      <c r="F68" s="3" t="str">
        <f>IFERROR(__xludf.DUMMYFUNCTION("""COMPUTED_VALUE"""),"นพอ.กรองทอง กันฟัก")</f>
        <v>นพอ.กรองทอง กันฟัก</v>
      </c>
      <c r="G68" s="3" t="str">
        <f>IFERROR(__xludf.DUMMYFUNCTION("""COMPUTED_VALUE"""),"ทำนุบำรุงศาสนสถาน")</f>
        <v>ทำนุบำรุงศาสนสถาน</v>
      </c>
      <c r="H68" s="3" t="str">
        <f>IFERROR(__xludf.DUMMYFUNCTION("""COMPUTED_VALUE"""),"กวาดวัด")</f>
        <v>กวาดวัด</v>
      </c>
      <c r="I68" s="3" t="str">
        <f>IFERROR(__xludf.DUMMYFUNCTION("""COMPUTED_VALUE"""),"วัดท่าหลวง จังหวัดพิจิตร")</f>
        <v>วัดท่าหลวง จังหวัดพิจิตร</v>
      </c>
      <c r="J68" s="12">
        <f>IFERROR(__xludf.DUMMYFUNCTION("""COMPUTED_VALUE"""),45955.0)</f>
        <v>45955</v>
      </c>
      <c r="K68" s="3" t="str">
        <f>IFERROR(__xludf.DUMMYFUNCTION("""COMPUTED_VALUE"""),"14.00 น.")</f>
        <v>14.00 น.</v>
      </c>
      <c r="L68" s="3">
        <f>IFERROR(__xludf.DUMMYFUNCTION("""COMPUTED_VALUE"""),4.0)</f>
        <v>4</v>
      </c>
      <c r="M68" s="3" t="str">
        <f>IFERROR(__xludf.DUMMYFUNCTION("""COMPUTED_VALUE"""),"นางดาวรุ่ง กันฟัก")</f>
        <v>นางดาวรุ่ง กันฟัก</v>
      </c>
      <c r="N68" s="14" t="str">
        <f>IFERROR(__xludf.DUMMYFUNCTION("""COMPUTED_VALUE"""),"https://lh5.googleusercontent.com/d/1-xJOzhIXxGO7flve3Zz7qKwnIFpGGRLq")</f>
        <v>https://lh5.googleusercontent.com/d/1-xJOzhIXxGO7flve3Zz7qKwnIFpGGRLq</v>
      </c>
      <c r="O68" s="14" t="str">
        <f>IFERROR(__xludf.DUMMYFUNCTION("""COMPUTED_VALUE"""),"https://drive.google.com/file/d/1DgIoEj7JAzm-_saSplxM42aWud4847Ne/view?usp=drivesdk")</f>
        <v>https://drive.google.com/file/d/1DgIoEj7JAzm-_saSplxM42aWud4847Ne/view?usp=drivesdk</v>
      </c>
    </row>
    <row r="69">
      <c r="A69" s="3">
        <f>IFERROR(__xludf.DUMMYFUNCTION("""COMPUTED_VALUE"""),515.0)</f>
        <v>515</v>
      </c>
      <c r="B69" s="11">
        <f>IFERROR(__xludf.DUMMYFUNCTION("""COMPUTED_VALUE"""),45991.3780633912)</f>
        <v>45991.37806</v>
      </c>
      <c r="C69" s="3" t="str">
        <f>IFERROR(__xludf.DUMMYFUNCTION("""COMPUTED_VALUE"""),"ชั้นปีที่ 1")</f>
        <v>ชั้นปีที่ 1</v>
      </c>
      <c r="D69" s="3" t="str">
        <f>IFERROR(__xludf.DUMMYFUNCTION("""COMPUTED_VALUE"""),"6803944")</f>
        <v>6803944</v>
      </c>
      <c r="E69" s="3" t="str">
        <f>IFERROR(__xludf.DUMMYFUNCTION("""COMPUTED_VALUE"""),"63")</f>
        <v>63</v>
      </c>
      <c r="F69" s="3" t="str">
        <f>IFERROR(__xludf.DUMMYFUNCTION("""COMPUTED_VALUE"""),"นพอ.อริสา หฤทัยบริรักษ์")</f>
        <v>นพอ.อริสา หฤทัยบริรักษ์</v>
      </c>
      <c r="G69" s="3" t="str">
        <f>IFERROR(__xludf.DUMMYFUNCTION("""COMPUTED_VALUE"""),"ช่วยเหลืองานภายใน วพอ.")</f>
        <v>ช่วยเหลืองานภายใน วพอ.</v>
      </c>
      <c r="H69" s="3" t="str">
        <f>IFERROR(__xludf.DUMMYFUNCTION("""COMPUTED_VALUE"""),"ช่วยท่านอาจารย์แพ็คเสื้อ")</f>
        <v>ช่วยท่านอาจารย์แพ็คเสื้อ</v>
      </c>
      <c r="I69" s="3" t="str">
        <f>IFERROR(__xludf.DUMMYFUNCTION("""COMPUTED_VALUE"""),"ห้องปกครอง วพอ.พอ.")</f>
        <v>ห้องปกครอง วพอ.พอ.</v>
      </c>
      <c r="J69" s="12">
        <f>IFERROR(__xludf.DUMMYFUNCTION("""COMPUTED_VALUE"""),45895.0)</f>
        <v>45895</v>
      </c>
      <c r="K69" s="3" t="str">
        <f>IFERROR(__xludf.DUMMYFUNCTION("""COMPUTED_VALUE"""),"1600-1800")</f>
        <v>1600-1800</v>
      </c>
      <c r="L69" s="3">
        <f>IFERROR(__xludf.DUMMYFUNCTION("""COMPUTED_VALUE"""),2.0)</f>
        <v>2</v>
      </c>
      <c r="M69" s="3" t="str">
        <f>IFERROR(__xludf.DUMMYFUNCTION("""COMPUTED_VALUE"""),"ร.อ.หญิง ขนัฎฐา นาดี")</f>
        <v>ร.อ.หญิง ขนัฎฐา นาดี</v>
      </c>
      <c r="N69" s="14" t="str">
        <f>IFERROR(__xludf.DUMMYFUNCTION("""COMPUTED_VALUE"""),"https://lh5.googleusercontent.com/d/15YGwy8Wn_ZVGQx6o5SSr2uzloeyb7BKt")</f>
        <v>https://lh5.googleusercontent.com/d/15YGwy8Wn_ZVGQx6o5SSr2uzloeyb7BKt</v>
      </c>
      <c r="O69" s="14" t="str">
        <f>IFERROR(__xludf.DUMMYFUNCTION("""COMPUTED_VALUE"""),"https://drive.google.com/file/d/1j8SKXlL7pLDj5yRY-cHcNZQz2bAcRSEn/view?usp=drivesdk")</f>
        <v>https://drive.google.com/file/d/1j8SKXlL7pLDj5yRY-cHcNZQz2bAcRSEn/view?usp=drivesdk</v>
      </c>
    </row>
    <row r="70">
      <c r="A70" s="3">
        <f>IFERROR(__xludf.DUMMYFUNCTION("""COMPUTED_VALUE"""),516.0)</f>
        <v>516</v>
      </c>
      <c r="B70" s="11">
        <f>IFERROR(__xludf.DUMMYFUNCTION("""COMPUTED_VALUE"""),45991.38011356482)</f>
        <v>45991.38011</v>
      </c>
      <c r="C70" s="3" t="str">
        <f>IFERROR(__xludf.DUMMYFUNCTION("""COMPUTED_VALUE"""),"ชั้นปีที่ 1")</f>
        <v>ชั้นปีที่ 1</v>
      </c>
      <c r="D70" s="3" t="str">
        <f>IFERROR(__xludf.DUMMYFUNCTION("""COMPUTED_VALUE"""),"6803944")</f>
        <v>6803944</v>
      </c>
      <c r="E70" s="3" t="str">
        <f>IFERROR(__xludf.DUMMYFUNCTION("""COMPUTED_VALUE"""),"63")</f>
        <v>63</v>
      </c>
      <c r="F70" s="3" t="str">
        <f>IFERROR(__xludf.DUMMYFUNCTION("""COMPUTED_VALUE"""),"นพอ.อริสา หฤทัยบริรักษ์")</f>
        <v>นพอ.อริสา หฤทัยบริรักษ์</v>
      </c>
      <c r="G70" s="3" t="str">
        <f>IFERROR(__xludf.DUMMYFUNCTION("""COMPUTED_VALUE"""),"ช่วยเหลืองานภายใน วพอ.")</f>
        <v>ช่วยเหลืองานภายใน วพอ.</v>
      </c>
      <c r="H70" s="3" t="str">
        <f>IFERROR(__xludf.DUMMYFUNCTION("""COMPUTED_VALUE"""),"ช่วยท่านอาจารย์แพ็คเสื้อ")</f>
        <v>ช่วยท่านอาจารย์แพ็คเสื้อ</v>
      </c>
      <c r="I70" s="3" t="str">
        <f>IFERROR(__xludf.DUMMYFUNCTION("""COMPUTED_VALUE"""),"ห้องปกครองวพอ.พอ.")</f>
        <v>ห้องปกครองวพอ.พอ.</v>
      </c>
      <c r="J70" s="12">
        <f>IFERROR(__xludf.DUMMYFUNCTION("""COMPUTED_VALUE"""),45896.0)</f>
        <v>45896</v>
      </c>
      <c r="K70" s="3" t="str">
        <f>IFERROR(__xludf.DUMMYFUNCTION("""COMPUTED_VALUE"""),"1600-1800")</f>
        <v>1600-1800</v>
      </c>
      <c r="L70" s="3">
        <f>IFERROR(__xludf.DUMMYFUNCTION("""COMPUTED_VALUE"""),2.0)</f>
        <v>2</v>
      </c>
      <c r="M70" s="3" t="str">
        <f>IFERROR(__xludf.DUMMYFUNCTION("""COMPUTED_VALUE"""),"ร.อ.หญิง ขนัฎฐา นาดี")</f>
        <v>ร.อ.หญิง ขนัฎฐา นาดี</v>
      </c>
      <c r="N70" s="14" t="str">
        <f>IFERROR(__xludf.DUMMYFUNCTION("""COMPUTED_VALUE"""),"https://lh5.googleusercontent.com/d/1KRCzHaiyV0-Bm1IMpH098c6RTBX8F6Ka")</f>
        <v>https://lh5.googleusercontent.com/d/1KRCzHaiyV0-Bm1IMpH098c6RTBX8F6Ka</v>
      </c>
      <c r="O70" s="14" t="str">
        <f>IFERROR(__xludf.DUMMYFUNCTION("""COMPUTED_VALUE"""),"https://drive.google.com/file/d/1ZKgYOl2lRjPfVWaxhmntuLW7NbxjObYb/view?usp=drivesdk")</f>
        <v>https://drive.google.com/file/d/1ZKgYOl2lRjPfVWaxhmntuLW7NbxjObYb/view?usp=drivesdk</v>
      </c>
    </row>
    <row r="71">
      <c r="A71" s="3">
        <f>IFERROR(__xludf.DUMMYFUNCTION("""COMPUTED_VALUE"""),519.0)</f>
        <v>519</v>
      </c>
      <c r="B71" s="11">
        <f>IFERROR(__xludf.DUMMYFUNCTION("""COMPUTED_VALUE"""),45991.383748761575)</f>
        <v>45991.38375</v>
      </c>
      <c r="C71" s="3" t="str">
        <f>IFERROR(__xludf.DUMMYFUNCTION("""COMPUTED_VALUE"""),"ชั้นปีที่ 1")</f>
        <v>ชั้นปีที่ 1</v>
      </c>
      <c r="D71" s="3" t="str">
        <f>IFERROR(__xludf.DUMMYFUNCTION("""COMPUTED_VALUE"""),"6803930")</f>
        <v>6803930</v>
      </c>
      <c r="E71" s="3" t="str">
        <f>IFERROR(__xludf.DUMMYFUNCTION("""COMPUTED_VALUE"""),"49")</f>
        <v>49</v>
      </c>
      <c r="F71" s="3" t="str">
        <f>IFERROR(__xludf.DUMMYFUNCTION("""COMPUTED_VALUE"""),"นพอ.ยุพารัตน์ ดาวลาย")</f>
        <v>นพอ.ยุพารัตน์ ดาวลาย</v>
      </c>
      <c r="G71" s="3" t="str">
        <f>IFERROR(__xludf.DUMMYFUNCTION("""COMPUTED_VALUE"""),"ช่วยเหลืองานภายใน วพอ.")</f>
        <v>ช่วยเหลืองานภายใน วพอ.</v>
      </c>
      <c r="H71" s="3" t="str">
        <f>IFERROR(__xludf.DUMMYFUNCTION("""COMPUTED_VALUE"""),"ช่วยท่านอาจารย์แพ็คเสื้อ")</f>
        <v>ช่วยท่านอาจารย์แพ็คเสื้อ</v>
      </c>
      <c r="I71" s="3" t="str">
        <f>IFERROR(__xludf.DUMMYFUNCTION("""COMPUTED_VALUE"""),"ห้องปกครอง วพอ.")</f>
        <v>ห้องปกครอง วพอ.</v>
      </c>
      <c r="J71" s="12">
        <f>IFERROR(__xludf.DUMMYFUNCTION("""COMPUTED_VALUE"""),45895.0)</f>
        <v>45895</v>
      </c>
      <c r="K71" s="3" t="str">
        <f>IFERROR(__xludf.DUMMYFUNCTION("""COMPUTED_VALUE"""),"1600-1800")</f>
        <v>1600-1800</v>
      </c>
      <c r="L71" s="3">
        <f>IFERROR(__xludf.DUMMYFUNCTION("""COMPUTED_VALUE"""),2.0)</f>
        <v>2</v>
      </c>
      <c r="M71" s="3" t="str">
        <f>IFERROR(__xludf.DUMMYFUNCTION("""COMPUTED_VALUE"""),"ร.อ.หญิง ขนัฏฐา นาดี")</f>
        <v>ร.อ.หญิง ขนัฏฐา นาดี</v>
      </c>
      <c r="N71" s="14" t="str">
        <f>IFERROR(__xludf.DUMMYFUNCTION("""COMPUTED_VALUE"""),"https://lh5.googleusercontent.com/d/1vdBP2q0vGsADvlgUVzK_6ufAGFNPhEuw")</f>
        <v>https://lh5.googleusercontent.com/d/1vdBP2q0vGsADvlgUVzK_6ufAGFNPhEuw</v>
      </c>
      <c r="O71" s="14" t="str">
        <f>IFERROR(__xludf.DUMMYFUNCTION("""COMPUTED_VALUE"""),"https://drive.google.com/file/d/1DX05amxWIxI8cS3QXsvaYc9BKMZbZ1m2/view?usp=drivesdk")</f>
        <v>https://drive.google.com/file/d/1DX05amxWIxI8cS3QXsvaYc9BKMZbZ1m2/view?usp=drivesdk</v>
      </c>
    </row>
    <row r="72">
      <c r="A72" s="3">
        <f>IFERROR(__xludf.DUMMYFUNCTION("""COMPUTED_VALUE"""),520.0)</f>
        <v>520</v>
      </c>
      <c r="B72" s="11">
        <f>IFERROR(__xludf.DUMMYFUNCTION("""COMPUTED_VALUE"""),45991.404750208334)</f>
        <v>45991.40475</v>
      </c>
      <c r="C72" s="3" t="str">
        <f>IFERROR(__xludf.DUMMYFUNCTION("""COMPUTED_VALUE"""),"ชั้นปีที่ 1")</f>
        <v>ชั้นปีที่ 1</v>
      </c>
      <c r="D72" s="3" t="str">
        <f>IFERROR(__xludf.DUMMYFUNCTION("""COMPUTED_VALUE"""),"6803930")</f>
        <v>6803930</v>
      </c>
      <c r="E72" s="3" t="str">
        <f>IFERROR(__xludf.DUMMYFUNCTION("""COMPUTED_VALUE"""),"49")</f>
        <v>49</v>
      </c>
      <c r="F72" s="3" t="str">
        <f>IFERROR(__xludf.DUMMYFUNCTION("""COMPUTED_VALUE"""),"นพอ.ยุพารัตน์ ดาวลาย")</f>
        <v>นพอ.ยุพารัตน์ ดาวลาย</v>
      </c>
      <c r="G72" s="3" t="str">
        <f>IFERROR(__xludf.DUMMYFUNCTION("""COMPUTED_VALUE"""),"ช่วยเหลืองานภายใน วพอ.")</f>
        <v>ช่วยเหลืองานภายใน วพอ.</v>
      </c>
      <c r="H72" s="3" t="str">
        <f>IFERROR(__xludf.DUMMYFUNCTION("""COMPUTED_VALUE"""),"ช่วยท่านอาจารย์แพ็คเสื้อ")</f>
        <v>ช่วยท่านอาจารย์แพ็คเสื้อ</v>
      </c>
      <c r="I72" s="3" t="str">
        <f>IFERROR(__xludf.DUMMYFUNCTION("""COMPUTED_VALUE"""),"ห้องปกครอง วพอ.")</f>
        <v>ห้องปกครอง วพอ.</v>
      </c>
      <c r="J72" s="12">
        <f>IFERROR(__xludf.DUMMYFUNCTION("""COMPUTED_VALUE"""),45896.0)</f>
        <v>45896</v>
      </c>
      <c r="K72" s="3" t="str">
        <f>IFERROR(__xludf.DUMMYFUNCTION("""COMPUTED_VALUE"""),"1600-1800")</f>
        <v>1600-1800</v>
      </c>
      <c r="L72" s="3">
        <f>IFERROR(__xludf.DUMMYFUNCTION("""COMPUTED_VALUE"""),2.0)</f>
        <v>2</v>
      </c>
      <c r="M72" s="3" t="str">
        <f>IFERROR(__xludf.DUMMYFUNCTION("""COMPUTED_VALUE"""),"ร.อ.หญิง ขนัฏฐา นาดี")</f>
        <v>ร.อ.หญิง ขนัฏฐา นาดี</v>
      </c>
      <c r="N72" s="14" t="str">
        <f>IFERROR(__xludf.DUMMYFUNCTION("""COMPUTED_VALUE"""),"https://lh5.googleusercontent.com/d/1XQaKmtEnF0s0lJWtATZN3gw5Q8n3_64L")</f>
        <v>https://lh5.googleusercontent.com/d/1XQaKmtEnF0s0lJWtATZN3gw5Q8n3_64L</v>
      </c>
      <c r="O72" s="14" t="str">
        <f>IFERROR(__xludf.DUMMYFUNCTION("""COMPUTED_VALUE"""),"https://drive.google.com/file/d/1EKAHjq4YCMCmL9dajo9wsXd4OSX69l3h/view?usp=drivesdk")</f>
        <v>https://drive.google.com/file/d/1EKAHjq4YCMCmL9dajo9wsXd4OSX69l3h/view?usp=drivesdk</v>
      </c>
    </row>
    <row r="73">
      <c r="A73" s="3">
        <f>IFERROR(__xludf.DUMMYFUNCTION("""COMPUTED_VALUE"""),540.0)</f>
        <v>540</v>
      </c>
      <c r="B73" s="11">
        <f>IFERROR(__xludf.DUMMYFUNCTION("""COMPUTED_VALUE"""),45991.44018871528)</f>
        <v>45991.44019</v>
      </c>
      <c r="C73" s="3" t="str">
        <f>IFERROR(__xludf.DUMMYFUNCTION("""COMPUTED_VALUE"""),"ชั้นปีที่ 1")</f>
        <v>ชั้นปีที่ 1</v>
      </c>
      <c r="D73" s="3" t="str">
        <f>IFERROR(__xludf.DUMMYFUNCTION("""COMPUTED_VALUE"""),"6803928")</f>
        <v>6803928</v>
      </c>
      <c r="E73" s="3" t="str">
        <f>IFERROR(__xludf.DUMMYFUNCTION("""COMPUTED_VALUE"""),"47")</f>
        <v>47</v>
      </c>
      <c r="F73" s="3" t="str">
        <f>IFERROR(__xludf.DUMMYFUNCTION("""COMPUTED_VALUE"""),"นพอ.มนัญชยา สุขพี้")</f>
        <v>นพอ.มนัญชยา สุขพี้</v>
      </c>
      <c r="G73" s="3" t="str">
        <f>IFERROR(__xludf.DUMMYFUNCTION("""COMPUTED_VALUE"""),"ช่วยเหลืองานภายใน วพอ.")</f>
        <v>ช่วยเหลืองานภายใน วพอ.</v>
      </c>
      <c r="H73" s="3" t="str">
        <f>IFERROR(__xludf.DUMMYFUNCTION("""COMPUTED_VALUE"""),"ช่วยท่านอาจารย์แพ็คเสื้อ")</f>
        <v>ช่วยท่านอาจารย์แพ็คเสื้อ</v>
      </c>
      <c r="I73" s="3" t="str">
        <f>IFERROR(__xludf.DUMMYFUNCTION("""COMPUTED_VALUE"""),"ห้องปกครอง วพอ.")</f>
        <v>ห้องปกครอง วพอ.</v>
      </c>
      <c r="J73" s="12">
        <f>IFERROR(__xludf.DUMMYFUNCTION("""COMPUTED_VALUE"""),45895.0)</f>
        <v>45895</v>
      </c>
      <c r="K73" s="3" t="str">
        <f>IFERROR(__xludf.DUMMYFUNCTION("""COMPUTED_VALUE"""),"1600-1800")</f>
        <v>1600-1800</v>
      </c>
      <c r="L73" s="3">
        <f>IFERROR(__xludf.DUMMYFUNCTION("""COMPUTED_VALUE"""),2.0)</f>
        <v>2</v>
      </c>
      <c r="M73" s="3" t="str">
        <f>IFERROR(__xludf.DUMMYFUNCTION("""COMPUTED_VALUE"""),"ร.อ.หญิง ขนัฎฐา นาดี")</f>
        <v>ร.อ.หญิง ขนัฎฐา นาดี</v>
      </c>
      <c r="N73" s="14" t="str">
        <f>IFERROR(__xludf.DUMMYFUNCTION("""COMPUTED_VALUE"""),"https://lh5.googleusercontent.com/d/16ppzH9muKkevp87BjWuPGmOTDIQ6_o0R")</f>
        <v>https://lh5.googleusercontent.com/d/16ppzH9muKkevp87BjWuPGmOTDIQ6_o0R</v>
      </c>
      <c r="O73" s="14" t="str">
        <f>IFERROR(__xludf.DUMMYFUNCTION("""COMPUTED_VALUE"""),"https://drive.google.com/file/d/1FXAUZo_iF-vL5szVTjCQpcRPfAfmPlBR/view?usp=drivesdk")</f>
        <v>https://drive.google.com/file/d/1FXAUZo_iF-vL5szVTjCQpcRPfAfmPlBR/view?usp=drivesdk</v>
      </c>
    </row>
    <row r="74">
      <c r="A74" s="3">
        <f>IFERROR(__xludf.DUMMYFUNCTION("""COMPUTED_VALUE"""),556.0)</f>
        <v>556</v>
      </c>
      <c r="B74" s="11">
        <f>IFERROR(__xludf.DUMMYFUNCTION("""COMPUTED_VALUE"""),45991.5185770949)</f>
        <v>45991.51858</v>
      </c>
      <c r="C74" s="3" t="str">
        <f>IFERROR(__xludf.DUMMYFUNCTION("""COMPUTED_VALUE"""),"ชั้นปีที่ 1")</f>
        <v>ชั้นปีที่ 1</v>
      </c>
      <c r="D74" s="3" t="str">
        <f>IFERROR(__xludf.DUMMYFUNCTION("""COMPUTED_VALUE"""),"6803929")</f>
        <v>6803929</v>
      </c>
      <c r="E74" s="3" t="str">
        <f>IFERROR(__xludf.DUMMYFUNCTION("""COMPUTED_VALUE"""),"48")</f>
        <v>48</v>
      </c>
      <c r="F74" s="3" t="str">
        <f>IFERROR(__xludf.DUMMYFUNCTION("""COMPUTED_VALUE"""),"นพอ.ยลภาม ลำดับวงพุฒิปาณ")</f>
        <v>นพอ.ยลภาม ลำดับวงพุฒิปาณ</v>
      </c>
      <c r="G74" s="3" t="str">
        <f>IFERROR(__xludf.DUMMYFUNCTION("""COMPUTED_VALUE"""),"ช่วยเหลืองานภายใน วพอ.")</f>
        <v>ช่วยเหลืองานภายใน วพอ.</v>
      </c>
      <c r="H74" s="3" t="str">
        <f>IFERROR(__xludf.DUMMYFUNCTION("""COMPUTED_VALUE"""),"ช่วยท่านอาจารย์แพ็คเสื้อ")</f>
        <v>ช่วยท่านอาจารย์แพ็คเสื้อ</v>
      </c>
      <c r="I74" s="3" t="str">
        <f>IFERROR(__xludf.DUMMYFUNCTION("""COMPUTED_VALUE"""),"ห้องปกครอง วพอ.")</f>
        <v>ห้องปกครอง วพอ.</v>
      </c>
      <c r="J74" s="12">
        <f>IFERROR(__xludf.DUMMYFUNCTION("""COMPUTED_VALUE"""),45895.0)</f>
        <v>45895</v>
      </c>
      <c r="K74" s="3" t="str">
        <f>IFERROR(__xludf.DUMMYFUNCTION("""COMPUTED_VALUE"""),"1600-1800")</f>
        <v>1600-1800</v>
      </c>
      <c r="L74" s="3">
        <f>IFERROR(__xludf.DUMMYFUNCTION("""COMPUTED_VALUE"""),2.0)</f>
        <v>2</v>
      </c>
      <c r="M74" s="3" t="str">
        <f>IFERROR(__xludf.DUMMYFUNCTION("""COMPUTED_VALUE"""),"ร.อ.หญิง ขนัฏฐา นาดี")</f>
        <v>ร.อ.หญิง ขนัฏฐา นาดี</v>
      </c>
      <c r="N74" s="14" t="str">
        <f>IFERROR(__xludf.DUMMYFUNCTION("""COMPUTED_VALUE"""),"https://lh5.googleusercontent.com/d/1E3GvDpCBMRzWStb487WMYspIQzJ_kcEK")</f>
        <v>https://lh5.googleusercontent.com/d/1E3GvDpCBMRzWStb487WMYspIQzJ_kcEK</v>
      </c>
      <c r="O74" s="14" t="str">
        <f>IFERROR(__xludf.DUMMYFUNCTION("""COMPUTED_VALUE"""),"https://drive.google.com/file/d/1tnPXsDB5qTy2MzlTr7dOUNuW2mJXL_RE/view?usp=drivesdk")</f>
        <v>https://drive.google.com/file/d/1tnPXsDB5qTy2MzlTr7dOUNuW2mJXL_RE/view?usp=drivesdk</v>
      </c>
    </row>
    <row r="75">
      <c r="A75" s="3">
        <f>IFERROR(__xludf.DUMMYFUNCTION("""COMPUTED_VALUE"""),587.0)</f>
        <v>587</v>
      </c>
      <c r="B75" s="11">
        <f>IFERROR(__xludf.DUMMYFUNCTION("""COMPUTED_VALUE"""),45991.58087185185)</f>
        <v>45991.58087</v>
      </c>
      <c r="C75" s="3" t="str">
        <f>IFERROR(__xludf.DUMMYFUNCTION("""COMPUTED_VALUE"""),"ชั้นปีที่ 1")</f>
        <v>ชั้นปีที่ 1</v>
      </c>
      <c r="D75" s="3" t="str">
        <f>IFERROR(__xludf.DUMMYFUNCTION("""COMPUTED_VALUE"""),"6803925")</f>
        <v>6803925</v>
      </c>
      <c r="E75" s="3" t="str">
        <f>IFERROR(__xludf.DUMMYFUNCTION("""COMPUTED_VALUE"""),"44")</f>
        <v>44</v>
      </c>
      <c r="F75" s="3" t="str">
        <f>IFERROR(__xludf.DUMMYFUNCTION("""COMPUTED_VALUE"""),"ภัทรพร ม่วงแคล้ว")</f>
        <v>ภัทรพร ม่วงแคล้ว</v>
      </c>
      <c r="G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" s="3" t="str">
        <f>IFERROR(__xludf.DUMMYFUNCTION("""COMPUTED_VALUE"""),"ฟังการสัมมนาสื่อสร้างสรรค์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</v>
      </c>
      <c r="I75" s="3" t="str">
        <f>IFERROR(__xludf.DUMMYFUNCTION("""COMPUTED_VALUE"""),"อาคารเอนกประสงค์ เอสซีจี สำนักงานใหญ่ บางซื่อ")</f>
        <v>อาคารเอนกประสงค์ เอสซีจี สำนักงานใหญ่ บางซื่อ</v>
      </c>
      <c r="J75" s="12">
        <f>IFERROR(__xludf.DUMMYFUNCTION("""COMPUTED_VALUE"""),45955.0)</f>
        <v>45955</v>
      </c>
      <c r="K75" s="3" t="str">
        <f>IFERROR(__xludf.DUMMYFUNCTION("""COMPUTED_VALUE"""),"0730-1230")</f>
        <v>0730-1230</v>
      </c>
      <c r="L75" s="3">
        <f>IFERROR(__xludf.DUMMYFUNCTION("""COMPUTED_VALUE"""),5.0)</f>
        <v>5</v>
      </c>
      <c r="M75" s="3" t="str">
        <f>IFERROR(__xludf.DUMMYFUNCTION("""COMPUTED_VALUE"""),"น.ท.หญิง ฤทัยวรรณ นวมพันธ์")</f>
        <v>น.ท.หญิง ฤทัยวรรณ นวมพันธ์</v>
      </c>
      <c r="N75" s="14" t="str">
        <f>IFERROR(__xludf.DUMMYFUNCTION("""COMPUTED_VALUE"""),"https://lh5.googleusercontent.com/d/1RmspRPAd7WGRZnajAryYfChSChOhBWam")</f>
        <v>https://lh5.googleusercontent.com/d/1RmspRPAd7WGRZnajAryYfChSChOhBWam</v>
      </c>
      <c r="O75" s="14" t="str">
        <f>IFERROR(__xludf.DUMMYFUNCTION("""COMPUTED_VALUE"""),"https://drive.google.com/file/d/1Uwjh048yEr1XHVUY2fQyMV49_Nnvu5qg/view?usp=drivesdk")</f>
        <v>https://drive.google.com/file/d/1Uwjh048yEr1XHVUY2fQyMV49_Nnvu5qg/view?usp=drivesdk</v>
      </c>
    </row>
    <row r="76">
      <c r="A76" s="3">
        <f>IFERROR(__xludf.DUMMYFUNCTION("""COMPUTED_VALUE"""),618.0)</f>
        <v>618</v>
      </c>
      <c r="B76" s="11">
        <f>IFERROR(__xludf.DUMMYFUNCTION("""COMPUTED_VALUE"""),45991.628894699075)</f>
        <v>45991.62889</v>
      </c>
      <c r="C76" s="3" t="str">
        <f>IFERROR(__xludf.DUMMYFUNCTION("""COMPUTED_VALUE"""),"ชั้นปีที่ 1")</f>
        <v>ชั้นปีที่ 1</v>
      </c>
      <c r="D76" s="3" t="str">
        <f>IFERROR(__xludf.DUMMYFUNCTION("""COMPUTED_VALUE"""),"6803930")</f>
        <v>6803930</v>
      </c>
      <c r="E76" s="3" t="str">
        <f>IFERROR(__xludf.DUMMYFUNCTION("""COMPUTED_VALUE"""),"49")</f>
        <v>49</v>
      </c>
      <c r="F76" s="3" t="str">
        <f>IFERROR(__xludf.DUMMYFUNCTION("""COMPUTED_VALUE"""),"นพอ.ยุพารัตน์ ดาวลาย")</f>
        <v>นพอ.ยุพารัตน์ ดาวลาย</v>
      </c>
      <c r="G76" s="3" t="str">
        <f>IFERROR(__xludf.DUMMYFUNCTION("""COMPUTED_VALUE"""),"งานฟรีทั่วไป")</f>
        <v>งานฟรีทั่วไป</v>
      </c>
      <c r="H76" s="3" t="str">
        <f>IFERROR(__xludf.DUMMYFUNCTION("""COMPUTED_VALUE"""),"ล้างห้องน้ำ")</f>
        <v>ล้างห้องน้ำ</v>
      </c>
      <c r="I76" s="3" t="str">
        <f>IFERROR(__xludf.DUMMYFUNCTION("""COMPUTED_VALUE"""),"บ้านดาวลาย 286/6 จ.ปทุมธานี")</f>
        <v>บ้านดาวลาย 286/6 จ.ปทุมธานี</v>
      </c>
      <c r="J76" s="12">
        <f>IFERROR(__xludf.DUMMYFUNCTION("""COMPUTED_VALUE"""),45962.0)</f>
        <v>45962</v>
      </c>
      <c r="K76" s="3" t="str">
        <f>IFERROR(__xludf.DUMMYFUNCTION("""COMPUTED_VALUE"""),"1600-1800")</f>
        <v>1600-1800</v>
      </c>
      <c r="L76" s="3">
        <f>IFERROR(__xludf.DUMMYFUNCTION("""COMPUTED_VALUE"""),2.0)</f>
        <v>2</v>
      </c>
      <c r="M76" s="3" t="str">
        <f>IFERROR(__xludf.DUMMYFUNCTION("""COMPUTED_VALUE"""),"นายประวีป ดาวลาย")</f>
        <v>นายประวีป ดาวลาย</v>
      </c>
      <c r="N76" s="14" t="str">
        <f>IFERROR(__xludf.DUMMYFUNCTION("""COMPUTED_VALUE"""),"https://lh5.googleusercontent.com/d/1f5RHJV2dduW3voXC1o9awXLx1bDiPoBI")</f>
        <v>https://lh5.googleusercontent.com/d/1f5RHJV2dduW3voXC1o9awXLx1bDiPoBI</v>
      </c>
      <c r="O76" s="14" t="str">
        <f>IFERROR(__xludf.DUMMYFUNCTION("""COMPUTED_VALUE"""),"https://drive.google.com/file/d/10crcLggNn0FXL4KJEv7MdWFCOBu3wKtm/view?usp=drivesdk")</f>
        <v>https://drive.google.com/file/d/10crcLggNn0FXL4KJEv7MdWFCOBu3wKtm/view?usp=drivesdk</v>
      </c>
    </row>
    <row r="77">
      <c r="A77" s="3">
        <f>IFERROR(__xludf.DUMMYFUNCTION("""COMPUTED_VALUE"""),650.0)</f>
        <v>650</v>
      </c>
      <c r="B77" s="11">
        <f>IFERROR(__xludf.DUMMYFUNCTION("""COMPUTED_VALUE"""),45991.71493356481)</f>
        <v>45991.71493</v>
      </c>
      <c r="C77" s="3" t="str">
        <f>IFERROR(__xludf.DUMMYFUNCTION("""COMPUTED_VALUE"""),"ชั้นปีที่ 1")</f>
        <v>ชั้นปีที่ 1</v>
      </c>
      <c r="D77" s="3" t="str">
        <f>IFERROR(__xludf.DUMMYFUNCTION("""COMPUTED_VALUE"""),"6803919")</f>
        <v>6803919</v>
      </c>
      <c r="E77" s="3" t="str">
        <f>IFERROR(__xludf.DUMMYFUNCTION("""COMPUTED_VALUE"""),"38")</f>
        <v>38</v>
      </c>
      <c r="F77" s="3" t="str">
        <f>IFERROR(__xludf.DUMMYFUNCTION("""COMPUTED_VALUE"""),"นพอ.พลอยปภัส มากใหม่")</f>
        <v>นพอ.พลอยปภัส มากใหม่</v>
      </c>
      <c r="G77" s="3" t="str">
        <f>IFERROR(__xludf.DUMMYFUNCTION("""COMPUTED_VALUE"""),"ช่วยเหลืองานภายใน วพอ.")</f>
        <v>ช่วยเหลืองานภายใน วพอ.</v>
      </c>
      <c r="H77" s="3" t="str">
        <f>IFERROR(__xludf.DUMMYFUNCTION("""COMPUTED_VALUE"""),"เล่นดุริยางค์")</f>
        <v>เล่นดุริยางค์</v>
      </c>
      <c r="I77" s="3" t="str">
        <f>IFERROR(__xludf.DUMMYFUNCTION("""COMPUTED_VALUE"""),"วิทยาลัยพยาบาลทหารอากาศ")</f>
        <v>วิทยาลัยพยาบาลทหารอากาศ</v>
      </c>
      <c r="J77" s="12">
        <f>IFERROR(__xludf.DUMMYFUNCTION("""COMPUTED_VALUE"""),45991.0)</f>
        <v>45991</v>
      </c>
      <c r="K77" s="3" t="str">
        <f>IFERROR(__xludf.DUMMYFUNCTION("""COMPUTED_VALUE"""),"7:37")</f>
        <v>7:37</v>
      </c>
      <c r="L77" s="3">
        <f>IFERROR(__xludf.DUMMYFUNCTION("""COMPUTED_VALUE"""),1.0)</f>
        <v>1</v>
      </c>
      <c r="M77" s="3" t="str">
        <f>IFERROR(__xludf.DUMMYFUNCTION("""COMPUTED_VALUE"""),"ร.อ.อนุชิต ทำจะดี")</f>
        <v>ร.อ.อนุชิต ทำจะดี</v>
      </c>
      <c r="N77" s="14" t="str">
        <f>IFERROR(__xludf.DUMMYFUNCTION("""COMPUTED_VALUE"""),"https://lh5.googleusercontent.com/d/1tKgexD_7hljzDHWmwcs5eHVCQKRqK34D")</f>
        <v>https://lh5.googleusercontent.com/d/1tKgexD_7hljzDHWmwcs5eHVCQKRqK34D</v>
      </c>
      <c r="O77" s="3"/>
    </row>
    <row r="78">
      <c r="A78" s="3">
        <f>IFERROR(__xludf.DUMMYFUNCTION("""COMPUTED_VALUE"""),653.0)</f>
        <v>653</v>
      </c>
      <c r="B78" s="11">
        <f>IFERROR(__xludf.DUMMYFUNCTION("""COMPUTED_VALUE"""),45991.71605885417)</f>
        <v>45991.71606</v>
      </c>
      <c r="C78" s="3" t="str">
        <f>IFERROR(__xludf.DUMMYFUNCTION("""COMPUTED_VALUE"""),"ชั้นปีที่ 1")</f>
        <v>ชั้นปีที่ 1</v>
      </c>
      <c r="D78" s="3" t="str">
        <f>IFERROR(__xludf.DUMMYFUNCTION("""COMPUTED_VALUE"""),"6803924")</f>
        <v>6803924</v>
      </c>
      <c r="E78" s="3" t="str">
        <f>IFERROR(__xludf.DUMMYFUNCTION("""COMPUTED_VALUE"""),"43")</f>
        <v>43</v>
      </c>
      <c r="F78" s="3" t="str">
        <f>IFERROR(__xludf.DUMMYFUNCTION("""COMPUTED_VALUE"""),"นพอ.พีรชา แสงไทย")</f>
        <v>นพอ.พีรชา แสงไทย</v>
      </c>
      <c r="G78" s="3" t="str">
        <f>IFERROR(__xludf.DUMMYFUNCTION("""COMPUTED_VALUE"""),"ทำนุบำรุงศาสนสถาน")</f>
        <v>ทำนุบำรุงศาสนสถาน</v>
      </c>
      <c r="H78" s="3" t="str">
        <f>IFERROR(__xludf.DUMMYFUNCTION("""COMPUTED_VALUE"""),"กวาดศาลาวัด")</f>
        <v>กวาดศาลาวัด</v>
      </c>
      <c r="I78" s="3" t="str">
        <f>IFERROR(__xludf.DUMMYFUNCTION("""COMPUTED_VALUE"""),"วัดหนองผักชี")</f>
        <v>วัดหนองผักชี</v>
      </c>
      <c r="J78" s="12">
        <f>IFERROR(__xludf.DUMMYFUNCTION("""COMPUTED_VALUE"""),45990.0)</f>
        <v>45990</v>
      </c>
      <c r="K78" s="3" t="str">
        <f>IFERROR(__xludf.DUMMYFUNCTION("""COMPUTED_VALUE"""),"0800-1200")</f>
        <v>0800-1200</v>
      </c>
      <c r="L78" s="3">
        <f>IFERROR(__xludf.DUMMYFUNCTION("""COMPUTED_VALUE"""),4.0)</f>
        <v>4</v>
      </c>
      <c r="M78" s="3" t="str">
        <f>IFERROR(__xludf.DUMMYFUNCTION("""COMPUTED_VALUE"""),"นางสาวสกาวรัตน์ ย้อยฝอย")</f>
        <v>นางสาวสกาวรัตน์ ย้อยฝอย</v>
      </c>
      <c r="N78" s="14" t="str">
        <f>IFERROR(__xludf.DUMMYFUNCTION("""COMPUTED_VALUE"""),"https://lh5.googleusercontent.com/d/1MYgWFHQ5Qo3MWwDwW4US8pYTsPD58CfT")</f>
        <v>https://lh5.googleusercontent.com/d/1MYgWFHQ5Qo3MWwDwW4US8pYTsPD58CfT</v>
      </c>
      <c r="O78" s="14" t="str">
        <f>IFERROR(__xludf.DUMMYFUNCTION("""COMPUTED_VALUE"""),"https://drive.google.com/file/d/1d96hf2M23SRXDYy9V9mmPOz9gkIIa1--/view?usp=drivesdk")</f>
        <v>https://drive.google.com/file/d/1d96hf2M23SRXDYy9V9mmPOz9gkIIa1--/view?usp=drivesdk</v>
      </c>
    </row>
    <row r="79">
      <c r="A79" s="3">
        <f>IFERROR(__xludf.DUMMYFUNCTION("""COMPUTED_VALUE"""),657.0)</f>
        <v>657</v>
      </c>
      <c r="B79" s="11">
        <f>IFERROR(__xludf.DUMMYFUNCTION("""COMPUTED_VALUE"""),45991.717786319445)</f>
        <v>45991.71779</v>
      </c>
      <c r="C79" s="3" t="str">
        <f>IFERROR(__xludf.DUMMYFUNCTION("""COMPUTED_VALUE"""),"ชั้นปีที่ 1")</f>
        <v>ชั้นปีที่ 1</v>
      </c>
      <c r="D79" s="3" t="str">
        <f>IFERROR(__xludf.DUMMYFUNCTION("""COMPUTED_VALUE"""),"6803924")</f>
        <v>6803924</v>
      </c>
      <c r="E79" s="3" t="str">
        <f>IFERROR(__xludf.DUMMYFUNCTION("""COMPUTED_VALUE"""),"43")</f>
        <v>43</v>
      </c>
      <c r="F79" s="3" t="str">
        <f>IFERROR(__xludf.DUMMYFUNCTION("""COMPUTED_VALUE"""),"นพอ.พีรชา แสงไทย")</f>
        <v>นพอ.พีรชา แสงไทย</v>
      </c>
      <c r="G79" s="3" t="str">
        <f>IFERROR(__xludf.DUMMYFUNCTION("""COMPUTED_VALUE"""),"ทำนุบำรุงศาสนสถาน")</f>
        <v>ทำนุบำรุงศาสนสถาน</v>
      </c>
      <c r="H79" s="3" t="str">
        <f>IFERROR(__xludf.DUMMYFUNCTION("""COMPUTED_VALUE"""),"ถูศาลาวัด")</f>
        <v>ถูศาลาวัด</v>
      </c>
      <c r="I79" s="3" t="str">
        <f>IFERROR(__xludf.DUMMYFUNCTION("""COMPUTED_VALUE"""),"วัดหนองผักชี")</f>
        <v>วัดหนองผักชี</v>
      </c>
      <c r="J79" s="12">
        <f>IFERROR(__xludf.DUMMYFUNCTION("""COMPUTED_VALUE"""),45991.0)</f>
        <v>45991</v>
      </c>
      <c r="K79" s="3" t="str">
        <f>IFERROR(__xludf.DUMMYFUNCTION("""COMPUTED_VALUE"""),"0700-1100")</f>
        <v>0700-1100</v>
      </c>
      <c r="L79" s="3">
        <f>IFERROR(__xludf.DUMMYFUNCTION("""COMPUTED_VALUE"""),4.0)</f>
        <v>4</v>
      </c>
      <c r="M79" s="3" t="str">
        <f>IFERROR(__xludf.DUMMYFUNCTION("""COMPUTED_VALUE"""),"นางสาวสกาวรัตน์ ย้อยฝอย")</f>
        <v>นางสาวสกาวรัตน์ ย้อยฝอย</v>
      </c>
      <c r="N79" s="14" t="str">
        <f>IFERROR(__xludf.DUMMYFUNCTION("""COMPUTED_VALUE"""),"https://lh5.googleusercontent.com/d/1hu1sCbSeVWUMD1SJobirmVIELNeFlu2P")</f>
        <v>https://lh5.googleusercontent.com/d/1hu1sCbSeVWUMD1SJobirmVIELNeFlu2P</v>
      </c>
      <c r="O79" s="14" t="str">
        <f>IFERROR(__xludf.DUMMYFUNCTION("""COMPUTED_VALUE"""),"https://drive.google.com/file/d/1r_l5GGhG7zmQCpTfqmlrGWTmjNK07IB-/view?usp=drivesdk")</f>
        <v>https://drive.google.com/file/d/1r_l5GGhG7zmQCpTfqmlrGWTmjNK07IB-/view?usp=drivesdk</v>
      </c>
    </row>
    <row r="80">
      <c r="A80" s="3">
        <f>IFERROR(__xludf.DUMMYFUNCTION("""COMPUTED_VALUE"""),755.0)</f>
        <v>755</v>
      </c>
      <c r="B80" s="11">
        <f>IFERROR(__xludf.DUMMYFUNCTION("""COMPUTED_VALUE"""),45991.82558809028)</f>
        <v>45991.82559</v>
      </c>
      <c r="C80" s="3" t="str">
        <f>IFERROR(__xludf.DUMMYFUNCTION("""COMPUTED_VALUE"""),"ชั้นปีที่ 1")</f>
        <v>ชั้นปีที่ 1</v>
      </c>
      <c r="D80" s="3" t="str">
        <f>IFERROR(__xludf.DUMMYFUNCTION("""COMPUTED_VALUE"""),"6803918")</f>
        <v>6803918</v>
      </c>
      <c r="E80" s="3" t="str">
        <f>IFERROR(__xludf.DUMMYFUNCTION("""COMPUTED_VALUE"""),"37")</f>
        <v>37</v>
      </c>
      <c r="F80" s="3" t="str">
        <f>IFERROR(__xludf.DUMMYFUNCTION("""COMPUTED_VALUE"""),"นพอ.พลอยธิดา รัตนกิจ")</f>
        <v>นพอ.พลอยธิดา รัตนกิจ</v>
      </c>
      <c r="G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" s="3" t="str">
        <f>IFERROR(__xludf.DUMMYFUNCTION("""COMPUTED_VALUE"""),"ค่ายแนะแนวรัฐบุรุษ 2")</f>
        <v>ค่ายแนะแนวรัฐบุรุษ 2</v>
      </c>
      <c r="I80" s="3" t="str">
        <f>IFERROR(__xludf.DUMMYFUNCTION("""COMPUTED_VALUE"""),"โรงเรียนชลกันยานุกูล จ.ชลบุรี")</f>
        <v>โรงเรียนชลกันยานุกูล จ.ชลบุรี</v>
      </c>
      <c r="J80" s="12">
        <f>IFERROR(__xludf.DUMMYFUNCTION("""COMPUTED_VALUE"""),45968.0)</f>
        <v>45968</v>
      </c>
      <c r="K80" s="3" t="str">
        <f>IFERROR(__xludf.DUMMYFUNCTION("""COMPUTED_VALUE"""),"1800-2200")</f>
        <v>1800-2200</v>
      </c>
      <c r="L80" s="3">
        <f>IFERROR(__xludf.DUMMYFUNCTION("""COMPUTED_VALUE"""),4.0)</f>
        <v>4</v>
      </c>
      <c r="M8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0" s="14" t="str">
        <f>IFERROR(__xludf.DUMMYFUNCTION("""COMPUTED_VALUE"""),"https://lh5.googleusercontent.com/d/1oQeZbL8ZQsWBdZlPla2-WsWKYtJytfL7")</f>
        <v>https://lh5.googleusercontent.com/d/1oQeZbL8ZQsWBdZlPla2-WsWKYtJytfL7</v>
      </c>
      <c r="O80" s="14" t="str">
        <f>IFERROR(__xludf.DUMMYFUNCTION("""COMPUTED_VALUE"""),"https://drive.google.com/file/d/1h0I-epW3VMwyhrRpazJj_8Qx-19gjEkP/view?usp=drivesdk")</f>
        <v>https://drive.google.com/file/d/1h0I-epW3VMwyhrRpazJj_8Qx-19gjEkP/view?usp=drivesdk</v>
      </c>
    </row>
    <row r="81">
      <c r="A81" s="3">
        <f>IFERROR(__xludf.DUMMYFUNCTION("""COMPUTED_VALUE"""),784.0)</f>
        <v>784</v>
      </c>
      <c r="B81" s="11">
        <f>IFERROR(__xludf.DUMMYFUNCTION("""COMPUTED_VALUE"""),45991.839090057874)</f>
        <v>45991.83909</v>
      </c>
      <c r="C81" s="3" t="str">
        <f>IFERROR(__xludf.DUMMYFUNCTION("""COMPUTED_VALUE"""),"ชั้นปีที่ 1")</f>
        <v>ชั้นปีที่ 1</v>
      </c>
      <c r="D81" s="3" t="str">
        <f>IFERROR(__xludf.DUMMYFUNCTION("""COMPUTED_VALUE"""),"6803918")</f>
        <v>6803918</v>
      </c>
      <c r="E81" s="3" t="str">
        <f>IFERROR(__xludf.DUMMYFUNCTION("""COMPUTED_VALUE"""),"37")</f>
        <v>37</v>
      </c>
      <c r="F81" s="3" t="str">
        <f>IFERROR(__xludf.DUMMYFUNCTION("""COMPUTED_VALUE"""),"นพอ.พลอยธิดา รัตนกิจ")</f>
        <v>นพอ.พลอยธิดา รัตนกิจ</v>
      </c>
      <c r="G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" s="3" t="str">
        <f>IFERROR(__xludf.DUMMYFUNCTION("""COMPUTED_VALUE"""),"ค่ายแนะแนวรัฐบุรุษ 2")</f>
        <v>ค่ายแนะแนวรัฐบุรุษ 2</v>
      </c>
      <c r="I81" s="3" t="str">
        <f>IFERROR(__xludf.DUMMYFUNCTION("""COMPUTED_VALUE"""),"โรงเรียนชลกันยานุกูล จ.ชลบุรี")</f>
        <v>โรงเรียนชลกันยานุกูล จ.ชลบุรี</v>
      </c>
      <c r="J81" s="12">
        <f>IFERROR(__xludf.DUMMYFUNCTION("""COMPUTED_VALUE"""),45969.0)</f>
        <v>45969</v>
      </c>
      <c r="K81" s="3" t="str">
        <f>IFERROR(__xludf.DUMMYFUNCTION("""COMPUTED_VALUE"""),"0800-1600")</f>
        <v>0800-1600</v>
      </c>
      <c r="L81" s="3">
        <f>IFERROR(__xludf.DUMMYFUNCTION("""COMPUTED_VALUE"""),8.0)</f>
        <v>8</v>
      </c>
      <c r="M8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1" s="14" t="str">
        <f>IFERROR(__xludf.DUMMYFUNCTION("""COMPUTED_VALUE"""),"https://lh5.googleusercontent.com/d/1Q64hvSnM2Rk6dBwpPX3XWA8JJqDhTvde")</f>
        <v>https://lh5.googleusercontent.com/d/1Q64hvSnM2Rk6dBwpPX3XWA8JJqDhTvde</v>
      </c>
      <c r="O81" s="14" t="str">
        <f>IFERROR(__xludf.DUMMYFUNCTION("""COMPUTED_VALUE"""),"https://drive.google.com/file/d/1ePRLDvzvnVy9ywr0Qts9rVwh6IYa718H/view?usp=drivesdk")</f>
        <v>https://drive.google.com/file/d/1ePRLDvzvnVy9ywr0Qts9rVwh6IYa718H/view?usp=drivesdk</v>
      </c>
    </row>
    <row r="82">
      <c r="A82" s="3">
        <f>IFERROR(__xludf.DUMMYFUNCTION("""COMPUTED_VALUE"""),797.0)</f>
        <v>797</v>
      </c>
      <c r="B82" s="11">
        <f>IFERROR(__xludf.DUMMYFUNCTION("""COMPUTED_VALUE"""),45991.84574283565)</f>
        <v>45991.84574</v>
      </c>
      <c r="C82" s="3" t="str">
        <f>IFERROR(__xludf.DUMMYFUNCTION("""COMPUTED_VALUE"""),"ชั้นปีที่ 1")</f>
        <v>ชั้นปีที่ 1</v>
      </c>
      <c r="D82" s="3" t="str">
        <f>IFERROR(__xludf.DUMMYFUNCTION("""COMPUTED_VALUE"""),"6803923")</f>
        <v>6803923</v>
      </c>
      <c r="E82" s="3" t="str">
        <f>IFERROR(__xludf.DUMMYFUNCTION("""COMPUTED_VALUE"""),"42")</f>
        <v>42</v>
      </c>
      <c r="F82" s="3" t="str">
        <f>IFERROR(__xludf.DUMMYFUNCTION("""COMPUTED_VALUE"""),"นพอ.พิมพ์ณัฐชยา มนนามอญ")</f>
        <v>นพอ.พิมพ์ณัฐชยา มนนามอญ</v>
      </c>
      <c r="G8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" s="3" t="str">
        <f>IFERROR(__xludf.DUMMYFUNCTION("""COMPUTED_VALUE"""),"ค่ายแนะแนวรัฐบุรุษ2")</f>
        <v>ค่ายแนะแนวรัฐบุรุษ2</v>
      </c>
      <c r="I82" s="3" t="str">
        <f>IFERROR(__xludf.DUMMYFUNCTION("""COMPUTED_VALUE"""),"โรงเรียนชลกัลยานุกูล จ.ชลบุรี")</f>
        <v>โรงเรียนชลกัลยานุกูล จ.ชลบุรี</v>
      </c>
      <c r="J82" s="12">
        <f>IFERROR(__xludf.DUMMYFUNCTION("""COMPUTED_VALUE"""),45968.0)</f>
        <v>45968</v>
      </c>
      <c r="K82" s="3" t="str">
        <f>IFERROR(__xludf.DUMMYFUNCTION("""COMPUTED_VALUE"""),"1800-2200")</f>
        <v>1800-2200</v>
      </c>
      <c r="L82" s="3">
        <f>IFERROR(__xludf.DUMMYFUNCTION("""COMPUTED_VALUE"""),4.0)</f>
        <v>4</v>
      </c>
      <c r="M82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82" s="14" t="str">
        <f>IFERROR(__xludf.DUMMYFUNCTION("""COMPUTED_VALUE"""),"https://lh5.googleusercontent.com/d/1puyrtH8lOhCyQCAfCmH8YT2SuwsBvt2j")</f>
        <v>https://lh5.googleusercontent.com/d/1puyrtH8lOhCyQCAfCmH8YT2SuwsBvt2j</v>
      </c>
      <c r="O82" s="14" t="str">
        <f>IFERROR(__xludf.DUMMYFUNCTION("""COMPUTED_VALUE"""),"https://drive.google.com/file/d/19v4Xin6PDj9rYRqv8TYqePJVWAMUin6j/view?usp=drivesdk")</f>
        <v>https://drive.google.com/file/d/19v4Xin6PDj9rYRqv8TYqePJVWAMUin6j/view?usp=drivesdk</v>
      </c>
    </row>
    <row r="83">
      <c r="A83" s="3">
        <f>IFERROR(__xludf.DUMMYFUNCTION("""COMPUTED_VALUE"""),803.0)</f>
        <v>803</v>
      </c>
      <c r="B83" s="11">
        <f>IFERROR(__xludf.DUMMYFUNCTION("""COMPUTED_VALUE"""),45991.849501516204)</f>
        <v>45991.8495</v>
      </c>
      <c r="C83" s="3" t="str">
        <f>IFERROR(__xludf.DUMMYFUNCTION("""COMPUTED_VALUE"""),"ชั้นปีที่ 1")</f>
        <v>ชั้นปีที่ 1</v>
      </c>
      <c r="D83" s="3" t="str">
        <f>IFERROR(__xludf.DUMMYFUNCTION("""COMPUTED_VALUE"""),"6803932")</f>
        <v>6803932</v>
      </c>
      <c r="E83" s="3" t="str">
        <f>IFERROR(__xludf.DUMMYFUNCTION("""COMPUTED_VALUE"""),"51")</f>
        <v>51</v>
      </c>
      <c r="F83" s="3" t="str">
        <f>IFERROR(__xludf.DUMMYFUNCTION("""COMPUTED_VALUE"""),"นพอ.รตนพร สินทรัพย์")</f>
        <v>นพอ.รตนพร สินทรัพย์</v>
      </c>
      <c r="G83" s="3" t="str">
        <f>IFERROR(__xludf.DUMMYFUNCTION("""COMPUTED_VALUE"""),"ช่วยเหลืองานภายใน วพอ.")</f>
        <v>ช่วยเหลืองานภายใน วพอ.</v>
      </c>
      <c r="H83" s="3" t="str">
        <f>IFERROR(__xludf.DUMMYFUNCTION("""COMPUTED_VALUE"""),"อาภรณ์ภัณฑ์")</f>
        <v>อาภรณ์ภัณฑ์</v>
      </c>
      <c r="I83" s="3" t="str">
        <f>IFERROR(__xludf.DUMMYFUNCTION("""COMPUTED_VALUE"""),"ห้องปกครอง วพอ.")</f>
        <v>ห้องปกครอง วพอ.</v>
      </c>
      <c r="J83" s="12">
        <f>IFERROR(__xludf.DUMMYFUNCTION("""COMPUTED_VALUE"""),45944.0)</f>
        <v>45944</v>
      </c>
      <c r="K83" s="3" t="str">
        <f>IFERROR(__xludf.DUMMYFUNCTION("""COMPUTED_VALUE"""),"1200-1700")</f>
        <v>1200-1700</v>
      </c>
      <c r="L83" s="3">
        <f>IFERROR(__xludf.DUMMYFUNCTION("""COMPUTED_VALUE"""),5.0)</f>
        <v>5</v>
      </c>
      <c r="M83" s="3" t="str">
        <f>IFERROR(__xludf.DUMMYFUNCTION("""COMPUTED_VALUE"""),"ร.ท.จักรวาล เนื่องสุข")</f>
        <v>ร.ท.จักรวาล เนื่องสุข</v>
      </c>
      <c r="N83" s="14" t="str">
        <f>IFERROR(__xludf.DUMMYFUNCTION("""COMPUTED_VALUE"""),"https://lh5.googleusercontent.com/d/1F1VfWflL5kC6_gc7lDg3rCBAyewHCK_o")</f>
        <v>https://lh5.googleusercontent.com/d/1F1VfWflL5kC6_gc7lDg3rCBAyewHCK_o</v>
      </c>
      <c r="O83" s="14" t="str">
        <f>IFERROR(__xludf.DUMMYFUNCTION("""COMPUTED_VALUE"""),"https://drive.google.com/file/d/1R2uNwbU8zJglRoXpQeG1Orgb7n4e3KdB/view?usp=drivesdk")</f>
        <v>https://drive.google.com/file/d/1R2uNwbU8zJglRoXpQeG1Orgb7n4e3KdB/view?usp=drivesdk</v>
      </c>
    </row>
    <row r="84">
      <c r="A84" s="3">
        <f>IFERROR(__xludf.DUMMYFUNCTION("""COMPUTED_VALUE"""),807.0)</f>
        <v>807</v>
      </c>
      <c r="B84" s="11">
        <f>IFERROR(__xludf.DUMMYFUNCTION("""COMPUTED_VALUE"""),45991.851035266205)</f>
        <v>45991.85104</v>
      </c>
      <c r="C84" s="3" t="str">
        <f>IFERROR(__xludf.DUMMYFUNCTION("""COMPUTED_VALUE"""),"ชั้นปีที่ 1")</f>
        <v>ชั้นปีที่ 1</v>
      </c>
      <c r="D84" s="3" t="str">
        <f>IFERROR(__xludf.DUMMYFUNCTION("""COMPUTED_VALUE"""),"6803932")</f>
        <v>6803932</v>
      </c>
      <c r="E84" s="3" t="str">
        <f>IFERROR(__xludf.DUMMYFUNCTION("""COMPUTED_VALUE"""),"51")</f>
        <v>51</v>
      </c>
      <c r="F84" s="3" t="str">
        <f>IFERROR(__xludf.DUMMYFUNCTION("""COMPUTED_VALUE"""),"นพอ.รตนพร สินทรัพย์")</f>
        <v>นพอ.รตนพร สินทรัพย์</v>
      </c>
      <c r="G84" s="3" t="str">
        <f>IFERROR(__xludf.DUMMYFUNCTION("""COMPUTED_VALUE"""),"ช่วยเหลืองานภายใน วพอ.")</f>
        <v>ช่วยเหลืองานภายใน วพอ.</v>
      </c>
      <c r="H84" s="3" t="str">
        <f>IFERROR(__xludf.DUMMYFUNCTION("""COMPUTED_VALUE"""),"อาภรณ์ภัณฑ์")</f>
        <v>อาภรณ์ภัณฑ์</v>
      </c>
      <c r="I84" s="3" t="str">
        <f>IFERROR(__xludf.DUMMYFUNCTION("""COMPUTED_VALUE"""),"ห้องปกครอง วพอ.")</f>
        <v>ห้องปกครอง วพอ.</v>
      </c>
      <c r="J84" s="12">
        <f>IFERROR(__xludf.DUMMYFUNCTION("""COMPUTED_VALUE"""),45954.0)</f>
        <v>45954</v>
      </c>
      <c r="K84" s="3" t="str">
        <f>IFERROR(__xludf.DUMMYFUNCTION("""COMPUTED_VALUE"""),"1200-1700")</f>
        <v>1200-1700</v>
      </c>
      <c r="L84" s="3">
        <f>IFERROR(__xludf.DUMMYFUNCTION("""COMPUTED_VALUE"""),5.0)</f>
        <v>5</v>
      </c>
      <c r="M84" s="3" t="str">
        <f>IFERROR(__xludf.DUMMYFUNCTION("""COMPUTED_VALUE"""),"ร.ท.จักรวาล เนื่องสุข")</f>
        <v>ร.ท.จักรวาล เนื่องสุข</v>
      </c>
      <c r="N84" s="14" t="str">
        <f>IFERROR(__xludf.DUMMYFUNCTION("""COMPUTED_VALUE"""),"https://lh5.googleusercontent.com/d/1Soley60cPi-TjrNyRzfSMsHPAVGFQvZ5")</f>
        <v>https://lh5.googleusercontent.com/d/1Soley60cPi-TjrNyRzfSMsHPAVGFQvZ5</v>
      </c>
      <c r="O84" s="14" t="str">
        <f>IFERROR(__xludf.DUMMYFUNCTION("""COMPUTED_VALUE"""),"https://drive.google.com/file/d/1ZP53E6a5KVuW8H5FogaeTkxHUgSWPzmI/view?usp=drivesdk")</f>
        <v>https://drive.google.com/file/d/1ZP53E6a5KVuW8H5FogaeTkxHUgSWPzmI/view?usp=drivesdk</v>
      </c>
    </row>
    <row r="85">
      <c r="A85" s="3">
        <f>IFERROR(__xludf.DUMMYFUNCTION("""COMPUTED_VALUE"""),836.0)</f>
        <v>836</v>
      </c>
      <c r="B85" s="11">
        <f>IFERROR(__xludf.DUMMYFUNCTION("""COMPUTED_VALUE"""),45991.896340810184)</f>
        <v>45991.89634</v>
      </c>
      <c r="C85" s="3" t="str">
        <f>IFERROR(__xludf.DUMMYFUNCTION("""COMPUTED_VALUE"""),"ชั้นปีที่ 1")</f>
        <v>ชั้นปีที่ 1</v>
      </c>
      <c r="D85" s="3" t="str">
        <f>IFERROR(__xludf.DUMMYFUNCTION("""COMPUTED_VALUE"""),"6803901")</f>
        <v>6803901</v>
      </c>
      <c r="E85" s="3" t="str">
        <f>IFERROR(__xludf.DUMMYFUNCTION("""COMPUTED_VALUE"""),"20")</f>
        <v>20</v>
      </c>
      <c r="F85" s="3" t="str">
        <f>IFERROR(__xludf.DUMMYFUNCTION("""COMPUTED_VALUE"""),"นพอ.ณัฐริกา วัฒนสมบัติ")</f>
        <v>นพอ.ณัฐริกา วัฒนสมบัติ</v>
      </c>
      <c r="G85" s="3" t="str">
        <f>IFERROR(__xludf.DUMMYFUNCTION("""COMPUTED_VALUE"""),"ช่วยเหลืองานภายใน วพอ.")</f>
        <v>ช่วยเหลืองานภายใน วพอ.</v>
      </c>
      <c r="H85" s="3" t="str">
        <f>IFERROR(__xludf.DUMMYFUNCTION("""COMPUTED_VALUE"""),"ช่วยท่านอาจารย์แพ็คเสื้อ")</f>
        <v>ช่วยท่านอาจารย์แพ็คเสื้อ</v>
      </c>
      <c r="I85" s="3" t="str">
        <f>IFERROR(__xludf.DUMMYFUNCTION("""COMPUTED_VALUE"""),"ห้องปกครอง วพอ.")</f>
        <v>ห้องปกครอง วพอ.</v>
      </c>
      <c r="J85" s="12">
        <f>IFERROR(__xludf.DUMMYFUNCTION("""COMPUTED_VALUE"""),45895.0)</f>
        <v>45895</v>
      </c>
      <c r="K85" s="3" t="str">
        <f>IFERROR(__xludf.DUMMYFUNCTION("""COMPUTED_VALUE"""),"1600-1800")</f>
        <v>1600-1800</v>
      </c>
      <c r="L85" s="3">
        <f>IFERROR(__xludf.DUMMYFUNCTION("""COMPUTED_VALUE"""),2.0)</f>
        <v>2</v>
      </c>
      <c r="M85" s="3" t="str">
        <f>IFERROR(__xludf.DUMMYFUNCTION("""COMPUTED_VALUE"""),"ร.อ.หญิง ขนัฎฐา นาดี")</f>
        <v>ร.อ.หญิง ขนัฎฐา นาดี</v>
      </c>
      <c r="N85" s="14" t="str">
        <f>IFERROR(__xludf.DUMMYFUNCTION("""COMPUTED_VALUE"""),"https://lh5.googleusercontent.com/d/1VS0VwOyBXB_HkC5OK9Ind3mcQlXbQJZN")</f>
        <v>https://lh5.googleusercontent.com/d/1VS0VwOyBXB_HkC5OK9Ind3mcQlXbQJZN</v>
      </c>
      <c r="O85" s="14" t="str">
        <f>IFERROR(__xludf.DUMMYFUNCTION("""COMPUTED_VALUE"""),"https://drive.google.com/file/d/1aTsWoOIEe5Y557JdBgftcHFtIlfi_y61/view?usp=drivesdk")</f>
        <v>https://drive.google.com/file/d/1aTsWoOIEe5Y557JdBgftcHFtIlfi_y61/view?usp=drivesdk</v>
      </c>
    </row>
    <row r="86">
      <c r="A86" s="3">
        <f>IFERROR(__xludf.DUMMYFUNCTION("""COMPUTED_VALUE"""),837.0)</f>
        <v>837</v>
      </c>
      <c r="B86" s="11">
        <f>IFERROR(__xludf.DUMMYFUNCTION("""COMPUTED_VALUE"""),45991.896759062496)</f>
        <v>45991.89676</v>
      </c>
      <c r="C86" s="3" t="str">
        <f>IFERROR(__xludf.DUMMYFUNCTION("""COMPUTED_VALUE"""),"ชั้นปีที่ 1")</f>
        <v>ชั้นปีที่ 1</v>
      </c>
      <c r="D86" s="3" t="str">
        <f>IFERROR(__xludf.DUMMYFUNCTION("""COMPUTED_VALUE"""),"6803919")</f>
        <v>6803919</v>
      </c>
      <c r="E86" s="3" t="str">
        <f>IFERROR(__xludf.DUMMYFUNCTION("""COMPUTED_VALUE"""),"38")</f>
        <v>38</v>
      </c>
      <c r="F86" s="3" t="str">
        <f>IFERROR(__xludf.DUMMYFUNCTION("""COMPUTED_VALUE"""),"นพอ.พลอยปภัส มากใหม่")</f>
        <v>นพอ.พลอยปภัส มากใหม่</v>
      </c>
      <c r="G86" s="3" t="str">
        <f>IFERROR(__xludf.DUMMYFUNCTION("""COMPUTED_VALUE"""),"ช่วยเหลืองานภายใน วพอ.")</f>
        <v>ช่วยเหลืองานภายใน วพอ.</v>
      </c>
      <c r="H86" s="3" t="str">
        <f>IFERROR(__xludf.DUMMYFUNCTION("""COMPUTED_VALUE"""),"เล่นดุริยางค์")</f>
        <v>เล่นดุริยางค์</v>
      </c>
      <c r="I86" s="3" t="str">
        <f>IFERROR(__xludf.DUMMYFUNCTION("""COMPUTED_VALUE"""),"วิทยาลัยพยาบาลทหารอากาศ")</f>
        <v>วิทยาลัยพยาบาลทหารอากาศ</v>
      </c>
      <c r="J86" s="12">
        <f>IFERROR(__xludf.DUMMYFUNCTION("""COMPUTED_VALUE"""),45987.0)</f>
        <v>45987</v>
      </c>
      <c r="K86" s="3" t="str">
        <f>IFERROR(__xludf.DUMMYFUNCTION("""COMPUTED_VALUE"""),"7:30")</f>
        <v>7:30</v>
      </c>
      <c r="L86" s="3">
        <f>IFERROR(__xludf.DUMMYFUNCTION("""COMPUTED_VALUE"""),1.0)</f>
        <v>1</v>
      </c>
      <c r="M86" s="3" t="str">
        <f>IFERROR(__xludf.DUMMYFUNCTION("""COMPUTED_VALUE"""),"ร.อ.อนุชิต ทำจะดี")</f>
        <v>ร.อ.อนุชิต ทำจะดี</v>
      </c>
      <c r="N86" s="14" t="str">
        <f>IFERROR(__xludf.DUMMYFUNCTION("""COMPUTED_VALUE"""),"https://lh5.googleusercontent.com/d/12emaXuBaAIvj7B_Okq8W_Xqv4wblhZb_")</f>
        <v>https://lh5.googleusercontent.com/d/12emaXuBaAIvj7B_Okq8W_Xqv4wblhZb_</v>
      </c>
      <c r="O86" s="14" t="str">
        <f>IFERROR(__xludf.DUMMYFUNCTION("""COMPUTED_VALUE"""),"https://drive.google.com/file/d/1H26RygabrJuzYBcZ9zWtJBEyC1RMW1Er/view?usp=drivesdk")</f>
        <v>https://drive.google.com/file/d/1H26RygabrJuzYBcZ9zWtJBEyC1RMW1Er/view?usp=drivesdk</v>
      </c>
    </row>
    <row r="87">
      <c r="A87" s="3">
        <f>IFERROR(__xludf.DUMMYFUNCTION("""COMPUTED_VALUE"""),840.0)</f>
        <v>840</v>
      </c>
      <c r="B87" s="11">
        <f>IFERROR(__xludf.DUMMYFUNCTION("""COMPUTED_VALUE"""),45991.89823082175)</f>
        <v>45991.89823</v>
      </c>
      <c r="C87" s="3" t="str">
        <f>IFERROR(__xludf.DUMMYFUNCTION("""COMPUTED_VALUE"""),"ชั้นปีที่ 1")</f>
        <v>ชั้นปีที่ 1</v>
      </c>
      <c r="D87" s="3" t="str">
        <f>IFERROR(__xludf.DUMMYFUNCTION("""COMPUTED_VALUE"""),"6803928")</f>
        <v>6803928</v>
      </c>
      <c r="E87" s="3" t="str">
        <f>IFERROR(__xludf.DUMMYFUNCTION("""COMPUTED_VALUE"""),"47")</f>
        <v>47</v>
      </c>
      <c r="F87" s="3" t="str">
        <f>IFERROR(__xludf.DUMMYFUNCTION("""COMPUTED_VALUE"""),"นพอ.มนัญชยา สุขพี้")</f>
        <v>นพอ.มนัญชยา สุขพี้</v>
      </c>
      <c r="G87" s="3" t="str">
        <f>IFERROR(__xludf.DUMMYFUNCTION("""COMPUTED_VALUE"""),"งานฟรีทั่วไป")</f>
        <v>งานฟรีทั่วไป</v>
      </c>
      <c r="H87" s="3" t="str">
        <f>IFERROR(__xludf.DUMMYFUNCTION("""COMPUTED_VALUE"""),"คุณแม่ตากผ้า")</f>
        <v>คุณแม่ตากผ้า</v>
      </c>
      <c r="I87" s="3" t="str">
        <f>IFERROR(__xludf.DUMMYFUNCTION("""COMPUTED_VALUE"""),"บ้าน")</f>
        <v>บ้าน</v>
      </c>
      <c r="J87" s="12">
        <f>IFERROR(__xludf.DUMMYFUNCTION("""COMPUTED_VALUE"""),45991.0)</f>
        <v>45991</v>
      </c>
      <c r="K87" s="3" t="str">
        <f>IFERROR(__xludf.DUMMYFUNCTION("""COMPUTED_VALUE"""),"1100-1200")</f>
        <v>1100-1200</v>
      </c>
      <c r="L87" s="3">
        <f>IFERROR(__xludf.DUMMYFUNCTION("""COMPUTED_VALUE"""),4.0)</f>
        <v>4</v>
      </c>
      <c r="M87" s="3" t="str">
        <f>IFERROR(__xludf.DUMMYFUNCTION("""COMPUTED_VALUE"""),"นางภัคอมร สุขพี้")</f>
        <v>นางภัคอมร สุขพี้</v>
      </c>
      <c r="N87" s="14" t="str">
        <f>IFERROR(__xludf.DUMMYFUNCTION("""COMPUTED_VALUE"""),"https://lh5.googleusercontent.com/d/1ihp9Qm_G05NPQMNrCcgtKCcBGL1WSpiO")</f>
        <v>https://lh5.googleusercontent.com/d/1ihp9Qm_G05NPQMNrCcgtKCcBGL1WSpiO</v>
      </c>
      <c r="O87" s="14" t="str">
        <f>IFERROR(__xludf.DUMMYFUNCTION("""COMPUTED_VALUE"""),"https://drive.google.com/file/d/1u0V62UkLYH9rOjbz3KbTIzX5OqxZZShc/view?usp=drivesdk")</f>
        <v>https://drive.google.com/file/d/1u0V62UkLYH9rOjbz3KbTIzX5OqxZZShc/view?usp=drivesdk</v>
      </c>
    </row>
    <row r="88">
      <c r="A88" s="3">
        <f>IFERROR(__xludf.DUMMYFUNCTION("""COMPUTED_VALUE"""),841.0)</f>
        <v>841</v>
      </c>
      <c r="B88" s="11">
        <f>IFERROR(__xludf.DUMMYFUNCTION("""COMPUTED_VALUE"""),45991.89832928241)</f>
        <v>45991.89833</v>
      </c>
      <c r="C88" s="3" t="str">
        <f>IFERROR(__xludf.DUMMYFUNCTION("""COMPUTED_VALUE"""),"ชั้นปีที่ 1")</f>
        <v>ชั้นปีที่ 1</v>
      </c>
      <c r="D88" s="3" t="str">
        <f>IFERROR(__xludf.DUMMYFUNCTION("""COMPUTED_VALUE"""),"6803922")</f>
        <v>6803922</v>
      </c>
      <c r="E88" s="3" t="str">
        <f>IFERROR(__xludf.DUMMYFUNCTION("""COMPUTED_VALUE"""),"41")</f>
        <v>41</v>
      </c>
      <c r="F88" s="3" t="str">
        <f>IFERROR(__xludf.DUMMYFUNCTION("""COMPUTED_VALUE"""),"นพอ.พินิษา อินทร์ศวร")</f>
        <v>นพอ.พินิษา อินทร์ศวร</v>
      </c>
      <c r="G88" s="3" t="str">
        <f>IFERROR(__xludf.DUMMYFUNCTION("""COMPUTED_VALUE"""),"ช่วยเหลืองานภายใน วพอ.")</f>
        <v>ช่วยเหลืองานภายใน วพอ.</v>
      </c>
      <c r="H88" s="3" t="str">
        <f>IFERROR(__xludf.DUMMYFUNCTION("""COMPUTED_VALUE"""),"อาภรณ์ภัณฑ์")</f>
        <v>อาภรณ์ภัณฑ์</v>
      </c>
      <c r="I88" s="3" t="str">
        <f>IFERROR(__xludf.DUMMYFUNCTION("""COMPUTED_VALUE"""),"วพอ.พอ")</f>
        <v>วพอ.พอ</v>
      </c>
      <c r="J88" s="12">
        <f>IFERROR(__xludf.DUMMYFUNCTION("""COMPUTED_VALUE"""),45944.0)</f>
        <v>45944</v>
      </c>
      <c r="K88" s="3" t="str">
        <f>IFERROR(__xludf.DUMMYFUNCTION("""COMPUTED_VALUE"""),"12.00-17.00")</f>
        <v>12.00-17.00</v>
      </c>
      <c r="L88" s="3">
        <f>IFERROR(__xludf.DUMMYFUNCTION("""COMPUTED_VALUE"""),5.0)</f>
        <v>5</v>
      </c>
      <c r="M88" s="3" t="str">
        <f>IFERROR(__xludf.DUMMYFUNCTION("""COMPUTED_VALUE"""),"ร.ท.จักรวาล เนื่องสุข")</f>
        <v>ร.ท.จักรวาล เนื่องสุข</v>
      </c>
      <c r="N88" s="14" t="str">
        <f>IFERROR(__xludf.DUMMYFUNCTION("""COMPUTED_VALUE"""),"https://lh5.googleusercontent.com/d/15ctXmL4KiAzxIy7ttcA27Ay4qtOu23AJ")</f>
        <v>https://lh5.googleusercontent.com/d/15ctXmL4KiAzxIy7ttcA27Ay4qtOu23AJ</v>
      </c>
      <c r="O88" s="14" t="str">
        <f>IFERROR(__xludf.DUMMYFUNCTION("""COMPUTED_VALUE"""),"https://drive.google.com/file/d/1xhwUjGWZBaXhFOH6rwF33OvOWLls8Xes/view?usp=drivesdk")</f>
        <v>https://drive.google.com/file/d/1xhwUjGWZBaXhFOH6rwF33OvOWLls8Xes/view?usp=drivesdk</v>
      </c>
    </row>
    <row r="89">
      <c r="A89" s="3">
        <f>IFERROR(__xludf.DUMMYFUNCTION("""COMPUTED_VALUE"""),843.0)</f>
        <v>843</v>
      </c>
      <c r="B89" s="11">
        <f>IFERROR(__xludf.DUMMYFUNCTION("""COMPUTED_VALUE"""),45991.89969387731)</f>
        <v>45991.89969</v>
      </c>
      <c r="C89" s="3" t="str">
        <f>IFERROR(__xludf.DUMMYFUNCTION("""COMPUTED_VALUE"""),"ชั้นปีที่ 1")</f>
        <v>ชั้นปีที่ 1</v>
      </c>
      <c r="D89" s="3" t="str">
        <f>IFERROR(__xludf.DUMMYFUNCTION("""COMPUTED_VALUE"""),"6803928")</f>
        <v>6803928</v>
      </c>
      <c r="E89" s="3" t="str">
        <f>IFERROR(__xludf.DUMMYFUNCTION("""COMPUTED_VALUE"""),"47")</f>
        <v>47</v>
      </c>
      <c r="F89" s="3" t="str">
        <f>IFERROR(__xludf.DUMMYFUNCTION("""COMPUTED_VALUE"""),"นพอ.มนัญชยา สุขพี้")</f>
        <v>นพอ.มนัญชยา สุขพี้</v>
      </c>
      <c r="G89" s="3" t="str">
        <f>IFERROR(__xludf.DUMMYFUNCTION("""COMPUTED_VALUE"""),"งานฟรีทั่วไป")</f>
        <v>งานฟรีทั่วไป</v>
      </c>
      <c r="H89" s="3" t="str">
        <f>IFERROR(__xludf.DUMMYFUNCTION("""COMPUTED_VALUE"""),"ช่วยคุณพ่อรีดผ้า")</f>
        <v>ช่วยคุณพ่อรีดผ้า</v>
      </c>
      <c r="I89" s="3" t="str">
        <f>IFERROR(__xludf.DUMMYFUNCTION("""COMPUTED_VALUE"""),"บ้าน")</f>
        <v>บ้าน</v>
      </c>
      <c r="J89" s="12">
        <f>IFERROR(__xludf.DUMMYFUNCTION("""COMPUTED_VALUE"""),45991.0)</f>
        <v>45991</v>
      </c>
      <c r="K89" s="3" t="str">
        <f>IFERROR(__xludf.DUMMYFUNCTION("""COMPUTED_VALUE"""),"1000-1100")</f>
        <v>1000-1100</v>
      </c>
      <c r="L89" s="3">
        <f>IFERROR(__xludf.DUMMYFUNCTION("""COMPUTED_VALUE"""),4.0)</f>
        <v>4</v>
      </c>
      <c r="M89" s="3" t="str">
        <f>IFERROR(__xludf.DUMMYFUNCTION("""COMPUTED_VALUE"""),"พ.ต.ท ประกิจ สุขพี้")</f>
        <v>พ.ต.ท ประกิจ สุขพี้</v>
      </c>
      <c r="N89" s="14" t="str">
        <f>IFERROR(__xludf.DUMMYFUNCTION("""COMPUTED_VALUE"""),"https://lh5.googleusercontent.com/d/1b_z_7ofbMys2N9YIDQidurUal5ReeigP")</f>
        <v>https://lh5.googleusercontent.com/d/1b_z_7ofbMys2N9YIDQidurUal5ReeigP</v>
      </c>
      <c r="O89" s="14" t="str">
        <f>IFERROR(__xludf.DUMMYFUNCTION("""COMPUTED_VALUE"""),"https://drive.google.com/file/d/179T6tbXzJBJ3wwIbT3VZTEf7mwL2UHds/view?usp=drivesdk")</f>
        <v>https://drive.google.com/file/d/179T6tbXzJBJ3wwIbT3VZTEf7mwL2UHds/view?usp=drivesdk</v>
      </c>
    </row>
    <row r="90">
      <c r="A90" s="3">
        <f>IFERROR(__xludf.DUMMYFUNCTION("""COMPUTED_VALUE"""),845.0)</f>
        <v>845</v>
      </c>
      <c r="B90" s="11">
        <f>IFERROR(__xludf.DUMMYFUNCTION("""COMPUTED_VALUE"""),45991.9006218287)</f>
        <v>45991.90062</v>
      </c>
      <c r="C90" s="3" t="str">
        <f>IFERROR(__xludf.DUMMYFUNCTION("""COMPUTED_VALUE"""),"ชั้นปีที่ 1")</f>
        <v>ชั้นปีที่ 1</v>
      </c>
      <c r="D90" s="3" t="str">
        <f>IFERROR(__xludf.DUMMYFUNCTION("""COMPUTED_VALUE"""),"6803919")</f>
        <v>6803919</v>
      </c>
      <c r="E90" s="3" t="str">
        <f>IFERROR(__xludf.DUMMYFUNCTION("""COMPUTED_VALUE"""),"38")</f>
        <v>38</v>
      </c>
      <c r="F90" s="3" t="str">
        <f>IFERROR(__xludf.DUMMYFUNCTION("""COMPUTED_VALUE"""),"นพอ.พลอยปภัส มากใหม่")</f>
        <v>นพอ.พลอยปภัส มากใหม่</v>
      </c>
      <c r="G90" s="3" t="str">
        <f>IFERROR(__xludf.DUMMYFUNCTION("""COMPUTED_VALUE"""),"ช่วยเหลืองานภายใน วพอ.")</f>
        <v>ช่วยเหลืองานภายใน วพอ.</v>
      </c>
      <c r="H90" s="3" t="str">
        <f>IFERROR(__xludf.DUMMYFUNCTION("""COMPUTED_VALUE"""),"ช่วยท่านอาจารย์แพ็คเสื้อ")</f>
        <v>ช่วยท่านอาจารย์แพ็คเสื้อ</v>
      </c>
      <c r="I90" s="3" t="str">
        <f>IFERROR(__xludf.DUMMYFUNCTION("""COMPUTED_VALUE"""),"ห้องปกครอง วพอ.")</f>
        <v>ห้องปกครอง วพอ.</v>
      </c>
      <c r="J90" s="12">
        <f>IFERROR(__xludf.DUMMYFUNCTION("""COMPUTED_VALUE"""),45895.0)</f>
        <v>45895</v>
      </c>
      <c r="K90" s="3" t="str">
        <f>IFERROR(__xludf.DUMMYFUNCTION("""COMPUTED_VALUE"""),"1600-1800")</f>
        <v>1600-1800</v>
      </c>
      <c r="L90" s="3">
        <f>IFERROR(__xludf.DUMMYFUNCTION("""COMPUTED_VALUE"""),2.0)</f>
        <v>2</v>
      </c>
      <c r="M90" s="3" t="str">
        <f>IFERROR(__xludf.DUMMYFUNCTION("""COMPUTED_VALUE"""),"ร.อ.หญิง ขนัฎฐา นาดี")</f>
        <v>ร.อ.หญิง ขนัฎฐา นาดี</v>
      </c>
      <c r="N90" s="14" t="str">
        <f>IFERROR(__xludf.DUMMYFUNCTION("""COMPUTED_VALUE"""),"https://lh5.googleusercontent.com/d/1vegYCBKD1ifU6GhcdWYSLZb2vc5q9kAE")</f>
        <v>https://lh5.googleusercontent.com/d/1vegYCBKD1ifU6GhcdWYSLZb2vc5q9kAE</v>
      </c>
      <c r="O90" s="14" t="str">
        <f>IFERROR(__xludf.DUMMYFUNCTION("""COMPUTED_VALUE"""),"https://drive.google.com/file/d/12_bzziSrHUf0EVDmYobPx9PauHvo-qkL/view?usp=drivesdk")</f>
        <v>https://drive.google.com/file/d/12_bzziSrHUf0EVDmYobPx9PauHvo-qkL/view?usp=drivesdk</v>
      </c>
    </row>
    <row r="91">
      <c r="A91" s="3">
        <f>IFERROR(__xludf.DUMMYFUNCTION("""COMPUTED_VALUE"""),847.0)</f>
        <v>847</v>
      </c>
      <c r="B91" s="11">
        <f>IFERROR(__xludf.DUMMYFUNCTION("""COMPUTED_VALUE"""),45991.90163134259)</f>
        <v>45991.90163</v>
      </c>
      <c r="C91" s="3" t="str">
        <f>IFERROR(__xludf.DUMMYFUNCTION("""COMPUTED_VALUE"""),"ชั้นปีที่ 1")</f>
        <v>ชั้นปีที่ 1</v>
      </c>
      <c r="D91" s="3" t="str">
        <f>IFERROR(__xludf.DUMMYFUNCTION("""COMPUTED_VALUE"""),"6803922")</f>
        <v>6803922</v>
      </c>
      <c r="E91" s="3" t="str">
        <f>IFERROR(__xludf.DUMMYFUNCTION("""COMPUTED_VALUE"""),"41")</f>
        <v>41</v>
      </c>
      <c r="F91" s="3" t="str">
        <f>IFERROR(__xludf.DUMMYFUNCTION("""COMPUTED_VALUE"""),"พินิษา อินทร์ศวร")</f>
        <v>พินิษา อินทร์ศวร</v>
      </c>
      <c r="G91" s="3" t="str">
        <f>IFERROR(__xludf.DUMMYFUNCTION("""COMPUTED_VALUE"""),"ช่วยเหลืองานภายใน วพอ.")</f>
        <v>ช่วยเหลืองานภายใน วพอ.</v>
      </c>
      <c r="H91" s="3" t="str">
        <f>IFERROR(__xludf.DUMMYFUNCTION("""COMPUTED_VALUE"""),"อาภรณ์ภัณฑ์")</f>
        <v>อาภรณ์ภัณฑ์</v>
      </c>
      <c r="I91" s="3" t="str">
        <f>IFERROR(__xludf.DUMMYFUNCTION("""COMPUTED_VALUE"""),"วพอ.พอ.")</f>
        <v>วพอ.พอ.</v>
      </c>
      <c r="J91" s="12">
        <f>IFERROR(__xludf.DUMMYFUNCTION("""COMPUTED_VALUE"""),45954.0)</f>
        <v>45954</v>
      </c>
      <c r="K91" s="3" t="str">
        <f>IFERROR(__xludf.DUMMYFUNCTION("""COMPUTED_VALUE"""),"12.00-17.00")</f>
        <v>12.00-17.00</v>
      </c>
      <c r="L91" s="3">
        <f>IFERROR(__xludf.DUMMYFUNCTION("""COMPUTED_VALUE"""),5.0)</f>
        <v>5</v>
      </c>
      <c r="M91" s="3" t="str">
        <f>IFERROR(__xludf.DUMMYFUNCTION("""COMPUTED_VALUE"""),"ร.ท.จักรวาล เนื่องสุข")</f>
        <v>ร.ท.จักรวาล เนื่องสุข</v>
      </c>
      <c r="N91" s="14" t="str">
        <f>IFERROR(__xludf.DUMMYFUNCTION("""COMPUTED_VALUE"""),"https://lh5.googleusercontent.com/d/1sFT7YdMZloBnQJ0tXl1j2DOXdbdZaS7G")</f>
        <v>https://lh5.googleusercontent.com/d/1sFT7YdMZloBnQJ0tXl1j2DOXdbdZaS7G</v>
      </c>
      <c r="O91" s="14" t="str">
        <f>IFERROR(__xludf.DUMMYFUNCTION("""COMPUTED_VALUE"""),"https://drive.google.com/file/d/1Gv7BzafzhcaQbAOD4hFwvt5ck6tUiGAD/view?usp=drivesdk")</f>
        <v>https://drive.google.com/file/d/1Gv7BzafzhcaQbAOD4hFwvt5ck6tUiGAD/view?usp=drivesdk</v>
      </c>
    </row>
    <row r="92">
      <c r="A92" s="3">
        <f>IFERROR(__xludf.DUMMYFUNCTION("""COMPUTED_VALUE"""),848.0)</f>
        <v>848</v>
      </c>
      <c r="B92" s="11">
        <f>IFERROR(__xludf.DUMMYFUNCTION("""COMPUTED_VALUE"""),45991.90195439815)</f>
        <v>45991.90195</v>
      </c>
      <c r="C92" s="3" t="str">
        <f>IFERROR(__xludf.DUMMYFUNCTION("""COMPUTED_VALUE"""),"ชั้นปีที่ 1")</f>
        <v>ชั้นปีที่ 1</v>
      </c>
      <c r="D92" s="3" t="str">
        <f>IFERROR(__xludf.DUMMYFUNCTION("""COMPUTED_VALUE"""),"6803919")</f>
        <v>6803919</v>
      </c>
      <c r="E92" s="3" t="str">
        <f>IFERROR(__xludf.DUMMYFUNCTION("""COMPUTED_VALUE"""),"38")</f>
        <v>38</v>
      </c>
      <c r="F92" s="3" t="str">
        <f>IFERROR(__xludf.DUMMYFUNCTION("""COMPUTED_VALUE"""),"นพอ.พลอยปภัส มากใหม่")</f>
        <v>นพอ.พลอยปภัส มากใหม่</v>
      </c>
      <c r="G92" s="3" t="str">
        <f>IFERROR(__xludf.DUMMYFUNCTION("""COMPUTED_VALUE"""),"ช่วยเหลืองานภายใน วพอ.")</f>
        <v>ช่วยเหลืองานภายใน วพอ.</v>
      </c>
      <c r="H92" s="3" t="str">
        <f>IFERROR(__xludf.DUMMYFUNCTION("""COMPUTED_VALUE"""),"ช่วยท่านอาจารย์แพ็คเสื้อ")</f>
        <v>ช่วยท่านอาจารย์แพ็คเสื้อ</v>
      </c>
      <c r="I92" s="3" t="str">
        <f>IFERROR(__xludf.DUMMYFUNCTION("""COMPUTED_VALUE"""),"ห้องปกครอง วพอ.")</f>
        <v>ห้องปกครอง วพอ.</v>
      </c>
      <c r="J92" s="12">
        <f>IFERROR(__xludf.DUMMYFUNCTION("""COMPUTED_VALUE"""),45896.0)</f>
        <v>45896</v>
      </c>
      <c r="K92" s="3" t="str">
        <f>IFERROR(__xludf.DUMMYFUNCTION("""COMPUTED_VALUE"""),"1600-1800")</f>
        <v>1600-1800</v>
      </c>
      <c r="L92" s="3">
        <f>IFERROR(__xludf.DUMMYFUNCTION("""COMPUTED_VALUE"""),2.0)</f>
        <v>2</v>
      </c>
      <c r="M92" s="3" t="str">
        <f>IFERROR(__xludf.DUMMYFUNCTION("""COMPUTED_VALUE"""),"ร.อ.หญิง ขนัฎฐา นาดี")</f>
        <v>ร.อ.หญิง ขนัฎฐา นาดี</v>
      </c>
      <c r="N92" s="14" t="str">
        <f>IFERROR(__xludf.DUMMYFUNCTION("""COMPUTED_VALUE"""),"https://lh5.googleusercontent.com/d/1-LhlGyeUS2cpUWVsA2NewPHp_WjBa6DY")</f>
        <v>https://lh5.googleusercontent.com/d/1-LhlGyeUS2cpUWVsA2NewPHp_WjBa6DY</v>
      </c>
      <c r="O92" s="14" t="str">
        <f>IFERROR(__xludf.DUMMYFUNCTION("""COMPUTED_VALUE"""),"https://drive.google.com/file/d/1jUs_KG-CphlDfmwnUQMol8mzsjdoxoz2/view?usp=drivesdk")</f>
        <v>https://drive.google.com/file/d/1jUs_KG-CphlDfmwnUQMol8mzsjdoxoz2/view?usp=drivesdk</v>
      </c>
    </row>
    <row r="93">
      <c r="A93" s="3">
        <f>IFERROR(__xludf.DUMMYFUNCTION("""COMPUTED_VALUE"""),849.0)</f>
        <v>849</v>
      </c>
      <c r="B93" s="11">
        <f>IFERROR(__xludf.DUMMYFUNCTION("""COMPUTED_VALUE"""),45991.90214902778)</f>
        <v>45991.90215</v>
      </c>
      <c r="C93" s="3" t="str">
        <f>IFERROR(__xludf.DUMMYFUNCTION("""COMPUTED_VALUE"""),"ชั้นปีที่ 1")</f>
        <v>ชั้นปีที่ 1</v>
      </c>
      <c r="D93" s="3" t="str">
        <f>IFERROR(__xludf.DUMMYFUNCTION("""COMPUTED_VALUE"""),"6803901")</f>
        <v>6803901</v>
      </c>
      <c r="E93" s="3" t="str">
        <f>IFERROR(__xludf.DUMMYFUNCTION("""COMPUTED_VALUE"""),"20")</f>
        <v>20</v>
      </c>
      <c r="F93" s="3" t="str">
        <f>IFERROR(__xludf.DUMMYFUNCTION("""COMPUTED_VALUE"""),"นพอ.ณัฐริกา วัฒนสมบัติ")</f>
        <v>นพอ.ณัฐริกา วัฒนสมบัติ</v>
      </c>
      <c r="G9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3" s="3" t="str">
        <f>IFERROR(__xludf.DUMMYFUNCTION("""COMPUTED_VALUE"""),"Meet the youth cyber guardians Thailand 2025")</f>
        <v>Meet the youth cyber guardians Thailand 2025</v>
      </c>
      <c r="I93" s="3" t="str">
        <f>IFERROR(__xludf.DUMMYFUNCTION("""COMPUTED_VALUE"""),"บก.ทท.")</f>
        <v>บก.ทท.</v>
      </c>
      <c r="J93" s="12">
        <f>IFERROR(__xludf.DUMMYFUNCTION("""COMPUTED_VALUE"""),45907.0)</f>
        <v>45907</v>
      </c>
      <c r="K93" s="3" t="str">
        <f>IFERROR(__xludf.DUMMYFUNCTION("""COMPUTED_VALUE"""),"0800-1600")</f>
        <v>0800-1600</v>
      </c>
      <c r="L93" s="3">
        <f>IFERROR(__xludf.DUMMYFUNCTION("""COMPUTED_VALUE"""),8.0)</f>
        <v>8</v>
      </c>
      <c r="M93" s="3" t="str">
        <f>IFERROR(__xludf.DUMMYFUNCTION("""COMPUTED_VALUE"""),"ร.อ.อนุชิต ทำจะดี")</f>
        <v>ร.อ.อนุชิต ทำจะดี</v>
      </c>
      <c r="N93" s="14" t="str">
        <f>IFERROR(__xludf.DUMMYFUNCTION("""COMPUTED_VALUE"""),"https://lh5.googleusercontent.com/d/1ma6LUXATp8JbF77L48u8H7HR29j0tZ-Y")</f>
        <v>https://lh5.googleusercontent.com/d/1ma6LUXATp8JbF77L48u8H7HR29j0tZ-Y</v>
      </c>
      <c r="O93" s="14" t="str">
        <f>IFERROR(__xludf.DUMMYFUNCTION("""COMPUTED_VALUE"""),"https://drive.google.com/file/d/1vzTis4_vgZhkKxWnN5_2f43drnH4eLrB/view?usp=drivesdk")</f>
        <v>https://drive.google.com/file/d/1vzTis4_vgZhkKxWnN5_2f43drnH4eLrB/view?usp=drivesdk</v>
      </c>
    </row>
    <row r="94">
      <c r="A94" s="3">
        <f>IFERROR(__xludf.DUMMYFUNCTION("""COMPUTED_VALUE"""),851.0)</f>
        <v>851</v>
      </c>
      <c r="B94" s="11">
        <f>IFERROR(__xludf.DUMMYFUNCTION("""COMPUTED_VALUE"""),45991.90403406251)</f>
        <v>45991.90403</v>
      </c>
      <c r="C94" s="3" t="str">
        <f>IFERROR(__xludf.DUMMYFUNCTION("""COMPUTED_VALUE"""),"ชั้นปีที่ 1")</f>
        <v>ชั้นปีที่ 1</v>
      </c>
      <c r="D94" s="3" t="str">
        <f>IFERROR(__xludf.DUMMYFUNCTION("""COMPUTED_VALUE"""),"6803919")</f>
        <v>6803919</v>
      </c>
      <c r="E94" s="3" t="str">
        <f>IFERROR(__xludf.DUMMYFUNCTION("""COMPUTED_VALUE"""),"38")</f>
        <v>38</v>
      </c>
      <c r="F94" s="3" t="str">
        <f>IFERROR(__xludf.DUMMYFUNCTION("""COMPUTED_VALUE"""),"นพอ.พลอยปภัส มากใหม่")</f>
        <v>นพอ.พลอยปภัส มากใหม่</v>
      </c>
      <c r="G94" s="3" t="str">
        <f>IFERROR(__xludf.DUMMYFUNCTION("""COMPUTED_VALUE"""),"ช่วยเหลืองานภายใน วพอ.")</f>
        <v>ช่วยเหลืองานภายใน วพอ.</v>
      </c>
      <c r="H94" s="3" t="str">
        <f>IFERROR(__xludf.DUMMYFUNCTION("""COMPUTED_VALUE"""),"เล่นดุริยางค์")</f>
        <v>เล่นดุริยางค์</v>
      </c>
      <c r="I94" s="3" t="str">
        <f>IFERROR(__xludf.DUMMYFUNCTION("""COMPUTED_VALUE"""),"วพอ.")</f>
        <v>วพอ.</v>
      </c>
      <c r="J94" s="12">
        <f>IFERROR(__xludf.DUMMYFUNCTION("""COMPUTED_VALUE"""),45981.0)</f>
        <v>45981</v>
      </c>
      <c r="K94" s="3" t="str">
        <f>IFERROR(__xludf.DUMMYFUNCTION("""COMPUTED_VALUE"""),"7:45")</f>
        <v>7:45</v>
      </c>
      <c r="L94" s="3">
        <f>IFERROR(__xludf.DUMMYFUNCTION("""COMPUTED_VALUE"""),1.0)</f>
        <v>1</v>
      </c>
      <c r="M94" s="3" t="str">
        <f>IFERROR(__xludf.DUMMYFUNCTION("""COMPUTED_VALUE"""),"ร.อ.อนุชิต ทำจะดี")</f>
        <v>ร.อ.อนุชิต ทำจะดี</v>
      </c>
      <c r="N94" s="14" t="str">
        <f>IFERROR(__xludf.DUMMYFUNCTION("""COMPUTED_VALUE"""),"https://lh5.googleusercontent.com/d/1paIGFAYv0XfQE1s0mEMeHrVdLNe2m0xF")</f>
        <v>https://lh5.googleusercontent.com/d/1paIGFAYv0XfQE1s0mEMeHrVdLNe2m0xF</v>
      </c>
      <c r="O94" s="14" t="str">
        <f>IFERROR(__xludf.DUMMYFUNCTION("""COMPUTED_VALUE"""),"https://drive.google.com/file/d/1JD21mfgSIGuDub35Bui0ai-00Niqwcsa/view?usp=drivesdk")</f>
        <v>https://drive.google.com/file/d/1JD21mfgSIGuDub35Bui0ai-00Niqwcsa/view?usp=drivesdk</v>
      </c>
    </row>
    <row r="95">
      <c r="A95" s="3">
        <f>IFERROR(__xludf.DUMMYFUNCTION("""COMPUTED_VALUE"""),854.0)</f>
        <v>854</v>
      </c>
      <c r="B95" s="11">
        <f>IFERROR(__xludf.DUMMYFUNCTION("""COMPUTED_VALUE"""),45991.90507623843)</f>
        <v>45991.90508</v>
      </c>
      <c r="C95" s="3" t="str">
        <f>IFERROR(__xludf.DUMMYFUNCTION("""COMPUTED_VALUE"""),"ชั้นปีที่ 1")</f>
        <v>ชั้นปีที่ 1</v>
      </c>
      <c r="D95" s="3" t="str">
        <f>IFERROR(__xludf.DUMMYFUNCTION("""COMPUTED_VALUE"""),"6803919")</f>
        <v>6803919</v>
      </c>
      <c r="E95" s="3" t="str">
        <f>IFERROR(__xludf.DUMMYFUNCTION("""COMPUTED_VALUE"""),"38")</f>
        <v>38</v>
      </c>
      <c r="F95" s="3" t="str">
        <f>IFERROR(__xludf.DUMMYFUNCTION("""COMPUTED_VALUE"""),"นพอ.พลอยปภัส มากใหม่")</f>
        <v>นพอ.พลอยปภัส มากใหม่</v>
      </c>
      <c r="G95" s="3" t="str">
        <f>IFERROR(__xludf.DUMMYFUNCTION("""COMPUTED_VALUE"""),"ช่วยเหลืองานภายใน วพอ.")</f>
        <v>ช่วยเหลืองานภายใน วพอ.</v>
      </c>
      <c r="H95" s="3" t="str">
        <f>IFERROR(__xludf.DUMMYFUNCTION("""COMPUTED_VALUE"""),"เล่นดุริยางค์")</f>
        <v>เล่นดุริยางค์</v>
      </c>
      <c r="I95" s="3" t="str">
        <f>IFERROR(__xludf.DUMMYFUNCTION("""COMPUTED_VALUE"""),"วพอ.")</f>
        <v>วพอ.</v>
      </c>
      <c r="J95" s="12">
        <f>IFERROR(__xludf.DUMMYFUNCTION("""COMPUTED_VALUE"""),45946.0)</f>
        <v>45946</v>
      </c>
      <c r="K95" s="3" t="str">
        <f>IFERROR(__xludf.DUMMYFUNCTION("""COMPUTED_VALUE"""),"7:39")</f>
        <v>7:39</v>
      </c>
      <c r="L95" s="3">
        <f>IFERROR(__xludf.DUMMYFUNCTION("""COMPUTED_VALUE"""),1.0)</f>
        <v>1</v>
      </c>
      <c r="M95" s="3" t="str">
        <f>IFERROR(__xludf.DUMMYFUNCTION("""COMPUTED_VALUE"""),"ร.อ.อนุชิต ทำจะดี")</f>
        <v>ร.อ.อนุชิต ทำจะดี</v>
      </c>
      <c r="N95" s="14" t="str">
        <f>IFERROR(__xludf.DUMMYFUNCTION("""COMPUTED_VALUE"""),"https://lh5.googleusercontent.com/d/194tqlEu__fkNPNVuoeTQPOKWw0OCJiRL")</f>
        <v>https://lh5.googleusercontent.com/d/194tqlEu__fkNPNVuoeTQPOKWw0OCJiRL</v>
      </c>
      <c r="O95" s="14" t="str">
        <f>IFERROR(__xludf.DUMMYFUNCTION("""COMPUTED_VALUE"""),"https://drive.google.com/file/d/1MDyzS1tyAwvd2odhYUw5t42dqfqygWwU/view?usp=drivesdk")</f>
        <v>https://drive.google.com/file/d/1MDyzS1tyAwvd2odhYUw5t42dqfqygWwU/view?usp=drivesdk</v>
      </c>
    </row>
    <row r="96">
      <c r="A96" s="3">
        <f>IFERROR(__xludf.DUMMYFUNCTION("""COMPUTED_VALUE"""),859.0)</f>
        <v>859</v>
      </c>
      <c r="B96" s="11">
        <f>IFERROR(__xludf.DUMMYFUNCTION("""COMPUTED_VALUE"""),45991.91011009259)</f>
        <v>45991.91011</v>
      </c>
      <c r="C96" s="3" t="str">
        <f>IFERROR(__xludf.DUMMYFUNCTION("""COMPUTED_VALUE"""),"ชั้นปีที่ 1")</f>
        <v>ชั้นปีที่ 1</v>
      </c>
      <c r="D96" s="3" t="str">
        <f>IFERROR(__xludf.DUMMYFUNCTION("""COMPUTED_VALUE"""),"6803888")</f>
        <v>6803888</v>
      </c>
      <c r="E96" s="3" t="str">
        <f>IFERROR(__xludf.DUMMYFUNCTION("""COMPUTED_VALUE"""),"7")</f>
        <v>7</v>
      </c>
      <c r="F96" s="3" t="str">
        <f>IFERROR(__xludf.DUMMYFUNCTION("""COMPUTED_VALUE"""),"กันต์ธิดา นาคทอง")</f>
        <v>กันต์ธิดา นาคทอง</v>
      </c>
      <c r="G96" s="3" t="str">
        <f>IFERROR(__xludf.DUMMYFUNCTION("""COMPUTED_VALUE"""),"ทำนุบำรุงศาสนสถาน")</f>
        <v>ทำนุบำรุงศาสนสถาน</v>
      </c>
      <c r="H96" s="3" t="str">
        <f>IFERROR(__xludf.DUMMYFUNCTION("""COMPUTED_VALUE"""),"กวาดลานวัด")</f>
        <v>กวาดลานวัด</v>
      </c>
      <c r="I96" s="3" t="str">
        <f>IFERROR(__xludf.DUMMYFUNCTION("""COMPUTED_VALUE"""),"วัดราษฎร์นิยมธรรม")</f>
        <v>วัดราษฎร์นิยมธรรม</v>
      </c>
      <c r="J96" s="12">
        <f>IFERROR(__xludf.DUMMYFUNCTION("""COMPUTED_VALUE"""),45990.0)</f>
        <v>45990</v>
      </c>
      <c r="K96" s="3" t="str">
        <f>IFERROR(__xludf.DUMMYFUNCTION("""COMPUTED_VALUE"""),"7.00")</f>
        <v>7.00</v>
      </c>
      <c r="L96" s="3">
        <f>IFERROR(__xludf.DUMMYFUNCTION("""COMPUTED_VALUE"""),4.0)</f>
        <v>4</v>
      </c>
      <c r="M96" s="3" t="str">
        <f>IFERROR(__xludf.DUMMYFUNCTION("""COMPUTED_VALUE"""),"พระครูอาทรวุฒิคุณ")</f>
        <v>พระครูอาทรวุฒิคุณ</v>
      </c>
      <c r="N96" s="14" t="str">
        <f>IFERROR(__xludf.DUMMYFUNCTION("""COMPUTED_VALUE"""),"https://lh5.googleusercontent.com/d/1-d1yOlAZaYZRSbn1sOWQgcRYqwEIzbSW")</f>
        <v>https://lh5.googleusercontent.com/d/1-d1yOlAZaYZRSbn1sOWQgcRYqwEIzbSW</v>
      </c>
      <c r="O96" s="14" t="str">
        <f>IFERROR(__xludf.DUMMYFUNCTION("""COMPUTED_VALUE"""),"https://drive.google.com/file/d/1Wkpel19QOnabNbaVwLnaIzncpvIFpbN4/view?usp=drivesdk")</f>
        <v>https://drive.google.com/file/d/1Wkpel19QOnabNbaVwLnaIzncpvIFpbN4/view?usp=drivesdk</v>
      </c>
    </row>
    <row r="97">
      <c r="A97" s="3">
        <f>IFERROR(__xludf.DUMMYFUNCTION("""COMPUTED_VALUE"""),864.0)</f>
        <v>864</v>
      </c>
      <c r="B97" s="11">
        <f>IFERROR(__xludf.DUMMYFUNCTION("""COMPUTED_VALUE"""),45991.91509584491)</f>
        <v>45991.9151</v>
      </c>
      <c r="C97" s="3" t="str">
        <f>IFERROR(__xludf.DUMMYFUNCTION("""COMPUTED_VALUE"""),"ชั้นปีที่ 1")</f>
        <v>ชั้นปีที่ 1</v>
      </c>
      <c r="D97" s="3" t="str">
        <f>IFERROR(__xludf.DUMMYFUNCTION("""COMPUTED_VALUE"""),"6803899")</f>
        <v>6803899</v>
      </c>
      <c r="E97" s="3" t="str">
        <f>IFERROR(__xludf.DUMMYFUNCTION("""COMPUTED_VALUE"""),"18")</f>
        <v>18</v>
      </c>
      <c r="F97" s="3" t="str">
        <f>IFERROR(__xludf.DUMMYFUNCTION("""COMPUTED_VALUE"""),"นพอ.ณัฐณิชา มีปา")</f>
        <v>นพอ.ณัฐณิชา มีปา</v>
      </c>
      <c r="G9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97" s="3" t="str">
        <f>IFERROR(__xludf.DUMMYFUNCTION("""COMPUTED_VALUE"""),"พยาบาลไทยบริจาคโลหิต ช่วยชีวิตเพื่อนมนุษย์ปี4")</f>
        <v>พยาบาลไทยบริจาคโลหิต ช่วยชีวิตเพื่อนมนุษย์ปี4</v>
      </c>
      <c r="I97" s="3" t="str">
        <f>IFERROR(__xludf.DUMMYFUNCTION("""COMPUTED_VALUE"""),"สภากาชาดไทย")</f>
        <v>สภากาชาดไทย</v>
      </c>
      <c r="J97" s="12">
        <f>IFERROR(__xludf.DUMMYFUNCTION("""COMPUTED_VALUE"""),45916.0)</f>
        <v>45916</v>
      </c>
      <c r="K97" s="3" t="str">
        <f>IFERROR(__xludf.DUMMYFUNCTION("""COMPUTED_VALUE"""),"0700-1200")</f>
        <v>0700-1200</v>
      </c>
      <c r="L97" s="3">
        <f>IFERROR(__xludf.DUMMYFUNCTION("""COMPUTED_VALUE"""),8.0)</f>
        <v>8</v>
      </c>
      <c r="M97" s="3" t="str">
        <f>IFERROR(__xludf.DUMMYFUNCTION("""COMPUTED_VALUE"""),"น.ท.หญิงอนุกูล บำรุงวงค์")</f>
        <v>น.ท.หญิงอนุกูล บำรุงวงค์</v>
      </c>
      <c r="N97" s="14" t="str">
        <f>IFERROR(__xludf.DUMMYFUNCTION("""COMPUTED_VALUE"""),"https://lh5.googleusercontent.com/d/1cYOuzAOu0O97G4RXY5EqV3V1znParSMh")</f>
        <v>https://lh5.googleusercontent.com/d/1cYOuzAOu0O97G4RXY5EqV3V1znParSMh</v>
      </c>
      <c r="O97" s="14" t="str">
        <f>IFERROR(__xludf.DUMMYFUNCTION("""COMPUTED_VALUE"""),"https://drive.google.com/file/d/1OgIiS5KHmnlqCOriZv4Zrosb9YvlBr65/view?usp=drivesdk")</f>
        <v>https://drive.google.com/file/d/1OgIiS5KHmnlqCOriZv4Zrosb9YvlBr65/view?usp=drivesdk</v>
      </c>
    </row>
    <row r="98">
      <c r="A98" s="3">
        <f>IFERROR(__xludf.DUMMYFUNCTION("""COMPUTED_VALUE"""),871.0)</f>
        <v>871</v>
      </c>
      <c r="B98" s="11">
        <f>IFERROR(__xludf.DUMMYFUNCTION("""COMPUTED_VALUE"""),45991.920281990744)</f>
        <v>45991.92028</v>
      </c>
      <c r="C98" s="3" t="str">
        <f>IFERROR(__xludf.DUMMYFUNCTION("""COMPUTED_VALUE"""),"ชั้นปีที่ 1")</f>
        <v>ชั้นปีที่ 1</v>
      </c>
      <c r="D98" s="3" t="str">
        <f>IFERROR(__xludf.DUMMYFUNCTION("""COMPUTED_VALUE"""),"6803889")</f>
        <v>6803889</v>
      </c>
      <c r="E98" s="3" t="str">
        <f>IFERROR(__xludf.DUMMYFUNCTION("""COMPUTED_VALUE"""),"8")</f>
        <v>8</v>
      </c>
      <c r="F98" s="3" t="str">
        <f>IFERROR(__xludf.DUMMYFUNCTION("""COMPUTED_VALUE"""),"กุลิสรา ตุ่นคำ")</f>
        <v>กุลิสรา ตุ่นคำ</v>
      </c>
      <c r="G98" s="3" t="str">
        <f>IFERROR(__xludf.DUMMYFUNCTION("""COMPUTED_VALUE"""),"ช่วยเหลืองานภายใน วพอ.")</f>
        <v>ช่วยเหลืองานภายใน วพอ.</v>
      </c>
      <c r="H98" s="3" t="str">
        <f>IFERROR(__xludf.DUMMYFUNCTION("""COMPUTED_VALUE"""),"ดุริยางค์")</f>
        <v>ดุริยางค์</v>
      </c>
      <c r="I98" s="3" t="str">
        <f>IFERROR(__xludf.DUMMYFUNCTION("""COMPUTED_VALUE"""),"วิทยาลัยพยาบาลทหารอากาศ")</f>
        <v>วิทยาลัยพยาบาลทหารอากาศ</v>
      </c>
      <c r="J98" s="12">
        <f>IFERROR(__xludf.DUMMYFUNCTION("""COMPUTED_VALUE"""),45951.0)</f>
        <v>45951</v>
      </c>
      <c r="K98" s="3" t="str">
        <f>IFERROR(__xludf.DUMMYFUNCTION("""COMPUTED_VALUE"""),"7.20")</f>
        <v>7.20</v>
      </c>
      <c r="L98" s="3">
        <f>IFERROR(__xludf.DUMMYFUNCTION("""COMPUTED_VALUE"""),1.0)</f>
        <v>1</v>
      </c>
      <c r="M98" s="3" t="str">
        <f>IFERROR(__xludf.DUMMYFUNCTION("""COMPUTED_VALUE"""),"ร.อ.อนุชิต ทำจะดี")</f>
        <v>ร.อ.อนุชิต ทำจะดี</v>
      </c>
      <c r="N98" s="14" t="str">
        <f>IFERROR(__xludf.DUMMYFUNCTION("""COMPUTED_VALUE"""),"https://lh5.googleusercontent.com/d/1pG6xfR22PwKgw9-vzn9reu5OfUvCkziq")</f>
        <v>https://lh5.googleusercontent.com/d/1pG6xfR22PwKgw9-vzn9reu5OfUvCkziq</v>
      </c>
      <c r="O98" s="14" t="str">
        <f>IFERROR(__xludf.DUMMYFUNCTION("""COMPUTED_VALUE"""),"https://drive.google.com/file/d/1nbUW8LRScLY1jH4_Aik9CucVclWCnuyo/view?usp=drivesdk")</f>
        <v>https://drive.google.com/file/d/1nbUW8LRScLY1jH4_Aik9CucVclWCnuyo/view?usp=drivesdk</v>
      </c>
    </row>
    <row r="99">
      <c r="A99" s="3">
        <f>IFERROR(__xludf.DUMMYFUNCTION("""COMPUTED_VALUE"""),878.0)</f>
        <v>878</v>
      </c>
      <c r="B99" s="11">
        <f>IFERROR(__xludf.DUMMYFUNCTION("""COMPUTED_VALUE"""),45991.925746064815)</f>
        <v>45991.92575</v>
      </c>
      <c r="C99" s="3" t="str">
        <f>IFERROR(__xludf.DUMMYFUNCTION("""COMPUTED_VALUE"""),"ชั้นปีที่ 1")</f>
        <v>ชั้นปีที่ 1</v>
      </c>
      <c r="D99" s="3" t="str">
        <f>IFERROR(__xludf.DUMMYFUNCTION("""COMPUTED_VALUE"""),"6803898")</f>
        <v>6803898</v>
      </c>
      <c r="E99" s="3" t="str">
        <f>IFERROR(__xludf.DUMMYFUNCTION("""COMPUTED_VALUE"""),"17")</f>
        <v>17</v>
      </c>
      <c r="F99" s="3" t="str">
        <f>IFERROR(__xludf.DUMMYFUNCTION("""COMPUTED_VALUE"""),"นพอ.ณัฐณิชา ทิพย์โอสถ")</f>
        <v>นพอ.ณัฐณิชา ทิพย์โอสถ</v>
      </c>
      <c r="G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9" s="3" t="str">
        <f>IFERROR(__xludf.DUMMYFUNCTION("""COMPUTED_VALUE"""),"อบรมไซเบอร์")</f>
        <v>อบรมไซเบอร์</v>
      </c>
      <c r="I99" s="3" t="str">
        <f>IFERROR(__xludf.DUMMYFUNCTION("""COMPUTED_VALUE"""),"บก.ทท.")</f>
        <v>บก.ทท.</v>
      </c>
      <c r="J99" s="12">
        <f>IFERROR(__xludf.DUMMYFUNCTION("""COMPUTED_VALUE"""),45907.0)</f>
        <v>45907</v>
      </c>
      <c r="K99" s="3" t="str">
        <f>IFERROR(__xludf.DUMMYFUNCTION("""COMPUTED_VALUE"""),"0800-1600")</f>
        <v>0800-1600</v>
      </c>
      <c r="L99" s="3">
        <f>IFERROR(__xludf.DUMMYFUNCTION("""COMPUTED_VALUE"""),8.0)</f>
        <v>8</v>
      </c>
      <c r="M99" s="3" t="str">
        <f>IFERROR(__xludf.DUMMYFUNCTION("""COMPUTED_VALUE"""),"ร.อ.อนุชิต ทำจะดี")</f>
        <v>ร.อ.อนุชิต ทำจะดี</v>
      </c>
      <c r="N99" s="14" t="str">
        <f>IFERROR(__xludf.DUMMYFUNCTION("""COMPUTED_VALUE"""),"https://lh5.googleusercontent.com/d/16QYJtUUH-TWEja_EjxxVD8lSbdATJrCj")</f>
        <v>https://lh5.googleusercontent.com/d/16QYJtUUH-TWEja_EjxxVD8lSbdATJrCj</v>
      </c>
      <c r="O99" s="14" t="str">
        <f>IFERROR(__xludf.DUMMYFUNCTION("""COMPUTED_VALUE"""),"https://drive.google.com/file/d/1TU3sdEa8-hzwmKUdJ6ya_bbFhQmMFgMx/view?usp=drivesdk")</f>
        <v>https://drive.google.com/file/d/1TU3sdEa8-hzwmKUdJ6ya_bbFhQmMFgMx/view?usp=drivesdk</v>
      </c>
    </row>
    <row r="100">
      <c r="A100" s="3">
        <f>IFERROR(__xludf.DUMMYFUNCTION("""COMPUTED_VALUE"""),885.0)</f>
        <v>885</v>
      </c>
      <c r="B100" s="11">
        <f>IFERROR(__xludf.DUMMYFUNCTION("""COMPUTED_VALUE"""),45991.929312210654)</f>
        <v>45991.92931</v>
      </c>
      <c r="C100" s="3" t="str">
        <f>IFERROR(__xludf.DUMMYFUNCTION("""COMPUTED_VALUE"""),"ชั้นปีที่ 1")</f>
        <v>ชั้นปีที่ 1</v>
      </c>
      <c r="D100" s="3" t="str">
        <f>IFERROR(__xludf.DUMMYFUNCTION("""COMPUTED_VALUE"""),"6803898")</f>
        <v>6803898</v>
      </c>
      <c r="E100" s="3" t="str">
        <f>IFERROR(__xludf.DUMMYFUNCTION("""COMPUTED_VALUE"""),"17")</f>
        <v>17</v>
      </c>
      <c r="F100" s="3" t="str">
        <f>IFERROR(__xludf.DUMMYFUNCTION("""COMPUTED_VALUE"""),"ณัฐณิชา ทิพย์โอสถ")</f>
        <v>ณัฐณิชา ทิพย์โอสถ</v>
      </c>
      <c r="G100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00" s="3" t="str">
        <f>IFERROR(__xludf.DUMMYFUNCTION("""COMPUTED_VALUE"""),"Big Cleaning Day")</f>
        <v>Big Cleaning Day</v>
      </c>
      <c r="I100" s="3" t="str">
        <f>IFERROR(__xludf.DUMMYFUNCTION("""COMPUTED_VALUE"""),"วิทยาลัยพยาบาลทหารอากาศ")</f>
        <v>วิทยาลัยพยาบาลทหารอากาศ</v>
      </c>
      <c r="J100" s="12">
        <f>IFERROR(__xludf.DUMMYFUNCTION("""COMPUTED_VALUE"""),45875.0)</f>
        <v>45875</v>
      </c>
      <c r="K100" s="3" t="str">
        <f>IFERROR(__xludf.DUMMYFUNCTION("""COMPUTED_VALUE"""),"0800-1200")</f>
        <v>0800-1200</v>
      </c>
      <c r="L100" s="3">
        <f>IFERROR(__xludf.DUMMYFUNCTION("""COMPUTED_VALUE"""),8.0)</f>
        <v>8</v>
      </c>
      <c r="M100" s="3" t="str">
        <f>IFERROR(__xludf.DUMMYFUNCTION("""COMPUTED_VALUE"""),"น.ต.ศักชัย บุญประสิทธิ์")</f>
        <v>น.ต.ศักชัย บุญประสิทธิ์</v>
      </c>
      <c r="N100" s="14" t="str">
        <f>IFERROR(__xludf.DUMMYFUNCTION("""COMPUTED_VALUE"""),"https://lh5.googleusercontent.com/d/1rRDSyBsvA-9H6RIQFTOYppoUE2AeKLRC")</f>
        <v>https://lh5.googleusercontent.com/d/1rRDSyBsvA-9H6RIQFTOYppoUE2AeKLRC</v>
      </c>
      <c r="O100" s="14" t="str">
        <f>IFERROR(__xludf.DUMMYFUNCTION("""COMPUTED_VALUE"""),"https://drive.google.com/file/d/17q88yrv0OAhAIZFRR9ao0_6AL_6VWOyI/view?usp=drivesdk")</f>
        <v>https://drive.google.com/file/d/17q88yrv0OAhAIZFRR9ao0_6AL_6VWOyI/view?usp=drivesdk</v>
      </c>
    </row>
    <row r="101">
      <c r="A101" s="3">
        <f>IFERROR(__xludf.DUMMYFUNCTION("""COMPUTED_VALUE"""),886.0)</f>
        <v>886</v>
      </c>
      <c r="B101" s="11">
        <f>IFERROR(__xludf.DUMMYFUNCTION("""COMPUTED_VALUE"""),45991.92937763889)</f>
        <v>45991.92938</v>
      </c>
      <c r="C101" s="3" t="str">
        <f>IFERROR(__xludf.DUMMYFUNCTION("""COMPUTED_VALUE"""),"ชั้นปีที่ 1")</f>
        <v>ชั้นปีที่ 1</v>
      </c>
      <c r="D101" s="3" t="str">
        <f>IFERROR(__xludf.DUMMYFUNCTION("""COMPUTED_VALUE"""),"6803895")</f>
        <v>6803895</v>
      </c>
      <c r="E101" s="3" t="str">
        <f>IFERROR(__xludf.DUMMYFUNCTION("""COMPUTED_VALUE"""),"14")</f>
        <v>14</v>
      </c>
      <c r="F101" s="3" t="str">
        <f>IFERROR(__xludf.DUMMYFUNCTION("""COMPUTED_VALUE"""),"นพอ.ณัชชา ยอดรัตน์")</f>
        <v>นพอ.ณัชชา ยอดรัตน์</v>
      </c>
      <c r="G101" s="3" t="str">
        <f>IFERROR(__xludf.DUMMYFUNCTION("""COMPUTED_VALUE"""),"ทำนุบำรุงศาสนสถาน")</f>
        <v>ทำนุบำรุงศาสนสถาน</v>
      </c>
      <c r="H101" s="3" t="str">
        <f>IFERROR(__xludf.DUMMYFUNCTION("""COMPUTED_VALUE"""),"กวาดศาลาวัดหนองผักชี")</f>
        <v>กวาดศาลาวัดหนองผักชี</v>
      </c>
      <c r="I101" s="3" t="str">
        <f>IFERROR(__xludf.DUMMYFUNCTION("""COMPUTED_VALUE"""),"วัดหนองผักชี")</f>
        <v>วัดหนองผักชี</v>
      </c>
      <c r="J101" s="12">
        <f>IFERROR(__xludf.DUMMYFUNCTION("""COMPUTED_VALUE"""),45991.0)</f>
        <v>45991</v>
      </c>
      <c r="K101" s="3" t="str">
        <f>IFERROR(__xludf.DUMMYFUNCTION("""COMPUTED_VALUE"""),"8.00-12.00 น.")</f>
        <v>8.00-12.00 น.</v>
      </c>
      <c r="L101" s="3">
        <f>IFERROR(__xludf.DUMMYFUNCTION("""COMPUTED_VALUE"""),4.0)</f>
        <v>4</v>
      </c>
      <c r="M101" s="3" t="str">
        <f>IFERROR(__xludf.DUMMYFUNCTION("""COMPUTED_VALUE"""),"นางสาวสกาวรัตน์ ย้อยฝอย")</f>
        <v>นางสาวสกาวรัตน์ ย้อยฝอย</v>
      </c>
      <c r="N101" s="14" t="str">
        <f>IFERROR(__xludf.DUMMYFUNCTION("""COMPUTED_VALUE"""),"https://lh5.googleusercontent.com/d/1v-7Dd6wtBWB8kh6r8mhjKy3sgrzksT9K")</f>
        <v>https://lh5.googleusercontent.com/d/1v-7Dd6wtBWB8kh6r8mhjKy3sgrzksT9K</v>
      </c>
      <c r="O101" s="14" t="str">
        <f>IFERROR(__xludf.DUMMYFUNCTION("""COMPUTED_VALUE"""),"https://drive.google.com/file/d/1jVhmgG2Hjb8zaShJ4vLnpC5U9hulzjZD/view?usp=drivesdk")</f>
        <v>https://drive.google.com/file/d/1jVhmgG2Hjb8zaShJ4vLnpC5U9hulzjZD/view?usp=drivesdk</v>
      </c>
    </row>
    <row r="102">
      <c r="A102" s="3">
        <f>IFERROR(__xludf.DUMMYFUNCTION("""COMPUTED_VALUE"""),891.0)</f>
        <v>891</v>
      </c>
      <c r="B102" s="11">
        <f>IFERROR(__xludf.DUMMYFUNCTION("""COMPUTED_VALUE"""),45991.931999733795)</f>
        <v>45991.932</v>
      </c>
      <c r="C102" s="3" t="str">
        <f>IFERROR(__xludf.DUMMYFUNCTION("""COMPUTED_VALUE"""),"ชั้นปีที่ 1")</f>
        <v>ชั้นปีที่ 1</v>
      </c>
      <c r="D102" s="3" t="str">
        <f>IFERROR(__xludf.DUMMYFUNCTION("""COMPUTED_VALUE"""),"6803911")</f>
        <v>6803911</v>
      </c>
      <c r="E102" s="3" t="str">
        <f>IFERROR(__xludf.DUMMYFUNCTION("""COMPUTED_VALUE"""),"30")</f>
        <v>30</v>
      </c>
      <c r="F102" s="3" t="str">
        <f>IFERROR(__xludf.DUMMYFUNCTION("""COMPUTED_VALUE"""),"นายิกา นกแก้ว")</f>
        <v>นายิกา นกแก้ว</v>
      </c>
      <c r="G102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02" s="3" t="str">
        <f>IFERROR(__xludf.DUMMYFUNCTION("""COMPUTED_VALUE"""),"พยาบาลไทยบริจาคโลหิต ช่วจชีวิตเพื่อนมนุษย์ ปี4")</f>
        <v>พยาบาลไทยบริจาคโลหิต ช่วจชีวิตเพื่อนมนุษย์ ปี4</v>
      </c>
      <c r="I102" s="3" t="str">
        <f>IFERROR(__xludf.DUMMYFUNCTION("""COMPUTED_VALUE"""),"สภากาชาดไทย")</f>
        <v>สภากาชาดไทย</v>
      </c>
      <c r="J102" s="12">
        <f>IFERROR(__xludf.DUMMYFUNCTION("""COMPUTED_VALUE"""),45977.0)</f>
        <v>45977</v>
      </c>
      <c r="K102" s="3" t="str">
        <f>IFERROR(__xludf.DUMMYFUNCTION("""COMPUTED_VALUE"""),"0800-1200")</f>
        <v>0800-1200</v>
      </c>
      <c r="L102" s="3">
        <f>IFERROR(__xludf.DUMMYFUNCTION("""COMPUTED_VALUE"""),8.0)</f>
        <v>8</v>
      </c>
      <c r="M102" s="3" t="str">
        <f>IFERROR(__xludf.DUMMYFUNCTION("""COMPUTED_VALUE"""),"น.ท.อนุกูล บำรุงวงค์")</f>
        <v>น.ท.อนุกูล บำรุงวงค์</v>
      </c>
      <c r="N102" s="14" t="str">
        <f>IFERROR(__xludf.DUMMYFUNCTION("""COMPUTED_VALUE"""),"https://lh5.googleusercontent.com/d/1C3UMyCfAtos5ohteD88hf23zbeyly46J")</f>
        <v>https://lh5.googleusercontent.com/d/1C3UMyCfAtos5ohteD88hf23zbeyly46J</v>
      </c>
      <c r="O102" s="14" t="str">
        <f>IFERROR(__xludf.DUMMYFUNCTION("""COMPUTED_VALUE"""),"https://drive.google.com/file/d/1THCVZAinkt2BIRnNOQOBIlXRRYqDyGBJ/view?usp=drivesdk")</f>
        <v>https://drive.google.com/file/d/1THCVZAinkt2BIRnNOQOBIlXRRYqDyGBJ/view?usp=drivesdk</v>
      </c>
    </row>
    <row r="103">
      <c r="A103" s="3">
        <f>IFERROR(__xludf.DUMMYFUNCTION("""COMPUTED_VALUE"""),895.0)</f>
        <v>895</v>
      </c>
      <c r="B103" s="11">
        <f>IFERROR(__xludf.DUMMYFUNCTION("""COMPUTED_VALUE"""),45991.93342613426)</f>
        <v>45991.93343</v>
      </c>
      <c r="C103" s="3" t="str">
        <f>IFERROR(__xludf.DUMMYFUNCTION("""COMPUTED_VALUE"""),"ชั้นปีที่ 1")</f>
        <v>ชั้นปีที่ 1</v>
      </c>
      <c r="D103" s="3" t="str">
        <f>IFERROR(__xludf.DUMMYFUNCTION("""COMPUTED_VALUE"""),"6803900")</f>
        <v>6803900</v>
      </c>
      <c r="E103" s="3" t="str">
        <f>IFERROR(__xludf.DUMMYFUNCTION("""COMPUTED_VALUE"""),"19")</f>
        <v>19</v>
      </c>
      <c r="F103" s="3" t="str">
        <f>IFERROR(__xludf.DUMMYFUNCTION("""COMPUTED_VALUE"""),"นพอ.ณัฐพัชร์ กาฬพรรณลึก")</f>
        <v>นพอ.ณัฐพัชร์ กาฬพรรณลึก</v>
      </c>
      <c r="G10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03" s="3" t="str">
        <f>IFERROR(__xludf.DUMMYFUNCTION("""COMPUTED_VALUE"""),"Meet the Youth Cyber Guardians Thailand 2025")</f>
        <v>Meet the Youth Cyber Guardians Thailand 2025</v>
      </c>
      <c r="I103" s="3" t="str">
        <f>IFERROR(__xludf.DUMMYFUNCTION("""COMPUTED_VALUE"""),"อาคาร 15 กองบัญชาการกองทัพไทย")</f>
        <v>อาคาร 15 กองบัญชาการกองทัพไทย</v>
      </c>
      <c r="J103" s="12">
        <f>IFERROR(__xludf.DUMMYFUNCTION("""COMPUTED_VALUE"""),45907.0)</f>
        <v>45907</v>
      </c>
      <c r="K103" s="3" t="str">
        <f>IFERROR(__xludf.DUMMYFUNCTION("""COMPUTED_VALUE"""),"0800-1600")</f>
        <v>0800-1600</v>
      </c>
      <c r="L103" s="3">
        <f>IFERROR(__xludf.DUMMYFUNCTION("""COMPUTED_VALUE"""),8.0)</f>
        <v>8</v>
      </c>
      <c r="M103" s="3" t="str">
        <f>IFERROR(__xludf.DUMMYFUNCTION("""COMPUTED_VALUE"""),"เรืออากาศเอก อนุชิต ทำจะดี")</f>
        <v>เรืออากาศเอก อนุชิต ทำจะดี</v>
      </c>
      <c r="N103" s="14" t="str">
        <f>IFERROR(__xludf.DUMMYFUNCTION("""COMPUTED_VALUE"""),"https://lh5.googleusercontent.com/d/1YWw_M0yulcOT2KweZnNeAJZKSLEPxWjk")</f>
        <v>https://lh5.googleusercontent.com/d/1YWw_M0yulcOT2KweZnNeAJZKSLEPxWjk</v>
      </c>
      <c r="O103" s="14" t="str">
        <f>IFERROR(__xludf.DUMMYFUNCTION("""COMPUTED_VALUE"""),"https://drive.google.com/file/d/1GsLVgKG71oZbvkwqL96Rd8o30AUjMnhC/view?usp=drivesdk")</f>
        <v>https://drive.google.com/file/d/1GsLVgKG71oZbvkwqL96Rd8o30AUjMnhC/view?usp=drivesdk</v>
      </c>
    </row>
    <row r="104">
      <c r="A104" s="3">
        <f>IFERROR(__xludf.DUMMYFUNCTION("""COMPUTED_VALUE"""),896.0)</f>
        <v>896</v>
      </c>
      <c r="B104" s="11">
        <f>IFERROR(__xludf.DUMMYFUNCTION("""COMPUTED_VALUE"""),45991.933504745364)</f>
        <v>45991.9335</v>
      </c>
      <c r="C104" s="3" t="str">
        <f>IFERROR(__xludf.DUMMYFUNCTION("""COMPUTED_VALUE"""),"ชั้นปีที่ 1")</f>
        <v>ชั้นปีที่ 1</v>
      </c>
      <c r="D104" s="3" t="str">
        <f>IFERROR(__xludf.DUMMYFUNCTION("""COMPUTED_VALUE"""),"6803907")</f>
        <v>6803907</v>
      </c>
      <c r="E104" s="3" t="str">
        <f>IFERROR(__xludf.DUMMYFUNCTION("""COMPUTED_VALUE"""),"26")</f>
        <v>26</v>
      </c>
      <c r="F104" s="3" t="str">
        <f>IFERROR(__xludf.DUMMYFUNCTION("""COMPUTED_VALUE"""),"ธีราพร  ประสิทธิภาพ")</f>
        <v>ธีราพร  ประสิทธิภาพ</v>
      </c>
      <c r="G10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04" s="3" t="str">
        <f>IFERROR(__xludf.DUMMYFUNCTION("""COMPUTED_VALUE"""),"บริจาคโลหิต")</f>
        <v>บริจาคโลหิต</v>
      </c>
      <c r="I104" s="3" t="str">
        <f>IFERROR(__xludf.DUMMYFUNCTION("""COMPUTED_VALUE"""),"สภากาชาดไทย")</f>
        <v>สภากาชาดไทย</v>
      </c>
      <c r="J104" s="12">
        <f>IFERROR(__xludf.DUMMYFUNCTION("""COMPUTED_VALUE"""),45951.0)</f>
        <v>45951</v>
      </c>
      <c r="K104" s="3" t="str">
        <f>IFERROR(__xludf.DUMMYFUNCTION("""COMPUTED_VALUE"""),"09:00")</f>
        <v>09:00</v>
      </c>
      <c r="L104" s="3">
        <f>IFERROR(__xludf.DUMMYFUNCTION("""COMPUTED_VALUE"""),8.0)</f>
        <v>8</v>
      </c>
      <c r="M104" s="3" t="str">
        <f>IFERROR(__xludf.DUMMYFUNCTION("""COMPUTED_VALUE"""),"น.ต. หญิง อนุกูล บำรุงวงศ์")</f>
        <v>น.ต. หญิง อนุกูล บำรุงวงศ์</v>
      </c>
      <c r="N104" s="14" t="str">
        <f>IFERROR(__xludf.DUMMYFUNCTION("""COMPUTED_VALUE"""),"https://lh5.googleusercontent.com/d/1CNvMybl4mV78bK1wlTGPGhyVeZzmS0ns")</f>
        <v>https://lh5.googleusercontent.com/d/1CNvMybl4mV78bK1wlTGPGhyVeZzmS0ns</v>
      </c>
      <c r="O104" s="3"/>
    </row>
    <row r="105">
      <c r="A105" s="3">
        <f>IFERROR(__xludf.DUMMYFUNCTION("""COMPUTED_VALUE"""),898.0)</f>
        <v>898</v>
      </c>
      <c r="B105" s="11">
        <f>IFERROR(__xludf.DUMMYFUNCTION("""COMPUTED_VALUE"""),45991.93471945601)</f>
        <v>45991.93472</v>
      </c>
      <c r="C105" s="3" t="str">
        <f>IFERROR(__xludf.DUMMYFUNCTION("""COMPUTED_VALUE"""),"ชั้นปีที่ 1")</f>
        <v>ชั้นปีที่ 1</v>
      </c>
      <c r="D105" s="3" t="str">
        <f>IFERROR(__xludf.DUMMYFUNCTION("""COMPUTED_VALUE"""),"6803906")</f>
        <v>6803906</v>
      </c>
      <c r="E105" s="3" t="str">
        <f>IFERROR(__xludf.DUMMYFUNCTION("""COMPUTED_VALUE"""),"25")</f>
        <v>25</v>
      </c>
      <c r="F105" s="3" t="str">
        <f>IFERROR(__xludf.DUMMYFUNCTION("""COMPUTED_VALUE"""),"นพอ.ธัญวรัตน์ ยงคะวิสัย")</f>
        <v>นพอ.ธัญวรัตน์ ยงคะวิสัย</v>
      </c>
      <c r="G105" s="3" t="str">
        <f>IFERROR(__xludf.DUMMYFUNCTION("""COMPUTED_VALUE"""),"ช่วยเหลืองานภายใน วพอ.")</f>
        <v>ช่วยเหลืองานภายใน วพอ.</v>
      </c>
      <c r="H105" s="3" t="str">
        <f>IFERROR(__xludf.DUMMYFUNCTION("""COMPUTED_VALUE"""),"เล่นดุริยางค์")</f>
        <v>เล่นดุริยางค์</v>
      </c>
      <c r="I105" s="3" t="str">
        <f>IFERROR(__xludf.DUMMYFUNCTION("""COMPUTED_VALUE"""),"วพอ.")</f>
        <v>วพอ.</v>
      </c>
      <c r="J105" s="12">
        <f>IFERROR(__xludf.DUMMYFUNCTION("""COMPUTED_VALUE"""),45973.0)</f>
        <v>45973</v>
      </c>
      <c r="K105" s="3" t="str">
        <f>IFERROR(__xludf.DUMMYFUNCTION("""COMPUTED_VALUE"""),"0737")</f>
        <v>0737</v>
      </c>
      <c r="L105" s="3">
        <f>IFERROR(__xludf.DUMMYFUNCTION("""COMPUTED_VALUE"""),1.0)</f>
        <v>1</v>
      </c>
      <c r="M105" s="3" t="str">
        <f>IFERROR(__xludf.DUMMYFUNCTION("""COMPUTED_VALUE"""),"ร.อ.อนุชิต ทำจะดี")</f>
        <v>ร.อ.อนุชิต ทำจะดี</v>
      </c>
      <c r="N105" s="14" t="str">
        <f>IFERROR(__xludf.DUMMYFUNCTION("""COMPUTED_VALUE"""),"https://lh5.googleusercontent.com/d/1xphOnxo5d-IU94vElqKoTLpsW_y89SA3")</f>
        <v>https://lh5.googleusercontent.com/d/1xphOnxo5d-IU94vElqKoTLpsW_y89SA3</v>
      </c>
      <c r="O105" s="14" t="str">
        <f>IFERROR(__xludf.DUMMYFUNCTION("""COMPUTED_VALUE"""),"https://drive.google.com/file/d/1B6_7nZDCmFhvNbSytEBQndFOUq5ClhjY/view?usp=drivesdk")</f>
        <v>https://drive.google.com/file/d/1B6_7nZDCmFhvNbSytEBQndFOUq5ClhjY/view?usp=drivesdk</v>
      </c>
    </row>
    <row r="106">
      <c r="A106" s="3">
        <f>IFERROR(__xludf.DUMMYFUNCTION("""COMPUTED_VALUE"""),901.0)</f>
        <v>901</v>
      </c>
      <c r="B106" s="11">
        <f>IFERROR(__xludf.DUMMYFUNCTION("""COMPUTED_VALUE"""),45991.93718357639)</f>
        <v>45991.93718</v>
      </c>
      <c r="C106" s="3" t="str">
        <f>IFERROR(__xludf.DUMMYFUNCTION("""COMPUTED_VALUE"""),"ชั้นปีที่ 1")</f>
        <v>ชั้นปีที่ 1</v>
      </c>
      <c r="D106" s="3" t="str">
        <f>IFERROR(__xludf.DUMMYFUNCTION("""COMPUTED_VALUE"""),"6803932")</f>
        <v>6803932</v>
      </c>
      <c r="E106" s="3" t="str">
        <f>IFERROR(__xludf.DUMMYFUNCTION("""COMPUTED_VALUE"""),"51")</f>
        <v>51</v>
      </c>
      <c r="F106" s="3" t="str">
        <f>IFERROR(__xludf.DUMMYFUNCTION("""COMPUTED_VALUE"""),"นพอ.รตนพร สินทรัพย์")</f>
        <v>นพอ.รตนพร สินทรัพย์</v>
      </c>
      <c r="G106" s="3" t="str">
        <f>IFERROR(__xludf.DUMMYFUNCTION("""COMPUTED_VALUE"""),"ทำนุบำรุงศาสนสถาน")</f>
        <v>ทำนุบำรุงศาสนสถาน</v>
      </c>
      <c r="H106" s="3" t="str">
        <f>IFERROR(__xludf.DUMMYFUNCTION("""COMPUTED_VALUE"""),"ช่วยเก็บของภายในศาลาวัด")</f>
        <v>ช่วยเก็บของภายในศาลาวัด</v>
      </c>
      <c r="I106" s="3" t="str">
        <f>IFERROR(__xludf.DUMMYFUNCTION("""COMPUTED_VALUE"""),"วัดสายอัมพันธ์เอมสาร")</f>
        <v>วัดสายอัมพันธ์เอมสาร</v>
      </c>
      <c r="J106" s="12">
        <f>IFERROR(__xludf.DUMMYFUNCTION("""COMPUTED_VALUE"""),45970.0)</f>
        <v>45970</v>
      </c>
      <c r="K106" s="3" t="str">
        <f>IFERROR(__xludf.DUMMYFUNCTION("""COMPUTED_VALUE"""),"0900-1300")</f>
        <v>0900-1300</v>
      </c>
      <c r="L106" s="3">
        <f>IFERROR(__xludf.DUMMYFUNCTION("""COMPUTED_VALUE"""),4.0)</f>
        <v>4</v>
      </c>
      <c r="M106" s="3" t="str">
        <f>IFERROR(__xludf.DUMMYFUNCTION("""COMPUTED_VALUE"""),"พระครูสัมพันธ์ปริยัติโฆสิต")</f>
        <v>พระครูสัมพันธ์ปริยัติโฆสิต</v>
      </c>
      <c r="N106" s="14" t="str">
        <f>IFERROR(__xludf.DUMMYFUNCTION("""COMPUTED_VALUE"""),"https://lh5.googleusercontent.com/d/1R54lh7cIa52XvZbi7kf9xyvqIa0LUxhS")</f>
        <v>https://lh5.googleusercontent.com/d/1R54lh7cIa52XvZbi7kf9xyvqIa0LUxhS</v>
      </c>
      <c r="O106" s="14" t="str">
        <f>IFERROR(__xludf.DUMMYFUNCTION("""COMPUTED_VALUE"""),"https://drive.google.com/file/d/1tpuCCvJmS-wkBnyJswr-eCmYPf3YUJKt/view?usp=drivesdk")</f>
        <v>https://drive.google.com/file/d/1tpuCCvJmS-wkBnyJswr-eCmYPf3YUJKt/view?usp=drivesdk</v>
      </c>
    </row>
    <row r="107">
      <c r="A107" s="3">
        <f>IFERROR(__xludf.DUMMYFUNCTION("""COMPUTED_VALUE"""),903.0)</f>
        <v>903</v>
      </c>
      <c r="B107" s="11">
        <f>IFERROR(__xludf.DUMMYFUNCTION("""COMPUTED_VALUE"""),45991.93982484954)</f>
        <v>45991.93982</v>
      </c>
      <c r="C107" s="3" t="str">
        <f>IFERROR(__xludf.DUMMYFUNCTION("""COMPUTED_VALUE"""),"ชั้นปีที่ 1")</f>
        <v>ชั้นปีที่ 1</v>
      </c>
      <c r="D107" s="3" t="str">
        <f>IFERROR(__xludf.DUMMYFUNCTION("""COMPUTED_VALUE"""),"6803932")</f>
        <v>6803932</v>
      </c>
      <c r="E107" s="3" t="str">
        <f>IFERROR(__xludf.DUMMYFUNCTION("""COMPUTED_VALUE"""),"51")</f>
        <v>51</v>
      </c>
      <c r="F107" s="3" t="str">
        <f>IFERROR(__xludf.DUMMYFUNCTION("""COMPUTED_VALUE"""),"นพอ.รตนพร สินทรัพย์")</f>
        <v>นพอ.รตนพร สินทรัพย์</v>
      </c>
      <c r="G107" s="3" t="str">
        <f>IFERROR(__xludf.DUMMYFUNCTION("""COMPUTED_VALUE"""),"งานฟรีทั่วไป")</f>
        <v>งานฟรีทั่วไป</v>
      </c>
      <c r="H107" s="3" t="str">
        <f>IFERROR(__xludf.DUMMYFUNCTION("""COMPUTED_VALUE"""),"ตากผ้า ซักผ้า ทำงานบ้าน")</f>
        <v>ตากผ้า ซักผ้า ทำงานบ้าน</v>
      </c>
      <c r="I107" s="3" t="str">
        <f>IFERROR(__xludf.DUMMYFUNCTION("""COMPUTED_VALUE"""),"บ้าน")</f>
        <v>บ้าน</v>
      </c>
      <c r="J107" s="12">
        <f>IFERROR(__xludf.DUMMYFUNCTION("""COMPUTED_VALUE"""),45976.0)</f>
        <v>45976</v>
      </c>
      <c r="K107" s="3" t="str">
        <f>IFERROR(__xludf.DUMMYFUNCTION("""COMPUTED_VALUE"""),"0700-1100")</f>
        <v>0700-1100</v>
      </c>
      <c r="L107" s="3">
        <f>IFERROR(__xludf.DUMMYFUNCTION("""COMPUTED_VALUE"""),4.0)</f>
        <v>4</v>
      </c>
      <c r="M107" s="3" t="str">
        <f>IFERROR(__xludf.DUMMYFUNCTION("""COMPUTED_VALUE"""),"นางพรรษสรณ์ สินทรัพย์")</f>
        <v>นางพรรษสรณ์ สินทรัพย์</v>
      </c>
      <c r="N107" s="14" t="str">
        <f>IFERROR(__xludf.DUMMYFUNCTION("""COMPUTED_VALUE"""),"https://lh5.googleusercontent.com/d/1O-Fmb8WzuP46MZrfRY6B0F2kNO5qltob")</f>
        <v>https://lh5.googleusercontent.com/d/1O-Fmb8WzuP46MZrfRY6B0F2kNO5qltob</v>
      </c>
      <c r="O107" s="14" t="str">
        <f>IFERROR(__xludf.DUMMYFUNCTION("""COMPUTED_VALUE"""),"https://drive.google.com/file/d/1f6LzRIjpVTxUFhwSJ6h1nGWoHsrqSIUk/view?usp=drivesdk")</f>
        <v>https://drive.google.com/file/d/1f6LzRIjpVTxUFhwSJ6h1nGWoHsrqSIUk/view?usp=drivesdk</v>
      </c>
    </row>
    <row r="108">
      <c r="A108" s="3">
        <f>IFERROR(__xludf.DUMMYFUNCTION("""COMPUTED_VALUE"""),909.0)</f>
        <v>909</v>
      </c>
      <c r="B108" s="11">
        <f>IFERROR(__xludf.DUMMYFUNCTION("""COMPUTED_VALUE"""),45991.94805384259)</f>
        <v>45991.94805</v>
      </c>
      <c r="C108" s="3" t="str">
        <f>IFERROR(__xludf.DUMMYFUNCTION("""COMPUTED_VALUE"""),"ชั้นปีที่ 1")</f>
        <v>ชั้นปีที่ 1</v>
      </c>
      <c r="D108" s="3" t="str">
        <f>IFERROR(__xludf.DUMMYFUNCTION("""COMPUTED_VALUE"""),"6803900")</f>
        <v>6803900</v>
      </c>
      <c r="E108" s="3" t="str">
        <f>IFERROR(__xludf.DUMMYFUNCTION("""COMPUTED_VALUE"""),"19")</f>
        <v>19</v>
      </c>
      <c r="F108" s="3" t="str">
        <f>IFERROR(__xludf.DUMMYFUNCTION("""COMPUTED_VALUE"""),"นพอ.ณัฐพัชร์ กาฬพรรณลึก")</f>
        <v>นพอ.ณัฐพัชร์ กาฬพรรณลึก</v>
      </c>
      <c r="G108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08" s="3" t="str">
        <f>IFERROR(__xludf.DUMMYFUNCTION("""COMPUTED_VALUE"""),"Big Cleaning ")</f>
        <v>Big Cleaning </v>
      </c>
      <c r="I108" s="3" t="str">
        <f>IFERROR(__xludf.DUMMYFUNCTION("""COMPUTED_VALUE"""),"วิทยาลัยพยาบาลทหารอากาศ")</f>
        <v>วิทยาลัยพยาบาลทหารอากาศ</v>
      </c>
      <c r="J108" s="12">
        <f>IFERROR(__xludf.DUMMYFUNCTION("""COMPUTED_VALUE"""),45875.0)</f>
        <v>45875</v>
      </c>
      <c r="K108" s="3" t="str">
        <f>IFERROR(__xludf.DUMMYFUNCTION("""COMPUTED_VALUE"""),"0800-1600")</f>
        <v>0800-1600</v>
      </c>
      <c r="L108" s="3">
        <f>IFERROR(__xludf.DUMMYFUNCTION("""COMPUTED_VALUE"""),8.0)</f>
        <v>8</v>
      </c>
      <c r="M108" s="3" t="str">
        <f>IFERROR(__xludf.DUMMYFUNCTION("""COMPUTED_VALUE"""),"นาวาอากาศตรี ศักชัย บุญประสิทธิ์")</f>
        <v>นาวาอากาศตรี ศักชัย บุญประสิทธิ์</v>
      </c>
      <c r="N108" s="14" t="str">
        <f>IFERROR(__xludf.DUMMYFUNCTION("""COMPUTED_VALUE"""),"https://lh5.googleusercontent.com/d/1fqTOYA9P3VSee85lmlFgs1lv3055YU9N")</f>
        <v>https://lh5.googleusercontent.com/d/1fqTOYA9P3VSee85lmlFgs1lv3055YU9N</v>
      </c>
      <c r="O108" s="14" t="str">
        <f>IFERROR(__xludf.DUMMYFUNCTION("""COMPUTED_VALUE"""),"https://drive.google.com/file/d/13mUOW99v49a0fZQXaQtvBsDWo8uS8b_h/view?usp=drivesdk")</f>
        <v>https://drive.google.com/file/d/13mUOW99v49a0fZQXaQtvBsDWo8uS8b_h/view?usp=drivesdk</v>
      </c>
    </row>
    <row r="109">
      <c r="A109" s="3">
        <f>IFERROR(__xludf.DUMMYFUNCTION("""COMPUTED_VALUE"""),920.0)</f>
        <v>920</v>
      </c>
      <c r="B109" s="11">
        <f>IFERROR(__xludf.DUMMYFUNCTION("""COMPUTED_VALUE"""),45991.95279365741)</f>
        <v>45991.95279</v>
      </c>
      <c r="C109" s="3" t="str">
        <f>IFERROR(__xludf.DUMMYFUNCTION("""COMPUTED_VALUE"""),"ชั้นปีที่ 1")</f>
        <v>ชั้นปีที่ 1</v>
      </c>
      <c r="D109" s="3" t="str">
        <f>IFERROR(__xludf.DUMMYFUNCTION("""COMPUTED_VALUE"""),"6803884")</f>
        <v>6803884</v>
      </c>
      <c r="E109" s="3" t="str">
        <f>IFERROR(__xludf.DUMMYFUNCTION("""COMPUTED_VALUE"""),"3")</f>
        <v>3</v>
      </c>
      <c r="F109" s="3" t="str">
        <f>IFERROR(__xludf.DUMMYFUNCTION("""COMPUTED_VALUE"""),"นพอ.กรองทอง กันฟัก")</f>
        <v>นพอ.กรองทอง กันฟัก</v>
      </c>
      <c r="G109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09" s="3" t="str">
        <f>IFERROR(__xludf.DUMMYFUNCTION("""COMPUTED_VALUE"""),"ลงนามถวายความอาลัยพระพันปีหลวง")</f>
        <v>ลงนามถวายความอาลัยพระพันปีหลวง</v>
      </c>
      <c r="I109" s="3" t="str">
        <f>IFERROR(__xludf.DUMMYFUNCTION("""COMPUTED_VALUE"""),"วพอ.พอ.")</f>
        <v>วพอ.พอ.</v>
      </c>
      <c r="J109" s="12">
        <f>IFERROR(__xludf.DUMMYFUNCTION("""COMPUTED_VALUE"""),45989.0)</f>
        <v>45989</v>
      </c>
      <c r="K109" s="3" t="str">
        <f>IFERROR(__xludf.DUMMYFUNCTION("""COMPUTED_VALUE"""),"13.20 น.")</f>
        <v>13.20 น.</v>
      </c>
      <c r="L109" s="3">
        <f>IFERROR(__xludf.DUMMYFUNCTION("""COMPUTED_VALUE"""),1.0)</f>
        <v>1</v>
      </c>
      <c r="M109" s="3" t="str">
        <f>IFERROR(__xludf.DUMMYFUNCTION("""COMPUTED_VALUE"""),"-")</f>
        <v>-</v>
      </c>
      <c r="N109" s="14" t="str">
        <f>IFERROR(__xludf.DUMMYFUNCTION("""COMPUTED_VALUE"""),"https://lh5.googleusercontent.com/d/1TYtBgG9rkTicvcDqAdFbBQUB34RC8ujr")</f>
        <v>https://lh5.googleusercontent.com/d/1TYtBgG9rkTicvcDqAdFbBQUB34RC8ujr</v>
      </c>
      <c r="O109" s="14" t="str">
        <f>IFERROR(__xludf.DUMMYFUNCTION("""COMPUTED_VALUE"""),"https://drive.google.com/file/d/1otYqSYJ9KF-C36WDTJbDNcQJzd5MWKdb/view?usp=drivesdk")</f>
        <v>https://drive.google.com/file/d/1otYqSYJ9KF-C36WDTJbDNcQJzd5MWKdb/view?usp=drivesdk</v>
      </c>
    </row>
    <row r="110">
      <c r="A110" s="3">
        <f>IFERROR(__xludf.DUMMYFUNCTION("""COMPUTED_VALUE"""),924.0)</f>
        <v>924</v>
      </c>
      <c r="B110" s="11">
        <f>IFERROR(__xludf.DUMMYFUNCTION("""COMPUTED_VALUE"""),45991.955911805555)</f>
        <v>45991.95591</v>
      </c>
      <c r="C110" s="3" t="str">
        <f>IFERROR(__xludf.DUMMYFUNCTION("""COMPUTED_VALUE"""),"ชั้นปีที่ 1")</f>
        <v>ชั้นปีที่ 1</v>
      </c>
      <c r="D110" s="3" t="str">
        <f>IFERROR(__xludf.DUMMYFUNCTION("""COMPUTED_VALUE"""),"6803908")</f>
        <v>6803908</v>
      </c>
      <c r="E110" s="3" t="str">
        <f>IFERROR(__xludf.DUMMYFUNCTION("""COMPUTED_VALUE"""),"27")</f>
        <v>27</v>
      </c>
      <c r="F110" s="3" t="str">
        <f>IFERROR(__xludf.DUMMYFUNCTION("""COMPUTED_VALUE"""),"นพอ.นภัสสร บุญรัตน์")</f>
        <v>นพอ.นภัสสร บุญรัตน์</v>
      </c>
      <c r="G11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10" s="3" t="str">
        <f>IFERROR(__xludf.DUMMYFUNCTION("""COMPUTED_VALUE"""),"บริจาคโลหิต")</f>
        <v>บริจาคโลหิต</v>
      </c>
      <c r="I110" s="3" t="str">
        <f>IFERROR(__xludf.DUMMYFUNCTION("""COMPUTED_VALUE"""),"สภากาชาดไทย")</f>
        <v>สภากาชาดไทย</v>
      </c>
      <c r="J110" s="12">
        <f>IFERROR(__xludf.DUMMYFUNCTION("""COMPUTED_VALUE"""),45916.0)</f>
        <v>45916</v>
      </c>
      <c r="K110" s="3" t="str">
        <f>IFERROR(__xludf.DUMMYFUNCTION("""COMPUTED_VALUE"""),"1006")</f>
        <v>1006</v>
      </c>
      <c r="L110" s="3">
        <f>IFERROR(__xludf.DUMMYFUNCTION("""COMPUTED_VALUE"""),8.0)</f>
        <v>8</v>
      </c>
      <c r="M110" s="3" t="str">
        <f>IFERROR(__xludf.DUMMYFUNCTION("""COMPUTED_VALUE"""),"น.ต.หญิง อนุกูล บำรุงวงค์")</f>
        <v>น.ต.หญิง อนุกูล บำรุงวงค์</v>
      </c>
      <c r="N110" s="14" t="str">
        <f>IFERROR(__xludf.DUMMYFUNCTION("""COMPUTED_VALUE"""),"https://lh5.googleusercontent.com/d/1l8elnmUCFk0QuV6B2Ik0UthrA2nO7I8G")</f>
        <v>https://lh5.googleusercontent.com/d/1l8elnmUCFk0QuV6B2Ik0UthrA2nO7I8G</v>
      </c>
      <c r="O110" s="14" t="str">
        <f>IFERROR(__xludf.DUMMYFUNCTION("""COMPUTED_VALUE"""),"https://drive.google.com/file/d/1d6vdjaRGAFJFIVfRdP_pC7DPh4Z9TpEV/view?usp=drivesdk")</f>
        <v>https://drive.google.com/file/d/1d6vdjaRGAFJFIVfRdP_pC7DPh4Z9TpEV/view?usp=drivesdk</v>
      </c>
    </row>
    <row r="111">
      <c r="A111" s="3">
        <f>IFERROR(__xludf.DUMMYFUNCTION("""COMPUTED_VALUE"""),926.0)</f>
        <v>926</v>
      </c>
      <c r="B111" s="11">
        <f>IFERROR(__xludf.DUMMYFUNCTION("""COMPUTED_VALUE"""),45991.95840592592)</f>
        <v>45991.95841</v>
      </c>
      <c r="C111" s="3" t="str">
        <f>IFERROR(__xludf.DUMMYFUNCTION("""COMPUTED_VALUE"""),"ชั้นปีที่ 1")</f>
        <v>ชั้นปีที่ 1</v>
      </c>
      <c r="D111" s="3" t="str">
        <f>IFERROR(__xludf.DUMMYFUNCTION("""COMPUTED_VALUE"""),"6803910")</f>
        <v>6803910</v>
      </c>
      <c r="E111" s="3" t="str">
        <f>IFERROR(__xludf.DUMMYFUNCTION("""COMPUTED_VALUE"""),"29")</f>
        <v>29</v>
      </c>
      <c r="F111" s="3" t="str">
        <f>IFERROR(__xludf.DUMMYFUNCTION("""COMPUTED_VALUE"""),"นพอ.นวพร โอรัตนสถาพร")</f>
        <v>นพอ.นวพร โอรัตนสถาพร</v>
      </c>
      <c r="G111" s="3" t="str">
        <f>IFERROR(__xludf.DUMMYFUNCTION("""COMPUTED_VALUE"""),"ช่วยเหลืองานภายใน วพอ.")</f>
        <v>ช่วยเหลืองานภายใน วพอ.</v>
      </c>
      <c r="H111" s="3" t="str">
        <f>IFERROR(__xludf.DUMMYFUNCTION("""COMPUTED_VALUE"""),"เล่นดุริยางค์")</f>
        <v>เล่นดุริยางค์</v>
      </c>
      <c r="I111" s="3" t="str">
        <f>IFERROR(__xludf.DUMMYFUNCTION("""COMPUTED_VALUE"""),"วพอ.")</f>
        <v>วพอ.</v>
      </c>
      <c r="J111" s="12">
        <f>IFERROR(__xludf.DUMMYFUNCTION("""COMPUTED_VALUE"""),45964.0)</f>
        <v>45964</v>
      </c>
      <c r="K111" s="3" t="str">
        <f>IFERROR(__xludf.DUMMYFUNCTION("""COMPUTED_VALUE"""),"0700-0740")</f>
        <v>0700-0740</v>
      </c>
      <c r="L111" s="3">
        <f>IFERROR(__xludf.DUMMYFUNCTION("""COMPUTED_VALUE"""),1.0)</f>
        <v>1</v>
      </c>
      <c r="M111" s="3" t="str">
        <f>IFERROR(__xludf.DUMMYFUNCTION("""COMPUTED_VALUE"""),"ร.อ. อนุชิต ทำจะดี")</f>
        <v>ร.อ. อนุชิต ทำจะดี</v>
      </c>
      <c r="N111" s="14" t="str">
        <f>IFERROR(__xludf.DUMMYFUNCTION("""COMPUTED_VALUE"""),"https://lh5.googleusercontent.com/d/1EMSQO_uYsBJ1HGv7xV24q8AemXwmZhum")</f>
        <v>https://lh5.googleusercontent.com/d/1EMSQO_uYsBJ1HGv7xV24q8AemXwmZhum</v>
      </c>
      <c r="O111" s="14" t="str">
        <f>IFERROR(__xludf.DUMMYFUNCTION("""COMPUTED_VALUE"""),"https://drive.google.com/file/d/1vhibxCdIiiuXe5po8j56n8RhHx-CWXn8/view?usp=drivesdk")</f>
        <v>https://drive.google.com/file/d/1vhibxCdIiiuXe5po8j56n8RhHx-CWXn8/view?usp=drivesdk</v>
      </c>
    </row>
    <row r="112">
      <c r="A112" s="3">
        <f>IFERROR(__xludf.DUMMYFUNCTION("""COMPUTED_VALUE"""),930.0)</f>
        <v>930</v>
      </c>
      <c r="B112" s="11">
        <f>IFERROR(__xludf.DUMMYFUNCTION("""COMPUTED_VALUE"""),45991.96174131945)</f>
        <v>45991.96174</v>
      </c>
      <c r="C112" s="3" t="str">
        <f>IFERROR(__xludf.DUMMYFUNCTION("""COMPUTED_VALUE"""),"ชั้นปีที่ 1")</f>
        <v>ชั้นปีที่ 1</v>
      </c>
      <c r="D112" s="3" t="str">
        <f>IFERROR(__xludf.DUMMYFUNCTION("""COMPUTED_VALUE"""),"6803936")</f>
        <v>6803936</v>
      </c>
      <c r="E112" s="3" t="str">
        <f>IFERROR(__xludf.DUMMYFUNCTION("""COMPUTED_VALUE"""),"55")</f>
        <v>55</v>
      </c>
      <c r="F112" s="3" t="str">
        <f>IFERROR(__xludf.DUMMYFUNCTION("""COMPUTED_VALUE"""),"นพอ.ศศิชา แจ้งปกรณ์กิจ")</f>
        <v>นพอ.ศศิชา แจ้งปกรณ์กิจ</v>
      </c>
      <c r="G112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12" s="3" t="str">
        <f>IFERROR(__xludf.DUMMYFUNCTION("""COMPUTED_VALUE"""),"พยาบาลไทยบริจาคโลหิตช่วยชีวิตเพื่อนมนุษย์ปี 4")</f>
        <v>พยาบาลไทยบริจาคโลหิตช่วยชีวิตเพื่อนมนุษย์ปี 4</v>
      </c>
      <c r="I112" s="3" t="str">
        <f>IFERROR(__xludf.DUMMYFUNCTION("""COMPUTED_VALUE"""),"สภากาชาดไทย")</f>
        <v>สภากาชาดไทย</v>
      </c>
      <c r="J112" s="12">
        <f>IFERROR(__xludf.DUMMYFUNCTION("""COMPUTED_VALUE"""),45916.0)</f>
        <v>45916</v>
      </c>
      <c r="K112" s="3" t="str">
        <f>IFERROR(__xludf.DUMMYFUNCTION("""COMPUTED_VALUE"""),"09.23")</f>
        <v>09.23</v>
      </c>
      <c r="L112" s="3">
        <f>IFERROR(__xludf.DUMMYFUNCTION("""COMPUTED_VALUE"""),8.0)</f>
        <v>8</v>
      </c>
      <c r="M112" s="3" t="str">
        <f>IFERROR(__xludf.DUMMYFUNCTION("""COMPUTED_VALUE"""),"น.ท.หญิง อนุกูล บำรุงวงค์")</f>
        <v>น.ท.หญิง อนุกูล บำรุงวงค์</v>
      </c>
      <c r="N112" s="14" t="str">
        <f>IFERROR(__xludf.DUMMYFUNCTION("""COMPUTED_VALUE"""),"https://lh5.googleusercontent.com/d/15bRGMqnh-VNg7dlCb_iicpD1W6L0Ue95")</f>
        <v>https://lh5.googleusercontent.com/d/15bRGMqnh-VNg7dlCb_iicpD1W6L0Ue95</v>
      </c>
      <c r="O112" s="14" t="str">
        <f>IFERROR(__xludf.DUMMYFUNCTION("""COMPUTED_VALUE"""),"https://drive.google.com/file/d/1jB4K5joN4StibPmwKuFQUOaGzPA-UDQV/view?usp=drivesdk")</f>
        <v>https://drive.google.com/file/d/1jB4K5joN4StibPmwKuFQUOaGzPA-UDQV/view?usp=drivesdk</v>
      </c>
    </row>
    <row r="113">
      <c r="A113" s="3">
        <f>IFERROR(__xludf.DUMMYFUNCTION("""COMPUTED_VALUE"""),933.0)</f>
        <v>933</v>
      </c>
      <c r="B113" s="11">
        <f>IFERROR(__xludf.DUMMYFUNCTION("""COMPUTED_VALUE"""),45991.96273987269)</f>
        <v>45991.96274</v>
      </c>
      <c r="C113" s="3" t="str">
        <f>IFERROR(__xludf.DUMMYFUNCTION("""COMPUTED_VALUE"""),"ชั้นปีที่ 1")</f>
        <v>ชั้นปีที่ 1</v>
      </c>
      <c r="D113" s="3" t="str">
        <f>IFERROR(__xludf.DUMMYFUNCTION("""COMPUTED_VALUE"""),"6803940")</f>
        <v>6803940</v>
      </c>
      <c r="E113" s="3" t="str">
        <f>IFERROR(__xludf.DUMMYFUNCTION("""COMPUTED_VALUE"""),"59")</f>
        <v>59</v>
      </c>
      <c r="F113" s="3" t="str">
        <f>IFERROR(__xludf.DUMMYFUNCTION("""COMPUTED_VALUE"""),"นพอ.หฤทชนัน อุทกัง")</f>
        <v>นพอ.หฤทชนัน อุทกัง</v>
      </c>
      <c r="G113" s="3" t="str">
        <f>IFERROR(__xludf.DUMMYFUNCTION("""COMPUTED_VALUE"""),"ช่วยเหลืองานภายใน วพอ.")</f>
        <v>ช่วยเหลืองานภายใน วพอ.</v>
      </c>
      <c r="H113" s="3" t="str">
        <f>IFERROR(__xludf.DUMMYFUNCTION("""COMPUTED_VALUE"""),"ช่วยท่านอาจารย์แพ็คเสื้อ")</f>
        <v>ช่วยท่านอาจารย์แพ็คเสื้อ</v>
      </c>
      <c r="I113" s="3" t="str">
        <f>IFERROR(__xludf.DUMMYFUNCTION("""COMPUTED_VALUE"""),"ห้องปกครอง วพอ.")</f>
        <v>ห้องปกครอง วพอ.</v>
      </c>
      <c r="J113" s="12">
        <f>IFERROR(__xludf.DUMMYFUNCTION("""COMPUTED_VALUE"""),45895.0)</f>
        <v>45895</v>
      </c>
      <c r="K113" s="3" t="str">
        <f>IFERROR(__xludf.DUMMYFUNCTION("""COMPUTED_VALUE"""),"1600-1800")</f>
        <v>1600-1800</v>
      </c>
      <c r="L113" s="3">
        <f>IFERROR(__xludf.DUMMYFUNCTION("""COMPUTED_VALUE"""),2.0)</f>
        <v>2</v>
      </c>
      <c r="M113" s="3" t="str">
        <f>IFERROR(__xludf.DUMMYFUNCTION("""COMPUTED_VALUE"""),"ร.อ.หญิง ขนัฏฐา นาดี")</f>
        <v>ร.อ.หญิง ขนัฏฐา นาดี</v>
      </c>
      <c r="N113" s="14" t="str">
        <f>IFERROR(__xludf.DUMMYFUNCTION("""COMPUTED_VALUE"""),"https://lh5.googleusercontent.com/d/1DzNnfIKw_Od6_QthHmCzVkNnNp9wdPJi")</f>
        <v>https://lh5.googleusercontent.com/d/1DzNnfIKw_Od6_QthHmCzVkNnNp9wdPJi</v>
      </c>
      <c r="O113" s="14" t="str">
        <f>IFERROR(__xludf.DUMMYFUNCTION("""COMPUTED_VALUE"""),"https://drive.google.com/file/d/1J438jLe3AY7rov9Sodbde0ChF_q7SzZu/view?usp=drivesdk")</f>
        <v>https://drive.google.com/file/d/1J438jLe3AY7rov9Sodbde0ChF_q7SzZu/view?usp=drivesdk</v>
      </c>
    </row>
    <row r="114">
      <c r="A114" s="3">
        <f>IFERROR(__xludf.DUMMYFUNCTION("""COMPUTED_VALUE"""),935.0)</f>
        <v>935</v>
      </c>
      <c r="B114" s="11">
        <f>IFERROR(__xludf.DUMMYFUNCTION("""COMPUTED_VALUE"""),45991.96883690972)</f>
        <v>45991.96884</v>
      </c>
      <c r="C114" s="3" t="str">
        <f>IFERROR(__xludf.DUMMYFUNCTION("""COMPUTED_VALUE"""),"ชั้นปีที่ 1")</f>
        <v>ชั้นปีที่ 1</v>
      </c>
      <c r="D114" s="3" t="str">
        <f>IFERROR(__xludf.DUMMYFUNCTION("""COMPUTED_VALUE"""),"6803923")</f>
        <v>6803923</v>
      </c>
      <c r="E114" s="3" t="str">
        <f>IFERROR(__xludf.DUMMYFUNCTION("""COMPUTED_VALUE"""),"42")</f>
        <v>42</v>
      </c>
      <c r="F114" s="3" t="str">
        <f>IFERROR(__xludf.DUMMYFUNCTION("""COMPUTED_VALUE"""),"นพอ.พิมพ์ณัฐชยา มนนามอญ")</f>
        <v>นพอ.พิมพ์ณัฐชยา มนนามอญ</v>
      </c>
      <c r="G11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4" s="3" t="str">
        <f>IFERROR(__xludf.DUMMYFUNCTION("""COMPUTED_VALUE"""),"ค่ายแนะแนวรัฐบุรุษ2")</f>
        <v>ค่ายแนะแนวรัฐบุรุษ2</v>
      </c>
      <c r="I114" s="3" t="str">
        <f>IFERROR(__xludf.DUMMYFUNCTION("""COMPUTED_VALUE"""),"โรงเรียนชลกันยานุกุล")</f>
        <v>โรงเรียนชลกันยานุกุล</v>
      </c>
      <c r="J114" s="12">
        <f>IFERROR(__xludf.DUMMYFUNCTION("""COMPUTED_VALUE"""),45969.0)</f>
        <v>45969</v>
      </c>
      <c r="K114" s="3" t="str">
        <f>IFERROR(__xludf.DUMMYFUNCTION("""COMPUTED_VALUE"""),"0800-1600")</f>
        <v>0800-1600</v>
      </c>
      <c r="L114" s="3">
        <f>IFERROR(__xludf.DUMMYFUNCTION("""COMPUTED_VALUE"""),8.0)</f>
        <v>8</v>
      </c>
      <c r="M114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114" s="14" t="str">
        <f>IFERROR(__xludf.DUMMYFUNCTION("""COMPUTED_VALUE"""),"https://lh5.googleusercontent.com/d/1gVgkv28lRNkUIINc_lF3ko4y-fAonqG9")</f>
        <v>https://lh5.googleusercontent.com/d/1gVgkv28lRNkUIINc_lF3ko4y-fAonqG9</v>
      </c>
      <c r="O114" s="14" t="str">
        <f>IFERROR(__xludf.DUMMYFUNCTION("""COMPUTED_VALUE"""),"https://drive.google.com/file/d/1RFSFRKDaRFz0Up331R6OZIliqyJM1tdE/view?usp=drivesdk")</f>
        <v>https://drive.google.com/file/d/1RFSFRKDaRFz0Up331R6OZIliqyJM1tdE/view?usp=drivesdk</v>
      </c>
    </row>
    <row r="115">
      <c r="A115" s="3">
        <f>IFERROR(__xludf.DUMMYFUNCTION("""COMPUTED_VALUE"""),936.0)</f>
        <v>936</v>
      </c>
      <c r="B115" s="11">
        <f>IFERROR(__xludf.DUMMYFUNCTION("""COMPUTED_VALUE"""),45991.97030616898)</f>
        <v>45991.97031</v>
      </c>
      <c r="C115" s="3" t="str">
        <f>IFERROR(__xludf.DUMMYFUNCTION("""COMPUTED_VALUE"""),"ชั้นปีที่ 1")</f>
        <v>ชั้นปีที่ 1</v>
      </c>
      <c r="D115" s="3" t="str">
        <f>IFERROR(__xludf.DUMMYFUNCTION("""COMPUTED_VALUE"""),"6803923")</f>
        <v>6803923</v>
      </c>
      <c r="E115" s="3" t="str">
        <f>IFERROR(__xludf.DUMMYFUNCTION("""COMPUTED_VALUE"""),"42")</f>
        <v>42</v>
      </c>
      <c r="F115" s="3" t="str">
        <f>IFERROR(__xludf.DUMMYFUNCTION("""COMPUTED_VALUE"""),"นพอ.พิมพ์ณัฐชยา นนามอญ")</f>
        <v>นพอ.พิมพ์ณัฐชยา นนามอญ</v>
      </c>
      <c r="G1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5" s="3" t="str">
        <f>IFERROR(__xludf.DUMMYFUNCTION("""COMPUTED_VALUE"""),"ค่ายแนะแนวรัฐบุรุษ2")</f>
        <v>ค่ายแนะแนวรัฐบุรุษ2</v>
      </c>
      <c r="I115" s="3" t="str">
        <f>IFERROR(__xludf.DUMMYFUNCTION("""COMPUTED_VALUE"""),"โรงเรียนชลกันยานุกุล จ.ชลบุรี")</f>
        <v>โรงเรียนชลกันยานุกุล จ.ชลบุรี</v>
      </c>
      <c r="J115" s="12">
        <f>IFERROR(__xludf.DUMMYFUNCTION("""COMPUTED_VALUE"""),45970.0)</f>
        <v>45970</v>
      </c>
      <c r="K115" s="3" t="str">
        <f>IFERROR(__xludf.DUMMYFUNCTION("""COMPUTED_VALUE"""),"0800-1600")</f>
        <v>0800-1600</v>
      </c>
      <c r="L115" s="3">
        <f>IFERROR(__xludf.DUMMYFUNCTION("""COMPUTED_VALUE"""),8.0)</f>
        <v>8</v>
      </c>
      <c r="M11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15" s="14" t="str">
        <f>IFERROR(__xludf.DUMMYFUNCTION("""COMPUTED_VALUE"""),"https://lh5.googleusercontent.com/d/112B1-JeoMeRJdRY6ziYobLNIs-bVLjG3")</f>
        <v>https://lh5.googleusercontent.com/d/112B1-JeoMeRJdRY6ziYobLNIs-bVLjG3</v>
      </c>
      <c r="O115" s="14" t="str">
        <f>IFERROR(__xludf.DUMMYFUNCTION("""COMPUTED_VALUE"""),"https://drive.google.com/file/d/1ZmSMXNTOj-kui4bLlAGMmB4mrJTy5PGp/view?usp=drivesdk")</f>
        <v>https://drive.google.com/file/d/1ZmSMXNTOj-kui4bLlAGMmB4mrJTy5PGp/view?usp=drivesdk</v>
      </c>
    </row>
    <row r="116">
      <c r="A116" s="3">
        <f>IFERROR(__xludf.DUMMYFUNCTION("""COMPUTED_VALUE"""),937.0)</f>
        <v>937</v>
      </c>
      <c r="B116" s="11">
        <f>IFERROR(__xludf.DUMMYFUNCTION("""COMPUTED_VALUE"""),45991.9717334838)</f>
        <v>45991.97173</v>
      </c>
      <c r="C116" s="3" t="str">
        <f>IFERROR(__xludf.DUMMYFUNCTION("""COMPUTED_VALUE"""),"ชั้นปีที่ 1")</f>
        <v>ชั้นปีที่ 1</v>
      </c>
      <c r="D116" s="3" t="str">
        <f>IFERROR(__xludf.DUMMYFUNCTION("""COMPUTED_VALUE"""),"6803936")</f>
        <v>6803936</v>
      </c>
      <c r="E116" s="3" t="str">
        <f>IFERROR(__xludf.DUMMYFUNCTION("""COMPUTED_VALUE"""),"55")</f>
        <v>55</v>
      </c>
      <c r="F116" s="3" t="str">
        <f>IFERROR(__xludf.DUMMYFUNCTION("""COMPUTED_VALUE"""),"นพอ.ศศิชา แจ้งปกรณ์กิจ")</f>
        <v>นพอ.ศศิชา แจ้งปกรณ์กิจ</v>
      </c>
      <c r="G1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6" s="3" t="str">
        <f>IFERROR(__xludf.DUMMYFUNCTION("""COMPUTED_VALUE"""),"เดินรณรงค์ “วันโลกรำลึกถึงผู้สูญเสียจากอุบัติเหตุทางถนน”กับพลังโรทาแรค")</f>
        <v>เดินรณรงค์ “วันโลกรำลึกถึงผู้สูญเสียจากอุบัติเหตุทางถนน”กับพลังโรทาแรค</v>
      </c>
      <c r="I116" s="3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116" s="12">
        <f>IFERROR(__xludf.DUMMYFUNCTION("""COMPUTED_VALUE"""),45977.0)</f>
        <v>45977</v>
      </c>
      <c r="K116" s="3" t="str">
        <f>IFERROR(__xludf.DUMMYFUNCTION("""COMPUTED_VALUE"""),"0600-0930")</f>
        <v>0600-0930</v>
      </c>
      <c r="L116" s="3">
        <f>IFERROR(__xludf.DUMMYFUNCTION("""COMPUTED_VALUE"""),4.0)</f>
        <v>4</v>
      </c>
      <c r="M116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116" s="14" t="str">
        <f>IFERROR(__xludf.DUMMYFUNCTION("""COMPUTED_VALUE"""),"https://lh5.googleusercontent.com/d/1HbpK0_iSokySmepbqAFtwtEWIqCdeKvM")</f>
        <v>https://lh5.googleusercontent.com/d/1HbpK0_iSokySmepbqAFtwtEWIqCdeKvM</v>
      </c>
      <c r="O116" s="14" t="str">
        <f>IFERROR(__xludf.DUMMYFUNCTION("""COMPUTED_VALUE"""),"https://drive.google.com/file/d/1hSCfpn2RVe7-KfoE0EPlVBaaGCm9YqQt/view?usp=drivesdk")</f>
        <v>https://drive.google.com/file/d/1hSCfpn2RVe7-KfoE0EPlVBaaGCm9YqQt/view?usp=drivesdk</v>
      </c>
    </row>
    <row r="117">
      <c r="A117" s="3">
        <f>IFERROR(__xludf.DUMMYFUNCTION("""COMPUTED_VALUE"""),940.0)</f>
        <v>940</v>
      </c>
      <c r="B117" s="11">
        <f>IFERROR(__xludf.DUMMYFUNCTION("""COMPUTED_VALUE"""),45991.97521395833)</f>
        <v>45991.97521</v>
      </c>
      <c r="C117" s="3" t="str">
        <f>IFERROR(__xludf.DUMMYFUNCTION("""COMPUTED_VALUE"""),"ชั้นปีที่ 1")</f>
        <v>ชั้นปีที่ 1</v>
      </c>
      <c r="D117" s="3" t="str">
        <f>IFERROR(__xludf.DUMMYFUNCTION("""COMPUTED_VALUE"""),"6803936")</f>
        <v>6803936</v>
      </c>
      <c r="E117" s="3" t="str">
        <f>IFERROR(__xludf.DUMMYFUNCTION("""COMPUTED_VALUE"""),"55")</f>
        <v>55</v>
      </c>
      <c r="F117" s="3" t="str">
        <f>IFERROR(__xludf.DUMMYFUNCTION("""COMPUTED_VALUE"""),"นพอ.ศศิชา แจ้งปกรณ์กิจ")</f>
        <v>นพอ.ศศิชา แจ้งปกรณ์กิจ</v>
      </c>
      <c r="G1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7" s="3" t="str">
        <f>IFERROR(__xludf.DUMMYFUNCTION("""COMPUTED_VALUE"""),"แจกของพระราชทานพระบรมศพพระพันปีหลวง")</f>
        <v>แจกของพระราชทานพระบรมศพพระพันปีหลวง</v>
      </c>
      <c r="I117" s="3" t="str">
        <f>IFERROR(__xludf.DUMMYFUNCTION("""COMPUTED_VALUE"""),"สนามหลวง")</f>
        <v>สนามหลวง</v>
      </c>
      <c r="J117" s="12">
        <f>IFERROR(__xludf.DUMMYFUNCTION("""COMPUTED_VALUE"""),45990.0)</f>
        <v>45990</v>
      </c>
      <c r="K117" s="3" t="str">
        <f>IFERROR(__xludf.DUMMYFUNCTION("""COMPUTED_VALUE"""),"0800-1200")</f>
        <v>0800-1200</v>
      </c>
      <c r="L117" s="3">
        <f>IFERROR(__xludf.DUMMYFUNCTION("""COMPUTED_VALUE"""),4.0)</f>
        <v>4</v>
      </c>
      <c r="M117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117" s="14" t="str">
        <f>IFERROR(__xludf.DUMMYFUNCTION("""COMPUTED_VALUE"""),"https://lh5.googleusercontent.com/d/1cqPFu7mY9uLqvo4D7DBC9nappqY1eEN8")</f>
        <v>https://lh5.googleusercontent.com/d/1cqPFu7mY9uLqvo4D7DBC9nappqY1eEN8</v>
      </c>
      <c r="O117" s="14" t="str">
        <f>IFERROR(__xludf.DUMMYFUNCTION("""COMPUTED_VALUE"""),"https://drive.google.com/file/d/1FrJjeiQoP2_7Bw51UHnGTYFeVRPKzIpm/view?usp=drivesdk")</f>
        <v>https://drive.google.com/file/d/1FrJjeiQoP2_7Bw51UHnGTYFeVRPKzIpm/view?usp=drivesdk</v>
      </c>
    </row>
    <row r="118">
      <c r="A118" s="3">
        <f>IFERROR(__xludf.DUMMYFUNCTION("""COMPUTED_VALUE"""),1043.0)</f>
        <v>1043</v>
      </c>
      <c r="B118" s="11">
        <f>IFERROR(__xludf.DUMMYFUNCTION("""COMPUTED_VALUE"""),45992.635973634264)</f>
        <v>45992.63597</v>
      </c>
      <c r="C118" s="3" t="str">
        <f>IFERROR(__xludf.DUMMYFUNCTION("""COMPUTED_VALUE"""),"ชั้นปีที่ 1")</f>
        <v>ชั้นปีที่ 1</v>
      </c>
      <c r="D118" s="3" t="str">
        <f>IFERROR(__xludf.DUMMYFUNCTION("""COMPUTED_VALUE"""),"6803944")</f>
        <v>6803944</v>
      </c>
      <c r="E118" s="3" t="str">
        <f>IFERROR(__xludf.DUMMYFUNCTION("""COMPUTED_VALUE"""),"63")</f>
        <v>63</v>
      </c>
      <c r="F118" s="3" t="str">
        <f>IFERROR(__xludf.DUMMYFUNCTION("""COMPUTED_VALUE"""),"นพอ.อริสา หฤทัยบริรักษ์")</f>
        <v>นพอ.อริสา หฤทัยบริรักษ์</v>
      </c>
      <c r="G1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8" s="3" t="str">
        <f>IFERROR(__xludf.DUMMYFUNCTION("""COMPUTED_VALUE"""),"งานกอล์ปิยมหาราช")</f>
        <v>งานกอล์ปิยมหาราช</v>
      </c>
      <c r="I118" s="3" t="str">
        <f>IFERROR(__xludf.DUMMYFUNCTION("""COMPUTED_VALUE"""),"สนามกอล์ฟธูปเตมีย์")</f>
        <v>สนามกอล์ฟธูปเตมีย์</v>
      </c>
      <c r="J118" s="12">
        <f>IFERROR(__xludf.DUMMYFUNCTION("""COMPUTED_VALUE"""),45989.0)</f>
        <v>45989</v>
      </c>
      <c r="K118" s="3" t="str">
        <f>IFERROR(__xludf.DUMMYFUNCTION("""COMPUTED_VALUE"""),"1600")</f>
        <v>1600</v>
      </c>
      <c r="L118" s="3">
        <f>IFERROR(__xludf.DUMMYFUNCTION("""COMPUTED_VALUE"""),5.0)</f>
        <v>5</v>
      </c>
      <c r="M118" s="3" t="str">
        <f>IFERROR(__xludf.DUMMYFUNCTION("""COMPUTED_VALUE"""),"น.ต.ศักชัย บุญประสิทธิ์")</f>
        <v>น.ต.ศักชัย บุญประสิทธิ์</v>
      </c>
      <c r="N118" s="14" t="str">
        <f>IFERROR(__xludf.DUMMYFUNCTION("""COMPUTED_VALUE"""),"https://lh5.googleusercontent.com/d/1sQm3CyaEBYnM9qeKLTCZW86kJxz-a8sZ")</f>
        <v>https://lh5.googleusercontent.com/d/1sQm3CyaEBYnM9qeKLTCZW86kJxz-a8sZ</v>
      </c>
      <c r="O118" s="14" t="str">
        <f>IFERROR(__xludf.DUMMYFUNCTION("""COMPUTED_VALUE"""),"https://drive.google.com/file/d/16hgL-2KanMHm4NrIcAvuP6iZhYCKJbEW/view?usp=drivesdk")</f>
        <v>https://drive.google.com/file/d/16hgL-2KanMHm4NrIcAvuP6iZhYCKJbEW/view?usp=drivesdk</v>
      </c>
    </row>
    <row r="119">
      <c r="A119" s="3">
        <f>IFERROR(__xludf.DUMMYFUNCTION("""COMPUTED_VALUE"""),1044.0)</f>
        <v>1044</v>
      </c>
      <c r="B119" s="11">
        <f>IFERROR(__xludf.DUMMYFUNCTION("""COMPUTED_VALUE"""),45992.63703179398)</f>
        <v>45992.63703</v>
      </c>
      <c r="C119" s="3" t="str">
        <f>IFERROR(__xludf.DUMMYFUNCTION("""COMPUTED_VALUE"""),"ชั้นปีที่ 1")</f>
        <v>ชั้นปีที่ 1</v>
      </c>
      <c r="D119" s="3" t="str">
        <f>IFERROR(__xludf.DUMMYFUNCTION("""COMPUTED_VALUE"""),"6803938")</f>
        <v>6803938</v>
      </c>
      <c r="E119" s="3" t="str">
        <f>IFERROR(__xludf.DUMMYFUNCTION("""COMPUTED_VALUE"""),"57")</f>
        <v>57</v>
      </c>
      <c r="F119" s="3" t="str">
        <f>IFERROR(__xludf.DUMMYFUNCTION("""COMPUTED_VALUE"""),"สุพิชชา เชื้อชาติ")</f>
        <v>สุพิชชา เชื้อชาติ</v>
      </c>
      <c r="G1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19" s="3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19" s="3" t="str">
        <f>IFERROR(__xludf.DUMMYFUNCTION("""COMPUTED_VALUE"""),"สนามกอล์ฟธูปะเตมีย์")</f>
        <v>สนามกอล์ฟธูปะเตมีย์</v>
      </c>
      <c r="J119" s="12">
        <f>IFERROR(__xludf.DUMMYFUNCTION("""COMPUTED_VALUE"""),45989.0)</f>
        <v>45989</v>
      </c>
      <c r="K119" s="3" t="str">
        <f>IFERROR(__xludf.DUMMYFUNCTION("""COMPUTED_VALUE"""),"1600")</f>
        <v>1600</v>
      </c>
      <c r="L119" s="3">
        <f>IFERROR(__xludf.DUMMYFUNCTION("""COMPUTED_VALUE"""),5.0)</f>
        <v>5</v>
      </c>
      <c r="M119" s="3" t="str">
        <f>IFERROR(__xludf.DUMMYFUNCTION("""COMPUTED_VALUE"""),"นาวาอากาศตรี ศักชัย บุญประสิทธิ์")</f>
        <v>นาวาอากาศตรี ศักชัย บุญประสิทธิ์</v>
      </c>
      <c r="N119" s="14" t="str">
        <f>IFERROR(__xludf.DUMMYFUNCTION("""COMPUTED_VALUE"""),"https://lh5.googleusercontent.com/d/1pA-IInVanpU9LrcojOMjV79mhcnPXq3G")</f>
        <v>https://lh5.googleusercontent.com/d/1pA-IInVanpU9LrcojOMjV79mhcnPXq3G</v>
      </c>
      <c r="O119" s="14" t="str">
        <f>IFERROR(__xludf.DUMMYFUNCTION("""COMPUTED_VALUE"""),"https://drive.google.com/file/d/1pZH5BGAkeJXtc5xgvc6xhKIdrFBlzLit/view?usp=drivesdk")</f>
        <v>https://drive.google.com/file/d/1pZH5BGAkeJXtc5xgvc6xhKIdrFBlzLit/view?usp=drivesdk</v>
      </c>
    </row>
    <row r="120">
      <c r="A120" s="3">
        <f>IFERROR(__xludf.DUMMYFUNCTION("""COMPUTED_VALUE"""),1046.0)</f>
        <v>1046</v>
      </c>
      <c r="B120" s="11">
        <f>IFERROR(__xludf.DUMMYFUNCTION("""COMPUTED_VALUE"""),45992.64143006945)</f>
        <v>45992.64143</v>
      </c>
      <c r="C120" s="3" t="str">
        <f>IFERROR(__xludf.DUMMYFUNCTION("""COMPUTED_VALUE"""),"ชั้นปีที่ 1")</f>
        <v>ชั้นปีที่ 1</v>
      </c>
      <c r="D120" s="3" t="str">
        <f>IFERROR(__xludf.DUMMYFUNCTION("""COMPUTED_VALUE"""),"8683030614")</f>
        <v>8683030614</v>
      </c>
      <c r="E120" s="3" t="str">
        <f>IFERROR(__xludf.DUMMYFUNCTION("""COMPUTED_VALUE"""),"24")</f>
        <v>24</v>
      </c>
      <c r="F120" s="3" t="str">
        <f>IFERROR(__xludf.DUMMYFUNCTION("""COMPUTED_VALUE"""),"ธนพล เสือน้อย")</f>
        <v>ธนพล เสือน้อย</v>
      </c>
      <c r="G120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120" s="3" t="str">
        <f>IFERROR(__xludf.DUMMYFUNCTION("""COMPUTED_VALUE"""),"ดุริยางค์")</f>
        <v>ดุริยางค์</v>
      </c>
      <c r="I120" s="3" t="str">
        <f>IFERROR(__xludf.DUMMYFUNCTION("""COMPUTED_VALUE"""),"วพอ.พอดี.")</f>
        <v>วพอ.พอดี.</v>
      </c>
      <c r="J120" s="12">
        <f>IFERROR(__xludf.DUMMYFUNCTION("""COMPUTED_VALUE"""),45950.0)</f>
        <v>45950</v>
      </c>
      <c r="K120" s="3" t="str">
        <f>IFERROR(__xludf.DUMMYFUNCTION("""COMPUTED_VALUE"""),"0720")</f>
        <v>0720</v>
      </c>
      <c r="L120" s="3">
        <f>IFERROR(__xludf.DUMMYFUNCTION("""COMPUTED_VALUE"""),1.0)</f>
        <v>1</v>
      </c>
      <c r="M120" s="3" t="str">
        <f>IFERROR(__xludf.DUMMYFUNCTION("""COMPUTED_VALUE"""),"ร.อ.อนุชิต ทำจะดี")</f>
        <v>ร.อ.อนุชิต ทำจะดี</v>
      </c>
      <c r="N120" s="14" t="str">
        <f>IFERROR(__xludf.DUMMYFUNCTION("""COMPUTED_VALUE"""),"https://lh5.googleusercontent.com/d/17zvB4ttwQH-i5r3P5YLzeKANmQxOQyAp")</f>
        <v>https://lh5.googleusercontent.com/d/17zvB4ttwQH-i5r3P5YLzeKANmQxOQyAp</v>
      </c>
      <c r="O120" s="14" t="str">
        <f>IFERROR(__xludf.DUMMYFUNCTION("""COMPUTED_VALUE"""),"https://drive.google.com/file/d/16lcW6quVQdGvPdMqlZlcRsG_btFAphT_/view?usp=drivesdk")</f>
        <v>https://drive.google.com/file/d/16lcW6quVQdGvPdMqlZlcRsG_btFAphT_/view?usp=drivesdk</v>
      </c>
    </row>
    <row r="121">
      <c r="A121" s="3">
        <f>IFERROR(__xludf.DUMMYFUNCTION("""COMPUTED_VALUE"""),1051.0)</f>
        <v>1051</v>
      </c>
      <c r="B121" s="11">
        <f>IFERROR(__xludf.DUMMYFUNCTION("""COMPUTED_VALUE"""),45992.71119246528)</f>
        <v>45992.71119</v>
      </c>
      <c r="C121" s="3" t="str">
        <f>IFERROR(__xludf.DUMMYFUNCTION("""COMPUTED_VALUE"""),"ชั้นปีที่ 1")</f>
        <v>ชั้นปีที่ 1</v>
      </c>
      <c r="D121" s="3" t="str">
        <f>IFERROR(__xludf.DUMMYFUNCTION("""COMPUTED_VALUE"""),"6803901")</f>
        <v>6803901</v>
      </c>
      <c r="E121" s="3" t="str">
        <f>IFERROR(__xludf.DUMMYFUNCTION("""COMPUTED_VALUE"""),"20")</f>
        <v>20</v>
      </c>
      <c r="F121" s="3" t="str">
        <f>IFERROR(__xludf.DUMMYFUNCTION("""COMPUTED_VALUE"""),"นพอ.ณัฐริกา วัฒนสมบัติ")</f>
        <v>นพอ.ณัฐริกา วัฒนสมบัติ</v>
      </c>
      <c r="G121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121" s="3" t="str">
        <f>IFERROR(__xludf.DUMMYFUNCTION("""COMPUTED_VALUE"""),"ช่วยงานกอล์ฟ")</f>
        <v>ช่วยงานกอล์ฟ</v>
      </c>
      <c r="I121" s="3" t="str">
        <f>IFERROR(__xludf.DUMMYFUNCTION("""COMPUTED_VALUE"""),"สนามกอล์ฟธูปะเตมีย์")</f>
        <v>สนามกอล์ฟธูปะเตมีย์</v>
      </c>
      <c r="J121" s="12">
        <f>IFERROR(__xludf.DUMMYFUNCTION("""COMPUTED_VALUE"""),45989.0)</f>
        <v>45989</v>
      </c>
      <c r="K121" s="3" t="str">
        <f>IFERROR(__xludf.DUMMYFUNCTION("""COMPUTED_VALUE"""),"1500-2100")</f>
        <v>1500-2100</v>
      </c>
      <c r="L121" s="3">
        <f>IFERROR(__xludf.DUMMYFUNCTION("""COMPUTED_VALUE"""),6.0)</f>
        <v>6</v>
      </c>
      <c r="M121" s="3" t="str">
        <f>IFERROR(__xludf.DUMMYFUNCTION("""COMPUTED_VALUE"""),"น.ต.ศักชัย บุญประสิทธิ์")</f>
        <v>น.ต.ศักชัย บุญประสิทธิ์</v>
      </c>
      <c r="N121" s="14" t="str">
        <f>IFERROR(__xludf.DUMMYFUNCTION("""COMPUTED_VALUE"""),"https://lh5.googleusercontent.com/d/11DKKk5r4K6GhRq2aE-4L7Lv3wU591KQv")</f>
        <v>https://lh5.googleusercontent.com/d/11DKKk5r4K6GhRq2aE-4L7Lv3wU591KQv</v>
      </c>
      <c r="O121" s="14" t="str">
        <f>IFERROR(__xludf.DUMMYFUNCTION("""COMPUTED_VALUE"""),"https://drive.google.com/file/d/1aXpCy7Dej5aEP0hf4hqUjCrXlLkd47RX/view?usp=drivesdk")</f>
        <v>https://drive.google.com/file/d/1aXpCy7Dej5aEP0hf4hqUjCrXlLkd47RX/view?usp=drivesdk</v>
      </c>
    </row>
    <row r="122">
      <c r="A122" s="3">
        <f>IFERROR(__xludf.DUMMYFUNCTION("""COMPUTED_VALUE"""),1052.0)</f>
        <v>1052</v>
      </c>
      <c r="B122" s="11">
        <f>IFERROR(__xludf.DUMMYFUNCTION("""COMPUTED_VALUE"""),45992.73209150463)</f>
        <v>45992.73209</v>
      </c>
      <c r="C122" s="3" t="str">
        <f>IFERROR(__xludf.DUMMYFUNCTION("""COMPUTED_VALUE"""),"ชั้นปีที่ 1")</f>
        <v>ชั้นปีที่ 1</v>
      </c>
      <c r="D122" s="3" t="str">
        <f>IFERROR(__xludf.DUMMYFUNCTION("""COMPUTED_VALUE"""),"6803886")</f>
        <v>6803886</v>
      </c>
      <c r="E122" s="3" t="str">
        <f>IFERROR(__xludf.DUMMYFUNCTION("""COMPUTED_VALUE"""),"5")</f>
        <v>5</v>
      </c>
      <c r="F122" s="3" t="str">
        <f>IFERROR(__xludf.DUMMYFUNCTION("""COMPUTED_VALUE"""),"นพอ.กัญญพัชร ทองสุข")</f>
        <v>นพอ.กัญญพัชร ทองสุข</v>
      </c>
      <c r="G122" s="3" t="str">
        <f>IFERROR(__xludf.DUMMYFUNCTION("""COMPUTED_VALUE"""),"ช่วยเหลืองานภายใน วพอ.")</f>
        <v>ช่วยเหลืองานภายใน วพอ.</v>
      </c>
      <c r="H122" s="3" t="str">
        <f>IFERROR(__xludf.DUMMYFUNCTION("""COMPUTED_VALUE"""),"เข้าร่วมฟังบรรยาย การให้สุขศึกษาสำหรับหญิงตั้งครรภ์")</f>
        <v>เข้าร่วมฟังบรรยาย การให้สุขศึกษาสำหรับหญิงตั้งครรภ์</v>
      </c>
      <c r="I122" s="3" t="str">
        <f>IFERROR(__xludf.DUMMYFUNCTION("""COMPUTED_VALUE"""),"วพอ.พอ.")</f>
        <v>วพอ.พอ.</v>
      </c>
      <c r="J122" s="12">
        <f>IFERROR(__xludf.DUMMYFUNCTION("""COMPUTED_VALUE"""),45976.0)</f>
        <v>45976</v>
      </c>
      <c r="K122" s="3" t="str">
        <f>IFERROR(__xludf.DUMMYFUNCTION("""COMPUTED_VALUE"""),"08:45")</f>
        <v>08:45</v>
      </c>
      <c r="L122" s="3">
        <f>IFERROR(__xludf.DUMMYFUNCTION("""COMPUTED_VALUE"""),3.0)</f>
        <v>3</v>
      </c>
      <c r="M122" s="3" t="str">
        <f>IFERROR(__xludf.DUMMYFUNCTION("""COMPUTED_VALUE"""),"นอ.หญิง ผศ.นิตยา สุขแสน")</f>
        <v>นอ.หญิง ผศ.นิตยา สุขแสน</v>
      </c>
      <c r="N122" s="14" t="str">
        <f>IFERROR(__xludf.DUMMYFUNCTION("""COMPUTED_VALUE"""),"https://lh5.googleusercontent.com/d/1x7YgjlZ2r7e8sfjpOHIAjGuIqHt4o_XB")</f>
        <v>https://lh5.googleusercontent.com/d/1x7YgjlZ2r7e8sfjpOHIAjGuIqHt4o_XB</v>
      </c>
      <c r="O122" s="14" t="str">
        <f>IFERROR(__xludf.DUMMYFUNCTION("""COMPUTED_VALUE"""),"https://drive.google.com/file/d/1UYx9rrWH9aCnbBxYunLZA_8MAVk8UWFO/view?usp=drivesdk")</f>
        <v>https://drive.google.com/file/d/1UYx9rrWH9aCnbBxYunLZA_8MAVk8UWFO/view?usp=drivesdk</v>
      </c>
    </row>
    <row r="123">
      <c r="A123" s="3">
        <f>IFERROR(__xludf.DUMMYFUNCTION("""COMPUTED_VALUE"""),1099.0)</f>
        <v>1099</v>
      </c>
      <c r="B123" s="11">
        <f>IFERROR(__xludf.DUMMYFUNCTION("""COMPUTED_VALUE"""),45993.434645914356)</f>
        <v>45993.43465</v>
      </c>
      <c r="C123" s="3" t="str">
        <f>IFERROR(__xludf.DUMMYFUNCTION("""COMPUTED_VALUE"""),"ชั้นปีที่ 1")</f>
        <v>ชั้นปีที่ 1</v>
      </c>
      <c r="D123" s="3" t="str">
        <f>IFERROR(__xludf.DUMMYFUNCTION("""COMPUTED_VALUE"""),"6803924")</f>
        <v>6803924</v>
      </c>
      <c r="E123" s="3" t="str">
        <f>IFERROR(__xludf.DUMMYFUNCTION("""COMPUTED_VALUE"""),"43")</f>
        <v>43</v>
      </c>
      <c r="F123" s="3" t="str">
        <f>IFERROR(__xludf.DUMMYFUNCTION("""COMPUTED_VALUE"""),"นพอ.พีรชา แสงไทย")</f>
        <v>นพอ.พีรชา แสงไทย</v>
      </c>
      <c r="G123" s="3" t="str">
        <f>IFERROR(__xludf.DUMMYFUNCTION("""COMPUTED_VALUE"""),"ช่วยเหลืองานภายใน วพอ.")</f>
        <v>ช่วยเหลืองานภายใน วพอ.</v>
      </c>
      <c r="H123" s="3" t="str">
        <f>IFERROR(__xludf.DUMMYFUNCTION("""COMPUTED_VALUE"""),"รดน้ำต้นไม้")</f>
        <v>รดน้ำต้นไม้</v>
      </c>
      <c r="I123" s="3" t="str">
        <f>IFERROR(__xludf.DUMMYFUNCTION("""COMPUTED_VALUE"""),"ห้องภาควิชาการพยาบาลมารดา ทารกและการผดุงครรภ์")</f>
        <v>ห้องภาควิชาการพยาบาลมารดา ทารกและการผดุงครรภ์</v>
      </c>
      <c r="J123" s="12">
        <f>IFERROR(__xludf.DUMMYFUNCTION("""COMPUTED_VALUE"""),45992.0)</f>
        <v>45992</v>
      </c>
      <c r="K123" s="3" t="str">
        <f>IFERROR(__xludf.DUMMYFUNCTION("""COMPUTED_VALUE"""),"1500-1700")</f>
        <v>1500-1700</v>
      </c>
      <c r="L123" s="3">
        <f>IFERROR(__xludf.DUMMYFUNCTION("""COMPUTED_VALUE"""),2.0)</f>
        <v>2</v>
      </c>
      <c r="M123" s="3" t="str">
        <f>IFERROR(__xludf.DUMMYFUNCTION("""COMPUTED_VALUE"""),"ร.ต.หญิง สุริยกาล มงคลมะไฟ")</f>
        <v>ร.ต.หญิง สุริยกาล มงคลมะไฟ</v>
      </c>
      <c r="N123" s="14" t="str">
        <f>IFERROR(__xludf.DUMMYFUNCTION("""COMPUTED_VALUE"""),"https://lh5.googleusercontent.com/d/1ZJe7-ei9_pwCHyjmAf7nG8LPknRLE5Y0")</f>
        <v>https://lh5.googleusercontent.com/d/1ZJe7-ei9_pwCHyjmAf7nG8LPknRLE5Y0</v>
      </c>
      <c r="O123" s="14" t="str">
        <f>IFERROR(__xludf.DUMMYFUNCTION("""COMPUTED_VALUE"""),"https://drive.google.com/file/d/1ABGQBRlCxvUQEWiDONipdAuJqM4RQXdI/view?usp=drivesdk")</f>
        <v>https://drive.google.com/file/d/1ABGQBRlCxvUQEWiDONipdAuJqM4RQXdI/view?usp=drivesdk</v>
      </c>
    </row>
    <row r="124">
      <c r="A124" s="3">
        <f>IFERROR(__xludf.DUMMYFUNCTION("""COMPUTED_VALUE"""),1100.0)</f>
        <v>1100</v>
      </c>
      <c r="B124" s="11">
        <f>IFERROR(__xludf.DUMMYFUNCTION("""COMPUTED_VALUE"""),45993.44228940973)</f>
        <v>45993.44229</v>
      </c>
      <c r="C124" s="3" t="str">
        <f>IFERROR(__xludf.DUMMYFUNCTION("""COMPUTED_VALUE"""),"ชั้นปีที่ 1")</f>
        <v>ชั้นปีที่ 1</v>
      </c>
      <c r="D124" s="3" t="str">
        <f>IFERROR(__xludf.DUMMYFUNCTION("""COMPUTED_VALUE"""),"6803927")</f>
        <v>6803927</v>
      </c>
      <c r="E124" s="3" t="str">
        <f>IFERROR(__xludf.DUMMYFUNCTION("""COMPUTED_VALUE"""),"46")</f>
        <v>46</v>
      </c>
      <c r="F124" s="3" t="str">
        <f>IFERROR(__xludf.DUMMYFUNCTION("""COMPUTED_VALUE"""),"นพอ.มณฑกาญจน์ กองจะริตร์")</f>
        <v>นพอ.มณฑกาญจน์ กองจะริตร์</v>
      </c>
      <c r="G124" s="3" t="str">
        <f>IFERROR(__xludf.DUMMYFUNCTION("""COMPUTED_VALUE"""),"ช่วยเหลืองานภายใน วพอ.")</f>
        <v>ช่วยเหลืองานภายใน วพอ.</v>
      </c>
      <c r="H124" s="3" t="str">
        <f>IFERROR(__xludf.DUMMYFUNCTION("""COMPUTED_VALUE"""),"ช่วยท่านอาจารย์แพ็คเสื้อ")</f>
        <v>ช่วยท่านอาจารย์แพ็คเสื้อ</v>
      </c>
      <c r="I124" s="3" t="str">
        <f>IFERROR(__xludf.DUMMYFUNCTION("""COMPUTED_VALUE"""),"ห้องปกครอง วพอ.")</f>
        <v>ห้องปกครอง วพอ.</v>
      </c>
      <c r="J124" s="12">
        <f>IFERROR(__xludf.DUMMYFUNCTION("""COMPUTED_VALUE"""),45896.0)</f>
        <v>45896</v>
      </c>
      <c r="K124" s="3" t="str">
        <f>IFERROR(__xludf.DUMMYFUNCTION("""COMPUTED_VALUE"""),"1600-1800")</f>
        <v>1600-1800</v>
      </c>
      <c r="L124" s="3">
        <f>IFERROR(__xludf.DUMMYFUNCTION("""COMPUTED_VALUE"""),2.0)</f>
        <v>2</v>
      </c>
      <c r="M124" s="3" t="str">
        <f>IFERROR(__xludf.DUMMYFUNCTION("""COMPUTED_VALUE"""),"ร.อ.หญิง ขนัฎฐา นาดี")</f>
        <v>ร.อ.หญิง ขนัฎฐา นาดี</v>
      </c>
      <c r="N124" s="14" t="str">
        <f>IFERROR(__xludf.DUMMYFUNCTION("""COMPUTED_VALUE"""),"https://lh5.googleusercontent.com/d/1A-x2tKJBFoAtGX3s3oKsk_64iebbm3eO")</f>
        <v>https://lh5.googleusercontent.com/d/1A-x2tKJBFoAtGX3s3oKsk_64iebbm3eO</v>
      </c>
      <c r="O124" s="14" t="str">
        <f>IFERROR(__xludf.DUMMYFUNCTION("""COMPUTED_VALUE"""),"https://drive.google.com/file/d/1up71TJMTEPmFljyUOVkHjibSiasUTkwW/view?usp=drivesdk")</f>
        <v>https://drive.google.com/file/d/1up71TJMTEPmFljyUOVkHjibSiasUTkwW/view?usp=drivesdk</v>
      </c>
    </row>
    <row r="125">
      <c r="A125" s="3">
        <f>IFERROR(__xludf.DUMMYFUNCTION("""COMPUTED_VALUE"""),1101.0)</f>
        <v>1101</v>
      </c>
      <c r="B125" s="11">
        <f>IFERROR(__xludf.DUMMYFUNCTION("""COMPUTED_VALUE"""),45993.44391434028)</f>
        <v>45993.44391</v>
      </c>
      <c r="C125" s="3" t="str">
        <f>IFERROR(__xludf.DUMMYFUNCTION("""COMPUTED_VALUE"""),"ชั้นปีที่ 1")</f>
        <v>ชั้นปีที่ 1</v>
      </c>
      <c r="D125" s="3" t="str">
        <f>IFERROR(__xludf.DUMMYFUNCTION("""COMPUTED_VALUE"""),"6803930")</f>
        <v>6803930</v>
      </c>
      <c r="E125" s="3" t="str">
        <f>IFERROR(__xludf.DUMMYFUNCTION("""COMPUTED_VALUE"""),"49")</f>
        <v>49</v>
      </c>
      <c r="F125" s="3" t="str">
        <f>IFERROR(__xludf.DUMMYFUNCTION("""COMPUTED_VALUE"""),"นพอ.ยุพารัตน์ ดาวลาย")</f>
        <v>นพอ.ยุพารัตน์ ดาวลาย</v>
      </c>
      <c r="G125" s="3" t="str">
        <f>IFERROR(__xludf.DUMMYFUNCTION("""COMPUTED_VALUE"""),"ช่วยเหลืองานภายใน วพอ.")</f>
        <v>ช่วยเหลืองานภายใน วพอ.</v>
      </c>
      <c r="H125" s="3" t="str">
        <f>IFERROR(__xludf.DUMMYFUNCTION("""COMPUTED_VALUE"""),"เปิด-ปิดทีวี")</f>
        <v>เปิด-ปิดทีวี</v>
      </c>
      <c r="I125" s="3" t="str">
        <f>IFERROR(__xludf.DUMMYFUNCTION("""COMPUTED_VALUE"""),"อาคารเรียน วพอ.")</f>
        <v>อาคารเรียน วพอ.</v>
      </c>
      <c r="J125" s="12">
        <f>IFERROR(__xludf.DUMMYFUNCTION("""COMPUTED_VALUE"""),45901.0)</f>
        <v>45901</v>
      </c>
      <c r="K125" s="3" t="str">
        <f>IFERROR(__xludf.DUMMYFUNCTION("""COMPUTED_VALUE"""),"0730-0740")</f>
        <v>0730-0740</v>
      </c>
      <c r="L125" s="3">
        <f>IFERROR(__xludf.DUMMYFUNCTION("""COMPUTED_VALUE"""),4.0)</f>
        <v>4</v>
      </c>
      <c r="M125" s="3" t="str">
        <f>IFERROR(__xludf.DUMMYFUNCTION("""COMPUTED_VALUE"""),"น.ต.ศักชัย บุญประสิทธิ์")</f>
        <v>น.ต.ศักชัย บุญประสิทธิ์</v>
      </c>
      <c r="N125" s="14" t="str">
        <f>IFERROR(__xludf.DUMMYFUNCTION("""COMPUTED_VALUE"""),"https://lh5.googleusercontent.com/d/1BlPzwFyn4qyUfi7644YmQkLLMSpJxdHX")</f>
        <v>https://lh5.googleusercontent.com/d/1BlPzwFyn4qyUfi7644YmQkLLMSpJxdHX</v>
      </c>
      <c r="O125" s="14" t="str">
        <f>IFERROR(__xludf.DUMMYFUNCTION("""COMPUTED_VALUE"""),"https://drive.google.com/file/d/1liS4RN8yD9vzM3TTyzAtgDt-Fw9dkHep/view?usp=drivesdk")</f>
        <v>https://drive.google.com/file/d/1liS4RN8yD9vzM3TTyzAtgDt-Fw9dkHep/view?usp=drivesdk</v>
      </c>
    </row>
    <row r="126">
      <c r="A126" s="3">
        <f>IFERROR(__xludf.DUMMYFUNCTION("""COMPUTED_VALUE"""),1103.0)</f>
        <v>1103</v>
      </c>
      <c r="B126" s="11">
        <f>IFERROR(__xludf.DUMMYFUNCTION("""COMPUTED_VALUE"""),45993.553451562504)</f>
        <v>45993.55345</v>
      </c>
      <c r="C126" s="3" t="str">
        <f>IFERROR(__xludf.DUMMYFUNCTION("""COMPUTED_VALUE"""),"ชั้นปีที่ 1")</f>
        <v>ชั้นปีที่ 1</v>
      </c>
      <c r="D126" s="3" t="str">
        <f>IFERROR(__xludf.DUMMYFUNCTION("""COMPUTED_VALUE"""),"6803943")</f>
        <v>6803943</v>
      </c>
      <c r="E126" s="3" t="str">
        <f>IFERROR(__xludf.DUMMYFUNCTION("""COMPUTED_VALUE"""),"62")</f>
        <v>62</v>
      </c>
      <c r="F126" s="3" t="str">
        <f>IFERROR(__xludf.DUMMYFUNCTION("""COMPUTED_VALUE"""),"นพอ.อภิสรา บุญเกื้อ")</f>
        <v>นพอ.อภิสรา บุญเกื้อ</v>
      </c>
      <c r="G12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6" s="3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26" s="3" t="str">
        <f>IFERROR(__xludf.DUMMYFUNCTION("""COMPUTED_VALUE"""),"สนามกอล์ฟทอ.")</f>
        <v>สนามกอล์ฟทอ.</v>
      </c>
      <c r="J126" s="12">
        <f>IFERROR(__xludf.DUMMYFUNCTION("""COMPUTED_VALUE"""),45989.0)</f>
        <v>45989</v>
      </c>
      <c r="K126" s="3" t="str">
        <f>IFERROR(__xludf.DUMMYFUNCTION("""COMPUTED_VALUE"""),"1600-2100")</f>
        <v>1600-2100</v>
      </c>
      <c r="L126" s="3">
        <f>IFERROR(__xludf.DUMMYFUNCTION("""COMPUTED_VALUE"""),5.0)</f>
        <v>5</v>
      </c>
      <c r="M126" s="3" t="str">
        <f>IFERROR(__xludf.DUMMYFUNCTION("""COMPUTED_VALUE"""),"น.ต.ศักชัย บุญประสิทธิ์")</f>
        <v>น.ต.ศักชัย บุญประสิทธิ์</v>
      </c>
      <c r="N126" s="14" t="str">
        <f>IFERROR(__xludf.DUMMYFUNCTION("""COMPUTED_VALUE"""),"https://lh5.googleusercontent.com/d/1rao4q1Ptut86cWf8kXN9YmfD7tIKYi8m")</f>
        <v>https://lh5.googleusercontent.com/d/1rao4q1Ptut86cWf8kXN9YmfD7tIKYi8m</v>
      </c>
      <c r="O126" s="14" t="str">
        <f>IFERROR(__xludf.DUMMYFUNCTION("""COMPUTED_VALUE"""),"https://drive.google.com/file/d/1IfNTgNP-ttE3TL52YA4i0ZWWzZUZkUwu/view?usp=drivesdk")</f>
        <v>https://drive.google.com/file/d/1IfNTgNP-ttE3TL52YA4i0ZWWzZUZkUwu/view?usp=drivesdk</v>
      </c>
    </row>
    <row r="127">
      <c r="A127" s="3">
        <f>IFERROR(__xludf.DUMMYFUNCTION("""COMPUTED_VALUE"""),1110.0)</f>
        <v>1110</v>
      </c>
      <c r="B127" s="11">
        <f>IFERROR(__xludf.DUMMYFUNCTION("""COMPUTED_VALUE"""),45993.627877384264)</f>
        <v>45993.62788</v>
      </c>
      <c r="C127" s="3" t="str">
        <f>IFERROR(__xludf.DUMMYFUNCTION("""COMPUTED_VALUE"""),"ชั้นปีที่ 1")</f>
        <v>ชั้นปีที่ 1</v>
      </c>
      <c r="D127" s="3" t="str">
        <f>IFERROR(__xludf.DUMMYFUNCTION("""COMPUTED_VALUE"""),"6803943")</f>
        <v>6803943</v>
      </c>
      <c r="E127" s="3" t="str">
        <f>IFERROR(__xludf.DUMMYFUNCTION("""COMPUTED_VALUE"""),"62")</f>
        <v>62</v>
      </c>
      <c r="F127" s="3" t="str">
        <f>IFERROR(__xludf.DUMMYFUNCTION("""COMPUTED_VALUE"""),"นพอ.อภิสรา บุญเกื้อ")</f>
        <v>นพอ.อภิสรา บุญเกื้อ</v>
      </c>
      <c r="G12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7" s="3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27" s="3" t="str">
        <f>IFERROR(__xludf.DUMMYFUNCTION("""COMPUTED_VALUE"""),"สนามกอล์ฟทอ.")</f>
        <v>สนามกอล์ฟทอ.</v>
      </c>
      <c r="J127" s="12">
        <f>IFERROR(__xludf.DUMMYFUNCTION("""COMPUTED_VALUE"""),45989.0)</f>
        <v>45989</v>
      </c>
      <c r="K127" s="3" t="str">
        <f>IFERROR(__xludf.DUMMYFUNCTION("""COMPUTED_VALUE"""),"1600-2000")</f>
        <v>1600-2000</v>
      </c>
      <c r="L127" s="3">
        <f>IFERROR(__xludf.DUMMYFUNCTION("""COMPUTED_VALUE"""),5.0)</f>
        <v>5</v>
      </c>
      <c r="M127" s="3" t="str">
        <f>IFERROR(__xludf.DUMMYFUNCTION("""COMPUTED_VALUE"""),"น.ต.ศักชัย บุญประสิทธิ์")</f>
        <v>น.ต.ศักชัย บุญประสิทธิ์</v>
      </c>
      <c r="N127" s="14" t="str">
        <f>IFERROR(__xludf.DUMMYFUNCTION("""COMPUTED_VALUE"""),"https://lh5.googleusercontent.com/d/10n6WH0toNF4mdckLAOiIcg5A8nWTAjvP")</f>
        <v>https://lh5.googleusercontent.com/d/10n6WH0toNF4mdckLAOiIcg5A8nWTAjvP</v>
      </c>
      <c r="O127" s="14" t="str">
        <f>IFERROR(__xludf.DUMMYFUNCTION("""COMPUTED_VALUE"""),"https://drive.google.com/file/d/1TgBVy7X73A7KPj9AQdsRG9totkTRjyBi/view?usp=drivesdk")</f>
        <v>https://drive.google.com/file/d/1TgBVy7X73A7KPj9AQdsRG9totkTRjyBi/view?usp=drivesdk</v>
      </c>
    </row>
    <row r="128">
      <c r="A128" s="3">
        <f>IFERROR(__xludf.DUMMYFUNCTION("""COMPUTED_VALUE"""),1112.0)</f>
        <v>1112</v>
      </c>
      <c r="B128" s="11">
        <f>IFERROR(__xludf.DUMMYFUNCTION("""COMPUTED_VALUE"""),45993.63868837963)</f>
        <v>45993.63869</v>
      </c>
      <c r="C128" s="3" t="str">
        <f>IFERROR(__xludf.DUMMYFUNCTION("""COMPUTED_VALUE"""),"ชั้นปีที่ 1")</f>
        <v>ชั้นปีที่ 1</v>
      </c>
      <c r="D128" s="3" t="str">
        <f>IFERROR(__xludf.DUMMYFUNCTION("""COMPUTED_VALUE"""),"6803891")</f>
        <v>6803891</v>
      </c>
      <c r="E128" s="3" t="str">
        <f>IFERROR(__xludf.DUMMYFUNCTION("""COMPUTED_VALUE"""),"10")</f>
        <v>10</v>
      </c>
      <c r="F128" s="3" t="str">
        <f>IFERROR(__xludf.DUMMYFUNCTION("""COMPUTED_VALUE"""),"นพอ.จิรัชยา ธีรประภานนท์")</f>
        <v>นพอ.จิรัชยา ธีรประภานนท์</v>
      </c>
      <c r="G1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28" s="3" t="str">
        <f>IFERROR(__xludf.DUMMYFUNCTION("""COMPUTED_VALUE"""),"การแข่งขันกอล์ฟเพื่อการกุศล กองทัพอากาศ")</f>
        <v>การแข่งขันกอล์ฟเพื่อการกุศล กองทัพอากาศ</v>
      </c>
      <c r="I128" s="3" t="str">
        <f>IFERROR(__xludf.DUMMYFUNCTION("""COMPUTED_VALUE"""),"สนามกอล์ฟ ทอ.")</f>
        <v>สนามกอล์ฟ ทอ.</v>
      </c>
      <c r="J128" s="12">
        <f>IFERROR(__xludf.DUMMYFUNCTION("""COMPUTED_VALUE"""),45989.0)</f>
        <v>45989</v>
      </c>
      <c r="K128" s="3" t="str">
        <f>IFERROR(__xludf.DUMMYFUNCTION("""COMPUTED_VALUE"""),"1600-2100")</f>
        <v>1600-2100</v>
      </c>
      <c r="L128" s="3">
        <f>IFERROR(__xludf.DUMMYFUNCTION("""COMPUTED_VALUE"""),5.0)</f>
        <v>5</v>
      </c>
      <c r="M128" s="3" t="str">
        <f>IFERROR(__xludf.DUMMYFUNCTION("""COMPUTED_VALUE"""),"น.ต.ศักชัย บุญประสิทธิ์")</f>
        <v>น.ต.ศักชัย บุญประสิทธิ์</v>
      </c>
      <c r="N128" s="14" t="str">
        <f>IFERROR(__xludf.DUMMYFUNCTION("""COMPUTED_VALUE"""),"https://lh5.googleusercontent.com/d/1znxR8Hjq18Mp8oi54wtdbmtLv2wW5fWH")</f>
        <v>https://lh5.googleusercontent.com/d/1znxR8Hjq18Mp8oi54wtdbmtLv2wW5fWH</v>
      </c>
      <c r="O128" s="14" t="str">
        <f>IFERROR(__xludf.DUMMYFUNCTION("""COMPUTED_VALUE"""),"https://drive.google.com/file/d/1yD0Ohrg80TecfBIHD6eJYJbypNLh_PHu/view?usp=drivesdk")</f>
        <v>https://drive.google.com/file/d/1yD0Ohrg80TecfBIHD6eJYJbypNLh_PHu/view?usp=drivesdk</v>
      </c>
    </row>
    <row r="129">
      <c r="A129" s="3">
        <f>IFERROR(__xludf.DUMMYFUNCTION("""COMPUTED_VALUE"""),1113.0)</f>
        <v>1113</v>
      </c>
      <c r="B129" s="11">
        <f>IFERROR(__xludf.DUMMYFUNCTION("""COMPUTED_VALUE"""),45993.641388310185)</f>
        <v>45993.64139</v>
      </c>
      <c r="C129" s="3" t="str">
        <f>IFERROR(__xludf.DUMMYFUNCTION("""COMPUTED_VALUE"""),"ชั้นปีที่ 1")</f>
        <v>ชั้นปีที่ 1</v>
      </c>
      <c r="D129" s="3" t="str">
        <f>IFERROR(__xludf.DUMMYFUNCTION("""COMPUTED_VALUE"""),"6803943")</f>
        <v>6803943</v>
      </c>
      <c r="E129" s="3" t="str">
        <f>IFERROR(__xludf.DUMMYFUNCTION("""COMPUTED_VALUE"""),"62")</f>
        <v>62</v>
      </c>
      <c r="F129" s="3" t="str">
        <f>IFERROR(__xludf.DUMMYFUNCTION("""COMPUTED_VALUE"""),"นพอ.อภิสรา บุญเกื้อ")</f>
        <v>นพอ.อภิสรา บุญเกื้อ</v>
      </c>
      <c r="G129" s="3" t="str">
        <f>IFERROR(__xludf.DUMMYFUNCTION("""COMPUTED_VALUE"""),"ช่วยเหลืองานภายใน วพอ.")</f>
        <v>ช่วยเหลืองานภายใน วพอ.</v>
      </c>
      <c r="H129" s="3" t="str">
        <f>IFERROR(__xludf.DUMMYFUNCTION("""COMPUTED_VALUE"""),"วงดุริยางค์")</f>
        <v>วงดุริยางค์</v>
      </c>
      <c r="I129" s="3" t="str">
        <f>IFERROR(__xludf.DUMMYFUNCTION("""COMPUTED_VALUE"""),"วพอ.พอ.")</f>
        <v>วพอ.พอ.</v>
      </c>
      <c r="J129" s="12">
        <f>IFERROR(__xludf.DUMMYFUNCTION("""COMPUTED_VALUE"""),45959.0)</f>
        <v>45959</v>
      </c>
      <c r="K129" s="3" t="str">
        <f>IFERROR(__xludf.DUMMYFUNCTION("""COMPUTED_VALUE"""),"0700-0800")</f>
        <v>0700-0800</v>
      </c>
      <c r="L129" s="3">
        <f>IFERROR(__xludf.DUMMYFUNCTION("""COMPUTED_VALUE"""),1.0)</f>
        <v>1</v>
      </c>
      <c r="M129" s="3" t="str">
        <f>IFERROR(__xludf.DUMMYFUNCTION("""COMPUTED_VALUE"""),"ร.อ.อนุชิต ทำจะดี")</f>
        <v>ร.อ.อนุชิต ทำจะดี</v>
      </c>
      <c r="N129" s="14" t="str">
        <f>IFERROR(__xludf.DUMMYFUNCTION("""COMPUTED_VALUE"""),"https://lh5.googleusercontent.com/d/1eGQ5CAtjziGQim3s2Ue8xlfLz7SRQD7q")</f>
        <v>https://lh5.googleusercontent.com/d/1eGQ5CAtjziGQim3s2Ue8xlfLz7SRQD7q</v>
      </c>
      <c r="O129" s="14" t="str">
        <f>IFERROR(__xludf.DUMMYFUNCTION("""COMPUTED_VALUE"""),"https://drive.google.com/file/d/1fuO_l9nsDpZuhIv59Cbq1wrpr8KR3Lhz/view?usp=drivesdk")</f>
        <v>https://drive.google.com/file/d/1fuO_l9nsDpZuhIv59Cbq1wrpr8KR3Lhz/view?usp=drivesdk</v>
      </c>
    </row>
    <row r="130">
      <c r="A130" s="3">
        <f>IFERROR(__xludf.DUMMYFUNCTION("""COMPUTED_VALUE"""),1114.0)</f>
        <v>1114</v>
      </c>
      <c r="B130" s="11">
        <f>IFERROR(__xludf.DUMMYFUNCTION("""COMPUTED_VALUE"""),45993.642655185184)</f>
        <v>45993.64266</v>
      </c>
      <c r="C130" s="3" t="str">
        <f>IFERROR(__xludf.DUMMYFUNCTION("""COMPUTED_VALUE"""),"ชั้นปีที่ 1")</f>
        <v>ชั้นปีที่ 1</v>
      </c>
      <c r="D130" s="3" t="str">
        <f>IFERROR(__xludf.DUMMYFUNCTION("""COMPUTED_VALUE"""),"6803891")</f>
        <v>6803891</v>
      </c>
      <c r="E130" s="3" t="str">
        <f>IFERROR(__xludf.DUMMYFUNCTION("""COMPUTED_VALUE"""),"10")</f>
        <v>10</v>
      </c>
      <c r="F130" s="3" t="str">
        <f>IFERROR(__xludf.DUMMYFUNCTION("""COMPUTED_VALUE"""),"นพอ.จิรัชยา ธีรประภานนท์")</f>
        <v>นพอ.จิรัชยา ธีรประภานนท์</v>
      </c>
      <c r="G13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0" s="3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30" s="3" t="str">
        <f>IFERROR(__xludf.DUMMYFUNCTION("""COMPUTED_VALUE"""),"สนามกอล์ฟ ทอ.")</f>
        <v>สนามกอล์ฟ ทอ.</v>
      </c>
      <c r="J130" s="12">
        <f>IFERROR(__xludf.DUMMYFUNCTION("""COMPUTED_VALUE"""),45989.0)</f>
        <v>45989</v>
      </c>
      <c r="K130" s="3" t="str">
        <f>IFERROR(__xludf.DUMMYFUNCTION("""COMPUTED_VALUE"""),"1600-2100")</f>
        <v>1600-2100</v>
      </c>
      <c r="L130" s="3">
        <f>IFERROR(__xludf.DUMMYFUNCTION("""COMPUTED_VALUE"""),5.0)</f>
        <v>5</v>
      </c>
      <c r="M130" s="3" t="str">
        <f>IFERROR(__xludf.DUMMYFUNCTION("""COMPUTED_VALUE"""),"น.ต.ศักชัย บุญประสิทธิ์")</f>
        <v>น.ต.ศักชัย บุญประสิทธิ์</v>
      </c>
      <c r="N130" s="14" t="str">
        <f>IFERROR(__xludf.DUMMYFUNCTION("""COMPUTED_VALUE"""),"https://lh5.googleusercontent.com/d/1AURERdOwFeP6h_XwISkHQz67rRpafgsj")</f>
        <v>https://lh5.googleusercontent.com/d/1AURERdOwFeP6h_XwISkHQz67rRpafgsj</v>
      </c>
      <c r="O130" s="14" t="str">
        <f>IFERROR(__xludf.DUMMYFUNCTION("""COMPUTED_VALUE"""),"https://drive.google.com/file/d/1ANGgjWJjvMwLcTSLZkIfMZW_yfIAHANh/view?usp=drivesdk")</f>
        <v>https://drive.google.com/file/d/1ANGgjWJjvMwLcTSLZkIfMZW_yfIAHANh/view?usp=drivesdk</v>
      </c>
    </row>
    <row r="131">
      <c r="A131" s="3">
        <f>IFERROR(__xludf.DUMMYFUNCTION("""COMPUTED_VALUE"""),1116.0)</f>
        <v>1116</v>
      </c>
      <c r="B131" s="11">
        <f>IFERROR(__xludf.DUMMYFUNCTION("""COMPUTED_VALUE"""),45993.814230856486)</f>
        <v>45993.81423</v>
      </c>
      <c r="C131" s="3" t="str">
        <f>IFERROR(__xludf.DUMMYFUNCTION("""COMPUTED_VALUE"""),"ชั้นปีที่ 1")</f>
        <v>ชั้นปีที่ 1</v>
      </c>
      <c r="D131" s="3" t="str">
        <f>IFERROR(__xludf.DUMMYFUNCTION("""COMPUTED_VALUE"""),"6803909")</f>
        <v>6803909</v>
      </c>
      <c r="E131" s="3" t="str">
        <f>IFERROR(__xludf.DUMMYFUNCTION("""COMPUTED_VALUE"""),"28")</f>
        <v>28</v>
      </c>
      <c r="F131" s="3" t="str">
        <f>IFERROR(__xludf.DUMMYFUNCTION("""COMPUTED_VALUE"""),"นวพร แซ่ห้าว")</f>
        <v>นวพร แซ่ห้าว</v>
      </c>
      <c r="G131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31" s="3" t="str">
        <f>IFERROR(__xludf.DUMMYFUNCTION("""COMPUTED_VALUE"""),"งานแจกของพระราชทานพระบรมศพระพันปีหลวง")</f>
        <v>งานแจกของพระราชทานพระบรมศพระพันปีหลวง</v>
      </c>
      <c r="I131" s="3" t="str">
        <f>IFERROR(__xludf.DUMMYFUNCTION("""COMPUTED_VALUE"""),"สนามหลวง")</f>
        <v>สนามหลวง</v>
      </c>
      <c r="J131" s="12">
        <f>IFERROR(__xludf.DUMMYFUNCTION("""COMPUTED_VALUE"""),45990.0)</f>
        <v>45990</v>
      </c>
      <c r="K131" s="3" t="str">
        <f>IFERROR(__xludf.DUMMYFUNCTION("""COMPUTED_VALUE"""),"0800-1200")</f>
        <v>0800-1200</v>
      </c>
      <c r="L131" s="3">
        <f>IFERROR(__xludf.DUMMYFUNCTION("""COMPUTED_VALUE"""),4.0)</f>
        <v>4</v>
      </c>
      <c r="M13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31" s="14" t="str">
        <f>IFERROR(__xludf.DUMMYFUNCTION("""COMPUTED_VALUE"""),"https://lh5.googleusercontent.com/d/1XgyOKBTxYbUr707xCFM9wnzS-OZV9A7W")</f>
        <v>https://lh5.googleusercontent.com/d/1XgyOKBTxYbUr707xCFM9wnzS-OZV9A7W</v>
      </c>
      <c r="O131" s="14" t="str">
        <f>IFERROR(__xludf.DUMMYFUNCTION("""COMPUTED_VALUE"""),"https://drive.google.com/file/d/1VluueX1eVMJSAs3ZZ7orsuZ5sblWnd_a/view?usp=drivesdk")</f>
        <v>https://drive.google.com/file/d/1VluueX1eVMJSAs3ZZ7orsuZ5sblWnd_a/view?usp=drivesdk</v>
      </c>
    </row>
    <row r="132">
      <c r="A132" s="3">
        <f>IFERROR(__xludf.DUMMYFUNCTION("""COMPUTED_VALUE"""),1117.0)</f>
        <v>1117</v>
      </c>
      <c r="B132" s="11">
        <f>IFERROR(__xludf.DUMMYFUNCTION("""COMPUTED_VALUE"""),45993.8150165625)</f>
        <v>45993.81502</v>
      </c>
      <c r="C132" s="3" t="str">
        <f>IFERROR(__xludf.DUMMYFUNCTION("""COMPUTED_VALUE"""),"ชั้นปีที่ 1")</f>
        <v>ชั้นปีที่ 1</v>
      </c>
      <c r="D132" s="3" t="str">
        <f>IFERROR(__xludf.DUMMYFUNCTION("""COMPUTED_VALUE"""),"6803910")</f>
        <v>6803910</v>
      </c>
      <c r="E132" s="3" t="str">
        <f>IFERROR(__xludf.DUMMYFUNCTION("""COMPUTED_VALUE"""),"29")</f>
        <v>29</v>
      </c>
      <c r="F132" s="3" t="str">
        <f>IFERROR(__xludf.DUMMYFUNCTION("""COMPUTED_VALUE"""),"นวพร โอรัตนสถาพร")</f>
        <v>นวพร โอรัตนสถาพร</v>
      </c>
      <c r="G132" s="3" t="str">
        <f>IFERROR(__xludf.DUMMYFUNCTION("""COMPUTED_VALUE"""),"ช่วยเหลืองานภายใน วพอ.")</f>
        <v>ช่วยเหลืองานภายใน วพอ.</v>
      </c>
      <c r="H132" s="3" t="str">
        <f>IFERROR(__xludf.DUMMYFUNCTION("""COMPUTED_VALUE"""),"เล่นดุริยางค์")</f>
        <v>เล่นดุริยางค์</v>
      </c>
      <c r="I132" s="3" t="str">
        <f>IFERROR(__xludf.DUMMYFUNCTION("""COMPUTED_VALUE"""),"วพอ.")</f>
        <v>วพอ.</v>
      </c>
      <c r="J132" s="12">
        <f>IFERROR(__xludf.DUMMYFUNCTION("""COMPUTED_VALUE"""),45989.0)</f>
        <v>45989</v>
      </c>
      <c r="K132" s="3" t="str">
        <f>IFERROR(__xludf.DUMMYFUNCTION("""COMPUTED_VALUE"""),"0700-0740")</f>
        <v>0700-0740</v>
      </c>
      <c r="L132" s="3">
        <f>IFERROR(__xludf.DUMMYFUNCTION("""COMPUTED_VALUE"""),1.0)</f>
        <v>1</v>
      </c>
      <c r="M132" s="3" t="str">
        <f>IFERROR(__xludf.DUMMYFUNCTION("""COMPUTED_VALUE"""),"ร.อ.อนุชิต ทำจะดี")</f>
        <v>ร.อ.อนุชิต ทำจะดี</v>
      </c>
      <c r="N132" s="14" t="str">
        <f>IFERROR(__xludf.DUMMYFUNCTION("""COMPUTED_VALUE"""),"https://lh5.googleusercontent.com/d/1ox9aUISmKn-4VmXE5Uzc9edK4BfaT1bI")</f>
        <v>https://lh5.googleusercontent.com/d/1ox9aUISmKn-4VmXE5Uzc9edK4BfaT1bI</v>
      </c>
      <c r="O132" s="14" t="str">
        <f>IFERROR(__xludf.DUMMYFUNCTION("""COMPUTED_VALUE"""),"https://drive.google.com/file/d/1RlcMYFnPSGHdr0mhRjIkE54vOM7nI8Zy/view?usp=drivesdk")</f>
        <v>https://drive.google.com/file/d/1RlcMYFnPSGHdr0mhRjIkE54vOM7nI8Zy/view?usp=drivesdk</v>
      </c>
    </row>
    <row r="133">
      <c r="A133" s="3">
        <f>IFERROR(__xludf.DUMMYFUNCTION("""COMPUTED_VALUE"""),1118.0)</f>
        <v>1118</v>
      </c>
      <c r="B133" s="11">
        <f>IFERROR(__xludf.DUMMYFUNCTION("""COMPUTED_VALUE"""),45993.818654780094)</f>
        <v>45993.81865</v>
      </c>
      <c r="C133" s="3" t="str">
        <f>IFERROR(__xludf.DUMMYFUNCTION("""COMPUTED_VALUE"""),"ชั้นปีที่ 1")</f>
        <v>ชั้นปีที่ 1</v>
      </c>
      <c r="D133" s="3" t="str">
        <f>IFERROR(__xludf.DUMMYFUNCTION("""COMPUTED_VALUE"""),"6803910")</f>
        <v>6803910</v>
      </c>
      <c r="E133" s="3" t="str">
        <f>IFERROR(__xludf.DUMMYFUNCTION("""COMPUTED_VALUE"""),"29")</f>
        <v>29</v>
      </c>
      <c r="F133" s="3" t="str">
        <f>IFERROR(__xludf.DUMMYFUNCTION("""COMPUTED_VALUE"""),"นวพร โอรัตนสถาพร")</f>
        <v>นวพร โอรัตนสถาพร</v>
      </c>
      <c r="G133" s="3" t="str">
        <f>IFERROR(__xludf.DUMMYFUNCTION("""COMPUTED_VALUE"""),"ช่วยเหลืองานภายใน วพอ.")</f>
        <v>ช่วยเหลืองานภายใน วพอ.</v>
      </c>
      <c r="H133" s="3" t="str">
        <f>IFERROR(__xludf.DUMMYFUNCTION("""COMPUTED_VALUE"""),"เล่นดุริยางค์")</f>
        <v>เล่นดุริยางค์</v>
      </c>
      <c r="I133" s="3" t="str">
        <f>IFERROR(__xludf.DUMMYFUNCTION("""COMPUTED_VALUE"""),"วพอ.")</f>
        <v>วพอ.</v>
      </c>
      <c r="J133" s="12">
        <f>IFERROR(__xludf.DUMMYFUNCTION("""COMPUTED_VALUE"""),45959.0)</f>
        <v>45959</v>
      </c>
      <c r="K133" s="3" t="str">
        <f>IFERROR(__xludf.DUMMYFUNCTION("""COMPUTED_VALUE"""),"0700-0740")</f>
        <v>0700-0740</v>
      </c>
      <c r="L133" s="3">
        <f>IFERROR(__xludf.DUMMYFUNCTION("""COMPUTED_VALUE"""),1.0)</f>
        <v>1</v>
      </c>
      <c r="M133" s="3" t="str">
        <f>IFERROR(__xludf.DUMMYFUNCTION("""COMPUTED_VALUE"""),"ร.อ.อนุชิต ทำจะดี")</f>
        <v>ร.อ.อนุชิต ทำจะดี</v>
      </c>
      <c r="N133" s="14" t="str">
        <f>IFERROR(__xludf.DUMMYFUNCTION("""COMPUTED_VALUE"""),"https://lh5.googleusercontent.com/d/1VhVZLZP-AKiOfAaRppA2kmefKV-V_W9Q")</f>
        <v>https://lh5.googleusercontent.com/d/1VhVZLZP-AKiOfAaRppA2kmefKV-V_W9Q</v>
      </c>
      <c r="O133" s="14" t="str">
        <f>IFERROR(__xludf.DUMMYFUNCTION("""COMPUTED_VALUE"""),"https://drive.google.com/file/d/1H6IcODm2oL5X6DFmaTrhCsH0RPxtDoQR/view?usp=drivesdk")</f>
        <v>https://drive.google.com/file/d/1H6IcODm2oL5X6DFmaTrhCsH0RPxtDoQR/view?usp=drivesdk</v>
      </c>
    </row>
    <row r="134">
      <c r="A134" s="3">
        <f>IFERROR(__xludf.DUMMYFUNCTION("""COMPUTED_VALUE"""),1119.0)</f>
        <v>1119</v>
      </c>
      <c r="B134" s="11">
        <f>IFERROR(__xludf.DUMMYFUNCTION("""COMPUTED_VALUE"""),45993.821244375)</f>
        <v>45993.82124</v>
      </c>
      <c r="C134" s="3" t="str">
        <f>IFERROR(__xludf.DUMMYFUNCTION("""COMPUTED_VALUE"""),"ชั้นปีที่ 1")</f>
        <v>ชั้นปีที่ 1</v>
      </c>
      <c r="D134" s="3" t="str">
        <f>IFERROR(__xludf.DUMMYFUNCTION("""COMPUTED_VALUE"""),"6803910")</f>
        <v>6803910</v>
      </c>
      <c r="E134" s="3" t="str">
        <f>IFERROR(__xludf.DUMMYFUNCTION("""COMPUTED_VALUE"""),"29")</f>
        <v>29</v>
      </c>
      <c r="F134" s="3" t="str">
        <f>IFERROR(__xludf.DUMMYFUNCTION("""COMPUTED_VALUE"""),"นวพร โอรัตนสถาพร")</f>
        <v>นวพร โอรัตนสถาพร</v>
      </c>
      <c r="G134" s="3" t="str">
        <f>IFERROR(__xludf.DUMMYFUNCTION("""COMPUTED_VALUE"""),"ช่วยเหลืองานภายใน วพอ.")</f>
        <v>ช่วยเหลืองานภายใน วพอ.</v>
      </c>
      <c r="H134" s="3" t="str">
        <f>IFERROR(__xludf.DUMMYFUNCTION("""COMPUTED_VALUE"""),"เล่นดุริยางค์")</f>
        <v>เล่นดุริยางค์</v>
      </c>
      <c r="I134" s="3" t="str">
        <f>IFERROR(__xludf.DUMMYFUNCTION("""COMPUTED_VALUE"""),"วพอ.")</f>
        <v>วพอ.</v>
      </c>
      <c r="J134" s="12">
        <f>IFERROR(__xludf.DUMMYFUNCTION("""COMPUTED_VALUE"""),45952.0)</f>
        <v>45952</v>
      </c>
      <c r="K134" s="3" t="str">
        <f>IFERROR(__xludf.DUMMYFUNCTION("""COMPUTED_VALUE"""),"0700-0740")</f>
        <v>0700-0740</v>
      </c>
      <c r="L134" s="3">
        <f>IFERROR(__xludf.DUMMYFUNCTION("""COMPUTED_VALUE"""),1.0)</f>
        <v>1</v>
      </c>
      <c r="M134" s="3" t="str">
        <f>IFERROR(__xludf.DUMMYFUNCTION("""COMPUTED_VALUE"""),"ร.อ.อนุชิต ทำจะดี")</f>
        <v>ร.อ.อนุชิต ทำจะดี</v>
      </c>
      <c r="N134" s="14" t="str">
        <f>IFERROR(__xludf.DUMMYFUNCTION("""COMPUTED_VALUE"""),"https://lh5.googleusercontent.com/d/1xbRUF2rGbB3FV0gGM_-P6GPicrZLFDoc")</f>
        <v>https://lh5.googleusercontent.com/d/1xbRUF2rGbB3FV0gGM_-P6GPicrZLFDoc</v>
      </c>
      <c r="O134" s="14" t="str">
        <f>IFERROR(__xludf.DUMMYFUNCTION("""COMPUTED_VALUE"""),"https://drive.google.com/file/d/1cX_dKJ3U6p7MUuDW0vN7L1YParxuy92z/view?usp=drivesdk")</f>
        <v>https://drive.google.com/file/d/1cX_dKJ3U6p7MUuDW0vN7L1YParxuy92z/view?usp=drivesdk</v>
      </c>
    </row>
    <row r="135">
      <c r="A135" s="3">
        <f>IFERROR(__xludf.DUMMYFUNCTION("""COMPUTED_VALUE"""),1120.0)</f>
        <v>1120</v>
      </c>
      <c r="B135" s="11">
        <f>IFERROR(__xludf.DUMMYFUNCTION("""COMPUTED_VALUE"""),45993.82278574074)</f>
        <v>45993.82279</v>
      </c>
      <c r="C135" s="3" t="str">
        <f>IFERROR(__xludf.DUMMYFUNCTION("""COMPUTED_VALUE"""),"ชั้นปีที่ 1")</f>
        <v>ชั้นปีที่ 1</v>
      </c>
      <c r="D135" s="3" t="str">
        <f>IFERROR(__xludf.DUMMYFUNCTION("""COMPUTED_VALUE"""),"6803910")</f>
        <v>6803910</v>
      </c>
      <c r="E135" s="3" t="str">
        <f>IFERROR(__xludf.DUMMYFUNCTION("""COMPUTED_VALUE"""),"29")</f>
        <v>29</v>
      </c>
      <c r="F135" s="3" t="str">
        <f>IFERROR(__xludf.DUMMYFUNCTION("""COMPUTED_VALUE"""),"นวพร โอรัตนสถาพร")</f>
        <v>นวพร โอรัตนสถาพร</v>
      </c>
      <c r="G135" s="3" t="str">
        <f>IFERROR(__xludf.DUMMYFUNCTION("""COMPUTED_VALUE"""),"ช่วยเหลืองานภายใน วพอ.")</f>
        <v>ช่วยเหลืองานภายใน วพอ.</v>
      </c>
      <c r="H135" s="3" t="str">
        <f>IFERROR(__xludf.DUMMYFUNCTION("""COMPUTED_VALUE"""),"เล่นดุริยางค์")</f>
        <v>เล่นดุริยางค์</v>
      </c>
      <c r="I135" s="3" t="str">
        <f>IFERROR(__xludf.DUMMYFUNCTION("""COMPUTED_VALUE"""),"วพอ.")</f>
        <v>วพอ.</v>
      </c>
      <c r="J135" s="12">
        <f>IFERROR(__xludf.DUMMYFUNCTION("""COMPUTED_VALUE"""),45946.0)</f>
        <v>45946</v>
      </c>
      <c r="K135" s="3" t="str">
        <f>IFERROR(__xludf.DUMMYFUNCTION("""COMPUTED_VALUE"""),"0700-0740")</f>
        <v>0700-0740</v>
      </c>
      <c r="L135" s="3">
        <f>IFERROR(__xludf.DUMMYFUNCTION("""COMPUTED_VALUE"""),1.0)</f>
        <v>1</v>
      </c>
      <c r="M135" s="3" t="str">
        <f>IFERROR(__xludf.DUMMYFUNCTION("""COMPUTED_VALUE"""),"ร.อ.อนุชิต ทำจะดี")</f>
        <v>ร.อ.อนุชิต ทำจะดี</v>
      </c>
      <c r="N135" s="14" t="str">
        <f>IFERROR(__xludf.DUMMYFUNCTION("""COMPUTED_VALUE"""),"https://lh5.googleusercontent.com/d/1oimbKveejCVYq53zwJP7UTVbWKW-IUak")</f>
        <v>https://lh5.googleusercontent.com/d/1oimbKveejCVYq53zwJP7UTVbWKW-IUak</v>
      </c>
      <c r="O135" s="14" t="str">
        <f>IFERROR(__xludf.DUMMYFUNCTION("""COMPUTED_VALUE"""),"https://drive.google.com/file/d/1uSEqEeBUoXMQ1TInVkkxaIaqvBxNo428/view?usp=drivesdk")</f>
        <v>https://drive.google.com/file/d/1uSEqEeBUoXMQ1TInVkkxaIaqvBxNo428/view?usp=drivesdk</v>
      </c>
    </row>
    <row r="136">
      <c r="A136" s="3">
        <f>IFERROR(__xludf.DUMMYFUNCTION("""COMPUTED_VALUE"""),1132.0)</f>
        <v>1132</v>
      </c>
      <c r="B136" s="11">
        <f>IFERROR(__xludf.DUMMYFUNCTION("""COMPUTED_VALUE"""),45994.36559267362)</f>
        <v>45994.36559</v>
      </c>
      <c r="C136" s="3" t="str">
        <f>IFERROR(__xludf.DUMMYFUNCTION("""COMPUTED_VALUE"""),"ชั้นปีที่ 1")</f>
        <v>ชั้นปีที่ 1</v>
      </c>
      <c r="D136" s="3" t="str">
        <f>IFERROR(__xludf.DUMMYFUNCTION("""COMPUTED_VALUE"""),"6803927")</f>
        <v>6803927</v>
      </c>
      <c r="E136" s="3" t="str">
        <f>IFERROR(__xludf.DUMMYFUNCTION("""COMPUTED_VALUE"""),"46")</f>
        <v>46</v>
      </c>
      <c r="F136" s="3" t="str">
        <f>IFERROR(__xludf.DUMMYFUNCTION("""COMPUTED_VALUE"""),"นพอ.มณฑกาญจน์ กองจะริตร์")</f>
        <v>นพอ.มณฑกาญจน์ กองจะริตร์</v>
      </c>
      <c r="G136" s="3" t="str">
        <f>IFERROR(__xludf.DUMMYFUNCTION("""COMPUTED_VALUE"""),"งานฟรีทั่วไป")</f>
        <v>งานฟรีทั่วไป</v>
      </c>
      <c r="H136" s="3" t="str">
        <f>IFERROR(__xludf.DUMMYFUNCTION("""COMPUTED_VALUE"""),"ช่วยพ่อแม่ขายของ")</f>
        <v>ช่วยพ่อแม่ขายของ</v>
      </c>
      <c r="I136" s="3" t="str">
        <f>IFERROR(__xludf.DUMMYFUNCTION("""COMPUTED_VALUE"""),"ตลาดเจริญทรัพย์ อ.สองพี่น้อง จ.สุพรรณบุรี")</f>
        <v>ตลาดเจริญทรัพย์ อ.สองพี่น้อง จ.สุพรรณบุรี</v>
      </c>
      <c r="J136" s="12">
        <f>IFERROR(__xludf.DUMMYFUNCTION("""COMPUTED_VALUE"""),45983.0)</f>
        <v>45983</v>
      </c>
      <c r="K136" s="3" t="str">
        <f>IFERROR(__xludf.DUMMYFUNCTION("""COMPUTED_VALUE"""),"1300-1700")</f>
        <v>1300-1700</v>
      </c>
      <c r="L136" s="3">
        <f>IFERROR(__xludf.DUMMYFUNCTION("""COMPUTED_VALUE"""),4.0)</f>
        <v>4</v>
      </c>
      <c r="M136" s="3" t="str">
        <f>IFERROR(__xludf.DUMMYFUNCTION("""COMPUTED_VALUE"""),"นายณภัทร กองจะริตร์")</f>
        <v>นายณภัทร กองจะริตร์</v>
      </c>
      <c r="N136" s="14" t="str">
        <f>IFERROR(__xludf.DUMMYFUNCTION("""COMPUTED_VALUE"""),"https://lh5.googleusercontent.com/d/1Mm0S-QHboaa6ioV5gnBL5trXCLVb5Nbk")</f>
        <v>https://lh5.googleusercontent.com/d/1Mm0S-QHboaa6ioV5gnBL5trXCLVb5Nbk</v>
      </c>
      <c r="O136" s="14" t="str">
        <f>IFERROR(__xludf.DUMMYFUNCTION("""COMPUTED_VALUE"""),"https://drive.google.com/file/d/1M5wNxMf8I4e5uKT4aZ_PMGuDR8C9Of3S/view?usp=drivesdk")</f>
        <v>https://drive.google.com/file/d/1M5wNxMf8I4e5uKT4aZ_PMGuDR8C9Of3S/view?usp=drivesdk</v>
      </c>
    </row>
    <row r="137">
      <c r="A137" s="3">
        <f>IFERROR(__xludf.DUMMYFUNCTION("""COMPUTED_VALUE"""),1134.0)</f>
        <v>1134</v>
      </c>
      <c r="B137" s="11">
        <f>IFERROR(__xludf.DUMMYFUNCTION("""COMPUTED_VALUE"""),45994.37337366898)</f>
        <v>45994.37337</v>
      </c>
      <c r="C137" s="3" t="str">
        <f>IFERROR(__xludf.DUMMYFUNCTION("""COMPUTED_VALUE"""),"ชั้นปีที่ 1")</f>
        <v>ชั้นปีที่ 1</v>
      </c>
      <c r="D137" s="3" t="str">
        <f>IFERROR(__xludf.DUMMYFUNCTION("""COMPUTED_VALUE"""),"6803927")</f>
        <v>6803927</v>
      </c>
      <c r="E137" s="3" t="str">
        <f>IFERROR(__xludf.DUMMYFUNCTION("""COMPUTED_VALUE"""),"46")</f>
        <v>46</v>
      </c>
      <c r="F137" s="3" t="str">
        <f>IFERROR(__xludf.DUMMYFUNCTION("""COMPUTED_VALUE"""),"นพอ.มณฑกาญจน์ กองจะริตร์")</f>
        <v>นพอ.มณฑกาญจน์ กองจะริตร์</v>
      </c>
      <c r="G137" s="3" t="str">
        <f>IFERROR(__xludf.DUMMYFUNCTION("""COMPUTED_VALUE"""),"งานฟรีทั่วไป")</f>
        <v>งานฟรีทั่วไป</v>
      </c>
      <c r="H137" s="3" t="str">
        <f>IFERROR(__xludf.DUMMYFUNCTION("""COMPUTED_VALUE"""),"ช่วยพ่อแม่ขายของ")</f>
        <v>ช่วยพ่อแม่ขายของ</v>
      </c>
      <c r="I137" s="3" t="str">
        <f>IFERROR(__xludf.DUMMYFUNCTION("""COMPUTED_VALUE"""),"ตลาดตอนเช้า วัดไผ่โรงวัว จ.สุพรรณบุรี")</f>
        <v>ตลาดตอนเช้า วัดไผ่โรงวัว จ.สุพรรณบุรี</v>
      </c>
      <c r="J137" s="12">
        <f>IFERROR(__xludf.DUMMYFUNCTION("""COMPUTED_VALUE"""),45942.0)</f>
        <v>45942</v>
      </c>
      <c r="K137" s="3" t="str">
        <f>IFERROR(__xludf.DUMMYFUNCTION("""COMPUTED_VALUE"""),"0600-1000")</f>
        <v>0600-1000</v>
      </c>
      <c r="L137" s="3">
        <f>IFERROR(__xludf.DUMMYFUNCTION("""COMPUTED_VALUE"""),4.0)</f>
        <v>4</v>
      </c>
      <c r="M137" s="3" t="str">
        <f>IFERROR(__xludf.DUMMYFUNCTION("""COMPUTED_VALUE"""),"นางกาญจนาภรณ์ กองจะริตร์")</f>
        <v>นางกาญจนาภรณ์ กองจะริตร์</v>
      </c>
      <c r="N137" s="14" t="str">
        <f>IFERROR(__xludf.DUMMYFUNCTION("""COMPUTED_VALUE"""),"https://lh5.googleusercontent.com/d/11lnxowgVDIa2-H1IvPes-JCrEKfNb94k")</f>
        <v>https://lh5.googleusercontent.com/d/11lnxowgVDIa2-H1IvPes-JCrEKfNb94k</v>
      </c>
      <c r="O137" s="14" t="str">
        <f>IFERROR(__xludf.DUMMYFUNCTION("""COMPUTED_VALUE"""),"https://drive.google.com/file/d/15DfXqOawocw2N0v3q3uY7d4HyD7hAllL/view?usp=drivesdk")</f>
        <v>https://drive.google.com/file/d/15DfXqOawocw2N0v3q3uY7d4HyD7hAllL/view?usp=drivesdk</v>
      </c>
    </row>
    <row r="138">
      <c r="A138" s="3">
        <f>IFERROR(__xludf.DUMMYFUNCTION("""COMPUTED_VALUE"""),1153.0)</f>
        <v>1153</v>
      </c>
      <c r="B138" s="11">
        <f>IFERROR(__xludf.DUMMYFUNCTION("""COMPUTED_VALUE"""),45994.599833831024)</f>
        <v>45994.59983</v>
      </c>
      <c r="C138" s="3" t="str">
        <f>IFERROR(__xludf.DUMMYFUNCTION("""COMPUTED_VALUE"""),"ชั้นปีที่ 1")</f>
        <v>ชั้นปีที่ 1</v>
      </c>
      <c r="D138" s="3" t="str">
        <f>IFERROR(__xludf.DUMMYFUNCTION("""COMPUTED_VALUE"""),"6803930")</f>
        <v>6803930</v>
      </c>
      <c r="E138" s="3" t="str">
        <f>IFERROR(__xludf.DUMMYFUNCTION("""COMPUTED_VALUE"""),"49")</f>
        <v>49</v>
      </c>
      <c r="F138" s="3" t="str">
        <f>IFERROR(__xludf.DUMMYFUNCTION("""COMPUTED_VALUE"""),"นพอ.ยุพารัตน์ ดาวลาย")</f>
        <v>นพอ.ยุพารัตน์ ดาวลาย</v>
      </c>
      <c r="G13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8" s="3" t="str">
        <f>IFERROR(__xludf.DUMMYFUNCTION("""COMPUTED_VALUE"""),"งานกอล์ฟ")</f>
        <v>งานกอล์ฟ</v>
      </c>
      <c r="I138" s="3" t="str">
        <f>IFERROR(__xludf.DUMMYFUNCTION("""COMPUTED_VALUE"""),"สนามกอล์ฟธูปะเตมีย์")</f>
        <v>สนามกอล์ฟธูปะเตมีย์</v>
      </c>
      <c r="J138" s="12">
        <f>IFERROR(__xludf.DUMMYFUNCTION("""COMPUTED_VALUE"""),45989.0)</f>
        <v>45989</v>
      </c>
      <c r="K138" s="3" t="str">
        <f>IFERROR(__xludf.DUMMYFUNCTION("""COMPUTED_VALUE"""),"1600-2100")</f>
        <v>1600-2100</v>
      </c>
      <c r="L138" s="3">
        <f>IFERROR(__xludf.DUMMYFUNCTION("""COMPUTED_VALUE"""),5.0)</f>
        <v>5</v>
      </c>
      <c r="M138" s="3" t="str">
        <f>IFERROR(__xludf.DUMMYFUNCTION("""COMPUTED_VALUE"""),"น.ต.ศักชัย บุญประสิทธิ์")</f>
        <v>น.ต.ศักชัย บุญประสิทธิ์</v>
      </c>
      <c r="N138" s="14" t="str">
        <f>IFERROR(__xludf.DUMMYFUNCTION("""COMPUTED_VALUE"""),"https://lh5.googleusercontent.com/d/1JhN_r95P2YoMRdPvJoFrxu2GCamGHTnM")</f>
        <v>https://lh5.googleusercontent.com/d/1JhN_r95P2YoMRdPvJoFrxu2GCamGHTnM</v>
      </c>
      <c r="O138" s="14" t="str">
        <f>IFERROR(__xludf.DUMMYFUNCTION("""COMPUTED_VALUE"""),"https://drive.google.com/file/d/1ByHT40YJQofSNDVTIvWuC9eLfpbCifkb/view?usp=drivesdk")</f>
        <v>https://drive.google.com/file/d/1ByHT40YJQofSNDVTIvWuC9eLfpbCifkb/view?usp=drivesdk</v>
      </c>
    </row>
    <row r="139">
      <c r="A139" s="3">
        <f>IFERROR(__xludf.DUMMYFUNCTION("""COMPUTED_VALUE"""),1154.0)</f>
        <v>1154</v>
      </c>
      <c r="B139" s="11">
        <f>IFERROR(__xludf.DUMMYFUNCTION("""COMPUTED_VALUE"""),45994.60126851852)</f>
        <v>45994.60127</v>
      </c>
      <c r="C139" s="3" t="str">
        <f>IFERROR(__xludf.DUMMYFUNCTION("""COMPUTED_VALUE"""),"ชั้นปีที่ 1")</f>
        <v>ชั้นปีที่ 1</v>
      </c>
      <c r="D139" s="3" t="str">
        <f>IFERROR(__xludf.DUMMYFUNCTION("""COMPUTED_VALUE"""),"6803930")</f>
        <v>6803930</v>
      </c>
      <c r="E139" s="3" t="str">
        <f>IFERROR(__xludf.DUMMYFUNCTION("""COMPUTED_VALUE"""),"49")</f>
        <v>49</v>
      </c>
      <c r="F139" s="3" t="str">
        <f>IFERROR(__xludf.DUMMYFUNCTION("""COMPUTED_VALUE"""),"นพอ.ยุพารัตน์ ดาวลาย")</f>
        <v>นพอ.ยุพารัตน์ ดาวลาย</v>
      </c>
      <c r="G1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39" s="3" t="str">
        <f>IFERROR(__xludf.DUMMYFUNCTION("""COMPUTED_VALUE"""),"งานกอล์ฟ")</f>
        <v>งานกอล์ฟ</v>
      </c>
      <c r="I139" s="3" t="str">
        <f>IFERROR(__xludf.DUMMYFUNCTION("""COMPUTED_VALUE"""),"สนามกอล์ฟธูปะเตมีย์")</f>
        <v>สนามกอล์ฟธูปะเตมีย์</v>
      </c>
      <c r="J139" s="12">
        <f>IFERROR(__xludf.DUMMYFUNCTION("""COMPUTED_VALUE"""),45989.0)</f>
        <v>45989</v>
      </c>
      <c r="K139" s="3" t="str">
        <f>IFERROR(__xludf.DUMMYFUNCTION("""COMPUTED_VALUE"""),"1600-2100")</f>
        <v>1600-2100</v>
      </c>
      <c r="L139" s="3">
        <f>IFERROR(__xludf.DUMMYFUNCTION("""COMPUTED_VALUE"""),5.0)</f>
        <v>5</v>
      </c>
      <c r="M139" s="3" t="str">
        <f>IFERROR(__xludf.DUMMYFUNCTION("""COMPUTED_VALUE"""),"น.ต.ศักชัย บุญประสิทธิ์")</f>
        <v>น.ต.ศักชัย บุญประสิทธิ์</v>
      </c>
      <c r="N139" s="14" t="str">
        <f>IFERROR(__xludf.DUMMYFUNCTION("""COMPUTED_VALUE"""),"https://lh5.googleusercontent.com/d/1UeE1_1r_w_3g5uwAfAsXKxNL4rTkfQMw")</f>
        <v>https://lh5.googleusercontent.com/d/1UeE1_1r_w_3g5uwAfAsXKxNL4rTkfQMw</v>
      </c>
      <c r="O139" s="14" t="str">
        <f>IFERROR(__xludf.DUMMYFUNCTION("""COMPUTED_VALUE"""),"https://drive.google.com/file/d/1_uXqUNGTmnmnabEBiU1cCcCZAbF08IxO/view?usp=drivesdk")</f>
        <v>https://drive.google.com/file/d/1_uXqUNGTmnmnabEBiU1cCcCZAbF08IxO/view?usp=drivesdk</v>
      </c>
    </row>
    <row r="140">
      <c r="A140" s="3">
        <f>IFERROR(__xludf.DUMMYFUNCTION("""COMPUTED_VALUE"""),1157.0)</f>
        <v>1157</v>
      </c>
      <c r="B140" s="11">
        <f>IFERROR(__xludf.DUMMYFUNCTION("""COMPUTED_VALUE"""),45994.65727216436)</f>
        <v>45994.65727</v>
      </c>
      <c r="C140" s="3" t="str">
        <f>IFERROR(__xludf.DUMMYFUNCTION("""COMPUTED_VALUE"""),"ชั้นปีที่ 1")</f>
        <v>ชั้นปีที่ 1</v>
      </c>
      <c r="D140" s="3" t="str">
        <f>IFERROR(__xludf.DUMMYFUNCTION("""COMPUTED_VALUE"""),"6803915")</f>
        <v>6803915</v>
      </c>
      <c r="E140" s="3" t="str">
        <f>IFERROR(__xludf.DUMMYFUNCTION("""COMPUTED_VALUE"""),"34")</f>
        <v>34</v>
      </c>
      <c r="F140" s="3" t="str">
        <f>IFERROR(__xludf.DUMMYFUNCTION("""COMPUTED_VALUE"""),"นพอ.ปัญชลีย์ ชื่นสวัสดิ์")</f>
        <v>นพอ.ปัญชลีย์ ชื่นสวัสดิ์</v>
      </c>
      <c r="G140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140" s="3" t="str">
        <f>IFERROR(__xludf.DUMMYFUNCTION("""COMPUTED_VALUE"""),"Big cleaning day")</f>
        <v>Big cleaning day</v>
      </c>
      <c r="I140" s="3" t="str">
        <f>IFERROR(__xludf.DUMMYFUNCTION("""COMPUTED_VALUE"""),"วพอ.พอ.")</f>
        <v>วพอ.พอ.</v>
      </c>
      <c r="J140" s="12">
        <f>IFERROR(__xludf.DUMMYFUNCTION("""COMPUTED_VALUE"""),45908.0)</f>
        <v>45908</v>
      </c>
      <c r="K140" s="3" t="str">
        <f>IFERROR(__xludf.DUMMYFUNCTION("""COMPUTED_VALUE"""),"08.00")</f>
        <v>08.00</v>
      </c>
      <c r="L140" s="3">
        <f>IFERROR(__xludf.DUMMYFUNCTION("""COMPUTED_VALUE"""),8.0)</f>
        <v>8</v>
      </c>
      <c r="M140" s="3" t="str">
        <f>IFERROR(__xludf.DUMMYFUNCTION("""COMPUTED_VALUE"""),"น.ต.ศักชัย บุญประสิทธิ์")</f>
        <v>น.ต.ศักชัย บุญประสิทธิ์</v>
      </c>
      <c r="N140" s="14" t="str">
        <f>IFERROR(__xludf.DUMMYFUNCTION("""COMPUTED_VALUE"""),"https://lh5.googleusercontent.com/d/1cclUr2wxhmjxqWvNCCNq27DaulDgALoB")</f>
        <v>https://lh5.googleusercontent.com/d/1cclUr2wxhmjxqWvNCCNq27DaulDgALoB</v>
      </c>
      <c r="O140" s="14" t="str">
        <f>IFERROR(__xludf.DUMMYFUNCTION("""COMPUTED_VALUE"""),"https://drive.google.com/file/d/1_G7EbPRFQq-CWBwJV7UZgKdRoWM8NTPO/view?usp=drivesdk")</f>
        <v>https://drive.google.com/file/d/1_G7EbPRFQq-CWBwJV7UZgKdRoWM8NTPO/view?usp=drivesdk</v>
      </c>
    </row>
    <row r="141">
      <c r="A141" s="3">
        <f>IFERROR(__xludf.DUMMYFUNCTION("""COMPUTED_VALUE"""),1195.0)</f>
        <v>1195</v>
      </c>
      <c r="B141" s="11">
        <f>IFERROR(__xludf.DUMMYFUNCTION("""COMPUTED_VALUE"""),45995.60294244212)</f>
        <v>45995.60294</v>
      </c>
      <c r="C141" s="3" t="str">
        <f>IFERROR(__xludf.DUMMYFUNCTION("""COMPUTED_VALUE"""),"ชั้นปีที่ 1")</f>
        <v>ชั้นปีที่ 1</v>
      </c>
      <c r="D141" s="3" t="str">
        <f>IFERROR(__xludf.DUMMYFUNCTION("""COMPUTED_VALUE"""),"6803882")</f>
        <v>6803882</v>
      </c>
      <c r="E141" s="3" t="str">
        <f>IFERROR(__xludf.DUMMYFUNCTION("""COMPUTED_VALUE"""),"1")</f>
        <v>1</v>
      </c>
      <c r="F141" s="3" t="str">
        <f>IFERROR(__xludf.DUMMYFUNCTION("""COMPUTED_VALUE"""),"กมลฉัตร ชาสุรีย์")</f>
        <v>กมลฉัตร ชาสุรีย์</v>
      </c>
      <c r="G141" s="3" t="str">
        <f>IFERROR(__xludf.DUMMYFUNCTION("""COMPUTED_VALUE"""),"ช่วยเหลืองานภายใน วพอ.")</f>
        <v>ช่วยเหลืองานภายใน วพอ.</v>
      </c>
      <c r="H141" s="3" t="str">
        <f>IFERROR(__xludf.DUMMYFUNCTION("""COMPUTED_VALUE"""),"จัดห้องพักผ่อน นพอ.")</f>
        <v>จัดห้องพักผ่อน นพอ.</v>
      </c>
      <c r="I141" s="3" t="str">
        <f>IFERROR(__xludf.DUMMYFUNCTION("""COMPUTED_VALUE"""),"อาคารเรียน วพอ.พอ.")</f>
        <v>อาคารเรียน วพอ.พอ.</v>
      </c>
      <c r="J141" s="12">
        <f>IFERROR(__xludf.DUMMYFUNCTION("""COMPUTED_VALUE"""),45995.0)</f>
        <v>45995</v>
      </c>
      <c r="K141" s="3" t="str">
        <f>IFERROR(__xludf.DUMMYFUNCTION("""COMPUTED_VALUE"""),"1300")</f>
        <v>1300</v>
      </c>
      <c r="L141" s="3">
        <f>IFERROR(__xludf.DUMMYFUNCTION("""COMPUTED_VALUE"""),5.0)</f>
        <v>5</v>
      </c>
      <c r="M141" s="3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141" s="14" t="str">
        <f>IFERROR(__xludf.DUMMYFUNCTION("""COMPUTED_VALUE"""),"https://lh5.googleusercontent.com/d/1-aQPspsuroCdeBuvK3iuOa88P4-OSXw5")</f>
        <v>https://lh5.googleusercontent.com/d/1-aQPspsuroCdeBuvK3iuOa88P4-OSXw5</v>
      </c>
      <c r="O141" s="14" t="str">
        <f>IFERROR(__xludf.DUMMYFUNCTION("""COMPUTED_VALUE"""),"https://drive.google.com/file/d/17jQc_RmB4JozWkccN7v2hsbWYoi1qT_f/view?usp=drivesdk")</f>
        <v>https://drive.google.com/file/d/17jQc_RmB4JozWkccN7v2hsbWYoi1qT_f/view?usp=drivesdk</v>
      </c>
    </row>
    <row r="142">
      <c r="A142" s="3">
        <f>IFERROR(__xludf.DUMMYFUNCTION("""COMPUTED_VALUE"""),1196.0)</f>
        <v>1196</v>
      </c>
      <c r="B142" s="11">
        <f>IFERROR(__xludf.DUMMYFUNCTION("""COMPUTED_VALUE"""),45995.60568354167)</f>
        <v>45995.60568</v>
      </c>
      <c r="C142" s="3" t="str">
        <f>IFERROR(__xludf.DUMMYFUNCTION("""COMPUTED_VALUE"""),"ชั้นปีที่ 1")</f>
        <v>ชั้นปีที่ 1</v>
      </c>
      <c r="D142" s="3" t="str">
        <f>IFERROR(__xludf.DUMMYFUNCTION("""COMPUTED_VALUE"""),"6803882")</f>
        <v>6803882</v>
      </c>
      <c r="E142" s="3" t="str">
        <f>IFERROR(__xludf.DUMMYFUNCTION("""COMPUTED_VALUE"""),"1")</f>
        <v>1</v>
      </c>
      <c r="F142" s="3" t="str">
        <f>IFERROR(__xludf.DUMMYFUNCTION("""COMPUTED_VALUE"""),"กมลฉัตร ชาสุรีย์")</f>
        <v>กมลฉัตร ชาสุรีย์</v>
      </c>
      <c r="G1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2" s="3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42" s="3" t="str">
        <f>IFERROR(__xludf.DUMMYFUNCTION("""COMPUTED_VALUE"""),"สนามกอล์ฟทอ.")</f>
        <v>สนามกอล์ฟทอ.</v>
      </c>
      <c r="J142" s="12">
        <f>IFERROR(__xludf.DUMMYFUNCTION("""COMPUTED_VALUE"""),45989.0)</f>
        <v>45989</v>
      </c>
      <c r="K142" s="3" t="str">
        <f>IFERROR(__xludf.DUMMYFUNCTION("""COMPUTED_VALUE"""),"1600")</f>
        <v>1600</v>
      </c>
      <c r="L142" s="3">
        <f>IFERROR(__xludf.DUMMYFUNCTION("""COMPUTED_VALUE"""),5.0)</f>
        <v>5</v>
      </c>
      <c r="M142" s="3" t="str">
        <f>IFERROR(__xludf.DUMMYFUNCTION("""COMPUTED_VALUE"""),"น.ต.ศักชัย บุญประสิทธิ์")</f>
        <v>น.ต.ศักชัย บุญประสิทธิ์</v>
      </c>
      <c r="N142" s="14" t="str">
        <f>IFERROR(__xludf.DUMMYFUNCTION("""COMPUTED_VALUE"""),"https://lh5.googleusercontent.com/d/1-knlJLajNZIoWbjgvHCoorPRF0eMvHpX")</f>
        <v>https://lh5.googleusercontent.com/d/1-knlJLajNZIoWbjgvHCoorPRF0eMvHpX</v>
      </c>
      <c r="O142" s="14" t="str">
        <f>IFERROR(__xludf.DUMMYFUNCTION("""COMPUTED_VALUE"""),"https://drive.google.com/file/d/19Z57S7Vqc_EhcrQ5N3NeZM4QhlMwmhVm/view?usp=drivesdk")</f>
        <v>https://drive.google.com/file/d/19Z57S7Vqc_EhcrQ5N3NeZM4QhlMwmhVm/view?usp=drivesdk</v>
      </c>
    </row>
    <row r="143">
      <c r="A143" s="3">
        <f>IFERROR(__xludf.DUMMYFUNCTION("""COMPUTED_VALUE"""),1197.0)</f>
        <v>1197</v>
      </c>
      <c r="B143" s="11">
        <f>IFERROR(__xludf.DUMMYFUNCTION("""COMPUTED_VALUE"""),45995.60622873843)</f>
        <v>45995.60623</v>
      </c>
      <c r="C143" s="3" t="str">
        <f>IFERROR(__xludf.DUMMYFUNCTION("""COMPUTED_VALUE"""),"ชั้นปีที่ 1")</f>
        <v>ชั้นปีที่ 1</v>
      </c>
      <c r="D143" s="3" t="str">
        <f>IFERROR(__xludf.DUMMYFUNCTION("""COMPUTED_VALUE"""),"6803944")</f>
        <v>6803944</v>
      </c>
      <c r="E143" s="3" t="str">
        <f>IFERROR(__xludf.DUMMYFUNCTION("""COMPUTED_VALUE"""),"63")</f>
        <v>63</v>
      </c>
      <c r="F143" s="3" t="str">
        <f>IFERROR(__xludf.DUMMYFUNCTION("""COMPUTED_VALUE"""),"นพอ.อริสา หฤทัยบริรักษ์")</f>
        <v>นพอ.อริสา หฤทัยบริรักษ์</v>
      </c>
      <c r="G1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3" s="3" t="str">
        <f>IFERROR(__xludf.DUMMYFUNCTION("""COMPUTED_VALUE"""),"งานกอล์ฟปิยมหาราช")</f>
        <v>งานกอล์ฟปิยมหาราช</v>
      </c>
      <c r="I143" s="3" t="str">
        <f>IFERROR(__xludf.DUMMYFUNCTION("""COMPUTED_VALUE"""),"สน่มกอล์ฟธูปะเตมีย์")</f>
        <v>สน่มกอล์ฟธูปะเตมีย์</v>
      </c>
      <c r="J143" s="12">
        <f>IFERROR(__xludf.DUMMYFUNCTION("""COMPUTED_VALUE"""),45989.0)</f>
        <v>45989</v>
      </c>
      <c r="K143" s="3" t="str">
        <f>IFERROR(__xludf.DUMMYFUNCTION("""COMPUTED_VALUE"""),"2100")</f>
        <v>2100</v>
      </c>
      <c r="L143" s="3">
        <f>IFERROR(__xludf.DUMMYFUNCTION("""COMPUTED_VALUE"""),5.0)</f>
        <v>5</v>
      </c>
      <c r="M143" s="3" t="str">
        <f>IFERROR(__xludf.DUMMYFUNCTION("""COMPUTED_VALUE"""),"น.ต.ศักชัย บุญประสิทธิ์")</f>
        <v>น.ต.ศักชัย บุญประสิทธิ์</v>
      </c>
      <c r="N143" s="14" t="str">
        <f>IFERROR(__xludf.DUMMYFUNCTION("""COMPUTED_VALUE"""),"https://lh5.googleusercontent.com/d/1PKmz7d84aP1CYyNkLtqIszkiasrVLqsq")</f>
        <v>https://lh5.googleusercontent.com/d/1PKmz7d84aP1CYyNkLtqIszkiasrVLqsq</v>
      </c>
      <c r="O143" s="14" t="str">
        <f>IFERROR(__xludf.DUMMYFUNCTION("""COMPUTED_VALUE"""),"https://drive.google.com/file/d/11WiFkXxpuqa0-t4hj5zJdCBUEXOsV35s/view?usp=drivesdk")</f>
        <v>https://drive.google.com/file/d/11WiFkXxpuqa0-t4hj5zJdCBUEXOsV35s/view?usp=drivesdk</v>
      </c>
    </row>
    <row r="144">
      <c r="A144" s="3">
        <f>IFERROR(__xludf.DUMMYFUNCTION("""COMPUTED_VALUE"""),1198.0)</f>
        <v>1198</v>
      </c>
      <c r="B144" s="11">
        <f>IFERROR(__xludf.DUMMYFUNCTION("""COMPUTED_VALUE"""),45995.606735960646)</f>
        <v>45995.60674</v>
      </c>
      <c r="C144" s="3" t="str">
        <f>IFERROR(__xludf.DUMMYFUNCTION("""COMPUTED_VALUE"""),"ชั้นปีที่ 1")</f>
        <v>ชั้นปีที่ 1</v>
      </c>
      <c r="D144" s="3" t="str">
        <f>IFERROR(__xludf.DUMMYFUNCTION("""COMPUTED_VALUE"""),"6903882")</f>
        <v>6903882</v>
      </c>
      <c r="E144" s="3" t="str">
        <f>IFERROR(__xludf.DUMMYFUNCTION("""COMPUTED_VALUE"""),"1")</f>
        <v>1</v>
      </c>
      <c r="F144" s="3" t="str">
        <f>IFERROR(__xludf.DUMMYFUNCTION("""COMPUTED_VALUE"""),"กมลฉัตร ชาสุรีย์")</f>
        <v>กมลฉัตร ชาสุรีย์</v>
      </c>
      <c r="G1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44" s="3" t="str">
        <f>IFERROR(__xludf.DUMMYFUNCTION("""COMPUTED_VALUE"""),"การแข่งขันกอล์ฟการกุศล กองทัพอากาศ")</f>
        <v>การแข่งขันกอล์ฟการกุศล กองทัพอากาศ</v>
      </c>
      <c r="I144" s="3" t="str">
        <f>IFERROR(__xludf.DUMMYFUNCTION("""COMPUTED_VALUE"""),"สนามกอล์ฟทอ.")</f>
        <v>สนามกอล์ฟทอ.</v>
      </c>
      <c r="J144" s="12">
        <f>IFERROR(__xludf.DUMMYFUNCTION("""COMPUTED_VALUE"""),45989.0)</f>
        <v>45989</v>
      </c>
      <c r="K144" s="3" t="str">
        <f>IFERROR(__xludf.DUMMYFUNCTION("""COMPUTED_VALUE"""),"1600")</f>
        <v>1600</v>
      </c>
      <c r="L144" s="3">
        <f>IFERROR(__xludf.DUMMYFUNCTION("""COMPUTED_VALUE"""),5.0)</f>
        <v>5</v>
      </c>
      <c r="M144" s="3" t="str">
        <f>IFERROR(__xludf.DUMMYFUNCTION("""COMPUTED_VALUE"""),"น.ต.ศักชัย บุญประสิทธิ์")</f>
        <v>น.ต.ศักชัย บุญประสิทธิ์</v>
      </c>
      <c r="N144" s="14" t="str">
        <f>IFERROR(__xludf.DUMMYFUNCTION("""COMPUTED_VALUE"""),"https://lh5.googleusercontent.com/d/1XXYfmPGBn8pS6H_CH7HmJXzYPbenP5gQ")</f>
        <v>https://lh5.googleusercontent.com/d/1XXYfmPGBn8pS6H_CH7HmJXzYPbenP5gQ</v>
      </c>
      <c r="O144" s="14" t="str">
        <f>IFERROR(__xludf.DUMMYFUNCTION("""COMPUTED_VALUE"""),"https://drive.google.com/file/d/15TxyC_priZTXipla3mJDTH-Mc3H_FzCn/view?usp=drivesdk")</f>
        <v>https://drive.google.com/file/d/15TxyC_priZTXipla3mJDTH-Mc3H_FzCn/view?usp=drivesdk</v>
      </c>
    </row>
    <row r="145">
      <c r="A145" s="3">
        <f>IFERROR(__xludf.DUMMYFUNCTION("""COMPUTED_VALUE"""),1199.0)</f>
        <v>1199</v>
      </c>
      <c r="B145" s="11">
        <f>IFERROR(__xludf.DUMMYFUNCTION("""COMPUTED_VALUE"""),45995.643531678244)</f>
        <v>45995.64353</v>
      </c>
      <c r="C145" s="3" t="str">
        <f>IFERROR(__xludf.DUMMYFUNCTION("""COMPUTED_VALUE"""),"ชั้นปีที่ 1")</f>
        <v>ชั้นปีที่ 1</v>
      </c>
      <c r="D145" s="3" t="str">
        <f>IFERROR(__xludf.DUMMYFUNCTION("""COMPUTED_VALUE"""),"6803892")</f>
        <v>6803892</v>
      </c>
      <c r="E145" s="3" t="str">
        <f>IFERROR(__xludf.DUMMYFUNCTION("""COMPUTED_VALUE"""),"11")</f>
        <v>11</v>
      </c>
      <c r="F145" s="3" t="str">
        <f>IFERROR(__xludf.DUMMYFUNCTION("""COMPUTED_VALUE"""),"นพอ.ชนัญธิดา สินปรุ")</f>
        <v>นพอ.ชนัญธิดา สินปรุ</v>
      </c>
      <c r="G145" s="3" t="str">
        <f>IFERROR(__xludf.DUMMYFUNCTION("""COMPUTED_VALUE"""),"ช่วยเหลืองานภายใน วพอ.")</f>
        <v>ช่วยเหลืองานภายใน วพอ.</v>
      </c>
      <c r="H145" s="3" t="str">
        <f>IFERROR(__xludf.DUMMYFUNCTION("""COMPUTED_VALUE"""),"เข้าร่วมฟังบรรยาย การให้สุขศึกษาสำหรับหญิงตั้งครรภ์ โดยพี่นทน.")</f>
        <v>เข้าร่วมฟังบรรยาย การให้สุขศึกษาสำหรับหญิงตั้งครรภ์ โดยพี่นทน.</v>
      </c>
      <c r="I145" s="3" t="str">
        <f>IFERROR(__xludf.DUMMYFUNCTION("""COMPUTED_VALUE"""),"วพอ.พอ.")</f>
        <v>วพอ.พอ.</v>
      </c>
      <c r="J145" s="12">
        <f>IFERROR(__xludf.DUMMYFUNCTION("""COMPUTED_VALUE"""),45976.0)</f>
        <v>45976</v>
      </c>
      <c r="K145" s="3" t="str">
        <f>IFERROR(__xludf.DUMMYFUNCTION("""COMPUTED_VALUE"""),"0800 - 1100")</f>
        <v>0800 - 1100</v>
      </c>
      <c r="L145" s="3">
        <f>IFERROR(__xludf.DUMMYFUNCTION("""COMPUTED_VALUE"""),3.0)</f>
        <v>3</v>
      </c>
      <c r="M145" s="3" t="str">
        <f>IFERROR(__xludf.DUMMYFUNCTION("""COMPUTED_VALUE"""),"น.อ.หญิง นิตยา สุขแสน")</f>
        <v>น.อ.หญิง นิตยา สุขแสน</v>
      </c>
      <c r="N145" s="14" t="str">
        <f>IFERROR(__xludf.DUMMYFUNCTION("""COMPUTED_VALUE"""),"https://lh5.googleusercontent.com/d/1gElkf6VaIc7upvBCiqIZaMhwkid6U87A")</f>
        <v>https://lh5.googleusercontent.com/d/1gElkf6VaIc7upvBCiqIZaMhwkid6U87A</v>
      </c>
      <c r="O145" s="14" t="str">
        <f>IFERROR(__xludf.DUMMYFUNCTION("""COMPUTED_VALUE"""),"https://drive.google.com/file/d/1o5-sI5WumIGtNAl39IlDxwjC_X9grP8o/view?usp=drivesdk")</f>
        <v>https://drive.google.com/file/d/1o5-sI5WumIGtNAl39IlDxwjC_X9grP8o/view?usp=drivesdk</v>
      </c>
    </row>
    <row r="146">
      <c r="A146" s="3">
        <f>IFERROR(__xludf.DUMMYFUNCTION("""COMPUTED_VALUE"""),1200.0)</f>
        <v>1200</v>
      </c>
      <c r="B146" s="11">
        <f>IFERROR(__xludf.DUMMYFUNCTION("""COMPUTED_VALUE"""),45996.39392094907)</f>
        <v>45996.39392</v>
      </c>
      <c r="C146" s="3" t="str">
        <f>IFERROR(__xludf.DUMMYFUNCTION("""COMPUTED_VALUE"""),"ชั้นปีที่ 1")</f>
        <v>ชั้นปีที่ 1</v>
      </c>
      <c r="D146" s="3" t="str">
        <f>IFERROR(__xludf.DUMMYFUNCTION("""COMPUTED_VALUE"""),"3896")</f>
        <v>3896</v>
      </c>
      <c r="E146" s="3" t="str">
        <f>IFERROR(__xludf.DUMMYFUNCTION("""COMPUTED_VALUE"""),"15")</f>
        <v>15</v>
      </c>
      <c r="F146" s="3" t="str">
        <f>IFERROR(__xludf.DUMMYFUNCTION("""COMPUTED_VALUE"""),"ณัชปวีย์ เยาวภา")</f>
        <v>ณัชปวีย์ เยาวภา</v>
      </c>
      <c r="G146" s="3" t="str">
        <f>IFERROR(__xludf.DUMMYFUNCTION("""COMPUTED_VALUE"""),"ช่วยเหลืองานภายใน วพอ.")</f>
        <v>ช่วยเหลืองานภายใน วพอ.</v>
      </c>
      <c r="H146" s="3" t="str">
        <f>IFERROR(__xludf.DUMMYFUNCTION("""COMPUTED_VALUE"""),"เล่นดุริยางค์")</f>
        <v>เล่นดุริยางค์</v>
      </c>
      <c r="I146" s="3" t="str">
        <f>IFERROR(__xludf.DUMMYFUNCTION("""COMPUTED_VALUE"""),"วพอ.พอ.")</f>
        <v>วพอ.พอ.</v>
      </c>
      <c r="J146" s="12">
        <f>IFERROR(__xludf.DUMMYFUNCTION("""COMPUTED_VALUE"""),45994.0)</f>
        <v>45994</v>
      </c>
      <c r="K146" s="3" t="str">
        <f>IFERROR(__xludf.DUMMYFUNCTION("""COMPUTED_VALUE"""),"0700-0740")</f>
        <v>0700-0740</v>
      </c>
      <c r="L146" s="3">
        <f>IFERROR(__xludf.DUMMYFUNCTION("""COMPUTED_VALUE"""),1.0)</f>
        <v>1</v>
      </c>
      <c r="M146" s="3" t="str">
        <f>IFERROR(__xludf.DUMMYFUNCTION("""COMPUTED_VALUE"""),"ร.อ.อนุชิต ทำจะดี")</f>
        <v>ร.อ.อนุชิต ทำจะดี</v>
      </c>
      <c r="N146" s="14" t="str">
        <f>IFERROR(__xludf.DUMMYFUNCTION("""COMPUTED_VALUE"""),"https://lh5.googleusercontent.com/d/1WvSwH4p-56DI9d8dBqgmK6CUuYqWGhLg")</f>
        <v>https://lh5.googleusercontent.com/d/1WvSwH4p-56DI9d8dBqgmK6CUuYqWGhLg</v>
      </c>
      <c r="O146" s="14" t="str">
        <f>IFERROR(__xludf.DUMMYFUNCTION("""COMPUTED_VALUE"""),"https://drive.google.com/file/d/1vW8zbkFBu26XN2dT0pFro-p9CYAcjmAz/view?usp=drivesdk")</f>
        <v>https://drive.google.com/file/d/1vW8zbkFBu26XN2dT0pFro-p9CYAcjmAz/view?usp=drivesdk</v>
      </c>
    </row>
    <row r="147">
      <c r="A147" s="3">
        <f>IFERROR(__xludf.DUMMYFUNCTION("""COMPUTED_VALUE"""),1201.0)</f>
        <v>1201</v>
      </c>
      <c r="B147" s="11">
        <f>IFERROR(__xludf.DUMMYFUNCTION("""COMPUTED_VALUE"""),45996.39681362269)</f>
        <v>45996.39681</v>
      </c>
      <c r="C147" s="3" t="str">
        <f>IFERROR(__xludf.DUMMYFUNCTION("""COMPUTED_VALUE"""),"ชั้นปีที่ 1")</f>
        <v>ชั้นปีที่ 1</v>
      </c>
      <c r="D147" s="3" t="str">
        <f>IFERROR(__xludf.DUMMYFUNCTION("""COMPUTED_VALUE"""),"6803896")</f>
        <v>6803896</v>
      </c>
      <c r="E147" s="3" t="str">
        <f>IFERROR(__xludf.DUMMYFUNCTION("""COMPUTED_VALUE"""),"15")</f>
        <v>15</v>
      </c>
      <c r="F147" s="3" t="str">
        <f>IFERROR(__xludf.DUMMYFUNCTION("""COMPUTED_VALUE"""),"นพอ.ณัชปวีย์ เยาวภา")</f>
        <v>นพอ.ณัชปวีย์ เยาวภา</v>
      </c>
      <c r="G147" s="3" t="str">
        <f>IFERROR(__xludf.DUMMYFUNCTION("""COMPUTED_VALUE"""),"ช่วยเหลืองานภายใน วพอ.")</f>
        <v>ช่วยเหลืองานภายใน วพอ.</v>
      </c>
      <c r="H147" s="3" t="str">
        <f>IFERROR(__xludf.DUMMYFUNCTION("""COMPUTED_VALUE"""),"เล่นดุริยางค์")</f>
        <v>เล่นดุริยางค์</v>
      </c>
      <c r="I147" s="3" t="str">
        <f>IFERROR(__xludf.DUMMYFUNCTION("""COMPUTED_VALUE"""),"วพอ.พอ.")</f>
        <v>วพอ.พอ.</v>
      </c>
      <c r="J147" s="12">
        <f>IFERROR(__xludf.DUMMYFUNCTION("""COMPUTED_VALUE"""),45989.0)</f>
        <v>45989</v>
      </c>
      <c r="K147" s="3" t="str">
        <f>IFERROR(__xludf.DUMMYFUNCTION("""COMPUTED_VALUE"""),"0700-0740")</f>
        <v>0700-0740</v>
      </c>
      <c r="L147" s="3">
        <f>IFERROR(__xludf.DUMMYFUNCTION("""COMPUTED_VALUE"""),1.0)</f>
        <v>1</v>
      </c>
      <c r="M147" s="3" t="str">
        <f>IFERROR(__xludf.DUMMYFUNCTION("""COMPUTED_VALUE"""),"ร.อ.อนุชิต ทำจะดี")</f>
        <v>ร.อ.อนุชิต ทำจะดี</v>
      </c>
      <c r="N147" s="14" t="str">
        <f>IFERROR(__xludf.DUMMYFUNCTION("""COMPUTED_VALUE"""),"https://lh5.googleusercontent.com/d/1meXnBMVu-UXbo-wvcMAG_PgtGaXEgxe2")</f>
        <v>https://lh5.googleusercontent.com/d/1meXnBMVu-UXbo-wvcMAG_PgtGaXEgxe2</v>
      </c>
      <c r="O147" s="14" t="str">
        <f>IFERROR(__xludf.DUMMYFUNCTION("""COMPUTED_VALUE"""),"https://drive.google.com/file/d/1fr0_-2Z7YWo_K9dUuB8Fq9Bl4y433gup/view?usp=drivesdk")</f>
        <v>https://drive.google.com/file/d/1fr0_-2Z7YWo_K9dUuB8Fq9Bl4y433gup/view?usp=drivesdk</v>
      </c>
    </row>
    <row r="148">
      <c r="A148" s="3">
        <f>IFERROR(__xludf.DUMMYFUNCTION("""COMPUTED_VALUE"""),1203.0)</f>
        <v>1203</v>
      </c>
      <c r="B148" s="11">
        <f>IFERROR(__xludf.DUMMYFUNCTION("""COMPUTED_VALUE"""),45996.40827375001)</f>
        <v>45996.40827</v>
      </c>
      <c r="C148" s="3" t="str">
        <f>IFERROR(__xludf.DUMMYFUNCTION("""COMPUTED_VALUE"""),"ชั้นปีที่ 1")</f>
        <v>ชั้นปีที่ 1</v>
      </c>
      <c r="D148" s="3" t="str">
        <f>IFERROR(__xludf.DUMMYFUNCTION("""COMPUTED_VALUE"""),"6803896")</f>
        <v>6803896</v>
      </c>
      <c r="E148" s="3" t="str">
        <f>IFERROR(__xludf.DUMMYFUNCTION("""COMPUTED_VALUE"""),"15")</f>
        <v>15</v>
      </c>
      <c r="F148" s="3" t="str">
        <f>IFERROR(__xludf.DUMMYFUNCTION("""COMPUTED_VALUE"""),"นพอ.ณัชปวีย์ เยาวภา")</f>
        <v>นพอ.ณัชปวีย์ เยาวภา</v>
      </c>
      <c r="G148" s="3" t="str">
        <f>IFERROR(__xludf.DUMMYFUNCTION("""COMPUTED_VALUE"""),"ช่วยเหลืองานภายใน วพอ.")</f>
        <v>ช่วยเหลืองานภายใน วพอ.</v>
      </c>
      <c r="H148" s="3" t="str">
        <f>IFERROR(__xludf.DUMMYFUNCTION("""COMPUTED_VALUE"""),"เล่นดุริยางค์")</f>
        <v>เล่นดุริยางค์</v>
      </c>
      <c r="I148" s="3" t="str">
        <f>IFERROR(__xludf.DUMMYFUNCTION("""COMPUTED_VALUE"""),"วพอ.พอ.")</f>
        <v>วพอ.พอ.</v>
      </c>
      <c r="J148" s="12">
        <f>IFERROR(__xludf.DUMMYFUNCTION("""COMPUTED_VALUE"""),45964.0)</f>
        <v>45964</v>
      </c>
      <c r="K148" s="3" t="str">
        <f>IFERROR(__xludf.DUMMYFUNCTION("""COMPUTED_VALUE"""),"0700-0740")</f>
        <v>0700-0740</v>
      </c>
      <c r="L148" s="3">
        <f>IFERROR(__xludf.DUMMYFUNCTION("""COMPUTED_VALUE"""),1.0)</f>
        <v>1</v>
      </c>
      <c r="M148" s="3" t="str">
        <f>IFERROR(__xludf.DUMMYFUNCTION("""COMPUTED_VALUE"""),"ร.อ.อนุชิต ทำจะดี")</f>
        <v>ร.อ.อนุชิต ทำจะดี</v>
      </c>
      <c r="N148" s="14" t="str">
        <f>IFERROR(__xludf.DUMMYFUNCTION("""COMPUTED_VALUE"""),"https://lh5.googleusercontent.com/d/1NmrOBEgP7Gyw2QVUdsj3AsKNqDa5_0V5")</f>
        <v>https://lh5.googleusercontent.com/d/1NmrOBEgP7Gyw2QVUdsj3AsKNqDa5_0V5</v>
      </c>
      <c r="O148" s="14" t="str">
        <f>IFERROR(__xludf.DUMMYFUNCTION("""COMPUTED_VALUE"""),"https://drive.google.com/file/d/1Zorqs7BeF2c_7IYSVBs32zdy2J9jfuEy/view?usp=drivesdk")</f>
        <v>https://drive.google.com/file/d/1Zorqs7BeF2c_7IYSVBs32zdy2J9jfuEy/view?usp=drivesdk</v>
      </c>
    </row>
    <row r="149">
      <c r="A149" s="3">
        <f>IFERROR(__xludf.DUMMYFUNCTION("""COMPUTED_VALUE"""),1205.0)</f>
        <v>1205</v>
      </c>
      <c r="B149" s="11">
        <f>IFERROR(__xludf.DUMMYFUNCTION("""COMPUTED_VALUE"""),45996.413312199074)</f>
        <v>45996.41331</v>
      </c>
      <c r="C149" s="3" t="str">
        <f>IFERROR(__xludf.DUMMYFUNCTION("""COMPUTED_VALUE"""),"ชั้นปีที่ 1")</f>
        <v>ชั้นปีที่ 1</v>
      </c>
      <c r="D149" s="3" t="str">
        <f>IFERROR(__xludf.DUMMYFUNCTION("""COMPUTED_VALUE"""),"6803924")</f>
        <v>6803924</v>
      </c>
      <c r="E149" s="3" t="str">
        <f>IFERROR(__xludf.DUMMYFUNCTION("""COMPUTED_VALUE"""),"43")</f>
        <v>43</v>
      </c>
      <c r="F149" s="3" t="str">
        <f>IFERROR(__xludf.DUMMYFUNCTION("""COMPUTED_VALUE"""),"นพอ.พีรชา แสงไทย")</f>
        <v>นพอ.พีรชา แสงไทย</v>
      </c>
      <c r="G149" s="3" t="str">
        <f>IFERROR(__xludf.DUMMYFUNCTION("""COMPUTED_VALUE"""),"ช่วยเหลืองานภายใน วพอ.")</f>
        <v>ช่วยเหลืองานภายใน วพอ.</v>
      </c>
      <c r="H149" s="3" t="str">
        <f>IFERROR(__xludf.DUMMYFUNCTION("""COMPUTED_VALUE"""),"เข้าร่วมฟังบรรยายการให้สุขศึกษาสำหรับหญิงตั้งครรภ์โดยพี่นทน.")</f>
        <v>เข้าร่วมฟังบรรยายการให้สุขศึกษาสำหรับหญิงตั้งครรภ์โดยพี่นทน.</v>
      </c>
      <c r="I149" s="3" t="str">
        <f>IFERROR(__xludf.DUMMYFUNCTION("""COMPUTED_VALUE"""),"วิทยาลัยพยาบาลทหารอากาศ")</f>
        <v>วิทยาลัยพยาบาลทหารอากาศ</v>
      </c>
      <c r="J149" s="12">
        <f>IFERROR(__xludf.DUMMYFUNCTION("""COMPUTED_VALUE"""),45996.0)</f>
        <v>45996</v>
      </c>
      <c r="K149" s="3" t="str">
        <f>IFERROR(__xludf.DUMMYFUNCTION("""COMPUTED_VALUE"""),"0700-1000")</f>
        <v>0700-1000</v>
      </c>
      <c r="L149" s="3">
        <f>IFERROR(__xludf.DUMMYFUNCTION("""COMPUTED_VALUE"""),3.0)</f>
        <v>3</v>
      </c>
      <c r="M149" s="3" t="str">
        <f>IFERROR(__xludf.DUMMYFUNCTION("""COMPUTED_VALUE"""),"น.อ.หญิง นิตยา สุขแสน")</f>
        <v>น.อ.หญิง นิตยา สุขแสน</v>
      </c>
      <c r="N149" s="14" t="str">
        <f>IFERROR(__xludf.DUMMYFUNCTION("""COMPUTED_VALUE"""),"https://lh5.googleusercontent.com/d/18rS8MUzINucKbSZva6jK9B30cxMrcDAB")</f>
        <v>https://lh5.googleusercontent.com/d/18rS8MUzINucKbSZva6jK9B30cxMrcDAB</v>
      </c>
      <c r="O149" s="14" t="str">
        <f>IFERROR(__xludf.DUMMYFUNCTION("""COMPUTED_VALUE"""),"https://drive.google.com/file/d/1zQFXvIVNZcBIlpQFUmHUVXbEOeaWjdu4/view?usp=drivesdk")</f>
        <v>https://drive.google.com/file/d/1zQFXvIVNZcBIlpQFUmHUVXbEOeaWjdu4/view?usp=drivesdk</v>
      </c>
    </row>
    <row r="150">
      <c r="A150" s="3">
        <f>IFERROR(__xludf.DUMMYFUNCTION("""COMPUTED_VALUE"""),1206.0)</f>
        <v>1206</v>
      </c>
      <c r="B150" s="11">
        <f>IFERROR(__xludf.DUMMYFUNCTION("""COMPUTED_VALUE"""),45996.41414724537)</f>
        <v>45996.41415</v>
      </c>
      <c r="C150" s="3" t="str">
        <f>IFERROR(__xludf.DUMMYFUNCTION("""COMPUTED_VALUE"""),"ชั้นปีที่ 1")</f>
        <v>ชั้นปีที่ 1</v>
      </c>
      <c r="D150" s="3" t="str">
        <f>IFERROR(__xludf.DUMMYFUNCTION("""COMPUTED_VALUE"""),"6803896")</f>
        <v>6803896</v>
      </c>
      <c r="E150" s="3" t="str">
        <f>IFERROR(__xludf.DUMMYFUNCTION("""COMPUTED_VALUE"""),"15")</f>
        <v>15</v>
      </c>
      <c r="F150" s="3" t="str">
        <f>IFERROR(__xludf.DUMMYFUNCTION("""COMPUTED_VALUE"""),"นพอ.ณัชปวีย์ เยาวภา")</f>
        <v>นพอ.ณัชปวีย์ เยาวภา</v>
      </c>
      <c r="G150" s="3" t="str">
        <f>IFERROR(__xludf.DUMMYFUNCTION("""COMPUTED_VALUE"""),"ช่วยเหลืองานภายใน วพอ.")</f>
        <v>ช่วยเหลืองานภายใน วพอ.</v>
      </c>
      <c r="H150" s="3" t="str">
        <f>IFERROR(__xludf.DUMMYFUNCTION("""COMPUTED_VALUE"""),"เล่นดุริยางค์")</f>
        <v>เล่นดุริยางค์</v>
      </c>
      <c r="I150" s="3" t="str">
        <f>IFERROR(__xludf.DUMMYFUNCTION("""COMPUTED_VALUE"""),"วพอ.พอ.")</f>
        <v>วพอ.พอ.</v>
      </c>
      <c r="J150" s="12">
        <f>IFERROR(__xludf.DUMMYFUNCTION("""COMPUTED_VALUE"""),45981.0)</f>
        <v>45981</v>
      </c>
      <c r="K150" s="3" t="str">
        <f>IFERROR(__xludf.DUMMYFUNCTION("""COMPUTED_VALUE"""),"0700-0740")</f>
        <v>0700-0740</v>
      </c>
      <c r="L150" s="3">
        <f>IFERROR(__xludf.DUMMYFUNCTION("""COMPUTED_VALUE"""),1.0)</f>
        <v>1</v>
      </c>
      <c r="M150" s="3" t="str">
        <f>IFERROR(__xludf.DUMMYFUNCTION("""COMPUTED_VALUE"""),"ร.อ.อนุชิต ทำจะดี")</f>
        <v>ร.อ.อนุชิต ทำจะดี</v>
      </c>
      <c r="N150" s="14" t="str">
        <f>IFERROR(__xludf.DUMMYFUNCTION("""COMPUTED_VALUE"""),"https://lh5.googleusercontent.com/d/166GBne7DlNDDDiFRZ1mJTnHdnlHi2mDY")</f>
        <v>https://lh5.googleusercontent.com/d/166GBne7DlNDDDiFRZ1mJTnHdnlHi2mDY</v>
      </c>
      <c r="O150" s="14" t="str">
        <f>IFERROR(__xludf.DUMMYFUNCTION("""COMPUTED_VALUE"""),"https://drive.google.com/file/d/1zjm5d2OV_es2xnnB0AKMKJweKo6rqZyf/view?usp=drivesdk")</f>
        <v>https://drive.google.com/file/d/1zjm5d2OV_es2xnnB0AKMKJweKo6rqZyf/view?usp=drivesdk</v>
      </c>
    </row>
    <row r="151">
      <c r="A151" s="3">
        <f>IFERROR(__xludf.DUMMYFUNCTION("""COMPUTED_VALUE"""),1207.0)</f>
        <v>1207</v>
      </c>
      <c r="B151" s="11">
        <f>IFERROR(__xludf.DUMMYFUNCTION("""COMPUTED_VALUE"""),45996.41461769676)</f>
        <v>45996.41462</v>
      </c>
      <c r="C151" s="3" t="str">
        <f>IFERROR(__xludf.DUMMYFUNCTION("""COMPUTED_VALUE"""),"ชั้นปีที่ 1")</f>
        <v>ชั้นปีที่ 1</v>
      </c>
      <c r="D151" s="3" t="str">
        <f>IFERROR(__xludf.DUMMYFUNCTION("""COMPUTED_VALUE"""),"6803927")</f>
        <v>6803927</v>
      </c>
      <c r="E151" s="3" t="str">
        <f>IFERROR(__xludf.DUMMYFUNCTION("""COMPUTED_VALUE"""),"46")</f>
        <v>46</v>
      </c>
      <c r="F151" s="3" t="str">
        <f>IFERROR(__xludf.DUMMYFUNCTION("""COMPUTED_VALUE"""),"นพอ.มณฑกาญจน์ กองจะริตร์")</f>
        <v>นพอ.มณฑกาญจน์ กองจะริตร์</v>
      </c>
      <c r="G151" s="3" t="str">
        <f>IFERROR(__xludf.DUMMYFUNCTION("""COMPUTED_VALUE"""),"ช่วยเหลืองานภายใน วพอ.")</f>
        <v>ช่วยเหลืองานภายใน วพอ.</v>
      </c>
      <c r="H151" s="3" t="str">
        <f>IFERROR(__xludf.DUMMYFUNCTION("""COMPUTED_VALUE"""),"เข้าร่วมฟังบรรยาย การให้สุขศึกษาสำหรับหญิงตั้งครรภ์ โดยพี่นทน.")</f>
        <v>เข้าร่วมฟังบรรยาย การให้สุขศึกษาสำหรับหญิงตั้งครรภ์ โดยพี่นทน.</v>
      </c>
      <c r="I151" s="3" t="str">
        <f>IFERROR(__xludf.DUMMYFUNCTION("""COMPUTED_VALUE"""),"วพอ.พอ.")</f>
        <v>วพอ.พอ.</v>
      </c>
      <c r="J151" s="12">
        <f>IFERROR(__xludf.DUMMYFUNCTION("""COMPUTED_VALUE"""),45996.0)</f>
        <v>45996</v>
      </c>
      <c r="K151" s="3" t="str">
        <f>IFERROR(__xludf.DUMMYFUNCTION("""COMPUTED_VALUE"""),"0700-1000")</f>
        <v>0700-1000</v>
      </c>
      <c r="L151" s="3">
        <f>IFERROR(__xludf.DUMMYFUNCTION("""COMPUTED_VALUE"""),3.0)</f>
        <v>3</v>
      </c>
      <c r="M151" s="3" t="str">
        <f>IFERROR(__xludf.DUMMYFUNCTION("""COMPUTED_VALUE"""),"น.อ.หญิง นิตยา สุขแสน")</f>
        <v>น.อ.หญิง นิตยา สุขแสน</v>
      </c>
      <c r="N151" s="14" t="str">
        <f>IFERROR(__xludf.DUMMYFUNCTION("""COMPUTED_VALUE"""),"https://lh5.googleusercontent.com/d/1UuIdmmEwOTyIhn47_WaLAYB3wyDdPMvX")</f>
        <v>https://lh5.googleusercontent.com/d/1UuIdmmEwOTyIhn47_WaLAYB3wyDdPMvX</v>
      </c>
      <c r="O151" s="14" t="str">
        <f>IFERROR(__xludf.DUMMYFUNCTION("""COMPUTED_VALUE"""),"https://drive.google.com/file/d/1LqcFmig_neL42ZXUv-RT6i8tshp54ffj/view?usp=drivesdk")</f>
        <v>https://drive.google.com/file/d/1LqcFmig_neL42ZXUv-RT6i8tshp54ffj/view?usp=drivesdk</v>
      </c>
    </row>
    <row r="152">
      <c r="A152" s="3">
        <f>IFERROR(__xludf.DUMMYFUNCTION("""COMPUTED_VALUE"""),1208.0)</f>
        <v>1208</v>
      </c>
      <c r="B152" s="11">
        <f>IFERROR(__xludf.DUMMYFUNCTION("""COMPUTED_VALUE"""),45996.419030821766)</f>
        <v>45996.41903</v>
      </c>
      <c r="C152" s="3" t="str">
        <f>IFERROR(__xludf.DUMMYFUNCTION("""COMPUTED_VALUE"""),"ชั้นปีที่ 1")</f>
        <v>ชั้นปีที่ 1</v>
      </c>
      <c r="D152" s="3" t="str">
        <f>IFERROR(__xludf.DUMMYFUNCTION("""COMPUTED_VALUE"""),"6803896")</f>
        <v>6803896</v>
      </c>
      <c r="E152" s="3" t="str">
        <f>IFERROR(__xludf.DUMMYFUNCTION("""COMPUTED_VALUE"""),"15")</f>
        <v>15</v>
      </c>
      <c r="F152" s="3" t="str">
        <f>IFERROR(__xludf.DUMMYFUNCTION("""COMPUTED_VALUE"""),"นพอ.ณัชปวีย์ เยาวภา")</f>
        <v>นพอ.ณัชปวีย์ เยาวภา</v>
      </c>
      <c r="G152" s="3" t="str">
        <f>IFERROR(__xludf.DUMMYFUNCTION("""COMPUTED_VALUE"""),"ช่วยเหลืองานภายใน วพอ.")</f>
        <v>ช่วยเหลืองานภายใน วพอ.</v>
      </c>
      <c r="H152" s="3" t="str">
        <f>IFERROR(__xludf.DUMMYFUNCTION("""COMPUTED_VALUE"""),"เล่นดุริยางค์")</f>
        <v>เล่นดุริยางค์</v>
      </c>
      <c r="I152" s="3" t="str">
        <f>IFERROR(__xludf.DUMMYFUNCTION("""COMPUTED_VALUE"""),"วพอ.พอ.")</f>
        <v>วพอ.พอ.</v>
      </c>
      <c r="J152" s="12">
        <f>IFERROR(__xludf.DUMMYFUNCTION("""COMPUTED_VALUE"""),45973.0)</f>
        <v>45973</v>
      </c>
      <c r="K152" s="3" t="str">
        <f>IFERROR(__xludf.DUMMYFUNCTION("""COMPUTED_VALUE"""),"0700-0740")</f>
        <v>0700-0740</v>
      </c>
      <c r="L152" s="3">
        <f>IFERROR(__xludf.DUMMYFUNCTION("""COMPUTED_VALUE"""),1.0)</f>
        <v>1</v>
      </c>
      <c r="M152" s="3" t="str">
        <f>IFERROR(__xludf.DUMMYFUNCTION("""COMPUTED_VALUE"""),"ร.อ.อนุชิต ทำจะดี")</f>
        <v>ร.อ.อนุชิต ทำจะดี</v>
      </c>
      <c r="N152" s="14" t="str">
        <f>IFERROR(__xludf.DUMMYFUNCTION("""COMPUTED_VALUE"""),"https://lh5.googleusercontent.com/d/1KL6mH7P2Ctbpx98m3SbguptiV8yfI4cI")</f>
        <v>https://lh5.googleusercontent.com/d/1KL6mH7P2Ctbpx98m3SbguptiV8yfI4cI</v>
      </c>
      <c r="O152" s="14" t="str">
        <f>IFERROR(__xludf.DUMMYFUNCTION("""COMPUTED_VALUE"""),"https://drive.google.com/file/d/1eq4Q1xVaQRX8D7YY-U3NDqUxNVQwkS04/view?usp=drivesdk")</f>
        <v>https://drive.google.com/file/d/1eq4Q1xVaQRX8D7YY-U3NDqUxNVQwkS04/view?usp=drivesdk</v>
      </c>
    </row>
    <row r="153">
      <c r="A153" s="3">
        <f>IFERROR(__xludf.DUMMYFUNCTION("""COMPUTED_VALUE"""),1210.0)</f>
        <v>1210</v>
      </c>
      <c r="B153" s="11">
        <f>IFERROR(__xludf.DUMMYFUNCTION("""COMPUTED_VALUE"""),45996.43037425926)</f>
        <v>45996.43037</v>
      </c>
      <c r="C153" s="3" t="str">
        <f>IFERROR(__xludf.DUMMYFUNCTION("""COMPUTED_VALUE"""),"ชั้นปีที่ 1")</f>
        <v>ชั้นปีที่ 1</v>
      </c>
      <c r="D153" s="3" t="str">
        <f>IFERROR(__xludf.DUMMYFUNCTION("""COMPUTED_VALUE"""),"6803896")</f>
        <v>6803896</v>
      </c>
      <c r="E153" s="3" t="str">
        <f>IFERROR(__xludf.DUMMYFUNCTION("""COMPUTED_VALUE"""),"15")</f>
        <v>15</v>
      </c>
      <c r="F153" s="3" t="str">
        <f>IFERROR(__xludf.DUMMYFUNCTION("""COMPUTED_VALUE"""),"นพอ.ณัชปวีย์ เยาวภา")</f>
        <v>นพอ.ณัชปวีย์ เยาวภา</v>
      </c>
      <c r="G15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53" s="3" t="str">
        <f>IFERROR(__xludf.DUMMYFUNCTION("""COMPUTED_VALUE"""),"งานแจกของพระราชทานพระบรมศพพระพันปีหลวง")</f>
        <v>งานแจกของพระราชทานพระบรมศพพระพันปีหลวง</v>
      </c>
      <c r="I153" s="3" t="str">
        <f>IFERROR(__xludf.DUMMYFUNCTION("""COMPUTED_VALUE"""),"ท้องสนามหลวง")</f>
        <v>ท้องสนามหลวง</v>
      </c>
      <c r="J153" s="12">
        <f>IFERROR(__xludf.DUMMYFUNCTION("""COMPUTED_VALUE"""),45990.0)</f>
        <v>45990</v>
      </c>
      <c r="K153" s="3" t="str">
        <f>IFERROR(__xludf.DUMMYFUNCTION("""COMPUTED_VALUE"""),"0800-1200")</f>
        <v>0800-1200</v>
      </c>
      <c r="L153" s="3">
        <f>IFERROR(__xludf.DUMMYFUNCTION("""COMPUTED_VALUE"""),4.0)</f>
        <v>4</v>
      </c>
      <c r="M153" s="3" t="str">
        <f>IFERROR(__xludf.DUMMYFUNCTION("""COMPUTED_VALUE"""),"นาวาอากาศตรีหญิง ขวัญชนก พ่วงนาคพันธุ์")</f>
        <v>นาวาอากาศตรีหญิง ขวัญชนก พ่วงนาคพันธุ์</v>
      </c>
      <c r="N153" s="14" t="str">
        <f>IFERROR(__xludf.DUMMYFUNCTION("""COMPUTED_VALUE"""),"https://lh5.googleusercontent.com/d/1xbDsj7l5efhovuyf_ydddyxztF7k5SoW")</f>
        <v>https://lh5.googleusercontent.com/d/1xbDsj7l5efhovuyf_ydddyxztF7k5SoW</v>
      </c>
      <c r="O153" s="14" t="str">
        <f>IFERROR(__xludf.DUMMYFUNCTION("""COMPUTED_VALUE"""),"https://drive.google.com/file/d/1PuaarfanOrscNvUMWlCui4GHWyhz3A5g/view?usp=drivesdk")</f>
        <v>https://drive.google.com/file/d/1PuaarfanOrscNvUMWlCui4GHWyhz3A5g/view?usp=drivesdk</v>
      </c>
    </row>
    <row r="154">
      <c r="A154" s="3">
        <f>IFERROR(__xludf.DUMMYFUNCTION("""COMPUTED_VALUE"""),1215.0)</f>
        <v>1215</v>
      </c>
      <c r="B154" s="11">
        <f>IFERROR(__xludf.DUMMYFUNCTION("""COMPUTED_VALUE"""),45996.86280548611)</f>
        <v>45996.86281</v>
      </c>
      <c r="C154" s="3" t="str">
        <f>IFERROR(__xludf.DUMMYFUNCTION("""COMPUTED_VALUE"""),"ชั้นปีที่ 1")</f>
        <v>ชั้นปีที่ 1</v>
      </c>
      <c r="D154" s="3" t="str">
        <f>IFERROR(__xludf.DUMMYFUNCTION("""COMPUTED_VALUE"""),"6803904")</f>
        <v>6803904</v>
      </c>
      <c r="E154" s="3" t="str">
        <f>IFERROR(__xludf.DUMMYFUNCTION("""COMPUTED_VALUE"""),"23")</f>
        <v>23</v>
      </c>
      <c r="F154" s="3" t="str">
        <f>IFERROR(__xludf.DUMMYFUNCTION("""COMPUTED_VALUE"""),"นพอ.ธนธัส แซ่ว่อง")</f>
        <v>นพอ.ธนธัส แซ่ว่อง</v>
      </c>
      <c r="G15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54" s="3" t="str">
        <f>IFERROR(__xludf.DUMMYFUNCTION("""COMPUTED_VALUE"""),"งานแจกของพระราชทานพระบรมศพพระพันปีหลวง")</f>
        <v>งานแจกของพระราชทานพระบรมศพพระพันปีหลวง</v>
      </c>
      <c r="I154" s="3" t="str">
        <f>IFERROR(__xludf.DUMMYFUNCTION("""COMPUTED_VALUE"""),"สนามหลวง")</f>
        <v>สนามหลวง</v>
      </c>
      <c r="J154" s="12">
        <f>IFERROR(__xludf.DUMMYFUNCTION("""COMPUTED_VALUE"""),45990.0)</f>
        <v>45990</v>
      </c>
      <c r="K154" s="3" t="str">
        <f>IFERROR(__xludf.DUMMYFUNCTION("""COMPUTED_VALUE"""),"1000")</f>
        <v>1000</v>
      </c>
      <c r="L154" s="3">
        <f>IFERROR(__xludf.DUMMYFUNCTION("""COMPUTED_VALUE"""),4.0)</f>
        <v>4</v>
      </c>
      <c r="M154" s="3" t="str">
        <f>IFERROR(__xludf.DUMMYFUNCTION("""COMPUTED_VALUE"""),"น.ท. หญิง ขวัญชนก พ่วงนาคพันธุ์")</f>
        <v>น.ท. หญิง ขวัญชนก พ่วงนาคพันธุ์</v>
      </c>
      <c r="N154" s="14" t="str">
        <f>IFERROR(__xludf.DUMMYFUNCTION("""COMPUTED_VALUE"""),"https://lh5.googleusercontent.com/d/1H9kzMPW6GKmr3r81qILL4rjFlyFjuX_S")</f>
        <v>https://lh5.googleusercontent.com/d/1H9kzMPW6GKmr3r81qILL4rjFlyFjuX_S</v>
      </c>
      <c r="O154" s="14" t="str">
        <f>IFERROR(__xludf.DUMMYFUNCTION("""COMPUTED_VALUE"""),"https://drive.google.com/file/d/1OzcvIPEp2tFo_YDMCDq1-WY--v79xytW/view?usp=drivesdk")</f>
        <v>https://drive.google.com/file/d/1OzcvIPEp2tFo_YDMCDq1-WY--v79xytW/view?usp=drivesdk</v>
      </c>
    </row>
    <row r="155">
      <c r="A155" s="3">
        <f>IFERROR(__xludf.DUMMYFUNCTION("""COMPUTED_VALUE"""),1220.0)</f>
        <v>1220</v>
      </c>
      <c r="B155" s="11">
        <f>IFERROR(__xludf.DUMMYFUNCTION("""COMPUTED_VALUE"""),45997.75755752315)</f>
        <v>45997.75756</v>
      </c>
      <c r="C155" s="3" t="str">
        <f>IFERROR(__xludf.DUMMYFUNCTION("""COMPUTED_VALUE"""),"ชั้นปีที่ 1")</f>
        <v>ชั้นปีที่ 1</v>
      </c>
      <c r="D155" s="3" t="str">
        <f>IFERROR(__xludf.DUMMYFUNCTION("""COMPUTED_VALUE"""),"6803928")</f>
        <v>6803928</v>
      </c>
      <c r="E155" s="3" t="str">
        <f>IFERROR(__xludf.DUMMYFUNCTION("""COMPUTED_VALUE"""),"47")</f>
        <v>47</v>
      </c>
      <c r="F155" s="3" t="str">
        <f>IFERROR(__xludf.DUMMYFUNCTION("""COMPUTED_VALUE"""),"นพอ.มนัญชยา สุขพี้")</f>
        <v>นพอ.มนัญชยา สุขพี้</v>
      </c>
      <c r="G155" s="3" t="str">
        <f>IFERROR(__xludf.DUMMYFUNCTION("""COMPUTED_VALUE"""),"ทำนุบำรุงศาสนสถาน")</f>
        <v>ทำนุบำรุงศาสนสถาน</v>
      </c>
      <c r="H155" s="3" t="str">
        <f>IFERROR(__xludf.DUMMYFUNCTION("""COMPUTED_VALUE"""),"กวาดลานวัด")</f>
        <v>กวาดลานวัด</v>
      </c>
      <c r="I155" s="3" t="str">
        <f>IFERROR(__xludf.DUMMYFUNCTION("""COMPUTED_VALUE"""),"วัดท่อใหญ่(ใหญ่พรหมประทาน)")</f>
        <v>วัดท่อใหญ่(ใหญ่พรหมประทาน)</v>
      </c>
      <c r="J155" s="12">
        <f>IFERROR(__xludf.DUMMYFUNCTION("""COMPUTED_VALUE"""),45997.0)</f>
        <v>45997</v>
      </c>
      <c r="K155" s="3" t="str">
        <f>IFERROR(__xludf.DUMMYFUNCTION("""COMPUTED_VALUE"""),"1700-1800")</f>
        <v>1700-1800</v>
      </c>
      <c r="L155" s="3">
        <f>IFERROR(__xludf.DUMMYFUNCTION("""COMPUTED_VALUE"""),4.0)</f>
        <v>4</v>
      </c>
      <c r="M155" s="3" t="str">
        <f>IFERROR(__xludf.DUMMYFUNCTION("""COMPUTED_VALUE"""),"พระครูวิมลธรรมาภิรักษ์")</f>
        <v>พระครูวิมลธรรมาภิรักษ์</v>
      </c>
      <c r="N155" s="14" t="str">
        <f>IFERROR(__xludf.DUMMYFUNCTION("""COMPUTED_VALUE"""),"https://lh5.googleusercontent.com/d/1d9nt51RTjNzIyoA8xsmzUTE2ZxfKuPX8")</f>
        <v>https://lh5.googleusercontent.com/d/1d9nt51RTjNzIyoA8xsmzUTE2ZxfKuPX8</v>
      </c>
      <c r="O155" s="14" t="str">
        <f>IFERROR(__xludf.DUMMYFUNCTION("""COMPUTED_VALUE"""),"https://drive.google.com/file/d/1xLYTGW9TSBK3sAwOUBt0VCc0_MSl8qjo/view?usp=drivesdk")</f>
        <v>https://drive.google.com/file/d/1xLYTGW9TSBK3sAwOUBt0VCc0_MSl8qjo/view?usp=drivesdk</v>
      </c>
    </row>
    <row r="156">
      <c r="A156" s="3">
        <f>IFERROR(__xludf.DUMMYFUNCTION("""COMPUTED_VALUE"""),1235.0)</f>
        <v>1235</v>
      </c>
      <c r="B156" s="11">
        <f>IFERROR(__xludf.DUMMYFUNCTION("""COMPUTED_VALUE"""),45997.91489236111)</f>
        <v>45997.91489</v>
      </c>
      <c r="C156" s="3" t="str">
        <f>IFERROR(__xludf.DUMMYFUNCTION("""COMPUTED_VALUE"""),"ชั้นปีที่ 1")</f>
        <v>ชั้นปีที่ 1</v>
      </c>
      <c r="D156" s="3" t="str">
        <f>IFERROR(__xludf.DUMMYFUNCTION("""COMPUTED_VALUE"""),"6803936")</f>
        <v>6803936</v>
      </c>
      <c r="E156" s="3" t="str">
        <f>IFERROR(__xludf.DUMMYFUNCTION("""COMPUTED_VALUE"""),"55")</f>
        <v>55</v>
      </c>
      <c r="F156" s="3" t="str">
        <f>IFERROR(__xludf.DUMMYFUNCTION("""COMPUTED_VALUE"""),"นพอ.ศศิชา แจ้งปกรณ์กิจ")</f>
        <v>นพอ.ศศิชา แจ้งปกรณ์กิจ</v>
      </c>
      <c r="G156" s="3" t="str">
        <f>IFERROR(__xludf.DUMMYFUNCTION("""COMPUTED_VALUE"""),"ช่วยเหลืองานภายใน วพอ.")</f>
        <v>ช่วยเหลืองานภายใน วพอ.</v>
      </c>
      <c r="H156" s="3" t="str">
        <f>IFERROR(__xludf.DUMMYFUNCTION("""COMPUTED_VALUE"""),"รดน้ำต้นไม้")</f>
        <v>รดน้ำต้นไม้</v>
      </c>
      <c r="I156" s="3" t="str">
        <f>IFERROR(__xludf.DUMMYFUNCTION("""COMPUTED_VALUE"""),"วิทยาลัยพยาบาลทหารอากาศ")</f>
        <v>วิทยาลัยพยาบาลทหารอากาศ</v>
      </c>
      <c r="J156" s="12">
        <f>IFERROR(__xludf.DUMMYFUNCTION("""COMPUTED_VALUE"""),45992.0)</f>
        <v>45992</v>
      </c>
      <c r="K156" s="3" t="str">
        <f>IFERROR(__xludf.DUMMYFUNCTION("""COMPUTED_VALUE"""),"1500-1700")</f>
        <v>1500-1700</v>
      </c>
      <c r="L156" s="3">
        <f>IFERROR(__xludf.DUMMYFUNCTION("""COMPUTED_VALUE"""),2.0)</f>
        <v>2</v>
      </c>
      <c r="M156" s="3" t="str">
        <f>IFERROR(__xludf.DUMMYFUNCTION("""COMPUTED_VALUE"""),"ร.ต. หญิง สุริยะกาล มงคลมะไฟ")</f>
        <v>ร.ต. หญิง สุริยะกาล มงคลมะไฟ</v>
      </c>
      <c r="N156" s="14" t="str">
        <f>IFERROR(__xludf.DUMMYFUNCTION("""COMPUTED_VALUE"""),"https://lh5.googleusercontent.com/d/16Kh6gNWZ6Pr5wYPl8WYdryXnI9ONOsxg")</f>
        <v>https://lh5.googleusercontent.com/d/16Kh6gNWZ6Pr5wYPl8WYdryXnI9ONOsxg</v>
      </c>
      <c r="O156" s="14" t="str">
        <f>IFERROR(__xludf.DUMMYFUNCTION("""COMPUTED_VALUE"""),"https://drive.google.com/file/d/1uLqCNqk2URQYfYtDx6sYjBaSCXiKFTpN/view?usp=drivesdk")</f>
        <v>https://drive.google.com/file/d/1uLqCNqk2URQYfYtDx6sYjBaSCXiKFTpN/view?usp=drivesdk</v>
      </c>
    </row>
    <row r="157">
      <c r="A157" s="3">
        <f>IFERROR(__xludf.DUMMYFUNCTION("""COMPUTED_VALUE"""),1238.0)</f>
        <v>1238</v>
      </c>
      <c r="B157" s="11">
        <f>IFERROR(__xludf.DUMMYFUNCTION("""COMPUTED_VALUE"""),45997.9971125463)</f>
        <v>45997.99711</v>
      </c>
      <c r="C157" s="3" t="str">
        <f>IFERROR(__xludf.DUMMYFUNCTION("""COMPUTED_VALUE"""),"ชั้นปีที่ 1")</f>
        <v>ชั้นปีที่ 1</v>
      </c>
      <c r="D157" s="3" t="str">
        <f>IFERROR(__xludf.DUMMYFUNCTION("""COMPUTED_VALUE"""),"6803914")</f>
        <v>6803914</v>
      </c>
      <c r="E157" s="3" t="str">
        <f>IFERROR(__xludf.DUMMYFUNCTION("""COMPUTED_VALUE"""),"33")</f>
        <v>33</v>
      </c>
      <c r="F157" s="3" t="str">
        <f>IFERROR(__xludf.DUMMYFUNCTION("""COMPUTED_VALUE"""),"นพอ.ปราณปริยา ธูปทอง")</f>
        <v>นพอ.ปราณปริยา ธูปทอง</v>
      </c>
      <c r="G15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57" s="3" t="str">
        <f>IFERROR(__xludf.DUMMYFUNCTION("""COMPUTED_VALUE"""),"พยาบาลไทยบริจาคโลหิต ช่วยชีวิตเพื่อนมนุษย์ ปี 4")</f>
        <v>พยาบาลไทยบริจาคโลหิต ช่วยชีวิตเพื่อนมนุษย์ ปี 4</v>
      </c>
      <c r="I157" s="3" t="str">
        <f>IFERROR(__xludf.DUMMYFUNCTION("""COMPUTED_VALUE"""),"ศูนย์บริการโลหิตแห่งชาติ สภากาชาดไทย")</f>
        <v>ศูนย์บริการโลหิตแห่งชาติ สภากาชาดไทย</v>
      </c>
      <c r="J157" s="12">
        <f>IFERROR(__xludf.DUMMYFUNCTION("""COMPUTED_VALUE"""),45916.0)</f>
        <v>45916</v>
      </c>
      <c r="K157" s="3" t="str">
        <f>IFERROR(__xludf.DUMMYFUNCTION("""COMPUTED_VALUE"""),"0800-1200")</f>
        <v>0800-1200</v>
      </c>
      <c r="L157" s="3">
        <f>IFERROR(__xludf.DUMMYFUNCTION("""COMPUTED_VALUE"""),8.0)</f>
        <v>8</v>
      </c>
      <c r="M157" s="3" t="str">
        <f>IFERROR(__xludf.DUMMYFUNCTION("""COMPUTED_VALUE"""),"น.ท.หญิง อนุกูล บำรุงวงค์")</f>
        <v>น.ท.หญิง อนุกูล บำรุงวงค์</v>
      </c>
      <c r="N157" s="14" t="str">
        <f>IFERROR(__xludf.DUMMYFUNCTION("""COMPUTED_VALUE"""),"https://lh5.googleusercontent.com/d/1r87A29Xx2gyfcZsoH7vNU-0eFlxVIQoy")</f>
        <v>https://lh5.googleusercontent.com/d/1r87A29Xx2gyfcZsoH7vNU-0eFlxVIQoy</v>
      </c>
      <c r="O157" s="14" t="str">
        <f>IFERROR(__xludf.DUMMYFUNCTION("""COMPUTED_VALUE"""),"https://drive.google.com/file/d/1CO6p47ZvAdEcTv4oPpUshJzPrGEX5JyK/view?usp=drivesdk")</f>
        <v>https://drive.google.com/file/d/1CO6p47ZvAdEcTv4oPpUshJzPrGEX5JyK/view?usp=drivesdk</v>
      </c>
    </row>
    <row r="158">
      <c r="A158" s="3">
        <f>IFERROR(__xludf.DUMMYFUNCTION("""COMPUTED_VALUE"""),1239.0)</f>
        <v>1239</v>
      </c>
      <c r="B158" s="11">
        <f>IFERROR(__xludf.DUMMYFUNCTION("""COMPUTED_VALUE"""),45998.00478574075)</f>
        <v>45998.00479</v>
      </c>
      <c r="C158" s="3" t="str">
        <f>IFERROR(__xludf.DUMMYFUNCTION("""COMPUTED_VALUE"""),"ชั้นปีที่ 1")</f>
        <v>ชั้นปีที่ 1</v>
      </c>
      <c r="D158" s="3" t="str">
        <f>IFERROR(__xludf.DUMMYFUNCTION("""COMPUTED_VALUE"""),"6803914")</f>
        <v>6803914</v>
      </c>
      <c r="E158" s="3" t="str">
        <f>IFERROR(__xludf.DUMMYFUNCTION("""COMPUTED_VALUE"""),"33")</f>
        <v>33</v>
      </c>
      <c r="F158" s="3" t="str">
        <f>IFERROR(__xludf.DUMMYFUNCTION("""COMPUTED_VALUE"""),"นพอ.ปราณปริยา ธูปทอง")</f>
        <v>นพอ.ปราณปริยา ธูปทอง</v>
      </c>
      <c r="G1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58" s="3" t="str">
        <f>IFERROR(__xludf.DUMMYFUNCTION("""COMPUTED_VALUE"""),"เดินรณรงค์ “วันโลกรำลึกถึงผู้สูญเสียจากอุบัติเหตุทางถนน” กับพลังโรทาแรคท์")</f>
        <v>เดินรณรงค์ “วันโลกรำลึกถึงผู้สูญเสียจากอุบัติเหตุทางถนน” กับพลังโรทาแรคท์</v>
      </c>
      <c r="I158" s="3" t="str">
        <f>IFERROR(__xludf.DUMMYFUNCTION("""COMPUTED_VALUE"""),"เริ่มเดินขบวนจากศาลาว่าการกรุงเทพมหานครไปยังตึกสหประชาชาติ")</f>
        <v>เริ่มเดินขบวนจากศาลาว่าการกรุงเทพมหานครไปยังตึกสหประชาชาติ</v>
      </c>
      <c r="J158" s="12">
        <f>IFERROR(__xludf.DUMMYFUNCTION("""COMPUTED_VALUE"""),45977.0)</f>
        <v>45977</v>
      </c>
      <c r="K158" s="3" t="str">
        <f>IFERROR(__xludf.DUMMYFUNCTION("""COMPUTED_VALUE"""),"0600-1000")</f>
        <v>0600-1000</v>
      </c>
      <c r="L158" s="3">
        <f>IFERROR(__xludf.DUMMYFUNCTION("""COMPUTED_VALUE"""),4.0)</f>
        <v>4</v>
      </c>
      <c r="M15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158" s="14" t="str">
        <f>IFERROR(__xludf.DUMMYFUNCTION("""COMPUTED_VALUE"""),"https://lh5.googleusercontent.com/d/1ubshY2jo-qcFR9LkLJrq4JnbdSbh0McA")</f>
        <v>https://lh5.googleusercontent.com/d/1ubshY2jo-qcFR9LkLJrq4JnbdSbh0McA</v>
      </c>
      <c r="O158" s="14" t="str">
        <f>IFERROR(__xludf.DUMMYFUNCTION("""COMPUTED_VALUE"""),"https://drive.google.com/file/d/1VYHI6H39hbqYJVkozLKEeZMdmzl9j8Rh/view?usp=drivesdk")</f>
        <v>https://drive.google.com/file/d/1VYHI6H39hbqYJVkozLKEeZMdmzl9j8Rh/view?usp=drivesdk</v>
      </c>
    </row>
    <row r="159">
      <c r="A159" s="3">
        <f>IFERROR(__xludf.DUMMYFUNCTION("""COMPUTED_VALUE"""),1241.0)</f>
        <v>1241</v>
      </c>
      <c r="B159" s="11">
        <f>IFERROR(__xludf.DUMMYFUNCTION("""COMPUTED_VALUE"""),45998.02244310185)</f>
        <v>45998.02244</v>
      </c>
      <c r="C159" s="3" t="str">
        <f>IFERROR(__xludf.DUMMYFUNCTION("""COMPUTED_VALUE"""),"ชั้นปีที่ 1")</f>
        <v>ชั้นปีที่ 1</v>
      </c>
      <c r="D159" s="3" t="str">
        <f>IFERROR(__xludf.DUMMYFUNCTION("""COMPUTED_VALUE"""),"6803914")</f>
        <v>6803914</v>
      </c>
      <c r="E159" s="3" t="str">
        <f>IFERROR(__xludf.DUMMYFUNCTION("""COMPUTED_VALUE"""),"33")</f>
        <v>33</v>
      </c>
      <c r="F159" s="3" t="str">
        <f>IFERROR(__xludf.DUMMYFUNCTION("""COMPUTED_VALUE"""),"นพอ.ปราณปริยา ธูปทอง")</f>
        <v>นพอ.ปราณปริยา ธูปทอง</v>
      </c>
      <c r="G159" s="3" t="str">
        <f>IFERROR(__xludf.DUMMYFUNCTION("""COMPUTED_VALUE"""),"ช่วยเหลืองานภายใน วพอ.")</f>
        <v>ช่วยเหลืองานภายใน วพอ.</v>
      </c>
      <c r="H159" s="3" t="str">
        <f>IFERROR(__xludf.DUMMYFUNCTION("""COMPUTED_VALUE"""),"เข้าร่วมฟังบรรยาย การให้สุขศึกษาสำหรับหญิงตั้งครรภ์ โดยพี่นทน.")</f>
        <v>เข้าร่วมฟังบรรยาย การให้สุขศึกษาสำหรับหญิงตั้งครรภ์ โดยพี่นทน.</v>
      </c>
      <c r="I159" s="3" t="str">
        <f>IFERROR(__xludf.DUMMYFUNCTION("""COMPUTED_VALUE"""),"วพอ.พอ.")</f>
        <v>วพอ.พอ.</v>
      </c>
      <c r="J159" s="12">
        <f>IFERROR(__xludf.DUMMYFUNCTION("""COMPUTED_VALUE"""),45996.0)</f>
        <v>45996</v>
      </c>
      <c r="K159" s="3" t="str">
        <f>IFERROR(__xludf.DUMMYFUNCTION("""COMPUTED_VALUE"""),"0700-1000")</f>
        <v>0700-1000</v>
      </c>
      <c r="L159" s="3">
        <f>IFERROR(__xludf.DUMMYFUNCTION("""COMPUTED_VALUE"""),3.0)</f>
        <v>3</v>
      </c>
      <c r="M159" s="3" t="str">
        <f>IFERROR(__xludf.DUMMYFUNCTION("""COMPUTED_VALUE"""),"น.อ.หญิง นิตยา สุขแสน")</f>
        <v>น.อ.หญิง นิตยา สุขแสน</v>
      </c>
      <c r="N159" s="14" t="str">
        <f>IFERROR(__xludf.DUMMYFUNCTION("""COMPUTED_VALUE"""),"https://lh5.googleusercontent.com/d/1UKKUIAsQ312Ix9BzPNccTuIGeL5vm30j")</f>
        <v>https://lh5.googleusercontent.com/d/1UKKUIAsQ312Ix9BzPNccTuIGeL5vm30j</v>
      </c>
      <c r="O159" s="14" t="str">
        <f>IFERROR(__xludf.DUMMYFUNCTION("""COMPUTED_VALUE"""),"https://drive.google.com/file/d/15RkrbtT-9yMBIP0BJHY_XJ_6Gjv-UsaI/view?usp=drivesdk")</f>
        <v>https://drive.google.com/file/d/15RkrbtT-9yMBIP0BJHY_XJ_6Gjv-UsaI/view?usp=drivesdk</v>
      </c>
    </row>
    <row r="160">
      <c r="A160" s="3">
        <f>IFERROR(__xludf.DUMMYFUNCTION("""COMPUTED_VALUE"""),1243.0)</f>
        <v>1243</v>
      </c>
      <c r="B160" s="11">
        <f>IFERROR(__xludf.DUMMYFUNCTION("""COMPUTED_VALUE"""),45998.0387534375)</f>
        <v>45998.03875</v>
      </c>
      <c r="C160" s="3" t="str">
        <f>IFERROR(__xludf.DUMMYFUNCTION("""COMPUTED_VALUE"""),"ชั้นปีที่ 1")</f>
        <v>ชั้นปีที่ 1</v>
      </c>
      <c r="D160" s="3" t="str">
        <f>IFERROR(__xludf.DUMMYFUNCTION("""COMPUTED_VALUE"""),"6803914")</f>
        <v>6803914</v>
      </c>
      <c r="E160" s="3" t="str">
        <f>IFERROR(__xludf.DUMMYFUNCTION("""COMPUTED_VALUE"""),"33")</f>
        <v>33</v>
      </c>
      <c r="F160" s="3" t="str">
        <f>IFERROR(__xludf.DUMMYFUNCTION("""COMPUTED_VALUE"""),"นพอ.ปราณปริยา ธูปทอง")</f>
        <v>นพอ.ปราณปริยา ธูปทอง</v>
      </c>
      <c r="G160" s="3" t="str">
        <f>IFERROR(__xludf.DUMMYFUNCTION("""COMPUTED_VALUE"""),"ช่วยเหลืองานภายใน วพอ.")</f>
        <v>ช่วยเหลืองานภายใน วพอ.</v>
      </c>
      <c r="H160" s="3" t="str">
        <f>IFERROR(__xludf.DUMMYFUNCTION("""COMPUTED_VALUE"""),"เล่นดุริยางค์")</f>
        <v>เล่นดุริยางค์</v>
      </c>
      <c r="I160" s="3" t="str">
        <f>IFERROR(__xludf.DUMMYFUNCTION("""COMPUTED_VALUE"""),"วิทยาลัยพยาบาลทหารอากาศ")</f>
        <v>วิทยาลัยพยาบาลทหารอากาศ</v>
      </c>
      <c r="J160" s="12">
        <f>IFERROR(__xludf.DUMMYFUNCTION("""COMPUTED_VALUE"""),45952.0)</f>
        <v>45952</v>
      </c>
      <c r="K160" s="3" t="str">
        <f>IFERROR(__xludf.DUMMYFUNCTION("""COMPUTED_VALUE"""),"0700-0800")</f>
        <v>0700-0800</v>
      </c>
      <c r="L160" s="3">
        <f>IFERROR(__xludf.DUMMYFUNCTION("""COMPUTED_VALUE"""),1.0)</f>
        <v>1</v>
      </c>
      <c r="M160" s="3" t="str">
        <f>IFERROR(__xludf.DUMMYFUNCTION("""COMPUTED_VALUE"""),"ร.อ.อนุชิต ทำจะดี")</f>
        <v>ร.อ.อนุชิต ทำจะดี</v>
      </c>
      <c r="N160" s="14" t="str">
        <f>IFERROR(__xludf.DUMMYFUNCTION("""COMPUTED_VALUE"""),"https://lh5.googleusercontent.com/d/11PuaLb-WaCjAXvw3FI0SBu798JrXs273")</f>
        <v>https://lh5.googleusercontent.com/d/11PuaLb-WaCjAXvw3FI0SBu798JrXs273</v>
      </c>
      <c r="O160" s="14" t="str">
        <f>IFERROR(__xludf.DUMMYFUNCTION("""COMPUTED_VALUE"""),"https://drive.google.com/file/d/1dJs1eCnqJAqYjj0oz0u-CnbVAfyC_gS-/view?usp=drivesdk")</f>
        <v>https://drive.google.com/file/d/1dJs1eCnqJAqYjj0oz0u-CnbVAfyC_gS-/view?usp=drivesdk</v>
      </c>
    </row>
    <row r="161">
      <c r="A161" s="3">
        <f>IFERROR(__xludf.DUMMYFUNCTION("""COMPUTED_VALUE"""),1246.0)</f>
        <v>1246</v>
      </c>
      <c r="B161" s="11">
        <f>IFERROR(__xludf.DUMMYFUNCTION("""COMPUTED_VALUE"""),45998.042554594904)</f>
        <v>45998.04255</v>
      </c>
      <c r="C161" s="3" t="str">
        <f>IFERROR(__xludf.DUMMYFUNCTION("""COMPUTED_VALUE"""),"ชั้นปีที่ 1")</f>
        <v>ชั้นปีที่ 1</v>
      </c>
      <c r="D161" s="3" t="str">
        <f>IFERROR(__xludf.DUMMYFUNCTION("""COMPUTED_VALUE"""),"6803914")</f>
        <v>6803914</v>
      </c>
      <c r="E161" s="3" t="str">
        <f>IFERROR(__xludf.DUMMYFUNCTION("""COMPUTED_VALUE"""),"33")</f>
        <v>33</v>
      </c>
      <c r="F161" s="3" t="str">
        <f>IFERROR(__xludf.DUMMYFUNCTION("""COMPUTED_VALUE"""),"นพอ.ปราณปริยา ธูปทอง")</f>
        <v>นพอ.ปราณปริยา ธูปทอง</v>
      </c>
      <c r="G161" s="3" t="str">
        <f>IFERROR(__xludf.DUMMYFUNCTION("""COMPUTED_VALUE"""),"ช่วยเหลืองานภายใน วพอ.")</f>
        <v>ช่วยเหลืองานภายใน วพอ.</v>
      </c>
      <c r="H161" s="3" t="str">
        <f>IFERROR(__xludf.DUMMYFUNCTION("""COMPUTED_VALUE"""),"เล่นดุริยางค์")</f>
        <v>เล่นดุริยางค์</v>
      </c>
      <c r="I161" s="3" t="str">
        <f>IFERROR(__xludf.DUMMYFUNCTION("""COMPUTED_VALUE"""),"วิทยาลัยพยาบาลทหารอากาศ")</f>
        <v>วิทยาลัยพยาบาลทหารอากาศ</v>
      </c>
      <c r="J161" s="12">
        <f>IFERROR(__xludf.DUMMYFUNCTION("""COMPUTED_VALUE"""),45975.0)</f>
        <v>45975</v>
      </c>
      <c r="K161" s="3" t="str">
        <f>IFERROR(__xludf.DUMMYFUNCTION("""COMPUTED_VALUE"""),"0700-0800")</f>
        <v>0700-0800</v>
      </c>
      <c r="L161" s="3">
        <f>IFERROR(__xludf.DUMMYFUNCTION("""COMPUTED_VALUE"""),1.0)</f>
        <v>1</v>
      </c>
      <c r="M161" s="3" t="str">
        <f>IFERROR(__xludf.DUMMYFUNCTION("""COMPUTED_VALUE"""),"ร.อ.อนุชิต ทำจะดี")</f>
        <v>ร.อ.อนุชิต ทำจะดี</v>
      </c>
      <c r="N161" s="14" t="str">
        <f>IFERROR(__xludf.DUMMYFUNCTION("""COMPUTED_VALUE"""),"https://lh5.googleusercontent.com/d/1t6PqPiVIi-jcg7yWzsDkj8z_5DoG-osd")</f>
        <v>https://lh5.googleusercontent.com/d/1t6PqPiVIi-jcg7yWzsDkj8z_5DoG-osd</v>
      </c>
      <c r="O161" s="14" t="str">
        <f>IFERROR(__xludf.DUMMYFUNCTION("""COMPUTED_VALUE"""),"https://drive.google.com/file/d/1z14Oh54hTRvw14GsGRbl63wJbT64rIkn/view?usp=drivesdk")</f>
        <v>https://drive.google.com/file/d/1z14Oh54hTRvw14GsGRbl63wJbT64rIkn/view?usp=drivesdk</v>
      </c>
    </row>
    <row r="162">
      <c r="A162" s="3">
        <f>IFERROR(__xludf.DUMMYFUNCTION("""COMPUTED_VALUE"""),1248.0)</f>
        <v>1248</v>
      </c>
      <c r="B162" s="11">
        <f>IFERROR(__xludf.DUMMYFUNCTION("""COMPUTED_VALUE"""),45998.045190324076)</f>
        <v>45998.04519</v>
      </c>
      <c r="C162" s="3" t="str">
        <f>IFERROR(__xludf.DUMMYFUNCTION("""COMPUTED_VALUE"""),"ชั้นปีที่ 1")</f>
        <v>ชั้นปีที่ 1</v>
      </c>
      <c r="D162" s="3" t="str">
        <f>IFERROR(__xludf.DUMMYFUNCTION("""COMPUTED_VALUE"""),"6803914")</f>
        <v>6803914</v>
      </c>
      <c r="E162" s="3" t="str">
        <f>IFERROR(__xludf.DUMMYFUNCTION("""COMPUTED_VALUE"""),"33")</f>
        <v>33</v>
      </c>
      <c r="F162" s="3" t="str">
        <f>IFERROR(__xludf.DUMMYFUNCTION("""COMPUTED_VALUE"""),"นพอ.ปราณปริยา ธูปทอง")</f>
        <v>นพอ.ปราณปริยา ธูปทอง</v>
      </c>
      <c r="G162" s="3" t="str">
        <f>IFERROR(__xludf.DUMMYFUNCTION("""COMPUTED_VALUE"""),"ช่วยเหลืองานภายใน วพอ.")</f>
        <v>ช่วยเหลืองานภายใน วพอ.</v>
      </c>
      <c r="H162" s="3" t="str">
        <f>IFERROR(__xludf.DUMMYFUNCTION("""COMPUTED_VALUE"""),"เล่นดุริยางค์")</f>
        <v>เล่นดุริยางค์</v>
      </c>
      <c r="I162" s="3" t="str">
        <f>IFERROR(__xludf.DUMMYFUNCTION("""COMPUTED_VALUE"""),"วิทยาลัยพยาบาลทหารอากาศ")</f>
        <v>วิทยาลัยพยาบาลทหารอากาศ</v>
      </c>
      <c r="J162" s="12">
        <f>IFERROR(__xludf.DUMMYFUNCTION("""COMPUTED_VALUE"""),45987.0)</f>
        <v>45987</v>
      </c>
      <c r="K162" s="3" t="str">
        <f>IFERROR(__xludf.DUMMYFUNCTION("""COMPUTED_VALUE"""),"0700-0800")</f>
        <v>0700-0800</v>
      </c>
      <c r="L162" s="3">
        <f>IFERROR(__xludf.DUMMYFUNCTION("""COMPUTED_VALUE"""),1.0)</f>
        <v>1</v>
      </c>
      <c r="M162" s="3" t="str">
        <f>IFERROR(__xludf.DUMMYFUNCTION("""COMPUTED_VALUE"""),"ร.อ.อนุชิต ทำจะดี")</f>
        <v>ร.อ.อนุชิต ทำจะดี</v>
      </c>
      <c r="N162" s="14" t="str">
        <f>IFERROR(__xludf.DUMMYFUNCTION("""COMPUTED_VALUE"""),"https://lh5.googleusercontent.com/d/1L4pro0GVPZEHaAJxqwvRQCt0miFBxLF-")</f>
        <v>https://lh5.googleusercontent.com/d/1L4pro0GVPZEHaAJxqwvRQCt0miFBxLF-</v>
      </c>
      <c r="O162" s="14" t="str">
        <f>IFERROR(__xludf.DUMMYFUNCTION("""COMPUTED_VALUE"""),"https://drive.google.com/file/d/1GBsqcZpX6omxK8A0BLYpkq6RcicoSPM9/view?usp=drivesdk")</f>
        <v>https://drive.google.com/file/d/1GBsqcZpX6omxK8A0BLYpkq6RcicoSPM9/view?usp=drivesdk</v>
      </c>
    </row>
    <row r="163">
      <c r="A163" s="3">
        <f>IFERROR(__xludf.DUMMYFUNCTION("""COMPUTED_VALUE"""),1253.0)</f>
        <v>1253</v>
      </c>
      <c r="B163" s="11">
        <f>IFERROR(__xludf.DUMMYFUNCTION("""COMPUTED_VALUE"""),45998.513380578705)</f>
        <v>45998.51338</v>
      </c>
      <c r="C163" s="3" t="str">
        <f>IFERROR(__xludf.DUMMYFUNCTION("""COMPUTED_VALUE"""),"ชั้นปีที่ 1")</f>
        <v>ชั้นปีที่ 1</v>
      </c>
      <c r="D163" s="3" t="str">
        <f>IFERROR(__xludf.DUMMYFUNCTION("""COMPUTED_VALUE"""),"6803896")</f>
        <v>6803896</v>
      </c>
      <c r="E163" s="3" t="str">
        <f>IFERROR(__xludf.DUMMYFUNCTION("""COMPUTED_VALUE"""),"15")</f>
        <v>15</v>
      </c>
      <c r="F163" s="3" t="str">
        <f>IFERROR(__xludf.DUMMYFUNCTION("""COMPUTED_VALUE"""),"นพอ.ณัชปวีย์ เยาวภา")</f>
        <v>นพอ.ณัชปวีย์ เยาวภา</v>
      </c>
      <c r="G163" s="3" t="str">
        <f>IFERROR(__xludf.DUMMYFUNCTION("""COMPUTED_VALUE"""),"ทำนุบำรุงศาสนสถาน")</f>
        <v>ทำนุบำรุงศาสนสถาน</v>
      </c>
      <c r="H163" s="3" t="str">
        <f>IFERROR(__xludf.DUMMYFUNCTION("""COMPUTED_VALUE"""),"กวาดลานวัด ล้างห้องน้ำ")</f>
        <v>กวาดลานวัด ล้างห้องน้ำ</v>
      </c>
      <c r="I163" s="3" t="str">
        <f>IFERROR(__xludf.DUMMYFUNCTION("""COMPUTED_VALUE"""),"วัดไตรรัตนาราม")</f>
        <v>วัดไตรรัตนาราม</v>
      </c>
      <c r="J163" s="12">
        <f>IFERROR(__xludf.DUMMYFUNCTION("""COMPUTED_VALUE"""),45996.0)</f>
        <v>45996</v>
      </c>
      <c r="K163" s="3" t="str">
        <f>IFERROR(__xludf.DUMMYFUNCTION("""COMPUTED_VALUE"""),"1100-1300")</f>
        <v>1100-1300</v>
      </c>
      <c r="L163" s="3">
        <f>IFERROR(__xludf.DUMMYFUNCTION("""COMPUTED_VALUE"""),2.0)</f>
        <v>2</v>
      </c>
      <c r="M163" s="3" t="str">
        <f>IFERROR(__xludf.DUMMYFUNCTION("""COMPUTED_VALUE"""),"พระครู ใบฏีกา บุญสม ปุญญะสโม (ผู้ช่วยเจ้าอาวาส)")</f>
        <v>พระครู ใบฏีกา บุญสม ปุญญะสโม (ผู้ช่วยเจ้าอาวาส)</v>
      </c>
      <c r="N163" s="14" t="str">
        <f>IFERROR(__xludf.DUMMYFUNCTION("""COMPUTED_VALUE"""),"https://lh5.googleusercontent.com/d/1lzbzLAb6ICuze2p1u-534gvOPEh5VMs_")</f>
        <v>https://lh5.googleusercontent.com/d/1lzbzLAb6ICuze2p1u-534gvOPEh5VMs_</v>
      </c>
      <c r="O163" s="14" t="str">
        <f>IFERROR(__xludf.DUMMYFUNCTION("""COMPUTED_VALUE"""),"https://drive.google.com/file/d/102FBxcm397Kvapa1_RDTcBzzh0zGJg4K/view?usp=drivesdk")</f>
        <v>https://drive.google.com/file/d/102FBxcm397Kvapa1_RDTcBzzh0zGJg4K/view?usp=drivesdk</v>
      </c>
    </row>
    <row r="164">
      <c r="A164" s="3">
        <f>IFERROR(__xludf.DUMMYFUNCTION("""COMPUTED_VALUE"""),1302.0)</f>
        <v>1302</v>
      </c>
      <c r="B164" s="11">
        <f>IFERROR(__xludf.DUMMYFUNCTION("""COMPUTED_VALUE"""),45998.8229659375)</f>
        <v>45998.82297</v>
      </c>
      <c r="C164" s="3" t="str">
        <f>IFERROR(__xludf.DUMMYFUNCTION("""COMPUTED_VALUE"""),"ชั้นปีที่ 1")</f>
        <v>ชั้นปีที่ 1</v>
      </c>
      <c r="D164" s="3" t="str">
        <f>IFERROR(__xludf.DUMMYFUNCTION("""COMPUTED_VALUE"""),"6803941")</f>
        <v>6803941</v>
      </c>
      <c r="E164" s="3" t="str">
        <f>IFERROR(__xludf.DUMMYFUNCTION("""COMPUTED_VALUE"""),"60")</f>
        <v>60</v>
      </c>
      <c r="F164" s="3" t="str">
        <f>IFERROR(__xludf.DUMMYFUNCTION("""COMPUTED_VALUE"""),"นพอ.(ช)อครา คำท้วม")</f>
        <v>นพอ.(ช)อครา คำท้วม</v>
      </c>
      <c r="G16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64" s="3" t="str">
        <f>IFERROR(__xludf.DUMMYFUNCTION("""COMPUTED_VALUE"""),"พยาบาลไทยบริจาคโลหิต ช่วยชีวิตเพื่อนมนุษย์ปี4")</f>
        <v>พยาบาลไทยบริจาคโลหิต ช่วยชีวิตเพื่อนมนุษย์ปี4</v>
      </c>
      <c r="I164" s="3" t="str">
        <f>IFERROR(__xludf.DUMMYFUNCTION("""COMPUTED_VALUE"""),"สภากาชาดไทย")</f>
        <v>สภากาชาดไทย</v>
      </c>
      <c r="J164" s="12">
        <f>IFERROR(__xludf.DUMMYFUNCTION("""COMPUTED_VALUE"""),45916.0)</f>
        <v>45916</v>
      </c>
      <c r="K164" s="3" t="str">
        <f>IFERROR(__xludf.DUMMYFUNCTION("""COMPUTED_VALUE"""),"0900")</f>
        <v>0900</v>
      </c>
      <c r="L164" s="3">
        <f>IFERROR(__xludf.DUMMYFUNCTION("""COMPUTED_VALUE"""),8.0)</f>
        <v>8</v>
      </c>
      <c r="M164" s="3" t="str">
        <f>IFERROR(__xludf.DUMMYFUNCTION("""COMPUTED_VALUE"""),"น.ท.หญิง อนุกูล บำรุงวงศ์")</f>
        <v>น.ท.หญิง อนุกูล บำรุงวงศ์</v>
      </c>
      <c r="N164" s="14" t="str">
        <f>IFERROR(__xludf.DUMMYFUNCTION("""COMPUTED_VALUE"""),"https://lh5.googleusercontent.com/d/18hfFmnLWgneRxQXe9yLfO59r_8_xSq00")</f>
        <v>https://lh5.googleusercontent.com/d/18hfFmnLWgneRxQXe9yLfO59r_8_xSq00</v>
      </c>
      <c r="O164" s="3"/>
    </row>
    <row r="165">
      <c r="A165" s="3">
        <f>IFERROR(__xludf.DUMMYFUNCTION("""COMPUTED_VALUE"""),1329.0)</f>
        <v>1329</v>
      </c>
      <c r="B165" s="11">
        <f>IFERROR(__xludf.DUMMYFUNCTION("""COMPUTED_VALUE"""),45998.87995940972)</f>
        <v>45998.87996</v>
      </c>
      <c r="C165" s="3" t="str">
        <f>IFERROR(__xludf.DUMMYFUNCTION("""COMPUTED_VALUE"""),"ชั้นปีที่ 1")</f>
        <v>ชั้นปีที่ 1</v>
      </c>
      <c r="D165" s="3" t="str">
        <f>IFERROR(__xludf.DUMMYFUNCTION("""COMPUTED_VALUE"""),"6803882")</f>
        <v>6803882</v>
      </c>
      <c r="E165" s="3" t="str">
        <f>IFERROR(__xludf.DUMMYFUNCTION("""COMPUTED_VALUE"""),"1")</f>
        <v>1</v>
      </c>
      <c r="F165" s="3" t="str">
        <f>IFERROR(__xludf.DUMMYFUNCTION("""COMPUTED_VALUE"""),"นพอ.กมลฉัตร ชาสุรีย์")</f>
        <v>นพอ.กมลฉัตร ชาสุรีย์</v>
      </c>
      <c r="G165" s="3" t="str">
        <f>IFERROR(__xludf.DUMMYFUNCTION("""COMPUTED_VALUE"""),"ช่วยเหลืองานภายใน วพอ.")</f>
        <v>ช่วยเหลืองานภายใน วพอ.</v>
      </c>
      <c r="H165" s="3" t="str">
        <f>IFERROR(__xludf.DUMMYFUNCTION("""COMPUTED_VALUE"""),"ดูแลและจัดห้องพักผ่อน นพอ.")</f>
        <v>ดูแลและจัดห้องพักผ่อน นพอ.</v>
      </c>
      <c r="I165" s="3" t="str">
        <f>IFERROR(__xludf.DUMMYFUNCTION("""COMPUTED_VALUE"""),"ห้องพักผ่อนนพอ. วพอ.พอ.")</f>
        <v>ห้องพักผ่อนนพอ. วพอ.พอ.</v>
      </c>
      <c r="J165" s="12">
        <f>IFERROR(__xludf.DUMMYFUNCTION("""COMPUTED_VALUE"""),45999.0)</f>
        <v>45999</v>
      </c>
      <c r="K165" s="3" t="str">
        <f>IFERROR(__xludf.DUMMYFUNCTION("""COMPUTED_VALUE"""),"1700")</f>
        <v>1700</v>
      </c>
      <c r="L165" s="3">
        <f>IFERROR(__xludf.DUMMYFUNCTION("""COMPUTED_VALUE"""),4.0)</f>
        <v>4</v>
      </c>
      <c r="M165" s="3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165" s="14" t="str">
        <f>IFERROR(__xludf.DUMMYFUNCTION("""COMPUTED_VALUE"""),"https://lh5.googleusercontent.com/d/1UAYAJEvVUpxe7QX6rnsDFYWyY0au_Eic")</f>
        <v>https://lh5.googleusercontent.com/d/1UAYAJEvVUpxe7QX6rnsDFYWyY0au_Eic</v>
      </c>
      <c r="O165" s="14" t="str">
        <f>IFERROR(__xludf.DUMMYFUNCTION("""COMPUTED_VALUE"""),"https://drive.google.com/file/d/1mOHfWbYccuCrQPq3dkG4EK9moBo3hKkS/view?usp=drivesdk")</f>
        <v>https://drive.google.com/file/d/1mOHfWbYccuCrQPq3dkG4EK9moBo3hKkS/view?usp=drivesdk</v>
      </c>
    </row>
    <row r="166">
      <c r="A166" s="3">
        <f>IFERROR(__xludf.DUMMYFUNCTION("""COMPUTED_VALUE"""),1331.0)</f>
        <v>1331</v>
      </c>
      <c r="B166" s="11">
        <f>IFERROR(__xludf.DUMMYFUNCTION("""COMPUTED_VALUE"""),45998.88037541667)</f>
        <v>45998.88038</v>
      </c>
      <c r="C166" s="3" t="str">
        <f>IFERROR(__xludf.DUMMYFUNCTION("""COMPUTED_VALUE"""),"ชั้นปีที่ 1")</f>
        <v>ชั้นปีที่ 1</v>
      </c>
      <c r="D166" s="3" t="str">
        <f>IFERROR(__xludf.DUMMYFUNCTION("""COMPUTED_VALUE"""),"6803887")</f>
        <v>6803887</v>
      </c>
      <c r="E166" s="3" t="str">
        <f>IFERROR(__xludf.DUMMYFUNCTION("""COMPUTED_VALUE"""),"6")</f>
        <v>6</v>
      </c>
      <c r="F166" s="3" t="str">
        <f>IFERROR(__xludf.DUMMYFUNCTION("""COMPUTED_VALUE"""),"นพอ.กัญญวรา โกษาเสวียง")</f>
        <v>นพอ.กัญญวรา โกษาเสวียง</v>
      </c>
      <c r="G166" s="3" t="str">
        <f>IFERROR(__xludf.DUMMYFUNCTION("""COMPUTED_VALUE"""),"ช่วยเหลืองานภายใน วพอ.")</f>
        <v>ช่วยเหลืองานภายใน วพอ.</v>
      </c>
      <c r="H166" s="3" t="str">
        <f>IFERROR(__xludf.DUMMYFUNCTION("""COMPUTED_VALUE"""),"ดูแลและจัดห้องพักผ่อนนพอ.")</f>
        <v>ดูแลและจัดห้องพักผ่อนนพอ.</v>
      </c>
      <c r="I166" s="3" t="str">
        <f>IFERROR(__xludf.DUMMYFUNCTION("""COMPUTED_VALUE"""),"ห้องพักผ่อนนพอ.")</f>
        <v>ห้องพักผ่อนนพอ.</v>
      </c>
      <c r="J166" s="12">
        <f>IFERROR(__xludf.DUMMYFUNCTION("""COMPUTED_VALUE"""),45999.0)</f>
        <v>45999</v>
      </c>
      <c r="K166" s="3" t="str">
        <f>IFERROR(__xludf.DUMMYFUNCTION("""COMPUTED_VALUE"""),"1700")</f>
        <v>1700</v>
      </c>
      <c r="L166" s="3">
        <f>IFERROR(__xludf.DUMMYFUNCTION("""COMPUTED_VALUE"""),2.0)</f>
        <v>2</v>
      </c>
      <c r="M166" s="3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166" s="14" t="str">
        <f>IFERROR(__xludf.DUMMYFUNCTION("""COMPUTED_VALUE"""),"https://lh5.googleusercontent.com/d/1DMHLUjVyb9LZLNK3lFBI9urPtCcrBJ_f")</f>
        <v>https://lh5.googleusercontent.com/d/1DMHLUjVyb9LZLNK3lFBI9urPtCcrBJ_f</v>
      </c>
      <c r="O166" s="14" t="str">
        <f>IFERROR(__xludf.DUMMYFUNCTION("""COMPUTED_VALUE"""),"https://drive.google.com/file/d/1krTEvfy0wYWL62okfal20FmsJpoZfQAC/view?usp=drivesdk")</f>
        <v>https://drive.google.com/file/d/1krTEvfy0wYWL62okfal20FmsJpoZfQAC/view?usp=drivesdk</v>
      </c>
    </row>
    <row r="167">
      <c r="A167" s="3">
        <f>IFERROR(__xludf.DUMMYFUNCTION("""COMPUTED_VALUE"""),1333.0)</f>
        <v>1333</v>
      </c>
      <c r="B167" s="11">
        <f>IFERROR(__xludf.DUMMYFUNCTION("""COMPUTED_VALUE"""),45998.8814363426)</f>
        <v>45998.88144</v>
      </c>
      <c r="C167" s="3" t="str">
        <f>IFERROR(__xludf.DUMMYFUNCTION("""COMPUTED_VALUE"""),"ชั้นปีที่ 1")</f>
        <v>ชั้นปีที่ 1</v>
      </c>
      <c r="D167" s="3" t="str">
        <f>IFERROR(__xludf.DUMMYFUNCTION("""COMPUTED_VALUE"""),"3906")</f>
        <v>3906</v>
      </c>
      <c r="E167" s="3" t="str">
        <f>IFERROR(__xludf.DUMMYFUNCTION("""COMPUTED_VALUE"""),"25")</f>
        <v>25</v>
      </c>
      <c r="F167" s="3" t="str">
        <f>IFERROR(__xludf.DUMMYFUNCTION("""COMPUTED_VALUE"""),"นพอ.ธัญวรัตน์ ยงคะวิสัย")</f>
        <v>นพอ.ธัญวรัตน์ ยงคะวิสัย</v>
      </c>
      <c r="G167" s="3" t="str">
        <f>IFERROR(__xludf.DUMMYFUNCTION("""COMPUTED_VALUE"""),"ช่วยเหลืองานภายใน วพอ.")</f>
        <v>ช่วยเหลืองานภายใน วพอ.</v>
      </c>
      <c r="H167" s="3" t="str">
        <f>IFERROR(__xludf.DUMMYFUNCTION("""COMPUTED_VALUE"""),"เล่นดุริยางค์")</f>
        <v>เล่นดุริยางค์</v>
      </c>
      <c r="I167" s="3" t="str">
        <f>IFERROR(__xludf.DUMMYFUNCTION("""COMPUTED_VALUE"""),"วพอ")</f>
        <v>วพอ</v>
      </c>
      <c r="J167" s="12">
        <f>IFERROR(__xludf.DUMMYFUNCTION("""COMPUTED_VALUE"""),45975.0)</f>
        <v>45975</v>
      </c>
      <c r="K167" s="3" t="str">
        <f>IFERROR(__xludf.DUMMYFUNCTION("""COMPUTED_VALUE"""),"0741")</f>
        <v>0741</v>
      </c>
      <c r="L167" s="3">
        <f>IFERROR(__xludf.DUMMYFUNCTION("""COMPUTED_VALUE"""),1.0)</f>
        <v>1</v>
      </c>
      <c r="M167" s="3" t="str">
        <f>IFERROR(__xludf.DUMMYFUNCTION("""COMPUTED_VALUE"""),"ร.อ.อนุชิต ทำจะดี")</f>
        <v>ร.อ.อนุชิต ทำจะดี</v>
      </c>
      <c r="N167" s="14" t="str">
        <f>IFERROR(__xludf.DUMMYFUNCTION("""COMPUTED_VALUE"""),"https://lh5.googleusercontent.com/d/1Z6doTm2aEBPjZz0UWAZjjVB5TjBBveum")</f>
        <v>https://lh5.googleusercontent.com/d/1Z6doTm2aEBPjZz0UWAZjjVB5TjBBveum</v>
      </c>
      <c r="O167" s="3"/>
    </row>
    <row r="168">
      <c r="A168" s="3">
        <f>IFERROR(__xludf.DUMMYFUNCTION("""COMPUTED_VALUE"""),1335.0)</f>
        <v>1335</v>
      </c>
      <c r="B168" s="11">
        <f>IFERROR(__xludf.DUMMYFUNCTION("""COMPUTED_VALUE"""),45998.883118171296)</f>
        <v>45998.88312</v>
      </c>
      <c r="C168" s="3" t="str">
        <f>IFERROR(__xludf.DUMMYFUNCTION("""COMPUTED_VALUE"""),"ชั้นปีที่ 1")</f>
        <v>ชั้นปีที่ 1</v>
      </c>
      <c r="D168" s="3" t="str">
        <f>IFERROR(__xludf.DUMMYFUNCTION("""COMPUTED_VALUE"""),"6803887")</f>
        <v>6803887</v>
      </c>
      <c r="E168" s="3" t="str">
        <f>IFERROR(__xludf.DUMMYFUNCTION("""COMPUTED_VALUE"""),"6")</f>
        <v>6</v>
      </c>
      <c r="F168" s="3" t="str">
        <f>IFERROR(__xludf.DUMMYFUNCTION("""COMPUTED_VALUE"""),"นพอ.กัญญวรา โกษาเสวียง")</f>
        <v>นพอ.กัญญวรา โกษาเสวียง</v>
      </c>
      <c r="G168" s="3" t="str">
        <f>IFERROR(__xludf.DUMMYFUNCTION("""COMPUTED_VALUE"""),"ช่วยเหลืองานภายใน วพอ.")</f>
        <v>ช่วยเหลืองานภายใน วพอ.</v>
      </c>
      <c r="H168" s="3" t="str">
        <f>IFERROR(__xludf.DUMMYFUNCTION("""COMPUTED_VALUE"""),"ดูแลและจัดห้องพักผ่อนนพอ.")</f>
        <v>ดูแลและจัดห้องพักผ่อนนพอ.</v>
      </c>
      <c r="I168" s="3" t="str">
        <f>IFERROR(__xludf.DUMMYFUNCTION("""COMPUTED_VALUE"""),"ห้องพักผ่อนนพอ.")</f>
        <v>ห้องพักผ่อนนพอ.</v>
      </c>
      <c r="J168" s="12">
        <f>IFERROR(__xludf.DUMMYFUNCTION("""COMPUTED_VALUE"""),46000.0)</f>
        <v>46000</v>
      </c>
      <c r="K168" s="3" t="str">
        <f>IFERROR(__xludf.DUMMYFUNCTION("""COMPUTED_VALUE"""),"1700")</f>
        <v>1700</v>
      </c>
      <c r="L168" s="3">
        <f>IFERROR(__xludf.DUMMYFUNCTION("""COMPUTED_VALUE"""),2.0)</f>
        <v>2</v>
      </c>
      <c r="M168" s="3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168" s="14" t="str">
        <f>IFERROR(__xludf.DUMMYFUNCTION("""COMPUTED_VALUE"""),"https://lh5.googleusercontent.com/d/1oOc9hEk7BG0j0BdO78GqXAzh-QxFqHeS")</f>
        <v>https://lh5.googleusercontent.com/d/1oOc9hEk7BG0j0BdO78GqXAzh-QxFqHeS</v>
      </c>
      <c r="O168" s="14" t="str">
        <f>IFERROR(__xludf.DUMMYFUNCTION("""COMPUTED_VALUE"""),"https://drive.google.com/file/d/1m9mPEaNIwikhgu932bVvyzXKByfB9kER/view?usp=drivesdk")</f>
        <v>https://drive.google.com/file/d/1m9mPEaNIwikhgu932bVvyzXKByfB9kER/view?usp=drivesdk</v>
      </c>
    </row>
    <row r="169">
      <c r="A169" s="3">
        <f>IFERROR(__xludf.DUMMYFUNCTION("""COMPUTED_VALUE"""),1339.0)</f>
        <v>1339</v>
      </c>
      <c r="B169" s="11">
        <f>IFERROR(__xludf.DUMMYFUNCTION("""COMPUTED_VALUE"""),45998.88562178241)</f>
        <v>45998.88562</v>
      </c>
      <c r="C169" s="3" t="str">
        <f>IFERROR(__xludf.DUMMYFUNCTION("""COMPUTED_VALUE"""),"ชั้นปีที่ 1")</f>
        <v>ชั้นปีที่ 1</v>
      </c>
      <c r="D169" s="3" t="str">
        <f>IFERROR(__xludf.DUMMYFUNCTION("""COMPUTED_VALUE"""),"6803942")</f>
        <v>6803942</v>
      </c>
      <c r="E169" s="3" t="str">
        <f>IFERROR(__xludf.DUMMYFUNCTION("""COMPUTED_VALUE"""),"61")</f>
        <v>61</v>
      </c>
      <c r="F169" s="3" t="str">
        <f>IFERROR(__xludf.DUMMYFUNCTION("""COMPUTED_VALUE"""),"นพอ.อชิรญา อ่อนเปรี้ยว")</f>
        <v>นพอ.อชิรญา อ่อนเปรี้ยว</v>
      </c>
      <c r="G169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69" s="3" t="str">
        <f>IFERROR(__xludf.DUMMYFUNCTION("""COMPUTED_VALUE"""),"พยาบาลไทยบริจาคโลหิต ช่วยชีวิตย์เพื่อนมนุษย์ปี4")</f>
        <v>พยาบาลไทยบริจาคโลหิต ช่วยชีวิตย์เพื่อนมนุษย์ปี4</v>
      </c>
      <c r="I169" s="3" t="str">
        <f>IFERROR(__xludf.DUMMYFUNCTION("""COMPUTED_VALUE"""),"ศูนย์บริจาคโลหิตแห่งชาติสภากาชาดไทย")</f>
        <v>ศูนย์บริจาคโลหิตแห่งชาติสภากาชาดไทย</v>
      </c>
      <c r="J169" s="12">
        <f>IFERROR(__xludf.DUMMYFUNCTION("""COMPUTED_VALUE"""),45916.0)</f>
        <v>45916</v>
      </c>
      <c r="K169" s="3" t="str">
        <f>IFERROR(__xludf.DUMMYFUNCTION("""COMPUTED_VALUE"""),"0800")</f>
        <v>0800</v>
      </c>
      <c r="L169" s="3">
        <f>IFERROR(__xludf.DUMMYFUNCTION("""COMPUTED_VALUE"""),8.0)</f>
        <v>8</v>
      </c>
      <c r="M169" s="3" t="str">
        <f>IFERROR(__xludf.DUMMYFUNCTION("""COMPUTED_VALUE"""),"น.ท.หญิง อนุกูล บำรุงวงค์")</f>
        <v>น.ท.หญิง อนุกูล บำรุงวงค์</v>
      </c>
      <c r="N169" s="14" t="str">
        <f>IFERROR(__xludf.DUMMYFUNCTION("""COMPUTED_VALUE"""),"https://lh5.googleusercontent.com/d/1yS_zdMdcbbyNhnEsU8opjgbqNi6mCEcd")</f>
        <v>https://lh5.googleusercontent.com/d/1yS_zdMdcbbyNhnEsU8opjgbqNi6mCEcd</v>
      </c>
      <c r="O169" s="14" t="str">
        <f>IFERROR(__xludf.DUMMYFUNCTION("""COMPUTED_VALUE"""),"https://drive.google.com/file/d/1izV_PX5rllT6Djp9Zr_C_zC9rexXRw5V/view?usp=drivesdk")</f>
        <v>https://drive.google.com/file/d/1izV_PX5rllT6Djp9Zr_C_zC9rexXRw5V/view?usp=drivesdk</v>
      </c>
    </row>
    <row r="170">
      <c r="A170" s="3">
        <f>IFERROR(__xludf.DUMMYFUNCTION("""COMPUTED_VALUE"""),1340.0)</f>
        <v>1340</v>
      </c>
      <c r="B170" s="11">
        <f>IFERROR(__xludf.DUMMYFUNCTION("""COMPUTED_VALUE"""),45998.88571299768)</f>
        <v>45998.88571</v>
      </c>
      <c r="C170" s="3" t="str">
        <f>IFERROR(__xludf.DUMMYFUNCTION("""COMPUTED_VALUE"""),"ชั้นปีที่ 1")</f>
        <v>ชั้นปีที่ 1</v>
      </c>
      <c r="D170" s="3" t="str">
        <f>IFERROR(__xludf.DUMMYFUNCTION("""COMPUTED_VALUE"""),"6803921")</f>
        <v>6803921</v>
      </c>
      <c r="E170" s="3" t="str">
        <f>IFERROR(__xludf.DUMMYFUNCTION("""COMPUTED_VALUE"""),"40")</f>
        <v>40</v>
      </c>
      <c r="F170" s="3" t="str">
        <f>IFERROR(__xludf.DUMMYFUNCTION("""COMPUTED_VALUE"""),"นพอ.พิชญาภรณ์ บุตรวัง")</f>
        <v>นพอ.พิชญาภรณ์ บุตรวัง</v>
      </c>
      <c r="G170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170" s="3" t="str">
        <f>IFERROR(__xludf.DUMMYFUNCTION("""COMPUTED_VALUE"""),"บริจาคโลหิต")</f>
        <v>บริจาคโลหิต</v>
      </c>
      <c r="I170" s="3" t="str">
        <f>IFERROR(__xludf.DUMMYFUNCTION("""COMPUTED_VALUE"""),"โรงพยาบาลกาฬสินธุ์")</f>
        <v>โรงพยาบาลกาฬสินธุ์</v>
      </c>
      <c r="J170" s="12">
        <f>IFERROR(__xludf.DUMMYFUNCTION("""COMPUTED_VALUE"""),45779.0)</f>
        <v>45779</v>
      </c>
      <c r="K170" s="3" t="str">
        <f>IFERROR(__xludf.DUMMYFUNCTION("""COMPUTED_VALUE"""),"0925")</f>
        <v>0925</v>
      </c>
      <c r="L170" s="3">
        <f>IFERROR(__xludf.DUMMYFUNCTION("""COMPUTED_VALUE"""),8.0)</f>
        <v>8</v>
      </c>
      <c r="M170" s="3" t="str">
        <f>IFERROR(__xludf.DUMMYFUNCTION("""COMPUTED_VALUE"""),"นางสาวขนิษฐา  จำปาอ่อน")</f>
        <v>นางสาวขนิษฐา  จำปาอ่อน</v>
      </c>
      <c r="N170" s="14" t="str">
        <f>IFERROR(__xludf.DUMMYFUNCTION("""COMPUTED_VALUE"""),"https://lh5.googleusercontent.com/d/14nkCdsH2qpb-emq32JbnYu-awkax7Kz0")</f>
        <v>https://lh5.googleusercontent.com/d/14nkCdsH2qpb-emq32JbnYu-awkax7Kz0</v>
      </c>
      <c r="O170" s="14" t="str">
        <f>IFERROR(__xludf.DUMMYFUNCTION("""COMPUTED_VALUE"""),"https://drive.google.com/file/d/1wlEnOqJ3OPvS3_0923Kio4kkOfNGk2Go/view?usp=drivesdk")</f>
        <v>https://drive.google.com/file/d/1wlEnOqJ3OPvS3_0923Kio4kkOfNGk2Go/view?usp=drivesdk</v>
      </c>
    </row>
    <row r="171">
      <c r="A171" s="3">
        <f>IFERROR(__xludf.DUMMYFUNCTION("""COMPUTED_VALUE"""),1341.0)</f>
        <v>1341</v>
      </c>
      <c r="B171" s="11">
        <f>IFERROR(__xludf.DUMMYFUNCTION("""COMPUTED_VALUE"""),45998.8860859375)</f>
        <v>45998.88609</v>
      </c>
      <c r="C171" s="3" t="str">
        <f>IFERROR(__xludf.DUMMYFUNCTION("""COMPUTED_VALUE"""),"ชั้นปีที่ 1")</f>
        <v>ชั้นปีที่ 1</v>
      </c>
      <c r="D171" s="3" t="str">
        <f>IFERROR(__xludf.DUMMYFUNCTION("""COMPUTED_VALUE"""),"6803919")</f>
        <v>6803919</v>
      </c>
      <c r="E171" s="3" t="str">
        <f>IFERROR(__xludf.DUMMYFUNCTION("""COMPUTED_VALUE"""),"38")</f>
        <v>38</v>
      </c>
      <c r="F171" s="3" t="str">
        <f>IFERROR(__xludf.DUMMYFUNCTION("""COMPUTED_VALUE"""),"นพอ.พลอยปภัส มากใหม่")</f>
        <v>นพอ.พลอยปภัส มากใหม่</v>
      </c>
      <c r="G171" s="3" t="str">
        <f>IFERROR(__xludf.DUMMYFUNCTION("""COMPUTED_VALUE"""),"ช่วยเหลืองานภายใน วพอ.")</f>
        <v>ช่วยเหลืองานภายใน วพอ.</v>
      </c>
      <c r="H171" s="3" t="str">
        <f>IFERROR(__xludf.DUMMYFUNCTION("""COMPUTED_VALUE"""),"Big cleaning ")</f>
        <v>Big cleaning </v>
      </c>
      <c r="I171" s="3" t="str">
        <f>IFERROR(__xludf.DUMMYFUNCTION("""COMPUTED_VALUE"""),"วพอ.")</f>
        <v>วพอ.</v>
      </c>
      <c r="J171" s="12">
        <f>IFERROR(__xludf.DUMMYFUNCTION("""COMPUTED_VALUE"""),45875.0)</f>
        <v>45875</v>
      </c>
      <c r="K171" s="3" t="str">
        <f>IFERROR(__xludf.DUMMYFUNCTION("""COMPUTED_VALUE"""),"8:00")</f>
        <v>8:00</v>
      </c>
      <c r="L171" s="3">
        <f>IFERROR(__xludf.DUMMYFUNCTION("""COMPUTED_VALUE"""),8.0)</f>
        <v>8</v>
      </c>
      <c r="M171" s="3" t="str">
        <f>IFERROR(__xludf.DUMMYFUNCTION("""COMPUTED_VALUE"""),"น.ต.ศักชัย บุญประสิทธิ์")</f>
        <v>น.ต.ศักชัย บุญประสิทธิ์</v>
      </c>
      <c r="N171" s="14" t="str">
        <f>IFERROR(__xludf.DUMMYFUNCTION("""COMPUTED_VALUE"""),"https://lh5.googleusercontent.com/d/1XtzvB7plQ6cfaQJ3aVBVNq_wU_gnJHaw")</f>
        <v>https://lh5.googleusercontent.com/d/1XtzvB7plQ6cfaQJ3aVBVNq_wU_gnJHaw</v>
      </c>
      <c r="O171" s="14" t="str">
        <f>IFERROR(__xludf.DUMMYFUNCTION("""COMPUTED_VALUE"""),"https://drive.google.com/file/d/1VI5ykfgSVFSTKeWrRXw09vqsvuRdQP1D/view?usp=drivesdk")</f>
        <v>https://drive.google.com/file/d/1VI5ykfgSVFSTKeWrRXw09vqsvuRdQP1D/view?usp=drivesdk</v>
      </c>
    </row>
    <row r="172">
      <c r="A172" s="3">
        <f>IFERROR(__xludf.DUMMYFUNCTION("""COMPUTED_VALUE"""),1342.0)</f>
        <v>1342</v>
      </c>
      <c r="B172" s="11">
        <f>IFERROR(__xludf.DUMMYFUNCTION("""COMPUTED_VALUE"""),45998.88614003472)</f>
        <v>45998.88614</v>
      </c>
      <c r="C172" s="3" t="str">
        <f>IFERROR(__xludf.DUMMYFUNCTION("""COMPUTED_VALUE"""),"ชั้นปีที่ 1")</f>
        <v>ชั้นปีที่ 1</v>
      </c>
      <c r="D172" s="3" t="str">
        <f>IFERROR(__xludf.DUMMYFUNCTION("""COMPUTED_VALUE"""),"6803886")</f>
        <v>6803886</v>
      </c>
      <c r="E172" s="3" t="str">
        <f>IFERROR(__xludf.DUMMYFUNCTION("""COMPUTED_VALUE"""),"5")</f>
        <v>5</v>
      </c>
      <c r="F172" s="3" t="str">
        <f>IFERROR(__xludf.DUMMYFUNCTION("""COMPUTED_VALUE"""),"นพอ.กัญญพัชร ทองสุข")</f>
        <v>นพอ.กัญญพัชร ทองสุข</v>
      </c>
      <c r="G172" s="3" t="str">
        <f>IFERROR(__xludf.DUMMYFUNCTION("""COMPUTED_VALUE"""),"งานฟรีทั่วไป")</f>
        <v>งานฟรีทั่วไป</v>
      </c>
      <c r="H172" s="3" t="str">
        <f>IFERROR(__xludf.DUMMYFUNCTION("""COMPUTED_VALUE"""),"ทำความสะอาดบ้าน")</f>
        <v>ทำความสะอาดบ้าน</v>
      </c>
      <c r="I172" s="3" t="str">
        <f>IFERROR(__xludf.DUMMYFUNCTION("""COMPUTED_VALUE"""),"บ้าน")</f>
        <v>บ้าน</v>
      </c>
      <c r="J172" s="12">
        <f>IFERROR(__xludf.DUMMYFUNCTION("""COMPUTED_VALUE"""),45997.0)</f>
        <v>45997</v>
      </c>
      <c r="K172" s="3" t="str">
        <f>IFERROR(__xludf.DUMMYFUNCTION("""COMPUTED_VALUE"""),"18.00")</f>
        <v>18.00</v>
      </c>
      <c r="L172" s="3">
        <f>IFERROR(__xludf.DUMMYFUNCTION("""COMPUTED_VALUE"""),4.0)</f>
        <v>4</v>
      </c>
      <c r="M172" s="3" t="str">
        <f>IFERROR(__xludf.DUMMYFUNCTION("""COMPUTED_VALUE"""),"นางสาวอุไรวรรณ วารีบ่อ")</f>
        <v>นางสาวอุไรวรรณ วารีบ่อ</v>
      </c>
      <c r="N172" s="14" t="str">
        <f>IFERROR(__xludf.DUMMYFUNCTION("""COMPUTED_VALUE"""),"https://lh5.googleusercontent.com/d/1qTjFNGkqcXhySkNalxP7PC3Up2IFj3EC")</f>
        <v>https://lh5.googleusercontent.com/d/1qTjFNGkqcXhySkNalxP7PC3Up2IFj3EC</v>
      </c>
      <c r="O172" s="14" t="str">
        <f>IFERROR(__xludf.DUMMYFUNCTION("""COMPUTED_VALUE"""),"https://drive.google.com/file/d/1PVVe_yNl-oZRAtsY1zbk8R7t20K_-e9h/view?usp=drivesdk")</f>
        <v>https://drive.google.com/file/d/1PVVe_yNl-oZRAtsY1zbk8R7t20K_-e9h/view?usp=drivesdk</v>
      </c>
    </row>
    <row r="173">
      <c r="A173" s="3">
        <f>IFERROR(__xludf.DUMMYFUNCTION("""COMPUTED_VALUE"""),1343.0)</f>
        <v>1343</v>
      </c>
      <c r="B173" s="11">
        <f>IFERROR(__xludf.DUMMYFUNCTION("""COMPUTED_VALUE"""),45998.88837564815)</f>
        <v>45998.88838</v>
      </c>
      <c r="C173" s="3" t="str">
        <f>IFERROR(__xludf.DUMMYFUNCTION("""COMPUTED_VALUE"""),"ชั้นปีที่ 1")</f>
        <v>ชั้นปีที่ 1</v>
      </c>
      <c r="D173" s="3" t="str">
        <f>IFERROR(__xludf.DUMMYFUNCTION("""COMPUTED_VALUE"""),"6803889")</f>
        <v>6803889</v>
      </c>
      <c r="E173" s="3" t="str">
        <f>IFERROR(__xludf.DUMMYFUNCTION("""COMPUTED_VALUE"""),"8")</f>
        <v>8</v>
      </c>
      <c r="F173" s="3" t="str">
        <f>IFERROR(__xludf.DUMMYFUNCTION("""COMPUTED_VALUE"""),"นพอ.กุลิสรา ตุ่นคำ")</f>
        <v>นพอ.กุลิสรา ตุ่นคำ</v>
      </c>
      <c r="G173" s="3" t="str">
        <f>IFERROR(__xludf.DUMMYFUNCTION("""COMPUTED_VALUE"""),"ช่วยเหลืองานภายใน วพอ.")</f>
        <v>ช่วยเหลืองานภายใน วพอ.</v>
      </c>
      <c r="H173" s="3" t="str">
        <f>IFERROR(__xludf.DUMMYFUNCTION("""COMPUTED_VALUE"""),"ดุริยางค์")</f>
        <v>ดุริยางค์</v>
      </c>
      <c r="I173" s="3" t="str">
        <f>IFERROR(__xludf.DUMMYFUNCTION("""COMPUTED_VALUE"""),"วพอ.พอ.")</f>
        <v>วพอ.พอ.</v>
      </c>
      <c r="J173" s="12">
        <f>IFERROR(__xludf.DUMMYFUNCTION("""COMPUTED_VALUE"""),45964.0)</f>
        <v>45964</v>
      </c>
      <c r="K173" s="3" t="str">
        <f>IFERROR(__xludf.DUMMYFUNCTION("""COMPUTED_VALUE"""),"0720")</f>
        <v>0720</v>
      </c>
      <c r="L173" s="3">
        <f>IFERROR(__xludf.DUMMYFUNCTION("""COMPUTED_VALUE"""),1.0)</f>
        <v>1</v>
      </c>
      <c r="M173" s="3" t="str">
        <f>IFERROR(__xludf.DUMMYFUNCTION("""COMPUTED_VALUE"""),"ร.อ.อนุชิต ทำจะดี")</f>
        <v>ร.อ.อนุชิต ทำจะดี</v>
      </c>
      <c r="N173" s="14" t="str">
        <f>IFERROR(__xludf.DUMMYFUNCTION("""COMPUTED_VALUE"""),"https://lh5.googleusercontent.com/d/1LBqlRGCn53bxPOItCJ7rTlwHA4oVnEz6")</f>
        <v>https://lh5.googleusercontent.com/d/1LBqlRGCn53bxPOItCJ7rTlwHA4oVnEz6</v>
      </c>
      <c r="O173" s="14" t="str">
        <f>IFERROR(__xludf.DUMMYFUNCTION("""COMPUTED_VALUE"""),"https://drive.google.com/file/d/1qupg5RjGhIitvJx-QKeRd-Wv3ErNryvL/view?usp=drivesdk")</f>
        <v>https://drive.google.com/file/d/1qupg5RjGhIitvJx-QKeRd-Wv3ErNryvL/view?usp=drivesdk</v>
      </c>
    </row>
    <row r="174">
      <c r="A174" s="3">
        <f>IFERROR(__xludf.DUMMYFUNCTION("""COMPUTED_VALUE"""),1344.0)</f>
        <v>1344</v>
      </c>
      <c r="B174" s="11">
        <f>IFERROR(__xludf.DUMMYFUNCTION("""COMPUTED_VALUE"""),45998.888447847225)</f>
        <v>45998.88845</v>
      </c>
      <c r="C174" s="3" t="str">
        <f>IFERROR(__xludf.DUMMYFUNCTION("""COMPUTED_VALUE"""),"ชั้นปีที่ 1")</f>
        <v>ชั้นปีที่ 1</v>
      </c>
      <c r="D174" s="3" t="str">
        <f>IFERROR(__xludf.DUMMYFUNCTION("""COMPUTED_VALUE"""),"6803906")</f>
        <v>6803906</v>
      </c>
      <c r="E174" s="3" t="str">
        <f>IFERROR(__xludf.DUMMYFUNCTION("""COMPUTED_VALUE"""),"25")</f>
        <v>25</v>
      </c>
      <c r="F174" s="3" t="str">
        <f>IFERROR(__xludf.DUMMYFUNCTION("""COMPUTED_VALUE"""),"นพอ.ธัญวรัตน์ ยงคะวิสัย")</f>
        <v>นพอ.ธัญวรัตน์ ยงคะวิสัย</v>
      </c>
      <c r="G174" s="3" t="str">
        <f>IFERROR(__xludf.DUMMYFUNCTION("""COMPUTED_VALUE"""),"ช่วยเหลืองานภายใน วพอ.")</f>
        <v>ช่วยเหลืองานภายใน วพอ.</v>
      </c>
      <c r="H174" s="3" t="str">
        <f>IFERROR(__xludf.DUMMYFUNCTION("""COMPUTED_VALUE"""),"เล่นดุริยางค์")</f>
        <v>เล่นดุริยางค์</v>
      </c>
      <c r="I174" s="3" t="str">
        <f>IFERROR(__xludf.DUMMYFUNCTION("""COMPUTED_VALUE"""),"วพอ.")</f>
        <v>วพอ.</v>
      </c>
      <c r="J174" s="12">
        <f>IFERROR(__xludf.DUMMYFUNCTION("""COMPUTED_VALUE"""),45981.0)</f>
        <v>45981</v>
      </c>
      <c r="K174" s="3" t="str">
        <f>IFERROR(__xludf.DUMMYFUNCTION("""COMPUTED_VALUE"""),"0745")</f>
        <v>0745</v>
      </c>
      <c r="L174" s="3">
        <f>IFERROR(__xludf.DUMMYFUNCTION("""COMPUTED_VALUE"""),1.0)</f>
        <v>1</v>
      </c>
      <c r="M174" s="3" t="str">
        <f>IFERROR(__xludf.DUMMYFUNCTION("""COMPUTED_VALUE"""),"ร.อ.อนุชิต ทำจะดี")</f>
        <v>ร.อ.อนุชิต ทำจะดี</v>
      </c>
      <c r="N174" s="14" t="str">
        <f>IFERROR(__xludf.DUMMYFUNCTION("""COMPUTED_VALUE"""),"https://lh5.googleusercontent.com/d/1jaFYUVm-QxnYoHBlgM-bfkSLhQPOsuWq")</f>
        <v>https://lh5.googleusercontent.com/d/1jaFYUVm-QxnYoHBlgM-bfkSLhQPOsuWq</v>
      </c>
      <c r="O174" s="14" t="str">
        <f>IFERROR(__xludf.DUMMYFUNCTION("""COMPUTED_VALUE"""),"https://drive.google.com/file/d/1-OFQpZHVtzsDvaoC2s-DJ0gbzs9HzHhI/view?usp=drivesdk")</f>
        <v>https://drive.google.com/file/d/1-OFQpZHVtzsDvaoC2s-DJ0gbzs9HzHhI/view?usp=drivesdk</v>
      </c>
    </row>
    <row r="175">
      <c r="A175" s="3">
        <f>IFERROR(__xludf.DUMMYFUNCTION("""COMPUTED_VALUE"""),1346.0)</f>
        <v>1346</v>
      </c>
      <c r="B175" s="11">
        <f>IFERROR(__xludf.DUMMYFUNCTION("""COMPUTED_VALUE"""),45998.88905331018)</f>
        <v>45998.88905</v>
      </c>
      <c r="C175" s="3" t="str">
        <f>IFERROR(__xludf.DUMMYFUNCTION("""COMPUTED_VALUE"""),"ชั้นปีที่ 1")</f>
        <v>ชั้นปีที่ 1</v>
      </c>
      <c r="D175" s="3" t="str">
        <f>IFERROR(__xludf.DUMMYFUNCTION("""COMPUTED_VALUE"""),"6803925")</f>
        <v>6803925</v>
      </c>
      <c r="E175" s="3" t="str">
        <f>IFERROR(__xludf.DUMMYFUNCTION("""COMPUTED_VALUE"""),"44")</f>
        <v>44</v>
      </c>
      <c r="F175" s="3" t="str">
        <f>IFERROR(__xludf.DUMMYFUNCTION("""COMPUTED_VALUE"""),"ภัทรพร ม่วงแคล้ว")</f>
        <v>ภัทรพร ม่วงแคล้ว</v>
      </c>
      <c r="G175" s="3" t="str">
        <f>IFERROR(__xludf.DUMMYFUNCTION("""COMPUTED_VALUE"""),"ทำนุบำรุงศาสนสถาน")</f>
        <v>ทำนุบำรุงศาสนสถาน</v>
      </c>
      <c r="H175" s="3" t="str">
        <f>IFERROR(__xludf.DUMMYFUNCTION("""COMPUTED_VALUE"""),"กวาดลานวัด")</f>
        <v>กวาดลานวัด</v>
      </c>
      <c r="I175" s="3" t="str">
        <f>IFERROR(__xludf.DUMMYFUNCTION("""COMPUTED_VALUE"""),"วัดราษฎร์นิยมธรรม")</f>
        <v>วัดราษฎร์นิยมธรรม</v>
      </c>
      <c r="J175" s="12">
        <f>IFERROR(__xludf.DUMMYFUNCTION("""COMPUTED_VALUE"""),45990.0)</f>
        <v>45990</v>
      </c>
      <c r="K175" s="3" t="str">
        <f>IFERROR(__xludf.DUMMYFUNCTION("""COMPUTED_VALUE"""),"0700-1100")</f>
        <v>0700-1100</v>
      </c>
      <c r="L175" s="3">
        <f>IFERROR(__xludf.DUMMYFUNCTION("""COMPUTED_VALUE"""),4.0)</f>
        <v>4</v>
      </c>
      <c r="M175" s="3" t="str">
        <f>IFERROR(__xludf.DUMMYFUNCTION("""COMPUTED_VALUE"""),"พระครูอาทรวุฒิคุณ")</f>
        <v>พระครูอาทรวุฒิคุณ</v>
      </c>
      <c r="N175" s="14" t="str">
        <f>IFERROR(__xludf.DUMMYFUNCTION("""COMPUTED_VALUE"""),"https://lh5.googleusercontent.com/d/1A6EFJZyPOO8claXV93FMqpGYNzaD1exw")</f>
        <v>https://lh5.googleusercontent.com/d/1A6EFJZyPOO8claXV93FMqpGYNzaD1exw</v>
      </c>
      <c r="O175" s="14" t="str">
        <f>IFERROR(__xludf.DUMMYFUNCTION("""COMPUTED_VALUE"""),"https://drive.google.com/file/d/192PMXaZAn7iwlObXiGEFRYVbeOqrp8Qz/view?usp=drivesdk")</f>
        <v>https://drive.google.com/file/d/192PMXaZAn7iwlObXiGEFRYVbeOqrp8Qz/view?usp=drivesdk</v>
      </c>
    </row>
    <row r="176">
      <c r="A176" s="3">
        <f>IFERROR(__xludf.DUMMYFUNCTION("""COMPUTED_VALUE"""),1347.0)</f>
        <v>1347</v>
      </c>
      <c r="B176" s="11">
        <f>IFERROR(__xludf.DUMMYFUNCTION("""COMPUTED_VALUE"""),45998.88993096065)</f>
        <v>45998.88993</v>
      </c>
      <c r="C176" s="3" t="str">
        <f>IFERROR(__xludf.DUMMYFUNCTION("""COMPUTED_VALUE"""),"ชั้นปีที่ 1")</f>
        <v>ชั้นปีที่ 1</v>
      </c>
      <c r="D176" s="3" t="str">
        <f>IFERROR(__xludf.DUMMYFUNCTION("""COMPUTED_VALUE"""),"6803919")</f>
        <v>6803919</v>
      </c>
      <c r="E176" s="3" t="str">
        <f>IFERROR(__xludf.DUMMYFUNCTION("""COMPUTED_VALUE"""),"38")</f>
        <v>38</v>
      </c>
      <c r="F176" s="3" t="str">
        <f>IFERROR(__xludf.DUMMYFUNCTION("""COMPUTED_VALUE"""),"นพอ.พลอยปภัส มากใหม่")</f>
        <v>นพอ.พลอยปภัส มากใหม่</v>
      </c>
      <c r="G176" s="3" t="str">
        <f>IFERROR(__xludf.DUMMYFUNCTION("""COMPUTED_VALUE"""),"ช่วยเหลืองานภายใน วพอ.")</f>
        <v>ช่วยเหลืองานภายใน วพอ.</v>
      </c>
      <c r="H176" s="3" t="str">
        <f>IFERROR(__xludf.DUMMYFUNCTION("""COMPUTED_VALUE"""),"ช่วยจัดงานวันสวนสนาม (ไม่มีรูปขณะปฏิบัติงาน)")</f>
        <v>ช่วยจัดงานวันสวนสนาม (ไม่มีรูปขณะปฏิบัติงาน)</v>
      </c>
      <c r="I176" s="3" t="str">
        <f>IFERROR(__xludf.DUMMYFUNCTION("""COMPUTED_VALUE"""),"วพอ.")</f>
        <v>วพอ.</v>
      </c>
      <c r="J176" s="12">
        <f>IFERROR(__xludf.DUMMYFUNCTION("""COMPUTED_VALUE"""),45928.0)</f>
        <v>45928</v>
      </c>
      <c r="K176" s="3" t="str">
        <f>IFERROR(__xludf.DUMMYFUNCTION("""COMPUTED_VALUE"""),"10:00")</f>
        <v>10:00</v>
      </c>
      <c r="L176" s="3">
        <f>IFERROR(__xludf.DUMMYFUNCTION("""COMPUTED_VALUE"""),5.0)</f>
        <v>5</v>
      </c>
      <c r="M176" s="3" t="str">
        <f>IFERROR(__xludf.DUMMYFUNCTION("""COMPUTED_VALUE"""),"ร.อ.อนุชิต ทำจะดี")</f>
        <v>ร.อ.อนุชิต ทำจะดี</v>
      </c>
      <c r="N176" s="14" t="str">
        <f>IFERROR(__xludf.DUMMYFUNCTION("""COMPUTED_VALUE"""),"https://lh5.googleusercontent.com/d/10oZnq3Zn2nQYQq7cxWOBrllrvwWC5V7R")</f>
        <v>https://lh5.googleusercontent.com/d/10oZnq3Zn2nQYQq7cxWOBrllrvwWC5V7R</v>
      </c>
      <c r="O176" s="14" t="str">
        <f>IFERROR(__xludf.DUMMYFUNCTION("""COMPUTED_VALUE"""),"https://drive.google.com/file/d/1rlOYGKba5J3c8psz91FcH9doc3SBy39g/view?usp=drivesdk")</f>
        <v>https://drive.google.com/file/d/1rlOYGKba5J3c8psz91FcH9doc3SBy39g/view?usp=drivesdk</v>
      </c>
    </row>
    <row r="177">
      <c r="A177" s="3">
        <f>IFERROR(__xludf.DUMMYFUNCTION("""COMPUTED_VALUE"""),1349.0)</f>
        <v>1349</v>
      </c>
      <c r="B177" s="11">
        <f>IFERROR(__xludf.DUMMYFUNCTION("""COMPUTED_VALUE"""),45998.89038858796)</f>
        <v>45998.89039</v>
      </c>
      <c r="C177" s="3" t="str">
        <f>IFERROR(__xludf.DUMMYFUNCTION("""COMPUTED_VALUE"""),"ชั้นปีที่ 1")</f>
        <v>ชั้นปีที่ 1</v>
      </c>
      <c r="D177" s="3" t="str">
        <f>IFERROR(__xludf.DUMMYFUNCTION("""COMPUTED_VALUE"""),"6803903")</f>
        <v>6803903</v>
      </c>
      <c r="E177" s="3" t="str">
        <f>IFERROR(__xludf.DUMMYFUNCTION("""COMPUTED_VALUE"""),"22")</f>
        <v>22</v>
      </c>
      <c r="F177" s="3" t="str">
        <f>IFERROR(__xludf.DUMMYFUNCTION("""COMPUTED_VALUE"""),"นพอ.ดลณภา คล้ายสุวรรณ์")</f>
        <v>นพอ.ดลณภา คล้ายสุวรรณ์</v>
      </c>
      <c r="G1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177" s="3" t="str">
        <f>IFERROR(__xludf.DUMMYFUNCTION("""COMPUTED_VALUE"""),"งานกอล์ฟ")</f>
        <v>งานกอล์ฟ</v>
      </c>
      <c r="I177" s="3" t="str">
        <f>IFERROR(__xludf.DUMMYFUNCTION("""COMPUTED_VALUE"""),"สนามกอล์ฟธูปะเตมีย์")</f>
        <v>สนามกอล์ฟธูปะเตมีย์</v>
      </c>
      <c r="J177" s="12">
        <f>IFERROR(__xludf.DUMMYFUNCTION("""COMPUTED_VALUE"""),45989.0)</f>
        <v>45989</v>
      </c>
      <c r="K177" s="3" t="str">
        <f>IFERROR(__xludf.DUMMYFUNCTION("""COMPUTED_VALUE"""),"1400-1900")</f>
        <v>1400-1900</v>
      </c>
      <c r="L177" s="3">
        <f>IFERROR(__xludf.DUMMYFUNCTION("""COMPUTED_VALUE"""),5.0)</f>
        <v>5</v>
      </c>
      <c r="M177" s="3" t="str">
        <f>IFERROR(__xludf.DUMMYFUNCTION("""COMPUTED_VALUE"""),"น.ต.ศักชัย บุญประสิทธิ์")</f>
        <v>น.ต.ศักชัย บุญประสิทธิ์</v>
      </c>
      <c r="N177" s="14" t="str">
        <f>IFERROR(__xludf.DUMMYFUNCTION("""COMPUTED_VALUE"""),"https://lh5.googleusercontent.com/d/1S8Js9DojUNslVGiOtAy3ncKqXrn3zMzP")</f>
        <v>https://lh5.googleusercontent.com/d/1S8Js9DojUNslVGiOtAy3ncKqXrn3zMzP</v>
      </c>
      <c r="O177" s="14" t="str">
        <f>IFERROR(__xludf.DUMMYFUNCTION("""COMPUTED_VALUE"""),"https://drive.google.com/file/d/1Ce1rGSV9qR7sqF_tylKamDm4b4CFq60y/view?usp=drivesdk")</f>
        <v>https://drive.google.com/file/d/1Ce1rGSV9qR7sqF_tylKamDm4b4CFq60y/view?usp=drivesdk</v>
      </c>
    </row>
    <row r="178">
      <c r="A178" s="3">
        <f>IFERROR(__xludf.DUMMYFUNCTION("""COMPUTED_VALUE"""),1351.0)</f>
        <v>1351</v>
      </c>
      <c r="B178" s="11">
        <f>IFERROR(__xludf.DUMMYFUNCTION("""COMPUTED_VALUE"""),45998.89069908565)</f>
        <v>45998.8907</v>
      </c>
      <c r="C178" s="3" t="str">
        <f>IFERROR(__xludf.DUMMYFUNCTION("""COMPUTED_VALUE"""),"ชั้นปีที่ 1")</f>
        <v>ชั้นปีที่ 1</v>
      </c>
      <c r="D178" s="3" t="str">
        <f>IFERROR(__xludf.DUMMYFUNCTION("""COMPUTED_VALUE"""),"6803906")</f>
        <v>6803906</v>
      </c>
      <c r="E178" s="3" t="str">
        <f>IFERROR(__xludf.DUMMYFUNCTION("""COMPUTED_VALUE"""),"25")</f>
        <v>25</v>
      </c>
      <c r="F178" s="3" t="str">
        <f>IFERROR(__xludf.DUMMYFUNCTION("""COMPUTED_VALUE"""),"นพอ.ธัญวรัตน์ ยงคะวิสัย")</f>
        <v>นพอ.ธัญวรัตน์ ยงคะวิสัย</v>
      </c>
      <c r="G178" s="3" t="str">
        <f>IFERROR(__xludf.DUMMYFUNCTION("""COMPUTED_VALUE"""),"ช่วยเหลืองานภายใน วพอ.")</f>
        <v>ช่วยเหลืองานภายใน วพอ.</v>
      </c>
      <c r="H178" s="3" t="str">
        <f>IFERROR(__xludf.DUMMYFUNCTION("""COMPUTED_VALUE"""),"เล่นดุริยางค์")</f>
        <v>เล่นดุริยางค์</v>
      </c>
      <c r="I178" s="3" t="str">
        <f>IFERROR(__xludf.DUMMYFUNCTION("""COMPUTED_VALUE"""),"วพอ.")</f>
        <v>วพอ.</v>
      </c>
      <c r="J178" s="12">
        <f>IFERROR(__xludf.DUMMYFUNCTION("""COMPUTED_VALUE"""),45982.0)</f>
        <v>45982</v>
      </c>
      <c r="K178" s="3" t="str">
        <f>IFERROR(__xludf.DUMMYFUNCTION("""COMPUTED_VALUE"""),"0740")</f>
        <v>0740</v>
      </c>
      <c r="L178" s="3">
        <f>IFERROR(__xludf.DUMMYFUNCTION("""COMPUTED_VALUE"""),1.0)</f>
        <v>1</v>
      </c>
      <c r="M178" s="3" t="str">
        <f>IFERROR(__xludf.DUMMYFUNCTION("""COMPUTED_VALUE"""),"ร.อ.อนุชิต ทำจะดี")</f>
        <v>ร.อ.อนุชิต ทำจะดี</v>
      </c>
      <c r="N178" s="14" t="str">
        <f>IFERROR(__xludf.DUMMYFUNCTION("""COMPUTED_VALUE"""),"https://lh5.googleusercontent.com/d/12EMtauwNTwrT_vtgOua7ZngRVPXL3Kji")</f>
        <v>https://lh5.googleusercontent.com/d/12EMtauwNTwrT_vtgOua7ZngRVPXL3Kji</v>
      </c>
      <c r="O178" s="14" t="str">
        <f>IFERROR(__xludf.DUMMYFUNCTION("""COMPUTED_VALUE"""),"https://drive.google.com/file/d/1AcUK3qngnvKrj919NhVTtCFSmVxtICB9/view?usp=drivesdk")</f>
        <v>https://drive.google.com/file/d/1AcUK3qngnvKrj919NhVTtCFSmVxtICB9/view?usp=drivesdk</v>
      </c>
    </row>
    <row r="179">
      <c r="A179" s="3">
        <f>IFERROR(__xludf.DUMMYFUNCTION("""COMPUTED_VALUE"""),1352.0)</f>
        <v>1352</v>
      </c>
      <c r="B179" s="11">
        <f>IFERROR(__xludf.DUMMYFUNCTION("""COMPUTED_VALUE"""),45998.890987129635)</f>
        <v>45998.89099</v>
      </c>
      <c r="C179" s="3" t="str">
        <f>IFERROR(__xludf.DUMMYFUNCTION("""COMPUTED_VALUE"""),"ชั้นปีที่ 1")</f>
        <v>ชั้นปีที่ 1</v>
      </c>
      <c r="D179" s="3" t="str">
        <f>IFERROR(__xludf.DUMMYFUNCTION("""COMPUTED_VALUE"""),"6803886")</f>
        <v>6803886</v>
      </c>
      <c r="E179" s="3" t="str">
        <f>IFERROR(__xludf.DUMMYFUNCTION("""COMPUTED_VALUE"""),"5")</f>
        <v>5</v>
      </c>
      <c r="F179" s="3" t="str">
        <f>IFERROR(__xludf.DUMMYFUNCTION("""COMPUTED_VALUE"""),"นพอ.กัญญพัชร ทองสุข")</f>
        <v>นพอ.กัญญพัชร ทองสุข</v>
      </c>
      <c r="G179" s="3" t="str">
        <f>IFERROR(__xludf.DUMMYFUNCTION("""COMPUTED_VALUE"""),"งานฟรีทั่วไป")</f>
        <v>งานฟรีทั่วไป</v>
      </c>
      <c r="H179" s="3" t="str">
        <f>IFERROR(__xludf.DUMMYFUNCTION("""COMPUTED_VALUE"""),"ทำความสะอาดบ้าน")</f>
        <v>ทำความสะอาดบ้าน</v>
      </c>
      <c r="I179" s="3" t="str">
        <f>IFERROR(__xludf.DUMMYFUNCTION("""COMPUTED_VALUE"""),"บ้าน")</f>
        <v>บ้าน</v>
      </c>
      <c r="J179" s="12">
        <f>IFERROR(__xludf.DUMMYFUNCTION("""COMPUTED_VALUE"""),45997.0)</f>
        <v>45997</v>
      </c>
      <c r="K179" s="3" t="str">
        <f>IFERROR(__xludf.DUMMYFUNCTION("""COMPUTED_VALUE"""),"17.00")</f>
        <v>17.00</v>
      </c>
      <c r="L179" s="3">
        <f>IFERROR(__xludf.DUMMYFUNCTION("""COMPUTED_VALUE"""),4.0)</f>
        <v>4</v>
      </c>
      <c r="M179" s="3" t="str">
        <f>IFERROR(__xludf.DUMMYFUNCTION("""COMPUTED_VALUE"""),"นางสาวอุไรวรรณ วารีบ่อ")</f>
        <v>นางสาวอุไรวรรณ วารีบ่อ</v>
      </c>
      <c r="N179" s="14" t="str">
        <f>IFERROR(__xludf.DUMMYFUNCTION("""COMPUTED_VALUE"""),"https://lh5.googleusercontent.com/d/1UX0W0gc4Bmi97n6VB2exyhQXYFeBqMyk")</f>
        <v>https://lh5.googleusercontent.com/d/1UX0W0gc4Bmi97n6VB2exyhQXYFeBqMyk</v>
      </c>
      <c r="O179" s="14" t="str">
        <f>IFERROR(__xludf.DUMMYFUNCTION("""COMPUTED_VALUE"""),"https://drive.google.com/file/d/1JUZGRS-SxgUmJm-STnqFOKg47wJgczPj/view?usp=drivesdk")</f>
        <v>https://drive.google.com/file/d/1JUZGRS-SxgUmJm-STnqFOKg47wJgczPj/view?usp=drivesdk</v>
      </c>
    </row>
    <row r="180">
      <c r="A180" s="3">
        <f>IFERROR(__xludf.DUMMYFUNCTION("""COMPUTED_VALUE"""),1358.0)</f>
        <v>1358</v>
      </c>
      <c r="B180" s="11">
        <f>IFERROR(__xludf.DUMMYFUNCTION("""COMPUTED_VALUE"""),45998.893135578706)</f>
        <v>45998.89314</v>
      </c>
      <c r="C180" s="3" t="str">
        <f>IFERROR(__xludf.DUMMYFUNCTION("""COMPUTED_VALUE"""),"ชั้นปีที่ 1")</f>
        <v>ชั้นปีที่ 1</v>
      </c>
      <c r="D180" s="3" t="str">
        <f>IFERROR(__xludf.DUMMYFUNCTION("""COMPUTED_VALUE"""),"6803905")</f>
        <v>6803905</v>
      </c>
      <c r="E180" s="3" t="str">
        <f>IFERROR(__xludf.DUMMYFUNCTION("""COMPUTED_VALUE"""),"24")</f>
        <v>24</v>
      </c>
      <c r="F180" s="3" t="str">
        <f>IFERROR(__xludf.DUMMYFUNCTION("""COMPUTED_VALUE"""),"นพอ.ธนพล เสือน้อย")</f>
        <v>นพอ.ธนพล เสือน้อย</v>
      </c>
      <c r="G180" s="3" t="str">
        <f>IFERROR(__xludf.DUMMYFUNCTION("""COMPUTED_VALUE"""),"ช่วยเหลืองานภายใน วพอ.")</f>
        <v>ช่วยเหลืองานภายใน วพอ.</v>
      </c>
      <c r="H180" s="3" t="str">
        <f>IFERROR(__xludf.DUMMYFUNCTION("""COMPUTED_VALUE"""),"เล่นดุริยางค์")</f>
        <v>เล่นดุริยางค์</v>
      </c>
      <c r="I180" s="3" t="str">
        <f>IFERROR(__xludf.DUMMYFUNCTION("""COMPUTED_VALUE"""),"วพอ.พอ.")</f>
        <v>วพอ.พอ.</v>
      </c>
      <c r="J180" s="12">
        <f>IFERROR(__xludf.DUMMYFUNCTION("""COMPUTED_VALUE"""),45950.0)</f>
        <v>45950</v>
      </c>
      <c r="K180" s="3" t="str">
        <f>IFERROR(__xludf.DUMMYFUNCTION("""COMPUTED_VALUE"""),"0720")</f>
        <v>0720</v>
      </c>
      <c r="L180" s="3">
        <f>IFERROR(__xludf.DUMMYFUNCTION("""COMPUTED_VALUE"""),1.0)</f>
        <v>1</v>
      </c>
      <c r="M180" s="3" t="str">
        <f>IFERROR(__xludf.DUMMYFUNCTION("""COMPUTED_VALUE"""),"ร.อ.อนุชิต ทำจะดี")</f>
        <v>ร.อ.อนุชิต ทำจะดี</v>
      </c>
      <c r="N180" s="14" t="str">
        <f>IFERROR(__xludf.DUMMYFUNCTION("""COMPUTED_VALUE"""),"https://lh5.googleusercontent.com/d/1xKgyMz-Nb2Zrpfq_HQ_G-fOU8yGov8nv")</f>
        <v>https://lh5.googleusercontent.com/d/1xKgyMz-Nb2Zrpfq_HQ_G-fOU8yGov8nv</v>
      </c>
      <c r="O180" s="14" t="str">
        <f>IFERROR(__xludf.DUMMYFUNCTION("""COMPUTED_VALUE"""),"https://drive.google.com/file/d/1_66hxIbB-SaPbaUvzfXrfQ4OMn0-Pk-j/view?usp=drivesdk")</f>
        <v>https://drive.google.com/file/d/1_66hxIbB-SaPbaUvzfXrfQ4OMn0-Pk-j/view?usp=drivesdk</v>
      </c>
    </row>
    <row r="181">
      <c r="A181" s="3">
        <f>IFERROR(__xludf.DUMMYFUNCTION("""COMPUTED_VALUE"""),1362.0)</f>
        <v>1362</v>
      </c>
      <c r="B181" s="11">
        <f>IFERROR(__xludf.DUMMYFUNCTION("""COMPUTED_VALUE"""),45998.893719375)</f>
        <v>45998.89372</v>
      </c>
      <c r="C181" s="3" t="str">
        <f>IFERROR(__xludf.DUMMYFUNCTION("""COMPUTED_VALUE"""),"ชั้นปีที่ 1")</f>
        <v>ชั้นปีที่ 1</v>
      </c>
      <c r="D181" s="3" t="str">
        <f>IFERROR(__xludf.DUMMYFUNCTION("""COMPUTED_VALUE"""),"6803919")</f>
        <v>6803919</v>
      </c>
      <c r="E181" s="3" t="str">
        <f>IFERROR(__xludf.DUMMYFUNCTION("""COMPUTED_VALUE"""),"38")</f>
        <v>38</v>
      </c>
      <c r="F181" s="3" t="str">
        <f>IFERROR(__xludf.DUMMYFUNCTION("""COMPUTED_VALUE"""),"นพอ.พลอยปภัส มากใหม่")</f>
        <v>นพอ.พลอยปภัส มากใหม่</v>
      </c>
      <c r="G181" s="3" t="str">
        <f>IFERROR(__xludf.DUMMYFUNCTION("""COMPUTED_VALUE"""),"ทำนุบำรุงศาสนสถาน")</f>
        <v>ทำนุบำรุงศาสนสถาน</v>
      </c>
      <c r="H181" s="3" t="str">
        <f>IFERROR(__xludf.DUMMYFUNCTION("""COMPUTED_VALUE"""),"ทำบุญประจำปีของวัด (ช่วยล้างจาน)")</f>
        <v>ทำบุญประจำปีของวัด (ช่วยล้างจาน)</v>
      </c>
      <c r="I181" s="3" t="str">
        <f>IFERROR(__xludf.DUMMYFUNCTION("""COMPUTED_VALUE"""),"วัดชลคราม จ.สุราษฎร์ธานี")</f>
        <v>วัดชลคราม จ.สุราษฎร์ธานี</v>
      </c>
      <c r="J181" s="12">
        <f>IFERROR(__xludf.DUMMYFUNCTION("""COMPUTED_VALUE"""),45921.0)</f>
        <v>45921</v>
      </c>
      <c r="K181" s="3" t="str">
        <f>IFERROR(__xludf.DUMMYFUNCTION("""COMPUTED_VALUE"""),"06:00")</f>
        <v>06:00</v>
      </c>
      <c r="L181" s="3">
        <f>IFERROR(__xludf.DUMMYFUNCTION("""COMPUTED_VALUE"""),3.0)</f>
        <v>3</v>
      </c>
      <c r="M181" s="3" t="str">
        <f>IFERROR(__xludf.DUMMYFUNCTION("""COMPUTED_VALUE"""),"พระครูสิริวัชรากร")</f>
        <v>พระครูสิริวัชรากร</v>
      </c>
      <c r="N181" s="14" t="str">
        <f>IFERROR(__xludf.DUMMYFUNCTION("""COMPUTED_VALUE"""),"https://lh5.googleusercontent.com/d/1K7Og1f-pd5AxovFaHp364FYEN8kOQ2zU")</f>
        <v>https://lh5.googleusercontent.com/d/1K7Og1f-pd5AxovFaHp364FYEN8kOQ2zU</v>
      </c>
      <c r="O181" s="14" t="str">
        <f>IFERROR(__xludf.DUMMYFUNCTION("""COMPUTED_VALUE"""),"https://drive.google.com/file/d/1xbkYWbFKA_oMhvCfRDaAOgSZ7PkWInow/view?usp=drivesdk")</f>
        <v>https://drive.google.com/file/d/1xbkYWbFKA_oMhvCfRDaAOgSZ7PkWInow/view?usp=drivesdk</v>
      </c>
    </row>
    <row r="182">
      <c r="A182" s="3">
        <f>IFERROR(__xludf.DUMMYFUNCTION("""COMPUTED_VALUE"""),1363.0)</f>
        <v>1363</v>
      </c>
      <c r="B182" s="11">
        <f>IFERROR(__xludf.DUMMYFUNCTION("""COMPUTED_VALUE"""),45998.893775173616)</f>
        <v>45998.89378</v>
      </c>
      <c r="C182" s="3" t="str">
        <f>IFERROR(__xludf.DUMMYFUNCTION("""COMPUTED_VALUE"""),"ชั้นปีที่ 1")</f>
        <v>ชั้นปีที่ 1</v>
      </c>
      <c r="D182" s="3" t="str">
        <f>IFERROR(__xludf.DUMMYFUNCTION("""COMPUTED_VALUE"""),"6803921")</f>
        <v>6803921</v>
      </c>
      <c r="E182" s="3" t="str">
        <f>IFERROR(__xludf.DUMMYFUNCTION("""COMPUTED_VALUE"""),"40")</f>
        <v>40</v>
      </c>
      <c r="F182" s="3" t="str">
        <f>IFERROR(__xludf.DUMMYFUNCTION("""COMPUTED_VALUE"""),"นพอ.พิชญาภรณ์ บุตรวัง")</f>
        <v>นพอ.พิชญาภรณ์ บุตรวัง</v>
      </c>
      <c r="G182" s="3" t="str">
        <f>IFERROR(__xludf.DUMMYFUNCTION("""COMPUTED_VALUE"""),"ทำนุบำรุงศาสนสถาน")</f>
        <v>ทำนุบำรุงศาสนสถาน</v>
      </c>
      <c r="H182" s="3" t="str">
        <f>IFERROR(__xludf.DUMMYFUNCTION("""COMPUTED_VALUE"""),"ทำความสะอาดวัด")</f>
        <v>ทำความสะอาดวัด</v>
      </c>
      <c r="I182" s="3" t="str">
        <f>IFERROR(__xludf.DUMMYFUNCTION("""COMPUTED_VALUE"""),"วัดโคกทมบรมจินดา")</f>
        <v>วัดโคกทมบรมจินดา</v>
      </c>
      <c r="J182" s="12">
        <f>IFERROR(__xludf.DUMMYFUNCTION("""COMPUTED_VALUE"""),45920.0)</f>
        <v>45920</v>
      </c>
      <c r="K182" s="3" t="str">
        <f>IFERROR(__xludf.DUMMYFUNCTION("""COMPUTED_VALUE"""),"0900")</f>
        <v>0900</v>
      </c>
      <c r="L182" s="3">
        <f>IFERROR(__xludf.DUMMYFUNCTION("""COMPUTED_VALUE"""),4.0)</f>
        <v>4</v>
      </c>
      <c r="M182" s="3" t="str">
        <f>IFERROR(__xludf.DUMMYFUNCTION("""COMPUTED_VALUE"""),"พระครูพิพัฒน์จินดาภรณ์ ")</f>
        <v>พระครูพิพัฒน์จินดาภรณ์ </v>
      </c>
      <c r="N182" s="14" t="str">
        <f>IFERROR(__xludf.DUMMYFUNCTION("""COMPUTED_VALUE"""),"https://lh5.googleusercontent.com/d/1JAyAMaD6mKrVObQsUutcbWnoVkiMTtjj")</f>
        <v>https://lh5.googleusercontent.com/d/1JAyAMaD6mKrVObQsUutcbWnoVkiMTtjj</v>
      </c>
      <c r="O182" s="14" t="str">
        <f>IFERROR(__xludf.DUMMYFUNCTION("""COMPUTED_VALUE"""),"https://drive.google.com/file/d/1CbdZb0nJ8zxnLhXPaQDZrIZpHED3tRNJ/view?usp=drivesdk")</f>
        <v>https://drive.google.com/file/d/1CbdZb0nJ8zxnLhXPaQDZrIZpHED3tRNJ/view?usp=drivesdk</v>
      </c>
    </row>
    <row r="183">
      <c r="A183" s="3">
        <f>IFERROR(__xludf.DUMMYFUNCTION("""COMPUTED_VALUE"""),1365.0)</f>
        <v>1365</v>
      </c>
      <c r="B183" s="11">
        <f>IFERROR(__xludf.DUMMYFUNCTION("""COMPUTED_VALUE"""),45998.89464814815)</f>
        <v>45998.89465</v>
      </c>
      <c r="C183" s="3" t="str">
        <f>IFERROR(__xludf.DUMMYFUNCTION("""COMPUTED_VALUE"""),"ชั้นปีที่ 1")</f>
        <v>ชั้นปีที่ 1</v>
      </c>
      <c r="D183" s="3" t="str">
        <f>IFERROR(__xludf.DUMMYFUNCTION("""COMPUTED_VALUE"""),"6803906")</f>
        <v>6803906</v>
      </c>
      <c r="E183" s="3" t="str">
        <f>IFERROR(__xludf.DUMMYFUNCTION("""COMPUTED_VALUE"""),"25")</f>
        <v>25</v>
      </c>
      <c r="F183" s="3" t="str">
        <f>IFERROR(__xludf.DUMMYFUNCTION("""COMPUTED_VALUE"""),"นพอ.ธัญวรัตน์ ยงคะวิสัย")</f>
        <v>นพอ.ธัญวรัตน์ ยงคะวิสัย</v>
      </c>
      <c r="G183" s="3" t="str">
        <f>IFERROR(__xludf.DUMMYFUNCTION("""COMPUTED_VALUE"""),"ช่วยเหลืองานภายใน วพอ.")</f>
        <v>ช่วยเหลืองานภายใน วพอ.</v>
      </c>
      <c r="H183" s="3" t="str">
        <f>IFERROR(__xludf.DUMMYFUNCTION("""COMPUTED_VALUE"""),"เล่นดุริยางค์")</f>
        <v>เล่นดุริยางค์</v>
      </c>
      <c r="I183" s="3" t="str">
        <f>IFERROR(__xludf.DUMMYFUNCTION("""COMPUTED_VALUE"""),"วพอ.")</f>
        <v>วพอ.</v>
      </c>
      <c r="J183" s="12">
        <f>IFERROR(__xludf.DUMMYFUNCTION("""COMPUTED_VALUE"""),45985.0)</f>
        <v>45985</v>
      </c>
      <c r="K183" s="3" t="str">
        <f>IFERROR(__xludf.DUMMYFUNCTION("""COMPUTED_VALUE"""),"0735")</f>
        <v>0735</v>
      </c>
      <c r="L183" s="3">
        <f>IFERROR(__xludf.DUMMYFUNCTION("""COMPUTED_VALUE"""),1.0)</f>
        <v>1</v>
      </c>
      <c r="M183" s="3" t="str">
        <f>IFERROR(__xludf.DUMMYFUNCTION("""COMPUTED_VALUE"""),"ร.อ.อนุชิต ทำจะดี")</f>
        <v>ร.อ.อนุชิต ทำจะดี</v>
      </c>
      <c r="N183" s="14" t="str">
        <f>IFERROR(__xludf.DUMMYFUNCTION("""COMPUTED_VALUE"""),"https://lh5.googleusercontent.com/d/19-aOiN7cvnBNQJQGGOKMEp3kKLoDRv_X")</f>
        <v>https://lh5.googleusercontent.com/d/19-aOiN7cvnBNQJQGGOKMEp3kKLoDRv_X</v>
      </c>
      <c r="O183" s="14" t="str">
        <f>IFERROR(__xludf.DUMMYFUNCTION("""COMPUTED_VALUE"""),"https://drive.google.com/file/d/1bvQZRjiprr1wU_mXdLRpmbko2QUuT4H-/view?usp=drivesdk")</f>
        <v>https://drive.google.com/file/d/1bvQZRjiprr1wU_mXdLRpmbko2QUuT4H-/view?usp=drivesdk</v>
      </c>
    </row>
    <row r="184">
      <c r="A184" s="3">
        <f>IFERROR(__xludf.DUMMYFUNCTION("""COMPUTED_VALUE"""),1366.0)</f>
        <v>1366</v>
      </c>
      <c r="B184" s="11">
        <f>IFERROR(__xludf.DUMMYFUNCTION("""COMPUTED_VALUE"""),45998.895548229164)</f>
        <v>45998.89555</v>
      </c>
      <c r="C184" s="3" t="str">
        <f>IFERROR(__xludf.DUMMYFUNCTION("""COMPUTED_VALUE"""),"ชั้นปีที่ 1")</f>
        <v>ชั้นปีที่ 1</v>
      </c>
      <c r="D184" s="3" t="str">
        <f>IFERROR(__xludf.DUMMYFUNCTION("""COMPUTED_VALUE"""),"6803922")</f>
        <v>6803922</v>
      </c>
      <c r="E184" s="3" t="str">
        <f>IFERROR(__xludf.DUMMYFUNCTION("""COMPUTED_VALUE"""),"41")</f>
        <v>41</v>
      </c>
      <c r="F184" s="3" t="str">
        <f>IFERROR(__xludf.DUMMYFUNCTION("""COMPUTED_VALUE"""),"นพอ.พินิษา อินทร์ศวร")</f>
        <v>นพอ.พินิษา อินทร์ศวร</v>
      </c>
      <c r="G184" s="3" t="str">
        <f>IFERROR(__xludf.DUMMYFUNCTION("""COMPUTED_VALUE"""),"ช่วยเหลืองานภายใน วพอ.")</f>
        <v>ช่วยเหลืองานภายใน วพอ.</v>
      </c>
      <c r="H184" s="3" t="str">
        <f>IFERROR(__xludf.DUMMYFUNCTION("""COMPUTED_VALUE"""),"Big cleaning ")</f>
        <v>Big cleaning </v>
      </c>
      <c r="I184" s="3" t="str">
        <f>IFERROR(__xludf.DUMMYFUNCTION("""COMPUTED_VALUE"""),"วพอ.พอ")</f>
        <v>วพอ.พอ</v>
      </c>
      <c r="J184" s="12">
        <f>IFERROR(__xludf.DUMMYFUNCTION("""COMPUTED_VALUE"""),45875.0)</f>
        <v>45875</v>
      </c>
      <c r="K184" s="3" t="str">
        <f>IFERROR(__xludf.DUMMYFUNCTION("""COMPUTED_VALUE"""),"08.00")</f>
        <v>08.00</v>
      </c>
      <c r="L184" s="3">
        <f>IFERROR(__xludf.DUMMYFUNCTION("""COMPUTED_VALUE"""),8.0)</f>
        <v>8</v>
      </c>
      <c r="M184" s="3" t="str">
        <f>IFERROR(__xludf.DUMMYFUNCTION("""COMPUTED_VALUE"""),"น.ต.ศักชัย บุญประสิทธิ์")</f>
        <v>น.ต.ศักชัย บุญประสิทธิ์</v>
      </c>
      <c r="N184" s="14" t="str">
        <f>IFERROR(__xludf.DUMMYFUNCTION("""COMPUTED_VALUE"""),"https://lh5.googleusercontent.com/d/1U1QCOixXz_B2CJPxBBQsnQBDlJUM_tj_")</f>
        <v>https://lh5.googleusercontent.com/d/1U1QCOixXz_B2CJPxBBQsnQBDlJUM_tj_</v>
      </c>
      <c r="O184" s="14" t="str">
        <f>IFERROR(__xludf.DUMMYFUNCTION("""COMPUTED_VALUE"""),"https://drive.google.com/file/d/1uabSo9Rx8NMEpiqR2FPUItgDqsaYOSNM/view?usp=drivesdk")</f>
        <v>https://drive.google.com/file/d/1uabSo9Rx8NMEpiqR2FPUItgDqsaYOSNM/view?usp=drivesdk</v>
      </c>
    </row>
    <row r="185">
      <c r="A185" s="3">
        <f>IFERROR(__xludf.DUMMYFUNCTION("""COMPUTED_VALUE"""),1370.0)</f>
        <v>1370</v>
      </c>
      <c r="B185" s="11">
        <f>IFERROR(__xludf.DUMMYFUNCTION("""COMPUTED_VALUE"""),45998.89654849537)</f>
        <v>45998.89655</v>
      </c>
      <c r="C185" s="3" t="str">
        <f>IFERROR(__xludf.DUMMYFUNCTION("""COMPUTED_VALUE"""),"ชั้นปีที่ 1")</f>
        <v>ชั้นปีที่ 1</v>
      </c>
      <c r="D185" s="3" t="str">
        <f>IFERROR(__xludf.DUMMYFUNCTION("""COMPUTED_VALUE"""),"6803905")</f>
        <v>6803905</v>
      </c>
      <c r="E185" s="3" t="str">
        <f>IFERROR(__xludf.DUMMYFUNCTION("""COMPUTED_VALUE"""),"24")</f>
        <v>24</v>
      </c>
      <c r="F185" s="3" t="str">
        <f>IFERROR(__xludf.DUMMYFUNCTION("""COMPUTED_VALUE"""),"นพอ.ธนพล เสือน้อย")</f>
        <v>นพอ.ธนพล เสือน้อย</v>
      </c>
      <c r="G185" s="3" t="str">
        <f>IFERROR(__xludf.DUMMYFUNCTION("""COMPUTED_VALUE"""),"ช่วยเหลืองานภายใน วพอ.")</f>
        <v>ช่วยเหลืองานภายใน วพอ.</v>
      </c>
      <c r="H185" s="3" t="str">
        <f>IFERROR(__xludf.DUMMYFUNCTION("""COMPUTED_VALUE"""),"เล่นดุริยางค์")</f>
        <v>เล่นดุริยางค์</v>
      </c>
      <c r="I185" s="3" t="str">
        <f>IFERROR(__xludf.DUMMYFUNCTION("""COMPUTED_VALUE"""),"วพอ.พอ")</f>
        <v>วพอ.พอ</v>
      </c>
      <c r="J185" s="12">
        <f>IFERROR(__xludf.DUMMYFUNCTION("""COMPUTED_VALUE"""),45946.0)</f>
        <v>45946</v>
      </c>
      <c r="K185" s="3" t="str">
        <f>IFERROR(__xludf.DUMMYFUNCTION("""COMPUTED_VALUE"""),"0740")</f>
        <v>0740</v>
      </c>
      <c r="L185" s="3">
        <f>IFERROR(__xludf.DUMMYFUNCTION("""COMPUTED_VALUE"""),1.0)</f>
        <v>1</v>
      </c>
      <c r="M185" s="3" t="str">
        <f>IFERROR(__xludf.DUMMYFUNCTION("""COMPUTED_VALUE"""),"ร.อ.อนุชิต ทำจะดี")</f>
        <v>ร.อ.อนุชิต ทำจะดี</v>
      </c>
      <c r="N185" s="14" t="str">
        <f>IFERROR(__xludf.DUMMYFUNCTION("""COMPUTED_VALUE"""),"https://lh5.googleusercontent.com/d/16gds-wfSxwF3bPJc3XW0ym57how3azzW")</f>
        <v>https://lh5.googleusercontent.com/d/16gds-wfSxwF3bPJc3XW0ym57how3azzW</v>
      </c>
      <c r="O185" s="14" t="str">
        <f>IFERROR(__xludf.DUMMYFUNCTION("""COMPUTED_VALUE"""),"https://drive.google.com/file/d/15tC6193AgMPOwjg9heL8EUB-2kzhRD1_/view?usp=drivesdk")</f>
        <v>https://drive.google.com/file/d/15tC6193AgMPOwjg9heL8EUB-2kzhRD1_/view?usp=drivesdk</v>
      </c>
    </row>
    <row r="186">
      <c r="A186" s="3">
        <f>IFERROR(__xludf.DUMMYFUNCTION("""COMPUTED_VALUE"""),1372.0)</f>
        <v>1372</v>
      </c>
      <c r="B186" s="11">
        <f>IFERROR(__xludf.DUMMYFUNCTION("""COMPUTED_VALUE"""),45998.89700929398)</f>
        <v>45998.89701</v>
      </c>
      <c r="C186" s="3" t="str">
        <f>IFERROR(__xludf.DUMMYFUNCTION("""COMPUTED_VALUE"""),"ชั้นปีที่ 1")</f>
        <v>ชั้นปีที่ 1</v>
      </c>
      <c r="D186" s="3" t="str">
        <f>IFERROR(__xludf.DUMMYFUNCTION("""COMPUTED_VALUE"""),"6803906")</f>
        <v>6803906</v>
      </c>
      <c r="E186" s="3" t="str">
        <f>IFERROR(__xludf.DUMMYFUNCTION("""COMPUTED_VALUE"""),"25")</f>
        <v>25</v>
      </c>
      <c r="F186" s="3" t="str">
        <f>IFERROR(__xludf.DUMMYFUNCTION("""COMPUTED_VALUE"""),"นพอ.ธัญวรัตน์ ยงคะวิสัย")</f>
        <v>นพอ.ธัญวรัตน์ ยงคะวิสัย</v>
      </c>
      <c r="G186" s="3" t="str">
        <f>IFERROR(__xludf.DUMMYFUNCTION("""COMPUTED_VALUE"""),"ช่วยเหลืองานภายใน วพอ.")</f>
        <v>ช่วยเหลืองานภายใน วพอ.</v>
      </c>
      <c r="H186" s="3" t="str">
        <f>IFERROR(__xludf.DUMMYFUNCTION("""COMPUTED_VALUE"""),"เล่นดุริยางค์")</f>
        <v>เล่นดุริยางค์</v>
      </c>
      <c r="I186" s="3" t="str">
        <f>IFERROR(__xludf.DUMMYFUNCTION("""COMPUTED_VALUE"""),"วพอ.")</f>
        <v>วพอ.</v>
      </c>
      <c r="J186" s="12">
        <f>IFERROR(__xludf.DUMMYFUNCTION("""COMPUTED_VALUE"""),45950.0)</f>
        <v>45950</v>
      </c>
      <c r="K186" s="3" t="str">
        <f>IFERROR(__xludf.DUMMYFUNCTION("""COMPUTED_VALUE"""),"0748")</f>
        <v>0748</v>
      </c>
      <c r="L186" s="3">
        <f>IFERROR(__xludf.DUMMYFUNCTION("""COMPUTED_VALUE"""),1.0)</f>
        <v>1</v>
      </c>
      <c r="M186" s="3" t="str">
        <f>IFERROR(__xludf.DUMMYFUNCTION("""COMPUTED_VALUE"""),"ร.อ.อนุชิต ทำจะดี")</f>
        <v>ร.อ.อนุชิต ทำจะดี</v>
      </c>
      <c r="N186" s="14" t="str">
        <f>IFERROR(__xludf.DUMMYFUNCTION("""COMPUTED_VALUE"""),"https://lh5.googleusercontent.com/d/1vXs0QUp-xz5e2MBeBbITc7W6bdJ4bxya")</f>
        <v>https://lh5.googleusercontent.com/d/1vXs0QUp-xz5e2MBeBbITc7W6bdJ4bxya</v>
      </c>
      <c r="O186" s="14" t="str">
        <f>IFERROR(__xludf.DUMMYFUNCTION("""COMPUTED_VALUE"""),"https://drive.google.com/file/d/1zrzSO2N8k7IcjqgMOSrBKRuNwW9AVV1H/view?usp=drivesdk")</f>
        <v>https://drive.google.com/file/d/1zrzSO2N8k7IcjqgMOSrBKRuNwW9AVV1H/view?usp=drivesdk</v>
      </c>
    </row>
    <row r="187">
      <c r="A187" s="3">
        <f>IFERROR(__xludf.DUMMYFUNCTION("""COMPUTED_VALUE"""),1375.0)</f>
        <v>1375</v>
      </c>
      <c r="B187" s="11">
        <f>IFERROR(__xludf.DUMMYFUNCTION("""COMPUTED_VALUE"""),45998.89923171296)</f>
        <v>45998.89923</v>
      </c>
      <c r="C187" s="3" t="str">
        <f>IFERROR(__xludf.DUMMYFUNCTION("""COMPUTED_VALUE"""),"ชั้นปีที่ 1")</f>
        <v>ชั้นปีที่ 1</v>
      </c>
      <c r="D187" s="3" t="str">
        <f>IFERROR(__xludf.DUMMYFUNCTION("""COMPUTED_VALUE"""),"6803906")</f>
        <v>6803906</v>
      </c>
      <c r="E187" s="3" t="str">
        <f>IFERROR(__xludf.DUMMYFUNCTION("""COMPUTED_VALUE"""),"25")</f>
        <v>25</v>
      </c>
      <c r="F187" s="3" t="str">
        <f>IFERROR(__xludf.DUMMYFUNCTION("""COMPUTED_VALUE"""),"นพอ.ธัญวรัตน์ ยงคะวิสัย")</f>
        <v>นพอ.ธัญวรัตน์ ยงคะวิสัย</v>
      </c>
      <c r="G187" s="3" t="str">
        <f>IFERROR(__xludf.DUMMYFUNCTION("""COMPUTED_VALUE"""),"ช่วยเหลืองานภายใน วพอ.")</f>
        <v>ช่วยเหลืองานภายใน วพอ.</v>
      </c>
      <c r="H187" s="3" t="str">
        <f>IFERROR(__xludf.DUMMYFUNCTION("""COMPUTED_VALUE"""),"เล่นดุริยางค์")</f>
        <v>เล่นดุริยางค์</v>
      </c>
      <c r="I187" s="3" t="str">
        <f>IFERROR(__xludf.DUMMYFUNCTION("""COMPUTED_VALUE"""),"วพอ.")</f>
        <v>วพอ.</v>
      </c>
      <c r="J187" s="12">
        <f>IFERROR(__xludf.DUMMYFUNCTION("""COMPUTED_VALUE"""),45951.0)</f>
        <v>45951</v>
      </c>
      <c r="K187" s="3" t="str">
        <f>IFERROR(__xludf.DUMMYFUNCTION("""COMPUTED_VALUE"""),"0745")</f>
        <v>0745</v>
      </c>
      <c r="L187" s="3">
        <f>IFERROR(__xludf.DUMMYFUNCTION("""COMPUTED_VALUE"""),1.0)</f>
        <v>1</v>
      </c>
      <c r="M187" s="3" t="str">
        <f>IFERROR(__xludf.DUMMYFUNCTION("""COMPUTED_VALUE"""),"ร.อ.อนุชิต ทำจะดี")</f>
        <v>ร.อ.อนุชิต ทำจะดี</v>
      </c>
      <c r="N187" s="14" t="str">
        <f>IFERROR(__xludf.DUMMYFUNCTION("""COMPUTED_VALUE"""),"https://lh5.googleusercontent.com/d/1ZIz8MnCHBt4-xc2BodupSjbKvFmIy6BZ")</f>
        <v>https://lh5.googleusercontent.com/d/1ZIz8MnCHBt4-xc2BodupSjbKvFmIy6BZ</v>
      </c>
      <c r="O187" s="14" t="str">
        <f>IFERROR(__xludf.DUMMYFUNCTION("""COMPUTED_VALUE"""),"https://drive.google.com/file/d/1f7CLIo-pL6B3WpOh1knmG68MpErNSvxV/view?usp=drivesdk")</f>
        <v>https://drive.google.com/file/d/1f7CLIo-pL6B3WpOh1knmG68MpErNSvxV/view?usp=drivesdk</v>
      </c>
    </row>
    <row r="188">
      <c r="A188" s="3">
        <f>IFERROR(__xludf.DUMMYFUNCTION("""COMPUTED_VALUE"""),1377.0)</f>
        <v>1377</v>
      </c>
      <c r="B188" s="11">
        <f>IFERROR(__xludf.DUMMYFUNCTION("""COMPUTED_VALUE"""),45998.9009225)</f>
        <v>45998.90092</v>
      </c>
      <c r="C188" s="3" t="str">
        <f>IFERROR(__xludf.DUMMYFUNCTION("""COMPUTED_VALUE"""),"ชั้นปีที่ 1")</f>
        <v>ชั้นปีที่ 1</v>
      </c>
      <c r="D188" s="3" t="str">
        <f>IFERROR(__xludf.DUMMYFUNCTION("""COMPUTED_VALUE"""),"6803905")</f>
        <v>6803905</v>
      </c>
      <c r="E188" s="3" t="str">
        <f>IFERROR(__xludf.DUMMYFUNCTION("""COMPUTED_VALUE"""),"24")</f>
        <v>24</v>
      </c>
      <c r="F188" s="3" t="str">
        <f>IFERROR(__xludf.DUMMYFUNCTION("""COMPUTED_VALUE"""),"นพอ.ธนพล เสือน้อย")</f>
        <v>นพอ.ธนพล เสือน้อย</v>
      </c>
      <c r="G188" s="3" t="str">
        <f>IFERROR(__xludf.DUMMYFUNCTION("""COMPUTED_VALUE"""),"ช่วยเหลืองานภายใน วพอ.")</f>
        <v>ช่วยเหลืองานภายใน วพอ.</v>
      </c>
      <c r="H188" s="3" t="str">
        <f>IFERROR(__xludf.DUMMYFUNCTION("""COMPUTED_VALUE"""),"Big cleaning ")</f>
        <v>Big cleaning </v>
      </c>
      <c r="I188" s="3" t="str">
        <f>IFERROR(__xludf.DUMMYFUNCTION("""COMPUTED_VALUE"""),"วพอ.พอ")</f>
        <v>วพอ.พอ</v>
      </c>
      <c r="J188" s="12">
        <f>IFERROR(__xludf.DUMMYFUNCTION("""COMPUTED_VALUE"""),45875.0)</f>
        <v>45875</v>
      </c>
      <c r="K188" s="3" t="str">
        <f>IFERROR(__xludf.DUMMYFUNCTION("""COMPUTED_VALUE"""),"0800-1200")</f>
        <v>0800-1200</v>
      </c>
      <c r="L188" s="3">
        <f>IFERROR(__xludf.DUMMYFUNCTION("""COMPUTED_VALUE"""),8.0)</f>
        <v>8</v>
      </c>
      <c r="M188" s="3" t="str">
        <f>IFERROR(__xludf.DUMMYFUNCTION("""COMPUTED_VALUE"""),"น.ต.ศักดิ์ชัย บุญประสิทธิ์")</f>
        <v>น.ต.ศักดิ์ชัย บุญประสิทธิ์</v>
      </c>
      <c r="N188" s="14" t="str">
        <f>IFERROR(__xludf.DUMMYFUNCTION("""COMPUTED_VALUE"""),"https://lh5.googleusercontent.com/d/1RcHdQf1_h3_0Li6vKSkBQQcBM9OKEpz4")</f>
        <v>https://lh5.googleusercontent.com/d/1RcHdQf1_h3_0Li6vKSkBQQcBM9OKEpz4</v>
      </c>
      <c r="O188" s="14" t="str">
        <f>IFERROR(__xludf.DUMMYFUNCTION("""COMPUTED_VALUE"""),"https://drive.google.com/file/d/1dOzEpvMvcyIY7GMugImIt1Mf7sCtSgWB/view?usp=drivesdk")</f>
        <v>https://drive.google.com/file/d/1dOzEpvMvcyIY7GMugImIt1Mf7sCtSgWB/view?usp=drivesdk</v>
      </c>
    </row>
    <row r="189">
      <c r="A189" s="3">
        <f>IFERROR(__xludf.DUMMYFUNCTION("""COMPUTED_VALUE"""),1378.0)</f>
        <v>1378</v>
      </c>
      <c r="B189" s="11">
        <f>IFERROR(__xludf.DUMMYFUNCTION("""COMPUTED_VALUE"""),45998.901050300934)</f>
        <v>45998.90105</v>
      </c>
      <c r="C189" s="3" t="str">
        <f>IFERROR(__xludf.DUMMYFUNCTION("""COMPUTED_VALUE"""),"ชั้นปีที่ 1")</f>
        <v>ชั้นปีที่ 1</v>
      </c>
      <c r="D189" s="3" t="str">
        <f>IFERROR(__xludf.DUMMYFUNCTION("""COMPUTED_VALUE"""),"6803925")</f>
        <v>6803925</v>
      </c>
      <c r="E189" s="3" t="str">
        <f>IFERROR(__xludf.DUMMYFUNCTION("""COMPUTED_VALUE"""),"44")</f>
        <v>44</v>
      </c>
      <c r="F189" s="3" t="str">
        <f>IFERROR(__xludf.DUMMYFUNCTION("""COMPUTED_VALUE"""),"ภัทรพร ม่วงแคล้ว")</f>
        <v>ภัทรพร ม่วงแคล้ว</v>
      </c>
      <c r="G189" s="3" t="str">
        <f>IFERROR(__xludf.DUMMYFUNCTION("""COMPUTED_VALUE"""),"ช่วยเหลืองานภายใน วพอ.")</f>
        <v>ช่วยเหลืองานภายใน วพอ.</v>
      </c>
      <c r="H189" s="3" t="str">
        <f>IFERROR(__xludf.DUMMYFUNCTION("""COMPUTED_VALUE"""),"เล่นดุริยางค์")</f>
        <v>เล่นดุริยางค์</v>
      </c>
      <c r="I189" s="3" t="str">
        <f>IFERROR(__xludf.DUMMYFUNCTION("""COMPUTED_VALUE"""),"วพอ.พอ.")</f>
        <v>วพอ.พอ.</v>
      </c>
      <c r="J189" s="12">
        <f>IFERROR(__xludf.DUMMYFUNCTION("""COMPUTED_VALUE"""),45975.0)</f>
        <v>45975</v>
      </c>
      <c r="K189" s="3" t="str">
        <f>IFERROR(__xludf.DUMMYFUNCTION("""COMPUTED_VALUE"""),"0700-0800")</f>
        <v>0700-0800</v>
      </c>
      <c r="L189" s="3">
        <f>IFERROR(__xludf.DUMMYFUNCTION("""COMPUTED_VALUE"""),1.0)</f>
        <v>1</v>
      </c>
      <c r="M189" s="3" t="str">
        <f>IFERROR(__xludf.DUMMYFUNCTION("""COMPUTED_VALUE"""),"ร.อ.อนุชิต ทำะดี")</f>
        <v>ร.อ.อนุชิต ทำะดี</v>
      </c>
      <c r="N189" s="14" t="str">
        <f>IFERROR(__xludf.DUMMYFUNCTION("""COMPUTED_VALUE"""),"https://lh5.googleusercontent.com/d/1uW6kdxdziwqiQfIpwdmm8AZTTunYPoTn")</f>
        <v>https://lh5.googleusercontent.com/d/1uW6kdxdziwqiQfIpwdmm8AZTTunYPoTn</v>
      </c>
      <c r="O189" s="14" t="str">
        <f>IFERROR(__xludf.DUMMYFUNCTION("""COMPUTED_VALUE"""),"https://drive.google.com/file/d/1nh9zuh0ayolAiZiwzcgTLnEzGH4bS8q-/view?usp=drivesdk")</f>
        <v>https://drive.google.com/file/d/1nh9zuh0ayolAiZiwzcgTLnEzGH4bS8q-/view?usp=drivesdk</v>
      </c>
    </row>
    <row r="190">
      <c r="A190" s="3">
        <f>IFERROR(__xludf.DUMMYFUNCTION("""COMPUTED_VALUE"""),1386.0)</f>
        <v>1386</v>
      </c>
      <c r="B190" s="11">
        <f>IFERROR(__xludf.DUMMYFUNCTION("""COMPUTED_VALUE"""),45998.9035491088)</f>
        <v>45998.90355</v>
      </c>
      <c r="C190" s="3" t="str">
        <f>IFERROR(__xludf.DUMMYFUNCTION("""COMPUTED_VALUE"""),"ชั้นปีที่ 1")</f>
        <v>ชั้นปีที่ 1</v>
      </c>
      <c r="D190" s="3" t="str">
        <f>IFERROR(__xludf.DUMMYFUNCTION("""COMPUTED_VALUE"""),"6803925")</f>
        <v>6803925</v>
      </c>
      <c r="E190" s="3" t="str">
        <f>IFERROR(__xludf.DUMMYFUNCTION("""COMPUTED_VALUE"""),"44")</f>
        <v>44</v>
      </c>
      <c r="F190" s="3" t="str">
        <f>IFERROR(__xludf.DUMMYFUNCTION("""COMPUTED_VALUE"""),"ภัทรพร ม่วงแคล้ว")</f>
        <v>ภัทรพร ม่วงแคล้ว</v>
      </c>
      <c r="G190" s="3" t="str">
        <f>IFERROR(__xludf.DUMMYFUNCTION("""COMPUTED_VALUE"""),"ช่วยเหลืองานภายใน วพอ.")</f>
        <v>ช่วยเหลืองานภายใน วพอ.</v>
      </c>
      <c r="H190" s="3" t="str">
        <f>IFERROR(__xludf.DUMMYFUNCTION("""COMPUTED_VALUE"""),"เล่นดุริยางค์")</f>
        <v>เล่นดุริยางค์</v>
      </c>
      <c r="I190" s="3" t="str">
        <f>IFERROR(__xludf.DUMMYFUNCTION("""COMPUTED_VALUE"""),"วพอ.พอ")</f>
        <v>วพอ.พอ</v>
      </c>
      <c r="J190" s="12">
        <f>IFERROR(__xludf.DUMMYFUNCTION("""COMPUTED_VALUE"""),45981.0)</f>
        <v>45981</v>
      </c>
      <c r="K190" s="3" t="str">
        <f>IFERROR(__xludf.DUMMYFUNCTION("""COMPUTED_VALUE"""),"0700-0800")</f>
        <v>0700-0800</v>
      </c>
      <c r="L190" s="3">
        <f>IFERROR(__xludf.DUMMYFUNCTION("""COMPUTED_VALUE"""),1.0)</f>
        <v>1</v>
      </c>
      <c r="M190" s="3" t="str">
        <f>IFERROR(__xludf.DUMMYFUNCTION("""COMPUTED_VALUE"""),"ร.อ.อนุชิต ทำจะดี")</f>
        <v>ร.อ.อนุชิต ทำจะดี</v>
      </c>
      <c r="N190" s="14" t="str">
        <f>IFERROR(__xludf.DUMMYFUNCTION("""COMPUTED_VALUE"""),"https://lh5.googleusercontent.com/d/1hOPSLVxe7Q0Sb3-S5aODwwcaDdPSr84d")</f>
        <v>https://lh5.googleusercontent.com/d/1hOPSLVxe7Q0Sb3-S5aODwwcaDdPSr84d</v>
      </c>
      <c r="O190" s="14" t="str">
        <f>IFERROR(__xludf.DUMMYFUNCTION("""COMPUTED_VALUE"""),"https://drive.google.com/file/d/1yND17BCSjf3ALMLL_ElmcBRRWSqs0kyw/view?usp=drivesdk")</f>
        <v>https://drive.google.com/file/d/1yND17BCSjf3ALMLL_ElmcBRRWSqs0kyw/view?usp=drivesdk</v>
      </c>
    </row>
    <row r="191">
      <c r="A191" s="3">
        <f>IFERROR(__xludf.DUMMYFUNCTION("""COMPUTED_VALUE"""),1389.0)</f>
        <v>1389</v>
      </c>
      <c r="B191" s="11">
        <f>IFERROR(__xludf.DUMMYFUNCTION("""COMPUTED_VALUE"""),45998.90444172454)</f>
        <v>45998.90444</v>
      </c>
      <c r="C191" s="3" t="str">
        <f>IFERROR(__xludf.DUMMYFUNCTION("""COMPUTED_VALUE"""),"ชั้นปีที่ 1")</f>
        <v>ชั้นปีที่ 1</v>
      </c>
      <c r="D191" s="3" t="str">
        <f>IFERROR(__xludf.DUMMYFUNCTION("""COMPUTED_VALUE"""),"6803906")</f>
        <v>6803906</v>
      </c>
      <c r="E191" s="3" t="str">
        <f>IFERROR(__xludf.DUMMYFUNCTION("""COMPUTED_VALUE"""),"25")</f>
        <v>25</v>
      </c>
      <c r="F191" s="3" t="str">
        <f>IFERROR(__xludf.DUMMYFUNCTION("""COMPUTED_VALUE"""),"นพอ.ธัญวรัตน์ ยงคะวิสัย")</f>
        <v>นพอ.ธัญวรัตน์ ยงคะวิสัย</v>
      </c>
      <c r="G191" s="3" t="str">
        <f>IFERROR(__xludf.DUMMYFUNCTION("""COMPUTED_VALUE"""),"ช่วยเหลืองานภายใน วพอ.")</f>
        <v>ช่วยเหลืองานภายใน วพอ.</v>
      </c>
      <c r="H191" s="3" t="str">
        <f>IFERROR(__xludf.DUMMYFUNCTION("""COMPUTED_VALUE"""),"เล่นดุริยางค์")</f>
        <v>เล่นดุริยางค์</v>
      </c>
      <c r="I191" s="3" t="str">
        <f>IFERROR(__xludf.DUMMYFUNCTION("""COMPUTED_VALUE"""),"วพอ.")</f>
        <v>วพอ.</v>
      </c>
      <c r="J191" s="12">
        <f>IFERROR(__xludf.DUMMYFUNCTION("""COMPUTED_VALUE"""),45957.0)</f>
        <v>45957</v>
      </c>
      <c r="K191" s="3" t="str">
        <f>IFERROR(__xludf.DUMMYFUNCTION("""COMPUTED_VALUE"""),"0735")</f>
        <v>0735</v>
      </c>
      <c r="L191" s="3">
        <f>IFERROR(__xludf.DUMMYFUNCTION("""COMPUTED_VALUE"""),1.0)</f>
        <v>1</v>
      </c>
      <c r="M191" s="3" t="str">
        <f>IFERROR(__xludf.DUMMYFUNCTION("""COMPUTED_VALUE"""),"ร.อ.อนุชิต ทำจะดี")</f>
        <v>ร.อ.อนุชิต ทำจะดี</v>
      </c>
      <c r="N191" s="14" t="str">
        <f>IFERROR(__xludf.DUMMYFUNCTION("""COMPUTED_VALUE"""),"https://lh5.googleusercontent.com/d/1k9WhfBIsLZEkEQZQJQKC-cd98iGCYsSl")</f>
        <v>https://lh5.googleusercontent.com/d/1k9WhfBIsLZEkEQZQJQKC-cd98iGCYsSl</v>
      </c>
      <c r="O191" s="14" t="str">
        <f>IFERROR(__xludf.DUMMYFUNCTION("""COMPUTED_VALUE"""),"https://drive.google.com/file/d/19xPqBrGlHX52SbuaiVe2HpR45OnX9HEs/view?usp=drivesdk")</f>
        <v>https://drive.google.com/file/d/19xPqBrGlHX52SbuaiVe2HpR45OnX9HEs/view?usp=drivesdk</v>
      </c>
    </row>
    <row r="192">
      <c r="A192" s="3">
        <f>IFERROR(__xludf.DUMMYFUNCTION("""COMPUTED_VALUE"""),1390.0)</f>
        <v>1390</v>
      </c>
      <c r="B192" s="11">
        <f>IFERROR(__xludf.DUMMYFUNCTION("""COMPUTED_VALUE"""),45998.90481784722)</f>
        <v>45998.90482</v>
      </c>
      <c r="C192" s="3" t="str">
        <f>IFERROR(__xludf.DUMMYFUNCTION("""COMPUTED_VALUE"""),"ชั้นปีที่ 1")</f>
        <v>ชั้นปีที่ 1</v>
      </c>
      <c r="D192" s="3" t="str">
        <f>IFERROR(__xludf.DUMMYFUNCTION("""COMPUTED_VALUE"""),"นพอ.กัญญพัชร ทองสุข")</f>
        <v>นพอ.กัญญพัชร ทองสุข</v>
      </c>
      <c r="E192" s="3" t="str">
        <f>IFERROR(__xludf.DUMMYFUNCTION("""COMPUTED_VALUE"""),"5")</f>
        <v>5</v>
      </c>
      <c r="F192" s="3" t="str">
        <f>IFERROR(__xludf.DUMMYFUNCTION("""COMPUTED_VALUE"""),"นพอ.กัญญพัชร ทองสุข")</f>
        <v>นพอ.กัญญพัชร ทองสุข</v>
      </c>
      <c r="G192" s="3" t="str">
        <f>IFERROR(__xludf.DUMMYFUNCTION("""COMPUTED_VALUE"""),"ทำนุบำรุงศาสนสถาน")</f>
        <v>ทำนุบำรุงศาสนสถาน</v>
      </c>
      <c r="H192" s="3" t="str">
        <f>IFERROR(__xludf.DUMMYFUNCTION("""COMPUTED_VALUE"""),"กวาดลานวัด")</f>
        <v>กวาดลานวัด</v>
      </c>
      <c r="I192" s="3" t="str">
        <f>IFERROR(__xludf.DUMMYFUNCTION("""COMPUTED_VALUE"""),"วัด")</f>
        <v>วัด</v>
      </c>
      <c r="J192" s="12">
        <f>IFERROR(__xludf.DUMMYFUNCTION("""COMPUTED_VALUE"""),45996.0)</f>
        <v>45996</v>
      </c>
      <c r="K192" s="3" t="str">
        <f>IFERROR(__xludf.DUMMYFUNCTION("""COMPUTED_VALUE"""),"18.00")</f>
        <v>18.00</v>
      </c>
      <c r="L192" s="3">
        <f>IFERROR(__xludf.DUMMYFUNCTION("""COMPUTED_VALUE"""),4.0)</f>
        <v>4</v>
      </c>
      <c r="M192" s="3" t="str">
        <f>IFERROR(__xludf.DUMMYFUNCTION("""COMPUTED_VALUE"""),"นางสาวอุไรวรรณ วารีบ่อ")</f>
        <v>นางสาวอุไรวรรณ วารีบ่อ</v>
      </c>
      <c r="N192" s="3"/>
      <c r="O192" s="3"/>
    </row>
    <row r="193">
      <c r="A193" s="3">
        <f>IFERROR(__xludf.DUMMYFUNCTION("""COMPUTED_VALUE"""),1394.0)</f>
        <v>1394</v>
      </c>
      <c r="B193" s="11">
        <f>IFERROR(__xludf.DUMMYFUNCTION("""COMPUTED_VALUE"""),45998.905868576396)</f>
        <v>45998.90587</v>
      </c>
      <c r="C193" s="3" t="str">
        <f>IFERROR(__xludf.DUMMYFUNCTION("""COMPUTED_VALUE"""),"ชั้นปีที่ 1")</f>
        <v>ชั้นปีที่ 1</v>
      </c>
      <c r="D193" s="3" t="str">
        <f>IFERROR(__xludf.DUMMYFUNCTION("""COMPUTED_VALUE"""),"6803906")</f>
        <v>6803906</v>
      </c>
      <c r="E193" s="3" t="str">
        <f>IFERROR(__xludf.DUMMYFUNCTION("""COMPUTED_VALUE"""),"25")</f>
        <v>25</v>
      </c>
      <c r="F193" s="3" t="str">
        <f>IFERROR(__xludf.DUMMYFUNCTION("""COMPUTED_VALUE"""),"นพอ.ธัญวรัตน์ ยงคะวิสัย")</f>
        <v>นพอ.ธัญวรัตน์ ยงคะวิสัย</v>
      </c>
      <c r="G193" s="3" t="str">
        <f>IFERROR(__xludf.DUMMYFUNCTION("""COMPUTED_VALUE"""),"ช่วยเหลืองานภายใน วพอ.")</f>
        <v>ช่วยเหลืองานภายใน วพอ.</v>
      </c>
      <c r="H193" s="3" t="str">
        <f>IFERROR(__xludf.DUMMYFUNCTION("""COMPUTED_VALUE"""),"เล่นดุริยางค์")</f>
        <v>เล่นดุริยางค์</v>
      </c>
      <c r="I193" s="3" t="str">
        <f>IFERROR(__xludf.DUMMYFUNCTION("""COMPUTED_VALUE"""),"วพอ.")</f>
        <v>วพอ.</v>
      </c>
      <c r="J193" s="12">
        <f>IFERROR(__xludf.DUMMYFUNCTION("""COMPUTED_VALUE"""),45958.0)</f>
        <v>45958</v>
      </c>
      <c r="K193" s="3" t="str">
        <f>IFERROR(__xludf.DUMMYFUNCTION("""COMPUTED_VALUE"""),"0740")</f>
        <v>0740</v>
      </c>
      <c r="L193" s="3">
        <f>IFERROR(__xludf.DUMMYFUNCTION("""COMPUTED_VALUE"""),1.0)</f>
        <v>1</v>
      </c>
      <c r="M193" s="3" t="str">
        <f>IFERROR(__xludf.DUMMYFUNCTION("""COMPUTED_VALUE"""),"ร.อ.อนุชิต ทำจะดี")</f>
        <v>ร.อ.อนุชิต ทำจะดี</v>
      </c>
      <c r="N193" s="14" t="str">
        <f>IFERROR(__xludf.DUMMYFUNCTION("""COMPUTED_VALUE"""),"https://lh5.googleusercontent.com/d/1lkt_7YMtuVARmrR2tSJZN8zguqw9rD3c")</f>
        <v>https://lh5.googleusercontent.com/d/1lkt_7YMtuVARmrR2tSJZN8zguqw9rD3c</v>
      </c>
      <c r="O193" s="14" t="str">
        <f>IFERROR(__xludf.DUMMYFUNCTION("""COMPUTED_VALUE"""),"https://drive.google.com/file/d/1eSR-60_Q3AKN_s2k4QXJcTm_o7YewcwM/view?usp=drivesdk")</f>
        <v>https://drive.google.com/file/d/1eSR-60_Q3AKN_s2k4QXJcTm_o7YewcwM/view?usp=drivesdk</v>
      </c>
    </row>
    <row r="194">
      <c r="A194" s="3">
        <f>IFERROR(__xludf.DUMMYFUNCTION("""COMPUTED_VALUE"""),1395.0)</f>
        <v>1395</v>
      </c>
      <c r="B194" s="11">
        <f>IFERROR(__xludf.DUMMYFUNCTION("""COMPUTED_VALUE"""),45998.90666871527)</f>
        <v>45998.90667</v>
      </c>
      <c r="C194" s="3" t="str">
        <f>IFERROR(__xludf.DUMMYFUNCTION("""COMPUTED_VALUE"""),"ชั้นปีที่ 1")</f>
        <v>ชั้นปีที่ 1</v>
      </c>
      <c r="D194" s="3" t="str">
        <f>IFERROR(__xludf.DUMMYFUNCTION("""COMPUTED_VALUE"""),"6803906")</f>
        <v>6803906</v>
      </c>
      <c r="E194" s="3" t="str">
        <f>IFERROR(__xludf.DUMMYFUNCTION("""COMPUTED_VALUE"""),"25")</f>
        <v>25</v>
      </c>
      <c r="F194" s="3" t="str">
        <f>IFERROR(__xludf.DUMMYFUNCTION("""COMPUTED_VALUE"""),"นพอ.ธัญวรัตน์ ยงคะวิสัย")</f>
        <v>นพอ.ธัญวรัตน์ ยงคะวิสัย</v>
      </c>
      <c r="G194" s="3" t="str">
        <f>IFERROR(__xludf.DUMMYFUNCTION("""COMPUTED_VALUE"""),"ช่วยเหลืองานภายใน วพอ.")</f>
        <v>ช่วยเหลืองานภายใน วพอ.</v>
      </c>
      <c r="H194" s="3" t="str">
        <f>IFERROR(__xludf.DUMMYFUNCTION("""COMPUTED_VALUE"""),"เล่นดุริยางค์")</f>
        <v>เล่นดุริยางค์</v>
      </c>
      <c r="I194" s="3" t="str">
        <f>IFERROR(__xludf.DUMMYFUNCTION("""COMPUTED_VALUE"""),"วพอ.")</f>
        <v>วพอ.</v>
      </c>
      <c r="J194" s="12">
        <f>IFERROR(__xludf.DUMMYFUNCTION("""COMPUTED_VALUE"""),45946.0)</f>
        <v>45946</v>
      </c>
      <c r="K194" s="3" t="str">
        <f>IFERROR(__xludf.DUMMYFUNCTION("""COMPUTED_VALUE"""),"0739")</f>
        <v>0739</v>
      </c>
      <c r="L194" s="3">
        <f>IFERROR(__xludf.DUMMYFUNCTION("""COMPUTED_VALUE"""),1.0)</f>
        <v>1</v>
      </c>
      <c r="M194" s="3" t="str">
        <f>IFERROR(__xludf.DUMMYFUNCTION("""COMPUTED_VALUE"""),"ร.อ.อนุชิต ทำจะดี")</f>
        <v>ร.อ.อนุชิต ทำจะดี</v>
      </c>
      <c r="N194" s="14" t="str">
        <f>IFERROR(__xludf.DUMMYFUNCTION("""COMPUTED_VALUE"""),"https://lh5.googleusercontent.com/d/1u8w439Ly98_49nS5NzXOebffA4pKp77i")</f>
        <v>https://lh5.googleusercontent.com/d/1u8w439Ly98_49nS5NzXOebffA4pKp77i</v>
      </c>
      <c r="O194" s="14" t="str">
        <f>IFERROR(__xludf.DUMMYFUNCTION("""COMPUTED_VALUE"""),"https://drive.google.com/file/d/1J9Y5jWTYvff97lb6QNKCoAHpp4U3AGO_/view?usp=drivesdk")</f>
        <v>https://drive.google.com/file/d/1J9Y5jWTYvff97lb6QNKCoAHpp4U3AGO_/view?usp=drivesdk</v>
      </c>
    </row>
    <row r="195">
      <c r="A195" s="3">
        <f>IFERROR(__xludf.DUMMYFUNCTION("""COMPUTED_VALUE"""),1396.0)</f>
        <v>1396</v>
      </c>
      <c r="B195" s="11">
        <f>IFERROR(__xludf.DUMMYFUNCTION("""COMPUTED_VALUE"""),45998.90673521991)</f>
        <v>45998.90674</v>
      </c>
      <c r="C195" s="3" t="str">
        <f>IFERROR(__xludf.DUMMYFUNCTION("""COMPUTED_VALUE"""),"ชั้นปีที่ 1")</f>
        <v>ชั้นปีที่ 1</v>
      </c>
      <c r="D195" s="3" t="str">
        <f>IFERROR(__xludf.DUMMYFUNCTION("""COMPUTED_VALUE"""),"6803892")</f>
        <v>6803892</v>
      </c>
      <c r="E195" s="3" t="str">
        <f>IFERROR(__xludf.DUMMYFUNCTION("""COMPUTED_VALUE"""),"11")</f>
        <v>11</v>
      </c>
      <c r="F195" s="3" t="str">
        <f>IFERROR(__xludf.DUMMYFUNCTION("""COMPUTED_VALUE"""),"นพอ.ชนัญธิดา สินปรุ")</f>
        <v>นพอ.ชนัญธิดา สินปรุ</v>
      </c>
      <c r="G195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195" s="3" t="str">
        <f>IFERROR(__xludf.DUMMYFUNCTION("""COMPUTED_VALUE"""),"โครงการจิตอาสาทำความสะอาดศูนย์ดูแลสุนัขและแมวจรจัดของกองทัพเรือ")</f>
        <v>โครงการจิตอาสาทำความสะอาดศูนย์ดูแลสุนัขและแมวจรจัดของกองทัพเรือ</v>
      </c>
      <c r="I195" s="3" t="str">
        <f>IFERROR(__xludf.DUMMYFUNCTION("""COMPUTED_VALUE"""),"ศูนย์ดูแลสุนัขจรจัดของกองทัพเรือ โดยกองเรือยุทธการ")</f>
        <v>ศูนย์ดูแลสุนัขจรจัดของกองทัพเรือ โดยกองเรือยุทธการ</v>
      </c>
      <c r="J195" s="12">
        <f>IFERROR(__xludf.DUMMYFUNCTION("""COMPUTED_VALUE"""),45990.0)</f>
        <v>45990</v>
      </c>
      <c r="K195" s="3" t="str">
        <f>IFERROR(__xludf.DUMMYFUNCTION("""COMPUTED_VALUE"""),"0800 - 1200")</f>
        <v>0800 - 1200</v>
      </c>
      <c r="L195" s="3">
        <f>IFERROR(__xludf.DUMMYFUNCTION("""COMPUTED_VALUE"""),4.0)</f>
        <v>4</v>
      </c>
      <c r="M195" s="3" t="str">
        <f>IFERROR(__xludf.DUMMYFUNCTION("""COMPUTED_VALUE"""),"ร.ท.พิชิต เทียนทอง")</f>
        <v>ร.ท.พิชิต เทียนทอง</v>
      </c>
      <c r="N195" s="14" t="str">
        <f>IFERROR(__xludf.DUMMYFUNCTION("""COMPUTED_VALUE"""),"https://lh5.googleusercontent.com/d/1Tc1XEPqB-2pUvt2rY4Atm9vvWdwim4j7")</f>
        <v>https://lh5.googleusercontent.com/d/1Tc1XEPqB-2pUvt2rY4Atm9vvWdwim4j7</v>
      </c>
      <c r="O195" s="14" t="str">
        <f>IFERROR(__xludf.DUMMYFUNCTION("""COMPUTED_VALUE"""),"https://drive.google.com/file/d/1bQWTIb-2OUsGmWFtokIXqbdqm0Tzu5M1/view?usp=drivesdk")</f>
        <v>https://drive.google.com/file/d/1bQWTIb-2OUsGmWFtokIXqbdqm0Tzu5M1/view?usp=drivesdk</v>
      </c>
    </row>
    <row r="196">
      <c r="A196" s="3">
        <f>IFERROR(__xludf.DUMMYFUNCTION("""COMPUTED_VALUE"""),1399.0)</f>
        <v>1399</v>
      </c>
      <c r="B196" s="11">
        <f>IFERROR(__xludf.DUMMYFUNCTION("""COMPUTED_VALUE"""),45998.9076754051)</f>
        <v>45998.90768</v>
      </c>
      <c r="C196" s="3" t="str">
        <f>IFERROR(__xludf.DUMMYFUNCTION("""COMPUTED_VALUE"""),"ชั้นปีที่ 1")</f>
        <v>ชั้นปีที่ 1</v>
      </c>
      <c r="D196" s="3" t="str">
        <f>IFERROR(__xludf.DUMMYFUNCTION("""COMPUTED_VALUE"""),"6803925")</f>
        <v>6803925</v>
      </c>
      <c r="E196" s="3" t="str">
        <f>IFERROR(__xludf.DUMMYFUNCTION("""COMPUTED_VALUE"""),"44")</f>
        <v>44</v>
      </c>
      <c r="F196" s="3" t="str">
        <f>IFERROR(__xludf.DUMMYFUNCTION("""COMPUTED_VALUE"""),"ภัทรพร ม่วงแคล้ว")</f>
        <v>ภัทรพร ม่วงแคล้ว</v>
      </c>
      <c r="G196" s="3" t="str">
        <f>IFERROR(__xludf.DUMMYFUNCTION("""COMPUTED_VALUE"""),"ช่วยเหลืองานภายใน วพอ.")</f>
        <v>ช่วยเหลืองานภายใน วพอ.</v>
      </c>
      <c r="H196" s="3" t="str">
        <f>IFERROR(__xludf.DUMMYFUNCTION("""COMPUTED_VALUE"""),"เล่นดุริยางค์")</f>
        <v>เล่นดุริยางค์</v>
      </c>
      <c r="I196" s="3" t="str">
        <f>IFERROR(__xludf.DUMMYFUNCTION("""COMPUTED_VALUE"""),"วพอ.พอ.")</f>
        <v>วพอ.พอ.</v>
      </c>
      <c r="J196" s="12">
        <f>IFERROR(__xludf.DUMMYFUNCTION("""COMPUTED_VALUE"""),45959.0)</f>
        <v>45959</v>
      </c>
      <c r="K196" s="3" t="str">
        <f>IFERROR(__xludf.DUMMYFUNCTION("""COMPUTED_VALUE"""),"0700-0800")</f>
        <v>0700-0800</v>
      </c>
      <c r="L196" s="3">
        <f>IFERROR(__xludf.DUMMYFUNCTION("""COMPUTED_VALUE"""),1.0)</f>
        <v>1</v>
      </c>
      <c r="M196" s="3" t="str">
        <f>IFERROR(__xludf.DUMMYFUNCTION("""COMPUTED_VALUE"""),"ร.อ.อนุชิต ทำจะดี")</f>
        <v>ร.อ.อนุชิต ทำจะดี</v>
      </c>
      <c r="N196" s="14" t="str">
        <f>IFERROR(__xludf.DUMMYFUNCTION("""COMPUTED_VALUE"""),"https://lh5.googleusercontent.com/d/1AaXQhFlJb1JWVtoXU0yoeIPLSAldKGis")</f>
        <v>https://lh5.googleusercontent.com/d/1AaXQhFlJb1JWVtoXU0yoeIPLSAldKGis</v>
      </c>
      <c r="O196" s="14" t="str">
        <f>IFERROR(__xludf.DUMMYFUNCTION("""COMPUTED_VALUE"""),"https://drive.google.com/file/d/1L89fwlx_LG7EY8eOAJuIPbEQyuiVxX4N/view?usp=drivesdk")</f>
        <v>https://drive.google.com/file/d/1L89fwlx_LG7EY8eOAJuIPbEQyuiVxX4N/view?usp=drivesdk</v>
      </c>
    </row>
    <row r="197">
      <c r="A197" s="3">
        <f>IFERROR(__xludf.DUMMYFUNCTION("""COMPUTED_VALUE"""),1400.0)</f>
        <v>1400</v>
      </c>
      <c r="B197" s="11">
        <f>IFERROR(__xludf.DUMMYFUNCTION("""COMPUTED_VALUE"""),45998.90812715278)</f>
        <v>45998.90813</v>
      </c>
      <c r="C197" s="3" t="str">
        <f>IFERROR(__xludf.DUMMYFUNCTION("""COMPUTED_VALUE"""),"ชั้นปีที่ 1")</f>
        <v>ชั้นปีที่ 1</v>
      </c>
      <c r="D197" s="3" t="str">
        <f>IFERROR(__xludf.DUMMYFUNCTION("""COMPUTED_VALUE"""),"6803906")</f>
        <v>6803906</v>
      </c>
      <c r="E197" s="3" t="str">
        <f>IFERROR(__xludf.DUMMYFUNCTION("""COMPUTED_VALUE"""),"25")</f>
        <v>25</v>
      </c>
      <c r="F197" s="3" t="str">
        <f>IFERROR(__xludf.DUMMYFUNCTION("""COMPUTED_VALUE"""),"นพอ.ธัญวรัตน์ ยงคะวิสัย")</f>
        <v>นพอ.ธัญวรัตน์ ยงคะวิสัย</v>
      </c>
      <c r="G197" s="3" t="str">
        <f>IFERROR(__xludf.DUMMYFUNCTION("""COMPUTED_VALUE"""),"ช่วยเหลืองานภายใน วพอ.")</f>
        <v>ช่วยเหลืองานภายใน วพอ.</v>
      </c>
      <c r="H197" s="3" t="str">
        <f>IFERROR(__xludf.DUMMYFUNCTION("""COMPUTED_VALUE"""),"เล่นดุริยางค์")</f>
        <v>เล่นดุริยางค์</v>
      </c>
      <c r="I197" s="3" t="str">
        <f>IFERROR(__xludf.DUMMYFUNCTION("""COMPUTED_VALUE"""),"วพอ.")</f>
        <v>วพอ.</v>
      </c>
      <c r="J197" s="12">
        <f>IFERROR(__xludf.DUMMYFUNCTION("""COMPUTED_VALUE"""),45959.0)</f>
        <v>45959</v>
      </c>
      <c r="K197" s="3" t="str">
        <f>IFERROR(__xludf.DUMMYFUNCTION("""COMPUTED_VALUE"""),"0743")</f>
        <v>0743</v>
      </c>
      <c r="L197" s="3">
        <f>IFERROR(__xludf.DUMMYFUNCTION("""COMPUTED_VALUE"""),1.0)</f>
        <v>1</v>
      </c>
      <c r="M197" s="3" t="str">
        <f>IFERROR(__xludf.DUMMYFUNCTION("""COMPUTED_VALUE"""),"ร.อ.อนุชิต ทำจะดี")</f>
        <v>ร.อ.อนุชิต ทำจะดี</v>
      </c>
      <c r="N197" s="14" t="str">
        <f>IFERROR(__xludf.DUMMYFUNCTION("""COMPUTED_VALUE"""),"https://lh5.googleusercontent.com/d/1zMV6P7NhDkYUOXHMi51nmVBKCQckny0O")</f>
        <v>https://lh5.googleusercontent.com/d/1zMV6P7NhDkYUOXHMi51nmVBKCQckny0O</v>
      </c>
      <c r="O197" s="14" t="str">
        <f>IFERROR(__xludf.DUMMYFUNCTION("""COMPUTED_VALUE"""),"https://drive.google.com/file/d/1XXVtZelHttw-IiD5DFe5RwsG_eWy4K6d/view?usp=drivesdk")</f>
        <v>https://drive.google.com/file/d/1XXVtZelHttw-IiD5DFe5RwsG_eWy4K6d/view?usp=drivesdk</v>
      </c>
    </row>
    <row r="198">
      <c r="A198" s="3">
        <f>IFERROR(__xludf.DUMMYFUNCTION("""COMPUTED_VALUE"""),1402.0)</f>
        <v>1402</v>
      </c>
      <c r="B198" s="11">
        <f>IFERROR(__xludf.DUMMYFUNCTION("""COMPUTED_VALUE"""),45998.9091546412)</f>
        <v>45998.90915</v>
      </c>
      <c r="C198" s="3" t="str">
        <f>IFERROR(__xludf.DUMMYFUNCTION("""COMPUTED_VALUE"""),"ชั้นปีที่ 1")</f>
        <v>ชั้นปีที่ 1</v>
      </c>
      <c r="D198" s="3" t="str">
        <f>IFERROR(__xludf.DUMMYFUNCTION("""COMPUTED_VALUE"""),"6803925")</f>
        <v>6803925</v>
      </c>
      <c r="E198" s="3" t="str">
        <f>IFERROR(__xludf.DUMMYFUNCTION("""COMPUTED_VALUE"""),"44")</f>
        <v>44</v>
      </c>
      <c r="F198" s="3" t="str">
        <f>IFERROR(__xludf.DUMMYFUNCTION("""COMPUTED_VALUE"""),"ภัทรพร ม่วงแคล้ว")</f>
        <v>ภัทรพร ม่วงแคล้ว</v>
      </c>
      <c r="G198" s="3" t="str">
        <f>IFERROR(__xludf.DUMMYFUNCTION("""COMPUTED_VALUE"""),"ช่วยเหลืองานภายใน วพอ.")</f>
        <v>ช่วยเหลืองานภายใน วพอ.</v>
      </c>
      <c r="H198" s="3" t="str">
        <f>IFERROR(__xludf.DUMMYFUNCTION("""COMPUTED_VALUE"""),"เล่นดุริยางค์")</f>
        <v>เล่นดุริยางค์</v>
      </c>
      <c r="I198" s="3" t="str">
        <f>IFERROR(__xludf.DUMMYFUNCTION("""COMPUTED_VALUE"""),"วพอ.พอ.")</f>
        <v>วพอ.พอ.</v>
      </c>
      <c r="J198" s="12">
        <f>IFERROR(__xludf.DUMMYFUNCTION("""COMPUTED_VALUE"""),45981.0)</f>
        <v>45981</v>
      </c>
      <c r="K198" s="3" t="str">
        <f>IFERROR(__xludf.DUMMYFUNCTION("""COMPUTED_VALUE"""),"0700-0800")</f>
        <v>0700-0800</v>
      </c>
      <c r="L198" s="3">
        <f>IFERROR(__xludf.DUMMYFUNCTION("""COMPUTED_VALUE"""),1.0)</f>
        <v>1</v>
      </c>
      <c r="M198" s="3" t="str">
        <f>IFERROR(__xludf.DUMMYFUNCTION("""COMPUTED_VALUE"""),"ร.อ.อนุชิต ทำจะดี")</f>
        <v>ร.อ.อนุชิต ทำจะดี</v>
      </c>
      <c r="N198" s="14" t="str">
        <f>IFERROR(__xludf.DUMMYFUNCTION("""COMPUTED_VALUE"""),"https://lh5.googleusercontent.com/d/1lo1Dta7pUIHrXtyrwoeZECXPynazejX2")</f>
        <v>https://lh5.googleusercontent.com/d/1lo1Dta7pUIHrXtyrwoeZECXPynazejX2</v>
      </c>
      <c r="O198" s="14" t="str">
        <f>IFERROR(__xludf.DUMMYFUNCTION("""COMPUTED_VALUE"""),"https://drive.google.com/file/d/149JwWnurV9l78OVL0o5PPdy8w4TUclMC/view?usp=drivesdk")</f>
        <v>https://drive.google.com/file/d/149JwWnurV9l78OVL0o5PPdy8w4TUclMC/view?usp=drivesdk</v>
      </c>
    </row>
    <row r="199">
      <c r="A199" s="3">
        <f>IFERROR(__xludf.DUMMYFUNCTION("""COMPUTED_VALUE"""),1403.0)</f>
        <v>1403</v>
      </c>
      <c r="B199" s="11">
        <f>IFERROR(__xludf.DUMMYFUNCTION("""COMPUTED_VALUE"""),45998.909219444446)</f>
        <v>45998.90922</v>
      </c>
      <c r="C199" s="3" t="str">
        <f>IFERROR(__xludf.DUMMYFUNCTION("""COMPUTED_VALUE"""),"ชั้นปีที่ 1")</f>
        <v>ชั้นปีที่ 1</v>
      </c>
      <c r="D199" s="3" t="str">
        <f>IFERROR(__xludf.DUMMYFUNCTION("""COMPUTED_VALUE"""),"6803925")</f>
        <v>6803925</v>
      </c>
      <c r="E199" s="3" t="str">
        <f>IFERROR(__xludf.DUMMYFUNCTION("""COMPUTED_VALUE"""),"44")</f>
        <v>44</v>
      </c>
      <c r="F199" s="3" t="str">
        <f>IFERROR(__xludf.DUMMYFUNCTION("""COMPUTED_VALUE"""),"ภัทรพร ม่วงแคล้ว")</f>
        <v>ภัทรพร ม่วงแคล้ว</v>
      </c>
      <c r="G199" s="3" t="str">
        <f>IFERROR(__xludf.DUMMYFUNCTION("""COMPUTED_VALUE"""),"ช่วยเหลืองานภายใน วพอ.")</f>
        <v>ช่วยเหลืองานภายใน วพอ.</v>
      </c>
      <c r="H199" s="3" t="str">
        <f>IFERROR(__xludf.DUMMYFUNCTION("""COMPUTED_VALUE"""),"เล่นดุริยางค์")</f>
        <v>เล่นดุริยางค์</v>
      </c>
      <c r="I199" s="3" t="str">
        <f>IFERROR(__xludf.DUMMYFUNCTION("""COMPUTED_VALUE"""),"วพอ.พอ")</f>
        <v>วพอ.พอ</v>
      </c>
      <c r="J199" s="12">
        <f>IFERROR(__xludf.DUMMYFUNCTION("""COMPUTED_VALUE"""),45967.0)</f>
        <v>45967</v>
      </c>
      <c r="K199" s="3" t="str">
        <f>IFERROR(__xludf.DUMMYFUNCTION("""COMPUTED_VALUE"""),"0700-0800")</f>
        <v>0700-0800</v>
      </c>
      <c r="L199" s="3">
        <f>IFERROR(__xludf.DUMMYFUNCTION("""COMPUTED_VALUE"""),1.0)</f>
        <v>1</v>
      </c>
      <c r="M199" s="3" t="str">
        <f>IFERROR(__xludf.DUMMYFUNCTION("""COMPUTED_VALUE"""),"ร.อ.อนุชิต ทำจะดี")</f>
        <v>ร.อ.อนุชิต ทำจะดี</v>
      </c>
      <c r="N199" s="14" t="str">
        <f>IFERROR(__xludf.DUMMYFUNCTION("""COMPUTED_VALUE"""),"https://lh5.googleusercontent.com/d/1uKQUUJ-c4k436kzZj72-eGjTZek51Tg2")</f>
        <v>https://lh5.googleusercontent.com/d/1uKQUUJ-c4k436kzZj72-eGjTZek51Tg2</v>
      </c>
      <c r="O199" s="14" t="str">
        <f>IFERROR(__xludf.DUMMYFUNCTION("""COMPUTED_VALUE"""),"https://drive.google.com/file/d/1ykU8oR-NPEzUDTWAYohCc0oiYFiU9wvp/view?usp=drivesdk")</f>
        <v>https://drive.google.com/file/d/1ykU8oR-NPEzUDTWAYohCc0oiYFiU9wvp/view?usp=drivesdk</v>
      </c>
    </row>
    <row r="200">
      <c r="A200" s="3">
        <f>IFERROR(__xludf.DUMMYFUNCTION("""COMPUTED_VALUE"""),1404.0)</f>
        <v>1404</v>
      </c>
      <c r="B200" s="11">
        <f>IFERROR(__xludf.DUMMYFUNCTION("""COMPUTED_VALUE"""),45998.90972555555)</f>
        <v>45998.90973</v>
      </c>
      <c r="C200" s="3" t="str">
        <f>IFERROR(__xludf.DUMMYFUNCTION("""COMPUTED_VALUE"""),"ชั้นปีที่ 1")</f>
        <v>ชั้นปีที่ 1</v>
      </c>
      <c r="D200" s="3" t="str">
        <f>IFERROR(__xludf.DUMMYFUNCTION("""COMPUTED_VALUE"""),"6803906")</f>
        <v>6803906</v>
      </c>
      <c r="E200" s="3" t="str">
        <f>IFERROR(__xludf.DUMMYFUNCTION("""COMPUTED_VALUE"""),"25")</f>
        <v>25</v>
      </c>
      <c r="F200" s="3" t="str">
        <f>IFERROR(__xludf.DUMMYFUNCTION("""COMPUTED_VALUE"""),"นพอ.ธัญวรัตน์ ยงคะวิสัย")</f>
        <v>นพอ.ธัญวรัตน์ ยงคะวิสัย</v>
      </c>
      <c r="G200" s="3" t="str">
        <f>IFERROR(__xludf.DUMMYFUNCTION("""COMPUTED_VALUE"""),"ช่วยเหลืองานภายใน วพอ.")</f>
        <v>ช่วยเหลืองานภายใน วพอ.</v>
      </c>
      <c r="H200" s="3" t="str">
        <f>IFERROR(__xludf.DUMMYFUNCTION("""COMPUTED_VALUE"""),"เล่นดุริยางค์")</f>
        <v>เล่นดุริยางค์</v>
      </c>
      <c r="I200" s="3" t="str">
        <f>IFERROR(__xludf.DUMMYFUNCTION("""COMPUTED_VALUE"""),"วพอ.")</f>
        <v>วพอ.</v>
      </c>
      <c r="J200" s="12">
        <f>IFERROR(__xludf.DUMMYFUNCTION("""COMPUTED_VALUE"""),45960.0)</f>
        <v>45960</v>
      </c>
      <c r="K200" s="3" t="str">
        <f>IFERROR(__xludf.DUMMYFUNCTION("""COMPUTED_VALUE"""),"0738")</f>
        <v>0738</v>
      </c>
      <c r="L200" s="3">
        <f>IFERROR(__xludf.DUMMYFUNCTION("""COMPUTED_VALUE"""),1.0)</f>
        <v>1</v>
      </c>
      <c r="M200" s="3" t="str">
        <f>IFERROR(__xludf.DUMMYFUNCTION("""COMPUTED_VALUE"""),"ร.อ.อนุชิต ทำจะดี")</f>
        <v>ร.อ.อนุชิต ทำจะดี</v>
      </c>
      <c r="N200" s="14" t="str">
        <f>IFERROR(__xludf.DUMMYFUNCTION("""COMPUTED_VALUE"""),"https://lh5.googleusercontent.com/d/18YGzImQdxq7qj5lIquHlYZ1XRT1YfOZd")</f>
        <v>https://lh5.googleusercontent.com/d/18YGzImQdxq7qj5lIquHlYZ1XRT1YfOZd</v>
      </c>
      <c r="O200" s="14" t="str">
        <f>IFERROR(__xludf.DUMMYFUNCTION("""COMPUTED_VALUE"""),"https://drive.google.com/file/d/1WkEQpbd7_l-As8gqyLBpaJlO90Hb3b3a/view?usp=drivesdk")</f>
        <v>https://drive.google.com/file/d/1WkEQpbd7_l-As8gqyLBpaJlO90Hb3b3a/view?usp=drivesdk</v>
      </c>
    </row>
    <row r="201">
      <c r="A201" s="3">
        <f>IFERROR(__xludf.DUMMYFUNCTION("""COMPUTED_VALUE"""),1410.0)</f>
        <v>1410</v>
      </c>
      <c r="B201" s="11">
        <f>IFERROR(__xludf.DUMMYFUNCTION("""COMPUTED_VALUE"""),45998.911901030086)</f>
        <v>45998.9119</v>
      </c>
      <c r="C201" s="3" t="str">
        <f>IFERROR(__xludf.DUMMYFUNCTION("""COMPUTED_VALUE"""),"ชั้นปีที่ 1")</f>
        <v>ชั้นปีที่ 1</v>
      </c>
      <c r="D201" s="3" t="str">
        <f>IFERROR(__xludf.DUMMYFUNCTION("""COMPUTED_VALUE"""),"6803906")</f>
        <v>6803906</v>
      </c>
      <c r="E201" s="3" t="str">
        <f>IFERROR(__xludf.DUMMYFUNCTION("""COMPUTED_VALUE"""),"25")</f>
        <v>25</v>
      </c>
      <c r="F201" s="3" t="str">
        <f>IFERROR(__xludf.DUMMYFUNCTION("""COMPUTED_VALUE"""),"นพอ.ธัญวรัตน์ ยงคะวิสัย")</f>
        <v>นพอ.ธัญวรัตน์ ยงคะวิสัย</v>
      </c>
      <c r="G201" s="3" t="str">
        <f>IFERROR(__xludf.DUMMYFUNCTION("""COMPUTED_VALUE"""),"ช่วยเหลืองานภายใน วพอ.")</f>
        <v>ช่วยเหลืองานภายใน วพอ.</v>
      </c>
      <c r="H201" s="3" t="str">
        <f>IFERROR(__xludf.DUMMYFUNCTION("""COMPUTED_VALUE"""),"เล่นดุริยางค์")</f>
        <v>เล่นดุริยางค์</v>
      </c>
      <c r="I201" s="3" t="str">
        <f>IFERROR(__xludf.DUMMYFUNCTION("""COMPUTED_VALUE"""),"วพอ.")</f>
        <v>วพอ.</v>
      </c>
      <c r="J201" s="12">
        <f>IFERROR(__xludf.DUMMYFUNCTION("""COMPUTED_VALUE"""),45964.0)</f>
        <v>45964</v>
      </c>
      <c r="K201" s="3" t="str">
        <f>IFERROR(__xludf.DUMMYFUNCTION("""COMPUTED_VALUE"""),"0736")</f>
        <v>0736</v>
      </c>
      <c r="L201" s="3">
        <f>IFERROR(__xludf.DUMMYFUNCTION("""COMPUTED_VALUE"""),1.0)</f>
        <v>1</v>
      </c>
      <c r="M201" s="3" t="str">
        <f>IFERROR(__xludf.DUMMYFUNCTION("""COMPUTED_VALUE"""),"ร.อ.อนุชิต ทำจะดี")</f>
        <v>ร.อ.อนุชิต ทำจะดี</v>
      </c>
      <c r="N201" s="14" t="str">
        <f>IFERROR(__xludf.DUMMYFUNCTION("""COMPUTED_VALUE"""),"https://lh5.googleusercontent.com/d/14K0jqTyU6n8kUePlIN1U6qUWCQDVZLho")</f>
        <v>https://lh5.googleusercontent.com/d/14K0jqTyU6n8kUePlIN1U6qUWCQDVZLho</v>
      </c>
      <c r="O201" s="14" t="str">
        <f>IFERROR(__xludf.DUMMYFUNCTION("""COMPUTED_VALUE"""),"https://drive.google.com/file/d/1vHO3NwTea5dEylYhzatHr_AH0pPuQGvY/view?usp=drivesdk")</f>
        <v>https://drive.google.com/file/d/1vHO3NwTea5dEylYhzatHr_AH0pPuQGvY/view?usp=drivesdk</v>
      </c>
    </row>
    <row r="202">
      <c r="A202" s="3">
        <f>IFERROR(__xludf.DUMMYFUNCTION("""COMPUTED_VALUE"""),1411.0)</f>
        <v>1411</v>
      </c>
      <c r="B202" s="11">
        <f>IFERROR(__xludf.DUMMYFUNCTION("""COMPUTED_VALUE"""),45998.91269188658)</f>
        <v>45998.91269</v>
      </c>
      <c r="C202" s="3" t="str">
        <f>IFERROR(__xludf.DUMMYFUNCTION("""COMPUTED_VALUE"""),"ชั้นปีที่ 1")</f>
        <v>ชั้นปีที่ 1</v>
      </c>
      <c r="D202" s="3" t="str">
        <f>IFERROR(__xludf.DUMMYFUNCTION("""COMPUTED_VALUE"""),"ภัทรพร ม่วงแคล้ว")</f>
        <v>ภัทรพร ม่วงแคล้ว</v>
      </c>
      <c r="E202" s="3" t="str">
        <f>IFERROR(__xludf.DUMMYFUNCTION("""COMPUTED_VALUE"""),"44")</f>
        <v>44</v>
      </c>
      <c r="F202" s="3" t="str">
        <f>IFERROR(__xludf.DUMMYFUNCTION("""COMPUTED_VALUE"""),"ภัทรพร ม่วงแคล้ว")</f>
        <v>ภัทรพร ม่วงแคล้ว</v>
      </c>
      <c r="G202" s="3" t="str">
        <f>IFERROR(__xludf.DUMMYFUNCTION("""COMPUTED_VALUE"""),"ช่วยเหลืองานภายใน วพอ.")</f>
        <v>ช่วยเหลืองานภายใน วพอ.</v>
      </c>
      <c r="H202" s="3" t="str">
        <f>IFERROR(__xludf.DUMMYFUNCTION("""COMPUTED_VALUE"""),"เล่นดุริยางค์")</f>
        <v>เล่นดุริยางค์</v>
      </c>
      <c r="I202" s="3" t="str">
        <f>IFERROR(__xludf.DUMMYFUNCTION("""COMPUTED_VALUE"""),"วพอ.พอ")</f>
        <v>วพอ.พอ</v>
      </c>
      <c r="J202" s="12">
        <f>IFERROR(__xludf.DUMMYFUNCTION("""COMPUTED_VALUE"""),45989.0)</f>
        <v>45989</v>
      </c>
      <c r="K202" s="3" t="str">
        <f>IFERROR(__xludf.DUMMYFUNCTION("""COMPUTED_VALUE"""),"0700-0800")</f>
        <v>0700-0800</v>
      </c>
      <c r="L202" s="3">
        <f>IFERROR(__xludf.DUMMYFUNCTION("""COMPUTED_VALUE"""),1.0)</f>
        <v>1</v>
      </c>
      <c r="M202" s="3" t="str">
        <f>IFERROR(__xludf.DUMMYFUNCTION("""COMPUTED_VALUE"""),"ร.อ.อนุชิต ทำจะดี")</f>
        <v>ร.อ.อนุชิต ทำจะดี</v>
      </c>
      <c r="N202" s="14" t="str">
        <f>IFERROR(__xludf.DUMMYFUNCTION("""COMPUTED_VALUE"""),"https://lh5.googleusercontent.com/d/1b5k366d3fnAQNEXlqa_lrenmmzhJ0CTI")</f>
        <v>https://lh5.googleusercontent.com/d/1b5k366d3fnAQNEXlqa_lrenmmzhJ0CTI</v>
      </c>
      <c r="O202" s="14" t="str">
        <f>IFERROR(__xludf.DUMMYFUNCTION("""COMPUTED_VALUE"""),"https://drive.google.com/file/d/1l1wHyVP8GuXzECU3v5Ey7mte6m0E8Nms/view?usp=drivesdk")</f>
        <v>https://drive.google.com/file/d/1l1wHyVP8GuXzECU3v5Ey7mte6m0E8Nms/view?usp=drivesdk</v>
      </c>
    </row>
    <row r="203">
      <c r="A203" s="3">
        <f>IFERROR(__xludf.DUMMYFUNCTION("""COMPUTED_VALUE"""),1412.0)</f>
        <v>1412</v>
      </c>
      <c r="B203" s="11">
        <f>IFERROR(__xludf.DUMMYFUNCTION("""COMPUTED_VALUE"""),45998.91273913195)</f>
        <v>45998.91274</v>
      </c>
      <c r="C203" s="3" t="str">
        <f>IFERROR(__xludf.DUMMYFUNCTION("""COMPUTED_VALUE"""),"ชั้นปีที่ 1")</f>
        <v>ชั้นปีที่ 1</v>
      </c>
      <c r="D203" s="3" t="str">
        <f>IFERROR(__xludf.DUMMYFUNCTION("""COMPUTED_VALUE"""),"6803906")</f>
        <v>6803906</v>
      </c>
      <c r="E203" s="3" t="str">
        <f>IFERROR(__xludf.DUMMYFUNCTION("""COMPUTED_VALUE"""),"25")</f>
        <v>25</v>
      </c>
      <c r="F203" s="3" t="str">
        <f>IFERROR(__xludf.DUMMYFUNCTION("""COMPUTED_VALUE"""),"นพอ.ธัญวรัตน์ ยงคะวิสัย")</f>
        <v>นพอ.ธัญวรัตน์ ยงคะวิสัย</v>
      </c>
      <c r="G203" s="3" t="str">
        <f>IFERROR(__xludf.DUMMYFUNCTION("""COMPUTED_VALUE"""),"ช่วยเหลืองานภายใน วพอ.")</f>
        <v>ช่วยเหลืองานภายใน วพอ.</v>
      </c>
      <c r="H203" s="3" t="str">
        <f>IFERROR(__xludf.DUMMYFUNCTION("""COMPUTED_VALUE"""),"เล่นดุริยางค์")</f>
        <v>เล่นดุริยางค์</v>
      </c>
      <c r="I203" s="3" t="str">
        <f>IFERROR(__xludf.DUMMYFUNCTION("""COMPUTED_VALUE"""),"วพอ.")</f>
        <v>วพอ.</v>
      </c>
      <c r="J203" s="12">
        <f>IFERROR(__xludf.DUMMYFUNCTION("""COMPUTED_VALUE"""),45965.0)</f>
        <v>45965</v>
      </c>
      <c r="K203" s="3" t="str">
        <f>IFERROR(__xludf.DUMMYFUNCTION("""COMPUTED_VALUE"""),"0740")</f>
        <v>0740</v>
      </c>
      <c r="L203" s="3">
        <f>IFERROR(__xludf.DUMMYFUNCTION("""COMPUTED_VALUE"""),1.0)</f>
        <v>1</v>
      </c>
      <c r="M203" s="3" t="str">
        <f>IFERROR(__xludf.DUMMYFUNCTION("""COMPUTED_VALUE"""),"ร.อ.อนุชิต ทำจะดี")</f>
        <v>ร.อ.อนุชิต ทำจะดี</v>
      </c>
      <c r="N203" s="14" t="str">
        <f>IFERROR(__xludf.DUMMYFUNCTION("""COMPUTED_VALUE"""),"https://lh5.googleusercontent.com/d/1HZzQ_9WjKMmKWU-aJNazDUNsdn6K4nGz")</f>
        <v>https://lh5.googleusercontent.com/d/1HZzQ_9WjKMmKWU-aJNazDUNsdn6K4nGz</v>
      </c>
      <c r="O203" s="14" t="str">
        <f>IFERROR(__xludf.DUMMYFUNCTION("""COMPUTED_VALUE"""),"https://drive.google.com/file/d/1xNG3LYSrCjogAAl6B1_fHYmHf6dPjZbe/view?usp=drivesdk")</f>
        <v>https://drive.google.com/file/d/1xNG3LYSrCjogAAl6B1_fHYmHf6dPjZbe/view?usp=drivesdk</v>
      </c>
    </row>
    <row r="204">
      <c r="A204" s="3">
        <f>IFERROR(__xludf.DUMMYFUNCTION("""COMPUTED_VALUE"""),1414.0)</f>
        <v>1414</v>
      </c>
      <c r="B204" s="11">
        <f>IFERROR(__xludf.DUMMYFUNCTION("""COMPUTED_VALUE"""),45998.91299675926)</f>
        <v>45998.913</v>
      </c>
      <c r="C204" s="3" t="str">
        <f>IFERROR(__xludf.DUMMYFUNCTION("""COMPUTED_VALUE"""),"ชั้นปีที่ 1")</f>
        <v>ชั้นปีที่ 1</v>
      </c>
      <c r="D204" s="3" t="str">
        <f>IFERROR(__xludf.DUMMYFUNCTION("""COMPUTED_VALUE"""),"6803925")</f>
        <v>6803925</v>
      </c>
      <c r="E204" s="3" t="str">
        <f>IFERROR(__xludf.DUMMYFUNCTION("""COMPUTED_VALUE"""),"44")</f>
        <v>44</v>
      </c>
      <c r="F204" s="3" t="str">
        <f>IFERROR(__xludf.DUMMYFUNCTION("""COMPUTED_VALUE"""),"ภัทรพร ม่วงแคล้ว")</f>
        <v>ภัทรพร ม่วงแคล้ว</v>
      </c>
      <c r="G204" s="3" t="str">
        <f>IFERROR(__xludf.DUMMYFUNCTION("""COMPUTED_VALUE"""),"ช่วยเหลืองานภายใน วพอ.")</f>
        <v>ช่วยเหลืองานภายใน วพอ.</v>
      </c>
      <c r="H204" s="3" t="str">
        <f>IFERROR(__xludf.DUMMYFUNCTION("""COMPUTED_VALUE"""),"เล่นดุริยางค์")</f>
        <v>เล่นดุริยางค์</v>
      </c>
      <c r="I204" s="3" t="str">
        <f>IFERROR(__xludf.DUMMYFUNCTION("""COMPUTED_VALUE"""),"วพอ.พอ.")</f>
        <v>วพอ.พอ.</v>
      </c>
      <c r="J204" s="12">
        <f>IFERROR(__xludf.DUMMYFUNCTION("""COMPUTED_VALUE"""),45989.0)</f>
        <v>45989</v>
      </c>
      <c r="K204" s="3" t="str">
        <f>IFERROR(__xludf.DUMMYFUNCTION("""COMPUTED_VALUE"""),"0700-0800")</f>
        <v>0700-0800</v>
      </c>
      <c r="L204" s="3">
        <f>IFERROR(__xludf.DUMMYFUNCTION("""COMPUTED_VALUE"""),1.0)</f>
        <v>1</v>
      </c>
      <c r="M204" s="3" t="str">
        <f>IFERROR(__xludf.DUMMYFUNCTION("""COMPUTED_VALUE"""),"ร.อ.อนุชิต ทำจะดี")</f>
        <v>ร.อ.อนุชิต ทำจะดี</v>
      </c>
      <c r="N204" s="14" t="str">
        <f>IFERROR(__xludf.DUMMYFUNCTION("""COMPUTED_VALUE"""),"https://lh5.googleusercontent.com/d/1xrNT5LGUc6wECp9v27lyWEqAwcYyzki7")</f>
        <v>https://lh5.googleusercontent.com/d/1xrNT5LGUc6wECp9v27lyWEqAwcYyzki7</v>
      </c>
      <c r="O204" s="14" t="str">
        <f>IFERROR(__xludf.DUMMYFUNCTION("""COMPUTED_VALUE"""),"https://drive.google.com/file/d/1MBdJoX1aDe3At6M77KZeLOWLFfKlNJrS/view?usp=drivesdk")</f>
        <v>https://drive.google.com/file/d/1MBdJoX1aDe3At6M77KZeLOWLFfKlNJrS/view?usp=drivesdk</v>
      </c>
    </row>
    <row r="205">
      <c r="A205" s="3">
        <f>IFERROR(__xludf.DUMMYFUNCTION("""COMPUTED_VALUE"""),1415.0)</f>
        <v>1415</v>
      </c>
      <c r="B205" s="11">
        <f>IFERROR(__xludf.DUMMYFUNCTION("""COMPUTED_VALUE"""),45998.913523738425)</f>
        <v>45998.91352</v>
      </c>
      <c r="C205" s="3" t="str">
        <f>IFERROR(__xludf.DUMMYFUNCTION("""COMPUTED_VALUE"""),"ชั้นปีที่ 1")</f>
        <v>ชั้นปีที่ 1</v>
      </c>
      <c r="D205" s="3" t="str">
        <f>IFERROR(__xludf.DUMMYFUNCTION("""COMPUTED_VALUE"""),"6803906")</f>
        <v>6803906</v>
      </c>
      <c r="E205" s="3" t="str">
        <f>IFERROR(__xludf.DUMMYFUNCTION("""COMPUTED_VALUE"""),"25")</f>
        <v>25</v>
      </c>
      <c r="F205" s="3" t="str">
        <f>IFERROR(__xludf.DUMMYFUNCTION("""COMPUTED_VALUE"""),"นพอ.ธัญวรัตน์ ยงคะวิสัย")</f>
        <v>นพอ.ธัญวรัตน์ ยงคะวิสัย</v>
      </c>
      <c r="G205" s="3" t="str">
        <f>IFERROR(__xludf.DUMMYFUNCTION("""COMPUTED_VALUE"""),"ช่วยเหลืองานภายใน วพอ.")</f>
        <v>ช่วยเหลืองานภายใน วพอ.</v>
      </c>
      <c r="H205" s="3" t="str">
        <f>IFERROR(__xludf.DUMMYFUNCTION("""COMPUTED_VALUE"""),"เล่นดุริยางค์")</f>
        <v>เล่นดุริยางค์</v>
      </c>
      <c r="I205" s="3" t="str">
        <f>IFERROR(__xludf.DUMMYFUNCTION("""COMPUTED_VALUE"""),"วพอ.")</f>
        <v>วพอ.</v>
      </c>
      <c r="J205" s="12">
        <f>IFERROR(__xludf.DUMMYFUNCTION("""COMPUTED_VALUE"""),45966.0)</f>
        <v>45966</v>
      </c>
      <c r="K205" s="3" t="str">
        <f>IFERROR(__xludf.DUMMYFUNCTION("""COMPUTED_VALUE"""),"0735")</f>
        <v>0735</v>
      </c>
      <c r="L205" s="3">
        <f>IFERROR(__xludf.DUMMYFUNCTION("""COMPUTED_VALUE"""),1.0)</f>
        <v>1</v>
      </c>
      <c r="M205" s="3" t="str">
        <f>IFERROR(__xludf.DUMMYFUNCTION("""COMPUTED_VALUE"""),"ร.อ.อนุชิต ทำจะดี")</f>
        <v>ร.อ.อนุชิต ทำจะดี</v>
      </c>
      <c r="N205" s="14" t="str">
        <f>IFERROR(__xludf.DUMMYFUNCTION("""COMPUTED_VALUE"""),"https://lh5.googleusercontent.com/d/1w7c9esaY07zySdVDomC4A3wtQymHMXpR")</f>
        <v>https://lh5.googleusercontent.com/d/1w7c9esaY07zySdVDomC4A3wtQymHMXpR</v>
      </c>
      <c r="O205" s="14" t="str">
        <f>IFERROR(__xludf.DUMMYFUNCTION("""COMPUTED_VALUE"""),"https://drive.google.com/file/d/1zfut_iYxlh0mqakzmoBToc8gmr9qFENN/view?usp=drivesdk")</f>
        <v>https://drive.google.com/file/d/1zfut_iYxlh0mqakzmoBToc8gmr9qFENN/view?usp=drivesdk</v>
      </c>
    </row>
    <row r="206">
      <c r="A206" s="3">
        <f>IFERROR(__xludf.DUMMYFUNCTION("""COMPUTED_VALUE"""),1416.0)</f>
        <v>1416</v>
      </c>
      <c r="B206" s="11">
        <f>IFERROR(__xludf.DUMMYFUNCTION("""COMPUTED_VALUE"""),45998.91390071759)</f>
        <v>45998.9139</v>
      </c>
      <c r="C206" s="3" t="str">
        <f>IFERROR(__xludf.DUMMYFUNCTION("""COMPUTED_VALUE"""),"ชั้นปีที่ 1")</f>
        <v>ชั้นปีที่ 1</v>
      </c>
      <c r="D206" s="3" t="str">
        <f>IFERROR(__xludf.DUMMYFUNCTION("""COMPUTED_VALUE"""),"6803905")</f>
        <v>6803905</v>
      </c>
      <c r="E206" s="3" t="str">
        <f>IFERROR(__xludf.DUMMYFUNCTION("""COMPUTED_VALUE"""),"24")</f>
        <v>24</v>
      </c>
      <c r="F206" s="3" t="str">
        <f>IFERROR(__xludf.DUMMYFUNCTION("""COMPUTED_VALUE"""),"นพอ.ธนพล เสือน้อย")</f>
        <v>นพอ.ธนพล เสือน้อย</v>
      </c>
      <c r="G206" s="3" t="str">
        <f>IFERROR(__xludf.DUMMYFUNCTION("""COMPUTED_VALUE"""),"งานฟรีทั่วไป")</f>
        <v>งานฟรีทั่วไป</v>
      </c>
      <c r="H206" s="3" t="str">
        <f>IFERROR(__xludf.DUMMYFUNCTION("""COMPUTED_VALUE"""),"รดน้ำต้นไม้ ทำงานบ้าน")</f>
        <v>รดน้ำต้นไม้ ทำงานบ้าน</v>
      </c>
      <c r="I206" s="3" t="str">
        <f>IFERROR(__xludf.DUMMYFUNCTION("""COMPUTED_VALUE"""),"บ้าน")</f>
        <v>บ้าน</v>
      </c>
      <c r="J206" s="12">
        <f>IFERROR(__xludf.DUMMYFUNCTION("""COMPUTED_VALUE"""),45997.0)</f>
        <v>45997</v>
      </c>
      <c r="K206" s="3" t="str">
        <f>IFERROR(__xludf.DUMMYFUNCTION("""COMPUTED_VALUE"""),"1830")</f>
        <v>1830</v>
      </c>
      <c r="L206" s="3">
        <f>IFERROR(__xludf.DUMMYFUNCTION("""COMPUTED_VALUE"""),4.0)</f>
        <v>4</v>
      </c>
      <c r="M206" s="3" t="str">
        <f>IFERROR(__xludf.DUMMYFUNCTION("""COMPUTED_VALUE"""),"นายสัญญา เสือน้อย")</f>
        <v>นายสัญญา เสือน้อย</v>
      </c>
      <c r="N206" s="14" t="str">
        <f>IFERROR(__xludf.DUMMYFUNCTION("""COMPUTED_VALUE"""),"https://lh5.googleusercontent.com/d/1QNG8YJeXWGlNlUJ3p221NOFbk8Z8l3Dq")</f>
        <v>https://lh5.googleusercontent.com/d/1QNG8YJeXWGlNlUJ3p221NOFbk8Z8l3Dq</v>
      </c>
      <c r="O206" s="14" t="str">
        <f>IFERROR(__xludf.DUMMYFUNCTION("""COMPUTED_VALUE"""),"https://drive.google.com/file/d/1GGy3Hz4-TRNT9H132IWjmSfZbO8OWFv9/view?usp=drivesdk")</f>
        <v>https://drive.google.com/file/d/1GGy3Hz4-TRNT9H132IWjmSfZbO8OWFv9/view?usp=drivesdk</v>
      </c>
    </row>
    <row r="207">
      <c r="A207" s="3">
        <f>IFERROR(__xludf.DUMMYFUNCTION("""COMPUTED_VALUE"""),1417.0)</f>
        <v>1417</v>
      </c>
      <c r="B207" s="11">
        <f>IFERROR(__xludf.DUMMYFUNCTION("""COMPUTED_VALUE"""),45998.914462789355)</f>
        <v>45998.91446</v>
      </c>
      <c r="C207" s="3" t="str">
        <f>IFERROR(__xludf.DUMMYFUNCTION("""COMPUTED_VALUE"""),"ชั้นปีที่ 1")</f>
        <v>ชั้นปีที่ 1</v>
      </c>
      <c r="D207" s="3" t="str">
        <f>IFERROR(__xludf.DUMMYFUNCTION("""COMPUTED_VALUE"""),"6803906")</f>
        <v>6803906</v>
      </c>
      <c r="E207" s="3" t="str">
        <f>IFERROR(__xludf.DUMMYFUNCTION("""COMPUTED_VALUE"""),"25")</f>
        <v>25</v>
      </c>
      <c r="F207" s="3" t="str">
        <f>IFERROR(__xludf.DUMMYFUNCTION("""COMPUTED_VALUE"""),"นพอ.ธัญวรัตน์ ยงคะวิสัย")</f>
        <v>นพอ.ธัญวรัตน์ ยงคะวิสัย</v>
      </c>
      <c r="G207" s="3" t="str">
        <f>IFERROR(__xludf.DUMMYFUNCTION("""COMPUTED_VALUE"""),"ช่วยเหลืองานภายใน วพอ.")</f>
        <v>ช่วยเหลืองานภายใน วพอ.</v>
      </c>
      <c r="H207" s="3" t="str">
        <f>IFERROR(__xludf.DUMMYFUNCTION("""COMPUTED_VALUE"""),"เล่นดุริยางค์")</f>
        <v>เล่นดุริยางค์</v>
      </c>
      <c r="I207" s="3" t="str">
        <f>IFERROR(__xludf.DUMMYFUNCTION("""COMPUTED_VALUE"""),"วพอ.")</f>
        <v>วพอ.</v>
      </c>
      <c r="J207" s="12">
        <f>IFERROR(__xludf.DUMMYFUNCTION("""COMPUTED_VALUE"""),45987.0)</f>
        <v>45987</v>
      </c>
      <c r="K207" s="3" t="str">
        <f>IFERROR(__xludf.DUMMYFUNCTION("""COMPUTED_VALUE"""),"0730")</f>
        <v>0730</v>
      </c>
      <c r="L207" s="3">
        <f>IFERROR(__xludf.DUMMYFUNCTION("""COMPUTED_VALUE"""),1.0)</f>
        <v>1</v>
      </c>
      <c r="M207" s="3" t="str">
        <f>IFERROR(__xludf.DUMMYFUNCTION("""COMPUTED_VALUE"""),"ร.อ.อนุชิต ทำจะดี")</f>
        <v>ร.อ.อนุชิต ทำจะดี</v>
      </c>
      <c r="N207" s="14" t="str">
        <f>IFERROR(__xludf.DUMMYFUNCTION("""COMPUTED_VALUE"""),"https://lh5.googleusercontent.com/d/1yuRNcZqinyFXBhUekBwe2qVKwGJDvPtT")</f>
        <v>https://lh5.googleusercontent.com/d/1yuRNcZqinyFXBhUekBwe2qVKwGJDvPtT</v>
      </c>
      <c r="O207" s="14" t="str">
        <f>IFERROR(__xludf.DUMMYFUNCTION("""COMPUTED_VALUE"""),"https://drive.google.com/file/d/1hM_1TjJN3jCu_V-dczXjF4ReJCzPGJnU/view?usp=drivesdk")</f>
        <v>https://drive.google.com/file/d/1hM_1TjJN3jCu_V-dczXjF4ReJCzPGJnU/view?usp=drivesdk</v>
      </c>
    </row>
    <row r="208">
      <c r="A208" s="3">
        <f>IFERROR(__xludf.DUMMYFUNCTION("""COMPUTED_VALUE"""),1419.0)</f>
        <v>1419</v>
      </c>
      <c r="B208" s="11">
        <f>IFERROR(__xludf.DUMMYFUNCTION("""COMPUTED_VALUE"""),45998.91459246528)</f>
        <v>45998.91459</v>
      </c>
      <c r="C208" s="3" t="str">
        <f>IFERROR(__xludf.DUMMYFUNCTION("""COMPUTED_VALUE"""),"ชั้นปีที่ 1")</f>
        <v>ชั้นปีที่ 1</v>
      </c>
      <c r="D208" s="3" t="str">
        <f>IFERROR(__xludf.DUMMYFUNCTION("""COMPUTED_VALUE"""),"6803942")</f>
        <v>6803942</v>
      </c>
      <c r="E208" s="3" t="str">
        <f>IFERROR(__xludf.DUMMYFUNCTION("""COMPUTED_VALUE"""),"61")</f>
        <v>61</v>
      </c>
      <c r="F208" s="3" t="str">
        <f>IFERROR(__xludf.DUMMYFUNCTION("""COMPUTED_VALUE"""),"นพอ.อชิรญา อ่อนเปรี้ยว")</f>
        <v>นพอ.อชิรญา อ่อนเปรี้ยว</v>
      </c>
      <c r="G208" s="3" t="str">
        <f>IFERROR(__xludf.DUMMYFUNCTION("""COMPUTED_VALUE"""),"ทำนุบำรุงศาสนสถาน")</f>
        <v>ทำนุบำรุงศาสนสถาน</v>
      </c>
      <c r="H208" s="3" t="str">
        <f>IFERROR(__xludf.DUMMYFUNCTION("""COMPUTED_VALUE"""),"นพอ.อชิรญา อ่อนเปรี้ยว")</f>
        <v>นพอ.อชิรญา อ่อนเปรี้ยว</v>
      </c>
      <c r="I208" s="3" t="str">
        <f>IFERROR(__xludf.DUMMYFUNCTION("""COMPUTED_VALUE"""),"ศาลเจ้าพ่อเสือ โรงเรียนการบิน")</f>
        <v>ศาลเจ้าพ่อเสือ โรงเรียนการบิน</v>
      </c>
      <c r="J208" s="12">
        <f>IFERROR(__xludf.DUMMYFUNCTION("""COMPUTED_VALUE"""),45983.0)</f>
        <v>45983</v>
      </c>
      <c r="K208" s="3" t="str">
        <f>IFERROR(__xludf.DUMMYFUNCTION("""COMPUTED_VALUE"""),"0900")</f>
        <v>0900</v>
      </c>
      <c r="L208" s="3">
        <f>IFERROR(__xludf.DUMMYFUNCTION("""COMPUTED_VALUE"""),4.0)</f>
        <v>4</v>
      </c>
      <c r="M208" s="3" t="str">
        <f>IFERROR(__xludf.DUMMYFUNCTION("""COMPUTED_VALUE"""),"พลทหารเวรดูแล ทัดพง ชุ่มวารี")</f>
        <v>พลทหารเวรดูแล ทัดพง ชุ่มวารี</v>
      </c>
      <c r="N208" s="14" t="str">
        <f>IFERROR(__xludf.DUMMYFUNCTION("""COMPUTED_VALUE"""),"https://lh5.googleusercontent.com/d/1pu9M0bMbPu7zHKhaUjqnBKSsLCrDI5w3")</f>
        <v>https://lh5.googleusercontent.com/d/1pu9M0bMbPu7zHKhaUjqnBKSsLCrDI5w3</v>
      </c>
      <c r="O208" s="14" t="str">
        <f>IFERROR(__xludf.DUMMYFUNCTION("""COMPUTED_VALUE"""),"https://drive.google.com/file/d/1FgguMOXTmhSYYh6B2-9XNO6i4GhFDhrj/view?usp=drivesdk")</f>
        <v>https://drive.google.com/file/d/1FgguMOXTmhSYYh6B2-9XNO6i4GhFDhrj/view?usp=drivesdk</v>
      </c>
    </row>
    <row r="209">
      <c r="A209" s="3">
        <f>IFERROR(__xludf.DUMMYFUNCTION("""COMPUTED_VALUE"""),1425.0)</f>
        <v>1425</v>
      </c>
      <c r="B209" s="11">
        <f>IFERROR(__xludf.DUMMYFUNCTION("""COMPUTED_VALUE"""),45998.91903280093)</f>
        <v>45998.91903</v>
      </c>
      <c r="C209" s="3" t="str">
        <f>IFERROR(__xludf.DUMMYFUNCTION("""COMPUTED_VALUE"""),"ชั้นปีที่ 1")</f>
        <v>ชั้นปีที่ 1</v>
      </c>
      <c r="D209" s="3" t="str">
        <f>IFERROR(__xludf.DUMMYFUNCTION("""COMPUTED_VALUE"""),"6803906")</f>
        <v>6803906</v>
      </c>
      <c r="E209" s="3" t="str">
        <f>IFERROR(__xludf.DUMMYFUNCTION("""COMPUTED_VALUE"""),"25")</f>
        <v>25</v>
      </c>
      <c r="F209" s="3" t="str">
        <f>IFERROR(__xludf.DUMMYFUNCTION("""COMPUTED_VALUE"""),"นพอ.ธัญวรัตน์ ยงคะวิสัย")</f>
        <v>นพอ.ธัญวรัตน์ ยงคะวิสัย</v>
      </c>
      <c r="G209" s="3" t="str">
        <f>IFERROR(__xludf.DUMMYFUNCTION("""COMPUTED_VALUE"""),"ช่วยเหลืองานภายใน วพอ.")</f>
        <v>ช่วยเหลืองานภายใน วพอ.</v>
      </c>
      <c r="H209" s="3" t="str">
        <f>IFERROR(__xludf.DUMMYFUNCTION("""COMPUTED_VALUE"""),"เล่นดุริยางค์")</f>
        <v>เล่นดุริยางค์</v>
      </c>
      <c r="I209" s="3" t="str">
        <f>IFERROR(__xludf.DUMMYFUNCTION("""COMPUTED_VALUE"""),"วพอ.")</f>
        <v>วพอ.</v>
      </c>
      <c r="J209" s="12">
        <f>IFERROR(__xludf.DUMMYFUNCTION("""COMPUTED_VALUE"""),45975.0)</f>
        <v>45975</v>
      </c>
      <c r="K209" s="3" t="str">
        <f>IFERROR(__xludf.DUMMYFUNCTION("""COMPUTED_VALUE"""),"0740")</f>
        <v>0740</v>
      </c>
      <c r="L209" s="3">
        <f>IFERROR(__xludf.DUMMYFUNCTION("""COMPUTED_VALUE"""),1.0)</f>
        <v>1</v>
      </c>
      <c r="M209" s="3" t="str">
        <f>IFERROR(__xludf.DUMMYFUNCTION("""COMPUTED_VALUE"""),"ร.อ.อนุชิต ทำจะดี")</f>
        <v>ร.อ.อนุชิต ทำจะดี</v>
      </c>
      <c r="N209" s="14" t="str">
        <f>IFERROR(__xludf.DUMMYFUNCTION("""COMPUTED_VALUE"""),"https://lh5.googleusercontent.com/d/143-LkhTS_DllgTiJI2a5BZT3gGAs9JRY")</f>
        <v>https://lh5.googleusercontent.com/d/143-LkhTS_DllgTiJI2a5BZT3gGAs9JRY</v>
      </c>
      <c r="O209" s="14" t="str">
        <f>IFERROR(__xludf.DUMMYFUNCTION("""COMPUTED_VALUE"""),"https://drive.google.com/file/d/1V66PJYb7OtC0VjPreHLEQgEQ6RtN4JXO/view?usp=drivesdk")</f>
        <v>https://drive.google.com/file/d/1V66PJYb7OtC0VjPreHLEQgEQ6RtN4JXO/view?usp=drivesdk</v>
      </c>
    </row>
    <row r="210">
      <c r="A210" s="3">
        <f>IFERROR(__xludf.DUMMYFUNCTION("""COMPUTED_VALUE"""),1427.0)</f>
        <v>1427</v>
      </c>
      <c r="B210" s="11">
        <f>IFERROR(__xludf.DUMMYFUNCTION("""COMPUTED_VALUE"""),45998.92075601852)</f>
        <v>45998.92076</v>
      </c>
      <c r="C210" s="3" t="str">
        <f>IFERROR(__xludf.DUMMYFUNCTION("""COMPUTED_VALUE"""),"ชั้นปีที่ 1")</f>
        <v>ชั้นปีที่ 1</v>
      </c>
      <c r="D210" s="3" t="str">
        <f>IFERROR(__xludf.DUMMYFUNCTION("""COMPUTED_VALUE"""),"6803906")</f>
        <v>6803906</v>
      </c>
      <c r="E210" s="3" t="str">
        <f>IFERROR(__xludf.DUMMYFUNCTION("""COMPUTED_VALUE"""),"25")</f>
        <v>25</v>
      </c>
      <c r="F210" s="3" t="str">
        <f>IFERROR(__xludf.DUMMYFUNCTION("""COMPUTED_VALUE"""),"นพอ.ธัญวรัตน์ ยงคะวิสัย")</f>
        <v>นพอ.ธัญวรัตน์ ยงคะวิสัย</v>
      </c>
      <c r="G210" s="3" t="str">
        <f>IFERROR(__xludf.DUMMYFUNCTION("""COMPUTED_VALUE"""),"ช่วยเหลืองานภายใน วพอ.")</f>
        <v>ช่วยเหลืองานภายใน วพอ.</v>
      </c>
      <c r="H210" s="3" t="str">
        <f>IFERROR(__xludf.DUMMYFUNCTION("""COMPUTED_VALUE"""),"เล่นดุริยางค์")</f>
        <v>เล่นดุริยางค์</v>
      </c>
      <c r="I210" s="3" t="str">
        <f>IFERROR(__xludf.DUMMYFUNCTION("""COMPUTED_VALUE"""),"วพอ.")</f>
        <v>วพอ.</v>
      </c>
      <c r="J210" s="12">
        <f>IFERROR(__xludf.DUMMYFUNCTION("""COMPUTED_VALUE"""),45966.0)</f>
        <v>45966</v>
      </c>
      <c r="K210" s="3" t="str">
        <f>IFERROR(__xludf.DUMMYFUNCTION("""COMPUTED_VALUE"""),"0734")</f>
        <v>0734</v>
      </c>
      <c r="L210" s="3">
        <f>IFERROR(__xludf.DUMMYFUNCTION("""COMPUTED_VALUE"""),1.0)</f>
        <v>1</v>
      </c>
      <c r="M210" s="3" t="str">
        <f>IFERROR(__xludf.DUMMYFUNCTION("""COMPUTED_VALUE"""),"ร.อ.อนุชิต ทำจะดี")</f>
        <v>ร.อ.อนุชิต ทำจะดี</v>
      </c>
      <c r="N210" s="14" t="str">
        <f>IFERROR(__xludf.DUMMYFUNCTION("""COMPUTED_VALUE"""),"https://lh5.googleusercontent.com/d/167vDN-i1azHlyrf662zeuCtKMi0uhxem")</f>
        <v>https://lh5.googleusercontent.com/d/167vDN-i1azHlyrf662zeuCtKMi0uhxem</v>
      </c>
      <c r="O210" s="14" t="str">
        <f>IFERROR(__xludf.DUMMYFUNCTION("""COMPUTED_VALUE"""),"https://drive.google.com/file/d/1eB_vWDwr1Zf7fEMXjR64-nh65eP4868W/view?usp=drivesdk")</f>
        <v>https://drive.google.com/file/d/1eB_vWDwr1Zf7fEMXjR64-nh65eP4868W/view?usp=drivesdk</v>
      </c>
    </row>
    <row r="211">
      <c r="A211" s="3">
        <f>IFERROR(__xludf.DUMMYFUNCTION("""COMPUTED_VALUE"""),1440.0)</f>
        <v>1440</v>
      </c>
      <c r="B211" s="11">
        <f>IFERROR(__xludf.DUMMYFUNCTION("""COMPUTED_VALUE"""),45998.92918115741)</f>
        <v>45998.92918</v>
      </c>
      <c r="C211" s="3" t="str">
        <f>IFERROR(__xludf.DUMMYFUNCTION("""COMPUTED_VALUE"""),"ชั้นปีที่ 1")</f>
        <v>ชั้นปีที่ 1</v>
      </c>
      <c r="D211" s="3" t="str">
        <f>IFERROR(__xludf.DUMMYFUNCTION("""COMPUTED_VALUE"""),"6803933")</f>
        <v>6803933</v>
      </c>
      <c r="E211" s="3" t="str">
        <f>IFERROR(__xludf.DUMMYFUNCTION("""COMPUTED_VALUE"""),"52")</f>
        <v>52</v>
      </c>
      <c r="F211" s="3" t="str">
        <f>IFERROR(__xludf.DUMMYFUNCTION("""COMPUTED_VALUE"""),"นพอ.รศิตา ปลื้มจิตร์")</f>
        <v>นพอ.รศิตา ปลื้มจิตร์</v>
      </c>
      <c r="G2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1" s="3" t="str">
        <f>IFERROR(__xludf.DUMMYFUNCTION("""COMPUTED_VALUE"""),"ฟังการสัมมนาสื่อสร้างสรรค์ เสริมพลังการสื่อสาร พัฒนาสังคม ฟังการสัมมนาสื่อสร้างสรรค์ เสริมพลังการสื่อสาร พัฒนาสังคม ")</f>
        <v>ฟังการสัมมนาสื่อสร้างสรรค์ เสริมพลังการสื่อสาร พัฒนาสังคม ฟังการสัมมนาสื่อสร้างสรรค์ เสริมพลังการสื่อสาร พัฒนาสังคม </v>
      </c>
      <c r="I211" s="3" t="str">
        <f>IFERROR(__xludf.DUMMYFUNCTION("""COMPUTED_VALUE"""),"สำนักงานเอสซีจี")</f>
        <v>สำนักงานเอสซีจี</v>
      </c>
      <c r="J211" s="12">
        <f>IFERROR(__xludf.DUMMYFUNCTION("""COMPUTED_VALUE"""),45955.0)</f>
        <v>45955</v>
      </c>
      <c r="K211" s="3" t="str">
        <f>IFERROR(__xludf.DUMMYFUNCTION("""COMPUTED_VALUE"""),"0730-1230")</f>
        <v>0730-1230</v>
      </c>
      <c r="L211" s="3">
        <f>IFERROR(__xludf.DUMMYFUNCTION("""COMPUTED_VALUE"""),5.0)</f>
        <v>5</v>
      </c>
      <c r="M211" s="3" t="str">
        <f>IFERROR(__xludf.DUMMYFUNCTION("""COMPUTED_VALUE"""),"น.ท.หญิง ฤทัยวรรณ นวมพันธ์")</f>
        <v>น.ท.หญิง ฤทัยวรรณ นวมพันธ์</v>
      </c>
      <c r="N211" s="14" t="str">
        <f>IFERROR(__xludf.DUMMYFUNCTION("""COMPUTED_VALUE"""),"https://lh5.googleusercontent.com/d/1zN9JE-nlVIfho3Psixj_zsnn3mqyiKQR")</f>
        <v>https://lh5.googleusercontent.com/d/1zN9JE-nlVIfho3Psixj_zsnn3mqyiKQR</v>
      </c>
      <c r="O211" s="14" t="str">
        <f>IFERROR(__xludf.DUMMYFUNCTION("""COMPUTED_VALUE"""),"https://drive.google.com/file/d/1RYqq3QfCh0D9Jaq2wHyWks1_tz0PBy02/view?usp=drivesdk")</f>
        <v>https://drive.google.com/file/d/1RYqq3QfCh0D9Jaq2wHyWks1_tz0PBy02/view?usp=drivesdk</v>
      </c>
    </row>
    <row r="212">
      <c r="A212" s="3">
        <f>IFERROR(__xludf.DUMMYFUNCTION("""COMPUTED_VALUE"""),1444.0)</f>
        <v>1444</v>
      </c>
      <c r="B212" s="11">
        <f>IFERROR(__xludf.DUMMYFUNCTION("""COMPUTED_VALUE"""),45998.93013435185)</f>
        <v>45998.93013</v>
      </c>
      <c r="C212" s="3" t="str">
        <f>IFERROR(__xludf.DUMMYFUNCTION("""COMPUTED_VALUE"""),"ชั้นปีที่ 1")</f>
        <v>ชั้นปีที่ 1</v>
      </c>
      <c r="D212" s="3" t="str">
        <f>IFERROR(__xludf.DUMMYFUNCTION("""COMPUTED_VALUE"""),"6803924")</f>
        <v>6803924</v>
      </c>
      <c r="E212" s="3" t="str">
        <f>IFERROR(__xludf.DUMMYFUNCTION("""COMPUTED_VALUE"""),"43")</f>
        <v>43</v>
      </c>
      <c r="F212" s="3" t="str">
        <f>IFERROR(__xludf.DUMMYFUNCTION("""COMPUTED_VALUE"""),"นพอ.พีรชา แสงไทย")</f>
        <v>นพอ.พีรชา แสงไทย</v>
      </c>
      <c r="G2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2" s="3" t="str">
        <f>IFERROR(__xludf.DUMMYFUNCTION("""COMPUTED_VALUE"""),"อบรมไซเบอร์")</f>
        <v>อบรมไซเบอร์</v>
      </c>
      <c r="I212" s="3" t="str">
        <f>IFERROR(__xludf.DUMMYFUNCTION("""COMPUTED_VALUE"""),"กองบัญชาการกองทัพไทย")</f>
        <v>กองบัญชาการกองทัพไทย</v>
      </c>
      <c r="J212" s="12">
        <f>IFERROR(__xludf.DUMMYFUNCTION("""COMPUTED_VALUE"""),45907.0)</f>
        <v>45907</v>
      </c>
      <c r="K212" s="3" t="str">
        <f>IFERROR(__xludf.DUMMYFUNCTION("""COMPUTED_VALUE"""),"0700-1630")</f>
        <v>0700-1630</v>
      </c>
      <c r="L212" s="3">
        <f>IFERROR(__xludf.DUMMYFUNCTION("""COMPUTED_VALUE"""),8.0)</f>
        <v>8</v>
      </c>
      <c r="M212" s="3" t="str">
        <f>IFERROR(__xludf.DUMMYFUNCTION("""COMPUTED_VALUE"""),"ร.อ.อนุชิต ทำจะดี")</f>
        <v>ร.อ.อนุชิต ทำจะดี</v>
      </c>
      <c r="N212" s="14" t="str">
        <f>IFERROR(__xludf.DUMMYFUNCTION("""COMPUTED_VALUE"""),"https://lh5.googleusercontent.com/d/1shMt8uCJHV8e1GZkRtBCkgz09zPX9T_T")</f>
        <v>https://lh5.googleusercontent.com/d/1shMt8uCJHV8e1GZkRtBCkgz09zPX9T_T</v>
      </c>
      <c r="O212" s="14" t="str">
        <f>IFERROR(__xludf.DUMMYFUNCTION("""COMPUTED_VALUE"""),"https://drive.google.com/file/d/1_OOLVFBNC5yax6EQwpkxud1UXB8O6oLe/view?usp=drivesdk")</f>
        <v>https://drive.google.com/file/d/1_OOLVFBNC5yax6EQwpkxud1UXB8O6oLe/view?usp=drivesdk</v>
      </c>
    </row>
    <row r="213">
      <c r="A213" s="3">
        <f>IFERROR(__xludf.DUMMYFUNCTION("""COMPUTED_VALUE"""),1445.0)</f>
        <v>1445</v>
      </c>
      <c r="B213" s="11">
        <f>IFERROR(__xludf.DUMMYFUNCTION("""COMPUTED_VALUE"""),45998.931138518514)</f>
        <v>45998.93114</v>
      </c>
      <c r="C213" s="3" t="str">
        <f>IFERROR(__xludf.DUMMYFUNCTION("""COMPUTED_VALUE"""),"ชั้นปีที่ 1")</f>
        <v>ชั้นปีที่ 1</v>
      </c>
      <c r="D213" s="3" t="str">
        <f>IFERROR(__xludf.DUMMYFUNCTION("""COMPUTED_VALUE"""),"6803942")</f>
        <v>6803942</v>
      </c>
      <c r="E213" s="3" t="str">
        <f>IFERROR(__xludf.DUMMYFUNCTION("""COMPUTED_VALUE"""),"61")</f>
        <v>61</v>
      </c>
      <c r="F213" s="3" t="str">
        <f>IFERROR(__xludf.DUMMYFUNCTION("""COMPUTED_VALUE"""),"นพอ.อชิรญา อ่อนเปรี้ยว")</f>
        <v>นพอ.อชิรญา อ่อนเปรี้ยว</v>
      </c>
      <c r="G213" s="3" t="str">
        <f>IFERROR(__xludf.DUMMYFUNCTION("""COMPUTED_VALUE"""),"ทำนุบำรุงศาสนสถาน")</f>
        <v>ทำนุบำรุงศาสนสถาน</v>
      </c>
      <c r="H213" s="3" t="str">
        <f>IFERROR(__xludf.DUMMYFUNCTION("""COMPUTED_VALUE"""),"กวาดอุโบสถและบริเวณโดยรอบ")</f>
        <v>กวาดอุโบสถและบริเวณโดยรอบ</v>
      </c>
      <c r="I213" s="3" t="str">
        <f>IFERROR(__xludf.DUMMYFUNCTION("""COMPUTED_VALUE"""),"วัดทุ่งคอก(สุวรรณสาธุกิจ)")</f>
        <v>วัดทุ่งคอก(สุวรรณสาธุกิจ)</v>
      </c>
      <c r="J213" s="12">
        <f>IFERROR(__xludf.DUMMYFUNCTION("""COMPUTED_VALUE"""),45941.0)</f>
        <v>45941</v>
      </c>
      <c r="K213" s="3" t="str">
        <f>IFERROR(__xludf.DUMMYFUNCTION("""COMPUTED_VALUE"""),"1000")</f>
        <v>1000</v>
      </c>
      <c r="L213" s="3">
        <f>IFERROR(__xludf.DUMMYFUNCTION("""COMPUTED_VALUE"""),4.0)</f>
        <v>4</v>
      </c>
      <c r="M213" s="3" t="str">
        <f>IFERROR(__xludf.DUMMYFUNCTION("""COMPUTED_VALUE"""),"เจ้าอธิการอุดมทีฆายุโก")</f>
        <v>เจ้าอธิการอุดมทีฆายุโก</v>
      </c>
      <c r="N213" s="14" t="str">
        <f>IFERROR(__xludf.DUMMYFUNCTION("""COMPUTED_VALUE"""),"https://lh5.googleusercontent.com/d/1ekgBZ34yy4KgPGTOJIaLfP-WaDEpuwJP")</f>
        <v>https://lh5.googleusercontent.com/d/1ekgBZ34yy4KgPGTOJIaLfP-WaDEpuwJP</v>
      </c>
      <c r="O213" s="14" t="str">
        <f>IFERROR(__xludf.DUMMYFUNCTION("""COMPUTED_VALUE"""),"https://drive.google.com/file/d/1xBqtnR04mbIZ8gKh53hf7-DILBmN0HIc/view?usp=drivesdk")</f>
        <v>https://drive.google.com/file/d/1xBqtnR04mbIZ8gKh53hf7-DILBmN0HIc/view?usp=drivesdk</v>
      </c>
    </row>
    <row r="214">
      <c r="A214" s="3">
        <f>IFERROR(__xludf.DUMMYFUNCTION("""COMPUTED_VALUE"""),1448.0)</f>
        <v>1448</v>
      </c>
      <c r="B214" s="11">
        <f>IFERROR(__xludf.DUMMYFUNCTION("""COMPUTED_VALUE"""),45998.93340717593)</f>
        <v>45998.93341</v>
      </c>
      <c r="C214" s="3" t="str">
        <f>IFERROR(__xludf.DUMMYFUNCTION("""COMPUTED_VALUE"""),"ชั้นปีที่ 1")</f>
        <v>ชั้นปีที่ 1</v>
      </c>
      <c r="D214" s="3" t="str">
        <f>IFERROR(__xludf.DUMMYFUNCTION("""COMPUTED_VALUE"""),"6803928")</f>
        <v>6803928</v>
      </c>
      <c r="E214" s="3" t="str">
        <f>IFERROR(__xludf.DUMMYFUNCTION("""COMPUTED_VALUE"""),"47")</f>
        <v>47</v>
      </c>
      <c r="F214" s="3" t="str">
        <f>IFERROR(__xludf.DUMMYFUNCTION("""COMPUTED_VALUE"""),"นพอ.มนัญชยา าุขพี้")</f>
        <v>นพอ.มนัญชยา าุขพี้</v>
      </c>
      <c r="G214" s="3" t="str">
        <f>IFERROR(__xludf.DUMMYFUNCTION("""COMPUTED_VALUE"""),"ทำนุบำรุงศาสนสถาน")</f>
        <v>ทำนุบำรุงศาสนสถาน</v>
      </c>
      <c r="H214" s="3" t="str">
        <f>IFERROR(__xludf.DUMMYFUNCTION("""COMPUTED_VALUE"""),"กวาดลานวัด")</f>
        <v>กวาดลานวัด</v>
      </c>
      <c r="I214" s="3" t="str">
        <f>IFERROR(__xludf.DUMMYFUNCTION("""COMPUTED_VALUE"""),"วัดเขาห้วยมะระ")</f>
        <v>วัดเขาห้วยมะระ</v>
      </c>
      <c r="J214" s="12">
        <f>IFERROR(__xludf.DUMMYFUNCTION("""COMPUTED_VALUE"""),45983.0)</f>
        <v>45983</v>
      </c>
      <c r="K214" s="3" t="str">
        <f>IFERROR(__xludf.DUMMYFUNCTION("""COMPUTED_VALUE"""),"1700-1800")</f>
        <v>1700-1800</v>
      </c>
      <c r="L214" s="3">
        <f>IFERROR(__xludf.DUMMYFUNCTION("""COMPUTED_VALUE"""),4.0)</f>
        <v>4</v>
      </c>
      <c r="M214" s="3" t="str">
        <f>IFERROR(__xludf.DUMMYFUNCTION("""COMPUTED_VALUE"""),"พระมหาธงชัย มหาวิริโย")</f>
        <v>พระมหาธงชัย มหาวิริโย</v>
      </c>
      <c r="N214" s="14" t="str">
        <f>IFERROR(__xludf.DUMMYFUNCTION("""COMPUTED_VALUE"""),"https://lh5.googleusercontent.com/d/1G6eb-WptWDUDLVXiZZp6UfmOEviwkyrS")</f>
        <v>https://lh5.googleusercontent.com/d/1G6eb-WptWDUDLVXiZZp6UfmOEviwkyrS</v>
      </c>
      <c r="O214" s="14" t="str">
        <f>IFERROR(__xludf.DUMMYFUNCTION("""COMPUTED_VALUE"""),"https://drive.google.com/file/d/1QPktD7IIT-JaV1FJiQgS5L2cOuGD8FXX/view?usp=drivesdk")</f>
        <v>https://drive.google.com/file/d/1QPktD7IIT-JaV1FJiQgS5L2cOuGD8FXX/view?usp=drivesdk</v>
      </c>
    </row>
    <row r="215">
      <c r="A215" s="3">
        <f>IFERROR(__xludf.DUMMYFUNCTION("""COMPUTED_VALUE"""),1449.0)</f>
        <v>1449</v>
      </c>
      <c r="B215" s="11">
        <f>IFERROR(__xludf.DUMMYFUNCTION("""COMPUTED_VALUE"""),45998.93452997685)</f>
        <v>45998.93453</v>
      </c>
      <c r="C215" s="3" t="str">
        <f>IFERROR(__xludf.DUMMYFUNCTION("""COMPUTED_VALUE"""),"ชั้นปีที่ 1")</f>
        <v>ชั้นปีที่ 1</v>
      </c>
      <c r="D215" s="3" t="str">
        <f>IFERROR(__xludf.DUMMYFUNCTION("""COMPUTED_VALUE"""),"6803933")</f>
        <v>6803933</v>
      </c>
      <c r="E215" s="3" t="str">
        <f>IFERROR(__xludf.DUMMYFUNCTION("""COMPUTED_VALUE"""),"52")</f>
        <v>52</v>
      </c>
      <c r="F215" s="3" t="str">
        <f>IFERROR(__xludf.DUMMYFUNCTION("""COMPUTED_VALUE"""),"นพอ.รศิตา ปลื้มจิตร์")</f>
        <v>นพอ.รศิตา ปลื้มจิตร์</v>
      </c>
      <c r="G21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5" s="3" t="str">
        <f>IFERROR(__xludf.DUMMYFUNCTION("""COMPUTED_VALUE"""),"กอล์ฟปิยมหาราชครั้งที่ 42")</f>
        <v>กอล์ฟปิยมหาราชครั้งที่ 42</v>
      </c>
      <c r="I215" s="3" t="str">
        <f>IFERROR(__xludf.DUMMYFUNCTION("""COMPUTED_VALUE"""),"สนามกอล์ฟธูปะเตมีย์")</f>
        <v>สนามกอล์ฟธูปะเตมีย์</v>
      </c>
      <c r="J215" s="12">
        <f>IFERROR(__xludf.DUMMYFUNCTION("""COMPUTED_VALUE"""),45989.0)</f>
        <v>45989</v>
      </c>
      <c r="K215" s="3" t="str">
        <f>IFERROR(__xludf.DUMMYFUNCTION("""COMPUTED_VALUE"""),"1600-2100")</f>
        <v>1600-2100</v>
      </c>
      <c r="L215" s="3">
        <f>IFERROR(__xludf.DUMMYFUNCTION("""COMPUTED_VALUE"""),5.0)</f>
        <v>5</v>
      </c>
      <c r="M215" s="3" t="str">
        <f>IFERROR(__xludf.DUMMYFUNCTION("""COMPUTED_VALUE"""),"นต.ศักชัย บุญประสิทธิ์")</f>
        <v>นต.ศักชัย บุญประสิทธิ์</v>
      </c>
      <c r="N215" s="14" t="str">
        <f>IFERROR(__xludf.DUMMYFUNCTION("""COMPUTED_VALUE"""),"https://lh5.googleusercontent.com/d/10mHdUa_1Y_XAg02msq2nXBobPdgoC6bI")</f>
        <v>https://lh5.googleusercontent.com/d/10mHdUa_1Y_XAg02msq2nXBobPdgoC6bI</v>
      </c>
      <c r="O215" s="14" t="str">
        <f>IFERROR(__xludf.DUMMYFUNCTION("""COMPUTED_VALUE"""),"https://drive.google.com/file/d/1eFsbZTH1XeS1keFniveoN7OnyiAJ_LIg/view?usp=drivesdk")</f>
        <v>https://drive.google.com/file/d/1eFsbZTH1XeS1keFniveoN7OnyiAJ_LIg/view?usp=drivesdk</v>
      </c>
    </row>
    <row r="216">
      <c r="A216" s="3">
        <f>IFERROR(__xludf.DUMMYFUNCTION("""COMPUTED_VALUE"""),1453.0)</f>
        <v>1453</v>
      </c>
      <c r="B216" s="11">
        <f>IFERROR(__xludf.DUMMYFUNCTION("""COMPUTED_VALUE"""),45998.936008240744)</f>
        <v>45998.93601</v>
      </c>
      <c r="C216" s="3" t="str">
        <f>IFERROR(__xludf.DUMMYFUNCTION("""COMPUTED_VALUE"""),"ชั้นปีที่ 1")</f>
        <v>ชั้นปีที่ 1</v>
      </c>
      <c r="D216" s="3" t="str">
        <f>IFERROR(__xludf.DUMMYFUNCTION("""COMPUTED_VALUE"""),"6803933")</f>
        <v>6803933</v>
      </c>
      <c r="E216" s="3" t="str">
        <f>IFERROR(__xludf.DUMMYFUNCTION("""COMPUTED_VALUE"""),"52")</f>
        <v>52</v>
      </c>
      <c r="F216" s="3" t="str">
        <f>IFERROR(__xludf.DUMMYFUNCTION("""COMPUTED_VALUE"""),"นพอ.รศิตา ปลื้มจิตร์")</f>
        <v>นพอ.รศิตา ปลื้มจิตร์</v>
      </c>
      <c r="G2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16" s="3" t="str">
        <f>IFERROR(__xludf.DUMMYFUNCTION("""COMPUTED_VALUE"""),"กอล์ฟปิยมหาราชครั้งที่ 42")</f>
        <v>กอล์ฟปิยมหาราชครั้งที่ 42</v>
      </c>
      <c r="I216" s="3" t="str">
        <f>IFERROR(__xludf.DUMMYFUNCTION("""COMPUTED_VALUE"""),"สนามกอล์ฟธูปะเตมีย์")</f>
        <v>สนามกอล์ฟธูปะเตมีย์</v>
      </c>
      <c r="J216" s="12">
        <f>IFERROR(__xludf.DUMMYFUNCTION("""COMPUTED_VALUE"""),45989.0)</f>
        <v>45989</v>
      </c>
      <c r="K216" s="3" t="str">
        <f>IFERROR(__xludf.DUMMYFUNCTION("""COMPUTED_VALUE"""),"1600-2100")</f>
        <v>1600-2100</v>
      </c>
      <c r="L216" s="3">
        <f>IFERROR(__xludf.DUMMYFUNCTION("""COMPUTED_VALUE"""),5.0)</f>
        <v>5</v>
      </c>
      <c r="M216" s="3" t="str">
        <f>IFERROR(__xludf.DUMMYFUNCTION("""COMPUTED_VALUE"""),"นต.ศักชัย บุญประสิทธิ์")</f>
        <v>นต.ศักชัย บุญประสิทธิ์</v>
      </c>
      <c r="N216" s="14" t="str">
        <f>IFERROR(__xludf.DUMMYFUNCTION("""COMPUTED_VALUE"""),"https://lh5.googleusercontent.com/d/1n6UF7HA55tP2_LjGoMMzc_x9Cwsk6YEd")</f>
        <v>https://lh5.googleusercontent.com/d/1n6UF7HA55tP2_LjGoMMzc_x9Cwsk6YEd</v>
      </c>
      <c r="O216" s="14" t="str">
        <f>IFERROR(__xludf.DUMMYFUNCTION("""COMPUTED_VALUE"""),"https://drive.google.com/file/d/1Ttz8CP0m9nJnqsVe68cw0mvB5SglSH8s/view?usp=drivesdk")</f>
        <v>https://drive.google.com/file/d/1Ttz8CP0m9nJnqsVe68cw0mvB5SglSH8s/view?usp=drivesdk</v>
      </c>
    </row>
    <row r="217">
      <c r="A217" s="3">
        <f>IFERROR(__xludf.DUMMYFUNCTION("""COMPUTED_VALUE"""),1455.0)</f>
        <v>1455</v>
      </c>
      <c r="B217" s="11">
        <f>IFERROR(__xludf.DUMMYFUNCTION("""COMPUTED_VALUE"""),45998.938215648144)</f>
        <v>45998.93822</v>
      </c>
      <c r="C217" s="3" t="str">
        <f>IFERROR(__xludf.DUMMYFUNCTION("""COMPUTED_VALUE"""),"ชั้นปีที่ 1")</f>
        <v>ชั้นปีที่ 1</v>
      </c>
      <c r="D217" s="3" t="str">
        <f>IFERROR(__xludf.DUMMYFUNCTION("""COMPUTED_VALUE"""),"6803906")</f>
        <v>6803906</v>
      </c>
      <c r="E217" s="3" t="str">
        <f>IFERROR(__xludf.DUMMYFUNCTION("""COMPUTED_VALUE"""),"25")</f>
        <v>25</v>
      </c>
      <c r="F217" s="3" t="str">
        <f>IFERROR(__xludf.DUMMYFUNCTION("""COMPUTED_VALUE"""),"นพอ.ธัญวรัตน์ ยงคะวิสัย")</f>
        <v>นพอ.ธัญวรัตน์ ยงคะวิสัย</v>
      </c>
      <c r="G217" s="3" t="str">
        <f>IFERROR(__xludf.DUMMYFUNCTION("""COMPUTED_VALUE"""),"ช่วยเหลืองานภายใน วพอ.")</f>
        <v>ช่วยเหลืองานภายใน วพอ.</v>
      </c>
      <c r="H217" s="3" t="str">
        <f>IFERROR(__xludf.DUMMYFUNCTION("""COMPUTED_VALUE"""),"Big cleaning ")</f>
        <v>Big cleaning </v>
      </c>
      <c r="I217" s="3" t="str">
        <f>IFERROR(__xludf.DUMMYFUNCTION("""COMPUTED_VALUE"""),"วพอ.")</f>
        <v>วพอ.</v>
      </c>
      <c r="J217" s="12">
        <f>IFERROR(__xludf.DUMMYFUNCTION("""COMPUTED_VALUE"""),45875.0)</f>
        <v>45875</v>
      </c>
      <c r="K217" s="3" t="str">
        <f>IFERROR(__xludf.DUMMYFUNCTION("""COMPUTED_VALUE"""),"0900")</f>
        <v>0900</v>
      </c>
      <c r="L217" s="3">
        <f>IFERROR(__xludf.DUMMYFUNCTION("""COMPUTED_VALUE"""),8.0)</f>
        <v>8</v>
      </c>
      <c r="M217" s="3" t="str">
        <f>IFERROR(__xludf.DUMMYFUNCTION("""COMPUTED_VALUE"""),"น.ต.ศักดิ์ชัย บุญประสิทธิ์")</f>
        <v>น.ต.ศักดิ์ชัย บุญประสิทธิ์</v>
      </c>
      <c r="N217" s="14" t="str">
        <f>IFERROR(__xludf.DUMMYFUNCTION("""COMPUTED_VALUE"""),"https://lh5.googleusercontent.com/d/1bl4PHdzu91fXwS_mH4vojH_ulZ56uljJ")</f>
        <v>https://lh5.googleusercontent.com/d/1bl4PHdzu91fXwS_mH4vojH_ulZ56uljJ</v>
      </c>
      <c r="O217" s="14" t="str">
        <f>IFERROR(__xludf.DUMMYFUNCTION("""COMPUTED_VALUE"""),"https://drive.google.com/file/d/1JY-49Hgsl0yNWLFdXUzHkpFCXcOY8Zqu/view?usp=drivesdk")</f>
        <v>https://drive.google.com/file/d/1JY-49Hgsl0yNWLFdXUzHkpFCXcOY8Zqu/view?usp=drivesdk</v>
      </c>
    </row>
    <row r="218">
      <c r="A218" s="3">
        <f>IFERROR(__xludf.DUMMYFUNCTION("""COMPUTED_VALUE"""),1458.0)</f>
        <v>1458</v>
      </c>
      <c r="B218" s="11">
        <f>IFERROR(__xludf.DUMMYFUNCTION("""COMPUTED_VALUE"""),45998.94183269676)</f>
        <v>45998.94183</v>
      </c>
      <c r="C218" s="3" t="str">
        <f>IFERROR(__xludf.DUMMYFUNCTION("""COMPUTED_VALUE"""),"ชั้นปีที่ 1")</f>
        <v>ชั้นปีที่ 1</v>
      </c>
      <c r="D218" s="3" t="str">
        <f>IFERROR(__xludf.DUMMYFUNCTION("""COMPUTED_VALUE"""),"6803942")</f>
        <v>6803942</v>
      </c>
      <c r="E218" s="3" t="str">
        <f>IFERROR(__xludf.DUMMYFUNCTION("""COMPUTED_VALUE"""),"61")</f>
        <v>61</v>
      </c>
      <c r="F218" s="3" t="str">
        <f>IFERROR(__xludf.DUMMYFUNCTION("""COMPUTED_VALUE"""),"นพอ.อชิรญา อ่อนเปรี้ยว")</f>
        <v>นพอ.อชิรญา อ่อนเปรี้ยว</v>
      </c>
      <c r="G218" s="3" t="str">
        <f>IFERROR(__xludf.DUMMYFUNCTION("""COMPUTED_VALUE"""),"งานฟรีทั่วไป")</f>
        <v>งานฟรีทั่วไป</v>
      </c>
      <c r="H218" s="3" t="str">
        <f>IFERROR(__xludf.DUMMYFUNCTION("""COMPUTED_VALUE"""),"กวาดลานหน้าบ้าน")</f>
        <v>กวาดลานหน้าบ้าน</v>
      </c>
      <c r="I218" s="3" t="str">
        <f>IFERROR(__xludf.DUMMYFUNCTION("""COMPUTED_VALUE"""),"57/2 ซ.วัดเวฬุวนาราม36 แขวงดอนเมือง เขตดอนเมือง กรุงเทพฯ")</f>
        <v>57/2 ซ.วัดเวฬุวนาราม36 แขวงดอนเมือง เขตดอนเมือง กรุงเทพฯ</v>
      </c>
      <c r="J218" s="12">
        <f>IFERROR(__xludf.DUMMYFUNCTION("""COMPUTED_VALUE"""),45997.0)</f>
        <v>45997</v>
      </c>
      <c r="K218" s="3" t="str">
        <f>IFERROR(__xludf.DUMMYFUNCTION("""COMPUTED_VALUE"""),"1600")</f>
        <v>1600</v>
      </c>
      <c r="L218" s="3">
        <f>IFERROR(__xludf.DUMMYFUNCTION("""COMPUTED_VALUE"""),4.0)</f>
        <v>4</v>
      </c>
      <c r="M218" s="3" t="str">
        <f>IFERROR(__xludf.DUMMYFUNCTION("""COMPUTED_VALUE"""),"พ.อ.อ.วิชา อ่อนเปรี้ยว")</f>
        <v>พ.อ.อ.วิชา อ่อนเปรี้ยว</v>
      </c>
      <c r="N218" s="14" t="str">
        <f>IFERROR(__xludf.DUMMYFUNCTION("""COMPUTED_VALUE"""),"https://lh5.googleusercontent.com/d/128b6wnZwMakcRIuuKCuWsS1DwHBNO0K4")</f>
        <v>https://lh5.googleusercontent.com/d/128b6wnZwMakcRIuuKCuWsS1DwHBNO0K4</v>
      </c>
      <c r="O218" s="14" t="str">
        <f>IFERROR(__xludf.DUMMYFUNCTION("""COMPUTED_VALUE"""),"https://drive.google.com/file/d/1R4Zg09bdZHl9LQBa9QdDDeSR68UnUv7M/view?usp=drivesdk")</f>
        <v>https://drive.google.com/file/d/1R4Zg09bdZHl9LQBa9QdDDeSR68UnUv7M/view?usp=drivesdk</v>
      </c>
    </row>
    <row r="219">
      <c r="A219" s="3">
        <f>IFERROR(__xludf.DUMMYFUNCTION("""COMPUTED_VALUE"""),1459.0)</f>
        <v>1459</v>
      </c>
      <c r="B219" s="11">
        <f>IFERROR(__xludf.DUMMYFUNCTION("""COMPUTED_VALUE"""),45998.944543125)</f>
        <v>45998.94454</v>
      </c>
      <c r="C219" s="3" t="str">
        <f>IFERROR(__xludf.DUMMYFUNCTION("""COMPUTED_VALUE"""),"ชั้นปีที่ 1")</f>
        <v>ชั้นปีที่ 1</v>
      </c>
      <c r="D219" s="3" t="str">
        <f>IFERROR(__xludf.DUMMYFUNCTION("""COMPUTED_VALUE"""),"6803906")</f>
        <v>6803906</v>
      </c>
      <c r="E219" s="3" t="str">
        <f>IFERROR(__xludf.DUMMYFUNCTION("""COMPUTED_VALUE"""),"25")</f>
        <v>25</v>
      </c>
      <c r="F219" s="3" t="str">
        <f>IFERROR(__xludf.DUMMYFUNCTION("""COMPUTED_VALUE"""),"นพอ.ธัญวรัตน์ ยงคะวิสัย")</f>
        <v>นพอ.ธัญวรัตน์ ยงคะวิสัย</v>
      </c>
      <c r="G219" s="3" t="str">
        <f>IFERROR(__xludf.DUMMYFUNCTION("""COMPUTED_VALUE"""),"งานฟรีทั่วไป")</f>
        <v>งานฟรีทั่วไป</v>
      </c>
      <c r="H219" s="3" t="str">
        <f>IFERROR(__xludf.DUMMYFUNCTION("""COMPUTED_VALUE"""),"ทำงานบ้าน รดน้ำต้นไม้")</f>
        <v>ทำงานบ้าน รดน้ำต้นไม้</v>
      </c>
      <c r="I219" s="3" t="str">
        <f>IFERROR(__xludf.DUMMYFUNCTION("""COMPUTED_VALUE"""),"บ้าน")</f>
        <v>บ้าน</v>
      </c>
      <c r="J219" s="12">
        <f>IFERROR(__xludf.DUMMYFUNCTION("""COMPUTED_VALUE"""),45997.0)</f>
        <v>45997</v>
      </c>
      <c r="K219" s="3" t="str">
        <f>IFERROR(__xludf.DUMMYFUNCTION("""COMPUTED_VALUE"""),"1000")</f>
        <v>1000</v>
      </c>
      <c r="L219" s="3">
        <f>IFERROR(__xludf.DUMMYFUNCTION("""COMPUTED_VALUE"""),4.0)</f>
        <v>4</v>
      </c>
      <c r="M219" s="3" t="str">
        <f>IFERROR(__xludf.DUMMYFUNCTION("""COMPUTED_VALUE"""),"ธนพล ยงคะวิสัย")</f>
        <v>ธนพล ยงคะวิสัย</v>
      </c>
      <c r="N219" s="14" t="str">
        <f>IFERROR(__xludf.DUMMYFUNCTION("""COMPUTED_VALUE"""),"https://lh5.googleusercontent.com/d/1sjD8jpykkg_sdfcjbLp_PFOo9N34Ek1i")</f>
        <v>https://lh5.googleusercontent.com/d/1sjD8jpykkg_sdfcjbLp_PFOo9N34Ek1i</v>
      </c>
      <c r="O219" s="14" t="str">
        <f>IFERROR(__xludf.DUMMYFUNCTION("""COMPUTED_VALUE"""),"https://drive.google.com/file/d/1jRAgUIchQtFP3Xzl7Lz2UCh4d66M6U6t/view?usp=drivesdk")</f>
        <v>https://drive.google.com/file/d/1jRAgUIchQtFP3Xzl7Lz2UCh4d66M6U6t/view?usp=drivesdk</v>
      </c>
    </row>
    <row r="220">
      <c r="A220" s="3">
        <f>IFERROR(__xludf.DUMMYFUNCTION("""COMPUTED_VALUE"""),1460.0)</f>
        <v>1460</v>
      </c>
      <c r="B220" s="11">
        <f>IFERROR(__xludf.DUMMYFUNCTION("""COMPUTED_VALUE"""),45998.94516138889)</f>
        <v>45998.94516</v>
      </c>
      <c r="C220" s="3" t="str">
        <f>IFERROR(__xludf.DUMMYFUNCTION("""COMPUTED_VALUE"""),"ชั้นปีที่ 1")</f>
        <v>ชั้นปีที่ 1</v>
      </c>
      <c r="D220" s="3" t="str">
        <f>IFERROR(__xludf.DUMMYFUNCTION("""COMPUTED_VALUE"""),"6803910")</f>
        <v>6803910</v>
      </c>
      <c r="E220" s="3" t="str">
        <f>IFERROR(__xludf.DUMMYFUNCTION("""COMPUTED_VALUE"""),"29")</f>
        <v>29</v>
      </c>
      <c r="F220" s="3" t="str">
        <f>IFERROR(__xludf.DUMMYFUNCTION("""COMPUTED_VALUE"""),"นวพร โอรัตนสถาพร")</f>
        <v>นวพร โอรัตนสถาพร</v>
      </c>
      <c r="G220" s="3" t="str">
        <f>IFERROR(__xludf.DUMMYFUNCTION("""COMPUTED_VALUE"""),"ช่วยเหลืองานภายใน วพอ.")</f>
        <v>ช่วยเหลืองานภายใน วพอ.</v>
      </c>
      <c r="H220" s="3" t="str">
        <f>IFERROR(__xludf.DUMMYFUNCTION("""COMPUTED_VALUE"""),"Big cleaning day")</f>
        <v>Big cleaning day</v>
      </c>
      <c r="I220" s="3" t="str">
        <f>IFERROR(__xludf.DUMMYFUNCTION("""COMPUTED_VALUE"""),"วพอ.")</f>
        <v>วพอ.</v>
      </c>
      <c r="J220" s="12">
        <f>IFERROR(__xludf.DUMMYFUNCTION("""COMPUTED_VALUE"""),45875.0)</f>
        <v>45875</v>
      </c>
      <c r="K220" s="3" t="str">
        <f>IFERROR(__xludf.DUMMYFUNCTION("""COMPUTED_VALUE"""),"0800-1600")</f>
        <v>0800-1600</v>
      </c>
      <c r="L220" s="3">
        <f>IFERROR(__xludf.DUMMYFUNCTION("""COMPUTED_VALUE"""),8.0)</f>
        <v>8</v>
      </c>
      <c r="M220" s="3" t="str">
        <f>IFERROR(__xludf.DUMMYFUNCTION("""COMPUTED_VALUE"""),"น.ต.ศักชัย บุญประสิทธิ์")</f>
        <v>น.ต.ศักชัย บุญประสิทธิ์</v>
      </c>
      <c r="N220" s="14" t="str">
        <f>IFERROR(__xludf.DUMMYFUNCTION("""COMPUTED_VALUE"""),"https://lh5.googleusercontent.com/d/1AnI0g6u-5fpM_zL2VF8_7U6SoF5E1bm4")</f>
        <v>https://lh5.googleusercontent.com/d/1AnI0g6u-5fpM_zL2VF8_7U6SoF5E1bm4</v>
      </c>
      <c r="O220" s="14" t="str">
        <f>IFERROR(__xludf.DUMMYFUNCTION("""COMPUTED_VALUE"""),"https://drive.google.com/file/d/1Pv0CAYDmkRFL6VJnpK3IlEdKKFXNUoZj/view?usp=drivesdk")</f>
        <v>https://drive.google.com/file/d/1Pv0CAYDmkRFL6VJnpK3IlEdKKFXNUoZj/view?usp=drivesdk</v>
      </c>
    </row>
    <row r="221">
      <c r="A221" s="3">
        <f>IFERROR(__xludf.DUMMYFUNCTION("""COMPUTED_VALUE"""),1461.0)</f>
        <v>1461</v>
      </c>
      <c r="B221" s="11">
        <f>IFERROR(__xludf.DUMMYFUNCTION("""COMPUTED_VALUE"""),45998.9461132639)</f>
        <v>45998.94611</v>
      </c>
      <c r="C221" s="3" t="str">
        <f>IFERROR(__xludf.DUMMYFUNCTION("""COMPUTED_VALUE"""),"ชั้นปีที่ 1")</f>
        <v>ชั้นปีที่ 1</v>
      </c>
      <c r="D221" s="3" t="str">
        <f>IFERROR(__xludf.DUMMYFUNCTION("""COMPUTED_VALUE"""),"6803908")</f>
        <v>6803908</v>
      </c>
      <c r="E221" s="3" t="str">
        <f>IFERROR(__xludf.DUMMYFUNCTION("""COMPUTED_VALUE"""),"27")</f>
        <v>27</v>
      </c>
      <c r="F221" s="3" t="str">
        <f>IFERROR(__xludf.DUMMYFUNCTION("""COMPUTED_VALUE"""),"นพอ.นภัสสร บุญรัตน์")</f>
        <v>นพอ.นภัสสร บุญรัตน์</v>
      </c>
      <c r="G221" s="3" t="str">
        <f>IFERROR(__xludf.DUMMYFUNCTION("""COMPUTED_VALUE"""),"ช่วยเหลืองานภายใน วพอ.")</f>
        <v>ช่วยเหลืองานภายใน วพอ.</v>
      </c>
      <c r="H221" s="3" t="str">
        <f>IFERROR(__xludf.DUMMYFUNCTION("""COMPUTED_VALUE"""),"จัดสถานที่งานเกษียณอาจารย์บังอร")</f>
        <v>จัดสถานที่งานเกษียณอาจารย์บังอร</v>
      </c>
      <c r="I221" s="3" t="str">
        <f>IFERROR(__xludf.DUMMYFUNCTION("""COMPUTED_VALUE"""),"วพอ.")</f>
        <v>วพอ.</v>
      </c>
      <c r="J221" s="12">
        <f>IFERROR(__xludf.DUMMYFUNCTION("""COMPUTED_VALUE"""),45928.0)</f>
        <v>45928</v>
      </c>
      <c r="K221" s="3" t="str">
        <f>IFERROR(__xludf.DUMMYFUNCTION("""COMPUTED_VALUE"""),"1030-1330")</f>
        <v>1030-1330</v>
      </c>
      <c r="L221" s="3">
        <f>IFERROR(__xludf.DUMMYFUNCTION("""COMPUTED_VALUE"""),3.0)</f>
        <v>3</v>
      </c>
      <c r="M221" s="3" t="str">
        <f>IFERROR(__xludf.DUMMYFUNCTION("""COMPUTED_VALUE"""),"ร.อ.อนุชิต ทำจะดี")</f>
        <v>ร.อ.อนุชิต ทำจะดี</v>
      </c>
      <c r="N221" s="14" t="str">
        <f>IFERROR(__xludf.DUMMYFUNCTION("""COMPUTED_VALUE"""),"https://lh5.googleusercontent.com/d/16rTYCooOPZB72-Ocm4u4Wpx-psRWMH2A")</f>
        <v>https://lh5.googleusercontent.com/d/16rTYCooOPZB72-Ocm4u4Wpx-psRWMH2A</v>
      </c>
      <c r="O221" s="14" t="str">
        <f>IFERROR(__xludf.DUMMYFUNCTION("""COMPUTED_VALUE"""),"https://drive.google.com/file/d/1MrKgs5ilKp6Fbii7FF21gXdWaJ2v_8ao/view?usp=drivesdk")</f>
        <v>https://drive.google.com/file/d/1MrKgs5ilKp6Fbii7FF21gXdWaJ2v_8ao/view?usp=drivesdk</v>
      </c>
    </row>
    <row r="222">
      <c r="A222" s="3">
        <f>IFERROR(__xludf.DUMMYFUNCTION("""COMPUTED_VALUE"""),1463.0)</f>
        <v>1463</v>
      </c>
      <c r="B222" s="11">
        <f>IFERROR(__xludf.DUMMYFUNCTION("""COMPUTED_VALUE"""),45998.947459571755)</f>
        <v>45998.94746</v>
      </c>
      <c r="C222" s="3" t="str">
        <f>IFERROR(__xludf.DUMMYFUNCTION("""COMPUTED_VALUE"""),"ชั้นปีที่ 1")</f>
        <v>ชั้นปีที่ 1</v>
      </c>
      <c r="D222" s="3" t="str">
        <f>IFERROR(__xludf.DUMMYFUNCTION("""COMPUTED_VALUE"""),"6803909")</f>
        <v>6803909</v>
      </c>
      <c r="E222" s="3" t="str">
        <f>IFERROR(__xludf.DUMMYFUNCTION("""COMPUTED_VALUE"""),"28")</f>
        <v>28</v>
      </c>
      <c r="F222" s="3" t="str">
        <f>IFERROR(__xludf.DUMMYFUNCTION("""COMPUTED_VALUE"""),"นวพร แซ่ห้าว")</f>
        <v>นวพร แซ่ห้าว</v>
      </c>
      <c r="G222" s="3" t="str">
        <f>IFERROR(__xludf.DUMMYFUNCTION("""COMPUTED_VALUE"""),"ช่วยเหลืองานภายใน วพอ.")</f>
        <v>ช่วยเหลืองานภายใน วพอ.</v>
      </c>
      <c r="H222" s="3" t="str">
        <f>IFERROR(__xludf.DUMMYFUNCTION("""COMPUTED_VALUE"""),"อบรมคุณแม่ตั้งครรภ์")</f>
        <v>อบรมคุณแม่ตั้งครรภ์</v>
      </c>
      <c r="I222" s="3" t="str">
        <f>IFERROR(__xludf.DUMMYFUNCTION("""COMPUTED_VALUE"""),"ห้องเรียนนทน.")</f>
        <v>ห้องเรียนนทน.</v>
      </c>
      <c r="J222" s="12">
        <f>IFERROR(__xludf.DUMMYFUNCTION("""COMPUTED_VALUE"""),45920.0)</f>
        <v>45920</v>
      </c>
      <c r="K222" s="3" t="str">
        <f>IFERROR(__xludf.DUMMYFUNCTION("""COMPUTED_VALUE"""),"0900-1200")</f>
        <v>0900-1200</v>
      </c>
      <c r="L222" s="3">
        <f>IFERROR(__xludf.DUMMYFUNCTION("""COMPUTED_VALUE"""),3.0)</f>
        <v>3</v>
      </c>
      <c r="M222" s="3" t="str">
        <f>IFERROR(__xludf.DUMMYFUNCTION("""COMPUTED_VALUE"""),"น.อ.หญิง นิตยา สุขแสน")</f>
        <v>น.อ.หญิง นิตยา สุขแสน</v>
      </c>
      <c r="N222" s="14" t="str">
        <f>IFERROR(__xludf.DUMMYFUNCTION("""COMPUTED_VALUE"""),"https://lh5.googleusercontent.com/d/1bHDLXAVrpWXDZ3-ecFCasv2TjLmCo3l3")</f>
        <v>https://lh5.googleusercontent.com/d/1bHDLXAVrpWXDZ3-ecFCasv2TjLmCo3l3</v>
      </c>
      <c r="O222" s="14" t="str">
        <f>IFERROR(__xludf.DUMMYFUNCTION("""COMPUTED_VALUE"""),"https://drive.google.com/file/d/1v1eB7pkh0hekBKma9DT-h8tE2Rbp5_Zi/view?usp=drivesdk")</f>
        <v>https://drive.google.com/file/d/1v1eB7pkh0hekBKma9DT-h8tE2Rbp5_Zi/view?usp=drivesdk</v>
      </c>
    </row>
    <row r="223">
      <c r="A223" s="3">
        <f>IFERROR(__xludf.DUMMYFUNCTION("""COMPUTED_VALUE"""),1464.0)</f>
        <v>1464</v>
      </c>
      <c r="B223" s="11">
        <f>IFERROR(__xludf.DUMMYFUNCTION("""COMPUTED_VALUE"""),45998.94818613426)</f>
        <v>45998.94819</v>
      </c>
      <c r="C223" s="3" t="str">
        <f>IFERROR(__xludf.DUMMYFUNCTION("""COMPUTED_VALUE"""),"ชั้นปีที่ 1")</f>
        <v>ชั้นปีที่ 1</v>
      </c>
      <c r="D223" s="3" t="str">
        <f>IFERROR(__xludf.DUMMYFUNCTION("""COMPUTED_VALUE"""),"6803939")</f>
        <v>6803939</v>
      </c>
      <c r="E223" s="3" t="str">
        <f>IFERROR(__xludf.DUMMYFUNCTION("""COMPUTED_VALUE"""),"58")</f>
        <v>58</v>
      </c>
      <c r="F223" s="3" t="str">
        <f>IFERROR(__xludf.DUMMYFUNCTION("""COMPUTED_VALUE"""),"นพอ.สุภาวดี สุวรรณโกศัย")</f>
        <v>นพอ.สุภาวดี สุวรรณโกศัย</v>
      </c>
      <c r="G22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23" s="3" t="str">
        <f>IFERROR(__xludf.DUMMYFUNCTION("""COMPUTED_VALUE"""),"บริจาคเลือด")</f>
        <v>บริจาคเลือด</v>
      </c>
      <c r="I223" s="3" t="str">
        <f>IFERROR(__xludf.DUMMYFUNCTION("""COMPUTED_VALUE"""),"สภากาชาดไทย")</f>
        <v>สภากาชาดไทย</v>
      </c>
      <c r="J223" s="12">
        <f>IFERROR(__xludf.DUMMYFUNCTION("""COMPUTED_VALUE"""),45916.0)</f>
        <v>45916</v>
      </c>
      <c r="K223" s="3" t="str">
        <f>IFERROR(__xludf.DUMMYFUNCTION("""COMPUTED_VALUE"""),"08.00-16.00")</f>
        <v>08.00-16.00</v>
      </c>
      <c r="L223" s="3">
        <f>IFERROR(__xludf.DUMMYFUNCTION("""COMPUTED_VALUE"""),8.0)</f>
        <v>8</v>
      </c>
      <c r="M223" s="3" t="str">
        <f>IFERROR(__xludf.DUMMYFUNCTION("""COMPUTED_VALUE"""),"น.ท.อนุกูล บำรุงวงค์")</f>
        <v>น.ท.อนุกูล บำรุงวงค์</v>
      </c>
      <c r="N223" s="14" t="str">
        <f>IFERROR(__xludf.DUMMYFUNCTION("""COMPUTED_VALUE"""),"https://lh5.googleusercontent.com/d/1EcAjV4ArKxSB5iuH3sV0RMPt-VTvX2vW")</f>
        <v>https://lh5.googleusercontent.com/d/1EcAjV4ArKxSB5iuH3sV0RMPt-VTvX2vW</v>
      </c>
      <c r="O223" s="14" t="str">
        <f>IFERROR(__xludf.DUMMYFUNCTION("""COMPUTED_VALUE"""),"https://drive.google.com/file/d/1AqbCI-P8i7qUpiFrwi9J3kKLy1IAMbkI/view?usp=drivesdk")</f>
        <v>https://drive.google.com/file/d/1AqbCI-P8i7qUpiFrwi9J3kKLy1IAMbkI/view?usp=drivesdk</v>
      </c>
    </row>
    <row r="224">
      <c r="A224" s="3">
        <f>IFERROR(__xludf.DUMMYFUNCTION("""COMPUTED_VALUE"""),1466.0)</f>
        <v>1466</v>
      </c>
      <c r="B224" s="11">
        <f>IFERROR(__xludf.DUMMYFUNCTION("""COMPUTED_VALUE"""),45998.948766712965)</f>
        <v>45998.94877</v>
      </c>
      <c r="C224" s="3" t="str">
        <f>IFERROR(__xludf.DUMMYFUNCTION("""COMPUTED_VALUE"""),"ชั้นปีที่ 1")</f>
        <v>ชั้นปีที่ 1</v>
      </c>
      <c r="D224" s="3" t="str">
        <f>IFERROR(__xludf.DUMMYFUNCTION("""COMPUTED_VALUE"""),"6803910")</f>
        <v>6803910</v>
      </c>
      <c r="E224" s="3" t="str">
        <f>IFERROR(__xludf.DUMMYFUNCTION("""COMPUTED_VALUE"""),"29")</f>
        <v>29</v>
      </c>
      <c r="F224" s="3" t="str">
        <f>IFERROR(__xludf.DUMMYFUNCTION("""COMPUTED_VALUE"""),"นวพร โอรัตนสถาพร")</f>
        <v>นวพร โอรัตนสถาพร</v>
      </c>
      <c r="G224" s="3" t="str">
        <f>IFERROR(__xludf.DUMMYFUNCTION("""COMPUTED_VALUE"""),"ช่วยเหลืองานภายใน วพอ.")</f>
        <v>ช่วยเหลืองานภายใน วพอ.</v>
      </c>
      <c r="H224" s="3" t="str">
        <f>IFERROR(__xludf.DUMMYFUNCTION("""COMPUTED_VALUE"""),"เล่นดุริยางค์")</f>
        <v>เล่นดุริยางค์</v>
      </c>
      <c r="I224" s="3" t="str">
        <f>IFERROR(__xludf.DUMMYFUNCTION("""COMPUTED_VALUE"""),"วพอ.")</f>
        <v>วพอ.</v>
      </c>
      <c r="J224" s="12">
        <f>IFERROR(__xludf.DUMMYFUNCTION("""COMPUTED_VALUE"""),45981.0)</f>
        <v>45981</v>
      </c>
      <c r="K224" s="3" t="str">
        <f>IFERROR(__xludf.DUMMYFUNCTION("""COMPUTED_VALUE"""),"0700-0700")</f>
        <v>0700-0700</v>
      </c>
      <c r="L224" s="3">
        <f>IFERROR(__xludf.DUMMYFUNCTION("""COMPUTED_VALUE"""),1.0)</f>
        <v>1</v>
      </c>
      <c r="M224" s="3" t="str">
        <f>IFERROR(__xludf.DUMMYFUNCTION("""COMPUTED_VALUE"""),"ร.อ.อนุชิต ทำจะดี")</f>
        <v>ร.อ.อนุชิต ทำจะดี</v>
      </c>
      <c r="N224" s="14" t="str">
        <f>IFERROR(__xludf.DUMMYFUNCTION("""COMPUTED_VALUE"""),"https://lh5.googleusercontent.com/d/1WP-nRLHZLcMdfLLqFf_xrPFv8wn4O1Vw")</f>
        <v>https://lh5.googleusercontent.com/d/1WP-nRLHZLcMdfLLqFf_xrPFv8wn4O1Vw</v>
      </c>
      <c r="O224" s="14" t="str">
        <f>IFERROR(__xludf.DUMMYFUNCTION("""COMPUTED_VALUE"""),"https://drive.google.com/file/d/1kF9Kl1pVvkigwgQ0GFYYmMnS2W99qQCm/view?usp=drivesdk")</f>
        <v>https://drive.google.com/file/d/1kF9Kl1pVvkigwgQ0GFYYmMnS2W99qQCm/view?usp=drivesdk</v>
      </c>
    </row>
    <row r="225">
      <c r="A225" s="3">
        <f>IFERROR(__xludf.DUMMYFUNCTION("""COMPUTED_VALUE"""),1467.0)</f>
        <v>1467</v>
      </c>
      <c r="B225" s="11">
        <f>IFERROR(__xludf.DUMMYFUNCTION("""COMPUTED_VALUE"""),45998.94990090277)</f>
        <v>45998.9499</v>
      </c>
      <c r="C225" s="3" t="str">
        <f>IFERROR(__xludf.DUMMYFUNCTION("""COMPUTED_VALUE"""),"ชั้นปีที่ 1")</f>
        <v>ชั้นปีที่ 1</v>
      </c>
      <c r="D225" s="3" t="str">
        <f>IFERROR(__xludf.DUMMYFUNCTION("""COMPUTED_VALUE"""),"6803909")</f>
        <v>6803909</v>
      </c>
      <c r="E225" s="3" t="str">
        <f>IFERROR(__xludf.DUMMYFUNCTION("""COMPUTED_VALUE"""),"28")</f>
        <v>28</v>
      </c>
      <c r="F225" s="3" t="str">
        <f>IFERROR(__xludf.DUMMYFUNCTION("""COMPUTED_VALUE"""),"นวพร แซ่ห้าว")</f>
        <v>นวพร แซ่ห้าว</v>
      </c>
      <c r="G225" s="3" t="str">
        <f>IFERROR(__xludf.DUMMYFUNCTION("""COMPUTED_VALUE"""),"ช่วยเหลืองานภายใน วพอ.")</f>
        <v>ช่วยเหลืองานภายใน วพอ.</v>
      </c>
      <c r="H225" s="3" t="str">
        <f>IFERROR(__xludf.DUMMYFUNCTION("""COMPUTED_VALUE"""),"ฟังบรรยายเตรียมพร้อมคุณแม่ตั้งครรภ์")</f>
        <v>ฟังบรรยายเตรียมพร้อมคุณแม่ตั้งครรภ์</v>
      </c>
      <c r="I225" s="3" t="str">
        <f>IFERROR(__xludf.DUMMYFUNCTION("""COMPUTED_VALUE"""),"ห้องเรียนนทน.1")</f>
        <v>ห้องเรียนนทน.1</v>
      </c>
      <c r="J225" s="12">
        <f>IFERROR(__xludf.DUMMYFUNCTION("""COMPUTED_VALUE"""),45927.0)</f>
        <v>45927</v>
      </c>
      <c r="K225" s="3" t="str">
        <f>IFERROR(__xludf.DUMMYFUNCTION("""COMPUTED_VALUE"""),"0900-1200")</f>
        <v>0900-1200</v>
      </c>
      <c r="L225" s="3">
        <f>IFERROR(__xludf.DUMMYFUNCTION("""COMPUTED_VALUE"""),3.0)</f>
        <v>3</v>
      </c>
      <c r="M225" s="3" t="str">
        <f>IFERROR(__xludf.DUMMYFUNCTION("""COMPUTED_VALUE"""),"น.อ.หญิง นิตยา สุขแสน")</f>
        <v>น.อ.หญิง นิตยา สุขแสน</v>
      </c>
      <c r="N225" s="14" t="str">
        <f>IFERROR(__xludf.DUMMYFUNCTION("""COMPUTED_VALUE"""),"https://lh5.googleusercontent.com/d/1j3WKrbLKZ5MZxTvmql8oxWXCDyDoXkVx")</f>
        <v>https://lh5.googleusercontent.com/d/1j3WKrbLKZ5MZxTvmql8oxWXCDyDoXkVx</v>
      </c>
      <c r="O225" s="14" t="str">
        <f>IFERROR(__xludf.DUMMYFUNCTION("""COMPUTED_VALUE"""),"https://drive.google.com/file/d/1uvPY0NMitAm9xa3RcRJtiJouDMMi57zI/view?usp=drivesdk")</f>
        <v>https://drive.google.com/file/d/1uvPY0NMitAm9xa3RcRJtiJouDMMi57zI/view?usp=drivesdk</v>
      </c>
    </row>
    <row r="226">
      <c r="A226" s="3">
        <f>IFERROR(__xludf.DUMMYFUNCTION("""COMPUTED_VALUE"""),1471.0)</f>
        <v>1471</v>
      </c>
      <c r="B226" s="11">
        <f>IFERROR(__xludf.DUMMYFUNCTION("""COMPUTED_VALUE"""),45998.95126893518)</f>
        <v>45998.95127</v>
      </c>
      <c r="C226" s="3" t="str">
        <f>IFERROR(__xludf.DUMMYFUNCTION("""COMPUTED_VALUE"""),"ชั้นปีที่ 1")</f>
        <v>ชั้นปีที่ 1</v>
      </c>
      <c r="D226" s="3" t="str">
        <f>IFERROR(__xludf.DUMMYFUNCTION("""COMPUTED_VALUE"""),"6803942")</f>
        <v>6803942</v>
      </c>
      <c r="E226" s="3" t="str">
        <f>IFERROR(__xludf.DUMMYFUNCTION("""COMPUTED_VALUE"""),"61")</f>
        <v>61</v>
      </c>
      <c r="F226" s="3" t="str">
        <f>IFERROR(__xludf.DUMMYFUNCTION("""COMPUTED_VALUE"""),"นพอ.อชิรญา อ่อนเปรี้ยว")</f>
        <v>นพอ.อชิรญา อ่อนเปรี้ยว</v>
      </c>
      <c r="G226" s="3" t="str">
        <f>IFERROR(__xludf.DUMMYFUNCTION("""COMPUTED_VALUE"""),"งานฟรีทั่วไป")</f>
        <v>งานฟรีทั่วไป</v>
      </c>
      <c r="H226" s="3" t="str">
        <f>IFERROR(__xludf.DUMMYFUNCTION("""COMPUTED_VALUE"""),"กวาดบ้าน")</f>
        <v>กวาดบ้าน</v>
      </c>
      <c r="I226" s="3" t="str">
        <f>IFERROR(__xludf.DUMMYFUNCTION("""COMPUTED_VALUE"""),"57/2 ซ.วัดเวฬุวนาราม36 แขวงดอนเมือง เขตดอนเมือง กรุงเทพฯ")</f>
        <v>57/2 ซ.วัดเวฬุวนาราม36 แขวงดอนเมือง เขตดอนเมือง กรุงเทพฯ</v>
      </c>
      <c r="J226" s="12">
        <f>IFERROR(__xludf.DUMMYFUNCTION("""COMPUTED_VALUE"""),45990.0)</f>
        <v>45990</v>
      </c>
      <c r="K226" s="3" t="str">
        <f>IFERROR(__xludf.DUMMYFUNCTION("""COMPUTED_VALUE"""),"0900")</f>
        <v>0900</v>
      </c>
      <c r="L226" s="3">
        <f>IFERROR(__xludf.DUMMYFUNCTION("""COMPUTED_VALUE"""),4.0)</f>
        <v>4</v>
      </c>
      <c r="M226" s="3" t="str">
        <f>IFERROR(__xludf.DUMMYFUNCTION("""COMPUTED_VALUE"""),"น.ส.ชลธิชา สุนเชียง")</f>
        <v>น.ส.ชลธิชา สุนเชียง</v>
      </c>
      <c r="N226" s="14" t="str">
        <f>IFERROR(__xludf.DUMMYFUNCTION("""COMPUTED_VALUE"""),"https://lh5.googleusercontent.com/d/1nJbRbB6BCHKAw53bNM8EW4iBHGjiPGtt")</f>
        <v>https://lh5.googleusercontent.com/d/1nJbRbB6BCHKAw53bNM8EW4iBHGjiPGtt</v>
      </c>
      <c r="O226" s="14" t="str">
        <f>IFERROR(__xludf.DUMMYFUNCTION("""COMPUTED_VALUE"""),"https://drive.google.com/file/d/1OXBMFusmTPdgGTvxF8YFAuqAOmk-h-RH/view?usp=drivesdk")</f>
        <v>https://drive.google.com/file/d/1OXBMFusmTPdgGTvxF8YFAuqAOmk-h-RH/view?usp=drivesdk</v>
      </c>
    </row>
    <row r="227">
      <c r="A227" s="3">
        <f>IFERROR(__xludf.DUMMYFUNCTION("""COMPUTED_VALUE"""),1473.0)</f>
        <v>1473</v>
      </c>
      <c r="B227" s="11">
        <f>IFERROR(__xludf.DUMMYFUNCTION("""COMPUTED_VALUE"""),45998.95263424768)</f>
        <v>45998.95263</v>
      </c>
      <c r="C227" s="3" t="str">
        <f>IFERROR(__xludf.DUMMYFUNCTION("""COMPUTED_VALUE"""),"ชั้นปีที่ 1")</f>
        <v>ชั้นปีที่ 1</v>
      </c>
      <c r="D227" s="3" t="str">
        <f>IFERROR(__xludf.DUMMYFUNCTION("""COMPUTED_VALUE"""),"6803910")</f>
        <v>6803910</v>
      </c>
      <c r="E227" s="3" t="str">
        <f>IFERROR(__xludf.DUMMYFUNCTION("""COMPUTED_VALUE"""),"29")</f>
        <v>29</v>
      </c>
      <c r="F227" s="3" t="str">
        <f>IFERROR(__xludf.DUMMYFUNCTION("""COMPUTED_VALUE"""),"นวพร โอรัตนสถาพร")</f>
        <v>นวพร โอรัตนสถาพร</v>
      </c>
      <c r="G227" s="3" t="str">
        <f>IFERROR(__xludf.DUMMYFUNCTION("""COMPUTED_VALUE"""),"ช่วยเหลืองานภายใน วพอ.")</f>
        <v>ช่วยเหลืองานภายใน วพอ.</v>
      </c>
      <c r="H227" s="3" t="str">
        <f>IFERROR(__xludf.DUMMYFUNCTION("""COMPUTED_VALUE"""),"เล่นดุริยางค์")</f>
        <v>เล่นดุริยางค์</v>
      </c>
      <c r="I227" s="3" t="str">
        <f>IFERROR(__xludf.DUMMYFUNCTION("""COMPUTED_VALUE"""),"วพอ.")</f>
        <v>วพอ.</v>
      </c>
      <c r="J227" s="12">
        <f>IFERROR(__xludf.DUMMYFUNCTION("""COMPUTED_VALUE"""),45975.0)</f>
        <v>45975</v>
      </c>
      <c r="K227" s="3" t="str">
        <f>IFERROR(__xludf.DUMMYFUNCTION("""COMPUTED_VALUE"""),"0700-0740")</f>
        <v>0700-0740</v>
      </c>
      <c r="L227" s="3">
        <f>IFERROR(__xludf.DUMMYFUNCTION("""COMPUTED_VALUE"""),1.0)</f>
        <v>1</v>
      </c>
      <c r="M227" s="3" t="str">
        <f>IFERROR(__xludf.DUMMYFUNCTION("""COMPUTED_VALUE"""),"ร.อ.อนุชิต ทำจะดี")</f>
        <v>ร.อ.อนุชิต ทำจะดี</v>
      </c>
      <c r="N227" s="14" t="str">
        <f>IFERROR(__xludf.DUMMYFUNCTION("""COMPUTED_VALUE"""),"https://lh5.googleusercontent.com/d/1w8Iz6ETKFQbjouP7ExKdXNYyGTUqs_fk")</f>
        <v>https://lh5.googleusercontent.com/d/1w8Iz6ETKFQbjouP7ExKdXNYyGTUqs_fk</v>
      </c>
      <c r="O227" s="14" t="str">
        <f>IFERROR(__xludf.DUMMYFUNCTION("""COMPUTED_VALUE"""),"https://drive.google.com/file/d/1sr8W7vWUi_dep8n2_j2kDUmbrR6XZ4pd/view?usp=drivesdk")</f>
        <v>https://drive.google.com/file/d/1sr8W7vWUi_dep8n2_j2kDUmbrR6XZ4pd/view?usp=drivesdk</v>
      </c>
    </row>
    <row r="228">
      <c r="A228" s="3">
        <f>IFERROR(__xludf.DUMMYFUNCTION("""COMPUTED_VALUE"""),1474.0)</f>
        <v>1474</v>
      </c>
      <c r="B228" s="11">
        <f>IFERROR(__xludf.DUMMYFUNCTION("""COMPUTED_VALUE"""),45998.953927037044)</f>
        <v>45998.95393</v>
      </c>
      <c r="C228" s="3" t="str">
        <f>IFERROR(__xludf.DUMMYFUNCTION("""COMPUTED_VALUE"""),"ชั้นปีที่ 1")</f>
        <v>ชั้นปีที่ 1</v>
      </c>
      <c r="D228" s="3" t="str">
        <f>IFERROR(__xludf.DUMMYFUNCTION("""COMPUTED_VALUE"""),"6803909")</f>
        <v>6803909</v>
      </c>
      <c r="E228" s="3" t="str">
        <f>IFERROR(__xludf.DUMMYFUNCTION("""COMPUTED_VALUE"""),"28")</f>
        <v>28</v>
      </c>
      <c r="F228" s="3" t="str">
        <f>IFERROR(__xludf.DUMMYFUNCTION("""COMPUTED_VALUE"""),"นวพร แซ่ห้าว")</f>
        <v>นวพร แซ่ห้าว</v>
      </c>
      <c r="G228" s="3" t="str">
        <f>IFERROR(__xludf.DUMMYFUNCTION("""COMPUTED_VALUE"""),"ช่วยเหลืองานภายใน วพอ.")</f>
        <v>ช่วยเหลืองานภายใน วพอ.</v>
      </c>
      <c r="H228" s="3" t="str">
        <f>IFERROR(__xludf.DUMMYFUNCTION("""COMPUTED_VALUE"""),"เปิดปิดทีวีอนศ.")</f>
        <v>เปิดปิดทีวีอนศ.</v>
      </c>
      <c r="I228" s="3" t="str">
        <f>IFERROR(__xludf.DUMMYFUNCTION("""COMPUTED_VALUE"""),"วพอ.")</f>
        <v>วพอ.</v>
      </c>
      <c r="J228" s="12">
        <f>IFERROR(__xludf.DUMMYFUNCTION("""COMPUTED_VALUE"""),45901.0)</f>
        <v>45901</v>
      </c>
      <c r="K228" s="3" t="str">
        <f>IFERROR(__xludf.DUMMYFUNCTION("""COMPUTED_VALUE"""),"0730")</f>
        <v>0730</v>
      </c>
      <c r="L228" s="3">
        <f>IFERROR(__xludf.DUMMYFUNCTION("""COMPUTED_VALUE"""),4.0)</f>
        <v>4</v>
      </c>
      <c r="M228" s="3" t="str">
        <f>IFERROR(__xludf.DUMMYFUNCTION("""COMPUTED_VALUE"""),"น.ต.ศักชัย บุญประสิทธิ์")</f>
        <v>น.ต.ศักชัย บุญประสิทธิ์</v>
      </c>
      <c r="N228" s="14" t="str">
        <f>IFERROR(__xludf.DUMMYFUNCTION("""COMPUTED_VALUE"""),"https://lh5.googleusercontent.com/d/10x0WKBZRm9o8OuHS3Q0li3dluUWIjkeu")</f>
        <v>https://lh5.googleusercontent.com/d/10x0WKBZRm9o8OuHS3Q0li3dluUWIjkeu</v>
      </c>
      <c r="O228" s="14" t="str">
        <f>IFERROR(__xludf.DUMMYFUNCTION("""COMPUTED_VALUE"""),"https://drive.google.com/file/d/1m5co3CqI9PsaqrSw3uxYz1LbcOhM03yD/view?usp=drivesdk")</f>
        <v>https://drive.google.com/file/d/1m5co3CqI9PsaqrSw3uxYz1LbcOhM03yD/view?usp=drivesdk</v>
      </c>
    </row>
    <row r="229">
      <c r="A229" s="3">
        <f>IFERROR(__xludf.DUMMYFUNCTION("""COMPUTED_VALUE"""),1477.0)</f>
        <v>1477</v>
      </c>
      <c r="B229" s="11">
        <f>IFERROR(__xludf.DUMMYFUNCTION("""COMPUTED_VALUE"""),45998.957185798616)</f>
        <v>45998.95719</v>
      </c>
      <c r="C229" s="3" t="str">
        <f>IFERROR(__xludf.DUMMYFUNCTION("""COMPUTED_VALUE"""),"ชั้นปีที่ 1")</f>
        <v>ชั้นปีที่ 1</v>
      </c>
      <c r="D229" s="3" t="str">
        <f>IFERROR(__xludf.DUMMYFUNCTION("""COMPUTED_VALUE"""),"6803908")</f>
        <v>6803908</v>
      </c>
      <c r="E229" s="3" t="str">
        <f>IFERROR(__xludf.DUMMYFUNCTION("""COMPUTED_VALUE"""),"27")</f>
        <v>27</v>
      </c>
      <c r="F229" s="3" t="str">
        <f>IFERROR(__xludf.DUMMYFUNCTION("""COMPUTED_VALUE"""),"นพอ.นภัสสร บุญรัตน์")</f>
        <v>นพอ.นภัสสร บุญรัตน์</v>
      </c>
      <c r="G229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29" s="3" t="str">
        <f>IFERROR(__xludf.DUMMYFUNCTION("""COMPUTED_VALUE"""),"บริจาคโลหิต")</f>
        <v>บริจาคโลหิต</v>
      </c>
      <c r="I229" s="3" t="str">
        <f>IFERROR(__xludf.DUMMYFUNCTION("""COMPUTED_VALUE"""),"สภากาชาดไทย")</f>
        <v>สภากาชาดไทย</v>
      </c>
      <c r="J229" s="12">
        <f>IFERROR(__xludf.DUMMYFUNCTION("""COMPUTED_VALUE"""),45997.0)</f>
        <v>45997</v>
      </c>
      <c r="K229" s="3" t="str">
        <f>IFERROR(__xludf.DUMMYFUNCTION("""COMPUTED_VALUE"""),"1139")</f>
        <v>1139</v>
      </c>
      <c r="L229" s="3">
        <f>IFERROR(__xludf.DUMMYFUNCTION("""COMPUTED_VALUE"""),8.0)</f>
        <v>8</v>
      </c>
      <c r="M229" s="3" t="str">
        <f>IFERROR(__xludf.DUMMYFUNCTION("""COMPUTED_VALUE"""),"เปรมฤดี การบุรุษ")</f>
        <v>เปรมฤดี การบุรุษ</v>
      </c>
      <c r="N229" s="14" t="str">
        <f>IFERROR(__xludf.DUMMYFUNCTION("""COMPUTED_VALUE"""),"https://lh5.googleusercontent.com/d/1THsUuFRRF-6GEXQOUwBzJy1Ill1Gmq9h")</f>
        <v>https://lh5.googleusercontent.com/d/1THsUuFRRF-6GEXQOUwBzJy1Ill1Gmq9h</v>
      </c>
      <c r="O229" s="14" t="str">
        <f>IFERROR(__xludf.DUMMYFUNCTION("""COMPUTED_VALUE"""),"https://drive.google.com/file/d/1N5FzNQrpSW8OCYMX3zMRC-MFC_8t5CGi/view?usp=drivesdk")</f>
        <v>https://drive.google.com/file/d/1N5FzNQrpSW8OCYMX3zMRC-MFC_8t5CGi/view?usp=drivesdk</v>
      </c>
    </row>
    <row r="230">
      <c r="A230" s="3">
        <f>IFERROR(__xludf.DUMMYFUNCTION("""COMPUTED_VALUE"""),1499.0)</f>
        <v>1499</v>
      </c>
      <c r="B230" s="11">
        <f>IFERROR(__xludf.DUMMYFUNCTION("""COMPUTED_VALUE"""),45999.32292324075)</f>
        <v>45999.32292</v>
      </c>
      <c r="C230" s="3" t="str">
        <f>IFERROR(__xludf.DUMMYFUNCTION("""COMPUTED_VALUE"""),"ชั้นปีที่ 1")</f>
        <v>ชั้นปีที่ 1</v>
      </c>
      <c r="D230" s="3" t="str">
        <f>IFERROR(__xludf.DUMMYFUNCTION("""COMPUTED_VALUE"""),"6803912")</f>
        <v>6803912</v>
      </c>
      <c r="E230" s="3" t="str">
        <f>IFERROR(__xludf.DUMMYFUNCTION("""COMPUTED_VALUE"""),"31")</f>
        <v>31</v>
      </c>
      <c r="F230" s="3" t="str">
        <f>IFERROR(__xludf.DUMMYFUNCTION("""COMPUTED_VALUE"""),"เบญจวรรณ มณีแนว")</f>
        <v>เบญจวรรณ มณีแนว</v>
      </c>
      <c r="G230" s="3" t="str">
        <f>IFERROR(__xludf.DUMMYFUNCTION("""COMPUTED_VALUE"""),"งานฟรีทั่วไป")</f>
        <v>งานฟรีทั่วไป</v>
      </c>
      <c r="H230" s="3" t="str">
        <f>IFERROR(__xludf.DUMMYFUNCTION("""COMPUTED_VALUE"""),"ทำความสะอาดบ้าน")</f>
        <v>ทำความสะอาดบ้าน</v>
      </c>
      <c r="I230" s="3" t="str">
        <f>IFERROR(__xludf.DUMMYFUNCTION("""COMPUTED_VALUE"""),"บ้าน")</f>
        <v>บ้าน</v>
      </c>
      <c r="J230" s="12">
        <f>IFERROR(__xludf.DUMMYFUNCTION("""COMPUTED_VALUE"""),45997.0)</f>
        <v>45997</v>
      </c>
      <c r="K230" s="3" t="str">
        <f>IFERROR(__xludf.DUMMYFUNCTION("""COMPUTED_VALUE"""),"1700-1730")</f>
        <v>1700-1730</v>
      </c>
      <c r="L230" s="3">
        <f>IFERROR(__xludf.DUMMYFUNCTION("""COMPUTED_VALUE"""),4.0)</f>
        <v>4</v>
      </c>
      <c r="M230" s="3" t="str">
        <f>IFERROR(__xludf.DUMMYFUNCTION("""COMPUTED_VALUE"""),"นางอภิญญาพร พลนามอินทร์")</f>
        <v>นางอภิญญาพร พลนามอินทร์</v>
      </c>
      <c r="N230" s="14" t="str">
        <f>IFERROR(__xludf.DUMMYFUNCTION("""COMPUTED_VALUE"""),"https://lh5.googleusercontent.com/d/1akCO02fnft8S0SC0YJ-PPof-mFqtYsgd")</f>
        <v>https://lh5.googleusercontent.com/d/1akCO02fnft8S0SC0YJ-PPof-mFqtYsgd</v>
      </c>
      <c r="O230" s="14" t="str">
        <f>IFERROR(__xludf.DUMMYFUNCTION("""COMPUTED_VALUE"""),"https://drive.google.com/file/d/17ogM1w_MCBJVvEe8fRMBWsjTYbiP9G9z/view?usp=drivesdk")</f>
        <v>https://drive.google.com/file/d/17ogM1w_MCBJVvEe8fRMBWsjTYbiP9G9z/view?usp=drivesdk</v>
      </c>
    </row>
    <row r="231">
      <c r="A231" s="3">
        <f>IFERROR(__xludf.DUMMYFUNCTION("""COMPUTED_VALUE"""),1524.0)</f>
        <v>1524</v>
      </c>
      <c r="B231" s="11">
        <f>IFERROR(__xludf.DUMMYFUNCTION("""COMPUTED_VALUE"""),45999.63825275463)</f>
        <v>45999.63825</v>
      </c>
      <c r="C231" s="3" t="str">
        <f>IFERROR(__xludf.DUMMYFUNCTION("""COMPUTED_VALUE"""),"ชั้นปีที่ 1")</f>
        <v>ชั้นปีที่ 1</v>
      </c>
      <c r="D231" s="3" t="str">
        <f>IFERROR(__xludf.DUMMYFUNCTION("""COMPUTED_VALUE"""),"6803889")</f>
        <v>6803889</v>
      </c>
      <c r="E231" s="3" t="str">
        <f>IFERROR(__xludf.DUMMYFUNCTION("""COMPUTED_VALUE"""),"8")</f>
        <v>8</v>
      </c>
      <c r="F231" s="3" t="str">
        <f>IFERROR(__xludf.DUMMYFUNCTION("""COMPUTED_VALUE"""),"นพอ.กุลิสรา ตุ่นคำ")</f>
        <v>นพอ.กุลิสรา ตุ่นคำ</v>
      </c>
      <c r="G231" s="3" t="str">
        <f>IFERROR(__xludf.DUMMYFUNCTION("""COMPUTED_VALUE"""),"ช่วยเหลืองานภายใน วพอ.")</f>
        <v>ช่วยเหลืองานภายใน วพอ.</v>
      </c>
      <c r="H231" s="3" t="str">
        <f>IFERROR(__xludf.DUMMYFUNCTION("""COMPUTED_VALUE"""),"ดุริยางค์")</f>
        <v>ดุริยางค์</v>
      </c>
      <c r="I231" s="3" t="str">
        <f>IFERROR(__xludf.DUMMYFUNCTION("""COMPUTED_VALUE"""),"วพอ.พอ")</f>
        <v>วพอ.พอ</v>
      </c>
      <c r="J231" s="12">
        <f>IFERROR(__xludf.DUMMYFUNCTION("""COMPUTED_VALUE"""),45959.0)</f>
        <v>45959</v>
      </c>
      <c r="K231" s="3" t="str">
        <f>IFERROR(__xludf.DUMMYFUNCTION("""COMPUTED_VALUE"""),"0720")</f>
        <v>0720</v>
      </c>
      <c r="L231" s="3">
        <f>IFERROR(__xludf.DUMMYFUNCTION("""COMPUTED_VALUE"""),1.0)</f>
        <v>1</v>
      </c>
      <c r="M231" s="3" t="str">
        <f>IFERROR(__xludf.DUMMYFUNCTION("""COMPUTED_VALUE"""),"ร.อ.อนุชิต ทำจะดี")</f>
        <v>ร.อ.อนุชิต ทำจะดี</v>
      </c>
      <c r="N231" s="14" t="str">
        <f>IFERROR(__xludf.DUMMYFUNCTION("""COMPUTED_VALUE"""),"https://lh5.googleusercontent.com/d/1Rl-aezzxwbv7wO1c8LcEPII4uugnnHdg")</f>
        <v>https://lh5.googleusercontent.com/d/1Rl-aezzxwbv7wO1c8LcEPII4uugnnHdg</v>
      </c>
      <c r="O231" s="14" t="str">
        <f>IFERROR(__xludf.DUMMYFUNCTION("""COMPUTED_VALUE"""),"https://drive.google.com/file/d/1mwAV6zI4nbxZyWn65po6BkwQoDjPut89/view?usp=drivesdk")</f>
        <v>https://drive.google.com/file/d/1mwAV6zI4nbxZyWn65po6BkwQoDjPut89/view?usp=drivesdk</v>
      </c>
    </row>
    <row r="232">
      <c r="A232" s="3">
        <f>IFERROR(__xludf.DUMMYFUNCTION("""COMPUTED_VALUE"""),1525.0)</f>
        <v>1525</v>
      </c>
      <c r="B232" s="11">
        <f>IFERROR(__xludf.DUMMYFUNCTION("""COMPUTED_VALUE"""),45999.63930209491)</f>
        <v>45999.6393</v>
      </c>
      <c r="C232" s="3" t="str">
        <f>IFERROR(__xludf.DUMMYFUNCTION("""COMPUTED_VALUE"""),"ชั้นปีที่ 1")</f>
        <v>ชั้นปีที่ 1</v>
      </c>
      <c r="D232" s="3" t="str">
        <f>IFERROR(__xludf.DUMMYFUNCTION("""COMPUTED_VALUE"""),"6803912")</f>
        <v>6803912</v>
      </c>
      <c r="E232" s="3" t="str">
        <f>IFERROR(__xludf.DUMMYFUNCTION("""COMPUTED_VALUE"""),"31")</f>
        <v>31</v>
      </c>
      <c r="F232" s="3" t="str">
        <f>IFERROR(__xludf.DUMMYFUNCTION("""COMPUTED_VALUE"""),"เบญจวรรณ มณีแนว")</f>
        <v>เบญจวรรณ มณีแนว</v>
      </c>
      <c r="G232" s="3" t="str">
        <f>IFERROR(__xludf.DUMMYFUNCTION("""COMPUTED_VALUE"""),"ช่วยเหลืองานภายใน วพอ.")</f>
        <v>ช่วยเหลืองานภายใน วพอ.</v>
      </c>
      <c r="H232" s="3" t="str">
        <f>IFERROR(__xludf.DUMMYFUNCTION("""COMPUTED_VALUE"""),"ดุริยางค์")</f>
        <v>ดุริยางค์</v>
      </c>
      <c r="I232" s="3" t="str">
        <f>IFERROR(__xludf.DUMMYFUNCTION("""COMPUTED_VALUE"""),"หน้าคุณพ่อ")</f>
        <v>หน้าคุณพ่อ</v>
      </c>
      <c r="J232" s="12">
        <f>IFERROR(__xludf.DUMMYFUNCTION("""COMPUTED_VALUE"""),45951.0)</f>
        <v>45951</v>
      </c>
      <c r="K232" s="3" t="str">
        <f>IFERROR(__xludf.DUMMYFUNCTION("""COMPUTED_VALUE"""),"0730-0745")</f>
        <v>0730-0745</v>
      </c>
      <c r="L232" s="3">
        <f>IFERROR(__xludf.DUMMYFUNCTION("""COMPUTED_VALUE"""),1.0)</f>
        <v>1</v>
      </c>
      <c r="M232" s="3" t="str">
        <f>IFERROR(__xludf.DUMMYFUNCTION("""COMPUTED_VALUE"""),"ร.อ.อนุชิต ทำจะดี")</f>
        <v>ร.อ.อนุชิต ทำจะดี</v>
      </c>
      <c r="N232" s="14" t="str">
        <f>IFERROR(__xludf.DUMMYFUNCTION("""COMPUTED_VALUE"""),"https://lh5.googleusercontent.com/d/1aQtPtbAY61Xa21QwO3ly-dn6pixm8FN1")</f>
        <v>https://lh5.googleusercontent.com/d/1aQtPtbAY61Xa21QwO3ly-dn6pixm8FN1</v>
      </c>
      <c r="O232" s="14" t="str">
        <f>IFERROR(__xludf.DUMMYFUNCTION("""COMPUTED_VALUE"""),"https://drive.google.com/file/d/1xPRyxPfpz3ss5KMMqO2fVSPaTiaBdDWJ/view?usp=drivesdk")</f>
        <v>https://drive.google.com/file/d/1xPRyxPfpz3ss5KMMqO2fVSPaTiaBdDWJ/view?usp=drivesdk</v>
      </c>
    </row>
    <row r="233">
      <c r="A233" s="3">
        <f>IFERROR(__xludf.DUMMYFUNCTION("""COMPUTED_VALUE"""),1526.0)</f>
        <v>1526</v>
      </c>
      <c r="B233" s="11">
        <f>IFERROR(__xludf.DUMMYFUNCTION("""COMPUTED_VALUE"""),45999.639792118054)</f>
        <v>45999.63979</v>
      </c>
      <c r="C233" s="3" t="str">
        <f>IFERROR(__xludf.DUMMYFUNCTION("""COMPUTED_VALUE"""),"ชั้นปีที่ 1")</f>
        <v>ชั้นปีที่ 1</v>
      </c>
      <c r="D233" s="3" t="str">
        <f>IFERROR(__xludf.DUMMYFUNCTION("""COMPUTED_VALUE"""),"6803935")</f>
        <v>6803935</v>
      </c>
      <c r="E233" s="3" t="str">
        <f>IFERROR(__xludf.DUMMYFUNCTION("""COMPUTED_VALUE"""),"54")</f>
        <v>54</v>
      </c>
      <c r="F233" s="3" t="str">
        <f>IFERROR(__xludf.DUMMYFUNCTION("""COMPUTED_VALUE"""),"นพอ.วีรวัฒน์ ทัศน์จันดา")</f>
        <v>นพอ.วีรวัฒน์ ทัศน์จันดา</v>
      </c>
      <c r="G233" s="3" t="str">
        <f>IFERROR(__xludf.DUMMYFUNCTION("""COMPUTED_VALUE"""),"ช่วยเหลืองานภายใน วพอ.")</f>
        <v>ช่วยเหลืองานภายใน วพอ.</v>
      </c>
      <c r="H233" s="3" t="str">
        <f>IFERROR(__xludf.DUMMYFUNCTION("""COMPUTED_VALUE"""),"เล่นดุริยางค์")</f>
        <v>เล่นดุริยางค์</v>
      </c>
      <c r="I233" s="3" t="str">
        <f>IFERROR(__xludf.DUMMYFUNCTION("""COMPUTED_VALUE"""),"วพอ.พอ.")</f>
        <v>วพอ.พอ.</v>
      </c>
      <c r="J233" s="12">
        <f>IFERROR(__xludf.DUMMYFUNCTION("""COMPUTED_VALUE"""),45964.0)</f>
        <v>45964</v>
      </c>
      <c r="K233" s="3" t="str">
        <f>IFERROR(__xludf.DUMMYFUNCTION("""COMPUTED_VALUE"""),"0730")</f>
        <v>0730</v>
      </c>
      <c r="L233" s="3">
        <f>IFERROR(__xludf.DUMMYFUNCTION("""COMPUTED_VALUE"""),1.0)</f>
        <v>1</v>
      </c>
      <c r="M233" s="3" t="str">
        <f>IFERROR(__xludf.DUMMYFUNCTION("""COMPUTED_VALUE"""),"ร.อ.อนุชิต ทำจะดี")</f>
        <v>ร.อ.อนุชิต ทำจะดี</v>
      </c>
      <c r="N233" s="14" t="str">
        <f>IFERROR(__xludf.DUMMYFUNCTION("""COMPUTED_VALUE"""),"https://lh5.googleusercontent.com/d/1hzyM5ZI3VyYtselARUbr1h9DfCB7Vkd4")</f>
        <v>https://lh5.googleusercontent.com/d/1hzyM5ZI3VyYtselARUbr1h9DfCB7Vkd4</v>
      </c>
      <c r="O233" s="14" t="str">
        <f>IFERROR(__xludf.DUMMYFUNCTION("""COMPUTED_VALUE"""),"https://drive.google.com/file/d/1E2k9VLhKncGN8nPWwlrto2ajksRUZmOO/view?usp=drivesdk")</f>
        <v>https://drive.google.com/file/d/1E2k9VLhKncGN8nPWwlrto2ajksRUZmOO/view?usp=drivesdk</v>
      </c>
    </row>
    <row r="234">
      <c r="A234" s="3">
        <f>IFERROR(__xludf.DUMMYFUNCTION("""COMPUTED_VALUE"""),1528.0)</f>
        <v>1528</v>
      </c>
      <c r="B234" s="11">
        <f>IFERROR(__xludf.DUMMYFUNCTION("""COMPUTED_VALUE"""),45999.642178090275)</f>
        <v>45999.64218</v>
      </c>
      <c r="C234" s="3" t="str">
        <f>IFERROR(__xludf.DUMMYFUNCTION("""COMPUTED_VALUE"""),"ชั้นปีที่ 1")</f>
        <v>ชั้นปีที่ 1</v>
      </c>
      <c r="D234" s="3" t="str">
        <f>IFERROR(__xludf.DUMMYFUNCTION("""COMPUTED_VALUE"""),"6803910")</f>
        <v>6803910</v>
      </c>
      <c r="E234" s="3" t="str">
        <f>IFERROR(__xludf.DUMMYFUNCTION("""COMPUTED_VALUE"""),"29")</f>
        <v>29</v>
      </c>
      <c r="F234" s="3" t="str">
        <f>IFERROR(__xludf.DUMMYFUNCTION("""COMPUTED_VALUE"""),"นวพร โอรัตนสถาพร")</f>
        <v>นวพร โอรัตนสถาพร</v>
      </c>
      <c r="G234" s="3" t="str">
        <f>IFERROR(__xludf.DUMMYFUNCTION("""COMPUTED_VALUE"""),"ช่วยเหลืองานภายใน วพอ.")</f>
        <v>ช่วยเหลืองานภายใน วพอ.</v>
      </c>
      <c r="H234" s="3" t="str">
        <f>IFERROR(__xludf.DUMMYFUNCTION("""COMPUTED_VALUE"""),"เล่นดุริยางค์")</f>
        <v>เล่นดุริยางค์</v>
      </c>
      <c r="I234" s="3" t="str">
        <f>IFERROR(__xludf.DUMMYFUNCTION("""COMPUTED_VALUE"""),"วพอ.")</f>
        <v>วพอ.</v>
      </c>
      <c r="J234" s="12">
        <f>IFERROR(__xludf.DUMMYFUNCTION("""COMPUTED_VALUE"""),45965.0)</f>
        <v>45965</v>
      </c>
      <c r="K234" s="3" t="str">
        <f>IFERROR(__xludf.DUMMYFUNCTION("""COMPUTED_VALUE"""),"0700-0745")</f>
        <v>0700-0745</v>
      </c>
      <c r="L234" s="3">
        <f>IFERROR(__xludf.DUMMYFUNCTION("""COMPUTED_VALUE"""),1.0)</f>
        <v>1</v>
      </c>
      <c r="M234" s="3" t="str">
        <f>IFERROR(__xludf.DUMMYFUNCTION("""COMPUTED_VALUE"""),"ร.อ.อนุชิต ทำจะดี")</f>
        <v>ร.อ.อนุชิต ทำจะดี</v>
      </c>
      <c r="N234" s="14" t="str">
        <f>IFERROR(__xludf.DUMMYFUNCTION("""COMPUTED_VALUE"""),"https://lh5.googleusercontent.com/d/1bQxv0Kic-r0rxVb8Wgo81Hywc3ctd307")</f>
        <v>https://lh5.googleusercontent.com/d/1bQxv0Kic-r0rxVb8Wgo81Hywc3ctd307</v>
      </c>
      <c r="O234" s="14" t="str">
        <f>IFERROR(__xludf.DUMMYFUNCTION("""COMPUTED_VALUE"""),"https://drive.google.com/file/d/11-aEeKMmB7HE5b5JATy5nY7qXrcs_M7d/view?usp=drivesdk")</f>
        <v>https://drive.google.com/file/d/11-aEeKMmB7HE5b5JATy5nY7qXrcs_M7d/view?usp=drivesdk</v>
      </c>
    </row>
    <row r="235">
      <c r="A235" s="3">
        <f>IFERROR(__xludf.DUMMYFUNCTION("""COMPUTED_VALUE"""),1529.0)</f>
        <v>1529</v>
      </c>
      <c r="B235" s="11">
        <f>IFERROR(__xludf.DUMMYFUNCTION("""COMPUTED_VALUE"""),45999.64248609953)</f>
        <v>45999.64249</v>
      </c>
      <c r="C235" s="3" t="str">
        <f>IFERROR(__xludf.DUMMYFUNCTION("""COMPUTED_VALUE"""),"ชั้นปีที่ 1")</f>
        <v>ชั้นปีที่ 1</v>
      </c>
      <c r="D235" s="3" t="str">
        <f>IFERROR(__xludf.DUMMYFUNCTION("""COMPUTED_VALUE"""),"6803912")</f>
        <v>6803912</v>
      </c>
      <c r="E235" s="3" t="str">
        <f>IFERROR(__xludf.DUMMYFUNCTION("""COMPUTED_VALUE"""),"31")</f>
        <v>31</v>
      </c>
      <c r="F235" s="3" t="str">
        <f>IFERROR(__xludf.DUMMYFUNCTION("""COMPUTED_VALUE"""),"เบญจวรรณ มณีแนว")</f>
        <v>เบญจวรรณ มณีแนว</v>
      </c>
      <c r="G235" s="3" t="str">
        <f>IFERROR(__xludf.DUMMYFUNCTION("""COMPUTED_VALUE"""),"ช่วยเหลืองานภายใน วพอ.")</f>
        <v>ช่วยเหลืองานภายใน วพอ.</v>
      </c>
      <c r="H235" s="3" t="str">
        <f>IFERROR(__xludf.DUMMYFUNCTION("""COMPUTED_VALUE"""),"ดุริยางค์")</f>
        <v>ดุริยางค์</v>
      </c>
      <c r="I235" s="3" t="str">
        <f>IFERROR(__xludf.DUMMYFUNCTION("""COMPUTED_VALUE"""),"หน้าคุณพ่อ")</f>
        <v>หน้าคุณพ่อ</v>
      </c>
      <c r="J235" s="12">
        <f>IFERROR(__xludf.DUMMYFUNCTION("""COMPUTED_VALUE"""),45981.0)</f>
        <v>45981</v>
      </c>
      <c r="K235" s="3" t="str">
        <f>IFERROR(__xludf.DUMMYFUNCTION("""COMPUTED_VALUE"""),"0730-0745")</f>
        <v>0730-0745</v>
      </c>
      <c r="L235" s="3">
        <f>IFERROR(__xludf.DUMMYFUNCTION("""COMPUTED_VALUE"""),1.0)</f>
        <v>1</v>
      </c>
      <c r="M235" s="3" t="str">
        <f>IFERROR(__xludf.DUMMYFUNCTION("""COMPUTED_VALUE"""),"ร.อ.อนุชิต ทำจะดี")</f>
        <v>ร.อ.อนุชิต ทำจะดี</v>
      </c>
      <c r="N235" s="14" t="str">
        <f>IFERROR(__xludf.DUMMYFUNCTION("""COMPUTED_VALUE"""),"https://lh5.googleusercontent.com/d/1XISlZQgfpFxfPxTBDhbMtfHS9JI1GU5b")</f>
        <v>https://lh5.googleusercontent.com/d/1XISlZQgfpFxfPxTBDhbMtfHS9JI1GU5b</v>
      </c>
      <c r="O235" s="14" t="str">
        <f>IFERROR(__xludf.DUMMYFUNCTION("""COMPUTED_VALUE"""),"https://drive.google.com/file/d/1k7TgVLv3gdGSm0sBZRWlZrXoxOzjrcQr/view?usp=drivesdk")</f>
        <v>https://drive.google.com/file/d/1k7TgVLv3gdGSm0sBZRWlZrXoxOzjrcQr/view?usp=drivesdk</v>
      </c>
    </row>
    <row r="236">
      <c r="A236" s="3">
        <f>IFERROR(__xludf.DUMMYFUNCTION("""COMPUTED_VALUE"""),1530.0)</f>
        <v>1530</v>
      </c>
      <c r="B236" s="11">
        <f>IFERROR(__xludf.DUMMYFUNCTION("""COMPUTED_VALUE"""),45999.64305931713)</f>
        <v>45999.64306</v>
      </c>
      <c r="C236" s="3" t="str">
        <f>IFERROR(__xludf.DUMMYFUNCTION("""COMPUTED_VALUE"""),"ชั้นปีที่ 1")</f>
        <v>ชั้นปีที่ 1</v>
      </c>
      <c r="D236" s="3" t="str">
        <f>IFERROR(__xludf.DUMMYFUNCTION("""COMPUTED_VALUE"""),"6803889")</f>
        <v>6803889</v>
      </c>
      <c r="E236" s="3" t="str">
        <f>IFERROR(__xludf.DUMMYFUNCTION("""COMPUTED_VALUE"""),"8")</f>
        <v>8</v>
      </c>
      <c r="F236" s="3" t="str">
        <f>IFERROR(__xludf.DUMMYFUNCTION("""COMPUTED_VALUE"""),"นพอ.กุลิสรา ตุ่นคำ")</f>
        <v>นพอ.กุลิสรา ตุ่นคำ</v>
      </c>
      <c r="G236" s="3" t="str">
        <f>IFERROR(__xludf.DUMMYFUNCTION("""COMPUTED_VALUE"""),"ช่วยเหลืองานภายใน วพอ.")</f>
        <v>ช่วยเหลืองานภายใน วพอ.</v>
      </c>
      <c r="H236" s="3" t="str">
        <f>IFERROR(__xludf.DUMMYFUNCTION("""COMPUTED_VALUE"""),"ดุริยางค์")</f>
        <v>ดุริยางค์</v>
      </c>
      <c r="I236" s="3" t="str">
        <f>IFERROR(__xludf.DUMMYFUNCTION("""COMPUTED_VALUE"""),"720")</f>
        <v>720</v>
      </c>
      <c r="J236" s="12">
        <f>IFERROR(__xludf.DUMMYFUNCTION("""COMPUTED_VALUE"""),45981.0)</f>
        <v>45981</v>
      </c>
      <c r="K236" s="3" t="str">
        <f>IFERROR(__xludf.DUMMYFUNCTION("""COMPUTED_VALUE"""),"0720")</f>
        <v>0720</v>
      </c>
      <c r="L236" s="3">
        <f>IFERROR(__xludf.DUMMYFUNCTION("""COMPUTED_VALUE"""),1.0)</f>
        <v>1</v>
      </c>
      <c r="M236" s="3" t="str">
        <f>IFERROR(__xludf.DUMMYFUNCTION("""COMPUTED_VALUE"""),"ร.อ.อนุชิต ทำจะดี")</f>
        <v>ร.อ.อนุชิต ทำจะดี</v>
      </c>
      <c r="N236" s="14" t="str">
        <f>IFERROR(__xludf.DUMMYFUNCTION("""COMPUTED_VALUE"""),"https://lh5.googleusercontent.com/d/1VqIRyKfusVB8E7Oh4qx3OpVuuBT-rJ_8")</f>
        <v>https://lh5.googleusercontent.com/d/1VqIRyKfusVB8E7Oh4qx3OpVuuBT-rJ_8</v>
      </c>
      <c r="O236" s="14" t="str">
        <f>IFERROR(__xludf.DUMMYFUNCTION("""COMPUTED_VALUE"""),"https://drive.google.com/file/d/1Qm_qC5eAr3SxqnhvUJvjK4vNn6E7_jOR/view?usp=drivesdk")</f>
        <v>https://drive.google.com/file/d/1Qm_qC5eAr3SxqnhvUJvjK4vNn6E7_jOR/view?usp=drivesdk</v>
      </c>
    </row>
    <row r="237">
      <c r="A237" s="3">
        <f>IFERROR(__xludf.DUMMYFUNCTION("""COMPUTED_VALUE"""),1532.0)</f>
        <v>1532</v>
      </c>
      <c r="B237" s="11">
        <f>IFERROR(__xludf.DUMMYFUNCTION("""COMPUTED_VALUE"""),45999.64560509259)</f>
        <v>45999.64561</v>
      </c>
      <c r="C237" s="3" t="str">
        <f>IFERROR(__xludf.DUMMYFUNCTION("""COMPUTED_VALUE"""),"ชั้นปีที่ 1")</f>
        <v>ชั้นปีที่ 1</v>
      </c>
      <c r="D237" s="3" t="str">
        <f>IFERROR(__xludf.DUMMYFUNCTION("""COMPUTED_VALUE"""),"6803910")</f>
        <v>6803910</v>
      </c>
      <c r="E237" s="3" t="str">
        <f>IFERROR(__xludf.DUMMYFUNCTION("""COMPUTED_VALUE"""),"29")</f>
        <v>29</v>
      </c>
      <c r="F237" s="3" t="str">
        <f>IFERROR(__xludf.DUMMYFUNCTION("""COMPUTED_VALUE"""),"นวพร โอรัตนสถาพร")</f>
        <v>นวพร โอรัตนสถาพร</v>
      </c>
      <c r="G237" s="3" t="str">
        <f>IFERROR(__xludf.DUMMYFUNCTION("""COMPUTED_VALUE"""),"ช่วยเหลืองานภายใน วพอ.")</f>
        <v>ช่วยเหลืองานภายใน วพอ.</v>
      </c>
      <c r="H237" s="3" t="str">
        <f>IFERROR(__xludf.DUMMYFUNCTION("""COMPUTED_VALUE"""),"เล่นดุริยางค์")</f>
        <v>เล่นดุริยางค์</v>
      </c>
      <c r="I237" s="3" t="str">
        <f>IFERROR(__xludf.DUMMYFUNCTION("""COMPUTED_VALUE"""),"วพอ.")</f>
        <v>วพอ.</v>
      </c>
      <c r="J237" s="12">
        <f>IFERROR(__xludf.DUMMYFUNCTION("""COMPUTED_VALUE"""),45979.0)</f>
        <v>45979</v>
      </c>
      <c r="K237" s="3" t="str">
        <f>IFERROR(__xludf.DUMMYFUNCTION("""COMPUTED_VALUE"""),"0700-0740")</f>
        <v>0700-0740</v>
      </c>
      <c r="L237" s="3">
        <f>IFERROR(__xludf.DUMMYFUNCTION("""COMPUTED_VALUE"""),1.0)</f>
        <v>1</v>
      </c>
      <c r="M237" s="3" t="str">
        <f>IFERROR(__xludf.DUMMYFUNCTION("""COMPUTED_VALUE"""),"ร.อ.อนุชิต ทำจะดี")</f>
        <v>ร.อ.อนุชิต ทำจะดี</v>
      </c>
      <c r="N237" s="14" t="str">
        <f>IFERROR(__xludf.DUMMYFUNCTION("""COMPUTED_VALUE"""),"https://lh5.googleusercontent.com/d/1iLpR9D3kligbjgdfLP5vrGYScUsEnkUq")</f>
        <v>https://lh5.googleusercontent.com/d/1iLpR9D3kligbjgdfLP5vrGYScUsEnkUq</v>
      </c>
      <c r="O237" s="14" t="str">
        <f>IFERROR(__xludf.DUMMYFUNCTION("""COMPUTED_VALUE"""),"https://drive.google.com/file/d/1YVUxdLlc4fFnB1Ubq6Kt8VbECT6VkBZi/view?usp=drivesdk")</f>
        <v>https://drive.google.com/file/d/1YVUxdLlc4fFnB1Ubq6Kt8VbECT6VkBZi/view?usp=drivesdk</v>
      </c>
    </row>
    <row r="238">
      <c r="A238" s="3">
        <f>IFERROR(__xludf.DUMMYFUNCTION("""COMPUTED_VALUE"""),1534.0)</f>
        <v>1534</v>
      </c>
      <c r="B238" s="11">
        <f>IFERROR(__xludf.DUMMYFUNCTION("""COMPUTED_VALUE"""),45999.64635418981)</f>
        <v>45999.64635</v>
      </c>
      <c r="C238" s="3" t="str">
        <f>IFERROR(__xludf.DUMMYFUNCTION("""COMPUTED_VALUE"""),"ชั้นปีที่ 1")</f>
        <v>ชั้นปีที่ 1</v>
      </c>
      <c r="D238" s="3" t="str">
        <f>IFERROR(__xludf.DUMMYFUNCTION("""COMPUTED_VALUE"""),"6803935")</f>
        <v>6803935</v>
      </c>
      <c r="E238" s="3" t="str">
        <f>IFERROR(__xludf.DUMMYFUNCTION("""COMPUTED_VALUE"""),"54")</f>
        <v>54</v>
      </c>
      <c r="F238" s="3" t="str">
        <f>IFERROR(__xludf.DUMMYFUNCTION("""COMPUTED_VALUE"""),"นพอ.วีรวัฒน์ ทัศน์จันดา")</f>
        <v>นพอ.วีรวัฒน์ ทัศน์จันดา</v>
      </c>
      <c r="G238" s="3" t="str">
        <f>IFERROR(__xludf.DUMMYFUNCTION("""COMPUTED_VALUE"""),"ช่วยเหลืองานภายใน วพอ.")</f>
        <v>ช่วยเหลืองานภายใน วพอ.</v>
      </c>
      <c r="H238" s="3" t="str">
        <f>IFERROR(__xludf.DUMMYFUNCTION("""COMPUTED_VALUE"""),"เล่นดุริยางค์")</f>
        <v>เล่นดุริยางค์</v>
      </c>
      <c r="I238" s="3" t="str">
        <f>IFERROR(__xludf.DUMMYFUNCTION("""COMPUTED_VALUE"""),"วพอ.พอ.")</f>
        <v>วพอ.พอ.</v>
      </c>
      <c r="J238" s="12">
        <f>IFERROR(__xludf.DUMMYFUNCTION("""COMPUTED_VALUE"""),45959.0)</f>
        <v>45959</v>
      </c>
      <c r="K238" s="3" t="str">
        <f>IFERROR(__xludf.DUMMYFUNCTION("""COMPUTED_VALUE"""),"0730")</f>
        <v>0730</v>
      </c>
      <c r="L238" s="3">
        <f>IFERROR(__xludf.DUMMYFUNCTION("""COMPUTED_VALUE"""),1.0)</f>
        <v>1</v>
      </c>
      <c r="M238" s="3" t="str">
        <f>IFERROR(__xludf.DUMMYFUNCTION("""COMPUTED_VALUE"""),"ร.อ.อนุชิต ทำจะดี")</f>
        <v>ร.อ.อนุชิต ทำจะดี</v>
      </c>
      <c r="N238" s="14" t="str">
        <f>IFERROR(__xludf.DUMMYFUNCTION("""COMPUTED_VALUE"""),"https://lh5.googleusercontent.com/d/1I5WNu6w_H_srlZgXwxy4sTrqpXFDsiDo")</f>
        <v>https://lh5.googleusercontent.com/d/1I5WNu6w_H_srlZgXwxy4sTrqpXFDsiDo</v>
      </c>
      <c r="O238" s="14" t="str">
        <f>IFERROR(__xludf.DUMMYFUNCTION("""COMPUTED_VALUE"""),"https://drive.google.com/file/d/1wPspcLBFUotCgmfMZESuLJKtv50ghqZ9/view?usp=drivesdk")</f>
        <v>https://drive.google.com/file/d/1wPspcLBFUotCgmfMZESuLJKtv50ghqZ9/view?usp=drivesdk</v>
      </c>
    </row>
    <row r="239">
      <c r="A239" s="3">
        <f>IFERROR(__xludf.DUMMYFUNCTION("""COMPUTED_VALUE"""),1535.0)</f>
        <v>1535</v>
      </c>
      <c r="B239" s="11">
        <f>IFERROR(__xludf.DUMMYFUNCTION("""COMPUTED_VALUE"""),45999.646422384256)</f>
        <v>45999.64642</v>
      </c>
      <c r="C239" s="3" t="str">
        <f>IFERROR(__xludf.DUMMYFUNCTION("""COMPUTED_VALUE"""),"ชั้นปีที่ 1")</f>
        <v>ชั้นปีที่ 1</v>
      </c>
      <c r="D239" s="3" t="str">
        <f>IFERROR(__xludf.DUMMYFUNCTION("""COMPUTED_VALUE"""),"6803897")</f>
        <v>6803897</v>
      </c>
      <c r="E239" s="3" t="str">
        <f>IFERROR(__xludf.DUMMYFUNCTION("""COMPUTED_VALUE"""),"16")</f>
        <v>16</v>
      </c>
      <c r="F239" s="3" t="str">
        <f>IFERROR(__xludf.DUMMYFUNCTION("""COMPUTED_VALUE"""),"นพอ.ณัฐญา ชลอปัญจศิลป์")</f>
        <v>นพอ.ณัฐญา ชลอปัญจศิลป์</v>
      </c>
      <c r="G2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39" s="3" t="str">
        <f>IFERROR(__xludf.DUMMYFUNCTION("""COMPUTED_VALUE"""),"อบรมงานไซเบอร์")</f>
        <v>อบรมงานไซเบอร์</v>
      </c>
      <c r="I239" s="3" t="str">
        <f>IFERROR(__xludf.DUMMYFUNCTION("""COMPUTED_VALUE"""),"บก.ทท.")</f>
        <v>บก.ทท.</v>
      </c>
      <c r="J239" s="12">
        <f>IFERROR(__xludf.DUMMYFUNCTION("""COMPUTED_VALUE"""),45907.0)</f>
        <v>45907</v>
      </c>
      <c r="K239" s="3" t="str">
        <f>IFERROR(__xludf.DUMMYFUNCTION("""COMPUTED_VALUE"""),"0800-1600")</f>
        <v>0800-1600</v>
      </c>
      <c r="L239" s="3">
        <f>IFERROR(__xludf.DUMMYFUNCTION("""COMPUTED_VALUE"""),8.0)</f>
        <v>8</v>
      </c>
      <c r="M239" s="3" t="str">
        <f>IFERROR(__xludf.DUMMYFUNCTION("""COMPUTED_VALUE"""),"ร.อ.อนุชิต ทำจะดี")</f>
        <v>ร.อ.อนุชิต ทำจะดี</v>
      </c>
      <c r="N239" s="14" t="str">
        <f>IFERROR(__xludf.DUMMYFUNCTION("""COMPUTED_VALUE"""),"https://lh5.googleusercontent.com/d/1U_iqrBcohHSL9tzAOhn5XlTN5HgxvfSN")</f>
        <v>https://lh5.googleusercontent.com/d/1U_iqrBcohHSL9tzAOhn5XlTN5HgxvfSN</v>
      </c>
      <c r="O239" s="14" t="str">
        <f>IFERROR(__xludf.DUMMYFUNCTION("""COMPUTED_VALUE"""),"https://drive.google.com/file/d/1jWLZtf029Y7XUZPC1HFG5GiY2HAeXput/view?usp=drivesdk")</f>
        <v>https://drive.google.com/file/d/1jWLZtf029Y7XUZPC1HFG5GiY2HAeXput/view?usp=drivesdk</v>
      </c>
    </row>
    <row r="240">
      <c r="A240" s="3">
        <f>IFERROR(__xludf.DUMMYFUNCTION("""COMPUTED_VALUE"""),1536.0)</f>
        <v>1536</v>
      </c>
      <c r="B240" s="11">
        <f>IFERROR(__xludf.DUMMYFUNCTION("""COMPUTED_VALUE"""),45999.64741846065)</f>
        <v>45999.64742</v>
      </c>
      <c r="C240" s="3" t="str">
        <f>IFERROR(__xludf.DUMMYFUNCTION("""COMPUTED_VALUE"""),"ชั้นปีที่ 1")</f>
        <v>ชั้นปีที่ 1</v>
      </c>
      <c r="D240" s="3" t="str">
        <f>IFERROR(__xludf.DUMMYFUNCTION("""COMPUTED_VALUE"""),"6803889")</f>
        <v>6803889</v>
      </c>
      <c r="E240" s="3" t="str">
        <f>IFERROR(__xludf.DUMMYFUNCTION("""COMPUTED_VALUE"""),"8")</f>
        <v>8</v>
      </c>
      <c r="F240" s="3" t="str">
        <f>IFERROR(__xludf.DUMMYFUNCTION("""COMPUTED_VALUE"""),"นพอ.กุลิสรา ตุ่นคำ")</f>
        <v>นพอ.กุลิสรา ตุ่นคำ</v>
      </c>
      <c r="G240" s="3" t="str">
        <f>IFERROR(__xludf.DUMMYFUNCTION("""COMPUTED_VALUE"""),"ช่วยเหลืองานภายใน วพอ.")</f>
        <v>ช่วยเหลืองานภายใน วพอ.</v>
      </c>
      <c r="H240" s="3" t="str">
        <f>IFERROR(__xludf.DUMMYFUNCTION("""COMPUTED_VALUE"""),"ดุริยางค์")</f>
        <v>ดุริยางค์</v>
      </c>
      <c r="I240" s="3" t="str">
        <f>IFERROR(__xludf.DUMMYFUNCTION("""COMPUTED_VALUE"""),"วพอ.พอ.")</f>
        <v>วพอ.พอ.</v>
      </c>
      <c r="J240" s="12">
        <f>IFERROR(__xludf.DUMMYFUNCTION("""COMPUTED_VALUE"""),45975.0)</f>
        <v>45975</v>
      </c>
      <c r="K240" s="3" t="str">
        <f>IFERROR(__xludf.DUMMYFUNCTION("""COMPUTED_VALUE"""),"0720")</f>
        <v>0720</v>
      </c>
      <c r="L240" s="3">
        <f>IFERROR(__xludf.DUMMYFUNCTION("""COMPUTED_VALUE"""),1.0)</f>
        <v>1</v>
      </c>
      <c r="M240" s="3" t="str">
        <f>IFERROR(__xludf.DUMMYFUNCTION("""COMPUTED_VALUE"""),"ร.อ.อนุชิต ทำจะดี")</f>
        <v>ร.อ.อนุชิต ทำจะดี</v>
      </c>
      <c r="N240" s="14" t="str">
        <f>IFERROR(__xludf.DUMMYFUNCTION("""COMPUTED_VALUE"""),"https://lh5.googleusercontent.com/d/1Fli1w-SQsVfL_23ouDrEdVpdJmS3il9r")</f>
        <v>https://lh5.googleusercontent.com/d/1Fli1w-SQsVfL_23ouDrEdVpdJmS3il9r</v>
      </c>
      <c r="O240" s="14" t="str">
        <f>IFERROR(__xludf.DUMMYFUNCTION("""COMPUTED_VALUE"""),"https://drive.google.com/file/d/1Ju3Wir8KgBut4UHbX3Aly6rbpR4o_5Pm/view?usp=drivesdk")</f>
        <v>https://drive.google.com/file/d/1Ju3Wir8KgBut4UHbX3Aly6rbpR4o_5Pm/view?usp=drivesdk</v>
      </c>
    </row>
    <row r="241">
      <c r="A241" s="3">
        <f>IFERROR(__xludf.DUMMYFUNCTION("""COMPUTED_VALUE"""),1537.0)</f>
        <v>1537</v>
      </c>
      <c r="B241" s="11">
        <f>IFERROR(__xludf.DUMMYFUNCTION("""COMPUTED_VALUE"""),45999.64872025463)</f>
        <v>45999.64872</v>
      </c>
      <c r="C241" s="3" t="str">
        <f>IFERROR(__xludf.DUMMYFUNCTION("""COMPUTED_VALUE"""),"ชั้นปีที่ 1")</f>
        <v>ชั้นปีที่ 1</v>
      </c>
      <c r="D241" s="3" t="str">
        <f>IFERROR(__xludf.DUMMYFUNCTION("""COMPUTED_VALUE"""),"6803935")</f>
        <v>6803935</v>
      </c>
      <c r="E241" s="3" t="str">
        <f>IFERROR(__xludf.DUMMYFUNCTION("""COMPUTED_VALUE"""),"54")</f>
        <v>54</v>
      </c>
      <c r="F241" s="3" t="str">
        <f>IFERROR(__xludf.DUMMYFUNCTION("""COMPUTED_VALUE"""),"นพอ.วีรวัฒน์ ทัศน์จันดา")</f>
        <v>นพอ.วีรวัฒน์ ทัศน์จันดา</v>
      </c>
      <c r="G241" s="3" t="str">
        <f>IFERROR(__xludf.DUMMYFUNCTION("""COMPUTED_VALUE"""),"ช่วยเหลืองานภายใน วพอ.")</f>
        <v>ช่วยเหลืองานภายใน วพอ.</v>
      </c>
      <c r="H241" s="3" t="str">
        <f>IFERROR(__xludf.DUMMYFUNCTION("""COMPUTED_VALUE"""),"เล่นดุริยางค์")</f>
        <v>เล่นดุริยางค์</v>
      </c>
      <c r="I241" s="3" t="str">
        <f>IFERROR(__xludf.DUMMYFUNCTION("""COMPUTED_VALUE"""),"วพอ.พอ.")</f>
        <v>วพอ.พอ.</v>
      </c>
      <c r="J241" s="12">
        <f>IFERROR(__xludf.DUMMYFUNCTION("""COMPUTED_VALUE"""),45952.0)</f>
        <v>45952</v>
      </c>
      <c r="K241" s="3" t="str">
        <f>IFERROR(__xludf.DUMMYFUNCTION("""COMPUTED_VALUE"""),"0730")</f>
        <v>0730</v>
      </c>
      <c r="L241" s="3">
        <f>IFERROR(__xludf.DUMMYFUNCTION("""COMPUTED_VALUE"""),1.0)</f>
        <v>1</v>
      </c>
      <c r="M241" s="3" t="str">
        <f>IFERROR(__xludf.DUMMYFUNCTION("""COMPUTED_VALUE"""),"ร.อ.อนุชิต ทำจะดี")</f>
        <v>ร.อ.อนุชิต ทำจะดี</v>
      </c>
      <c r="N241" s="14" t="str">
        <f>IFERROR(__xludf.DUMMYFUNCTION("""COMPUTED_VALUE"""),"https://lh5.googleusercontent.com/d/11OpGpCnYS3_6NxErZnLShg-BPF_A-Tou")</f>
        <v>https://lh5.googleusercontent.com/d/11OpGpCnYS3_6NxErZnLShg-BPF_A-Tou</v>
      </c>
      <c r="O241" s="14" t="str">
        <f>IFERROR(__xludf.DUMMYFUNCTION("""COMPUTED_VALUE"""),"https://drive.google.com/file/d/1En0me2x6arXMk7ThvSgjIFr8aUIrgqI4/view?usp=drivesdk")</f>
        <v>https://drive.google.com/file/d/1En0me2x6arXMk7ThvSgjIFr8aUIrgqI4/view?usp=drivesdk</v>
      </c>
    </row>
    <row r="242">
      <c r="A242" s="3">
        <f>IFERROR(__xludf.DUMMYFUNCTION("""COMPUTED_VALUE"""),1539.0)</f>
        <v>1539</v>
      </c>
      <c r="B242" s="11">
        <f>IFERROR(__xludf.DUMMYFUNCTION("""COMPUTED_VALUE"""),45999.65078362269)</f>
        <v>45999.65078</v>
      </c>
      <c r="C242" s="3" t="str">
        <f>IFERROR(__xludf.DUMMYFUNCTION("""COMPUTED_VALUE"""),"ชั้นปีที่ 1")</f>
        <v>ชั้นปีที่ 1</v>
      </c>
      <c r="D242" s="3" t="str">
        <f>IFERROR(__xludf.DUMMYFUNCTION("""COMPUTED_VALUE"""),"6803889")</f>
        <v>6803889</v>
      </c>
      <c r="E242" s="3" t="str">
        <f>IFERROR(__xludf.DUMMYFUNCTION("""COMPUTED_VALUE"""),"8")</f>
        <v>8</v>
      </c>
      <c r="F242" s="3" t="str">
        <f>IFERROR(__xludf.DUMMYFUNCTION("""COMPUTED_VALUE"""),"นพอ.กุลิสรา ตุ่นคำ")</f>
        <v>นพอ.กุลิสรา ตุ่นคำ</v>
      </c>
      <c r="G242" s="3" t="str">
        <f>IFERROR(__xludf.DUMMYFUNCTION("""COMPUTED_VALUE"""),"ช่วยเหลืองานภายใน วพอ.")</f>
        <v>ช่วยเหลืองานภายใน วพอ.</v>
      </c>
      <c r="H242" s="3" t="str">
        <f>IFERROR(__xludf.DUMMYFUNCTION("""COMPUTED_VALUE"""),"ดุริยางค์")</f>
        <v>ดุริยางค์</v>
      </c>
      <c r="I242" s="3" t="str">
        <f>IFERROR(__xludf.DUMMYFUNCTION("""COMPUTED_VALUE"""),"วพอ.พอ")</f>
        <v>วพอ.พอ</v>
      </c>
      <c r="J242" s="12">
        <f>IFERROR(__xludf.DUMMYFUNCTION("""COMPUTED_VALUE"""),45989.0)</f>
        <v>45989</v>
      </c>
      <c r="K242" s="3" t="str">
        <f>IFERROR(__xludf.DUMMYFUNCTION("""COMPUTED_VALUE"""),"0720")</f>
        <v>0720</v>
      </c>
      <c r="L242" s="3">
        <f>IFERROR(__xludf.DUMMYFUNCTION("""COMPUTED_VALUE"""),1.0)</f>
        <v>1</v>
      </c>
      <c r="M242" s="3" t="str">
        <f>IFERROR(__xludf.DUMMYFUNCTION("""COMPUTED_VALUE"""),"ร.อ.อนุชิต ทำจะดี")</f>
        <v>ร.อ.อนุชิต ทำจะดี</v>
      </c>
      <c r="N242" s="14" t="str">
        <f>IFERROR(__xludf.DUMMYFUNCTION("""COMPUTED_VALUE"""),"https://lh5.googleusercontent.com/d/1F2jfmgT3vd7qP5vznfUmdgqm8862fCKC")</f>
        <v>https://lh5.googleusercontent.com/d/1F2jfmgT3vd7qP5vznfUmdgqm8862fCKC</v>
      </c>
      <c r="O242" s="14" t="str">
        <f>IFERROR(__xludf.DUMMYFUNCTION("""COMPUTED_VALUE"""),"https://drive.google.com/file/d/1R5KqYhLPJg3CUkvhubJrYOFPjWfneR0Q/view?usp=drivesdk")</f>
        <v>https://drive.google.com/file/d/1R5KqYhLPJg3CUkvhubJrYOFPjWfneR0Q/view?usp=drivesdk</v>
      </c>
    </row>
    <row r="243">
      <c r="A243" s="3">
        <f>IFERROR(__xludf.DUMMYFUNCTION("""COMPUTED_VALUE"""),1540.0)</f>
        <v>1540</v>
      </c>
      <c r="B243" s="11">
        <f>IFERROR(__xludf.DUMMYFUNCTION("""COMPUTED_VALUE"""),45999.65105956019)</f>
        <v>45999.65106</v>
      </c>
      <c r="C243" s="3" t="str">
        <f>IFERROR(__xludf.DUMMYFUNCTION("""COMPUTED_VALUE"""),"ชั้นปีที่ 1")</f>
        <v>ชั้นปีที่ 1</v>
      </c>
      <c r="D243" s="3" t="str">
        <f>IFERROR(__xludf.DUMMYFUNCTION("""COMPUTED_VALUE"""),"เบญจวรรณ มณีแนว")</f>
        <v>เบญจวรรณ มณีแนว</v>
      </c>
      <c r="E243" s="3" t="str">
        <f>IFERROR(__xludf.DUMMYFUNCTION("""COMPUTED_VALUE"""),"31")</f>
        <v>31</v>
      </c>
      <c r="F243" s="3" t="str">
        <f>IFERROR(__xludf.DUMMYFUNCTION("""COMPUTED_VALUE"""),"เบญจวรรณ มณีแนว")</f>
        <v>เบญจวรรณ มณีแนว</v>
      </c>
      <c r="G243" s="3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243" s="3" t="str">
        <f>IFERROR(__xludf.DUMMYFUNCTION("""COMPUTED_VALUE"""),"ไซเบอร์")</f>
        <v>ไซเบอร์</v>
      </c>
      <c r="I243" s="3" t="str">
        <f>IFERROR(__xludf.DUMMYFUNCTION("""COMPUTED_VALUE"""),"กองบัญชาการกองทัพไทย")</f>
        <v>กองบัญชาการกองทัพไทย</v>
      </c>
      <c r="J243" s="12">
        <f>IFERROR(__xludf.DUMMYFUNCTION("""COMPUTED_VALUE"""),45907.0)</f>
        <v>45907</v>
      </c>
      <c r="K243" s="3" t="str">
        <f>IFERROR(__xludf.DUMMYFUNCTION("""COMPUTED_VALUE"""),"0700-1700")</f>
        <v>0700-1700</v>
      </c>
      <c r="L243" s="3">
        <f>IFERROR(__xludf.DUMMYFUNCTION("""COMPUTED_VALUE"""),8.0)</f>
        <v>8</v>
      </c>
      <c r="M243" s="3" t="str">
        <f>IFERROR(__xludf.DUMMYFUNCTION("""COMPUTED_VALUE"""),"ร.อ.อนุชิต ทำจะดี")</f>
        <v>ร.อ.อนุชิต ทำจะดี</v>
      </c>
      <c r="N243" s="14" t="str">
        <f>IFERROR(__xludf.DUMMYFUNCTION("""COMPUTED_VALUE"""),"https://lh5.googleusercontent.com/d/1BBaBUu3ChjHgysKlzCcfj1bFUewcecfl")</f>
        <v>https://lh5.googleusercontent.com/d/1BBaBUu3ChjHgysKlzCcfj1bFUewcecfl</v>
      </c>
      <c r="O243" s="14" t="str">
        <f>IFERROR(__xludf.DUMMYFUNCTION("""COMPUTED_VALUE"""),"https://drive.google.com/file/d/1m8KW8XM5Zl887U5l3vKa3ceJ9YwBAJV0/view?usp=drivesdk")</f>
        <v>https://drive.google.com/file/d/1m8KW8XM5Zl887U5l3vKa3ceJ9YwBAJV0/view?usp=drivesdk</v>
      </c>
    </row>
    <row r="244">
      <c r="A244" s="3">
        <f>IFERROR(__xludf.DUMMYFUNCTION("""COMPUTED_VALUE"""),1544.0)</f>
        <v>1544</v>
      </c>
      <c r="B244" s="11">
        <f>IFERROR(__xludf.DUMMYFUNCTION("""COMPUTED_VALUE"""),45999.65319982639)</f>
        <v>45999.6532</v>
      </c>
      <c r="C244" s="3" t="str">
        <f>IFERROR(__xludf.DUMMYFUNCTION("""COMPUTED_VALUE"""),"ชั้นปีที่ 1")</f>
        <v>ชั้นปีที่ 1</v>
      </c>
      <c r="D244" s="3" t="str">
        <f>IFERROR(__xludf.DUMMYFUNCTION("""COMPUTED_VALUE"""),"6803922")</f>
        <v>6803922</v>
      </c>
      <c r="E244" s="3" t="str">
        <f>IFERROR(__xludf.DUMMYFUNCTION("""COMPUTED_VALUE"""),"41")</f>
        <v>41</v>
      </c>
      <c r="F244" s="3" t="str">
        <f>IFERROR(__xludf.DUMMYFUNCTION("""COMPUTED_VALUE"""),"นพอ.พินิษา อินทร์ศวร")</f>
        <v>นพอ.พินิษา อินทร์ศวร</v>
      </c>
      <c r="G244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44" s="3" t="str">
        <f>IFERROR(__xludf.DUMMYFUNCTION("""COMPUTED_VALUE"""),"เต่าตัวน้อยกับรอยตระไคร่ที่หายไป")</f>
        <v>เต่าตัวน้อยกับรอยตระไคร่ที่หายไป</v>
      </c>
      <c r="I244" s="3" t="str">
        <f>IFERROR(__xludf.DUMMYFUNCTION("""COMPUTED_VALUE"""),"ศูนย์อนุรักษ์พันธุ์เต่าทะเล อ.สัตหีบ จ.ชลบุรี")</f>
        <v>ศูนย์อนุรักษ์พันธุ์เต่าทะเล อ.สัตหีบ จ.ชลบุรี</v>
      </c>
      <c r="J244" s="12">
        <f>IFERROR(__xludf.DUMMYFUNCTION("""COMPUTED_VALUE"""),45885.0)</f>
        <v>45885</v>
      </c>
      <c r="K244" s="3" t="str">
        <f>IFERROR(__xludf.DUMMYFUNCTION("""COMPUTED_VALUE"""),"08.00-13.00")</f>
        <v>08.00-13.00</v>
      </c>
      <c r="L244" s="3">
        <f>IFERROR(__xludf.DUMMYFUNCTION("""COMPUTED_VALUE"""),4.0)</f>
        <v>4</v>
      </c>
      <c r="M244" s="3" t="str">
        <f>IFERROR(__xludf.DUMMYFUNCTION("""COMPUTED_VALUE"""),"ทิพย์ชยพล ปาริณาพัฒน์นรี")</f>
        <v>ทิพย์ชยพล ปาริณาพัฒน์นรี</v>
      </c>
      <c r="N244" s="14" t="str">
        <f>IFERROR(__xludf.DUMMYFUNCTION("""COMPUTED_VALUE"""),"https://lh5.googleusercontent.com/d/1lSfJlv3pCr14oFa8TaD0r0mM2_nA2c9u")</f>
        <v>https://lh5.googleusercontent.com/d/1lSfJlv3pCr14oFa8TaD0r0mM2_nA2c9u</v>
      </c>
      <c r="O244" s="14" t="str">
        <f>IFERROR(__xludf.DUMMYFUNCTION("""COMPUTED_VALUE"""),"https://drive.google.com/file/d/1pYVZEUxr6rRv38Rz9lDaVrWlNcJoqdU3/view?usp=drivesdk")</f>
        <v>https://drive.google.com/file/d/1pYVZEUxr6rRv38Rz9lDaVrWlNcJoqdU3/view?usp=drivesdk</v>
      </c>
    </row>
    <row r="245">
      <c r="A245" s="3">
        <f>IFERROR(__xludf.DUMMYFUNCTION("""COMPUTED_VALUE"""),1545.0)</f>
        <v>1545</v>
      </c>
      <c r="B245" s="11">
        <f>IFERROR(__xludf.DUMMYFUNCTION("""COMPUTED_VALUE"""),45999.654399467596)</f>
        <v>45999.6544</v>
      </c>
      <c r="C245" s="3" t="str">
        <f>IFERROR(__xludf.DUMMYFUNCTION("""COMPUTED_VALUE"""),"ชั้นปีที่ 1")</f>
        <v>ชั้นปีที่ 1</v>
      </c>
      <c r="D245" s="3" t="str">
        <f>IFERROR(__xludf.DUMMYFUNCTION("""COMPUTED_VALUE"""),"6803912")</f>
        <v>6803912</v>
      </c>
      <c r="E245" s="3" t="str">
        <f>IFERROR(__xludf.DUMMYFUNCTION("""COMPUTED_VALUE"""),"31")</f>
        <v>31</v>
      </c>
      <c r="F245" s="3" t="str">
        <f>IFERROR(__xludf.DUMMYFUNCTION("""COMPUTED_VALUE"""),"เบญจวรรณ มณีแนว")</f>
        <v>เบญจวรรณ มณีแนว</v>
      </c>
      <c r="G245" s="3" t="str">
        <f>IFERROR(__xludf.DUMMYFUNCTION("""COMPUTED_VALUE"""),"ช่วยเหลืองานภายใน วพอ.")</f>
        <v>ช่วยเหลืองานภายใน วพอ.</v>
      </c>
      <c r="H245" s="3" t="str">
        <f>IFERROR(__xludf.DUMMYFUNCTION("""COMPUTED_VALUE"""),"ดุริยางค์")</f>
        <v>ดุริยางค์</v>
      </c>
      <c r="I245" s="3" t="str">
        <f>IFERROR(__xludf.DUMMYFUNCTION("""COMPUTED_VALUE"""),"หน้าคุณพ่อ")</f>
        <v>หน้าคุณพ่อ</v>
      </c>
      <c r="J245" s="12">
        <f>IFERROR(__xludf.DUMMYFUNCTION("""COMPUTED_VALUE"""),45964.0)</f>
        <v>45964</v>
      </c>
      <c r="K245" s="3" t="str">
        <f>IFERROR(__xludf.DUMMYFUNCTION("""COMPUTED_VALUE"""),"0730-0745")</f>
        <v>0730-0745</v>
      </c>
      <c r="L245" s="3">
        <f>IFERROR(__xludf.DUMMYFUNCTION("""COMPUTED_VALUE"""),1.0)</f>
        <v>1</v>
      </c>
      <c r="M245" s="3" t="str">
        <f>IFERROR(__xludf.DUMMYFUNCTION("""COMPUTED_VALUE"""),"ร.อ.อนุชิต ทำจะดี")</f>
        <v>ร.อ.อนุชิต ทำจะดี</v>
      </c>
      <c r="N245" s="14" t="str">
        <f>IFERROR(__xludf.DUMMYFUNCTION("""COMPUTED_VALUE"""),"https://lh5.googleusercontent.com/d/1OVwJxOMc48wl9Y9K8YO3p5IYL2fc0aLY")</f>
        <v>https://lh5.googleusercontent.com/d/1OVwJxOMc48wl9Y9K8YO3p5IYL2fc0aLY</v>
      </c>
      <c r="O245" s="14" t="str">
        <f>IFERROR(__xludf.DUMMYFUNCTION("""COMPUTED_VALUE"""),"https://drive.google.com/file/d/12gF70yEGn2Unkc5E0sHb1Jg0NgmwKSsT/view?usp=drivesdk")</f>
        <v>https://drive.google.com/file/d/12gF70yEGn2Unkc5E0sHb1Jg0NgmwKSsT/view?usp=drivesdk</v>
      </c>
    </row>
    <row r="246">
      <c r="A246" s="3">
        <f>IFERROR(__xludf.DUMMYFUNCTION("""COMPUTED_VALUE"""),1546.0)</f>
        <v>1546</v>
      </c>
      <c r="B246" s="11">
        <f>IFERROR(__xludf.DUMMYFUNCTION("""COMPUTED_VALUE"""),45999.65489640046)</f>
        <v>45999.6549</v>
      </c>
      <c r="C246" s="3" t="str">
        <f>IFERROR(__xludf.DUMMYFUNCTION("""COMPUTED_VALUE"""),"ชั้นปีที่ 1")</f>
        <v>ชั้นปีที่ 1</v>
      </c>
      <c r="D246" s="3" t="str">
        <f>IFERROR(__xludf.DUMMYFUNCTION("""COMPUTED_VALUE"""),"6803919")</f>
        <v>6803919</v>
      </c>
      <c r="E246" s="3" t="str">
        <f>IFERROR(__xludf.DUMMYFUNCTION("""COMPUTED_VALUE"""),"38")</f>
        <v>38</v>
      </c>
      <c r="F246" s="3" t="str">
        <f>IFERROR(__xludf.DUMMYFUNCTION("""COMPUTED_VALUE"""),"นพอ.พลอยปภัส มากใหม่")</f>
        <v>นพอ.พลอยปภัส มากใหม่</v>
      </c>
      <c r="G246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46" s="3" t="str">
        <f>IFERROR(__xludf.DUMMYFUNCTION("""COMPUTED_VALUE"""),"ลงนามถวายพระพรเนื่องในโอกาสศวรรคตพระพันปรหลวง")</f>
        <v>ลงนามถวายพระพรเนื่องในโอกาสศวรรคตพระพันปรหลวง</v>
      </c>
      <c r="I246" s="3" t="str">
        <f>IFERROR(__xludf.DUMMYFUNCTION("""COMPUTED_VALUE"""),"วิทยาลัยพยาบาลทหารอากาศ")</f>
        <v>วิทยาลัยพยาบาลทหารอากาศ</v>
      </c>
      <c r="J246" s="12">
        <f>IFERROR(__xludf.DUMMYFUNCTION("""COMPUTED_VALUE"""),45991.0)</f>
        <v>45991</v>
      </c>
      <c r="K246" s="3" t="str">
        <f>IFERROR(__xludf.DUMMYFUNCTION("""COMPUTED_VALUE"""),"8:00")</f>
        <v>8:00</v>
      </c>
      <c r="L246" s="3">
        <f>IFERROR(__xludf.DUMMYFUNCTION("""COMPUTED_VALUE"""),1.0)</f>
        <v>1</v>
      </c>
      <c r="M246" s="3" t="str">
        <f>IFERROR(__xludf.DUMMYFUNCTION("""COMPUTED_VALUE"""),"วิทยาลัยพยาบาลทหารอากาศ")</f>
        <v>วิทยาลัยพยาบาลทหารอากาศ</v>
      </c>
      <c r="N246" s="14" t="str">
        <f>IFERROR(__xludf.DUMMYFUNCTION("""COMPUTED_VALUE"""),"https://lh5.googleusercontent.com/d/1-_Xcz6aZuOIQUxIXZgeTU2Q9E7COTlE3")</f>
        <v>https://lh5.googleusercontent.com/d/1-_Xcz6aZuOIQUxIXZgeTU2Q9E7COTlE3</v>
      </c>
      <c r="O246" s="14" t="str">
        <f>IFERROR(__xludf.DUMMYFUNCTION("""COMPUTED_VALUE"""),"https://drive.google.com/file/d/1qiTbsCfHSQ3lE-sa9BjQQoJbwCNfLadO/view?usp=drivesdk")</f>
        <v>https://drive.google.com/file/d/1qiTbsCfHSQ3lE-sa9BjQQoJbwCNfLadO/view?usp=drivesdk</v>
      </c>
    </row>
    <row r="247">
      <c r="A247" s="3">
        <f>IFERROR(__xludf.DUMMYFUNCTION("""COMPUTED_VALUE"""),1548.0)</f>
        <v>1548</v>
      </c>
      <c r="B247" s="11">
        <f>IFERROR(__xludf.DUMMYFUNCTION("""COMPUTED_VALUE"""),45999.6564549074)</f>
        <v>45999.65645</v>
      </c>
      <c r="C247" s="3" t="str">
        <f>IFERROR(__xludf.DUMMYFUNCTION("""COMPUTED_VALUE"""),"ชั้นปีที่ 1")</f>
        <v>ชั้นปีที่ 1</v>
      </c>
      <c r="D247" s="3" t="str">
        <f>IFERROR(__xludf.DUMMYFUNCTION("""COMPUTED_VALUE"""),"6803912")</f>
        <v>6803912</v>
      </c>
      <c r="E247" s="3" t="str">
        <f>IFERROR(__xludf.DUMMYFUNCTION("""COMPUTED_VALUE"""),"31")</f>
        <v>31</v>
      </c>
      <c r="F247" s="3" t="str">
        <f>IFERROR(__xludf.DUMMYFUNCTION("""COMPUTED_VALUE"""),"เบญจวรรณ มณีแนว")</f>
        <v>เบญจวรรณ มณีแนว</v>
      </c>
      <c r="G247" s="3" t="str">
        <f>IFERROR(__xludf.DUMMYFUNCTION("""COMPUTED_VALUE"""),"ช่วยเหลืองานภายใน วพอ.")</f>
        <v>ช่วยเหลืองานภายใน วพอ.</v>
      </c>
      <c r="H247" s="3" t="str">
        <f>IFERROR(__xludf.DUMMYFUNCTION("""COMPUTED_VALUE"""),"ดุริยางค์")</f>
        <v>ดุริยางค์</v>
      </c>
      <c r="I247" s="3" t="str">
        <f>IFERROR(__xludf.DUMMYFUNCTION("""COMPUTED_VALUE"""),"หน้าคุณพ่อ")</f>
        <v>หน้าคุณพ่อ</v>
      </c>
      <c r="J247" s="12">
        <f>IFERROR(__xludf.DUMMYFUNCTION("""COMPUTED_VALUE"""),45989.0)</f>
        <v>45989</v>
      </c>
      <c r="K247" s="3" t="str">
        <f>IFERROR(__xludf.DUMMYFUNCTION("""COMPUTED_VALUE"""),"0730-0745")</f>
        <v>0730-0745</v>
      </c>
      <c r="L247" s="3">
        <f>IFERROR(__xludf.DUMMYFUNCTION("""COMPUTED_VALUE"""),1.0)</f>
        <v>1</v>
      </c>
      <c r="M247" s="3" t="str">
        <f>IFERROR(__xludf.DUMMYFUNCTION("""COMPUTED_VALUE"""),"ร.อ.อนุชิต ทำจะดี")</f>
        <v>ร.อ.อนุชิต ทำจะดี</v>
      </c>
      <c r="N247" s="14" t="str">
        <f>IFERROR(__xludf.DUMMYFUNCTION("""COMPUTED_VALUE"""),"https://lh5.googleusercontent.com/d/1DNf6PUVr0oEpMddmV2eX93vA5V99QKP0")</f>
        <v>https://lh5.googleusercontent.com/d/1DNf6PUVr0oEpMddmV2eX93vA5V99QKP0</v>
      </c>
      <c r="O247" s="14" t="str">
        <f>IFERROR(__xludf.DUMMYFUNCTION("""COMPUTED_VALUE"""),"https://drive.google.com/file/d/1SVQVP9KxSxzf5HahgnbzXeU2pXSeftPQ/view?usp=drivesdk")</f>
        <v>https://drive.google.com/file/d/1SVQVP9KxSxzf5HahgnbzXeU2pXSeftPQ/view?usp=drivesdk</v>
      </c>
    </row>
    <row r="248">
      <c r="A248" s="3">
        <f>IFERROR(__xludf.DUMMYFUNCTION("""COMPUTED_VALUE"""),1549.0)</f>
        <v>1549</v>
      </c>
      <c r="B248" s="11">
        <f>IFERROR(__xludf.DUMMYFUNCTION("""COMPUTED_VALUE"""),45999.658308067126)</f>
        <v>45999.65831</v>
      </c>
      <c r="C248" s="3" t="str">
        <f>IFERROR(__xludf.DUMMYFUNCTION("""COMPUTED_VALUE"""),"ชั้นปีที่ 1")</f>
        <v>ชั้นปีที่ 1</v>
      </c>
      <c r="D248" s="3" t="str">
        <f>IFERROR(__xludf.DUMMYFUNCTION("""COMPUTED_VALUE"""),"6803912")</f>
        <v>6803912</v>
      </c>
      <c r="E248" s="3" t="str">
        <f>IFERROR(__xludf.DUMMYFUNCTION("""COMPUTED_VALUE"""),"31")</f>
        <v>31</v>
      </c>
      <c r="F248" s="3" t="str">
        <f>IFERROR(__xludf.DUMMYFUNCTION("""COMPUTED_VALUE"""),"เบญจวรรณ มณีแนว")</f>
        <v>เบญจวรรณ มณีแนว</v>
      </c>
      <c r="G248" s="3" t="str">
        <f>IFERROR(__xludf.DUMMYFUNCTION("""COMPUTED_VALUE"""),"ช่วยเหลืองานภายใน วพอ.")</f>
        <v>ช่วยเหลืองานภายใน วพอ.</v>
      </c>
      <c r="H248" s="3" t="str">
        <f>IFERROR(__xludf.DUMMYFUNCTION("""COMPUTED_VALUE"""),"ดุริยางค์")</f>
        <v>ดุริยางค์</v>
      </c>
      <c r="I248" s="3" t="str">
        <f>IFERROR(__xludf.DUMMYFUNCTION("""COMPUTED_VALUE"""),"หน้าคุณพ่อ")</f>
        <v>หน้าคุณพ่อ</v>
      </c>
      <c r="J248" s="12">
        <f>IFERROR(__xludf.DUMMYFUNCTION("""COMPUTED_VALUE"""),45960.0)</f>
        <v>45960</v>
      </c>
      <c r="K248" s="3" t="str">
        <f>IFERROR(__xludf.DUMMYFUNCTION("""COMPUTED_VALUE"""),"0730-0745")</f>
        <v>0730-0745</v>
      </c>
      <c r="L248" s="3">
        <f>IFERROR(__xludf.DUMMYFUNCTION("""COMPUTED_VALUE"""),1.0)</f>
        <v>1</v>
      </c>
      <c r="M248" s="3" t="str">
        <f>IFERROR(__xludf.DUMMYFUNCTION("""COMPUTED_VALUE"""),"ร.อ.อนุชิต ทำจะดี")</f>
        <v>ร.อ.อนุชิต ทำจะดี</v>
      </c>
      <c r="N248" s="14" t="str">
        <f>IFERROR(__xludf.DUMMYFUNCTION("""COMPUTED_VALUE"""),"https://lh5.googleusercontent.com/d/1c6lrGGvHqOFjVArRF-FvsPhfLTgAZqEU")</f>
        <v>https://lh5.googleusercontent.com/d/1c6lrGGvHqOFjVArRF-FvsPhfLTgAZqEU</v>
      </c>
      <c r="O248" s="14" t="str">
        <f>IFERROR(__xludf.DUMMYFUNCTION("""COMPUTED_VALUE"""),"https://drive.google.com/file/d/1uCZUWHBi4nusETdEIPLhF8Ve2Ncv_7VS/view?usp=drivesdk")</f>
        <v>https://drive.google.com/file/d/1uCZUWHBi4nusETdEIPLhF8Ve2Ncv_7VS/view?usp=drivesdk</v>
      </c>
    </row>
    <row r="249">
      <c r="A249" s="3">
        <f>IFERROR(__xludf.DUMMYFUNCTION("""COMPUTED_VALUE"""),1551.0)</f>
        <v>1551</v>
      </c>
      <c r="B249" s="11">
        <f>IFERROR(__xludf.DUMMYFUNCTION("""COMPUTED_VALUE"""),45999.65973157407)</f>
        <v>45999.65973</v>
      </c>
      <c r="C249" s="3" t="str">
        <f>IFERROR(__xludf.DUMMYFUNCTION("""COMPUTED_VALUE"""),"ชั้นปีที่ 1")</f>
        <v>ชั้นปีที่ 1</v>
      </c>
      <c r="D249" s="3" t="str">
        <f>IFERROR(__xludf.DUMMYFUNCTION("""COMPUTED_VALUE"""),"6803936")</f>
        <v>6803936</v>
      </c>
      <c r="E249" s="3" t="str">
        <f>IFERROR(__xludf.DUMMYFUNCTION("""COMPUTED_VALUE"""),"55")</f>
        <v>55</v>
      </c>
      <c r="F249" s="3" t="str">
        <f>IFERROR(__xludf.DUMMYFUNCTION("""COMPUTED_VALUE"""),"นพอ.ศศิชา แจ้งปกรณ์กิจ")</f>
        <v>นพอ.ศศิชา แจ้งปกรณ์กิจ</v>
      </c>
      <c r="G249" s="3" t="str">
        <f>IFERROR(__xludf.DUMMYFUNCTION("""COMPUTED_VALUE"""),"งานฟรีทั่วไป")</f>
        <v>งานฟรีทั่วไป</v>
      </c>
      <c r="H249" s="3" t="str">
        <f>IFERROR(__xludf.DUMMYFUNCTION("""COMPUTED_VALUE"""),"กวาดบ้านถูบ้าน")</f>
        <v>กวาดบ้านถูบ้าน</v>
      </c>
      <c r="I249" s="3" t="str">
        <f>IFERROR(__xludf.DUMMYFUNCTION("""COMPUTED_VALUE"""),"บ้าน")</f>
        <v>บ้าน</v>
      </c>
      <c r="J249" s="12">
        <f>IFERROR(__xludf.DUMMYFUNCTION("""COMPUTED_VALUE"""),45997.0)</f>
        <v>45997</v>
      </c>
      <c r="K249" s="3" t="str">
        <f>IFERROR(__xludf.DUMMYFUNCTION("""COMPUTED_VALUE"""),"1600-1800")</f>
        <v>1600-1800</v>
      </c>
      <c r="L249" s="3">
        <f>IFERROR(__xludf.DUMMYFUNCTION("""COMPUTED_VALUE"""),2.0)</f>
        <v>2</v>
      </c>
      <c r="M249" s="3" t="str">
        <f>IFERROR(__xludf.DUMMYFUNCTION("""COMPUTED_VALUE"""),"นางวันเพ็ญ แจ้งปกรณ์กิจ")</f>
        <v>นางวันเพ็ญ แจ้งปกรณ์กิจ</v>
      </c>
      <c r="N249" s="14" t="str">
        <f>IFERROR(__xludf.DUMMYFUNCTION("""COMPUTED_VALUE"""),"https://lh5.googleusercontent.com/d/1OTvKqvqncb351-LkB-r2HM2ffo7I7_ew")</f>
        <v>https://lh5.googleusercontent.com/d/1OTvKqvqncb351-LkB-r2HM2ffo7I7_ew</v>
      </c>
      <c r="O249" s="14" t="str">
        <f>IFERROR(__xludf.DUMMYFUNCTION("""COMPUTED_VALUE"""),"https://drive.google.com/file/d/1jHRKCyR0mgwUnl2WMvEbpNxs5f7t1iLv/view?usp=drivesdk")</f>
        <v>https://drive.google.com/file/d/1jHRKCyR0mgwUnl2WMvEbpNxs5f7t1iLv/view?usp=drivesdk</v>
      </c>
    </row>
    <row r="250">
      <c r="A250" s="3">
        <f>IFERROR(__xludf.DUMMYFUNCTION("""COMPUTED_VALUE"""),1552.0)</f>
        <v>1552</v>
      </c>
      <c r="B250" s="11">
        <f>IFERROR(__xludf.DUMMYFUNCTION("""COMPUTED_VALUE"""),45999.65997559028)</f>
        <v>45999.65998</v>
      </c>
      <c r="C250" s="3" t="str">
        <f>IFERROR(__xludf.DUMMYFUNCTION("""COMPUTED_VALUE"""),"ชั้นปีที่ 1")</f>
        <v>ชั้นปีที่ 1</v>
      </c>
      <c r="D250" s="3" t="str">
        <f>IFERROR(__xludf.DUMMYFUNCTION("""COMPUTED_VALUE"""),"6803889")</f>
        <v>6803889</v>
      </c>
      <c r="E250" s="3" t="str">
        <f>IFERROR(__xludf.DUMMYFUNCTION("""COMPUTED_VALUE"""),"8")</f>
        <v>8</v>
      </c>
      <c r="F250" s="3" t="str">
        <f>IFERROR(__xludf.DUMMYFUNCTION("""COMPUTED_VALUE"""),"นพอ.กุลิสรา ตุ่นคำ")</f>
        <v>นพอ.กุลิสรา ตุ่นคำ</v>
      </c>
      <c r="G250" s="3" t="str">
        <f>IFERROR(__xludf.DUMMYFUNCTION("""COMPUTED_VALUE"""),"ช่วยเหลืองานภายใน วพอ.")</f>
        <v>ช่วยเหลืองานภายใน วพอ.</v>
      </c>
      <c r="H250" s="3" t="str">
        <f>IFERROR(__xludf.DUMMYFUNCTION("""COMPUTED_VALUE"""),"ดุริยางค์")</f>
        <v>ดุริยางค์</v>
      </c>
      <c r="I250" s="3" t="str">
        <f>IFERROR(__xludf.DUMMYFUNCTION("""COMPUTED_VALUE"""),"วพอ.พอ")</f>
        <v>วพอ.พอ</v>
      </c>
      <c r="J250" s="12">
        <f>IFERROR(__xludf.DUMMYFUNCTION("""COMPUTED_VALUE"""),45994.0)</f>
        <v>45994</v>
      </c>
      <c r="K250" s="3" t="str">
        <f>IFERROR(__xludf.DUMMYFUNCTION("""COMPUTED_VALUE"""),"0720")</f>
        <v>0720</v>
      </c>
      <c r="L250" s="3">
        <f>IFERROR(__xludf.DUMMYFUNCTION("""COMPUTED_VALUE"""),1.0)</f>
        <v>1</v>
      </c>
      <c r="M250" s="3" t="str">
        <f>IFERROR(__xludf.DUMMYFUNCTION("""COMPUTED_VALUE"""),"ร.อ.อนุชิต ทำจะดี")</f>
        <v>ร.อ.อนุชิต ทำจะดี</v>
      </c>
      <c r="N250" s="14" t="str">
        <f>IFERROR(__xludf.DUMMYFUNCTION("""COMPUTED_VALUE"""),"https://lh5.googleusercontent.com/d/1DM7tbOya2r1hMyR2hqX7TbihGGCQB62O")</f>
        <v>https://lh5.googleusercontent.com/d/1DM7tbOya2r1hMyR2hqX7TbihGGCQB62O</v>
      </c>
      <c r="O250" s="14" t="str">
        <f>IFERROR(__xludf.DUMMYFUNCTION("""COMPUTED_VALUE"""),"https://drive.google.com/file/d/1r8jYDJHXInwvOb4bG6jBi0mDWw970sp7/view?usp=drivesdk")</f>
        <v>https://drive.google.com/file/d/1r8jYDJHXInwvOb4bG6jBi0mDWw970sp7/view?usp=drivesdk</v>
      </c>
    </row>
    <row r="251">
      <c r="A251" s="3">
        <f>IFERROR(__xludf.DUMMYFUNCTION("""COMPUTED_VALUE"""),1553.0)</f>
        <v>1553</v>
      </c>
      <c r="B251" s="11">
        <f>IFERROR(__xludf.DUMMYFUNCTION("""COMPUTED_VALUE"""),45999.66067715278)</f>
        <v>45999.66068</v>
      </c>
      <c r="C251" s="3" t="str">
        <f>IFERROR(__xludf.DUMMYFUNCTION("""COMPUTED_VALUE"""),"ชั้นปีที่ 1")</f>
        <v>ชั้นปีที่ 1</v>
      </c>
      <c r="D251" s="3" t="str">
        <f>IFERROR(__xludf.DUMMYFUNCTION("""COMPUTED_VALUE"""),"6803912")</f>
        <v>6803912</v>
      </c>
      <c r="E251" s="3" t="str">
        <f>IFERROR(__xludf.DUMMYFUNCTION("""COMPUTED_VALUE"""),"31")</f>
        <v>31</v>
      </c>
      <c r="F251" s="3" t="str">
        <f>IFERROR(__xludf.DUMMYFUNCTION("""COMPUTED_VALUE"""),"เบญจวรรณ มณีแนว")</f>
        <v>เบญจวรรณ มณีแนว</v>
      </c>
      <c r="G251" s="3" t="str">
        <f>IFERROR(__xludf.DUMMYFUNCTION("""COMPUTED_VALUE"""),"ช่วยเหลืองานภายใน วพอ.")</f>
        <v>ช่วยเหลืองานภายใน วพอ.</v>
      </c>
      <c r="H251" s="3" t="str">
        <f>IFERROR(__xludf.DUMMYFUNCTION("""COMPUTED_VALUE"""),"ดุริยางค์")</f>
        <v>ดุริยางค์</v>
      </c>
      <c r="I251" s="3" t="str">
        <f>IFERROR(__xludf.DUMMYFUNCTION("""COMPUTED_VALUE"""),"หน้าคุณพ่อ")</f>
        <v>หน้าคุณพ่อ</v>
      </c>
      <c r="J251" s="12">
        <f>IFERROR(__xludf.DUMMYFUNCTION("""COMPUTED_VALUE"""),45958.0)</f>
        <v>45958</v>
      </c>
      <c r="K251" s="3" t="str">
        <f>IFERROR(__xludf.DUMMYFUNCTION("""COMPUTED_VALUE"""),"0730-0745")</f>
        <v>0730-0745</v>
      </c>
      <c r="L251" s="3">
        <f>IFERROR(__xludf.DUMMYFUNCTION("""COMPUTED_VALUE"""),1.0)</f>
        <v>1</v>
      </c>
      <c r="M251" s="3" t="str">
        <f>IFERROR(__xludf.DUMMYFUNCTION("""COMPUTED_VALUE"""),"ร.อ.อนุชิต ทำจะดี")</f>
        <v>ร.อ.อนุชิต ทำจะดี</v>
      </c>
      <c r="N251" s="14" t="str">
        <f>IFERROR(__xludf.DUMMYFUNCTION("""COMPUTED_VALUE"""),"https://lh5.googleusercontent.com/d/1R29uFzY6wMns68evv9MAqqWL_66eBdnN")</f>
        <v>https://lh5.googleusercontent.com/d/1R29uFzY6wMns68evv9MAqqWL_66eBdnN</v>
      </c>
      <c r="O251" s="14" t="str">
        <f>IFERROR(__xludf.DUMMYFUNCTION("""COMPUTED_VALUE"""),"https://drive.google.com/file/d/1PEctnh5p76Mhi1R_GLyeCzVNXYf88z4t/view?usp=drivesdk")</f>
        <v>https://drive.google.com/file/d/1PEctnh5p76Mhi1R_GLyeCzVNXYf88z4t/view?usp=drivesdk</v>
      </c>
    </row>
    <row r="252">
      <c r="A252" s="3">
        <f>IFERROR(__xludf.DUMMYFUNCTION("""COMPUTED_VALUE"""),1555.0)</f>
        <v>1555</v>
      </c>
      <c r="B252" s="11">
        <f>IFERROR(__xludf.DUMMYFUNCTION("""COMPUTED_VALUE"""),45999.66275354166)</f>
        <v>45999.66275</v>
      </c>
      <c r="C252" s="3" t="str">
        <f>IFERROR(__xludf.DUMMYFUNCTION("""COMPUTED_VALUE"""),"ชั้นปีที่ 1")</f>
        <v>ชั้นปีที่ 1</v>
      </c>
      <c r="D252" s="3" t="str">
        <f>IFERROR(__xludf.DUMMYFUNCTION("""COMPUTED_VALUE"""),"6803936")</f>
        <v>6803936</v>
      </c>
      <c r="E252" s="3" t="str">
        <f>IFERROR(__xludf.DUMMYFUNCTION("""COMPUTED_VALUE"""),"55")</f>
        <v>55</v>
      </c>
      <c r="F252" s="3" t="str">
        <f>IFERROR(__xludf.DUMMYFUNCTION("""COMPUTED_VALUE"""),"นพอ.ศศิชา แจ้งปกรณ์กิจ")</f>
        <v>นพอ.ศศิชา แจ้งปกรณ์กิจ</v>
      </c>
      <c r="G252" s="3" t="str">
        <f>IFERROR(__xludf.DUMMYFUNCTION("""COMPUTED_VALUE"""),"งานฟรีทั่วไป")</f>
        <v>งานฟรีทั่วไป</v>
      </c>
      <c r="H252" s="3" t="str">
        <f>IFERROR(__xludf.DUMMYFUNCTION("""COMPUTED_VALUE"""),"รดน้ำต้นไม้ ล้างจาน")</f>
        <v>รดน้ำต้นไม้ ล้างจาน</v>
      </c>
      <c r="I252" s="3" t="str">
        <f>IFERROR(__xludf.DUMMYFUNCTION("""COMPUTED_VALUE"""),"บ้าน")</f>
        <v>บ้าน</v>
      </c>
      <c r="J252" s="12">
        <f>IFERROR(__xludf.DUMMYFUNCTION("""COMPUTED_VALUE"""),45998.0)</f>
        <v>45998</v>
      </c>
      <c r="K252" s="3" t="str">
        <f>IFERROR(__xludf.DUMMYFUNCTION("""COMPUTED_VALUE"""),"0900-1000")</f>
        <v>0900-1000</v>
      </c>
      <c r="L252" s="3">
        <f>IFERROR(__xludf.DUMMYFUNCTION("""COMPUTED_VALUE"""),2.0)</f>
        <v>2</v>
      </c>
      <c r="M252" s="3" t="str">
        <f>IFERROR(__xludf.DUMMYFUNCTION("""COMPUTED_VALUE"""),"นางวันเพ็ญ แจ้งปกรณ์กิจ")</f>
        <v>นางวันเพ็ญ แจ้งปกรณ์กิจ</v>
      </c>
      <c r="N252" s="14" t="str">
        <f>IFERROR(__xludf.DUMMYFUNCTION("""COMPUTED_VALUE"""),"https://lh5.googleusercontent.com/d/1XkNewolfLJJTDXKvbbvv62hRbJnjEbyM")</f>
        <v>https://lh5.googleusercontent.com/d/1XkNewolfLJJTDXKvbbvv62hRbJnjEbyM</v>
      </c>
      <c r="O252" s="14" t="str">
        <f>IFERROR(__xludf.DUMMYFUNCTION("""COMPUTED_VALUE"""),"https://drive.google.com/file/d/1jhIrF0qFLC0EpxrBYwX4Ppt7V4NsACPe/view?usp=drivesdk")</f>
        <v>https://drive.google.com/file/d/1jhIrF0qFLC0EpxrBYwX4Ppt7V4NsACPe/view?usp=drivesdk</v>
      </c>
    </row>
    <row r="253">
      <c r="A253" s="3">
        <f>IFERROR(__xludf.DUMMYFUNCTION("""COMPUTED_VALUE"""),1556.0)</f>
        <v>1556</v>
      </c>
      <c r="B253" s="11">
        <f>IFERROR(__xludf.DUMMYFUNCTION("""COMPUTED_VALUE"""),45999.66323219908)</f>
        <v>45999.66323</v>
      </c>
      <c r="C253" s="3" t="str">
        <f>IFERROR(__xludf.DUMMYFUNCTION("""COMPUTED_VALUE"""),"ชั้นปีที่ 1")</f>
        <v>ชั้นปีที่ 1</v>
      </c>
      <c r="D253" s="3" t="str">
        <f>IFERROR(__xludf.DUMMYFUNCTION("""COMPUTED_VALUE"""),"6803904")</f>
        <v>6803904</v>
      </c>
      <c r="E253" s="3" t="str">
        <f>IFERROR(__xludf.DUMMYFUNCTION("""COMPUTED_VALUE"""),"23")</f>
        <v>23</v>
      </c>
      <c r="F253" s="3" t="str">
        <f>IFERROR(__xludf.DUMMYFUNCTION("""COMPUTED_VALUE"""),"นพอ.ธนธัส แซ่ว่อง")</f>
        <v>นพอ.ธนธัส แซ่ว่อง</v>
      </c>
      <c r="G253" s="3" t="str">
        <f>IFERROR(__xludf.DUMMYFUNCTION("""COMPUTED_VALUE"""),"ช่วยเหลืองานภายใน วพอ.")</f>
        <v>ช่วยเหลืองานภายใน วพอ.</v>
      </c>
      <c r="H253" s="3" t="str">
        <f>IFERROR(__xludf.DUMMYFUNCTION("""COMPUTED_VALUE"""),"อาภรณ์ภัณฑ์")</f>
        <v>อาภรณ์ภัณฑ์</v>
      </c>
      <c r="I253" s="3" t="str">
        <f>IFERROR(__xludf.DUMMYFUNCTION("""COMPUTED_VALUE"""),"วพอ.พอ.")</f>
        <v>วพอ.พอ.</v>
      </c>
      <c r="J253" s="12">
        <f>IFERROR(__xludf.DUMMYFUNCTION("""COMPUTED_VALUE"""),45859.0)</f>
        <v>45859</v>
      </c>
      <c r="K253" s="3" t="str">
        <f>IFERROR(__xludf.DUMMYFUNCTION("""COMPUTED_VALUE"""),"1200")</f>
        <v>1200</v>
      </c>
      <c r="L253" s="3">
        <f>IFERROR(__xludf.DUMMYFUNCTION("""COMPUTED_VALUE"""),8.0)</f>
        <v>8</v>
      </c>
      <c r="M253" s="3" t="str">
        <f>IFERROR(__xludf.DUMMYFUNCTION("""COMPUTED_VALUE"""),"ร.ท.จักรวาล เนื่องสุข")</f>
        <v>ร.ท.จักรวาล เนื่องสุข</v>
      </c>
      <c r="N253" s="14" t="str">
        <f>IFERROR(__xludf.DUMMYFUNCTION("""COMPUTED_VALUE"""),"https://lh5.googleusercontent.com/d/1Bwy42yQCzVnp-WOSjs3_fcjvmY-cGGE0")</f>
        <v>https://lh5.googleusercontent.com/d/1Bwy42yQCzVnp-WOSjs3_fcjvmY-cGGE0</v>
      </c>
      <c r="O253" s="14" t="str">
        <f>IFERROR(__xludf.DUMMYFUNCTION("""COMPUTED_VALUE"""),"https://drive.google.com/file/d/1bg6lH5rrJMzpikfuGoUOgG3qHoKxusz7/view?usp=drivesdk")</f>
        <v>https://drive.google.com/file/d/1bg6lH5rrJMzpikfuGoUOgG3qHoKxusz7/view?usp=drivesdk</v>
      </c>
    </row>
    <row r="254">
      <c r="A254" s="3">
        <f>IFERROR(__xludf.DUMMYFUNCTION("""COMPUTED_VALUE"""),1557.0)</f>
        <v>1557</v>
      </c>
      <c r="B254" s="11">
        <f>IFERROR(__xludf.DUMMYFUNCTION("""COMPUTED_VALUE"""),45999.66332453704)</f>
        <v>45999.66332</v>
      </c>
      <c r="C254" s="3" t="str">
        <f>IFERROR(__xludf.DUMMYFUNCTION("""COMPUTED_VALUE"""),"ชั้นปีที่ 1")</f>
        <v>ชั้นปีที่ 1</v>
      </c>
      <c r="D254" s="3" t="str">
        <f>IFERROR(__xludf.DUMMYFUNCTION("""COMPUTED_VALUE"""),"6803889")</f>
        <v>6803889</v>
      </c>
      <c r="E254" s="3" t="str">
        <f>IFERROR(__xludf.DUMMYFUNCTION("""COMPUTED_VALUE"""),"8")</f>
        <v>8</v>
      </c>
      <c r="F254" s="3" t="str">
        <f>IFERROR(__xludf.DUMMYFUNCTION("""COMPUTED_VALUE"""),"นพอ.กุลิสรา ตุ่นคำ")</f>
        <v>นพอ.กุลิสรา ตุ่นคำ</v>
      </c>
      <c r="G254" s="3" t="str">
        <f>IFERROR(__xludf.DUMMYFUNCTION("""COMPUTED_VALUE"""),"ช่วยเหลืองานภายใน วพอ.")</f>
        <v>ช่วยเหลืองานภายใน วพอ.</v>
      </c>
      <c r="H254" s="3" t="str">
        <f>IFERROR(__xludf.DUMMYFUNCTION("""COMPUTED_VALUE"""),"ดุริยางค์")</f>
        <v>ดุริยางค์</v>
      </c>
      <c r="I254" s="3" t="str">
        <f>IFERROR(__xludf.DUMMYFUNCTION("""COMPUTED_VALUE"""),"วพอ.พอ.")</f>
        <v>วพอ.พอ.</v>
      </c>
      <c r="J254" s="12">
        <f>IFERROR(__xludf.DUMMYFUNCTION("""COMPUTED_VALUE"""),45962.0)</f>
        <v>45962</v>
      </c>
      <c r="K254" s="3" t="str">
        <f>IFERROR(__xludf.DUMMYFUNCTION("""COMPUTED_VALUE"""),"0720")</f>
        <v>0720</v>
      </c>
      <c r="L254" s="3">
        <f>IFERROR(__xludf.DUMMYFUNCTION("""COMPUTED_VALUE"""),1.0)</f>
        <v>1</v>
      </c>
      <c r="M254" s="3" t="str">
        <f>IFERROR(__xludf.DUMMYFUNCTION("""COMPUTED_VALUE"""),"ร.อ.อนุชิต ทำจะดี")</f>
        <v>ร.อ.อนุชิต ทำจะดี</v>
      </c>
      <c r="N254" s="14" t="str">
        <f>IFERROR(__xludf.DUMMYFUNCTION("""COMPUTED_VALUE"""),"https://lh5.googleusercontent.com/d/18Me8qvgP63L-30ucWYheq3dYk7RXV4g5")</f>
        <v>https://lh5.googleusercontent.com/d/18Me8qvgP63L-30ucWYheq3dYk7RXV4g5</v>
      </c>
      <c r="O254" s="14" t="str">
        <f>IFERROR(__xludf.DUMMYFUNCTION("""COMPUTED_VALUE"""),"https://drive.google.com/file/d/1tsH4GWKDAbwhvkkcxJSgv6SxRv3bGxDa/view?usp=drivesdk")</f>
        <v>https://drive.google.com/file/d/1tsH4GWKDAbwhvkkcxJSgv6SxRv3bGxDa/view?usp=drivesdk</v>
      </c>
    </row>
    <row r="255">
      <c r="A255" s="3">
        <f>IFERROR(__xludf.DUMMYFUNCTION("""COMPUTED_VALUE"""),1561.0)</f>
        <v>1561</v>
      </c>
      <c r="B255" s="11">
        <f>IFERROR(__xludf.DUMMYFUNCTION("""COMPUTED_VALUE"""),45999.665963865744)</f>
        <v>45999.66596</v>
      </c>
      <c r="C255" s="3" t="str">
        <f>IFERROR(__xludf.DUMMYFUNCTION("""COMPUTED_VALUE"""),"ชั้นปีที่ 1")</f>
        <v>ชั้นปีที่ 1</v>
      </c>
      <c r="D255" s="3" t="str">
        <f>IFERROR(__xludf.DUMMYFUNCTION("""COMPUTED_VALUE"""),"6803910")</f>
        <v>6803910</v>
      </c>
      <c r="E255" s="3" t="str">
        <f>IFERROR(__xludf.DUMMYFUNCTION("""COMPUTED_VALUE"""),"29")</f>
        <v>29</v>
      </c>
      <c r="F255" s="3" t="str">
        <f>IFERROR(__xludf.DUMMYFUNCTION("""COMPUTED_VALUE"""),"นวพร โอรัตนสถาพร")</f>
        <v>นวพร โอรัตนสถาพร</v>
      </c>
      <c r="G255" s="3" t="str">
        <f>IFERROR(__xludf.DUMMYFUNCTION("""COMPUTED_VALUE"""),"ช่วยเหลืองานภายใน วพอ.")</f>
        <v>ช่วยเหลืองานภายใน วพอ.</v>
      </c>
      <c r="H255" s="3" t="str">
        <f>IFERROR(__xludf.DUMMYFUNCTION("""COMPUTED_VALUE"""),"เล่นดุริยางค์")</f>
        <v>เล่นดุริยางค์</v>
      </c>
      <c r="I255" s="3" t="str">
        <f>IFERROR(__xludf.DUMMYFUNCTION("""COMPUTED_VALUE"""),"วพอ.")</f>
        <v>วพอ.</v>
      </c>
      <c r="J255" s="12">
        <f>IFERROR(__xludf.DUMMYFUNCTION("""COMPUTED_VALUE"""),45982.0)</f>
        <v>45982</v>
      </c>
      <c r="K255" s="3" t="str">
        <f>IFERROR(__xludf.DUMMYFUNCTION("""COMPUTED_VALUE"""),"0700-0740")</f>
        <v>0700-0740</v>
      </c>
      <c r="L255" s="3">
        <f>IFERROR(__xludf.DUMMYFUNCTION("""COMPUTED_VALUE"""),1.0)</f>
        <v>1</v>
      </c>
      <c r="M255" s="3" t="str">
        <f>IFERROR(__xludf.DUMMYFUNCTION("""COMPUTED_VALUE"""),"ร.อ.อนุชิต ทำจะดี")</f>
        <v>ร.อ.อนุชิต ทำจะดี</v>
      </c>
      <c r="N255" s="14" t="str">
        <f>IFERROR(__xludf.DUMMYFUNCTION("""COMPUTED_VALUE"""),"https://lh5.googleusercontent.com/d/11PUoegeY1fFvy3hE0fft3ZcFH0pIxnYL")</f>
        <v>https://lh5.googleusercontent.com/d/11PUoegeY1fFvy3hE0fft3ZcFH0pIxnYL</v>
      </c>
      <c r="O255" s="14" t="str">
        <f>IFERROR(__xludf.DUMMYFUNCTION("""COMPUTED_VALUE"""),"https://drive.google.com/file/d/17B-FkRpb-lTV_a4Hve9-8rYIjTV7tONz/view?usp=drivesdk")</f>
        <v>https://drive.google.com/file/d/17B-FkRpb-lTV_a4Hve9-8rYIjTV7tONz/view?usp=drivesdk</v>
      </c>
    </row>
    <row r="256">
      <c r="A256" s="3">
        <f>IFERROR(__xludf.DUMMYFUNCTION("""COMPUTED_VALUE"""),1563.0)</f>
        <v>1563</v>
      </c>
      <c r="B256" s="11">
        <f>IFERROR(__xludf.DUMMYFUNCTION("""COMPUTED_VALUE"""),45999.666471122684)</f>
        <v>45999.66647</v>
      </c>
      <c r="C256" s="3" t="str">
        <f>IFERROR(__xludf.DUMMYFUNCTION("""COMPUTED_VALUE"""),"ชั้นปีที่ 1")</f>
        <v>ชั้นปีที่ 1</v>
      </c>
      <c r="D256" s="3" t="str">
        <f>IFERROR(__xludf.DUMMYFUNCTION("""COMPUTED_VALUE"""),"6803934")</f>
        <v>6803934</v>
      </c>
      <c r="E256" s="3" t="str">
        <f>IFERROR(__xludf.DUMMYFUNCTION("""COMPUTED_VALUE"""),"53")</f>
        <v>53</v>
      </c>
      <c r="F256" s="3" t="str">
        <f>IFERROR(__xludf.DUMMYFUNCTION("""COMPUTED_VALUE"""),"นพอ.วริศรา ออละมาลี")</f>
        <v>นพอ.วริศรา ออละมาลี</v>
      </c>
      <c r="G2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56" s="3" t="str">
        <f>IFERROR(__xludf.DUMMYFUNCTION("""COMPUTED_VALUE"""),"ฟังการสัมมนาสื่อสร้างสรรค์ เสริมพลังการสื่อสาร พัฒนาสังคม")</f>
        <v>ฟังการสัมมนาสื่อสร้างสรรค์ เสริมพลังการสื่อสาร พัฒนาสังคม</v>
      </c>
      <c r="I256" s="3" t="str">
        <f>IFERROR(__xludf.DUMMYFUNCTION("""COMPUTED_VALUE"""),"อาคารเอนกประสงค์ เอสซีจี สำนักงานใหญ่ บางซื่อ")</f>
        <v>อาคารเอนกประสงค์ เอสซีจี สำนักงานใหญ่ บางซื่อ</v>
      </c>
      <c r="J256" s="12">
        <f>IFERROR(__xludf.DUMMYFUNCTION("""COMPUTED_VALUE"""),45955.0)</f>
        <v>45955</v>
      </c>
      <c r="K256" s="3" t="str">
        <f>IFERROR(__xludf.DUMMYFUNCTION("""COMPUTED_VALUE"""),"07301230")</f>
        <v>07301230</v>
      </c>
      <c r="L256" s="3">
        <f>IFERROR(__xludf.DUMMYFUNCTION("""COMPUTED_VALUE"""),5.0)</f>
        <v>5</v>
      </c>
      <c r="M256" s="3" t="str">
        <f>IFERROR(__xludf.DUMMYFUNCTION("""COMPUTED_VALUE"""),"น.ท.หญิง ฤทัยวรรณ นวมพันธ์")</f>
        <v>น.ท.หญิง ฤทัยวรรณ นวมพันธ์</v>
      </c>
      <c r="N256" s="14" t="str">
        <f>IFERROR(__xludf.DUMMYFUNCTION("""COMPUTED_VALUE"""),"https://lh5.googleusercontent.com/d/1fIsFwZGRW0O09d-x5OaEw1FnhYLmurWd")</f>
        <v>https://lh5.googleusercontent.com/d/1fIsFwZGRW0O09d-x5OaEw1FnhYLmurWd</v>
      </c>
      <c r="O256" s="14" t="str">
        <f>IFERROR(__xludf.DUMMYFUNCTION("""COMPUTED_VALUE"""),"https://drive.google.com/file/d/1nFVfzBmk7e9yJ1Gq8_DNzuYEdInFUZT2/view?usp=drivesdk")</f>
        <v>https://drive.google.com/file/d/1nFVfzBmk7e9yJ1Gq8_DNzuYEdInFUZT2/view?usp=drivesdk</v>
      </c>
    </row>
    <row r="257">
      <c r="A257" s="3">
        <f>IFERROR(__xludf.DUMMYFUNCTION("""COMPUTED_VALUE"""),1565.0)</f>
        <v>1565</v>
      </c>
      <c r="B257" s="11">
        <f>IFERROR(__xludf.DUMMYFUNCTION("""COMPUTED_VALUE"""),45999.66749744213)</f>
        <v>45999.6675</v>
      </c>
      <c r="C257" s="3" t="str">
        <f>IFERROR(__xludf.DUMMYFUNCTION("""COMPUTED_VALUE"""),"ชั้นปีที่ 1")</f>
        <v>ชั้นปีที่ 1</v>
      </c>
      <c r="D257" s="3" t="str">
        <f>IFERROR(__xludf.DUMMYFUNCTION("""COMPUTED_VALUE"""),"6803910")</f>
        <v>6803910</v>
      </c>
      <c r="E257" s="3" t="str">
        <f>IFERROR(__xludf.DUMMYFUNCTION("""COMPUTED_VALUE"""),"29")</f>
        <v>29</v>
      </c>
      <c r="F257" s="3" t="str">
        <f>IFERROR(__xludf.DUMMYFUNCTION("""COMPUTED_VALUE"""),"นวพร โอรัตนสถาพร")</f>
        <v>นวพร โอรัตนสถาพร</v>
      </c>
      <c r="G257" s="3" t="str">
        <f>IFERROR(__xludf.DUMMYFUNCTION("""COMPUTED_VALUE"""),"ช่วยเหลืองานภายใน วพอ.")</f>
        <v>ช่วยเหลืองานภายใน วพอ.</v>
      </c>
      <c r="H257" s="3" t="str">
        <f>IFERROR(__xludf.DUMMYFUNCTION("""COMPUTED_VALUE"""),"เล่นดุริยางค์")</f>
        <v>เล่นดุริยางค์</v>
      </c>
      <c r="I257" s="3" t="str">
        <f>IFERROR(__xludf.DUMMYFUNCTION("""COMPUTED_VALUE"""),"วพอ.")</f>
        <v>วพอ.</v>
      </c>
      <c r="J257" s="12">
        <f>IFERROR(__xludf.DUMMYFUNCTION("""COMPUTED_VALUE"""),45985.0)</f>
        <v>45985</v>
      </c>
      <c r="K257" s="3" t="str">
        <f>IFERROR(__xludf.DUMMYFUNCTION("""COMPUTED_VALUE"""),"0700-0740")</f>
        <v>0700-0740</v>
      </c>
      <c r="L257" s="3">
        <f>IFERROR(__xludf.DUMMYFUNCTION("""COMPUTED_VALUE"""),1.0)</f>
        <v>1</v>
      </c>
      <c r="M257" s="3" t="str">
        <f>IFERROR(__xludf.DUMMYFUNCTION("""COMPUTED_VALUE"""),"ร.อ.อนุชิต ทำจะดี")</f>
        <v>ร.อ.อนุชิต ทำจะดี</v>
      </c>
      <c r="N257" s="14" t="str">
        <f>IFERROR(__xludf.DUMMYFUNCTION("""COMPUTED_VALUE"""),"https://lh5.googleusercontent.com/d/1YaPrS4BfvcAECYu5W3DHuEmcGA9-OoTl")</f>
        <v>https://lh5.googleusercontent.com/d/1YaPrS4BfvcAECYu5W3DHuEmcGA9-OoTl</v>
      </c>
      <c r="O257" s="14" t="str">
        <f>IFERROR(__xludf.DUMMYFUNCTION("""COMPUTED_VALUE"""),"https://drive.google.com/file/d/1O-LTYwFtqYqFbignQLxm6lcrpnD3F05P/view?usp=drivesdk")</f>
        <v>https://drive.google.com/file/d/1O-LTYwFtqYqFbignQLxm6lcrpnD3F05P/view?usp=drivesdk</v>
      </c>
    </row>
    <row r="258">
      <c r="A258" s="3">
        <f>IFERROR(__xludf.DUMMYFUNCTION("""COMPUTED_VALUE"""),1566.0)</f>
        <v>1566</v>
      </c>
      <c r="B258" s="11">
        <f>IFERROR(__xludf.DUMMYFUNCTION("""COMPUTED_VALUE"""),45999.66754800926)</f>
        <v>45999.66755</v>
      </c>
      <c r="C258" s="3" t="str">
        <f>IFERROR(__xludf.DUMMYFUNCTION("""COMPUTED_VALUE"""),"ชั้นปีที่ 1")</f>
        <v>ชั้นปีที่ 1</v>
      </c>
      <c r="D258" s="3" t="str">
        <f>IFERROR(__xludf.DUMMYFUNCTION("""COMPUTED_VALUE"""),"6803935")</f>
        <v>6803935</v>
      </c>
      <c r="E258" s="3" t="str">
        <f>IFERROR(__xludf.DUMMYFUNCTION("""COMPUTED_VALUE"""),"54")</f>
        <v>54</v>
      </c>
      <c r="F258" s="3" t="str">
        <f>IFERROR(__xludf.DUMMYFUNCTION("""COMPUTED_VALUE"""),"นพอ.วีรวัฒน์ ทัศน์จันดา")</f>
        <v>นพอ.วีรวัฒน์ ทัศน์จันดา</v>
      </c>
      <c r="G258" s="3" t="str">
        <f>IFERROR(__xludf.DUMMYFUNCTION("""COMPUTED_VALUE"""),"ช่วยเหลืองานภายใน วพอ.")</f>
        <v>ช่วยเหลืองานภายใน วพอ.</v>
      </c>
      <c r="H258" s="3" t="str">
        <f>IFERROR(__xludf.DUMMYFUNCTION("""COMPUTED_VALUE"""),"เล่นดุริยางค์")</f>
        <v>เล่นดุริยางค์</v>
      </c>
      <c r="I258" s="3" t="str">
        <f>IFERROR(__xludf.DUMMYFUNCTION("""COMPUTED_VALUE"""),"วพอ.พอ.")</f>
        <v>วพอ.พอ.</v>
      </c>
      <c r="J258" s="12">
        <f>IFERROR(__xludf.DUMMYFUNCTION("""COMPUTED_VALUE"""),45975.0)</f>
        <v>45975</v>
      </c>
      <c r="K258" s="3" t="str">
        <f>IFERROR(__xludf.DUMMYFUNCTION("""COMPUTED_VALUE"""),"0730")</f>
        <v>0730</v>
      </c>
      <c r="L258" s="3">
        <f>IFERROR(__xludf.DUMMYFUNCTION("""COMPUTED_VALUE"""),1.0)</f>
        <v>1</v>
      </c>
      <c r="M258" s="3" t="str">
        <f>IFERROR(__xludf.DUMMYFUNCTION("""COMPUTED_VALUE"""),"ร.อ.อนุชิต ทำจะดี")</f>
        <v>ร.อ.อนุชิต ทำจะดี</v>
      </c>
      <c r="N258" s="14" t="str">
        <f>IFERROR(__xludf.DUMMYFUNCTION("""COMPUTED_VALUE"""),"https://lh5.googleusercontent.com/d/1GiLfkUIPWmp_A0QAjbSBnK-ZFbz650Hx")</f>
        <v>https://lh5.googleusercontent.com/d/1GiLfkUIPWmp_A0QAjbSBnK-ZFbz650Hx</v>
      </c>
      <c r="O258" s="14" t="str">
        <f>IFERROR(__xludf.DUMMYFUNCTION("""COMPUTED_VALUE"""),"https://drive.google.com/file/d/16yFvjOJexPoo11t6OHp8wWy_eagdSzeR/view?usp=drivesdk")</f>
        <v>https://drive.google.com/file/d/16yFvjOJexPoo11t6OHp8wWy_eagdSzeR/view?usp=drivesdk</v>
      </c>
    </row>
    <row r="259">
      <c r="A259" s="3">
        <f>IFERROR(__xludf.DUMMYFUNCTION("""COMPUTED_VALUE"""),1567.0)</f>
        <v>1567</v>
      </c>
      <c r="B259" s="11">
        <f>IFERROR(__xludf.DUMMYFUNCTION("""COMPUTED_VALUE"""),45999.66764828704)</f>
        <v>45999.66765</v>
      </c>
      <c r="C259" s="3" t="str">
        <f>IFERROR(__xludf.DUMMYFUNCTION("""COMPUTED_VALUE"""),"ชั้นปีที่ 1")</f>
        <v>ชั้นปีที่ 1</v>
      </c>
      <c r="D259" s="3" t="str">
        <f>IFERROR(__xludf.DUMMYFUNCTION("""COMPUTED_VALUE"""),"6803889")</f>
        <v>6803889</v>
      </c>
      <c r="E259" s="3" t="str">
        <f>IFERROR(__xludf.DUMMYFUNCTION("""COMPUTED_VALUE"""),"8")</f>
        <v>8</v>
      </c>
      <c r="F259" s="3" t="str">
        <f>IFERROR(__xludf.DUMMYFUNCTION("""COMPUTED_VALUE"""),"นพอ.กุลิสรา ตุ่นคำ")</f>
        <v>นพอ.กุลิสรา ตุ่นคำ</v>
      </c>
      <c r="G259" s="3" t="str">
        <f>IFERROR(__xludf.DUMMYFUNCTION("""COMPUTED_VALUE"""),"ช่วยเหลืองานภายใน วพอ.")</f>
        <v>ช่วยเหลืองานภายใน วพอ.</v>
      </c>
      <c r="H259" s="3" t="str">
        <f>IFERROR(__xludf.DUMMYFUNCTION("""COMPUTED_VALUE"""),"ดุริยางค์")</f>
        <v>ดุริยางค์</v>
      </c>
      <c r="I259" s="3" t="str">
        <f>IFERROR(__xludf.DUMMYFUNCTION("""COMPUTED_VALUE"""),"วพอ.พอ.")</f>
        <v>วพอ.พอ.</v>
      </c>
      <c r="J259" s="12">
        <f>IFERROR(__xludf.DUMMYFUNCTION("""COMPUTED_VALUE"""),45966.0)</f>
        <v>45966</v>
      </c>
      <c r="K259" s="3" t="str">
        <f>IFERROR(__xludf.DUMMYFUNCTION("""COMPUTED_VALUE"""),"0720")</f>
        <v>0720</v>
      </c>
      <c r="L259" s="3">
        <f>IFERROR(__xludf.DUMMYFUNCTION("""COMPUTED_VALUE"""),1.0)</f>
        <v>1</v>
      </c>
      <c r="M259" s="3" t="str">
        <f>IFERROR(__xludf.DUMMYFUNCTION("""COMPUTED_VALUE"""),"ร.อ.อนุชิต ทำจะดี")</f>
        <v>ร.อ.อนุชิต ทำจะดี</v>
      </c>
      <c r="N259" s="14" t="str">
        <f>IFERROR(__xludf.DUMMYFUNCTION("""COMPUTED_VALUE"""),"https://lh5.googleusercontent.com/d/1SIBVxurUcXgAM1qUTXcmJ5ni7BCopw25")</f>
        <v>https://lh5.googleusercontent.com/d/1SIBVxurUcXgAM1qUTXcmJ5ni7BCopw25</v>
      </c>
      <c r="O259" s="14" t="str">
        <f>IFERROR(__xludf.DUMMYFUNCTION("""COMPUTED_VALUE"""),"https://drive.google.com/file/d/1xGmIJXDqv1DSD-aasfUjeNlW1KZ096KX/view?usp=drivesdk")</f>
        <v>https://drive.google.com/file/d/1xGmIJXDqv1DSD-aasfUjeNlW1KZ096KX/view?usp=drivesdk</v>
      </c>
    </row>
    <row r="260">
      <c r="A260" s="3">
        <f>IFERROR(__xludf.DUMMYFUNCTION("""COMPUTED_VALUE"""),1568.0)</f>
        <v>1568</v>
      </c>
      <c r="B260" s="11">
        <f>IFERROR(__xludf.DUMMYFUNCTION("""COMPUTED_VALUE"""),45999.667974537035)</f>
        <v>45999.66797</v>
      </c>
      <c r="C260" s="3" t="str">
        <f>IFERROR(__xludf.DUMMYFUNCTION("""COMPUTED_VALUE"""),"ชั้นปีที่ 1")</f>
        <v>ชั้นปีที่ 1</v>
      </c>
      <c r="D260" s="3" t="str">
        <f>IFERROR(__xludf.DUMMYFUNCTION("""COMPUTED_VALUE"""),"6803897")</f>
        <v>6803897</v>
      </c>
      <c r="E260" s="3" t="str">
        <f>IFERROR(__xludf.DUMMYFUNCTION("""COMPUTED_VALUE"""),"16")</f>
        <v>16</v>
      </c>
      <c r="F260" s="3" t="str">
        <f>IFERROR(__xludf.DUMMYFUNCTION("""COMPUTED_VALUE"""),"นพอ.ณัฐญา ชลอปัญจศิลป์")</f>
        <v>นพอ.ณัฐญา ชลอปัญจศิลป์</v>
      </c>
      <c r="G260" s="3" t="str">
        <f>IFERROR(__xludf.DUMMYFUNCTION("""COMPUTED_VALUE"""),"ช่วยเหลืองานภายใน วพอ.")</f>
        <v>ช่วยเหลืองานภายใน วพอ.</v>
      </c>
      <c r="H260" s="3" t="str">
        <f>IFERROR(__xludf.DUMMYFUNCTION("""COMPUTED_VALUE"""),"ช่วยแพ็คเสื้อ")</f>
        <v>ช่วยแพ็คเสื้อ</v>
      </c>
      <c r="I260" s="3" t="str">
        <f>IFERROR(__xludf.DUMMYFUNCTION("""COMPUTED_VALUE"""),"ห้องปกครอง วพอ.พอ.")</f>
        <v>ห้องปกครอง วพอ.พอ.</v>
      </c>
      <c r="J260" s="12">
        <f>IFERROR(__xludf.DUMMYFUNCTION("""COMPUTED_VALUE"""),45895.0)</f>
        <v>45895</v>
      </c>
      <c r="K260" s="3" t="str">
        <f>IFERROR(__xludf.DUMMYFUNCTION("""COMPUTED_VALUE"""),"1600-1800")</f>
        <v>1600-1800</v>
      </c>
      <c r="L260" s="3">
        <f>IFERROR(__xludf.DUMMYFUNCTION("""COMPUTED_VALUE"""),2.0)</f>
        <v>2</v>
      </c>
      <c r="M260" s="3" t="str">
        <f>IFERROR(__xludf.DUMMYFUNCTION("""COMPUTED_VALUE"""),"ร.อ.ขนัฎฐา นาดี")</f>
        <v>ร.อ.ขนัฎฐา นาดี</v>
      </c>
      <c r="N260" s="14" t="str">
        <f>IFERROR(__xludf.DUMMYFUNCTION("""COMPUTED_VALUE"""),"https://lh5.googleusercontent.com/d/1FWqRx5DTuBHBI5FA0Xo1K9S65wHv2Dl7")</f>
        <v>https://lh5.googleusercontent.com/d/1FWqRx5DTuBHBI5FA0Xo1K9S65wHv2Dl7</v>
      </c>
      <c r="O260" s="14" t="str">
        <f>IFERROR(__xludf.DUMMYFUNCTION("""COMPUTED_VALUE"""),"https://drive.google.com/file/d/1ckddMiKRv3rJHIUk8gnG2TVNa1tChVAz/view?usp=drivesdk")</f>
        <v>https://drive.google.com/file/d/1ckddMiKRv3rJHIUk8gnG2TVNa1tChVAz/view?usp=drivesdk</v>
      </c>
    </row>
    <row r="261">
      <c r="A261" s="3">
        <f>IFERROR(__xludf.DUMMYFUNCTION("""COMPUTED_VALUE"""),1569.0)</f>
        <v>1569</v>
      </c>
      <c r="B261" s="11">
        <f>IFERROR(__xludf.DUMMYFUNCTION("""COMPUTED_VALUE"""),45999.66851121528)</f>
        <v>45999.66851</v>
      </c>
      <c r="C261" s="3" t="str">
        <f>IFERROR(__xludf.DUMMYFUNCTION("""COMPUTED_VALUE"""),"ชั้นปีที่ 1")</f>
        <v>ชั้นปีที่ 1</v>
      </c>
      <c r="D261" s="3" t="str">
        <f>IFERROR(__xludf.DUMMYFUNCTION("""COMPUTED_VALUE"""),"6803935")</f>
        <v>6803935</v>
      </c>
      <c r="E261" s="3" t="str">
        <f>IFERROR(__xludf.DUMMYFUNCTION("""COMPUTED_VALUE"""),"54")</f>
        <v>54</v>
      </c>
      <c r="F261" s="3" t="str">
        <f>IFERROR(__xludf.DUMMYFUNCTION("""COMPUTED_VALUE"""),"นพอ.วีรวัฒน์ ทัศน์จันดา")</f>
        <v>นพอ.วีรวัฒน์ ทัศน์จันดา</v>
      </c>
      <c r="G261" s="3" t="str">
        <f>IFERROR(__xludf.DUMMYFUNCTION("""COMPUTED_VALUE"""),"ช่วยเหลืองานภายใน วพอ.")</f>
        <v>ช่วยเหลืองานภายใน วพอ.</v>
      </c>
      <c r="H261" s="3" t="str">
        <f>IFERROR(__xludf.DUMMYFUNCTION("""COMPUTED_VALUE"""),"เล่นดุริยางค์")</f>
        <v>เล่นดุริยางค์</v>
      </c>
      <c r="I261" s="3" t="str">
        <f>IFERROR(__xludf.DUMMYFUNCTION("""COMPUTED_VALUE"""),"วพอ.พอ.")</f>
        <v>วพอ.พอ.</v>
      </c>
      <c r="J261" s="12">
        <f>IFERROR(__xludf.DUMMYFUNCTION("""COMPUTED_VALUE"""),45973.0)</f>
        <v>45973</v>
      </c>
      <c r="K261" s="3" t="str">
        <f>IFERROR(__xludf.DUMMYFUNCTION("""COMPUTED_VALUE"""),"0730")</f>
        <v>0730</v>
      </c>
      <c r="L261" s="3">
        <f>IFERROR(__xludf.DUMMYFUNCTION("""COMPUTED_VALUE"""),1.0)</f>
        <v>1</v>
      </c>
      <c r="M261" s="3" t="str">
        <f>IFERROR(__xludf.DUMMYFUNCTION("""COMPUTED_VALUE"""),"ร.อ.อนุชิต ทำจะดี")</f>
        <v>ร.อ.อนุชิต ทำจะดี</v>
      </c>
      <c r="N261" s="14" t="str">
        <f>IFERROR(__xludf.DUMMYFUNCTION("""COMPUTED_VALUE"""),"https://lh5.googleusercontent.com/d/1DbIPfQEZVVn_tXudE6-buZfyCwsfaxTJ")</f>
        <v>https://lh5.googleusercontent.com/d/1DbIPfQEZVVn_tXudE6-buZfyCwsfaxTJ</v>
      </c>
      <c r="O261" s="14" t="str">
        <f>IFERROR(__xludf.DUMMYFUNCTION("""COMPUTED_VALUE"""),"https://drive.google.com/file/d/1J9zdUzv2KGUm87gR4h9h8Aq-Qg2LkgRX/view?usp=drivesdk")</f>
        <v>https://drive.google.com/file/d/1J9zdUzv2KGUm87gR4h9h8Aq-Qg2LkgRX/view?usp=drivesdk</v>
      </c>
    </row>
    <row r="262">
      <c r="A262" s="3">
        <f>IFERROR(__xludf.DUMMYFUNCTION("""COMPUTED_VALUE"""),1570.0)</f>
        <v>1570</v>
      </c>
      <c r="B262" s="11">
        <f>IFERROR(__xludf.DUMMYFUNCTION("""COMPUTED_VALUE"""),45999.66877396991)</f>
        <v>45999.66877</v>
      </c>
      <c r="C262" s="3" t="str">
        <f>IFERROR(__xludf.DUMMYFUNCTION("""COMPUTED_VALUE"""),"ชั้นปีที่ 1")</f>
        <v>ชั้นปีที่ 1</v>
      </c>
      <c r="D262" s="3" t="str">
        <f>IFERROR(__xludf.DUMMYFUNCTION("""COMPUTED_VALUE"""),"6803883")</f>
        <v>6803883</v>
      </c>
      <c r="E262" s="3" t="str">
        <f>IFERROR(__xludf.DUMMYFUNCTION("""COMPUTED_VALUE"""),"2")</f>
        <v>2</v>
      </c>
      <c r="F262" s="3" t="str">
        <f>IFERROR(__xludf.DUMMYFUNCTION("""COMPUTED_VALUE"""),"นพอ.กรชนก หน่อทิม")</f>
        <v>นพอ.กรชนก หน่อทิม</v>
      </c>
      <c r="G26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62" s="3" t="str">
        <f>IFERROR(__xludf.DUMMYFUNCTION("""COMPUTED_VALUE"""),"วิ่งเพื่อการศึกษา")</f>
        <v>วิ่งเพื่อการศึกษา</v>
      </c>
      <c r="I262" s="3" t="str">
        <f>IFERROR(__xludf.DUMMYFUNCTION("""COMPUTED_VALUE"""),"ประจวบคีรีขันธ์")</f>
        <v>ประจวบคีรีขันธ์</v>
      </c>
      <c r="J262" s="12">
        <f>IFERROR(__xludf.DUMMYFUNCTION("""COMPUTED_VALUE"""),45984.0)</f>
        <v>45984</v>
      </c>
      <c r="K262" s="3" t="str">
        <f>IFERROR(__xludf.DUMMYFUNCTION("""COMPUTED_VALUE"""),"05.30น.")</f>
        <v>05.30น.</v>
      </c>
      <c r="L262" s="3">
        <f>IFERROR(__xludf.DUMMYFUNCTION("""COMPUTED_VALUE"""),4.0)</f>
        <v>4</v>
      </c>
      <c r="M262" s="3" t="str">
        <f>IFERROR(__xludf.DUMMYFUNCTION("""COMPUTED_VALUE"""),"น.ท.ณัฐชาติ เอี๊ยะมณี")</f>
        <v>น.ท.ณัฐชาติ เอี๊ยะมณี</v>
      </c>
      <c r="N262" s="14" t="str">
        <f>IFERROR(__xludf.DUMMYFUNCTION("""COMPUTED_VALUE"""),"https://lh5.googleusercontent.com/d/1HNVMkliQ8cf2EInjmKR3at7M_7GMEmBr")</f>
        <v>https://lh5.googleusercontent.com/d/1HNVMkliQ8cf2EInjmKR3at7M_7GMEmBr</v>
      </c>
      <c r="O262" s="14" t="str">
        <f>IFERROR(__xludf.DUMMYFUNCTION("""COMPUTED_VALUE"""),"https://drive.google.com/file/d/1vzRLX4xdLqrq9kcq8-a-PePBM6D1z3gP/view?usp=drivesdk")</f>
        <v>https://drive.google.com/file/d/1vzRLX4xdLqrq9kcq8-a-PePBM6D1z3gP/view?usp=drivesdk</v>
      </c>
    </row>
    <row r="263">
      <c r="A263" s="3">
        <f>IFERROR(__xludf.DUMMYFUNCTION("""COMPUTED_VALUE"""),1571.0)</f>
        <v>1571</v>
      </c>
      <c r="B263" s="11">
        <f>IFERROR(__xludf.DUMMYFUNCTION("""COMPUTED_VALUE"""),45999.66936893519)</f>
        <v>45999.66937</v>
      </c>
      <c r="C263" s="3" t="str">
        <f>IFERROR(__xludf.DUMMYFUNCTION("""COMPUTED_VALUE"""),"ชั้นปีที่ 1")</f>
        <v>ชั้นปีที่ 1</v>
      </c>
      <c r="D263" s="3" t="str">
        <f>IFERROR(__xludf.DUMMYFUNCTION("""COMPUTED_VALUE"""),"6803910")</f>
        <v>6803910</v>
      </c>
      <c r="E263" s="3" t="str">
        <f>IFERROR(__xludf.DUMMYFUNCTION("""COMPUTED_VALUE"""),"29")</f>
        <v>29</v>
      </c>
      <c r="F263" s="3" t="str">
        <f>IFERROR(__xludf.DUMMYFUNCTION("""COMPUTED_VALUE"""),"นวพร โอรัตนสถาพร")</f>
        <v>นวพร โอรัตนสถาพร</v>
      </c>
      <c r="G263" s="3" t="str">
        <f>IFERROR(__xludf.DUMMYFUNCTION("""COMPUTED_VALUE"""),"ช่วยเหลืองานภายใน วพอ.")</f>
        <v>ช่วยเหลืองานภายใน วพอ.</v>
      </c>
      <c r="H263" s="3" t="str">
        <f>IFERROR(__xludf.DUMMYFUNCTION("""COMPUTED_VALUE"""),"เล่นดุริยางค์")</f>
        <v>เล่นดุริยางค์</v>
      </c>
      <c r="I263" s="3" t="str">
        <f>IFERROR(__xludf.DUMMYFUNCTION("""COMPUTED_VALUE"""),"วพอ.")</f>
        <v>วพอ.</v>
      </c>
      <c r="J263" s="12">
        <f>IFERROR(__xludf.DUMMYFUNCTION("""COMPUTED_VALUE"""),45987.0)</f>
        <v>45987</v>
      </c>
      <c r="K263" s="3" t="str">
        <f>IFERROR(__xludf.DUMMYFUNCTION("""COMPUTED_VALUE"""),"0700-0740")</f>
        <v>0700-0740</v>
      </c>
      <c r="L263" s="3">
        <f>IFERROR(__xludf.DUMMYFUNCTION("""COMPUTED_VALUE"""),1.0)</f>
        <v>1</v>
      </c>
      <c r="M263" s="3" t="str">
        <f>IFERROR(__xludf.DUMMYFUNCTION("""COMPUTED_VALUE"""),"ร.อ.อนุชิต ทำจะดี")</f>
        <v>ร.อ.อนุชิต ทำจะดี</v>
      </c>
      <c r="N263" s="14" t="str">
        <f>IFERROR(__xludf.DUMMYFUNCTION("""COMPUTED_VALUE"""),"https://lh5.googleusercontent.com/d/1GlMqzlYRYo0gDa6jLg4T_eFgaG7ejMY1")</f>
        <v>https://lh5.googleusercontent.com/d/1GlMqzlYRYo0gDa6jLg4T_eFgaG7ejMY1</v>
      </c>
      <c r="O263" s="14" t="str">
        <f>IFERROR(__xludf.DUMMYFUNCTION("""COMPUTED_VALUE"""),"https://drive.google.com/file/d/1kuVNf4D8Kd4N6_PyQtE4kf3h8QEDc4ye/view?usp=drivesdk")</f>
        <v>https://drive.google.com/file/d/1kuVNf4D8Kd4N6_PyQtE4kf3h8QEDc4ye/view?usp=drivesdk</v>
      </c>
    </row>
    <row r="264">
      <c r="A264" s="3">
        <f>IFERROR(__xludf.DUMMYFUNCTION("""COMPUTED_VALUE"""),1573.0)</f>
        <v>1573</v>
      </c>
      <c r="B264" s="11">
        <f>IFERROR(__xludf.DUMMYFUNCTION("""COMPUTED_VALUE"""),45999.67087361112)</f>
        <v>45999.67087</v>
      </c>
      <c r="C264" s="3" t="str">
        <f>IFERROR(__xludf.DUMMYFUNCTION("""COMPUTED_VALUE"""),"ชั้นปีที่ 1")</f>
        <v>ชั้นปีที่ 1</v>
      </c>
      <c r="D264" s="3" t="str">
        <f>IFERROR(__xludf.DUMMYFUNCTION("""COMPUTED_VALUE"""),"6803935")</f>
        <v>6803935</v>
      </c>
      <c r="E264" s="3" t="str">
        <f>IFERROR(__xludf.DUMMYFUNCTION("""COMPUTED_VALUE"""),"54")</f>
        <v>54</v>
      </c>
      <c r="F264" s="3" t="str">
        <f>IFERROR(__xludf.DUMMYFUNCTION("""COMPUTED_VALUE"""),"นพอ.วีรวัฒน์ ทัศน์จันดา")</f>
        <v>นพอ.วีรวัฒน์ ทัศน์จันดา</v>
      </c>
      <c r="G264" s="3" t="str">
        <f>IFERROR(__xludf.DUMMYFUNCTION("""COMPUTED_VALUE"""),"ช่วยเหลืองานภายใน วพอ.")</f>
        <v>ช่วยเหลืองานภายใน วพอ.</v>
      </c>
      <c r="H264" s="3" t="str">
        <f>IFERROR(__xludf.DUMMYFUNCTION("""COMPUTED_VALUE"""),"เล่นดุริยางค์")</f>
        <v>เล่นดุริยางค์</v>
      </c>
      <c r="I264" s="3" t="str">
        <f>IFERROR(__xludf.DUMMYFUNCTION("""COMPUTED_VALUE"""),"วพอ.พอ.")</f>
        <v>วพอ.พอ.</v>
      </c>
      <c r="J264" s="12">
        <f>IFERROR(__xludf.DUMMYFUNCTION("""COMPUTED_VALUE"""),45951.0)</f>
        <v>45951</v>
      </c>
      <c r="K264" s="3" t="str">
        <f>IFERROR(__xludf.DUMMYFUNCTION("""COMPUTED_VALUE"""),"0730")</f>
        <v>0730</v>
      </c>
      <c r="L264" s="3">
        <f>IFERROR(__xludf.DUMMYFUNCTION("""COMPUTED_VALUE"""),1.0)</f>
        <v>1</v>
      </c>
      <c r="M264" s="3" t="str">
        <f>IFERROR(__xludf.DUMMYFUNCTION("""COMPUTED_VALUE"""),"ร.อ.อนุชิต ทำจะดี")</f>
        <v>ร.อ.อนุชิต ทำจะดี</v>
      </c>
      <c r="N264" s="14" t="str">
        <f>IFERROR(__xludf.DUMMYFUNCTION("""COMPUTED_VALUE"""),"https://lh5.googleusercontent.com/d/1DDefk_LNoyj2gxhYGHkrtXJq1LcoQYrg")</f>
        <v>https://lh5.googleusercontent.com/d/1DDefk_LNoyj2gxhYGHkrtXJq1LcoQYrg</v>
      </c>
      <c r="O264" s="14" t="str">
        <f>IFERROR(__xludf.DUMMYFUNCTION("""COMPUTED_VALUE"""),"https://drive.google.com/file/d/1mdqy_QknDSbL_05hvJo7TR9P-JmE6yGK/view?usp=drivesdk")</f>
        <v>https://drive.google.com/file/d/1mdqy_QknDSbL_05hvJo7TR9P-JmE6yGK/view?usp=drivesdk</v>
      </c>
    </row>
    <row r="265">
      <c r="A265" s="3">
        <f>IFERROR(__xludf.DUMMYFUNCTION("""COMPUTED_VALUE"""),1574.0)</f>
        <v>1574</v>
      </c>
      <c r="B265" s="11">
        <f>IFERROR(__xludf.DUMMYFUNCTION("""COMPUTED_VALUE"""),45999.671055659725)</f>
        <v>45999.67106</v>
      </c>
      <c r="C265" s="3" t="str">
        <f>IFERROR(__xludf.DUMMYFUNCTION("""COMPUTED_VALUE"""),"ชั้นปีที่ 1")</f>
        <v>ชั้นปีที่ 1</v>
      </c>
      <c r="D265" s="3" t="str">
        <f>IFERROR(__xludf.DUMMYFUNCTION("""COMPUTED_VALUE"""),"6803897")</f>
        <v>6803897</v>
      </c>
      <c r="E265" s="3" t="str">
        <f>IFERROR(__xludf.DUMMYFUNCTION("""COMPUTED_VALUE"""),"16")</f>
        <v>16</v>
      </c>
      <c r="F265" s="3" t="str">
        <f>IFERROR(__xludf.DUMMYFUNCTION("""COMPUTED_VALUE"""),"นพอ.ณัฐญา ชลอปัญจศิลป์")</f>
        <v>นพอ.ณัฐญา ชลอปัญจศิลป์</v>
      </c>
      <c r="G265" s="3" t="str">
        <f>IFERROR(__xludf.DUMMYFUNCTION("""COMPUTED_VALUE"""),"ช่วยเหลืองานภายใน วพอ.")</f>
        <v>ช่วยเหลืองานภายใน วพอ.</v>
      </c>
      <c r="H265" s="3" t="str">
        <f>IFERROR(__xludf.DUMMYFUNCTION("""COMPUTED_VALUE"""),"เล่นดุริยางค์")</f>
        <v>เล่นดุริยางค์</v>
      </c>
      <c r="I265" s="3" t="str">
        <f>IFERROR(__xludf.DUMMYFUNCTION("""COMPUTED_VALUE"""),"วพอ.")</f>
        <v>วพอ.</v>
      </c>
      <c r="J265" s="12">
        <f>IFERROR(__xludf.DUMMYFUNCTION("""COMPUTED_VALUE"""),45973.0)</f>
        <v>45973</v>
      </c>
      <c r="K265" s="3" t="str">
        <f>IFERROR(__xludf.DUMMYFUNCTION("""COMPUTED_VALUE"""),"0720")</f>
        <v>0720</v>
      </c>
      <c r="L265" s="3">
        <f>IFERROR(__xludf.DUMMYFUNCTION("""COMPUTED_VALUE"""),1.0)</f>
        <v>1</v>
      </c>
      <c r="M265" s="3" t="str">
        <f>IFERROR(__xludf.DUMMYFUNCTION("""COMPUTED_VALUE"""),"ร.อ.อนุชิต ทำจะดี")</f>
        <v>ร.อ.อนุชิต ทำจะดี</v>
      </c>
      <c r="N265" s="14" t="str">
        <f>IFERROR(__xludf.DUMMYFUNCTION("""COMPUTED_VALUE"""),"https://lh5.googleusercontent.com/d/1Vg2y3qs8AUMzThZBCfXLgbeV2CtfuVqr")</f>
        <v>https://lh5.googleusercontent.com/d/1Vg2y3qs8AUMzThZBCfXLgbeV2CtfuVqr</v>
      </c>
      <c r="O265" s="14" t="str">
        <f>IFERROR(__xludf.DUMMYFUNCTION("""COMPUTED_VALUE"""),"https://drive.google.com/file/d/1_NPLyWRgSF5_mrCXVN3S9yv8gGdqwujl/view?usp=drivesdk")</f>
        <v>https://drive.google.com/file/d/1_NPLyWRgSF5_mrCXVN3S9yv8gGdqwujl/view?usp=drivesdk</v>
      </c>
    </row>
    <row r="266">
      <c r="A266" s="3">
        <f>IFERROR(__xludf.DUMMYFUNCTION("""COMPUTED_VALUE"""),1575.0)</f>
        <v>1575</v>
      </c>
      <c r="B266" s="11">
        <f>IFERROR(__xludf.DUMMYFUNCTION("""COMPUTED_VALUE"""),45999.67215641204)</f>
        <v>45999.67216</v>
      </c>
      <c r="C266" s="3" t="str">
        <f>IFERROR(__xludf.DUMMYFUNCTION("""COMPUTED_VALUE"""),"ชั้นปีที่ 1")</f>
        <v>ชั้นปีที่ 1</v>
      </c>
      <c r="D266" s="3" t="str">
        <f>IFERROR(__xludf.DUMMYFUNCTION("""COMPUTED_VALUE"""),"6803889")</f>
        <v>6803889</v>
      </c>
      <c r="E266" s="3" t="str">
        <f>IFERROR(__xludf.DUMMYFUNCTION("""COMPUTED_VALUE"""),"8")</f>
        <v>8</v>
      </c>
      <c r="F266" s="3" t="str">
        <f>IFERROR(__xludf.DUMMYFUNCTION("""COMPUTED_VALUE"""),"นพอ.กุลิสรา ตุ่นคำ")</f>
        <v>นพอ.กุลิสรา ตุ่นคำ</v>
      </c>
      <c r="G266" s="3" t="str">
        <f>IFERROR(__xludf.DUMMYFUNCTION("""COMPUTED_VALUE"""),"ช่วยเหลืองานภายใน วพอ.")</f>
        <v>ช่วยเหลืองานภายใน วพอ.</v>
      </c>
      <c r="H266" s="3" t="str">
        <f>IFERROR(__xludf.DUMMYFUNCTION("""COMPUTED_VALUE"""),"ดุริยางค์")</f>
        <v>ดุริยางค์</v>
      </c>
      <c r="I266" s="3" t="str">
        <f>IFERROR(__xludf.DUMMYFUNCTION("""COMPUTED_VALUE"""),"วพอ.พอ.")</f>
        <v>วพอ.พอ.</v>
      </c>
      <c r="J266" s="12">
        <f>IFERROR(__xludf.DUMMYFUNCTION("""COMPUTED_VALUE"""),45960.0)</f>
        <v>45960</v>
      </c>
      <c r="K266" s="3" t="str">
        <f>IFERROR(__xludf.DUMMYFUNCTION("""COMPUTED_VALUE"""),"0720")</f>
        <v>0720</v>
      </c>
      <c r="L266" s="3">
        <f>IFERROR(__xludf.DUMMYFUNCTION("""COMPUTED_VALUE"""),1.0)</f>
        <v>1</v>
      </c>
      <c r="M266" s="3" t="str">
        <f>IFERROR(__xludf.DUMMYFUNCTION("""COMPUTED_VALUE"""),"ร.อ.อนุชิต ทำจะดี")</f>
        <v>ร.อ.อนุชิต ทำจะดี</v>
      </c>
      <c r="N266" s="14" t="str">
        <f>IFERROR(__xludf.DUMMYFUNCTION("""COMPUTED_VALUE"""),"https://lh5.googleusercontent.com/d/15IeXvNy__ERzf92XfbQzRPqz7cxQmSRg")</f>
        <v>https://lh5.googleusercontent.com/d/15IeXvNy__ERzf92XfbQzRPqz7cxQmSRg</v>
      </c>
      <c r="O266" s="14" t="str">
        <f>IFERROR(__xludf.DUMMYFUNCTION("""COMPUTED_VALUE"""),"https://drive.google.com/file/d/1i-2TR0Ak_ZNns691GLpveIwyQFTn4Q38/view?usp=drivesdk")</f>
        <v>https://drive.google.com/file/d/1i-2TR0Ak_ZNns691GLpveIwyQFTn4Q38/view?usp=drivesdk</v>
      </c>
    </row>
    <row r="267">
      <c r="A267" s="3">
        <f>IFERROR(__xludf.DUMMYFUNCTION("""COMPUTED_VALUE"""),1576.0)</f>
        <v>1576</v>
      </c>
      <c r="B267" s="11">
        <f>IFERROR(__xludf.DUMMYFUNCTION("""COMPUTED_VALUE"""),45999.67229635416)</f>
        <v>45999.6723</v>
      </c>
      <c r="C267" s="3" t="str">
        <f>IFERROR(__xludf.DUMMYFUNCTION("""COMPUTED_VALUE"""),"ชั้นปีที่ 1")</f>
        <v>ชั้นปีที่ 1</v>
      </c>
      <c r="D267" s="3" t="str">
        <f>IFERROR(__xludf.DUMMYFUNCTION("""COMPUTED_VALUE"""),"6803897")</f>
        <v>6803897</v>
      </c>
      <c r="E267" s="3" t="str">
        <f>IFERROR(__xludf.DUMMYFUNCTION("""COMPUTED_VALUE"""),"16")</f>
        <v>16</v>
      </c>
      <c r="F267" s="3" t="str">
        <f>IFERROR(__xludf.DUMMYFUNCTION("""COMPUTED_VALUE"""),"นพอ.ณัฐญา ชลอปัญจศิลป์")</f>
        <v>นพอ.ณัฐญา ชลอปัญจศิลป์</v>
      </c>
      <c r="G267" s="3" t="str">
        <f>IFERROR(__xludf.DUMMYFUNCTION("""COMPUTED_VALUE"""),"ช่วยเหลืองานภายใน วพอ.")</f>
        <v>ช่วยเหลืองานภายใน วพอ.</v>
      </c>
      <c r="H267" s="3" t="str">
        <f>IFERROR(__xludf.DUMMYFUNCTION("""COMPUTED_VALUE"""),"เล่นดุริยางค์")</f>
        <v>เล่นดุริยางค์</v>
      </c>
      <c r="I267" s="3" t="str">
        <f>IFERROR(__xludf.DUMMYFUNCTION("""COMPUTED_VALUE"""),"วพอ.")</f>
        <v>วพอ.</v>
      </c>
      <c r="J267" s="12">
        <f>IFERROR(__xludf.DUMMYFUNCTION("""COMPUTED_VALUE"""),45981.0)</f>
        <v>45981</v>
      </c>
      <c r="K267" s="3" t="str">
        <f>IFERROR(__xludf.DUMMYFUNCTION("""COMPUTED_VALUE"""),"0745")</f>
        <v>0745</v>
      </c>
      <c r="L267" s="3">
        <f>IFERROR(__xludf.DUMMYFUNCTION("""COMPUTED_VALUE"""),1.0)</f>
        <v>1</v>
      </c>
      <c r="M267" s="3" t="str">
        <f>IFERROR(__xludf.DUMMYFUNCTION("""COMPUTED_VALUE"""),"ร.อ.อนุชิต ทำจะดี")</f>
        <v>ร.อ.อนุชิต ทำจะดี</v>
      </c>
      <c r="N267" s="14" t="str">
        <f>IFERROR(__xludf.DUMMYFUNCTION("""COMPUTED_VALUE"""),"https://lh5.googleusercontent.com/d/14Bch7I-v9_zG48l4_9Drhlf8GOV8Wgmf")</f>
        <v>https://lh5.googleusercontent.com/d/14Bch7I-v9_zG48l4_9Drhlf8GOV8Wgmf</v>
      </c>
      <c r="O267" s="14" t="str">
        <f>IFERROR(__xludf.DUMMYFUNCTION("""COMPUTED_VALUE"""),"https://drive.google.com/file/d/1kPki8msZWndMk1-Hh0-7bietdSCg9jKW/view?usp=drivesdk")</f>
        <v>https://drive.google.com/file/d/1kPki8msZWndMk1-Hh0-7bietdSCg9jKW/view?usp=drivesdk</v>
      </c>
    </row>
    <row r="268">
      <c r="A268" s="3">
        <f>IFERROR(__xludf.DUMMYFUNCTION("""COMPUTED_VALUE"""),1577.0)</f>
        <v>1577</v>
      </c>
      <c r="B268" s="11">
        <f>IFERROR(__xludf.DUMMYFUNCTION("""COMPUTED_VALUE"""),45999.673506273146)</f>
        <v>45999.67351</v>
      </c>
      <c r="C268" s="3" t="str">
        <f>IFERROR(__xludf.DUMMYFUNCTION("""COMPUTED_VALUE"""),"ชั้นปีที่ 1")</f>
        <v>ชั้นปีที่ 1</v>
      </c>
      <c r="D268" s="3" t="str">
        <f>IFERROR(__xludf.DUMMYFUNCTION("""COMPUTED_VALUE"""),"6803897")</f>
        <v>6803897</v>
      </c>
      <c r="E268" s="3" t="str">
        <f>IFERROR(__xludf.DUMMYFUNCTION("""COMPUTED_VALUE"""),"16")</f>
        <v>16</v>
      </c>
      <c r="F268" s="3" t="str">
        <f>IFERROR(__xludf.DUMMYFUNCTION("""COMPUTED_VALUE"""),"นพอ.ณัฐญา ชลอปัญจศิลป์")</f>
        <v>นพอ.ณัฐญา ชลอปัญจศิลป์</v>
      </c>
      <c r="G268" s="3" t="str">
        <f>IFERROR(__xludf.DUMMYFUNCTION("""COMPUTED_VALUE"""),"ช่วยเหลืองานภายใน วพอ.")</f>
        <v>ช่วยเหลืองานภายใน วพอ.</v>
      </c>
      <c r="H268" s="3" t="str">
        <f>IFERROR(__xludf.DUMMYFUNCTION("""COMPUTED_VALUE"""),"เล่นดุริยางค์")</f>
        <v>เล่นดุริยางค์</v>
      </c>
      <c r="I268" s="3" t="str">
        <f>IFERROR(__xludf.DUMMYFUNCTION("""COMPUTED_VALUE"""),"วพอ.")</f>
        <v>วพอ.</v>
      </c>
      <c r="J268" s="12">
        <f>IFERROR(__xludf.DUMMYFUNCTION("""COMPUTED_VALUE"""),45982.0)</f>
        <v>45982</v>
      </c>
      <c r="K268" s="3" t="str">
        <f>IFERROR(__xludf.DUMMYFUNCTION("""COMPUTED_VALUE"""),"0730")</f>
        <v>0730</v>
      </c>
      <c r="L268" s="3">
        <f>IFERROR(__xludf.DUMMYFUNCTION("""COMPUTED_VALUE"""),1.0)</f>
        <v>1</v>
      </c>
      <c r="M268" s="3" t="str">
        <f>IFERROR(__xludf.DUMMYFUNCTION("""COMPUTED_VALUE"""),"ร.อ.อนุชิต ทำจะดี")</f>
        <v>ร.อ.อนุชิต ทำจะดี</v>
      </c>
      <c r="N268" s="14" t="str">
        <f>IFERROR(__xludf.DUMMYFUNCTION("""COMPUTED_VALUE"""),"https://lh5.googleusercontent.com/d/1s3xCAcN_1pNA6E39EOntGP_YvPPx06bp")</f>
        <v>https://lh5.googleusercontent.com/d/1s3xCAcN_1pNA6E39EOntGP_YvPPx06bp</v>
      </c>
      <c r="O268" s="14" t="str">
        <f>IFERROR(__xludf.DUMMYFUNCTION("""COMPUTED_VALUE"""),"https://drive.google.com/file/d/1oomn7V4joykSRU_7X6IRsqW3L27QEEtT/view?usp=drivesdk")</f>
        <v>https://drive.google.com/file/d/1oomn7V4joykSRU_7X6IRsqW3L27QEEtT/view?usp=drivesdk</v>
      </c>
    </row>
    <row r="269">
      <c r="A269" s="3">
        <f>IFERROR(__xludf.DUMMYFUNCTION("""COMPUTED_VALUE"""),1578.0)</f>
        <v>1578</v>
      </c>
      <c r="B269" s="11">
        <f>IFERROR(__xludf.DUMMYFUNCTION("""COMPUTED_VALUE"""),45999.67370965278)</f>
        <v>45999.67371</v>
      </c>
      <c r="C269" s="3" t="str">
        <f>IFERROR(__xludf.DUMMYFUNCTION("""COMPUTED_VALUE"""),"ชั้นปีที่ 1")</f>
        <v>ชั้นปีที่ 1</v>
      </c>
      <c r="D269" s="3" t="str">
        <f>IFERROR(__xludf.DUMMYFUNCTION("""COMPUTED_VALUE"""),"6803922")</f>
        <v>6803922</v>
      </c>
      <c r="E269" s="3" t="str">
        <f>IFERROR(__xludf.DUMMYFUNCTION("""COMPUTED_VALUE"""),"41")</f>
        <v>41</v>
      </c>
      <c r="F269" s="3" t="str">
        <f>IFERROR(__xludf.DUMMYFUNCTION("""COMPUTED_VALUE"""),"นพอ.พินิษา อินทร์ศวร")</f>
        <v>นพอ.พินิษา อินทร์ศวร</v>
      </c>
      <c r="G26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69" s="3" t="str">
        <f>IFERROR(__xludf.DUMMYFUNCTION("""COMPUTED_VALUE"""),"งานกาชาด")</f>
        <v>งานกาชาด</v>
      </c>
      <c r="I269" s="3" t="str">
        <f>IFERROR(__xludf.DUMMYFUNCTION("""COMPUTED_VALUE"""),"สวนลุมพินี")</f>
        <v>สวนลุมพินี</v>
      </c>
      <c r="J269" s="12">
        <f>IFERROR(__xludf.DUMMYFUNCTION("""COMPUTED_VALUE"""),46002.0)</f>
        <v>46002</v>
      </c>
      <c r="K269" s="3" t="str">
        <f>IFERROR(__xludf.DUMMYFUNCTION("""COMPUTED_VALUE"""),"15.00")</f>
        <v>15.00</v>
      </c>
      <c r="L269" s="3">
        <f>IFERROR(__xludf.DUMMYFUNCTION("""COMPUTED_VALUE"""),8.0)</f>
        <v>8</v>
      </c>
      <c r="M269" s="3" t="str">
        <f>IFERROR(__xludf.DUMMYFUNCTION("""COMPUTED_VALUE"""),"น.ต.ศักชัย บุญประสิทธิ์")</f>
        <v>น.ต.ศักชัย บุญประสิทธิ์</v>
      </c>
      <c r="N269" s="14" t="str">
        <f>IFERROR(__xludf.DUMMYFUNCTION("""COMPUTED_VALUE"""),"https://lh5.googleusercontent.com/d/1spph5Z4lpnPzepsZnUpGmhZWt7Xz624O")</f>
        <v>https://lh5.googleusercontent.com/d/1spph5Z4lpnPzepsZnUpGmhZWt7Xz624O</v>
      </c>
      <c r="O269" s="14" t="str">
        <f>IFERROR(__xludf.DUMMYFUNCTION("""COMPUTED_VALUE"""),"https://drive.google.com/file/d/1I0nqnzpE4zzm8wOthGcIOp4CNbQaUrQO/view?usp=drivesdk")</f>
        <v>https://drive.google.com/file/d/1I0nqnzpE4zzm8wOthGcIOp4CNbQaUrQO/view?usp=drivesdk</v>
      </c>
    </row>
    <row r="270">
      <c r="A270" s="3">
        <f>IFERROR(__xludf.DUMMYFUNCTION("""COMPUTED_VALUE"""),1580.0)</f>
        <v>1580</v>
      </c>
      <c r="B270" s="11">
        <f>IFERROR(__xludf.DUMMYFUNCTION("""COMPUTED_VALUE"""),45999.674863368055)</f>
        <v>45999.67486</v>
      </c>
      <c r="C270" s="3" t="str">
        <f>IFERROR(__xludf.DUMMYFUNCTION("""COMPUTED_VALUE"""),"ชั้นปีที่ 1")</f>
        <v>ชั้นปีที่ 1</v>
      </c>
      <c r="D270" s="3" t="str">
        <f>IFERROR(__xludf.DUMMYFUNCTION("""COMPUTED_VALUE"""),"6803897")</f>
        <v>6803897</v>
      </c>
      <c r="E270" s="3" t="str">
        <f>IFERROR(__xludf.DUMMYFUNCTION("""COMPUTED_VALUE"""),"16")</f>
        <v>16</v>
      </c>
      <c r="F270" s="3" t="str">
        <f>IFERROR(__xludf.DUMMYFUNCTION("""COMPUTED_VALUE"""),"นพอ.ณัฐญา ชลอปัญจศิลป์")</f>
        <v>นพอ.ณัฐญา ชลอปัญจศิลป์</v>
      </c>
      <c r="G270" s="3" t="str">
        <f>IFERROR(__xludf.DUMMYFUNCTION("""COMPUTED_VALUE"""),"ช่วยเหลืองานภายใน วพอ.")</f>
        <v>ช่วยเหลืองานภายใน วพอ.</v>
      </c>
      <c r="H270" s="3" t="str">
        <f>IFERROR(__xludf.DUMMYFUNCTION("""COMPUTED_VALUE"""),"เล่นดุริยางค์")</f>
        <v>เล่นดุริยางค์</v>
      </c>
      <c r="I270" s="3" t="str">
        <f>IFERROR(__xludf.DUMMYFUNCTION("""COMPUTED_VALUE"""),"วพอ.")</f>
        <v>วพอ.</v>
      </c>
      <c r="J270" s="12">
        <f>IFERROR(__xludf.DUMMYFUNCTION("""COMPUTED_VALUE"""),45985.0)</f>
        <v>45985</v>
      </c>
      <c r="K270" s="3" t="str">
        <f>IFERROR(__xludf.DUMMYFUNCTION("""COMPUTED_VALUE"""),"0730")</f>
        <v>0730</v>
      </c>
      <c r="L270" s="3">
        <f>IFERROR(__xludf.DUMMYFUNCTION("""COMPUTED_VALUE"""),1.0)</f>
        <v>1</v>
      </c>
      <c r="M270" s="3" t="str">
        <f>IFERROR(__xludf.DUMMYFUNCTION("""COMPUTED_VALUE"""),"ร.อ.อนุชิต ทำจะดี")</f>
        <v>ร.อ.อนุชิต ทำจะดี</v>
      </c>
      <c r="N270" s="14" t="str">
        <f>IFERROR(__xludf.DUMMYFUNCTION("""COMPUTED_VALUE"""),"https://lh5.googleusercontent.com/d/1t11YuaOB3S3p2FrMOp-4xKkVLHEWiP1t")</f>
        <v>https://lh5.googleusercontent.com/d/1t11YuaOB3S3p2FrMOp-4xKkVLHEWiP1t</v>
      </c>
      <c r="O270" s="14" t="str">
        <f>IFERROR(__xludf.DUMMYFUNCTION("""COMPUTED_VALUE"""),"https://drive.google.com/file/d/1S8ZshzNO8zzjdUoDQHYoo6XNkmTlOZbZ/view?usp=drivesdk")</f>
        <v>https://drive.google.com/file/d/1S8ZshzNO8zzjdUoDQHYoo6XNkmTlOZbZ/view?usp=drivesdk</v>
      </c>
    </row>
    <row r="271">
      <c r="A271" s="3">
        <f>IFERROR(__xludf.DUMMYFUNCTION("""COMPUTED_VALUE"""),1581.0)</f>
        <v>1581</v>
      </c>
      <c r="B271" s="11">
        <f>IFERROR(__xludf.DUMMYFUNCTION("""COMPUTED_VALUE"""),45999.675598333335)</f>
        <v>45999.6756</v>
      </c>
      <c r="C271" s="3" t="str">
        <f>IFERROR(__xludf.DUMMYFUNCTION("""COMPUTED_VALUE"""),"ชั้นปีที่ 1")</f>
        <v>ชั้นปีที่ 1</v>
      </c>
      <c r="D271" s="3" t="str">
        <f>IFERROR(__xludf.DUMMYFUNCTION("""COMPUTED_VALUE"""),"6803910")</f>
        <v>6803910</v>
      </c>
      <c r="E271" s="3" t="str">
        <f>IFERROR(__xludf.DUMMYFUNCTION("""COMPUTED_VALUE"""),"29")</f>
        <v>29</v>
      </c>
      <c r="F271" s="3" t="str">
        <f>IFERROR(__xludf.DUMMYFUNCTION("""COMPUTED_VALUE"""),"นวพร โอรัตนสถาพร")</f>
        <v>นวพร โอรัตนสถาพร</v>
      </c>
      <c r="G271" s="3" t="str">
        <f>IFERROR(__xludf.DUMMYFUNCTION("""COMPUTED_VALUE"""),"ช่วยเหลืองานภายใน วพอ.")</f>
        <v>ช่วยเหลืองานภายใน วพอ.</v>
      </c>
      <c r="H271" s="3" t="str">
        <f>IFERROR(__xludf.DUMMYFUNCTION("""COMPUTED_VALUE"""),"เล่นดุริยางค์")</f>
        <v>เล่นดุริยางค์</v>
      </c>
      <c r="I271" s="3" t="str">
        <f>IFERROR(__xludf.DUMMYFUNCTION("""COMPUTED_VALUE"""),"วพอ.")</f>
        <v>วพอ.</v>
      </c>
      <c r="J271" s="12">
        <f>IFERROR(__xludf.DUMMYFUNCTION("""COMPUTED_VALUE"""),45988.0)</f>
        <v>45988</v>
      </c>
      <c r="K271" s="3" t="str">
        <f>IFERROR(__xludf.DUMMYFUNCTION("""COMPUTED_VALUE"""),"0700-0740")</f>
        <v>0700-0740</v>
      </c>
      <c r="L271" s="3">
        <f>IFERROR(__xludf.DUMMYFUNCTION("""COMPUTED_VALUE"""),1.0)</f>
        <v>1</v>
      </c>
      <c r="M271" s="3" t="str">
        <f>IFERROR(__xludf.DUMMYFUNCTION("""COMPUTED_VALUE"""),"ร.อ.อนุชิต ทำจะดี")</f>
        <v>ร.อ.อนุชิต ทำจะดี</v>
      </c>
      <c r="N271" s="14" t="str">
        <f>IFERROR(__xludf.DUMMYFUNCTION("""COMPUTED_VALUE"""),"https://lh5.googleusercontent.com/d/1nz2yTLE7SalRMFotn87IJFrhSD-TcAnw")</f>
        <v>https://lh5.googleusercontent.com/d/1nz2yTLE7SalRMFotn87IJFrhSD-TcAnw</v>
      </c>
      <c r="O271" s="14" t="str">
        <f>IFERROR(__xludf.DUMMYFUNCTION("""COMPUTED_VALUE"""),"https://drive.google.com/file/d/1_g2Qdo1ocXMDk6PYD4SwDInIJQeLS6H4/view?usp=drivesdk")</f>
        <v>https://drive.google.com/file/d/1_g2Qdo1ocXMDk6PYD4SwDInIJQeLS6H4/view?usp=drivesdk</v>
      </c>
    </row>
    <row r="272">
      <c r="A272" s="3">
        <f>IFERROR(__xludf.DUMMYFUNCTION("""COMPUTED_VALUE"""),1582.0)</f>
        <v>1582</v>
      </c>
      <c r="B272" s="11">
        <f>IFERROR(__xludf.DUMMYFUNCTION("""COMPUTED_VALUE"""),45999.67715864583)</f>
        <v>45999.67716</v>
      </c>
      <c r="C272" s="3" t="str">
        <f>IFERROR(__xludf.DUMMYFUNCTION("""COMPUTED_VALUE"""),"ชั้นปีที่ 1")</f>
        <v>ชั้นปีที่ 1</v>
      </c>
      <c r="D272" s="3" t="str">
        <f>IFERROR(__xludf.DUMMYFUNCTION("""COMPUTED_VALUE"""),"6803897")</f>
        <v>6803897</v>
      </c>
      <c r="E272" s="3" t="str">
        <f>IFERROR(__xludf.DUMMYFUNCTION("""COMPUTED_VALUE"""),"16")</f>
        <v>16</v>
      </c>
      <c r="F272" s="3" t="str">
        <f>IFERROR(__xludf.DUMMYFUNCTION("""COMPUTED_VALUE"""),"นพอ.ณัฐญา ชลอปัญจศิลป์")</f>
        <v>นพอ.ณัฐญา ชลอปัญจศิลป์</v>
      </c>
      <c r="G272" s="3" t="str">
        <f>IFERROR(__xludf.DUMMYFUNCTION("""COMPUTED_VALUE"""),"ช่วยเหลืองานภายใน วพอ.")</f>
        <v>ช่วยเหลืองานภายใน วพอ.</v>
      </c>
      <c r="H272" s="3" t="str">
        <f>IFERROR(__xludf.DUMMYFUNCTION("""COMPUTED_VALUE"""),"เล่นดุริยางค์")</f>
        <v>เล่นดุริยางค์</v>
      </c>
      <c r="I272" s="3" t="str">
        <f>IFERROR(__xludf.DUMMYFUNCTION("""COMPUTED_VALUE"""),"วพอ.")</f>
        <v>วพอ.</v>
      </c>
      <c r="J272" s="12">
        <f>IFERROR(__xludf.DUMMYFUNCTION("""COMPUTED_VALUE"""),45950.0)</f>
        <v>45950</v>
      </c>
      <c r="K272" s="3" t="str">
        <f>IFERROR(__xludf.DUMMYFUNCTION("""COMPUTED_VALUE"""),"0748")</f>
        <v>0748</v>
      </c>
      <c r="L272" s="3">
        <f>IFERROR(__xludf.DUMMYFUNCTION("""COMPUTED_VALUE"""),1.0)</f>
        <v>1</v>
      </c>
      <c r="M272" s="3" t="str">
        <f>IFERROR(__xludf.DUMMYFUNCTION("""COMPUTED_VALUE"""),"ร.อ.อนุชิต ทำจะดี")</f>
        <v>ร.อ.อนุชิต ทำจะดี</v>
      </c>
      <c r="N272" s="14" t="str">
        <f>IFERROR(__xludf.DUMMYFUNCTION("""COMPUTED_VALUE"""),"https://lh5.googleusercontent.com/d/1voURybcNVW-vcFtVfZBI88cmw93XuLyM")</f>
        <v>https://lh5.googleusercontent.com/d/1voURybcNVW-vcFtVfZBI88cmw93XuLyM</v>
      </c>
      <c r="O272" s="14" t="str">
        <f>IFERROR(__xludf.DUMMYFUNCTION("""COMPUTED_VALUE"""),"https://drive.google.com/file/d/1vPk4YsQmsRZUZ6xIBwF5LnBbSN0VBATE/view?usp=drivesdk")</f>
        <v>https://drive.google.com/file/d/1vPk4YsQmsRZUZ6xIBwF5LnBbSN0VBATE/view?usp=drivesdk</v>
      </c>
    </row>
    <row r="273">
      <c r="A273" s="3">
        <f>IFERROR(__xludf.DUMMYFUNCTION("""COMPUTED_VALUE"""),1583.0)</f>
        <v>1583</v>
      </c>
      <c r="B273" s="11">
        <f>IFERROR(__xludf.DUMMYFUNCTION("""COMPUTED_VALUE"""),45999.677366979166)</f>
        <v>45999.67737</v>
      </c>
      <c r="C273" s="3" t="str">
        <f>IFERROR(__xludf.DUMMYFUNCTION("""COMPUTED_VALUE"""),"ชั้นปีที่ 1")</f>
        <v>ชั้นปีที่ 1</v>
      </c>
      <c r="D273" s="3" t="str">
        <f>IFERROR(__xludf.DUMMYFUNCTION("""COMPUTED_VALUE"""),"6803934")</f>
        <v>6803934</v>
      </c>
      <c r="E273" s="3" t="str">
        <f>IFERROR(__xludf.DUMMYFUNCTION("""COMPUTED_VALUE"""),"53")</f>
        <v>53</v>
      </c>
      <c r="F273" s="3" t="str">
        <f>IFERROR(__xludf.DUMMYFUNCTION("""COMPUTED_VALUE"""),"นพอ.วริศรา ออละมาลี")</f>
        <v>นพอ.วริศรา ออละมาลี</v>
      </c>
      <c r="G273" s="3" t="str">
        <f>IFERROR(__xludf.DUMMYFUNCTION("""COMPUTED_VALUE"""),"ทำนุบำรุงศาสนสถาน")</f>
        <v>ทำนุบำรุงศาสนสถาน</v>
      </c>
      <c r="H273" s="3" t="str">
        <f>IFERROR(__xludf.DUMMYFUNCTION("""COMPUTED_VALUE"""),"ช่วยงานวัดรับผิดชอบผ้าป่าลอยฟ้า")</f>
        <v>ช่วยงานวัดรับผิดชอบผ้าป่าลอยฟ้า</v>
      </c>
      <c r="I273" s="3" t="str">
        <f>IFERROR(__xludf.DUMMYFUNCTION("""COMPUTED_VALUE"""),"วัดเทพกัญญาราม")</f>
        <v>วัดเทพกัญญาราม</v>
      </c>
      <c r="J273" s="12">
        <f>IFERROR(__xludf.DUMMYFUNCTION("""COMPUTED_VALUE"""),45913.0)</f>
        <v>45913</v>
      </c>
      <c r="K273" s="3" t="str">
        <f>IFERROR(__xludf.DUMMYFUNCTION("""COMPUTED_VALUE"""),"0730-1130")</f>
        <v>0730-1130</v>
      </c>
      <c r="L273" s="3">
        <f>IFERROR(__xludf.DUMMYFUNCTION("""COMPUTED_VALUE"""),4.0)</f>
        <v>4</v>
      </c>
      <c r="M273" s="3" t="str">
        <f>IFERROR(__xludf.DUMMYFUNCTION("""COMPUTED_VALUE"""),"อวยพร ออละมาลี")</f>
        <v>อวยพร ออละมาลี</v>
      </c>
      <c r="N273" s="14" t="str">
        <f>IFERROR(__xludf.DUMMYFUNCTION("""COMPUTED_VALUE"""),"https://lh5.googleusercontent.com/d/1Okcj0dOQADdi2xnESH_XEdq5yEz-3zFY")</f>
        <v>https://lh5.googleusercontent.com/d/1Okcj0dOQADdi2xnESH_XEdq5yEz-3zFY</v>
      </c>
      <c r="O273" s="14" t="str">
        <f>IFERROR(__xludf.DUMMYFUNCTION("""COMPUTED_VALUE"""),"https://drive.google.com/file/d/1cGJgqvKsNgFS5pA5xHecWrJUEdGWcX7h/view?usp=drivesdk")</f>
        <v>https://drive.google.com/file/d/1cGJgqvKsNgFS5pA5xHecWrJUEdGWcX7h/view?usp=drivesdk</v>
      </c>
    </row>
    <row r="274">
      <c r="A274" s="3">
        <f>IFERROR(__xludf.DUMMYFUNCTION("""COMPUTED_VALUE"""),1585.0)</f>
        <v>1585</v>
      </c>
      <c r="B274" s="11">
        <f>IFERROR(__xludf.DUMMYFUNCTION("""COMPUTED_VALUE"""),45999.67891320602)</f>
        <v>45999.67891</v>
      </c>
      <c r="C274" s="3" t="str">
        <f>IFERROR(__xludf.DUMMYFUNCTION("""COMPUTED_VALUE"""),"ชั้นปีที่ 1")</f>
        <v>ชั้นปีที่ 1</v>
      </c>
      <c r="D274" s="3" t="str">
        <f>IFERROR(__xludf.DUMMYFUNCTION("""COMPUTED_VALUE"""),"6803919")</f>
        <v>6803919</v>
      </c>
      <c r="E274" s="3" t="str">
        <f>IFERROR(__xludf.DUMMYFUNCTION("""COMPUTED_VALUE"""),"38")</f>
        <v>38</v>
      </c>
      <c r="F274" s="3" t="str">
        <f>IFERROR(__xludf.DUMMYFUNCTION("""COMPUTED_VALUE"""),"พลอยปภัส มากใหม่")</f>
        <v>พลอยปภัส มากใหม่</v>
      </c>
      <c r="G27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74" s="3" t="str">
        <f>IFERROR(__xludf.DUMMYFUNCTION("""COMPUTED_VALUE"""),"กาชาด")</f>
        <v>กาชาด</v>
      </c>
      <c r="I274" s="3" t="str">
        <f>IFERROR(__xludf.DUMMYFUNCTION("""COMPUTED_VALUE"""),"สวนลุมพินี")</f>
        <v>สวนลุมพินี</v>
      </c>
      <c r="J274" s="12">
        <f>IFERROR(__xludf.DUMMYFUNCTION("""COMPUTED_VALUE"""),46002.0)</f>
        <v>46002</v>
      </c>
      <c r="K274" s="3" t="str">
        <f>IFERROR(__xludf.DUMMYFUNCTION("""COMPUTED_VALUE"""),"15:00")</f>
        <v>15:00</v>
      </c>
      <c r="L274" s="3">
        <f>IFERROR(__xludf.DUMMYFUNCTION("""COMPUTED_VALUE"""),8.0)</f>
        <v>8</v>
      </c>
      <c r="M274" s="3" t="str">
        <f>IFERROR(__xludf.DUMMYFUNCTION("""COMPUTED_VALUE"""),"น.ต.ศักชัย บุญประสิทธิ์")</f>
        <v>น.ต.ศักชัย บุญประสิทธิ์</v>
      </c>
      <c r="N274" s="14" t="str">
        <f>IFERROR(__xludf.DUMMYFUNCTION("""COMPUTED_VALUE"""),"https://lh5.googleusercontent.com/d/1Z2hHYcCWS2jP0WQrv8rO2XMCKYItk3q5")</f>
        <v>https://lh5.googleusercontent.com/d/1Z2hHYcCWS2jP0WQrv8rO2XMCKYItk3q5</v>
      </c>
      <c r="O274" s="14" t="str">
        <f>IFERROR(__xludf.DUMMYFUNCTION("""COMPUTED_VALUE"""),"https://drive.google.com/file/d/1YAwCDtkg1rXT6MtHJpl9lAdj5HS7ZQvC/view?usp=drivesdk")</f>
        <v>https://drive.google.com/file/d/1YAwCDtkg1rXT6MtHJpl9lAdj5HS7ZQvC/view?usp=drivesdk</v>
      </c>
    </row>
    <row r="275">
      <c r="A275" s="3">
        <f>IFERROR(__xludf.DUMMYFUNCTION("""COMPUTED_VALUE"""),1588.0)</f>
        <v>1588</v>
      </c>
      <c r="B275" s="11">
        <f>IFERROR(__xludf.DUMMYFUNCTION("""COMPUTED_VALUE"""),45999.68543217593)</f>
        <v>45999.68543</v>
      </c>
      <c r="C275" s="3" t="str">
        <f>IFERROR(__xludf.DUMMYFUNCTION("""COMPUTED_VALUE"""),"ชั้นปีที่ 1")</f>
        <v>ชั้นปีที่ 1</v>
      </c>
      <c r="D275" s="3" t="str">
        <f>IFERROR(__xludf.DUMMYFUNCTION("""COMPUTED_VALUE"""),"เบญจวรรณ มณีแนว")</f>
        <v>เบญจวรรณ มณีแนว</v>
      </c>
      <c r="E275" s="3" t="str">
        <f>IFERROR(__xludf.DUMMYFUNCTION("""COMPUTED_VALUE"""),"31")</f>
        <v>31</v>
      </c>
      <c r="F275" s="3" t="str">
        <f>IFERROR(__xludf.DUMMYFUNCTION("""COMPUTED_VALUE"""),"เบญจวรรณ มณีแนว")</f>
        <v>เบญจวรรณ มณีแนว</v>
      </c>
      <c r="G27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75" s="3" t="str">
        <f>IFERROR(__xludf.DUMMYFUNCTION("""COMPUTED_VALUE"""),"บริจาคโลหิต")</f>
        <v>บริจาคโลหิต</v>
      </c>
      <c r="I275" s="3" t="str">
        <f>IFERROR(__xludf.DUMMYFUNCTION("""COMPUTED_VALUE"""),"โรงพยาบาลศูนย์ขอนแก่น")</f>
        <v>โรงพยาบาลศูนย์ขอนแก่น</v>
      </c>
      <c r="J275" s="12">
        <f>IFERROR(__xludf.DUMMYFUNCTION("""COMPUTED_VALUE"""),45879.0)</f>
        <v>45879</v>
      </c>
      <c r="K275" s="3" t="str">
        <f>IFERROR(__xludf.DUMMYFUNCTION("""COMPUTED_VALUE"""),"1100-1140")</f>
        <v>1100-1140</v>
      </c>
      <c r="L275" s="3">
        <f>IFERROR(__xludf.DUMMYFUNCTION("""COMPUTED_VALUE"""),8.0)</f>
        <v>8</v>
      </c>
      <c r="M275" s="3" t="str">
        <f>IFERROR(__xludf.DUMMYFUNCTION("""COMPUTED_VALUE"""),"นางอภิญญาพร พลนามอินทร์")</f>
        <v>นางอภิญญาพร พลนามอินทร์</v>
      </c>
      <c r="N275" s="14" t="str">
        <f>IFERROR(__xludf.DUMMYFUNCTION("""COMPUTED_VALUE"""),"https://lh5.googleusercontent.com/d/1_6T7TFSd0zwsYloNr2LJzE_RtNLhwLTd")</f>
        <v>https://lh5.googleusercontent.com/d/1_6T7TFSd0zwsYloNr2LJzE_RtNLhwLTd</v>
      </c>
      <c r="O275" s="3"/>
    </row>
    <row r="276">
      <c r="A276" s="3">
        <f>IFERROR(__xludf.DUMMYFUNCTION("""COMPUTED_VALUE"""),1589.0)</f>
        <v>1589</v>
      </c>
      <c r="B276" s="11">
        <f>IFERROR(__xludf.DUMMYFUNCTION("""COMPUTED_VALUE"""),45999.68599377315)</f>
        <v>45999.68599</v>
      </c>
      <c r="C276" s="3" t="str">
        <f>IFERROR(__xludf.DUMMYFUNCTION("""COMPUTED_VALUE"""),"ชั้นปีที่ 1")</f>
        <v>ชั้นปีที่ 1</v>
      </c>
      <c r="D276" s="3" t="str">
        <f>IFERROR(__xludf.DUMMYFUNCTION("""COMPUTED_VALUE"""),"เบญจวรรณ มณีแนว")</f>
        <v>เบญจวรรณ มณีแนว</v>
      </c>
      <c r="E276" s="3" t="str">
        <f>IFERROR(__xludf.DUMMYFUNCTION("""COMPUTED_VALUE"""),"31")</f>
        <v>31</v>
      </c>
      <c r="F276" s="3" t="str">
        <f>IFERROR(__xludf.DUMMYFUNCTION("""COMPUTED_VALUE"""),"เบญจวรรณ มณีแนว")</f>
        <v>เบญจวรรณ มณีแนว</v>
      </c>
      <c r="G27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76" s="3" t="str">
        <f>IFERROR(__xludf.DUMMYFUNCTION("""COMPUTED_VALUE"""),"บริจาคโลหิต")</f>
        <v>บริจาคโลหิต</v>
      </c>
      <c r="I276" s="3" t="str">
        <f>IFERROR(__xludf.DUMMYFUNCTION("""COMPUTED_VALUE"""),"โรงพยาบาลศูนย์ขอนแก่น")</f>
        <v>โรงพยาบาลศูนย์ขอนแก่น</v>
      </c>
      <c r="J276" s="12">
        <f>IFERROR(__xludf.DUMMYFUNCTION("""COMPUTED_VALUE"""),45879.0)</f>
        <v>45879</v>
      </c>
      <c r="K276" s="3" t="str">
        <f>IFERROR(__xludf.DUMMYFUNCTION("""COMPUTED_VALUE"""),"1100-1140")</f>
        <v>1100-1140</v>
      </c>
      <c r="L276" s="3">
        <f>IFERROR(__xludf.DUMMYFUNCTION("""COMPUTED_VALUE"""),8.0)</f>
        <v>8</v>
      </c>
      <c r="M276" s="3" t="str">
        <f>IFERROR(__xludf.DUMMYFUNCTION("""COMPUTED_VALUE"""),"นางอภิญญาพร พลนามอินทร์")</f>
        <v>นางอภิญญาพร พลนามอินทร์</v>
      </c>
      <c r="N276" s="14" t="str">
        <f>IFERROR(__xludf.DUMMYFUNCTION("""COMPUTED_VALUE"""),"https://lh5.googleusercontent.com/d/13j1y5smqKJnOru9fRXFLBm-RNvRsl8t0")</f>
        <v>https://lh5.googleusercontent.com/d/13j1y5smqKJnOru9fRXFLBm-RNvRsl8t0</v>
      </c>
      <c r="O276" s="14" t="str">
        <f>IFERROR(__xludf.DUMMYFUNCTION("""COMPUTED_VALUE"""),"https://drive.google.com/file/d/1KWh2jo6fu3LwnIHcVhjb8RObS_NednSj/view?usp=drivesdk")</f>
        <v>https://drive.google.com/file/d/1KWh2jo6fu3LwnIHcVhjb8RObS_NednSj/view?usp=drivesdk</v>
      </c>
    </row>
    <row r="277">
      <c r="A277" s="3">
        <f>IFERROR(__xludf.DUMMYFUNCTION("""COMPUTED_VALUE"""),1590.0)</f>
        <v>1590</v>
      </c>
      <c r="B277" s="11">
        <f>IFERROR(__xludf.DUMMYFUNCTION("""COMPUTED_VALUE"""),45999.6865902662)</f>
        <v>45999.68659</v>
      </c>
      <c r="C277" s="3" t="str">
        <f>IFERROR(__xludf.DUMMYFUNCTION("""COMPUTED_VALUE"""),"ชั้นปีที่ 1")</f>
        <v>ชั้นปีที่ 1</v>
      </c>
      <c r="D277" s="3" t="str">
        <f>IFERROR(__xludf.DUMMYFUNCTION("""COMPUTED_VALUE"""),"6803899")</f>
        <v>6803899</v>
      </c>
      <c r="E277" s="3" t="str">
        <f>IFERROR(__xludf.DUMMYFUNCTION("""COMPUTED_VALUE"""),"18")</f>
        <v>18</v>
      </c>
      <c r="F277" s="3" t="str">
        <f>IFERROR(__xludf.DUMMYFUNCTION("""COMPUTED_VALUE"""),"นพอ.ณัฐณิชา มีปา")</f>
        <v>นพอ.ณัฐณิชา มีปา</v>
      </c>
      <c r="G277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77" s="3" t="str">
        <f>IFERROR(__xludf.DUMMYFUNCTION("""COMPUTED_VALUE"""),"บริจาคฝากระป๋องเพื่อทำขาเทียม")</f>
        <v>บริจาคฝากระป๋องเพื่อทำขาเทียม</v>
      </c>
      <c r="I277" s="3" t="str">
        <f>IFERROR(__xludf.DUMMYFUNCTION("""COMPUTED_VALUE"""),"มูลนิธิขาเทียม")</f>
        <v>มูลนิธิขาเทียม</v>
      </c>
      <c r="J277" s="12">
        <f>IFERROR(__xludf.DUMMYFUNCTION("""COMPUTED_VALUE"""),45910.0)</f>
        <v>45910</v>
      </c>
      <c r="K277" s="3" t="str">
        <f>IFERROR(__xludf.DUMMYFUNCTION("""COMPUTED_VALUE"""),"1300")</f>
        <v>1300</v>
      </c>
      <c r="L277" s="3">
        <f>IFERROR(__xludf.DUMMYFUNCTION("""COMPUTED_VALUE"""),4.0)</f>
        <v>4</v>
      </c>
      <c r="M277" s="3" t="str">
        <f>IFERROR(__xludf.DUMMYFUNCTION("""COMPUTED_VALUE"""),"มูลนิธิขาเทียม ในสมเด็จพระศรีนครินทราบรมราชชนนี")</f>
        <v>มูลนิธิขาเทียม ในสมเด็จพระศรีนครินทราบรมราชชนนี</v>
      </c>
      <c r="N277" s="14" t="str">
        <f>IFERROR(__xludf.DUMMYFUNCTION("""COMPUTED_VALUE"""),"https://lh5.googleusercontent.com/d/1wb1ZFD3Hs40SDBAS5UpdPnDrOPTSo4bX")</f>
        <v>https://lh5.googleusercontent.com/d/1wb1ZFD3Hs40SDBAS5UpdPnDrOPTSo4bX</v>
      </c>
      <c r="O277" s="14" t="str">
        <f>IFERROR(__xludf.DUMMYFUNCTION("""COMPUTED_VALUE"""),"https://drive.google.com/file/d/1A46i7gnT3ux4cZD-LyK9St9zO0O357VA/view?usp=drivesdk")</f>
        <v>https://drive.google.com/file/d/1A46i7gnT3ux4cZD-LyK9St9zO0O357VA/view?usp=drivesdk</v>
      </c>
    </row>
    <row r="278">
      <c r="A278" s="3">
        <f>IFERROR(__xludf.DUMMYFUNCTION("""COMPUTED_VALUE"""),1591.0)</f>
        <v>1591</v>
      </c>
      <c r="B278" s="11">
        <f>IFERROR(__xludf.DUMMYFUNCTION("""COMPUTED_VALUE"""),45999.68803023148)</f>
        <v>45999.68803</v>
      </c>
      <c r="C278" s="3" t="str">
        <f>IFERROR(__xludf.DUMMYFUNCTION("""COMPUTED_VALUE"""),"ชั้นปีที่ 1")</f>
        <v>ชั้นปีที่ 1</v>
      </c>
      <c r="D278" s="3" t="str">
        <f>IFERROR(__xludf.DUMMYFUNCTION("""COMPUTED_VALUE"""),"6803912")</f>
        <v>6803912</v>
      </c>
      <c r="E278" s="3" t="str">
        <f>IFERROR(__xludf.DUMMYFUNCTION("""COMPUTED_VALUE"""),"31")</f>
        <v>31</v>
      </c>
      <c r="F278" s="3" t="str">
        <f>IFERROR(__xludf.DUMMYFUNCTION("""COMPUTED_VALUE"""),"เบญจวรรณ มณีแนว")</f>
        <v>เบญจวรรณ มณีแนว</v>
      </c>
      <c r="G27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78" s="3" t="str">
        <f>IFERROR(__xludf.DUMMYFUNCTION("""COMPUTED_VALUE"""),"บริจาคโลหิต")</f>
        <v>บริจาคโลหิต</v>
      </c>
      <c r="I278" s="3" t="str">
        <f>IFERROR(__xludf.DUMMYFUNCTION("""COMPUTED_VALUE"""),"โรงพยาบาลศูนย์ขอนแก่น")</f>
        <v>โรงพยาบาลศูนย์ขอนแก่น</v>
      </c>
      <c r="J278" s="12">
        <f>IFERROR(__xludf.DUMMYFUNCTION("""COMPUTED_VALUE"""),45879.0)</f>
        <v>45879</v>
      </c>
      <c r="K278" s="3" t="str">
        <f>IFERROR(__xludf.DUMMYFUNCTION("""COMPUTED_VALUE"""),"1100-1140")</f>
        <v>1100-1140</v>
      </c>
      <c r="L278" s="3">
        <f>IFERROR(__xludf.DUMMYFUNCTION("""COMPUTED_VALUE"""),8.0)</f>
        <v>8</v>
      </c>
      <c r="M278" s="3" t="str">
        <f>IFERROR(__xludf.DUMMYFUNCTION("""COMPUTED_VALUE"""),"นางอภิญญาพร พลนามอินทร์")</f>
        <v>นางอภิญญาพร พลนามอินทร์</v>
      </c>
      <c r="N278" s="14" t="str">
        <f>IFERROR(__xludf.DUMMYFUNCTION("""COMPUTED_VALUE"""),"https://lh5.googleusercontent.com/d/1D-c9W9Wt3vbBnlXuGfbFBetMOa5jvs3o")</f>
        <v>https://lh5.googleusercontent.com/d/1D-c9W9Wt3vbBnlXuGfbFBetMOa5jvs3o</v>
      </c>
      <c r="O278" s="14" t="str">
        <f>IFERROR(__xludf.DUMMYFUNCTION("""COMPUTED_VALUE"""),"https://drive.google.com/file/d/1AZJk8u7ixf-iKbSiaLDtLgHLHDJscZ6n/view?usp=drivesdk")</f>
        <v>https://drive.google.com/file/d/1AZJk8u7ixf-iKbSiaLDtLgHLHDJscZ6n/view?usp=drivesdk</v>
      </c>
    </row>
    <row r="279">
      <c r="A279" s="3">
        <f>IFERROR(__xludf.DUMMYFUNCTION("""COMPUTED_VALUE"""),1593.0)</f>
        <v>1593</v>
      </c>
      <c r="B279" s="11">
        <f>IFERROR(__xludf.DUMMYFUNCTION("""COMPUTED_VALUE"""),45999.688947847215)</f>
        <v>45999.68895</v>
      </c>
      <c r="C279" s="3" t="str">
        <f>IFERROR(__xludf.DUMMYFUNCTION("""COMPUTED_VALUE"""),"ชั้นปีที่ 1")</f>
        <v>ชั้นปีที่ 1</v>
      </c>
      <c r="D279" s="3" t="str">
        <f>IFERROR(__xludf.DUMMYFUNCTION("""COMPUTED_VALUE"""),"6803915")</f>
        <v>6803915</v>
      </c>
      <c r="E279" s="3" t="str">
        <f>IFERROR(__xludf.DUMMYFUNCTION("""COMPUTED_VALUE"""),"34")</f>
        <v>34</v>
      </c>
      <c r="F279" s="3" t="str">
        <f>IFERROR(__xludf.DUMMYFUNCTION("""COMPUTED_VALUE"""),"นพอ.ปัญชลีย์ ชื่นสวัสดิ์")</f>
        <v>นพอ.ปัญชลีย์ ชื่นสวัสดิ์</v>
      </c>
      <c r="G279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79" s="3" t="str">
        <f>IFERROR(__xludf.DUMMYFUNCTION("""COMPUTED_VALUE"""),"ถวายความอาลัยต่อพระพันปีหลวง")</f>
        <v>ถวายความอาลัยต่อพระพันปีหลวง</v>
      </c>
      <c r="I279" s="3" t="str">
        <f>IFERROR(__xludf.DUMMYFUNCTION("""COMPUTED_VALUE"""),"โรงพยาบาลภูมิพลอดุยเดช")</f>
        <v>โรงพยาบาลภูมิพลอดุยเดช</v>
      </c>
      <c r="J279" s="12">
        <f>IFERROR(__xludf.DUMMYFUNCTION("""COMPUTED_VALUE"""),45964.0)</f>
        <v>45964</v>
      </c>
      <c r="K279" s="3" t="str">
        <f>IFERROR(__xludf.DUMMYFUNCTION("""COMPUTED_VALUE"""),"0800")</f>
        <v>0800</v>
      </c>
      <c r="L279" s="3">
        <f>IFERROR(__xludf.DUMMYFUNCTION("""COMPUTED_VALUE"""),5.0)</f>
        <v>5</v>
      </c>
      <c r="M279" s="3" t="str">
        <f>IFERROR(__xludf.DUMMYFUNCTION("""COMPUTED_VALUE"""),"น.ต.ศักชัย บุญประสิทธิ์")</f>
        <v>น.ต.ศักชัย บุญประสิทธิ์</v>
      </c>
      <c r="N279" s="14" t="str">
        <f>IFERROR(__xludf.DUMMYFUNCTION("""COMPUTED_VALUE"""),"https://lh5.googleusercontent.com/d/1aAoSV3zRQRYsnr0gP09zwMl7YkyE45Dj")</f>
        <v>https://lh5.googleusercontent.com/d/1aAoSV3zRQRYsnr0gP09zwMl7YkyE45Dj</v>
      </c>
      <c r="O279" s="14" t="str">
        <f>IFERROR(__xludf.DUMMYFUNCTION("""COMPUTED_VALUE"""),"https://drive.google.com/file/d/151qq083Cy9QkL3orPvAsP7awA_OCnh3h/view?usp=drivesdk")</f>
        <v>https://drive.google.com/file/d/151qq083Cy9QkL3orPvAsP7awA_OCnh3h/view?usp=drivesdk</v>
      </c>
    </row>
    <row r="280">
      <c r="A280" s="3">
        <f>IFERROR(__xludf.DUMMYFUNCTION("""COMPUTED_VALUE"""),1595.0)</f>
        <v>1595</v>
      </c>
      <c r="B280" s="11">
        <f>IFERROR(__xludf.DUMMYFUNCTION("""COMPUTED_VALUE"""),45999.69314866898)</f>
        <v>45999.69315</v>
      </c>
      <c r="C280" s="3" t="str">
        <f>IFERROR(__xludf.DUMMYFUNCTION("""COMPUTED_VALUE"""),"ชั้นปีที่ 1")</f>
        <v>ชั้นปีที่ 1</v>
      </c>
      <c r="D280" s="3" t="str">
        <f>IFERROR(__xludf.DUMMYFUNCTION("""COMPUTED_VALUE"""),"6803903")</f>
        <v>6803903</v>
      </c>
      <c r="E280" s="3" t="str">
        <f>IFERROR(__xludf.DUMMYFUNCTION("""COMPUTED_VALUE"""),"22")</f>
        <v>22</v>
      </c>
      <c r="F280" s="3" t="str">
        <f>IFERROR(__xludf.DUMMYFUNCTION("""COMPUTED_VALUE"""),"นพอ.ดลณภา คล้ายสุวรรณ์")</f>
        <v>นพอ.ดลณภา คล้ายสุวรรณ์</v>
      </c>
      <c r="G280" s="3" t="str">
        <f>IFERROR(__xludf.DUMMYFUNCTION("""COMPUTED_VALUE"""),"ช่วยเหลืองานภายใน วพอ.")</f>
        <v>ช่วยเหลืองานภายใน วพอ.</v>
      </c>
      <c r="H280" s="3" t="str">
        <f>IFERROR(__xludf.DUMMYFUNCTION("""COMPUTED_VALUE"""),"Big cleaning")</f>
        <v>Big cleaning</v>
      </c>
      <c r="I280" s="3" t="str">
        <f>IFERROR(__xludf.DUMMYFUNCTION("""COMPUTED_VALUE"""),"วิทยาลัยพยาบาลทหารอากาศ")</f>
        <v>วิทยาลัยพยาบาลทหารอากาศ</v>
      </c>
      <c r="J280" s="12">
        <f>IFERROR(__xludf.DUMMYFUNCTION("""COMPUTED_VALUE"""),45875.0)</f>
        <v>45875</v>
      </c>
      <c r="K280" s="3" t="str">
        <f>IFERROR(__xludf.DUMMYFUNCTION("""COMPUTED_VALUE"""),"0800")</f>
        <v>0800</v>
      </c>
      <c r="L280" s="3">
        <f>IFERROR(__xludf.DUMMYFUNCTION("""COMPUTED_VALUE"""),8.0)</f>
        <v>8</v>
      </c>
      <c r="M280" s="3" t="str">
        <f>IFERROR(__xludf.DUMMYFUNCTION("""COMPUTED_VALUE"""),"น.ท.หญิง สุพัตรา ปิ่นแก้ว")</f>
        <v>น.ท.หญิง สุพัตรา ปิ่นแก้ว</v>
      </c>
      <c r="N280" s="14" t="str">
        <f>IFERROR(__xludf.DUMMYFUNCTION("""COMPUTED_VALUE"""),"https://lh5.googleusercontent.com/d/1_RSeizpLRxkgWhAVi-WkkHN2lS8TutAQ")</f>
        <v>https://lh5.googleusercontent.com/d/1_RSeizpLRxkgWhAVi-WkkHN2lS8TutAQ</v>
      </c>
      <c r="O280" s="14" t="str">
        <f>IFERROR(__xludf.DUMMYFUNCTION("""COMPUTED_VALUE"""),"https://drive.google.com/file/d/1tjVDsVS_dVW1S6dMqiT9WtmrKFHhhwOR/view?usp=drivesdk")</f>
        <v>https://drive.google.com/file/d/1tjVDsVS_dVW1S6dMqiT9WtmrKFHhhwOR/view?usp=drivesdk</v>
      </c>
    </row>
    <row r="281">
      <c r="A281" s="3">
        <f>IFERROR(__xludf.DUMMYFUNCTION("""COMPUTED_VALUE"""),1596.0)</f>
        <v>1596</v>
      </c>
      <c r="B281" s="11">
        <f>IFERROR(__xludf.DUMMYFUNCTION("""COMPUTED_VALUE"""),45999.693264988426)</f>
        <v>45999.69326</v>
      </c>
      <c r="C281" s="3" t="str">
        <f>IFERROR(__xludf.DUMMYFUNCTION("""COMPUTED_VALUE"""),"ชั้นปีที่ 1")</f>
        <v>ชั้นปีที่ 1</v>
      </c>
      <c r="D281" s="3" t="str">
        <f>IFERROR(__xludf.DUMMYFUNCTION("""COMPUTED_VALUE"""),"6803897")</f>
        <v>6803897</v>
      </c>
      <c r="E281" s="3" t="str">
        <f>IFERROR(__xludf.DUMMYFUNCTION("""COMPUTED_VALUE"""),"16")</f>
        <v>16</v>
      </c>
      <c r="F281" s="3" t="str">
        <f>IFERROR(__xludf.DUMMYFUNCTION("""COMPUTED_VALUE"""),"นพอ.ณัฐญา ชลอปัญจศิลป์")</f>
        <v>นพอ.ณัฐญา ชลอปัญจศิลป์</v>
      </c>
      <c r="G281" s="3" t="str">
        <f>IFERROR(__xludf.DUMMYFUNCTION("""COMPUTED_VALUE"""),"ทำนุบำรุงศาสนสถาน")</f>
        <v>ทำนุบำรุงศาสนสถาน</v>
      </c>
      <c r="H281" s="3" t="str">
        <f>IFERROR(__xludf.DUMMYFUNCTION("""COMPUTED_VALUE"""),"กวาดลานวัด")</f>
        <v>กวาดลานวัด</v>
      </c>
      <c r="I281" s="3" t="str">
        <f>IFERROR(__xludf.DUMMYFUNCTION("""COMPUTED_VALUE"""),"วัดเขาวง")</f>
        <v>วัดเขาวง</v>
      </c>
      <c r="J281" s="12">
        <f>IFERROR(__xludf.DUMMYFUNCTION("""COMPUTED_VALUE"""),45927.0)</f>
        <v>45927</v>
      </c>
      <c r="K281" s="3" t="str">
        <f>IFERROR(__xludf.DUMMYFUNCTION("""COMPUTED_VALUE"""),"1000")</f>
        <v>1000</v>
      </c>
      <c r="L281" s="3">
        <f>IFERROR(__xludf.DUMMYFUNCTION("""COMPUTED_VALUE"""),4.0)</f>
        <v>4</v>
      </c>
      <c r="M281" s="3" t="str">
        <f>IFERROR(__xludf.DUMMYFUNCTION("""COMPUTED_VALUE"""),"คนึงนิจ ชลอปัญจศิลป์")</f>
        <v>คนึงนิจ ชลอปัญจศิลป์</v>
      </c>
      <c r="N281" s="14" t="str">
        <f>IFERROR(__xludf.DUMMYFUNCTION("""COMPUTED_VALUE"""),"https://lh5.googleusercontent.com/d/187cYe9MGMVov4l35B34fU29DNkcJ9TsS")</f>
        <v>https://lh5.googleusercontent.com/d/187cYe9MGMVov4l35B34fU29DNkcJ9TsS</v>
      </c>
      <c r="O281" s="14" t="str">
        <f>IFERROR(__xludf.DUMMYFUNCTION("""COMPUTED_VALUE"""),"https://drive.google.com/file/d/1Yv9GIegNquupLKnvC7zPCq4QYChy9wE9/view?usp=drivesdk")</f>
        <v>https://drive.google.com/file/d/1Yv9GIegNquupLKnvC7zPCq4QYChy9wE9/view?usp=drivesdk</v>
      </c>
    </row>
    <row r="282">
      <c r="A282" s="3">
        <f>IFERROR(__xludf.DUMMYFUNCTION("""COMPUTED_VALUE"""),1598.0)</f>
        <v>1598</v>
      </c>
      <c r="B282" s="11">
        <f>IFERROR(__xludf.DUMMYFUNCTION("""COMPUTED_VALUE"""),45999.69740761574)</f>
        <v>45999.69741</v>
      </c>
      <c r="C282" s="3" t="str">
        <f>IFERROR(__xludf.DUMMYFUNCTION("""COMPUTED_VALUE"""),"ชั้นปีที่ 1")</f>
        <v>ชั้นปีที่ 1</v>
      </c>
      <c r="D282" s="3" t="str">
        <f>IFERROR(__xludf.DUMMYFUNCTION("""COMPUTED_VALUE"""),"6903903")</f>
        <v>6903903</v>
      </c>
      <c r="E282" s="3" t="str">
        <f>IFERROR(__xludf.DUMMYFUNCTION("""COMPUTED_VALUE"""),"22")</f>
        <v>22</v>
      </c>
      <c r="F282" s="3" t="str">
        <f>IFERROR(__xludf.DUMMYFUNCTION("""COMPUTED_VALUE"""),"นพอ.ดลณภา คล้ายสุวรรณ์")</f>
        <v>นพอ.ดลณภา คล้ายสุวรรณ์</v>
      </c>
      <c r="G282" s="3" t="str">
        <f>IFERROR(__xludf.DUMMYFUNCTION("""COMPUTED_VALUE"""),"ช่วยเหลืองานภายใน วพอ.")</f>
        <v>ช่วยเหลืองานภายใน วพอ.</v>
      </c>
      <c r="H282" s="3" t="str">
        <f>IFERROR(__xludf.DUMMYFUNCTION("""COMPUTED_VALUE"""),"ช่วยเตรียมสถานที่จัดงานมุทิตาจิต")</f>
        <v>ช่วยเตรียมสถานที่จัดงานมุทิตาจิต</v>
      </c>
      <c r="I282" s="3" t="str">
        <f>IFERROR(__xludf.DUMMYFUNCTION("""COMPUTED_VALUE"""),"วิทยาลัยพยาบาลทหารอากาศ")</f>
        <v>วิทยาลัยพยาบาลทหารอากาศ</v>
      </c>
      <c r="J282" s="12">
        <f>IFERROR(__xludf.DUMMYFUNCTION("""COMPUTED_VALUE"""),45928.0)</f>
        <v>45928</v>
      </c>
      <c r="K282" s="3" t="str">
        <f>IFERROR(__xludf.DUMMYFUNCTION("""COMPUTED_VALUE"""),"1030-1330")</f>
        <v>1030-1330</v>
      </c>
      <c r="L282" s="3">
        <f>IFERROR(__xludf.DUMMYFUNCTION("""COMPUTED_VALUE"""),3.0)</f>
        <v>3</v>
      </c>
      <c r="M282" s="3" t="str">
        <f>IFERROR(__xludf.DUMMYFUNCTION("""COMPUTED_VALUE"""),"ร.อ.อนุชิต ทำจะดี")</f>
        <v>ร.อ.อนุชิต ทำจะดี</v>
      </c>
      <c r="N282" s="14" t="str">
        <f>IFERROR(__xludf.DUMMYFUNCTION("""COMPUTED_VALUE"""),"https://lh5.googleusercontent.com/d/1YonS7XgykYTPObu2k-ubF9lBWFZMa85o")</f>
        <v>https://lh5.googleusercontent.com/d/1YonS7XgykYTPObu2k-ubF9lBWFZMa85o</v>
      </c>
      <c r="O282" s="14" t="str">
        <f>IFERROR(__xludf.DUMMYFUNCTION("""COMPUTED_VALUE"""),"https://drive.google.com/file/d/1EWp1lB1ZtBr3G2-Mx0ExijvJ97wXJXaQ/view?usp=drivesdk")</f>
        <v>https://drive.google.com/file/d/1EWp1lB1ZtBr3G2-Mx0ExijvJ97wXJXaQ/view?usp=drivesdk</v>
      </c>
    </row>
    <row r="283">
      <c r="A283" s="3">
        <f>IFERROR(__xludf.DUMMYFUNCTION("""COMPUTED_VALUE"""),1609.0)</f>
        <v>1609</v>
      </c>
      <c r="B283" s="11">
        <f>IFERROR(__xludf.DUMMYFUNCTION("""COMPUTED_VALUE"""),45999.73217563657)</f>
        <v>45999.73218</v>
      </c>
      <c r="C283" s="3" t="str">
        <f>IFERROR(__xludf.DUMMYFUNCTION("""COMPUTED_VALUE"""),"ชั้นปีที่ 1")</f>
        <v>ชั้นปีที่ 1</v>
      </c>
      <c r="D283" s="3" t="str">
        <f>IFERROR(__xludf.DUMMYFUNCTION("""COMPUTED_VALUE"""),"6803923")</f>
        <v>6803923</v>
      </c>
      <c r="E283" s="3" t="str">
        <f>IFERROR(__xludf.DUMMYFUNCTION("""COMPUTED_VALUE"""),"42")</f>
        <v>42</v>
      </c>
      <c r="F283" s="3" t="str">
        <f>IFERROR(__xludf.DUMMYFUNCTION("""COMPUTED_VALUE"""),"นพอ.พิมพ์ณัฐชยา มนนามอญ")</f>
        <v>นพอ.พิมพ์ณัฐชยา มนนามอญ</v>
      </c>
      <c r="G283" s="3" t="str">
        <f>IFERROR(__xludf.DUMMYFUNCTION("""COMPUTED_VALUE"""),"ช่วยเหลืองานภายใน วพอ.")</f>
        <v>ช่วยเหลืองานภายใน วพอ.</v>
      </c>
      <c r="H283" s="3" t="str">
        <f>IFERROR(__xludf.DUMMYFUNCTION("""COMPUTED_VALUE"""),"Big cleaning ")</f>
        <v>Big cleaning </v>
      </c>
      <c r="I283" s="3" t="str">
        <f>IFERROR(__xludf.DUMMYFUNCTION("""COMPUTED_VALUE"""),"วิทยาลัยพยาบาลทหารอากาศ")</f>
        <v>วิทยาลัยพยาบาลทหารอากาศ</v>
      </c>
      <c r="J283" s="12">
        <f>IFERROR(__xludf.DUMMYFUNCTION("""COMPUTED_VALUE"""),45875.0)</f>
        <v>45875</v>
      </c>
      <c r="K283" s="3" t="str">
        <f>IFERROR(__xludf.DUMMYFUNCTION("""COMPUTED_VALUE"""),"0800")</f>
        <v>0800</v>
      </c>
      <c r="L283" s="3">
        <f>IFERROR(__xludf.DUMMYFUNCTION("""COMPUTED_VALUE"""),8.0)</f>
        <v>8</v>
      </c>
      <c r="M283" s="3" t="str">
        <f>IFERROR(__xludf.DUMMYFUNCTION("""COMPUTED_VALUE"""),"น.ต.ศักชัย บุญประสิทธิ์")</f>
        <v>น.ต.ศักชัย บุญประสิทธิ์</v>
      </c>
      <c r="N283" s="14" t="str">
        <f>IFERROR(__xludf.DUMMYFUNCTION("""COMPUTED_VALUE"""),"https://lh5.googleusercontent.com/d/1rfuDFmFc1oeKYs3msn9C6LN2I7TVHs2E")</f>
        <v>https://lh5.googleusercontent.com/d/1rfuDFmFc1oeKYs3msn9C6LN2I7TVHs2E</v>
      </c>
      <c r="O283" s="14" t="str">
        <f>IFERROR(__xludf.DUMMYFUNCTION("""COMPUTED_VALUE"""),"https://drive.google.com/file/d/1WAdOl7_BnzirPxqpOmJqRzqhOj2w2tTE/view?usp=drivesdk")</f>
        <v>https://drive.google.com/file/d/1WAdOl7_BnzirPxqpOmJqRzqhOj2w2tTE/view?usp=drivesdk</v>
      </c>
    </row>
    <row r="284">
      <c r="A284" s="3">
        <f>IFERROR(__xludf.DUMMYFUNCTION("""COMPUTED_VALUE"""),1615.0)</f>
        <v>1615</v>
      </c>
      <c r="B284" s="11">
        <f>IFERROR(__xludf.DUMMYFUNCTION("""COMPUTED_VALUE"""),45999.74105561342)</f>
        <v>45999.74106</v>
      </c>
      <c r="C284" s="3" t="str">
        <f>IFERROR(__xludf.DUMMYFUNCTION("""COMPUTED_VALUE"""),"ชั้นปีที่ 1")</f>
        <v>ชั้นปีที่ 1</v>
      </c>
      <c r="D284" s="3" t="str">
        <f>IFERROR(__xludf.DUMMYFUNCTION("""COMPUTED_VALUE"""),"6803909")</f>
        <v>6803909</v>
      </c>
      <c r="E284" s="3" t="str">
        <f>IFERROR(__xludf.DUMMYFUNCTION("""COMPUTED_VALUE"""),"28")</f>
        <v>28</v>
      </c>
      <c r="F284" s="3" t="str">
        <f>IFERROR(__xludf.DUMMYFUNCTION("""COMPUTED_VALUE"""),"นวพร แซ่ห้าว")</f>
        <v>นวพร แซ่ห้าว</v>
      </c>
      <c r="G284" s="3" t="str">
        <f>IFERROR(__xludf.DUMMYFUNCTION("""COMPUTED_VALUE"""),"ช่วยเหลืองานภายใน วพอ.")</f>
        <v>ช่วยเหลืองานภายใน วพอ.</v>
      </c>
      <c r="H284" s="3" t="str">
        <f>IFERROR(__xludf.DUMMYFUNCTION("""COMPUTED_VALUE"""),"จัดเตรียมสถานที่งานมุฑิตาจิต")</f>
        <v>จัดเตรียมสถานที่งานมุฑิตาจิต</v>
      </c>
      <c r="I284" s="3" t="str">
        <f>IFERROR(__xludf.DUMMYFUNCTION("""COMPUTED_VALUE"""),"วพอ.")</f>
        <v>วพอ.</v>
      </c>
      <c r="J284" s="12">
        <f>IFERROR(__xludf.DUMMYFUNCTION("""COMPUTED_VALUE"""),45928.0)</f>
        <v>45928</v>
      </c>
      <c r="K284" s="3" t="str">
        <f>IFERROR(__xludf.DUMMYFUNCTION("""COMPUTED_VALUE"""),"1030-1330")</f>
        <v>1030-1330</v>
      </c>
      <c r="L284" s="3">
        <f>IFERROR(__xludf.DUMMYFUNCTION("""COMPUTED_VALUE"""),3.0)</f>
        <v>3</v>
      </c>
      <c r="M284" s="3" t="str">
        <f>IFERROR(__xludf.DUMMYFUNCTION("""COMPUTED_VALUE"""),"ร.อ.อนุชิต ทำจะดี")</f>
        <v>ร.อ.อนุชิต ทำจะดี</v>
      </c>
      <c r="N284" s="14" t="str">
        <f>IFERROR(__xludf.DUMMYFUNCTION("""COMPUTED_VALUE"""),"https://lh5.googleusercontent.com/d/1UOfDiJcurIAtqTeHZntWePpv2kUGVct3")</f>
        <v>https://lh5.googleusercontent.com/d/1UOfDiJcurIAtqTeHZntWePpv2kUGVct3</v>
      </c>
      <c r="O284" s="14" t="str">
        <f>IFERROR(__xludf.DUMMYFUNCTION("""COMPUTED_VALUE"""),"https://drive.google.com/file/d/1MuwuEUTxai91hoNfNUDATFq4LPzdRMd8/view?usp=drivesdk")</f>
        <v>https://drive.google.com/file/d/1MuwuEUTxai91hoNfNUDATFq4LPzdRMd8/view?usp=drivesdk</v>
      </c>
    </row>
    <row r="285">
      <c r="A285" s="3">
        <f>IFERROR(__xludf.DUMMYFUNCTION("""COMPUTED_VALUE"""),1630.0)</f>
        <v>1630</v>
      </c>
      <c r="B285" s="11">
        <f>IFERROR(__xludf.DUMMYFUNCTION("""COMPUTED_VALUE"""),45999.791740671295)</f>
        <v>45999.79174</v>
      </c>
      <c r="C285" s="3" t="str">
        <f>IFERROR(__xludf.DUMMYFUNCTION("""COMPUTED_VALUE"""),"ชั้นปีที่ 1")</f>
        <v>ชั้นปีที่ 1</v>
      </c>
      <c r="D285" s="3" t="str">
        <f>IFERROR(__xludf.DUMMYFUNCTION("""COMPUTED_VALUE"""),"6803918")</f>
        <v>6803918</v>
      </c>
      <c r="E285" s="3" t="str">
        <f>IFERROR(__xludf.DUMMYFUNCTION("""COMPUTED_VALUE"""),"37")</f>
        <v>37</v>
      </c>
      <c r="F285" s="3" t="str">
        <f>IFERROR(__xludf.DUMMYFUNCTION("""COMPUTED_VALUE"""),"นพอ.พลอยธิดา รัตนกิจ")</f>
        <v>นพอ.พลอยธิดา รัตนกิจ</v>
      </c>
      <c r="G2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5" s="3" t="str">
        <f>IFERROR(__xludf.DUMMYFUNCTION("""COMPUTED_VALUE"""),"งานกาชาด")</f>
        <v>งานกาชาด</v>
      </c>
      <c r="I285" s="3" t="str">
        <f>IFERROR(__xludf.DUMMYFUNCTION("""COMPUTED_VALUE"""),"สวนลุมพินี")</f>
        <v>สวนลุมพินี</v>
      </c>
      <c r="J285" s="12">
        <f>IFERROR(__xludf.DUMMYFUNCTION("""COMPUTED_VALUE"""),46002.0)</f>
        <v>46002</v>
      </c>
      <c r="K285" s="3" t="str">
        <f>IFERROR(__xludf.DUMMYFUNCTION("""COMPUTED_VALUE"""),"1500")</f>
        <v>1500</v>
      </c>
      <c r="L285" s="3">
        <f>IFERROR(__xludf.DUMMYFUNCTION("""COMPUTED_VALUE"""),8.0)</f>
        <v>8</v>
      </c>
      <c r="M285" s="3" t="str">
        <f>IFERROR(__xludf.DUMMYFUNCTION("""COMPUTED_VALUE"""),"น.ต.ศักชัย บุญประสิทธิ์")</f>
        <v>น.ต.ศักชัย บุญประสิทธิ์</v>
      </c>
      <c r="N285" s="14" t="str">
        <f>IFERROR(__xludf.DUMMYFUNCTION("""COMPUTED_VALUE"""),"https://lh5.googleusercontent.com/d/1OlvPPlufgV5W_3lhpEna2njkXDC7vb3_")</f>
        <v>https://lh5.googleusercontent.com/d/1OlvPPlufgV5W_3lhpEna2njkXDC7vb3_</v>
      </c>
      <c r="O285" s="14" t="str">
        <f>IFERROR(__xludf.DUMMYFUNCTION("""COMPUTED_VALUE"""),"https://drive.google.com/file/d/1Mn59vNuAU2nNIlo7ojocDXV-08yPEhi1/view?usp=drivesdk")</f>
        <v>https://drive.google.com/file/d/1Mn59vNuAU2nNIlo7ojocDXV-08yPEhi1/view?usp=drivesdk</v>
      </c>
    </row>
    <row r="286">
      <c r="A286" s="3">
        <f>IFERROR(__xludf.DUMMYFUNCTION("""COMPUTED_VALUE"""),1637.0)</f>
        <v>1637</v>
      </c>
      <c r="B286" s="11">
        <f>IFERROR(__xludf.DUMMYFUNCTION("""COMPUTED_VALUE"""),45999.79814061342)</f>
        <v>45999.79814</v>
      </c>
      <c r="C286" s="3" t="str">
        <f>IFERROR(__xludf.DUMMYFUNCTION("""COMPUTED_VALUE"""),"ชั้นปีที่ 1")</f>
        <v>ชั้นปีที่ 1</v>
      </c>
      <c r="D286" s="3" t="str">
        <f>IFERROR(__xludf.DUMMYFUNCTION("""COMPUTED_VALUE"""),"6803936")</f>
        <v>6803936</v>
      </c>
      <c r="E286" s="3" t="str">
        <f>IFERROR(__xludf.DUMMYFUNCTION("""COMPUTED_VALUE"""),"55")</f>
        <v>55</v>
      </c>
      <c r="F286" s="3" t="str">
        <f>IFERROR(__xludf.DUMMYFUNCTION("""COMPUTED_VALUE"""),"นพอ.ศศิชา แจ้งปกรณ์กิจ")</f>
        <v>นพอ.ศศิชา แจ้งปกรณ์กิจ</v>
      </c>
      <c r="G28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286" s="3" t="str">
        <f>IFERROR(__xludf.DUMMYFUNCTION("""COMPUTED_VALUE"""),"บริจาคโลหิต")</f>
        <v>บริจาคโลหิต</v>
      </c>
      <c r="I286" s="3" t="str">
        <f>IFERROR(__xludf.DUMMYFUNCTION("""COMPUTED_VALUE"""),"รพ.ราชบุรี")</f>
        <v>รพ.ราชบุรี</v>
      </c>
      <c r="J286" s="12">
        <f>IFERROR(__xludf.DUMMYFUNCTION("""COMPUTED_VALUE"""),45663.0)</f>
        <v>45663</v>
      </c>
      <c r="K286" s="3" t="str">
        <f>IFERROR(__xludf.DUMMYFUNCTION("""COMPUTED_VALUE"""),"1300")</f>
        <v>1300</v>
      </c>
      <c r="L286" s="3">
        <f>IFERROR(__xludf.DUMMYFUNCTION("""COMPUTED_VALUE"""),8.0)</f>
        <v>8</v>
      </c>
      <c r="M286" s="3" t="str">
        <f>IFERROR(__xludf.DUMMYFUNCTION("""COMPUTED_VALUE"""),"นายภรณรงค์  สมรรถชัย")</f>
        <v>นายภรณรงค์  สมรรถชัย</v>
      </c>
      <c r="N286" s="14" t="str">
        <f>IFERROR(__xludf.DUMMYFUNCTION("""COMPUTED_VALUE"""),"https://lh5.googleusercontent.com/d/1NxiTW-4CqOKa4tro9i-jShW9gyh_OBLb")</f>
        <v>https://lh5.googleusercontent.com/d/1NxiTW-4CqOKa4tro9i-jShW9gyh_OBLb</v>
      </c>
      <c r="O286" s="14" t="str">
        <f>IFERROR(__xludf.DUMMYFUNCTION("""COMPUTED_VALUE"""),"https://drive.google.com/file/d/1mRJ8xzFJH0RSVKPZXyB-NnB1JO1olz4H/view?usp=drivesdk")</f>
        <v>https://drive.google.com/file/d/1mRJ8xzFJH0RSVKPZXyB-NnB1JO1olz4H/view?usp=drivesdk</v>
      </c>
    </row>
    <row r="287">
      <c r="A287" s="3">
        <f>IFERROR(__xludf.DUMMYFUNCTION("""COMPUTED_VALUE"""),1641.0)</f>
        <v>1641</v>
      </c>
      <c r="B287" s="11">
        <f>IFERROR(__xludf.DUMMYFUNCTION("""COMPUTED_VALUE"""),45999.80082913194)</f>
        <v>45999.80083</v>
      </c>
      <c r="C287" s="3" t="str">
        <f>IFERROR(__xludf.DUMMYFUNCTION("""COMPUTED_VALUE"""),"ชั้นปีที่ 1")</f>
        <v>ชั้นปีที่ 1</v>
      </c>
      <c r="D287" s="3" t="str">
        <f>IFERROR(__xludf.DUMMYFUNCTION("""COMPUTED_VALUE"""),"6803921")</f>
        <v>6803921</v>
      </c>
      <c r="E287" s="3" t="str">
        <f>IFERROR(__xludf.DUMMYFUNCTION("""COMPUTED_VALUE"""),"40")</f>
        <v>40</v>
      </c>
      <c r="F287" s="3" t="str">
        <f>IFERROR(__xludf.DUMMYFUNCTION("""COMPUTED_VALUE"""),"นพอ.พิชญาภรณ์ บุตรวัง")</f>
        <v>นพอ.พิชญาภรณ์ บุตรวัง</v>
      </c>
      <c r="G2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87" s="3" t="str">
        <f>IFERROR(__xludf.DUMMYFUNCTION("""COMPUTED_VALUE"""),"เดินรณรงค์ “วันโลกรำลึกถึงผู้สูญเสียจากอุบัติเหตุทางถนน” กับพลังโรทาแรคท์")</f>
        <v>เดินรณรงค์ “วันโลกรำลึกถึงผู้สูญเสียจากอุบัติเหตุทางถนน” กับพลังโรทาแรคท์</v>
      </c>
      <c r="I287" s="3" t="str">
        <f>IFERROR(__xludf.DUMMYFUNCTION("""COMPUTED_VALUE"""),"อาคารสหประชาชาติ กรุงเทพฯ")</f>
        <v>อาคารสหประชาชาติ กรุงเทพฯ</v>
      </c>
      <c r="J287" s="12">
        <f>IFERROR(__xludf.DUMMYFUNCTION("""COMPUTED_VALUE"""),45977.0)</f>
        <v>45977</v>
      </c>
      <c r="K287" s="3" t="str">
        <f>IFERROR(__xludf.DUMMYFUNCTION("""COMPUTED_VALUE"""),"0600-0930")</f>
        <v>0600-0930</v>
      </c>
      <c r="L287" s="3">
        <f>IFERROR(__xludf.DUMMYFUNCTION("""COMPUTED_VALUE"""),4.0)</f>
        <v>4</v>
      </c>
      <c r="M28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87" s="14" t="str">
        <f>IFERROR(__xludf.DUMMYFUNCTION("""COMPUTED_VALUE"""),"https://lh5.googleusercontent.com/d/1HSJ8cxLBI5ieIvB9LIRBt5Y-DXIwRffG")</f>
        <v>https://lh5.googleusercontent.com/d/1HSJ8cxLBI5ieIvB9LIRBt5Y-DXIwRffG</v>
      </c>
      <c r="O287" s="14" t="str">
        <f>IFERROR(__xludf.DUMMYFUNCTION("""COMPUTED_VALUE"""),"https://drive.google.com/file/d/1zntpUs2QqmRYopEqLla6SiWKAtvK5qzl/view?usp=drivesdk")</f>
        <v>https://drive.google.com/file/d/1zntpUs2QqmRYopEqLla6SiWKAtvK5qzl/view?usp=drivesdk</v>
      </c>
    </row>
    <row r="288">
      <c r="A288" s="3">
        <f>IFERROR(__xludf.DUMMYFUNCTION("""COMPUTED_VALUE"""),1643.0)</f>
        <v>1643</v>
      </c>
      <c r="B288" s="11">
        <f>IFERROR(__xludf.DUMMYFUNCTION("""COMPUTED_VALUE"""),45999.80217415509)</f>
        <v>45999.80217</v>
      </c>
      <c r="C288" s="3" t="str">
        <f>IFERROR(__xludf.DUMMYFUNCTION("""COMPUTED_VALUE"""),"ชั้นปีที่ 1")</f>
        <v>ชั้นปีที่ 1</v>
      </c>
      <c r="D288" s="3" t="str">
        <f>IFERROR(__xludf.DUMMYFUNCTION("""COMPUTED_VALUE"""),"6803924")</f>
        <v>6803924</v>
      </c>
      <c r="E288" s="3" t="str">
        <f>IFERROR(__xludf.DUMMYFUNCTION("""COMPUTED_VALUE"""),"43")</f>
        <v>43</v>
      </c>
      <c r="F288" s="3" t="str">
        <f>IFERROR(__xludf.DUMMYFUNCTION("""COMPUTED_VALUE"""),"นพอ.พีรชา แสงไทย")</f>
        <v>นพอ.พีรชา แสงไทย</v>
      </c>
      <c r="G288" s="3" t="str">
        <f>IFERROR(__xludf.DUMMYFUNCTION("""COMPUTED_VALUE"""),"ทำนุบำรุงศาสนสถาน")</f>
        <v>ทำนุบำรุงศาสนสถาน</v>
      </c>
      <c r="H288" s="3" t="str">
        <f>IFERROR(__xludf.DUMMYFUNCTION("""COMPUTED_VALUE"""),"กวาดลานวัด")</f>
        <v>กวาดลานวัด</v>
      </c>
      <c r="I288" s="3" t="str">
        <f>IFERROR(__xludf.DUMMYFUNCTION("""COMPUTED_VALUE"""),"วัดหนองผักชี")</f>
        <v>วัดหนองผักชี</v>
      </c>
      <c r="J288" s="12">
        <f>IFERROR(__xludf.DUMMYFUNCTION("""COMPUTED_VALUE"""),45983.0)</f>
        <v>45983</v>
      </c>
      <c r="K288" s="3" t="str">
        <f>IFERROR(__xludf.DUMMYFUNCTION("""COMPUTED_VALUE"""),"1700-2100")</f>
        <v>1700-2100</v>
      </c>
      <c r="L288" s="3">
        <f>IFERROR(__xludf.DUMMYFUNCTION("""COMPUTED_VALUE"""),4.0)</f>
        <v>4</v>
      </c>
      <c r="M288" s="3" t="str">
        <f>IFERROR(__xludf.DUMMYFUNCTION("""COMPUTED_VALUE"""),"นางสาวสกาวรัตน์ ย้อยฝอย")</f>
        <v>นางสาวสกาวรัตน์ ย้อยฝอย</v>
      </c>
      <c r="N288" s="14" t="str">
        <f>IFERROR(__xludf.DUMMYFUNCTION("""COMPUTED_VALUE"""),"https://lh5.googleusercontent.com/d/1O0l3SstIc-cD-5UyhiRkGgx3XVoyhdxn")</f>
        <v>https://lh5.googleusercontent.com/d/1O0l3SstIc-cD-5UyhiRkGgx3XVoyhdxn</v>
      </c>
      <c r="O288" s="14" t="str">
        <f>IFERROR(__xludf.DUMMYFUNCTION("""COMPUTED_VALUE"""),"https://drive.google.com/file/d/1b4tBP9LccCzagxPHiMNTqIoJqeH_Dh-w/view?usp=drivesdk")</f>
        <v>https://drive.google.com/file/d/1b4tBP9LccCzagxPHiMNTqIoJqeH_Dh-w/view?usp=drivesdk</v>
      </c>
    </row>
    <row r="289">
      <c r="A289" s="3">
        <f>IFERROR(__xludf.DUMMYFUNCTION("""COMPUTED_VALUE"""),1644.0)</f>
        <v>1644</v>
      </c>
      <c r="B289" s="11">
        <f>IFERROR(__xludf.DUMMYFUNCTION("""COMPUTED_VALUE"""),45999.80242359954)</f>
        <v>45999.80242</v>
      </c>
      <c r="C289" s="3" t="str">
        <f>IFERROR(__xludf.DUMMYFUNCTION("""COMPUTED_VALUE"""),"ชั้นปีที่ 1")</f>
        <v>ชั้นปีที่ 1</v>
      </c>
      <c r="D289" s="3" t="str">
        <f>IFERROR(__xludf.DUMMYFUNCTION("""COMPUTED_VALUE"""),"6803887")</f>
        <v>6803887</v>
      </c>
      <c r="E289" s="3" t="str">
        <f>IFERROR(__xludf.DUMMYFUNCTION("""COMPUTED_VALUE"""),"6")</f>
        <v>6</v>
      </c>
      <c r="F289" s="3" t="str">
        <f>IFERROR(__xludf.DUMMYFUNCTION("""COMPUTED_VALUE"""),"นพอ.กัญญวรา โกษาเสวียง")</f>
        <v>นพอ.กัญญวรา โกษาเสวียง</v>
      </c>
      <c r="G289" s="3" t="str">
        <f>IFERROR(__xludf.DUMMYFUNCTION("""COMPUTED_VALUE"""),"ช่วยเหลืองานภายใน วพอ.")</f>
        <v>ช่วยเหลืองานภายใน วพอ.</v>
      </c>
      <c r="H289" s="3" t="str">
        <f>IFERROR(__xludf.DUMMYFUNCTION("""COMPUTED_VALUE"""),"จัดห้องพักผ่อนนพอ.")</f>
        <v>จัดห้องพักผ่อนนพอ.</v>
      </c>
      <c r="I289" s="3" t="str">
        <f>IFERROR(__xludf.DUMMYFUNCTION("""COMPUTED_VALUE"""),"ห้องพักผ่อนนพอ.")</f>
        <v>ห้องพักผ่อนนพอ.</v>
      </c>
      <c r="J289" s="12">
        <f>IFERROR(__xludf.DUMMYFUNCTION("""COMPUTED_VALUE"""),45995.0)</f>
        <v>45995</v>
      </c>
      <c r="K289" s="3" t="str">
        <f>IFERROR(__xludf.DUMMYFUNCTION("""COMPUTED_VALUE"""),"1500")</f>
        <v>1500</v>
      </c>
      <c r="L289" s="3">
        <f>IFERROR(__xludf.DUMMYFUNCTION("""COMPUTED_VALUE"""),5.0)</f>
        <v>5</v>
      </c>
      <c r="M289" s="3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289" s="14" t="str">
        <f>IFERROR(__xludf.DUMMYFUNCTION("""COMPUTED_VALUE"""),"https://lh5.googleusercontent.com/d/1LwKrELpXg3CBzCtTegKQb0PtYJgxako7")</f>
        <v>https://lh5.googleusercontent.com/d/1LwKrELpXg3CBzCtTegKQb0PtYJgxako7</v>
      </c>
      <c r="O289" s="14" t="str">
        <f>IFERROR(__xludf.DUMMYFUNCTION("""COMPUTED_VALUE"""),"https://drive.google.com/file/d/1JVWF2QeahazXs-0mV5KgS19AuwVcrO6d/view?usp=drivesdk")</f>
        <v>https://drive.google.com/file/d/1JVWF2QeahazXs-0mV5KgS19AuwVcrO6d/view?usp=drivesdk</v>
      </c>
    </row>
    <row r="290">
      <c r="A290" s="3">
        <f>IFERROR(__xludf.DUMMYFUNCTION("""COMPUTED_VALUE"""),1652.0)</f>
        <v>1652</v>
      </c>
      <c r="B290" s="11">
        <f>IFERROR(__xludf.DUMMYFUNCTION("""COMPUTED_VALUE"""),45999.81123146991)</f>
        <v>45999.81123</v>
      </c>
      <c r="C290" s="3" t="str">
        <f>IFERROR(__xludf.DUMMYFUNCTION("""COMPUTED_VALUE"""),"ชั้นปีที่ 1")</f>
        <v>ชั้นปีที่ 1</v>
      </c>
      <c r="D290" s="3" t="str">
        <f>IFERROR(__xludf.DUMMYFUNCTION("""COMPUTED_VALUE"""),"6803913")</f>
        <v>6803913</v>
      </c>
      <c r="E290" s="3" t="str">
        <f>IFERROR(__xludf.DUMMYFUNCTION("""COMPUTED_VALUE"""),"32")</f>
        <v>32</v>
      </c>
      <c r="F290" s="3" t="str">
        <f>IFERROR(__xludf.DUMMYFUNCTION("""COMPUTED_VALUE"""),"นพอ.ปกรณ์เกียรติ ชูปู")</f>
        <v>นพอ.ปกรณ์เกียรติ ชูปู</v>
      </c>
      <c r="G290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290" s="3" t="str">
        <f>IFERROR(__xludf.DUMMYFUNCTION("""COMPUTED_VALUE"""),"ถวายความอาลัยสมเด็จพระพันปี")</f>
        <v>ถวายความอาลัยสมเด็จพระพันปี</v>
      </c>
      <c r="I290" s="3" t="str">
        <f>IFERROR(__xludf.DUMMYFUNCTION("""COMPUTED_VALUE"""),"โรงพยาบาลภูมิพล")</f>
        <v>โรงพยาบาลภูมิพล</v>
      </c>
      <c r="J290" s="12">
        <f>IFERROR(__xludf.DUMMYFUNCTION("""COMPUTED_VALUE"""),45964.0)</f>
        <v>45964</v>
      </c>
      <c r="K290" s="3" t="str">
        <f>IFERROR(__xludf.DUMMYFUNCTION("""COMPUTED_VALUE"""),"0700-0800")</f>
        <v>0700-0800</v>
      </c>
      <c r="L290" s="3">
        <f>IFERROR(__xludf.DUMMYFUNCTION("""COMPUTED_VALUE"""),1.0)</f>
        <v>1</v>
      </c>
      <c r="M29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90" s="14" t="str">
        <f>IFERROR(__xludf.DUMMYFUNCTION("""COMPUTED_VALUE"""),"https://lh5.googleusercontent.com/d/1BnHQXR6_YdDoDNxn7gZYNCOOCP-fIudw")</f>
        <v>https://lh5.googleusercontent.com/d/1BnHQXR6_YdDoDNxn7gZYNCOOCP-fIudw</v>
      </c>
      <c r="O290" s="14" t="str">
        <f>IFERROR(__xludf.DUMMYFUNCTION("""COMPUTED_VALUE"""),"https://drive.google.com/file/d/1pNsgksietA2m4GIRDokxXhAlLh2dIgGB/view?usp=drivesdk")</f>
        <v>https://drive.google.com/file/d/1pNsgksietA2m4GIRDokxXhAlLh2dIgGB/view?usp=drivesdk</v>
      </c>
    </row>
    <row r="291">
      <c r="A291" s="3">
        <f>IFERROR(__xludf.DUMMYFUNCTION("""COMPUTED_VALUE"""),1653.0)</f>
        <v>1653</v>
      </c>
      <c r="B291" s="11">
        <f>IFERROR(__xludf.DUMMYFUNCTION("""COMPUTED_VALUE"""),45999.813013680556)</f>
        <v>45999.81301</v>
      </c>
      <c r="C291" s="3" t="str">
        <f>IFERROR(__xludf.DUMMYFUNCTION("""COMPUTED_VALUE"""),"ชั้นปีที่ 1")</f>
        <v>ชั้นปีที่ 1</v>
      </c>
      <c r="D291" s="3" t="str">
        <f>IFERROR(__xludf.DUMMYFUNCTION("""COMPUTED_VALUE"""),"6803887")</f>
        <v>6803887</v>
      </c>
      <c r="E291" s="3" t="str">
        <f>IFERROR(__xludf.DUMMYFUNCTION("""COMPUTED_VALUE"""),"6")</f>
        <v>6</v>
      </c>
      <c r="F291" s="3" t="str">
        <f>IFERROR(__xludf.DUMMYFUNCTION("""COMPUTED_VALUE"""),"นพอ.กัญญวรา โกษาเสวียง")</f>
        <v>นพอ.กัญญวรา โกษาเสวียง</v>
      </c>
      <c r="G29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291" s="3" t="str">
        <f>IFERROR(__xludf.DUMMYFUNCTION("""COMPUTED_VALUE"""),"เข้าร่วมสัมนา”สื่อสร้างสรรค์ เสริมพลังการสื่อสาร พัฒนาสังคมไทย“")</f>
        <v>เข้าร่วมสัมนา”สื่อสร้างสรรค์ เสริมพลังการสื่อสาร พัฒนาสังคมไทย“</v>
      </c>
      <c r="I291" s="3" t="str">
        <f>IFERROR(__xludf.DUMMYFUNCTION("""COMPUTED_VALUE"""),"อาคารเอนกประสงค์เอสซีจี สำนักงานใหญ่ บางซื่อ")</f>
        <v>อาคารเอนกประสงค์เอสซีจี สำนักงานใหญ่ บางซื่อ</v>
      </c>
      <c r="J291" s="12">
        <f>IFERROR(__xludf.DUMMYFUNCTION("""COMPUTED_VALUE"""),45955.0)</f>
        <v>45955</v>
      </c>
      <c r="K291" s="3" t="str">
        <f>IFERROR(__xludf.DUMMYFUNCTION("""COMPUTED_VALUE"""),"0730-1230")</f>
        <v>0730-1230</v>
      </c>
      <c r="L291" s="3">
        <f>IFERROR(__xludf.DUMMYFUNCTION("""COMPUTED_VALUE"""),5.0)</f>
        <v>5</v>
      </c>
      <c r="M291" s="3" t="str">
        <f>IFERROR(__xludf.DUMMYFUNCTION("""COMPUTED_VALUE"""),"น.ท.หญิง ฤทัยวรรณ นวมพันธ์")</f>
        <v>น.ท.หญิง ฤทัยวรรณ นวมพันธ์</v>
      </c>
      <c r="N291" s="14" t="str">
        <f>IFERROR(__xludf.DUMMYFUNCTION("""COMPUTED_VALUE"""),"https://lh5.googleusercontent.com/d/16Sn3-QimvT5sMrdY8nXw-MdfpSZgcG5g")</f>
        <v>https://lh5.googleusercontent.com/d/16Sn3-QimvT5sMrdY8nXw-MdfpSZgcG5g</v>
      </c>
      <c r="O291" s="14" t="str">
        <f>IFERROR(__xludf.DUMMYFUNCTION("""COMPUTED_VALUE"""),"https://drive.google.com/file/d/1ioBAhjCRA3_n-QGnYUgD-jIOUzVx97Fj/view?usp=drivesdk")</f>
        <v>https://drive.google.com/file/d/1ioBAhjCRA3_n-QGnYUgD-jIOUzVx97Fj/view?usp=drivesdk</v>
      </c>
    </row>
    <row r="292">
      <c r="A292" s="3">
        <f>IFERROR(__xludf.DUMMYFUNCTION("""COMPUTED_VALUE"""),1663.0)</f>
        <v>1663</v>
      </c>
      <c r="B292" s="11">
        <f>IFERROR(__xludf.DUMMYFUNCTION("""COMPUTED_VALUE"""),45999.81935464121)</f>
        <v>45999.81935</v>
      </c>
      <c r="C292" s="3" t="str">
        <f>IFERROR(__xludf.DUMMYFUNCTION("""COMPUTED_VALUE"""),"ชั้นปีที่ 1")</f>
        <v>ชั้นปีที่ 1</v>
      </c>
      <c r="D292" s="3" t="str">
        <f>IFERROR(__xludf.DUMMYFUNCTION("""COMPUTED_VALUE"""),"6803942")</f>
        <v>6803942</v>
      </c>
      <c r="E292" s="3" t="str">
        <f>IFERROR(__xludf.DUMMYFUNCTION("""COMPUTED_VALUE"""),"61")</f>
        <v>61</v>
      </c>
      <c r="F292" s="3" t="str">
        <f>IFERROR(__xludf.DUMMYFUNCTION("""COMPUTED_VALUE"""),"นพอ.อชิรญา อ่อนเปรี้ยว")</f>
        <v>นพอ.อชิรญา อ่อนเปรี้ยว</v>
      </c>
      <c r="G292" s="3" t="str">
        <f>IFERROR(__xludf.DUMMYFUNCTION("""COMPUTED_VALUE"""),"งานฟรีทั่วไป")</f>
        <v>งานฟรีทั่วไป</v>
      </c>
      <c r="H292" s="3" t="str">
        <f>IFERROR(__xludf.DUMMYFUNCTION("""COMPUTED_VALUE"""),"กิจกรรมปลูกป่าชุมชนบ้านห้วยม่วง")</f>
        <v>กิจกรรมปลูกป่าชุมชนบ้านห้วยม่วง</v>
      </c>
      <c r="I292" s="3" t="str">
        <f>IFERROR(__xludf.DUMMYFUNCTION("""COMPUTED_VALUE"""),"บ้านห้วยม่วง ต.ตะนาวศรี อ.สวนผึ้ง จ.ราชบุรี")</f>
        <v>บ้านห้วยม่วง ต.ตะนาวศรี อ.สวนผึ้ง จ.ราชบุรี</v>
      </c>
      <c r="J292" s="12">
        <f>IFERROR(__xludf.DUMMYFUNCTION("""COMPUTED_VALUE"""),45906.0)</f>
        <v>45906</v>
      </c>
      <c r="K292" s="3" t="str">
        <f>IFERROR(__xludf.DUMMYFUNCTION("""COMPUTED_VALUE"""),"1100")</f>
        <v>1100</v>
      </c>
      <c r="L292" s="3">
        <f>IFERROR(__xludf.DUMMYFUNCTION("""COMPUTED_VALUE"""),4.0)</f>
        <v>4</v>
      </c>
      <c r="M292" s="3" t="str">
        <f>IFERROR(__xludf.DUMMYFUNCTION("""COMPUTED_VALUE"""),"อาสาสมัครพิทักษ์สิ่งแวดล้อม")</f>
        <v>อาสาสมัครพิทักษ์สิ่งแวดล้อม</v>
      </c>
      <c r="N292" s="14" t="str">
        <f>IFERROR(__xludf.DUMMYFUNCTION("""COMPUTED_VALUE"""),"https://lh5.googleusercontent.com/d/1ZOAdVMn0dVY4gUfHi0rTDpgFYH53eEmS")</f>
        <v>https://lh5.googleusercontent.com/d/1ZOAdVMn0dVY4gUfHi0rTDpgFYH53eEmS</v>
      </c>
      <c r="O292" s="3"/>
    </row>
    <row r="293">
      <c r="A293" s="3">
        <f>IFERROR(__xludf.DUMMYFUNCTION("""COMPUTED_VALUE"""),1665.0)</f>
        <v>1665</v>
      </c>
      <c r="B293" s="11">
        <f>IFERROR(__xludf.DUMMYFUNCTION("""COMPUTED_VALUE"""),45999.82024645833)</f>
        <v>45999.82025</v>
      </c>
      <c r="C293" s="3" t="str">
        <f>IFERROR(__xludf.DUMMYFUNCTION("""COMPUTED_VALUE"""),"ชั้นปีที่ 1")</f>
        <v>ชั้นปีที่ 1</v>
      </c>
      <c r="D293" s="3" t="str">
        <f>IFERROR(__xludf.DUMMYFUNCTION("""COMPUTED_VALUE"""),"6803913")</f>
        <v>6803913</v>
      </c>
      <c r="E293" s="3" t="str">
        <f>IFERROR(__xludf.DUMMYFUNCTION("""COMPUTED_VALUE"""),"32")</f>
        <v>32</v>
      </c>
      <c r="F293" s="3" t="str">
        <f>IFERROR(__xludf.DUMMYFUNCTION("""COMPUTED_VALUE"""),"นพอ.ปกรณ์เกียรติ ชูปู")</f>
        <v>นพอ.ปกรณ์เกียรติ ชูปู</v>
      </c>
      <c r="G29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293" s="3" t="str">
        <f>IFERROR(__xludf.DUMMYFUNCTION("""COMPUTED_VALUE"""),"แจกของพระราชทานพระบรมศพ")</f>
        <v>แจกของพระราชทานพระบรมศพ</v>
      </c>
      <c r="I293" s="3" t="str">
        <f>IFERROR(__xludf.DUMMYFUNCTION("""COMPUTED_VALUE"""),"สนามหลวง")</f>
        <v>สนามหลวง</v>
      </c>
      <c r="J293" s="12">
        <f>IFERROR(__xludf.DUMMYFUNCTION("""COMPUTED_VALUE"""),45990.0)</f>
        <v>45990</v>
      </c>
      <c r="K293" s="3" t="str">
        <f>IFERROR(__xludf.DUMMYFUNCTION("""COMPUTED_VALUE"""),"0800-1200")</f>
        <v>0800-1200</v>
      </c>
      <c r="L293" s="3">
        <f>IFERROR(__xludf.DUMMYFUNCTION("""COMPUTED_VALUE"""),4.0)</f>
        <v>4</v>
      </c>
      <c r="M29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293" s="14" t="str">
        <f>IFERROR(__xludf.DUMMYFUNCTION("""COMPUTED_VALUE"""),"https://lh5.googleusercontent.com/d/1gXQP81LTZhgaG7UUEudQ9le6igwKKun1")</f>
        <v>https://lh5.googleusercontent.com/d/1gXQP81LTZhgaG7UUEudQ9le6igwKKun1</v>
      </c>
      <c r="O293" s="3"/>
    </row>
    <row r="294">
      <c r="A294" s="3">
        <f>IFERROR(__xludf.DUMMYFUNCTION("""COMPUTED_VALUE"""),1666.0)</f>
        <v>1666</v>
      </c>
      <c r="B294" s="11">
        <f>IFERROR(__xludf.DUMMYFUNCTION("""COMPUTED_VALUE"""),45999.820269201395)</f>
        <v>45999.82027</v>
      </c>
      <c r="C294" s="3" t="str">
        <f>IFERROR(__xludf.DUMMYFUNCTION("""COMPUTED_VALUE"""),"ชั้นปีที่ 1")</f>
        <v>ชั้นปีที่ 1</v>
      </c>
      <c r="D294" s="3" t="str">
        <f>IFERROR(__xludf.DUMMYFUNCTION("""COMPUTED_VALUE"""),"6803899")</f>
        <v>6803899</v>
      </c>
      <c r="E294" s="3" t="str">
        <f>IFERROR(__xludf.DUMMYFUNCTION("""COMPUTED_VALUE"""),"18")</f>
        <v>18</v>
      </c>
      <c r="F294" s="3" t="str">
        <f>IFERROR(__xludf.DUMMYFUNCTION("""COMPUTED_VALUE"""),"นพอ.ณัฐณิชา มีปา")</f>
        <v>นพอ.ณัฐณิชา มีปา</v>
      </c>
      <c r="G294" s="3" t="str">
        <f>IFERROR(__xludf.DUMMYFUNCTION("""COMPUTED_VALUE"""),"งานฟรีทั่วไป")</f>
        <v>งานฟรีทั่วไป</v>
      </c>
      <c r="H294" s="3" t="str">
        <f>IFERROR(__xludf.DUMMYFUNCTION("""COMPUTED_VALUE"""),"รดน้ำต้นไม้ที่บ้าน")</f>
        <v>รดน้ำต้นไม้ที่บ้าน</v>
      </c>
      <c r="I294" s="3" t="str">
        <f>IFERROR(__xludf.DUMMYFUNCTION("""COMPUTED_VALUE"""),"บ้าน")</f>
        <v>บ้าน</v>
      </c>
      <c r="J294" s="12">
        <f>IFERROR(__xludf.DUMMYFUNCTION("""COMPUTED_VALUE"""),45997.0)</f>
        <v>45997</v>
      </c>
      <c r="K294" s="3" t="str">
        <f>IFERROR(__xludf.DUMMYFUNCTION("""COMPUTED_VALUE"""),"1700")</f>
        <v>1700</v>
      </c>
      <c r="L294" s="3">
        <f>IFERROR(__xludf.DUMMYFUNCTION("""COMPUTED_VALUE"""),4.0)</f>
        <v>4</v>
      </c>
      <c r="M294" s="3" t="str">
        <f>IFERROR(__xludf.DUMMYFUNCTION("""COMPUTED_VALUE"""),"นางนิตยา มีปา")</f>
        <v>นางนิตยา มีปา</v>
      </c>
      <c r="N294" s="14" t="str">
        <f>IFERROR(__xludf.DUMMYFUNCTION("""COMPUTED_VALUE"""),"https://lh5.googleusercontent.com/d/1sX00C6M5VKDLTjHjHff-zptreXfPsKU2")</f>
        <v>https://lh5.googleusercontent.com/d/1sX00C6M5VKDLTjHjHff-zptreXfPsKU2</v>
      </c>
      <c r="O294" s="14" t="str">
        <f>IFERROR(__xludf.DUMMYFUNCTION("""COMPUTED_VALUE"""),"https://drive.google.com/file/d/1A53yZ_x-Zv7B0HW6Nv9bAC7gy1G2TXNT/view?usp=drivesdk")</f>
        <v>https://drive.google.com/file/d/1A53yZ_x-Zv7B0HW6Nv9bAC7gy1G2TXNT/view?usp=drivesdk</v>
      </c>
    </row>
    <row r="295">
      <c r="A295" s="3">
        <f>IFERROR(__xludf.DUMMYFUNCTION("""COMPUTED_VALUE"""),1668.0)</f>
        <v>1668</v>
      </c>
      <c r="B295" s="11">
        <f>IFERROR(__xludf.DUMMYFUNCTION("""COMPUTED_VALUE"""),45999.820673402784)</f>
        <v>45999.82067</v>
      </c>
      <c r="C295" s="3" t="str">
        <f>IFERROR(__xludf.DUMMYFUNCTION("""COMPUTED_VALUE"""),"ชั้นปีที่ 1")</f>
        <v>ชั้นปีที่ 1</v>
      </c>
      <c r="D295" s="3" t="str">
        <f>IFERROR(__xludf.DUMMYFUNCTION("""COMPUTED_VALUE"""),"6803888")</f>
        <v>6803888</v>
      </c>
      <c r="E295" s="3" t="str">
        <f>IFERROR(__xludf.DUMMYFUNCTION("""COMPUTED_VALUE"""),"7")</f>
        <v>7</v>
      </c>
      <c r="F295" s="3" t="str">
        <f>IFERROR(__xludf.DUMMYFUNCTION("""COMPUTED_VALUE"""),"กันต์ธิดา นาคทอง")</f>
        <v>กันต์ธิดา นาคทอง</v>
      </c>
      <c r="G295" s="3" t="str">
        <f>IFERROR(__xludf.DUMMYFUNCTION("""COMPUTED_VALUE"""),"ทำนุบำรุงศาสนสถาน")</f>
        <v>ทำนุบำรุงศาสนสถาน</v>
      </c>
      <c r="H295" s="3" t="str">
        <f>IFERROR(__xludf.DUMMYFUNCTION("""COMPUTED_VALUE"""),"กวาดลานวัด")</f>
        <v>กวาดลานวัด</v>
      </c>
      <c r="I295" s="3" t="str">
        <f>IFERROR(__xludf.DUMMYFUNCTION("""COMPUTED_VALUE"""),"วัดอมราวราราม")</f>
        <v>วัดอมราวราราม</v>
      </c>
      <c r="J295" s="12">
        <f>IFERROR(__xludf.DUMMYFUNCTION("""COMPUTED_VALUE"""),45998.0)</f>
        <v>45998</v>
      </c>
      <c r="K295" s="3" t="str">
        <f>IFERROR(__xludf.DUMMYFUNCTION("""COMPUTED_VALUE"""),"8.00")</f>
        <v>8.00</v>
      </c>
      <c r="L295" s="3">
        <f>IFERROR(__xludf.DUMMYFUNCTION("""COMPUTED_VALUE"""),4.0)</f>
        <v>4</v>
      </c>
      <c r="M295" s="3" t="str">
        <f>IFERROR(__xludf.DUMMYFUNCTION("""COMPUTED_VALUE"""),"พระครูอาทรอมรกิจ")</f>
        <v>พระครูอาทรอมรกิจ</v>
      </c>
      <c r="N295" s="14" t="str">
        <f>IFERROR(__xludf.DUMMYFUNCTION("""COMPUTED_VALUE"""),"https://lh5.googleusercontent.com/d/1s-iF-9qa5T_TGte-oyhktStt_kxQeEr9")</f>
        <v>https://lh5.googleusercontent.com/d/1s-iF-9qa5T_TGte-oyhktStt_kxQeEr9</v>
      </c>
      <c r="O295" s="14" t="str">
        <f>IFERROR(__xludf.DUMMYFUNCTION("""COMPUTED_VALUE"""),"https://drive.google.com/file/d/1Wt_4foVcR-EBzlTAKUCSKPvzn3XxRxph/view?usp=drivesdk")</f>
        <v>https://drive.google.com/file/d/1Wt_4foVcR-EBzlTAKUCSKPvzn3XxRxph/view?usp=drivesdk</v>
      </c>
    </row>
    <row r="296">
      <c r="A296" s="3">
        <f>IFERROR(__xludf.DUMMYFUNCTION("""COMPUTED_VALUE"""),1671.0)</f>
        <v>1671</v>
      </c>
      <c r="B296" s="11">
        <f>IFERROR(__xludf.DUMMYFUNCTION("""COMPUTED_VALUE"""),45999.82137582176)</f>
        <v>45999.82138</v>
      </c>
      <c r="C296" s="3" t="str">
        <f>IFERROR(__xludf.DUMMYFUNCTION("""COMPUTED_VALUE"""),"ชั้นปีที่ 1")</f>
        <v>ชั้นปีที่ 1</v>
      </c>
      <c r="D296" s="3" t="str">
        <f>IFERROR(__xludf.DUMMYFUNCTION("""COMPUTED_VALUE"""),"6803925")</f>
        <v>6803925</v>
      </c>
      <c r="E296" s="3" t="str">
        <f>IFERROR(__xludf.DUMMYFUNCTION("""COMPUTED_VALUE"""),"44")</f>
        <v>44</v>
      </c>
      <c r="F296" s="3" t="str">
        <f>IFERROR(__xludf.DUMMYFUNCTION("""COMPUTED_VALUE"""),"ภัทรพร ม่วงแคล้ว")</f>
        <v>ภัทรพร ม่วงแคล้ว</v>
      </c>
      <c r="G296" s="3" t="str">
        <f>IFERROR(__xludf.DUMMYFUNCTION("""COMPUTED_VALUE"""),"ช่วยเหลืองานภายใน วพอ.")</f>
        <v>ช่วยเหลืองานภายใน วพอ.</v>
      </c>
      <c r="H296" s="3" t="str">
        <f>IFERROR(__xludf.DUMMYFUNCTION("""COMPUTED_VALUE"""),"ช่วยท่านอาจารย์แพ็คเสื้อ")</f>
        <v>ช่วยท่านอาจารย์แพ็คเสื้อ</v>
      </c>
      <c r="I296" s="3" t="str">
        <f>IFERROR(__xludf.DUMMYFUNCTION("""COMPUTED_VALUE"""),"ห้องปกครอง วพอ.")</f>
        <v>ห้องปกครอง วพอ.</v>
      </c>
      <c r="J296" s="12">
        <f>IFERROR(__xludf.DUMMYFUNCTION("""COMPUTED_VALUE"""),45895.0)</f>
        <v>45895</v>
      </c>
      <c r="K296" s="3" t="str">
        <f>IFERROR(__xludf.DUMMYFUNCTION("""COMPUTED_VALUE"""),"1600-1800")</f>
        <v>1600-1800</v>
      </c>
      <c r="L296" s="3">
        <f>IFERROR(__xludf.DUMMYFUNCTION("""COMPUTED_VALUE"""),2.0)</f>
        <v>2</v>
      </c>
      <c r="M296" s="3" t="str">
        <f>IFERROR(__xludf.DUMMYFUNCTION("""COMPUTED_VALUE"""),"ร.อ.หญิง ขนัฎฐา นาดี")</f>
        <v>ร.อ.หญิง ขนัฎฐา นาดี</v>
      </c>
      <c r="N296" s="14" t="str">
        <f>IFERROR(__xludf.DUMMYFUNCTION("""COMPUTED_VALUE"""),"https://lh5.googleusercontent.com/d/1obshGtycTIJ--cfx3oVQwzqZLZJ67fC7")</f>
        <v>https://lh5.googleusercontent.com/d/1obshGtycTIJ--cfx3oVQwzqZLZJ67fC7</v>
      </c>
      <c r="O296" s="14" t="str">
        <f>IFERROR(__xludf.DUMMYFUNCTION("""COMPUTED_VALUE"""),"https://drive.google.com/file/d/1zrQqfydtcymtX-y4dmWDgKPDmldtwY46/view?usp=drivesdk")</f>
        <v>https://drive.google.com/file/d/1zrQqfydtcymtX-y4dmWDgKPDmldtwY46/view?usp=drivesdk</v>
      </c>
    </row>
    <row r="297">
      <c r="A297" s="3">
        <f>IFERROR(__xludf.DUMMYFUNCTION("""COMPUTED_VALUE"""),1673.0)</f>
        <v>1673</v>
      </c>
      <c r="B297" s="11">
        <f>IFERROR(__xludf.DUMMYFUNCTION("""COMPUTED_VALUE"""),45999.82272172453)</f>
        <v>45999.82272</v>
      </c>
      <c r="C297" s="3" t="str">
        <f>IFERROR(__xludf.DUMMYFUNCTION("""COMPUTED_VALUE"""),"ชั้นปีที่ 1")</f>
        <v>ชั้นปีที่ 1</v>
      </c>
      <c r="D297" s="3" t="str">
        <f>IFERROR(__xludf.DUMMYFUNCTION("""COMPUTED_VALUE"""),"6803916")</f>
        <v>6803916</v>
      </c>
      <c r="E297" s="3" t="str">
        <f>IFERROR(__xludf.DUMMYFUNCTION("""COMPUTED_VALUE"""),"35")</f>
        <v>35</v>
      </c>
      <c r="F297" s="3" t="str">
        <f>IFERROR(__xludf.DUMMYFUNCTION("""COMPUTED_VALUE"""),"ปาลิดา ลือนาม")</f>
        <v>ปาลิดา ลือนาม</v>
      </c>
      <c r="G297" s="3" t="str">
        <f>IFERROR(__xludf.DUMMYFUNCTION("""COMPUTED_VALUE"""),"ช่วยเหลืองานภายใน วพอ.")</f>
        <v>ช่วยเหลืองานภายใน วพอ.</v>
      </c>
      <c r="H297" s="3" t="str">
        <f>IFERROR(__xludf.DUMMYFUNCTION("""COMPUTED_VALUE"""),"ผู้ช่วยวิจัย")</f>
        <v>ผู้ช่วยวิจัย</v>
      </c>
      <c r="I297" s="3" t="str">
        <f>IFERROR(__xludf.DUMMYFUNCTION("""COMPUTED_VALUE"""),"วพอ.พอ.")</f>
        <v>วพอ.พอ.</v>
      </c>
      <c r="J297" s="12">
        <f>IFERROR(__xludf.DUMMYFUNCTION("""COMPUTED_VALUE"""),45936.0)</f>
        <v>45936</v>
      </c>
      <c r="K297" s="3" t="str">
        <f>IFERROR(__xludf.DUMMYFUNCTION("""COMPUTED_VALUE"""),"1730")</f>
        <v>1730</v>
      </c>
      <c r="L297" s="3">
        <f>IFERROR(__xludf.DUMMYFUNCTION("""COMPUTED_VALUE"""),2.0)</f>
        <v>2</v>
      </c>
      <c r="M297" s="3" t="str">
        <f>IFERROR(__xludf.DUMMYFUNCTION("""COMPUTED_VALUE"""),"น.ท.หญิง ผศ.ดร.ละอองดาว วรรณฤทธิ์")</f>
        <v>น.ท.หญิง ผศ.ดร.ละอองดาว วรรณฤทธิ์</v>
      </c>
      <c r="N297" s="14" t="str">
        <f>IFERROR(__xludf.DUMMYFUNCTION("""COMPUTED_VALUE"""),"https://lh5.googleusercontent.com/d/1j_zNok3YPQcPIhPSgz2mJtd8YsrIsbOw")</f>
        <v>https://lh5.googleusercontent.com/d/1j_zNok3YPQcPIhPSgz2mJtd8YsrIsbOw</v>
      </c>
      <c r="O297" s="14" t="str">
        <f>IFERROR(__xludf.DUMMYFUNCTION("""COMPUTED_VALUE"""),"https://drive.google.com/file/d/1NY0MVyy-4L19etYuJ3NcwLBdtwSI7CXr/view?usp=drivesdk")</f>
        <v>https://drive.google.com/file/d/1NY0MVyy-4L19etYuJ3NcwLBdtwSI7CXr/view?usp=drivesdk</v>
      </c>
    </row>
    <row r="298">
      <c r="A298" s="3">
        <f>IFERROR(__xludf.DUMMYFUNCTION("""COMPUTED_VALUE"""),1674.0)</f>
        <v>1674</v>
      </c>
      <c r="B298" s="11">
        <f>IFERROR(__xludf.DUMMYFUNCTION("""COMPUTED_VALUE"""),45999.82302847222)</f>
        <v>45999.82303</v>
      </c>
      <c r="C298" s="3" t="str">
        <f>IFERROR(__xludf.DUMMYFUNCTION("""COMPUTED_VALUE"""),"ชั้นปีที่ 1")</f>
        <v>ชั้นปีที่ 1</v>
      </c>
      <c r="D298" s="3" t="str">
        <f>IFERROR(__xludf.DUMMYFUNCTION("""COMPUTED_VALUE"""),"6803888")</f>
        <v>6803888</v>
      </c>
      <c r="E298" s="3" t="str">
        <f>IFERROR(__xludf.DUMMYFUNCTION("""COMPUTED_VALUE"""),"7")</f>
        <v>7</v>
      </c>
      <c r="F298" s="3" t="str">
        <f>IFERROR(__xludf.DUMMYFUNCTION("""COMPUTED_VALUE"""),"กันต์ธิดา นาคทอง")</f>
        <v>กันต์ธิดา นาคทอง</v>
      </c>
      <c r="G298" s="3" t="str">
        <f>IFERROR(__xludf.DUMMYFUNCTION("""COMPUTED_VALUE"""),"งานฟรีทั่วไป")</f>
        <v>งานฟรีทั่วไป</v>
      </c>
      <c r="H298" s="3" t="str">
        <f>IFERROR(__xludf.DUMMYFUNCTION("""COMPUTED_VALUE"""),"ทำงานบ้าน")</f>
        <v>ทำงานบ้าน</v>
      </c>
      <c r="I298" s="3" t="str">
        <f>IFERROR(__xludf.DUMMYFUNCTION("""COMPUTED_VALUE"""),"บ้าน")</f>
        <v>บ้าน</v>
      </c>
      <c r="J298" s="12">
        <f>IFERROR(__xludf.DUMMYFUNCTION("""COMPUTED_VALUE"""),45991.0)</f>
        <v>45991</v>
      </c>
      <c r="K298" s="3" t="str">
        <f>IFERROR(__xludf.DUMMYFUNCTION("""COMPUTED_VALUE"""),"7.00")</f>
        <v>7.00</v>
      </c>
      <c r="L298" s="3">
        <f>IFERROR(__xludf.DUMMYFUNCTION("""COMPUTED_VALUE"""),4.0)</f>
        <v>4</v>
      </c>
      <c r="M298" s="3" t="str">
        <f>IFERROR(__xludf.DUMMYFUNCTION("""COMPUTED_VALUE"""),"นางสาวอัญชลีพร หมื่นจง")</f>
        <v>นางสาวอัญชลีพร หมื่นจง</v>
      </c>
      <c r="N298" s="14" t="str">
        <f>IFERROR(__xludf.DUMMYFUNCTION("""COMPUTED_VALUE"""),"https://lh5.googleusercontent.com/d/1imMgmGjEiacTDg8tsPselThCulw3kVGc")</f>
        <v>https://lh5.googleusercontent.com/d/1imMgmGjEiacTDg8tsPselThCulw3kVGc</v>
      </c>
      <c r="O298" s="14" t="str">
        <f>IFERROR(__xludf.DUMMYFUNCTION("""COMPUTED_VALUE"""),"https://drive.google.com/file/d/1JnZJrvWqz-oEjVNpvdjBTo7oxa8c_JkC/view?usp=drivesdk")</f>
        <v>https://drive.google.com/file/d/1JnZJrvWqz-oEjVNpvdjBTo7oxa8c_JkC/view?usp=drivesdk</v>
      </c>
    </row>
    <row r="299">
      <c r="A299" s="3">
        <f>IFERROR(__xludf.DUMMYFUNCTION("""COMPUTED_VALUE"""),1676.0)</f>
        <v>1676</v>
      </c>
      <c r="B299" s="11">
        <f>IFERROR(__xludf.DUMMYFUNCTION("""COMPUTED_VALUE"""),45999.82336011574)</f>
        <v>45999.82336</v>
      </c>
      <c r="C299" s="3" t="str">
        <f>IFERROR(__xludf.DUMMYFUNCTION("""COMPUTED_VALUE"""),"ชั้นปีที่ 1")</f>
        <v>ชั้นปีที่ 1</v>
      </c>
      <c r="D299" s="3" t="str">
        <f>IFERROR(__xludf.DUMMYFUNCTION("""COMPUTED_VALUE"""),"6803925")</f>
        <v>6803925</v>
      </c>
      <c r="E299" s="3" t="str">
        <f>IFERROR(__xludf.DUMMYFUNCTION("""COMPUTED_VALUE"""),"44")</f>
        <v>44</v>
      </c>
      <c r="F299" s="3" t="str">
        <f>IFERROR(__xludf.DUMMYFUNCTION("""COMPUTED_VALUE"""),"ภัทรพร ม่วงแคล้ว")</f>
        <v>ภัทรพร ม่วงแคล้ว</v>
      </c>
      <c r="G299" s="3" t="str">
        <f>IFERROR(__xludf.DUMMYFUNCTION("""COMPUTED_VALUE"""),"ช่วยเหลืองานภายใน วพอ.")</f>
        <v>ช่วยเหลืองานภายใน วพอ.</v>
      </c>
      <c r="H299" s="3" t="str">
        <f>IFERROR(__xludf.DUMMYFUNCTION("""COMPUTED_VALUE"""),"ช่วยท่านอาจารย์แพ็คเสื้อ")</f>
        <v>ช่วยท่านอาจารย์แพ็คเสื้อ</v>
      </c>
      <c r="I299" s="3" t="str">
        <f>IFERROR(__xludf.DUMMYFUNCTION("""COMPUTED_VALUE"""),"ห้องปกครอง วพอ.")</f>
        <v>ห้องปกครอง วพอ.</v>
      </c>
      <c r="J299" s="12">
        <f>IFERROR(__xludf.DUMMYFUNCTION("""COMPUTED_VALUE"""),45896.0)</f>
        <v>45896</v>
      </c>
      <c r="K299" s="3" t="str">
        <f>IFERROR(__xludf.DUMMYFUNCTION("""COMPUTED_VALUE"""),"1600-1800")</f>
        <v>1600-1800</v>
      </c>
      <c r="L299" s="3">
        <f>IFERROR(__xludf.DUMMYFUNCTION("""COMPUTED_VALUE"""),2.0)</f>
        <v>2</v>
      </c>
      <c r="M299" s="3" t="str">
        <f>IFERROR(__xludf.DUMMYFUNCTION("""COMPUTED_VALUE"""),"ร.อ.หญิง ขนัฎฐา นาดี")</f>
        <v>ร.อ.หญิง ขนัฎฐา นาดี</v>
      </c>
      <c r="N299" s="14" t="str">
        <f>IFERROR(__xludf.DUMMYFUNCTION("""COMPUTED_VALUE"""),"https://lh5.googleusercontent.com/d/1LK1qJFt1PSF8nn6ZlLsZWfEd_HPct1Ug")</f>
        <v>https://lh5.googleusercontent.com/d/1LK1qJFt1PSF8nn6ZlLsZWfEd_HPct1Ug</v>
      </c>
      <c r="O299" s="14" t="str">
        <f>IFERROR(__xludf.DUMMYFUNCTION("""COMPUTED_VALUE"""),"https://drive.google.com/file/d/1uQHv2LCDrq1KIZUGIursTB58HjtRlh-f/view?usp=drivesdk")</f>
        <v>https://drive.google.com/file/d/1uQHv2LCDrq1KIZUGIursTB58HjtRlh-f/view?usp=drivesdk</v>
      </c>
    </row>
    <row r="300">
      <c r="A300" s="3">
        <f>IFERROR(__xludf.DUMMYFUNCTION("""COMPUTED_VALUE"""),1677.0)</f>
        <v>1677</v>
      </c>
      <c r="B300" s="11">
        <f>IFERROR(__xludf.DUMMYFUNCTION("""COMPUTED_VALUE"""),45999.823500520826)</f>
        <v>45999.8235</v>
      </c>
      <c r="C300" s="3" t="str">
        <f>IFERROR(__xludf.DUMMYFUNCTION("""COMPUTED_VALUE"""),"ชั้นปีที่ 1")</f>
        <v>ชั้นปีที่ 1</v>
      </c>
      <c r="D300" s="3" t="str">
        <f>IFERROR(__xludf.DUMMYFUNCTION("""COMPUTED_VALUE"""),"6803901")</f>
        <v>6803901</v>
      </c>
      <c r="E300" s="3" t="str">
        <f>IFERROR(__xludf.DUMMYFUNCTION("""COMPUTED_VALUE"""),"20")</f>
        <v>20</v>
      </c>
      <c r="F300" s="3" t="str">
        <f>IFERROR(__xludf.DUMMYFUNCTION("""COMPUTED_VALUE"""),"นพอ.ณัฐริกา วัฒนสมบัติ")</f>
        <v>นพอ.ณัฐริกา วัฒนสมบัติ</v>
      </c>
      <c r="G300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300" s="3" t="str">
        <f>IFERROR(__xludf.DUMMYFUNCTION("""COMPUTED_VALUE"""),"ช่วยงานกอล์ฟ")</f>
        <v>ช่วยงานกอล์ฟ</v>
      </c>
      <c r="I300" s="3" t="str">
        <f>IFERROR(__xludf.DUMMYFUNCTION("""COMPUTED_VALUE"""),"สนามกอล์ฟธูปะเตมีย์")</f>
        <v>สนามกอล์ฟธูปะเตมีย์</v>
      </c>
      <c r="J300" s="12">
        <f>IFERROR(__xludf.DUMMYFUNCTION("""COMPUTED_VALUE"""),45989.0)</f>
        <v>45989</v>
      </c>
      <c r="K300" s="3" t="str">
        <f>IFERROR(__xludf.DUMMYFUNCTION("""COMPUTED_VALUE"""),"1000-1400")</f>
        <v>1000-1400</v>
      </c>
      <c r="L300" s="3">
        <f>IFERROR(__xludf.DUMMYFUNCTION("""COMPUTED_VALUE"""),4.0)</f>
        <v>4</v>
      </c>
      <c r="M300" s="3" t="str">
        <f>IFERROR(__xludf.DUMMYFUNCTION("""COMPUTED_VALUE"""),"น.ต.ศักชัย บุญประสิทธิ์")</f>
        <v>น.ต.ศักชัย บุญประสิทธิ์</v>
      </c>
      <c r="N300" s="14" t="str">
        <f>IFERROR(__xludf.DUMMYFUNCTION("""COMPUTED_VALUE"""),"https://lh5.googleusercontent.com/d/1U6uAFVVuRSE0vVmn19GZa6uj8V59PIPe")</f>
        <v>https://lh5.googleusercontent.com/d/1U6uAFVVuRSE0vVmn19GZa6uj8V59PIPe</v>
      </c>
      <c r="O300" s="14" t="str">
        <f>IFERROR(__xludf.DUMMYFUNCTION("""COMPUTED_VALUE"""),"https://drive.google.com/file/d/1t4wbdxx-Nf7E6Lzk3ckbR1tGgy7T2JBQ/view?usp=drivesdk")</f>
        <v>https://drive.google.com/file/d/1t4wbdxx-Nf7E6Lzk3ckbR1tGgy7T2JBQ/view?usp=drivesdk</v>
      </c>
    </row>
    <row r="301">
      <c r="A301" s="3">
        <f>IFERROR(__xludf.DUMMYFUNCTION("""COMPUTED_VALUE"""),1678.0)</f>
        <v>1678</v>
      </c>
      <c r="B301" s="11">
        <f>IFERROR(__xludf.DUMMYFUNCTION("""COMPUTED_VALUE"""),45999.82417836806)</f>
        <v>45999.82418</v>
      </c>
      <c r="C301" s="3" t="str">
        <f>IFERROR(__xludf.DUMMYFUNCTION("""COMPUTED_VALUE"""),"ชั้นปีที่ 1")</f>
        <v>ชั้นปีที่ 1</v>
      </c>
      <c r="D301" s="3" t="str">
        <f>IFERROR(__xludf.DUMMYFUNCTION("""COMPUTED_VALUE"""),"6803910")</f>
        <v>6803910</v>
      </c>
      <c r="E301" s="3" t="str">
        <f>IFERROR(__xludf.DUMMYFUNCTION("""COMPUTED_VALUE"""),"29")</f>
        <v>29</v>
      </c>
      <c r="F301" s="3" t="str">
        <f>IFERROR(__xludf.DUMMYFUNCTION("""COMPUTED_VALUE"""),"นวพร โอรัตนสถาพร")</f>
        <v>นวพร โอรัตนสถาพร</v>
      </c>
      <c r="G301" s="3" t="str">
        <f>IFERROR(__xludf.DUMMYFUNCTION("""COMPUTED_VALUE"""),"ช่วยเหลืองานภายใน วพอ.")</f>
        <v>ช่วยเหลืองานภายใน วพอ.</v>
      </c>
      <c r="H301" s="3" t="str">
        <f>IFERROR(__xludf.DUMMYFUNCTION("""COMPUTED_VALUE"""),"เล่นดุริยางค์")</f>
        <v>เล่นดุริยางค์</v>
      </c>
      <c r="I301" s="3" t="str">
        <f>IFERROR(__xludf.DUMMYFUNCTION("""COMPUTED_VALUE"""),"วพอ.")</f>
        <v>วพอ.</v>
      </c>
      <c r="J301" s="12">
        <f>IFERROR(__xludf.DUMMYFUNCTION("""COMPUTED_VALUE"""),45967.0)</f>
        <v>45967</v>
      </c>
      <c r="K301" s="3" t="str">
        <f>IFERROR(__xludf.DUMMYFUNCTION("""COMPUTED_VALUE"""),"0700-0740")</f>
        <v>0700-0740</v>
      </c>
      <c r="L301" s="3">
        <f>IFERROR(__xludf.DUMMYFUNCTION("""COMPUTED_VALUE"""),1.0)</f>
        <v>1</v>
      </c>
      <c r="M301" s="3" t="str">
        <f>IFERROR(__xludf.DUMMYFUNCTION("""COMPUTED_VALUE"""),"ร.อ.อนุชิต ทำจะดี")</f>
        <v>ร.อ.อนุชิต ทำจะดี</v>
      </c>
      <c r="N301" s="14" t="str">
        <f>IFERROR(__xludf.DUMMYFUNCTION("""COMPUTED_VALUE"""),"https://lh5.googleusercontent.com/d/14iS_Fqm-iF4S3VWofQD0eOruIw4uf5Lw")</f>
        <v>https://lh5.googleusercontent.com/d/14iS_Fqm-iF4S3VWofQD0eOruIw4uf5Lw</v>
      </c>
      <c r="O301" s="14" t="str">
        <f>IFERROR(__xludf.DUMMYFUNCTION("""COMPUTED_VALUE"""),"https://drive.google.com/file/d/1xd7GK-IxF7SUmvgbUOxHIFd_vOac2lh_/view?usp=drivesdk")</f>
        <v>https://drive.google.com/file/d/1xd7GK-IxF7SUmvgbUOxHIFd_vOac2lh_/view?usp=drivesdk</v>
      </c>
    </row>
    <row r="302">
      <c r="A302" s="3">
        <f>IFERROR(__xludf.DUMMYFUNCTION("""COMPUTED_VALUE"""),1680.0)</f>
        <v>1680</v>
      </c>
      <c r="B302" s="11">
        <f>IFERROR(__xludf.DUMMYFUNCTION("""COMPUTED_VALUE"""),45999.82572557871)</f>
        <v>45999.82573</v>
      </c>
      <c r="C302" s="3" t="str">
        <f>IFERROR(__xludf.DUMMYFUNCTION("""COMPUTED_VALUE"""),"ชั้นปีที่ 1")</f>
        <v>ชั้นปีที่ 1</v>
      </c>
      <c r="D302" s="3" t="str">
        <f>IFERROR(__xludf.DUMMYFUNCTION("""COMPUTED_VALUE"""),"6803916")</f>
        <v>6803916</v>
      </c>
      <c r="E302" s="3" t="str">
        <f>IFERROR(__xludf.DUMMYFUNCTION("""COMPUTED_VALUE"""),"35")</f>
        <v>35</v>
      </c>
      <c r="F302" s="3" t="str">
        <f>IFERROR(__xludf.DUMMYFUNCTION("""COMPUTED_VALUE"""),"ปาลิดา ลือนาม")</f>
        <v>ปาลิดา ลือนาม</v>
      </c>
      <c r="G302" s="3" t="str">
        <f>IFERROR(__xludf.DUMMYFUNCTION("""COMPUTED_VALUE"""),"ช่วยเหลืองานภายใน วพอ.")</f>
        <v>ช่วยเหลืองานภายใน วพอ.</v>
      </c>
      <c r="H302" s="3" t="str">
        <f>IFERROR(__xludf.DUMMYFUNCTION("""COMPUTED_VALUE"""),"ผู้ช่วยงานวิจัย")</f>
        <v>ผู้ช่วยงานวิจัย</v>
      </c>
      <c r="I302" s="3" t="str">
        <f>IFERROR(__xludf.DUMMYFUNCTION("""COMPUTED_VALUE"""),"วพอ.พอ.")</f>
        <v>วพอ.พอ.</v>
      </c>
      <c r="J302" s="12">
        <f>IFERROR(__xludf.DUMMYFUNCTION("""COMPUTED_VALUE"""),45960.0)</f>
        <v>45960</v>
      </c>
      <c r="K302" s="3" t="str">
        <f>IFERROR(__xludf.DUMMYFUNCTION("""COMPUTED_VALUE"""),"1730")</f>
        <v>1730</v>
      </c>
      <c r="L302" s="3">
        <f>IFERROR(__xludf.DUMMYFUNCTION("""COMPUTED_VALUE"""),8.0)</f>
        <v>8</v>
      </c>
      <c r="M302" s="3" t="str">
        <f>IFERROR(__xludf.DUMMYFUNCTION("""COMPUTED_VALUE"""),"น.ท.หญิง ผศ.ดร.ละอองดาว วรรณฤทธิ์")</f>
        <v>น.ท.หญิง ผศ.ดร.ละอองดาว วรรณฤทธิ์</v>
      </c>
      <c r="N302" s="14" t="str">
        <f>IFERROR(__xludf.DUMMYFUNCTION("""COMPUTED_VALUE"""),"https://lh5.googleusercontent.com/d/1kn00-mOa5MdxtmEUaRFbqXjGby1DaYmg")</f>
        <v>https://lh5.googleusercontent.com/d/1kn00-mOa5MdxtmEUaRFbqXjGby1DaYmg</v>
      </c>
      <c r="O302" s="14" t="str">
        <f>IFERROR(__xludf.DUMMYFUNCTION("""COMPUTED_VALUE"""),"https://drive.google.com/file/d/1akdhZ0Sx5YPpIgcJeb2CIKasVSI027sa/view?usp=drivesdk")</f>
        <v>https://drive.google.com/file/d/1akdhZ0Sx5YPpIgcJeb2CIKasVSI027sa/view?usp=drivesdk</v>
      </c>
    </row>
    <row r="303">
      <c r="A303" s="3">
        <f>IFERROR(__xludf.DUMMYFUNCTION("""COMPUTED_VALUE"""),1685.0)</f>
        <v>1685</v>
      </c>
      <c r="B303" s="11">
        <f>IFERROR(__xludf.DUMMYFUNCTION("""COMPUTED_VALUE"""),45999.83123063657)</f>
        <v>45999.83123</v>
      </c>
      <c r="C303" s="3" t="str">
        <f>IFERROR(__xludf.DUMMYFUNCTION("""COMPUTED_VALUE"""),"ชั้นปีที่ 1")</f>
        <v>ชั้นปีที่ 1</v>
      </c>
      <c r="D303" s="3" t="str">
        <f>IFERROR(__xludf.DUMMYFUNCTION("""COMPUTED_VALUE"""),"6803910")</f>
        <v>6803910</v>
      </c>
      <c r="E303" s="3" t="str">
        <f>IFERROR(__xludf.DUMMYFUNCTION("""COMPUTED_VALUE"""),"29")</f>
        <v>29</v>
      </c>
      <c r="F303" s="3" t="str">
        <f>IFERROR(__xludf.DUMMYFUNCTION("""COMPUTED_VALUE"""),"นวพร โอรัตนสถาพร")</f>
        <v>นวพร โอรัตนสถาพร</v>
      </c>
      <c r="G303" s="3" t="str">
        <f>IFERROR(__xludf.DUMMYFUNCTION("""COMPUTED_VALUE"""),"ช่วยเหลืองานภายใน วพอ.")</f>
        <v>ช่วยเหลืองานภายใน วพอ.</v>
      </c>
      <c r="H303" s="3" t="str">
        <f>IFERROR(__xludf.DUMMYFUNCTION("""COMPUTED_VALUE"""),"เล่นดุริยางค์")</f>
        <v>เล่นดุริยางค์</v>
      </c>
      <c r="I303" s="3" t="str">
        <f>IFERROR(__xludf.DUMMYFUNCTION("""COMPUTED_VALUE"""),"วพอ.")</f>
        <v>วพอ.</v>
      </c>
      <c r="J303" s="12">
        <f>IFERROR(__xludf.DUMMYFUNCTION("""COMPUTED_VALUE"""),45980.0)</f>
        <v>45980</v>
      </c>
      <c r="K303" s="3" t="str">
        <f>IFERROR(__xludf.DUMMYFUNCTION("""COMPUTED_VALUE"""),"0700-0740")</f>
        <v>0700-0740</v>
      </c>
      <c r="L303" s="3">
        <f>IFERROR(__xludf.DUMMYFUNCTION("""COMPUTED_VALUE"""),1.0)</f>
        <v>1</v>
      </c>
      <c r="M303" s="3" t="str">
        <f>IFERROR(__xludf.DUMMYFUNCTION("""COMPUTED_VALUE"""),"ร.อ.อนุชิต ทำจะดี")</f>
        <v>ร.อ.อนุชิต ทำจะดี</v>
      </c>
      <c r="N303" s="14" t="str">
        <f>IFERROR(__xludf.DUMMYFUNCTION("""COMPUTED_VALUE"""),"https://lh5.googleusercontent.com/d/1UUC9n59KvFiSvHmosGbInycvNeL41SKG")</f>
        <v>https://lh5.googleusercontent.com/d/1UUC9n59KvFiSvHmosGbInycvNeL41SKG</v>
      </c>
      <c r="O303" s="14" t="str">
        <f>IFERROR(__xludf.DUMMYFUNCTION("""COMPUTED_VALUE"""),"https://drive.google.com/file/d/1zjTACY2V_trFlNkbd2bfjf373Sg4dzfj/view?usp=drivesdk")</f>
        <v>https://drive.google.com/file/d/1zjTACY2V_trFlNkbd2bfjf373Sg4dzfj/view?usp=drivesdk</v>
      </c>
    </row>
    <row r="304">
      <c r="A304" s="3">
        <f>IFERROR(__xludf.DUMMYFUNCTION("""COMPUTED_VALUE"""),1689.0)</f>
        <v>1689</v>
      </c>
      <c r="B304" s="11">
        <f>IFERROR(__xludf.DUMMYFUNCTION("""COMPUTED_VALUE"""),45999.83417221065)</f>
        <v>45999.83417</v>
      </c>
      <c r="C304" s="3" t="str">
        <f>IFERROR(__xludf.DUMMYFUNCTION("""COMPUTED_VALUE"""),"ชั้นปีที่ 1")</f>
        <v>ชั้นปีที่ 1</v>
      </c>
      <c r="D304" s="3" t="str">
        <f>IFERROR(__xludf.DUMMYFUNCTION("""COMPUTED_VALUE"""),"6803925")</f>
        <v>6803925</v>
      </c>
      <c r="E304" s="3" t="str">
        <f>IFERROR(__xludf.DUMMYFUNCTION("""COMPUTED_VALUE"""),"44")</f>
        <v>44</v>
      </c>
      <c r="F304" s="3" t="str">
        <f>IFERROR(__xludf.DUMMYFUNCTION("""COMPUTED_VALUE"""),"ภัทรพร ม่วงแคล้ว")</f>
        <v>ภัทรพร ม่วงแคล้ว</v>
      </c>
      <c r="G304" s="3" t="str">
        <f>IFERROR(__xludf.DUMMYFUNCTION("""COMPUTED_VALUE"""),"ช่วยเหลืองานภายใน วพอ.")</f>
        <v>ช่วยเหลืองานภายใน วพอ.</v>
      </c>
      <c r="H304" s="3" t="str">
        <f>IFERROR(__xludf.DUMMYFUNCTION("""COMPUTED_VALUE"""),"เล่นดุริยางค์")</f>
        <v>เล่นดุริยางค์</v>
      </c>
      <c r="I304" s="3" t="str">
        <f>IFERROR(__xludf.DUMMYFUNCTION("""COMPUTED_VALUE"""),"วพอ.พอ")</f>
        <v>วพอ.พอ</v>
      </c>
      <c r="J304" s="12">
        <f>IFERROR(__xludf.DUMMYFUNCTION("""COMPUTED_VALUE"""),45933.0)</f>
        <v>45933</v>
      </c>
      <c r="K304" s="3" t="str">
        <f>IFERROR(__xludf.DUMMYFUNCTION("""COMPUTED_VALUE"""),"0700-0800")</f>
        <v>0700-0800</v>
      </c>
      <c r="L304" s="3">
        <f>IFERROR(__xludf.DUMMYFUNCTION("""COMPUTED_VALUE"""),1.0)</f>
        <v>1</v>
      </c>
      <c r="M304" s="3" t="str">
        <f>IFERROR(__xludf.DUMMYFUNCTION("""COMPUTED_VALUE"""),"ร.อ.อนุชิต ทำจะดี")</f>
        <v>ร.อ.อนุชิต ทำจะดี</v>
      </c>
      <c r="N304" s="14" t="str">
        <f>IFERROR(__xludf.DUMMYFUNCTION("""COMPUTED_VALUE"""),"https://lh5.googleusercontent.com/d/1NVGKZjGbl5M-FtF-QWqSec9VrlrTNEmK")</f>
        <v>https://lh5.googleusercontent.com/d/1NVGKZjGbl5M-FtF-QWqSec9VrlrTNEmK</v>
      </c>
      <c r="O304" s="14" t="str">
        <f>IFERROR(__xludf.DUMMYFUNCTION("""COMPUTED_VALUE"""),"https://drive.google.com/file/d/1eID4hReJPP9yPaWA-rc7H7V-PEWDBPPM/view?usp=drivesdk")</f>
        <v>https://drive.google.com/file/d/1eID4hReJPP9yPaWA-rc7H7V-PEWDBPPM/view?usp=drivesdk</v>
      </c>
    </row>
    <row r="305">
      <c r="A305" s="3">
        <f>IFERROR(__xludf.DUMMYFUNCTION("""COMPUTED_VALUE"""),1691.0)</f>
        <v>1691</v>
      </c>
      <c r="B305" s="11">
        <f>IFERROR(__xludf.DUMMYFUNCTION("""COMPUTED_VALUE"""),45999.835936284726)</f>
        <v>45999.83594</v>
      </c>
      <c r="C305" s="3" t="str">
        <f>IFERROR(__xludf.DUMMYFUNCTION("""COMPUTED_VALUE"""),"ชั้นปีที่ 1")</f>
        <v>ชั้นปีที่ 1</v>
      </c>
      <c r="D305" s="3" t="str">
        <f>IFERROR(__xludf.DUMMYFUNCTION("""COMPUTED_VALUE"""),"6803921")</f>
        <v>6803921</v>
      </c>
      <c r="E305" s="3" t="str">
        <f>IFERROR(__xludf.DUMMYFUNCTION("""COMPUTED_VALUE"""),"40")</f>
        <v>40</v>
      </c>
      <c r="F305" s="3" t="str">
        <f>IFERROR(__xludf.DUMMYFUNCTION("""COMPUTED_VALUE"""),"นพอ.พิชญาภรณ์ บุตรวัง")</f>
        <v>นพอ.พิชญาภรณ์ บุตรวัง</v>
      </c>
      <c r="G305" s="3" t="str">
        <f>IFERROR(__xludf.DUMMYFUNCTION("""COMPUTED_VALUE"""),"ช่วยเหลืองานภายใน วพอ.")</f>
        <v>ช่วยเหลืองานภายใน วพอ.</v>
      </c>
      <c r="H305" s="3" t="str">
        <f>IFERROR(__xludf.DUMMYFUNCTION("""COMPUTED_VALUE"""),"กิจกรรม ๕ ส. Big cleaning day")</f>
        <v>กิจกรรม ๕ ส. Big cleaning day</v>
      </c>
      <c r="I305" s="3" t="str">
        <f>IFERROR(__xludf.DUMMYFUNCTION("""COMPUTED_VALUE"""),"วิทยาลัยพยาบาลทหารอากาศ")</f>
        <v>วิทยาลัยพยาบาลทหารอากาศ</v>
      </c>
      <c r="J305" s="12">
        <f>IFERROR(__xludf.DUMMYFUNCTION("""COMPUTED_VALUE"""),45875.0)</f>
        <v>45875</v>
      </c>
      <c r="K305" s="3" t="str">
        <f>IFERROR(__xludf.DUMMYFUNCTION("""COMPUTED_VALUE"""),"0800")</f>
        <v>0800</v>
      </c>
      <c r="L305" s="3">
        <f>IFERROR(__xludf.DUMMYFUNCTION("""COMPUTED_VALUE"""),8.0)</f>
        <v>8</v>
      </c>
      <c r="M305" s="3" t="str">
        <f>IFERROR(__xludf.DUMMYFUNCTION("""COMPUTED_VALUE"""),"น.ต.ศักชัย บุญประสิทธิ์")</f>
        <v>น.ต.ศักชัย บุญประสิทธิ์</v>
      </c>
      <c r="N305" s="14" t="str">
        <f>IFERROR(__xludf.DUMMYFUNCTION("""COMPUTED_VALUE"""),"https://lh5.googleusercontent.com/d/1kLPw7lU3jLn-SbtS-xq2Sj7xSMbELiX4")</f>
        <v>https://lh5.googleusercontent.com/d/1kLPw7lU3jLn-SbtS-xq2Sj7xSMbELiX4</v>
      </c>
      <c r="O305" s="14" t="str">
        <f>IFERROR(__xludf.DUMMYFUNCTION("""COMPUTED_VALUE"""),"https://drive.google.com/file/d/1Y7a3ANwv9O4vhJo2jqHzmbbcEmRNQ2rN/view?usp=drivesdk")</f>
        <v>https://drive.google.com/file/d/1Y7a3ANwv9O4vhJo2jqHzmbbcEmRNQ2rN/view?usp=drivesdk</v>
      </c>
    </row>
    <row r="306">
      <c r="A306" s="3">
        <f>IFERROR(__xludf.DUMMYFUNCTION("""COMPUTED_VALUE"""),1695.0)</f>
        <v>1695</v>
      </c>
      <c r="B306" s="11">
        <f>IFERROR(__xludf.DUMMYFUNCTION("""COMPUTED_VALUE"""),45999.83973025464)</f>
        <v>45999.83973</v>
      </c>
      <c r="C306" s="3" t="str">
        <f>IFERROR(__xludf.DUMMYFUNCTION("""COMPUTED_VALUE"""),"ชั้นปีที่ 1")</f>
        <v>ชั้นปีที่ 1</v>
      </c>
      <c r="D306" s="3" t="str">
        <f>IFERROR(__xludf.DUMMYFUNCTION("""COMPUTED_VALUE"""),"6803939")</f>
        <v>6803939</v>
      </c>
      <c r="E306" s="3" t="str">
        <f>IFERROR(__xludf.DUMMYFUNCTION("""COMPUTED_VALUE"""),"58")</f>
        <v>58</v>
      </c>
      <c r="F306" s="3" t="str">
        <f>IFERROR(__xludf.DUMMYFUNCTION("""COMPUTED_VALUE"""),"นพอ.สุภาวดี สุวรรณโกศัย")</f>
        <v>นพอ.สุภาวดี สุวรรณโกศัย</v>
      </c>
      <c r="G306" s="3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306" s="3" t="str">
        <f>IFERROR(__xludf.DUMMYFUNCTION("""COMPUTED_VALUE"""),"โครงการ Meet the youth cyber guardians ")</f>
        <v>โครงการ Meet the youth cyber guardians </v>
      </c>
      <c r="I306" s="3" t="str">
        <f>IFERROR(__xludf.DUMMYFUNCTION("""COMPUTED_VALUE"""),"บก.ทอ.")</f>
        <v>บก.ทอ.</v>
      </c>
      <c r="J306" s="12">
        <f>IFERROR(__xludf.DUMMYFUNCTION("""COMPUTED_VALUE"""),45907.0)</f>
        <v>45907</v>
      </c>
      <c r="K306" s="3" t="str">
        <f>IFERROR(__xludf.DUMMYFUNCTION("""COMPUTED_VALUE"""),"08.00")</f>
        <v>08.00</v>
      </c>
      <c r="L306" s="3">
        <f>IFERROR(__xludf.DUMMYFUNCTION("""COMPUTED_VALUE"""),8.0)</f>
        <v>8</v>
      </c>
      <c r="M306" s="3" t="str">
        <f>IFERROR(__xludf.DUMMYFUNCTION("""COMPUTED_VALUE"""),"ร.อ.อนุชิต ทำจะดี")</f>
        <v>ร.อ.อนุชิต ทำจะดี</v>
      </c>
      <c r="N306" s="14" t="str">
        <f>IFERROR(__xludf.DUMMYFUNCTION("""COMPUTED_VALUE"""),"https://lh5.googleusercontent.com/d/15ljtnSLiGWElNdAedhiJubR7ZkJKZ7MD")</f>
        <v>https://lh5.googleusercontent.com/d/15ljtnSLiGWElNdAedhiJubR7ZkJKZ7MD</v>
      </c>
      <c r="O306" s="14" t="str">
        <f>IFERROR(__xludf.DUMMYFUNCTION("""COMPUTED_VALUE"""),"https://drive.google.com/file/d/1IkGyZZtj166K6hwBD_qupDcqQxej8d0B/view?usp=drivesdk")</f>
        <v>https://drive.google.com/file/d/1IkGyZZtj166K6hwBD_qupDcqQxej8d0B/view?usp=drivesdk</v>
      </c>
    </row>
    <row r="307">
      <c r="A307" s="3">
        <f>IFERROR(__xludf.DUMMYFUNCTION("""COMPUTED_VALUE"""),1698.0)</f>
        <v>1698</v>
      </c>
      <c r="B307" s="11">
        <f>IFERROR(__xludf.DUMMYFUNCTION("""COMPUTED_VALUE"""),45999.84167181713)</f>
        <v>45999.84167</v>
      </c>
      <c r="C307" s="3" t="str">
        <f>IFERROR(__xludf.DUMMYFUNCTION("""COMPUTED_VALUE"""),"ชั้นปีที่ 1")</f>
        <v>ชั้นปีที่ 1</v>
      </c>
      <c r="D307" s="3" t="str">
        <f>IFERROR(__xludf.DUMMYFUNCTION("""COMPUTED_VALUE"""),"6803894")</f>
        <v>6803894</v>
      </c>
      <c r="E307" s="3" t="str">
        <f>IFERROR(__xludf.DUMMYFUNCTION("""COMPUTED_VALUE"""),"13")</f>
        <v>13</v>
      </c>
      <c r="F307" s="3" t="str">
        <f>IFERROR(__xludf.DUMMYFUNCTION("""COMPUTED_VALUE"""),"ฐิติณัฐดา แสนสุขเกษม")</f>
        <v>ฐิติณัฐดา แสนสุขเกษม</v>
      </c>
      <c r="G307" s="3" t="str">
        <f>IFERROR(__xludf.DUMMYFUNCTION("""COMPUTED_VALUE"""),"ทำนุบำรุงศาสนสถาน")</f>
        <v>ทำนุบำรุงศาสนสถาน</v>
      </c>
      <c r="H307" s="3" t="str">
        <f>IFERROR(__xludf.DUMMYFUNCTION("""COMPUTED_VALUE"""),"กวาดลานวัด")</f>
        <v>กวาดลานวัด</v>
      </c>
      <c r="I307" s="3" t="str">
        <f>IFERROR(__xludf.DUMMYFUNCTION("""COMPUTED_VALUE"""),"วัดไร่พริก")</f>
        <v>วัดไร่พริก</v>
      </c>
      <c r="J307" s="12">
        <f>IFERROR(__xludf.DUMMYFUNCTION("""COMPUTED_VALUE"""),45997.0)</f>
        <v>45997</v>
      </c>
      <c r="K307" s="3" t="str">
        <f>IFERROR(__xludf.DUMMYFUNCTION("""COMPUTED_VALUE"""),"0700")</f>
        <v>0700</v>
      </c>
      <c r="L307" s="3">
        <f>IFERROR(__xludf.DUMMYFUNCTION("""COMPUTED_VALUE"""),4.0)</f>
        <v>4</v>
      </c>
      <c r="M307" s="3" t="str">
        <f>IFERROR(__xludf.DUMMYFUNCTION("""COMPUTED_VALUE"""),"พระอาจารย์ประเวศน์")</f>
        <v>พระอาจารย์ประเวศน์</v>
      </c>
      <c r="N307" s="14" t="str">
        <f>IFERROR(__xludf.DUMMYFUNCTION("""COMPUTED_VALUE"""),"https://lh5.googleusercontent.com/d/1a1RBqRB0UZZUHVGA4PTxEKxhR5zmb8wR")</f>
        <v>https://lh5.googleusercontent.com/d/1a1RBqRB0UZZUHVGA4PTxEKxhR5zmb8wR</v>
      </c>
      <c r="O307" s="14" t="str">
        <f>IFERROR(__xludf.DUMMYFUNCTION("""COMPUTED_VALUE"""),"https://drive.google.com/file/d/1nsaZ3nlijdIBGMJPjapl_KljSHl1xwOO/view?usp=drivesdk")</f>
        <v>https://drive.google.com/file/d/1nsaZ3nlijdIBGMJPjapl_KljSHl1xwOO/view?usp=drivesdk</v>
      </c>
    </row>
    <row r="308">
      <c r="A308" s="3">
        <f>IFERROR(__xludf.DUMMYFUNCTION("""COMPUTED_VALUE"""),1700.0)</f>
        <v>1700</v>
      </c>
      <c r="B308" s="11">
        <f>IFERROR(__xludf.DUMMYFUNCTION("""COMPUTED_VALUE"""),45999.84363552083)</f>
        <v>45999.84364</v>
      </c>
      <c r="C308" s="3" t="str">
        <f>IFERROR(__xludf.DUMMYFUNCTION("""COMPUTED_VALUE"""),"ชั้นปีที่ 1")</f>
        <v>ชั้นปีที่ 1</v>
      </c>
      <c r="D308" s="3" t="str">
        <f>IFERROR(__xludf.DUMMYFUNCTION("""COMPUTED_VALUE"""),"6803894")</f>
        <v>6803894</v>
      </c>
      <c r="E308" s="3" t="str">
        <f>IFERROR(__xludf.DUMMYFUNCTION("""COMPUTED_VALUE"""),"13")</f>
        <v>13</v>
      </c>
      <c r="F308" s="3" t="str">
        <f>IFERROR(__xludf.DUMMYFUNCTION("""COMPUTED_VALUE"""),"ฐิติณัฐดา แสนสุขเกษม")</f>
        <v>ฐิติณัฐดา แสนสุขเกษม</v>
      </c>
      <c r="G308" s="3" t="str">
        <f>IFERROR(__xludf.DUMMYFUNCTION("""COMPUTED_VALUE"""),"งานฟรีทั่วไป")</f>
        <v>งานฟรีทั่วไป</v>
      </c>
      <c r="H308" s="3" t="str">
        <f>IFERROR(__xludf.DUMMYFUNCTION("""COMPUTED_VALUE"""),"ปูเตียงให้คุณย่า")</f>
        <v>ปูเตียงให้คุณย่า</v>
      </c>
      <c r="I308" s="3" t="str">
        <f>IFERROR(__xludf.DUMMYFUNCTION("""COMPUTED_VALUE"""),"บ้าน")</f>
        <v>บ้าน</v>
      </c>
      <c r="J308" s="12">
        <f>IFERROR(__xludf.DUMMYFUNCTION("""COMPUTED_VALUE"""),45996.0)</f>
        <v>45996</v>
      </c>
      <c r="K308" s="3" t="str">
        <f>IFERROR(__xludf.DUMMYFUNCTION("""COMPUTED_VALUE"""),"1930")</f>
        <v>1930</v>
      </c>
      <c r="L308" s="3">
        <f>IFERROR(__xludf.DUMMYFUNCTION("""COMPUTED_VALUE"""),1.0)</f>
        <v>1</v>
      </c>
      <c r="M308" s="3" t="str">
        <f>IFERROR(__xludf.DUMMYFUNCTION("""COMPUTED_VALUE"""),"สำอาง แสนสุขเกษม")</f>
        <v>สำอาง แสนสุขเกษม</v>
      </c>
      <c r="N308" s="14" t="str">
        <f>IFERROR(__xludf.DUMMYFUNCTION("""COMPUTED_VALUE"""),"https://lh5.googleusercontent.com/d/1NyNeYXP7kXrVeltRjPBPqGUcdIIE8gPT")</f>
        <v>https://lh5.googleusercontent.com/d/1NyNeYXP7kXrVeltRjPBPqGUcdIIE8gPT</v>
      </c>
      <c r="O308" s="14" t="str">
        <f>IFERROR(__xludf.DUMMYFUNCTION("""COMPUTED_VALUE"""),"https://drive.google.com/file/d/18eeerXT5zd0Bu8lAzIP3MtjORCKMV7GK/view?usp=drivesdk")</f>
        <v>https://drive.google.com/file/d/18eeerXT5zd0Bu8lAzIP3MtjORCKMV7GK/view?usp=drivesdk</v>
      </c>
    </row>
    <row r="309">
      <c r="A309" s="3">
        <f>IFERROR(__xludf.DUMMYFUNCTION("""COMPUTED_VALUE"""),1701.0)</f>
        <v>1701</v>
      </c>
      <c r="B309" s="11">
        <f>IFERROR(__xludf.DUMMYFUNCTION("""COMPUTED_VALUE"""),45999.84484712963)</f>
        <v>45999.84485</v>
      </c>
      <c r="C309" s="3" t="str">
        <f>IFERROR(__xludf.DUMMYFUNCTION("""COMPUTED_VALUE"""),"ชั้นปีที่ 1")</f>
        <v>ชั้นปีที่ 1</v>
      </c>
      <c r="D309" s="3" t="str">
        <f>IFERROR(__xludf.DUMMYFUNCTION("""COMPUTED_VALUE"""),"6803887")</f>
        <v>6803887</v>
      </c>
      <c r="E309" s="3" t="str">
        <f>IFERROR(__xludf.DUMMYFUNCTION("""COMPUTED_VALUE"""),"6")</f>
        <v>6</v>
      </c>
      <c r="F309" s="3" t="str">
        <f>IFERROR(__xludf.DUMMYFUNCTION("""COMPUTED_VALUE"""),"นพอ.กัญญวรา โกษาเสวียง")</f>
        <v>นพอ.กัญญวรา โกษาเสวียง</v>
      </c>
      <c r="G309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09" s="3" t="str">
        <f>IFERROR(__xludf.DUMMYFUNCTION("""COMPUTED_VALUE"""),"พยาบาลไทยบริจาคโลหิต ช่วยชีวิตเพื่อนมนุษย์")</f>
        <v>พยาบาลไทยบริจาคโลหิต ช่วยชีวิตเพื่อนมนุษย์</v>
      </c>
      <c r="I309" s="3" t="str">
        <f>IFERROR(__xludf.DUMMYFUNCTION("""COMPUTED_VALUE"""),"สภากาชาดไทย")</f>
        <v>สภากาชาดไทย</v>
      </c>
      <c r="J309" s="12">
        <f>IFERROR(__xludf.DUMMYFUNCTION("""COMPUTED_VALUE"""),45916.0)</f>
        <v>45916</v>
      </c>
      <c r="K309" s="3" t="str">
        <f>IFERROR(__xludf.DUMMYFUNCTION("""COMPUTED_VALUE"""),"0600")</f>
        <v>0600</v>
      </c>
      <c r="L309" s="3">
        <f>IFERROR(__xludf.DUMMYFUNCTION("""COMPUTED_VALUE"""),8.0)</f>
        <v>8</v>
      </c>
      <c r="M309" s="3" t="str">
        <f>IFERROR(__xludf.DUMMYFUNCTION("""COMPUTED_VALUE"""),"น.ท.หญิง อนุกูล บำรุงวงค์")</f>
        <v>น.ท.หญิง อนุกูล บำรุงวงค์</v>
      </c>
      <c r="N309" s="14" t="str">
        <f>IFERROR(__xludf.DUMMYFUNCTION("""COMPUTED_VALUE"""),"https://lh5.googleusercontent.com/d/1_mtWUGQWqXoqyzOx2f_sC4EYc3YFQWiI")</f>
        <v>https://lh5.googleusercontent.com/d/1_mtWUGQWqXoqyzOx2f_sC4EYc3YFQWiI</v>
      </c>
      <c r="O309" s="14" t="str">
        <f>IFERROR(__xludf.DUMMYFUNCTION("""COMPUTED_VALUE"""),"https://drive.google.com/file/d/1ZPqRtwp9fTxMy7co1CHep77oqt8ApXzL/view?usp=drivesdk")</f>
        <v>https://drive.google.com/file/d/1ZPqRtwp9fTxMy7co1CHep77oqt8ApXzL/view?usp=drivesdk</v>
      </c>
    </row>
    <row r="310">
      <c r="A310" s="3">
        <f>IFERROR(__xludf.DUMMYFUNCTION("""COMPUTED_VALUE"""),1702.0)</f>
        <v>1702</v>
      </c>
      <c r="B310" s="11">
        <f>IFERROR(__xludf.DUMMYFUNCTION("""COMPUTED_VALUE"""),45999.84525899306)</f>
        <v>45999.84526</v>
      </c>
      <c r="C310" s="3" t="str">
        <f>IFERROR(__xludf.DUMMYFUNCTION("""COMPUTED_VALUE"""),"ชั้นปีที่ 1")</f>
        <v>ชั้นปีที่ 1</v>
      </c>
      <c r="D310" s="3" t="str">
        <f>IFERROR(__xludf.DUMMYFUNCTION("""COMPUTED_VALUE"""),"6803925")</f>
        <v>6803925</v>
      </c>
      <c r="E310" s="3" t="str">
        <f>IFERROR(__xludf.DUMMYFUNCTION("""COMPUTED_VALUE"""),"44")</f>
        <v>44</v>
      </c>
      <c r="F310" s="3" t="str">
        <f>IFERROR(__xludf.DUMMYFUNCTION("""COMPUTED_VALUE"""),"ภัทรพร ม่วงแคล้ว")</f>
        <v>ภัทรพร ม่วงแคล้ว</v>
      </c>
      <c r="G310" s="3" t="str">
        <f>IFERROR(__xludf.DUMMYFUNCTION("""COMPUTED_VALUE"""),"ช่วยเหลืองานภายใน วพอ.")</f>
        <v>ช่วยเหลืองานภายใน วพอ.</v>
      </c>
      <c r="H310" s="3" t="str">
        <f>IFERROR(__xludf.DUMMYFUNCTION("""COMPUTED_VALUE"""),"เล่นดุริยางค์")</f>
        <v>เล่นดุริยางค์</v>
      </c>
      <c r="I310" s="3" t="str">
        <f>IFERROR(__xludf.DUMMYFUNCTION("""COMPUTED_VALUE"""),"วพอ.พอ")</f>
        <v>วพอ.พอ</v>
      </c>
      <c r="J310" s="12">
        <f>IFERROR(__xludf.DUMMYFUNCTION("""COMPUTED_VALUE"""),45936.0)</f>
        <v>45936</v>
      </c>
      <c r="K310" s="3" t="str">
        <f>IFERROR(__xludf.DUMMYFUNCTION("""COMPUTED_VALUE"""),"0700-0800")</f>
        <v>0700-0800</v>
      </c>
      <c r="L310" s="3">
        <f>IFERROR(__xludf.DUMMYFUNCTION("""COMPUTED_VALUE"""),1.0)</f>
        <v>1</v>
      </c>
      <c r="M310" s="3" t="str">
        <f>IFERROR(__xludf.DUMMYFUNCTION("""COMPUTED_VALUE"""),"ร.อ.อนุชิต ทำจะดี")</f>
        <v>ร.อ.อนุชิต ทำจะดี</v>
      </c>
      <c r="N310" s="14" t="str">
        <f>IFERROR(__xludf.DUMMYFUNCTION("""COMPUTED_VALUE"""),"https://lh5.googleusercontent.com/d/1m9HFHQ3m3Zg-TX3xLh7kGqk4az7hz0sk")</f>
        <v>https://lh5.googleusercontent.com/d/1m9HFHQ3m3Zg-TX3xLh7kGqk4az7hz0sk</v>
      </c>
      <c r="O310" s="14" t="str">
        <f>IFERROR(__xludf.DUMMYFUNCTION("""COMPUTED_VALUE"""),"https://drive.google.com/file/d/1TI7u2RhrwUC8PCTug0Xj5JONS3VG_lk1/view?usp=drivesdk")</f>
        <v>https://drive.google.com/file/d/1TI7u2RhrwUC8PCTug0Xj5JONS3VG_lk1/view?usp=drivesdk</v>
      </c>
    </row>
    <row r="311">
      <c r="A311" s="3">
        <f>IFERROR(__xludf.DUMMYFUNCTION("""COMPUTED_VALUE"""),1703.0)</f>
        <v>1703</v>
      </c>
      <c r="B311" s="11">
        <f>IFERROR(__xludf.DUMMYFUNCTION("""COMPUTED_VALUE"""),45999.84559936343)</f>
        <v>45999.8456</v>
      </c>
      <c r="C311" s="3" t="str">
        <f>IFERROR(__xludf.DUMMYFUNCTION("""COMPUTED_VALUE"""),"ชั้นปีที่ 1")</f>
        <v>ชั้นปีที่ 1</v>
      </c>
      <c r="D311" s="3" t="str">
        <f>IFERROR(__xludf.DUMMYFUNCTION("""COMPUTED_VALUE"""),"6803906")</f>
        <v>6803906</v>
      </c>
      <c r="E311" s="3" t="str">
        <f>IFERROR(__xludf.DUMMYFUNCTION("""COMPUTED_VALUE"""),"25")</f>
        <v>25</v>
      </c>
      <c r="F311" s="3" t="str">
        <f>IFERROR(__xludf.DUMMYFUNCTION("""COMPUTED_VALUE"""),"นพอ.ธัญวรัตน์ ยงคะวิสัย")</f>
        <v>นพอ.ธัญวรัตน์ ยงคะวิสัย</v>
      </c>
      <c r="G311" s="3" t="str">
        <f>IFERROR(__xludf.DUMMYFUNCTION("""COMPUTED_VALUE"""),"ช่วยเหลืองานภายใน วพอ.")</f>
        <v>ช่วยเหลืองานภายใน วพอ.</v>
      </c>
      <c r="H311" s="3" t="str">
        <f>IFERROR(__xludf.DUMMYFUNCTION("""COMPUTED_VALUE"""),"เล่นดุริยางค์")</f>
        <v>เล่นดุริยางค์</v>
      </c>
      <c r="I311" s="3" t="str">
        <f>IFERROR(__xludf.DUMMYFUNCTION("""COMPUTED_VALUE"""),"วพอ.")</f>
        <v>วพอ.</v>
      </c>
      <c r="J311" s="12">
        <f>IFERROR(__xludf.DUMMYFUNCTION("""COMPUTED_VALUE"""),45967.0)</f>
        <v>45967</v>
      </c>
      <c r="K311" s="3" t="str">
        <f>IFERROR(__xludf.DUMMYFUNCTION("""COMPUTED_VALUE"""),"0730")</f>
        <v>0730</v>
      </c>
      <c r="L311" s="3">
        <f>IFERROR(__xludf.DUMMYFUNCTION("""COMPUTED_VALUE"""),1.0)</f>
        <v>1</v>
      </c>
      <c r="M311" s="3" t="str">
        <f>IFERROR(__xludf.DUMMYFUNCTION("""COMPUTED_VALUE"""),"ร.อ.อนุชิต ทำจะดี")</f>
        <v>ร.อ.อนุชิต ทำจะดี</v>
      </c>
      <c r="N311" s="14" t="str">
        <f>IFERROR(__xludf.DUMMYFUNCTION("""COMPUTED_VALUE"""),"https://lh5.googleusercontent.com/d/1TrfMhXEQ5SaJ-uLLNqTw2_hNiUELwaXs")</f>
        <v>https://lh5.googleusercontent.com/d/1TrfMhXEQ5SaJ-uLLNqTw2_hNiUELwaXs</v>
      </c>
      <c r="O311" s="14" t="str">
        <f>IFERROR(__xludf.DUMMYFUNCTION("""COMPUTED_VALUE"""),"https://drive.google.com/file/d/1c49boTZJpNY6mrfjw_x4PPp3fIoCzwH1/view?usp=drivesdk")</f>
        <v>https://drive.google.com/file/d/1c49boTZJpNY6mrfjw_x4PPp3fIoCzwH1/view?usp=drivesdk</v>
      </c>
    </row>
    <row r="312">
      <c r="A312" s="3">
        <f>IFERROR(__xludf.DUMMYFUNCTION("""COMPUTED_VALUE"""),1705.0)</f>
        <v>1705</v>
      </c>
      <c r="B312" s="11">
        <f>IFERROR(__xludf.DUMMYFUNCTION("""COMPUTED_VALUE"""),45999.84725831018)</f>
        <v>45999.84726</v>
      </c>
      <c r="C312" s="3" t="str">
        <f>IFERROR(__xludf.DUMMYFUNCTION("""COMPUTED_VALUE"""),"ชั้นปีที่ 1")</f>
        <v>ชั้นปีที่ 1</v>
      </c>
      <c r="D312" s="3" t="str">
        <f>IFERROR(__xludf.DUMMYFUNCTION("""COMPUTED_VALUE"""),"6803925")</f>
        <v>6803925</v>
      </c>
      <c r="E312" s="3" t="str">
        <f>IFERROR(__xludf.DUMMYFUNCTION("""COMPUTED_VALUE"""),"44")</f>
        <v>44</v>
      </c>
      <c r="F312" s="3" t="str">
        <f>IFERROR(__xludf.DUMMYFUNCTION("""COMPUTED_VALUE"""),"ภัทรพร ม่วงแคล้ว")</f>
        <v>ภัทรพร ม่วงแคล้ว</v>
      </c>
      <c r="G312" s="3" t="str">
        <f>IFERROR(__xludf.DUMMYFUNCTION("""COMPUTED_VALUE"""),"ช่วยเหลืองานภายใน วพอ.")</f>
        <v>ช่วยเหลืองานภายใน วพอ.</v>
      </c>
      <c r="H312" s="3" t="str">
        <f>IFERROR(__xludf.DUMMYFUNCTION("""COMPUTED_VALUE"""),"เล่นดุริยางค์")</f>
        <v>เล่นดุริยางค์</v>
      </c>
      <c r="I312" s="3" t="str">
        <f>IFERROR(__xludf.DUMMYFUNCTION("""COMPUTED_VALUE"""),"วพอ.พอ")</f>
        <v>วพอ.พอ</v>
      </c>
      <c r="J312" s="12">
        <f>IFERROR(__xludf.DUMMYFUNCTION("""COMPUTED_VALUE"""),45971.0)</f>
        <v>45971</v>
      </c>
      <c r="K312" s="3" t="str">
        <f>IFERROR(__xludf.DUMMYFUNCTION("""COMPUTED_VALUE"""),"0700-0800")</f>
        <v>0700-0800</v>
      </c>
      <c r="L312" s="3">
        <f>IFERROR(__xludf.DUMMYFUNCTION("""COMPUTED_VALUE"""),1.0)</f>
        <v>1</v>
      </c>
      <c r="M312" s="3" t="str">
        <f>IFERROR(__xludf.DUMMYFUNCTION("""COMPUTED_VALUE"""),"ร.อ.อนุชิต ทำจะดี")</f>
        <v>ร.อ.อนุชิต ทำจะดี</v>
      </c>
      <c r="N312" s="14" t="str">
        <f>IFERROR(__xludf.DUMMYFUNCTION("""COMPUTED_VALUE"""),"https://lh5.googleusercontent.com/d/1zTo5e__wXG1K2XF_GRwzIhqT-80F2c3z")</f>
        <v>https://lh5.googleusercontent.com/d/1zTo5e__wXG1K2XF_GRwzIhqT-80F2c3z</v>
      </c>
      <c r="O312" s="14" t="str">
        <f>IFERROR(__xludf.DUMMYFUNCTION("""COMPUTED_VALUE"""),"https://drive.google.com/file/d/1DpIAlTOtgX1qQ4SC3eE-6n6BeALF3W3a/view?usp=drivesdk")</f>
        <v>https://drive.google.com/file/d/1DpIAlTOtgX1qQ4SC3eE-6n6BeALF3W3a/view?usp=drivesdk</v>
      </c>
    </row>
    <row r="313">
      <c r="A313" s="3">
        <f>IFERROR(__xludf.DUMMYFUNCTION("""COMPUTED_VALUE"""),1706.0)</f>
        <v>1706</v>
      </c>
      <c r="B313" s="11">
        <f>IFERROR(__xludf.DUMMYFUNCTION("""COMPUTED_VALUE"""),45999.84778888888)</f>
        <v>45999.84779</v>
      </c>
      <c r="C313" s="3" t="str">
        <f>IFERROR(__xludf.DUMMYFUNCTION("""COMPUTED_VALUE"""),"ชั้นปีที่ 1")</f>
        <v>ชั้นปีที่ 1</v>
      </c>
      <c r="D313" s="3" t="str">
        <f>IFERROR(__xludf.DUMMYFUNCTION("""COMPUTED_VALUE"""),"6803882")</f>
        <v>6803882</v>
      </c>
      <c r="E313" s="3" t="str">
        <f>IFERROR(__xludf.DUMMYFUNCTION("""COMPUTED_VALUE"""),"1")</f>
        <v>1</v>
      </c>
      <c r="F313" s="3" t="str">
        <f>IFERROR(__xludf.DUMMYFUNCTION("""COMPUTED_VALUE"""),"นพอ.กมลฉัตร ชาสุรีย์")</f>
        <v>นพอ.กมลฉัตร ชาสุรีย์</v>
      </c>
      <c r="G31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13" s="3" t="str">
        <f>IFERROR(__xludf.DUMMYFUNCTION("""COMPUTED_VALUE"""),"บริจาคโลหิต")</f>
        <v>บริจาคโลหิต</v>
      </c>
      <c r="I313" s="3" t="str">
        <f>IFERROR(__xludf.DUMMYFUNCTION("""COMPUTED_VALUE"""),"มหาลัยมหิดล")</f>
        <v>มหาลัยมหิดล</v>
      </c>
      <c r="J313" s="12">
        <f>IFERROR(__xludf.DUMMYFUNCTION("""COMPUTED_VALUE"""),45983.0)</f>
        <v>45983</v>
      </c>
      <c r="K313" s="3" t="str">
        <f>IFERROR(__xludf.DUMMYFUNCTION("""COMPUTED_VALUE"""),"0900")</f>
        <v>0900</v>
      </c>
      <c r="L313" s="3">
        <f>IFERROR(__xludf.DUMMYFUNCTION("""COMPUTED_VALUE"""),8.0)</f>
        <v>8</v>
      </c>
      <c r="M313" s="3" t="str">
        <f>IFERROR(__xludf.DUMMYFUNCTION("""COMPUTED_VALUE"""),"นพอ.กมลฉัตร ชาสุรีย์")</f>
        <v>นพอ.กมลฉัตร ชาสุรีย์</v>
      </c>
      <c r="N313" s="14" t="str">
        <f>IFERROR(__xludf.DUMMYFUNCTION("""COMPUTED_VALUE"""),"https://lh5.googleusercontent.com/d/10Geuhy4JzuQcoRnqFodbT6IUDwkUZjbq")</f>
        <v>https://lh5.googleusercontent.com/d/10Geuhy4JzuQcoRnqFodbT6IUDwkUZjbq</v>
      </c>
      <c r="O313" s="14" t="str">
        <f>IFERROR(__xludf.DUMMYFUNCTION("""COMPUTED_VALUE"""),"https://drive.google.com/file/d/1P0z7V1kkwE3Y6sYePp8Cps2I1Pj7JFFW/view?usp=drivesdk")</f>
        <v>https://drive.google.com/file/d/1P0z7V1kkwE3Y6sYePp8Cps2I1Pj7JFFW/view?usp=drivesdk</v>
      </c>
    </row>
    <row r="314">
      <c r="A314" s="3">
        <f>IFERROR(__xludf.DUMMYFUNCTION("""COMPUTED_VALUE"""),1710.0)</f>
        <v>1710</v>
      </c>
      <c r="B314" s="11">
        <f>IFERROR(__xludf.DUMMYFUNCTION("""COMPUTED_VALUE"""),45999.85008261575)</f>
        <v>45999.85008</v>
      </c>
      <c r="C314" s="3" t="str">
        <f>IFERROR(__xludf.DUMMYFUNCTION("""COMPUTED_VALUE"""),"ชั้นปีที่ 1")</f>
        <v>ชั้นปีที่ 1</v>
      </c>
      <c r="D314" s="3" t="str">
        <f>IFERROR(__xludf.DUMMYFUNCTION("""COMPUTED_VALUE"""),"6803925")</f>
        <v>6803925</v>
      </c>
      <c r="E314" s="3" t="str">
        <f>IFERROR(__xludf.DUMMYFUNCTION("""COMPUTED_VALUE"""),"44")</f>
        <v>44</v>
      </c>
      <c r="F314" s="3" t="str">
        <f>IFERROR(__xludf.DUMMYFUNCTION("""COMPUTED_VALUE"""),"ภัทรพร ม่วงแคล้ว")</f>
        <v>ภัทรพร ม่วงแคล้ว</v>
      </c>
      <c r="G314" s="3" t="str">
        <f>IFERROR(__xludf.DUMMYFUNCTION("""COMPUTED_VALUE"""),"ช่วยเหลืองานภายใน วพอ.")</f>
        <v>ช่วยเหลืองานภายใน วพอ.</v>
      </c>
      <c r="H314" s="3" t="str">
        <f>IFERROR(__xludf.DUMMYFUNCTION("""COMPUTED_VALUE"""),"เล่นดุริยางค์")</f>
        <v>เล่นดุริยางค์</v>
      </c>
      <c r="I314" s="3" t="str">
        <f>IFERROR(__xludf.DUMMYFUNCTION("""COMPUTED_VALUE"""),"วพอ.พอ")</f>
        <v>วพอ.พอ</v>
      </c>
      <c r="J314" s="12">
        <f>IFERROR(__xludf.DUMMYFUNCTION("""COMPUTED_VALUE"""),45958.0)</f>
        <v>45958</v>
      </c>
      <c r="K314" s="3" t="str">
        <f>IFERROR(__xludf.DUMMYFUNCTION("""COMPUTED_VALUE"""),"0700-080")</f>
        <v>0700-080</v>
      </c>
      <c r="L314" s="3">
        <f>IFERROR(__xludf.DUMMYFUNCTION("""COMPUTED_VALUE"""),1.0)</f>
        <v>1</v>
      </c>
      <c r="M314" s="3" t="str">
        <f>IFERROR(__xludf.DUMMYFUNCTION("""COMPUTED_VALUE"""),"ร.อ.อนุชิต ทำจะดี")</f>
        <v>ร.อ.อนุชิต ทำจะดี</v>
      </c>
      <c r="N314" s="14" t="str">
        <f>IFERROR(__xludf.DUMMYFUNCTION("""COMPUTED_VALUE"""),"https://lh5.googleusercontent.com/d/1nxaubWQ-Gxzzpf_rHshezdY0WDw5Bk2_")</f>
        <v>https://lh5.googleusercontent.com/d/1nxaubWQ-Gxzzpf_rHshezdY0WDw5Bk2_</v>
      </c>
      <c r="O314" s="14" t="str">
        <f>IFERROR(__xludf.DUMMYFUNCTION("""COMPUTED_VALUE"""),"https://drive.google.com/file/d/1JJ35EoFwqyek2A9k68MAkR1_rcgKjupV/view?usp=drivesdk")</f>
        <v>https://drive.google.com/file/d/1JJ35EoFwqyek2A9k68MAkR1_rcgKjupV/view?usp=drivesdk</v>
      </c>
    </row>
    <row r="315">
      <c r="A315" s="3">
        <f>IFERROR(__xludf.DUMMYFUNCTION("""COMPUTED_VALUE"""),1715.0)</f>
        <v>1715</v>
      </c>
      <c r="B315" s="11">
        <f>IFERROR(__xludf.DUMMYFUNCTION("""COMPUTED_VALUE"""),45999.85646689815)</f>
        <v>45999.85647</v>
      </c>
      <c r="C315" s="3" t="str">
        <f>IFERROR(__xludf.DUMMYFUNCTION("""COMPUTED_VALUE"""),"ชั้นปีที่ 1")</f>
        <v>ชั้นปีที่ 1</v>
      </c>
      <c r="D315" s="3" t="str">
        <f>IFERROR(__xludf.DUMMYFUNCTION("""COMPUTED_VALUE"""),"6803886")</f>
        <v>6803886</v>
      </c>
      <c r="E315" s="3" t="str">
        <f>IFERROR(__xludf.DUMMYFUNCTION("""COMPUTED_VALUE"""),"5")</f>
        <v>5</v>
      </c>
      <c r="F315" s="3" t="str">
        <f>IFERROR(__xludf.DUMMYFUNCTION("""COMPUTED_VALUE"""),"นพอ.กัญญพัชร ทองสุข")</f>
        <v>นพอ.กัญญพัชร ทองสุข</v>
      </c>
      <c r="G31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15" s="3" t="str">
        <f>IFERROR(__xludf.DUMMYFUNCTION("""COMPUTED_VALUE"""),"บริจาคโลหิต")</f>
        <v>บริจาคโลหิต</v>
      </c>
      <c r="I315" s="3" t="str">
        <f>IFERROR(__xludf.DUMMYFUNCTION("""COMPUTED_VALUE"""),"โรงพยาบาลมหาราช นครศรีธรรมราช")</f>
        <v>โรงพยาบาลมหาราช นครศรีธรรมราช</v>
      </c>
      <c r="J315" s="12">
        <f>IFERROR(__xludf.DUMMYFUNCTION("""COMPUTED_VALUE"""),45899.0)</f>
        <v>45899</v>
      </c>
      <c r="K315" s="3" t="str">
        <f>IFERROR(__xludf.DUMMYFUNCTION("""COMPUTED_VALUE"""),"10.00")</f>
        <v>10.00</v>
      </c>
      <c r="L315" s="3">
        <f>IFERROR(__xludf.DUMMYFUNCTION("""COMPUTED_VALUE"""),8.0)</f>
        <v>8</v>
      </c>
      <c r="M315" s="3" t="str">
        <f>IFERROR(__xludf.DUMMYFUNCTION("""COMPUTED_VALUE"""),"นางสิตา อักษรพันธ์")</f>
        <v>นางสิตา อักษรพันธ์</v>
      </c>
      <c r="N315" s="14" t="str">
        <f>IFERROR(__xludf.DUMMYFUNCTION("""COMPUTED_VALUE"""),"https://lh5.googleusercontent.com/d/1D7EpCRRLFvZg4voG4YL-s96C77XuTl-U")</f>
        <v>https://lh5.googleusercontent.com/d/1D7EpCRRLFvZg4voG4YL-s96C77XuTl-U</v>
      </c>
      <c r="O315" s="14" t="str">
        <f>IFERROR(__xludf.DUMMYFUNCTION("""COMPUTED_VALUE"""),"https://drive.google.com/file/d/1oHoBWrlM_-_YLHGLNuPxApIcKQl7y8rT/view?usp=drivesdk")</f>
        <v>https://drive.google.com/file/d/1oHoBWrlM_-_YLHGLNuPxApIcKQl7y8rT/view?usp=drivesdk</v>
      </c>
    </row>
    <row r="316">
      <c r="A316" s="3">
        <f>IFERROR(__xludf.DUMMYFUNCTION("""COMPUTED_VALUE"""),1716.0)</f>
        <v>1716</v>
      </c>
      <c r="B316" s="11">
        <f>IFERROR(__xludf.DUMMYFUNCTION("""COMPUTED_VALUE"""),45999.85759993056)</f>
        <v>45999.8576</v>
      </c>
      <c r="C316" s="3" t="str">
        <f>IFERROR(__xludf.DUMMYFUNCTION("""COMPUTED_VALUE"""),"ชั้นปีที่ 1")</f>
        <v>ชั้นปีที่ 1</v>
      </c>
      <c r="D316" s="3" t="str">
        <f>IFERROR(__xludf.DUMMYFUNCTION("""COMPUTED_VALUE"""),"6803903")</f>
        <v>6803903</v>
      </c>
      <c r="E316" s="3" t="str">
        <f>IFERROR(__xludf.DUMMYFUNCTION("""COMPUTED_VALUE"""),"22")</f>
        <v>22</v>
      </c>
      <c r="F316" s="3" t="str">
        <f>IFERROR(__xludf.DUMMYFUNCTION("""COMPUTED_VALUE"""),"นพอ.ดลณภา คล้ายสุวรรณ์")</f>
        <v>นพอ.ดลณภา คล้ายสุวรรณ์</v>
      </c>
      <c r="G316" s="3" t="str">
        <f>IFERROR(__xludf.DUMMYFUNCTION("""COMPUTED_VALUE"""),"ช่วยเหลืองานภายใน วพอ.")</f>
        <v>ช่วยเหลืองานภายใน วพอ.</v>
      </c>
      <c r="H316" s="3" t="str">
        <f>IFERROR(__xludf.DUMMYFUNCTION("""COMPUTED_VALUE"""),"ช่วยเตรียมสถานที่จัดงานมุทิตาจิต")</f>
        <v>ช่วยเตรียมสถานที่จัดงานมุทิตาจิต</v>
      </c>
      <c r="I316" s="3" t="str">
        <f>IFERROR(__xludf.DUMMYFUNCTION("""COMPUTED_VALUE"""),"วิทยาลัยพยาบาลทหารอากาศ")</f>
        <v>วิทยาลัยพยาบาลทหารอากาศ</v>
      </c>
      <c r="J316" s="12">
        <f>IFERROR(__xludf.DUMMYFUNCTION("""COMPUTED_VALUE"""),45928.0)</f>
        <v>45928</v>
      </c>
      <c r="K316" s="3" t="str">
        <f>IFERROR(__xludf.DUMMYFUNCTION("""COMPUTED_VALUE"""),"1030-1330")</f>
        <v>1030-1330</v>
      </c>
      <c r="L316" s="3">
        <f>IFERROR(__xludf.DUMMYFUNCTION("""COMPUTED_VALUE"""),3.0)</f>
        <v>3</v>
      </c>
      <c r="M316" s="3" t="str">
        <f>IFERROR(__xludf.DUMMYFUNCTION("""COMPUTED_VALUE"""),"ร.อ.อนุชิต ทำจะดี")</f>
        <v>ร.อ.อนุชิต ทำจะดี</v>
      </c>
      <c r="N316" s="14" t="str">
        <f>IFERROR(__xludf.DUMMYFUNCTION("""COMPUTED_VALUE"""),"https://lh5.googleusercontent.com/d/1DB1mCh8Ptx_EcXa85Zb9phSRyt0Bt0Rc")</f>
        <v>https://lh5.googleusercontent.com/d/1DB1mCh8Ptx_EcXa85Zb9phSRyt0Bt0Rc</v>
      </c>
      <c r="O316" s="14" t="str">
        <f>IFERROR(__xludf.DUMMYFUNCTION("""COMPUTED_VALUE"""),"https://drive.google.com/file/d/1g1sRKBonZ3Ag3Pxj0jWp-J2ah1q6-F4J/view?usp=drivesdk")</f>
        <v>https://drive.google.com/file/d/1g1sRKBonZ3Ag3Pxj0jWp-J2ah1q6-F4J/view?usp=drivesdk</v>
      </c>
    </row>
    <row r="317">
      <c r="A317" s="3">
        <f>IFERROR(__xludf.DUMMYFUNCTION("""COMPUTED_VALUE"""),1717.0)</f>
        <v>1717</v>
      </c>
      <c r="B317" s="11">
        <f>IFERROR(__xludf.DUMMYFUNCTION("""COMPUTED_VALUE"""),45999.85804402778)</f>
        <v>45999.85804</v>
      </c>
      <c r="C317" s="3" t="str">
        <f>IFERROR(__xludf.DUMMYFUNCTION("""COMPUTED_VALUE"""),"ชั้นปีที่ 1")</f>
        <v>ชั้นปีที่ 1</v>
      </c>
      <c r="D317" s="3" t="str">
        <f>IFERROR(__xludf.DUMMYFUNCTION("""COMPUTED_VALUE"""),"6803939")</f>
        <v>6803939</v>
      </c>
      <c r="E317" s="3" t="str">
        <f>IFERROR(__xludf.DUMMYFUNCTION("""COMPUTED_VALUE"""),"58")</f>
        <v>58</v>
      </c>
      <c r="F317" s="3" t="str">
        <f>IFERROR(__xludf.DUMMYFUNCTION("""COMPUTED_VALUE"""),"นพอ.สุภาวดี สุวรรณโกศัย")</f>
        <v>นพอ.สุภาวดี สุวรรณโกศัย</v>
      </c>
      <c r="G317" s="3" t="str">
        <f>IFERROR(__xludf.DUMMYFUNCTION("""COMPUTED_VALUE"""),"ช่วยเหลืองานภายใน วพอ.")</f>
        <v>ช่วยเหลืองานภายใน วพอ.</v>
      </c>
      <c r="H317" s="3" t="str">
        <f>IFERROR(__xludf.DUMMYFUNCTION("""COMPUTED_VALUE"""),"วงดุริยางค์")</f>
        <v>วงดุริยางค์</v>
      </c>
      <c r="I317" s="3" t="str">
        <f>IFERROR(__xludf.DUMMYFUNCTION("""COMPUTED_VALUE"""),"วพอ.พอ.")</f>
        <v>วพอ.พอ.</v>
      </c>
      <c r="J317" s="12">
        <f>IFERROR(__xludf.DUMMYFUNCTION("""COMPUTED_VALUE"""),45951.0)</f>
        <v>45951</v>
      </c>
      <c r="K317" s="3" t="str">
        <f>IFERROR(__xludf.DUMMYFUNCTION("""COMPUTED_VALUE"""),"0730")</f>
        <v>0730</v>
      </c>
      <c r="L317" s="3">
        <f>IFERROR(__xludf.DUMMYFUNCTION("""COMPUTED_VALUE"""),1.0)</f>
        <v>1</v>
      </c>
      <c r="M317" s="3" t="str">
        <f>IFERROR(__xludf.DUMMYFUNCTION("""COMPUTED_VALUE"""),"ร.อ.อนุชิต ทำจะดี")</f>
        <v>ร.อ.อนุชิต ทำจะดี</v>
      </c>
      <c r="N317" s="14" t="str">
        <f>IFERROR(__xludf.DUMMYFUNCTION("""COMPUTED_VALUE"""),"https://lh5.googleusercontent.com/d/1dkSxY-w4ne5TcTm0fvE2W9KiKpZ2OxKm")</f>
        <v>https://lh5.googleusercontent.com/d/1dkSxY-w4ne5TcTm0fvE2W9KiKpZ2OxKm</v>
      </c>
      <c r="O317" s="14" t="str">
        <f>IFERROR(__xludf.DUMMYFUNCTION("""COMPUTED_VALUE"""),"https://drive.google.com/file/d/1C3fp7oSqivX50nRdki41AgRGatXMm93s/view?usp=drivesdk")</f>
        <v>https://drive.google.com/file/d/1C3fp7oSqivX50nRdki41AgRGatXMm93s/view?usp=drivesdk</v>
      </c>
    </row>
    <row r="318">
      <c r="A318" s="3">
        <f>IFERROR(__xludf.DUMMYFUNCTION("""COMPUTED_VALUE"""),1718.0)</f>
        <v>1718</v>
      </c>
      <c r="B318" s="11">
        <f>IFERROR(__xludf.DUMMYFUNCTION("""COMPUTED_VALUE"""),45999.86027628472)</f>
        <v>45999.86028</v>
      </c>
      <c r="C318" s="3" t="str">
        <f>IFERROR(__xludf.DUMMYFUNCTION("""COMPUTED_VALUE"""),"ชั้นปีที่ 1")</f>
        <v>ชั้นปีที่ 1</v>
      </c>
      <c r="D318" s="3" t="str">
        <f>IFERROR(__xludf.DUMMYFUNCTION("""COMPUTED_VALUE"""),"6803939")</f>
        <v>6803939</v>
      </c>
      <c r="E318" s="3" t="str">
        <f>IFERROR(__xludf.DUMMYFUNCTION("""COMPUTED_VALUE"""),"58")</f>
        <v>58</v>
      </c>
      <c r="F318" s="3" t="str">
        <f>IFERROR(__xludf.DUMMYFUNCTION("""COMPUTED_VALUE"""),"นพอ.สุภาวดี สุวรรณโกศัย")</f>
        <v>นพอ.สุภาวดี สุวรรณโกศัย</v>
      </c>
      <c r="G318" s="3" t="str">
        <f>IFERROR(__xludf.DUMMYFUNCTION("""COMPUTED_VALUE"""),"ช่วยเหลืองานภายใน วพอ.")</f>
        <v>ช่วยเหลืองานภายใน วพอ.</v>
      </c>
      <c r="H318" s="3" t="str">
        <f>IFERROR(__xludf.DUMMYFUNCTION("""COMPUTED_VALUE"""),"วงดุริยางค์")</f>
        <v>วงดุริยางค์</v>
      </c>
      <c r="I318" s="3" t="str">
        <f>IFERROR(__xludf.DUMMYFUNCTION("""COMPUTED_VALUE"""),"วพอ.พอ.")</f>
        <v>วพอ.พอ.</v>
      </c>
      <c r="J318" s="12">
        <f>IFERROR(__xludf.DUMMYFUNCTION("""COMPUTED_VALUE"""),45950.0)</f>
        <v>45950</v>
      </c>
      <c r="K318" s="3" t="str">
        <f>IFERROR(__xludf.DUMMYFUNCTION("""COMPUTED_VALUE"""),"0730")</f>
        <v>0730</v>
      </c>
      <c r="L318" s="3">
        <f>IFERROR(__xludf.DUMMYFUNCTION("""COMPUTED_VALUE"""),1.0)</f>
        <v>1</v>
      </c>
      <c r="M318" s="3" t="str">
        <f>IFERROR(__xludf.DUMMYFUNCTION("""COMPUTED_VALUE"""),"ร.อ.อนุชิต ทำจะดี")</f>
        <v>ร.อ.อนุชิต ทำจะดี</v>
      </c>
      <c r="N318" s="14" t="str">
        <f>IFERROR(__xludf.DUMMYFUNCTION("""COMPUTED_VALUE"""),"https://lh5.googleusercontent.com/d/1j_Px3FepeC3SW-rBHLw4Zzmgf0kOTjJZ")</f>
        <v>https://lh5.googleusercontent.com/d/1j_Px3FepeC3SW-rBHLw4Zzmgf0kOTjJZ</v>
      </c>
      <c r="O318" s="14" t="str">
        <f>IFERROR(__xludf.DUMMYFUNCTION("""COMPUTED_VALUE"""),"https://drive.google.com/file/d/1e0zSn1eAIQ7mSUUXdeTIK59JRhw9zJLq/view?usp=drivesdk")</f>
        <v>https://drive.google.com/file/d/1e0zSn1eAIQ7mSUUXdeTIK59JRhw9zJLq/view?usp=drivesdk</v>
      </c>
    </row>
    <row r="319">
      <c r="A319" s="3">
        <f>IFERROR(__xludf.DUMMYFUNCTION("""COMPUTED_VALUE"""),1719.0)</f>
        <v>1719</v>
      </c>
      <c r="B319" s="11">
        <f>IFERROR(__xludf.DUMMYFUNCTION("""COMPUTED_VALUE"""),45999.86081207176)</f>
        <v>45999.86081</v>
      </c>
      <c r="C319" s="3" t="str">
        <f>IFERROR(__xludf.DUMMYFUNCTION("""COMPUTED_VALUE"""),"ชั้นปีที่ 1")</f>
        <v>ชั้นปีที่ 1</v>
      </c>
      <c r="D319" s="3" t="str">
        <f>IFERROR(__xludf.DUMMYFUNCTION("""COMPUTED_VALUE"""),"6803886")</f>
        <v>6803886</v>
      </c>
      <c r="E319" s="3" t="str">
        <f>IFERROR(__xludf.DUMMYFUNCTION("""COMPUTED_VALUE"""),"5")</f>
        <v>5</v>
      </c>
      <c r="F319" s="3" t="str">
        <f>IFERROR(__xludf.DUMMYFUNCTION("""COMPUTED_VALUE"""),"นพอ.กัญญพัชร ทองสุข")</f>
        <v>นพอ.กัญญพัชร ทองสุข</v>
      </c>
      <c r="G319" s="3" t="str">
        <f>IFERROR(__xludf.DUMMYFUNCTION("""COMPUTED_VALUE"""),"งานฟรีทั่วไป")</f>
        <v>งานฟรีทั่วไป</v>
      </c>
      <c r="H319" s="3" t="str">
        <f>IFERROR(__xludf.DUMMYFUNCTION("""COMPUTED_VALUE"""),"กิจกรรมปลูกป่าชุมชน บ้านห้วยม่วง")</f>
        <v>กิจกรรมปลูกป่าชุมชน บ้านห้วยม่วง</v>
      </c>
      <c r="I319" s="3" t="str">
        <f>IFERROR(__xludf.DUMMYFUNCTION("""COMPUTED_VALUE"""),"บ้านห้วยม่วง ต.ตะนาวศรี อ.สวนผึ้ง จ.ราชบุรี")</f>
        <v>บ้านห้วยม่วง ต.ตะนาวศรี อ.สวนผึ้ง จ.ราชบุรี</v>
      </c>
      <c r="J319" s="12">
        <f>IFERROR(__xludf.DUMMYFUNCTION("""COMPUTED_VALUE"""),45906.0)</f>
        <v>45906</v>
      </c>
      <c r="K319" s="3" t="str">
        <f>IFERROR(__xludf.DUMMYFUNCTION("""COMPUTED_VALUE"""),"11.00")</f>
        <v>11.00</v>
      </c>
      <c r="L319" s="3">
        <f>IFERROR(__xludf.DUMMYFUNCTION("""COMPUTED_VALUE"""),4.0)</f>
        <v>4</v>
      </c>
      <c r="M319" s="3" t="str">
        <f>IFERROR(__xludf.DUMMYFUNCTION("""COMPUTED_VALUE"""),"อาสาสมัครพิทักษ์สิ่งแวดล้อม")</f>
        <v>อาสาสมัครพิทักษ์สิ่งแวดล้อม</v>
      </c>
      <c r="N319" s="14" t="str">
        <f>IFERROR(__xludf.DUMMYFUNCTION("""COMPUTED_VALUE"""),"https://lh5.googleusercontent.com/d/1uYH4IboLqJlVqV685wdIvnIAg-IKBPsK")</f>
        <v>https://lh5.googleusercontent.com/d/1uYH4IboLqJlVqV685wdIvnIAg-IKBPsK</v>
      </c>
      <c r="O319" s="14" t="str">
        <f>IFERROR(__xludf.DUMMYFUNCTION("""COMPUTED_VALUE"""),"https://drive.google.com/file/d/127fzM_zBBk_67mpiCq5EGnRJSJeM_NGS/view?usp=drivesdk")</f>
        <v>https://drive.google.com/file/d/127fzM_zBBk_67mpiCq5EGnRJSJeM_NGS/view?usp=drivesdk</v>
      </c>
    </row>
    <row r="320">
      <c r="A320" s="3">
        <f>IFERROR(__xludf.DUMMYFUNCTION("""COMPUTED_VALUE"""),1720.0)</f>
        <v>1720</v>
      </c>
      <c r="B320" s="11">
        <f>IFERROR(__xludf.DUMMYFUNCTION("""COMPUTED_VALUE"""),45999.863315312505)</f>
        <v>45999.86332</v>
      </c>
      <c r="C320" s="3" t="str">
        <f>IFERROR(__xludf.DUMMYFUNCTION("""COMPUTED_VALUE"""),"ชั้นปีที่ 1")</f>
        <v>ชั้นปีที่ 1</v>
      </c>
      <c r="D320" s="3" t="str">
        <f>IFERROR(__xludf.DUMMYFUNCTION("""COMPUTED_VALUE"""),"6803903")</f>
        <v>6803903</v>
      </c>
      <c r="E320" s="3" t="str">
        <f>IFERROR(__xludf.DUMMYFUNCTION("""COMPUTED_VALUE"""),"22")</f>
        <v>22</v>
      </c>
      <c r="F320" s="3" t="str">
        <f>IFERROR(__xludf.DUMMYFUNCTION("""COMPUTED_VALUE"""),"นพอ.ดลณภา คล้ายสุวรรณ์")</f>
        <v>นพอ.ดลณภา คล้ายสุวรรณ์</v>
      </c>
      <c r="G320" s="3" t="str">
        <f>IFERROR(__xludf.DUMMYFUNCTION("""COMPUTED_VALUE"""),"ช่วยเหลืองานภายใน วพอ.")</f>
        <v>ช่วยเหลืองานภายใน วพอ.</v>
      </c>
      <c r="H320" s="3" t="str">
        <f>IFERROR(__xludf.DUMMYFUNCTION("""COMPUTED_VALUE"""),"ฟังบรรยายเรื่องการเตรียมความพร้อมคุณแม่ตั้งครรภ์(1)")</f>
        <v>ฟังบรรยายเรื่องการเตรียมความพร้อมคุณแม่ตั้งครรภ์(1)</v>
      </c>
      <c r="I320" s="3" t="str">
        <f>IFERROR(__xludf.DUMMYFUNCTION("""COMPUTED_VALUE"""),"ห้อง นทน.")</f>
        <v>ห้อง นทน.</v>
      </c>
      <c r="J320" s="12">
        <f>IFERROR(__xludf.DUMMYFUNCTION("""COMPUTED_VALUE"""),45920.0)</f>
        <v>45920</v>
      </c>
      <c r="K320" s="3" t="str">
        <f>IFERROR(__xludf.DUMMYFUNCTION("""COMPUTED_VALUE"""),"0900-1200")</f>
        <v>0900-1200</v>
      </c>
      <c r="L320" s="3">
        <f>IFERROR(__xludf.DUMMYFUNCTION("""COMPUTED_VALUE"""),3.0)</f>
        <v>3</v>
      </c>
      <c r="M320" s="3" t="str">
        <f>IFERROR(__xludf.DUMMYFUNCTION("""COMPUTED_VALUE"""),"น.อ.หญิง นิตยา สุขแสน")</f>
        <v>น.อ.หญิง นิตยา สุขแสน</v>
      </c>
      <c r="N320" s="14" t="str">
        <f>IFERROR(__xludf.DUMMYFUNCTION("""COMPUTED_VALUE"""),"https://lh5.googleusercontent.com/d/15I1eT5CuSJGPjEmI-TmkysIHTMTIFx8M")</f>
        <v>https://lh5.googleusercontent.com/d/15I1eT5CuSJGPjEmI-TmkysIHTMTIFx8M</v>
      </c>
      <c r="O320" s="14" t="str">
        <f>IFERROR(__xludf.DUMMYFUNCTION("""COMPUTED_VALUE"""),"https://drive.google.com/file/d/18dEkgndpsUTXI0CDi-f6ppDh19udW9RN/view?usp=drivesdk")</f>
        <v>https://drive.google.com/file/d/18dEkgndpsUTXI0CDi-f6ppDh19udW9RN/view?usp=drivesdk</v>
      </c>
    </row>
    <row r="321">
      <c r="A321" s="3">
        <f>IFERROR(__xludf.DUMMYFUNCTION("""COMPUTED_VALUE"""),1721.0)</f>
        <v>1721</v>
      </c>
      <c r="B321" s="11">
        <f>IFERROR(__xludf.DUMMYFUNCTION("""COMPUTED_VALUE"""),45999.864544537035)</f>
        <v>45999.86454</v>
      </c>
      <c r="C321" s="3" t="str">
        <f>IFERROR(__xludf.DUMMYFUNCTION("""COMPUTED_VALUE"""),"ชั้นปีที่ 1")</f>
        <v>ชั้นปีที่ 1</v>
      </c>
      <c r="D321" s="3" t="str">
        <f>IFERROR(__xludf.DUMMYFUNCTION("""COMPUTED_VALUE"""),"6903903")</f>
        <v>6903903</v>
      </c>
      <c r="E321" s="3" t="str">
        <f>IFERROR(__xludf.DUMMYFUNCTION("""COMPUTED_VALUE"""),"22")</f>
        <v>22</v>
      </c>
      <c r="F321" s="3" t="str">
        <f>IFERROR(__xludf.DUMMYFUNCTION("""COMPUTED_VALUE"""),"นพอ.ดลณภา คล้ายสุวรรณ์")</f>
        <v>นพอ.ดลณภา คล้ายสุวรรณ์</v>
      </c>
      <c r="G321" s="3" t="str">
        <f>IFERROR(__xludf.DUMMYFUNCTION("""COMPUTED_VALUE"""),"ช่วยเหลืองานภายใน วพอ.")</f>
        <v>ช่วยเหลืองานภายใน วพอ.</v>
      </c>
      <c r="H321" s="3" t="str">
        <f>IFERROR(__xludf.DUMMYFUNCTION("""COMPUTED_VALUE"""),"ฟังบรรยายเรื่องการเตรียมความพร้อมคุณแม่ตั้งครรภ์(2)")</f>
        <v>ฟังบรรยายเรื่องการเตรียมความพร้อมคุณแม่ตั้งครรภ์(2)</v>
      </c>
      <c r="I321" s="3" t="str">
        <f>IFERROR(__xludf.DUMMYFUNCTION("""COMPUTED_VALUE"""),"ห้อง นทน.")</f>
        <v>ห้อง นทน.</v>
      </c>
      <c r="J321" s="12">
        <f>IFERROR(__xludf.DUMMYFUNCTION("""COMPUTED_VALUE"""),45976.0)</f>
        <v>45976</v>
      </c>
      <c r="K321" s="3" t="str">
        <f>IFERROR(__xludf.DUMMYFUNCTION("""COMPUTED_VALUE"""),"0900-1200")</f>
        <v>0900-1200</v>
      </c>
      <c r="L321" s="3">
        <f>IFERROR(__xludf.DUMMYFUNCTION("""COMPUTED_VALUE"""),3.0)</f>
        <v>3</v>
      </c>
      <c r="M321" s="3" t="str">
        <f>IFERROR(__xludf.DUMMYFUNCTION("""COMPUTED_VALUE"""),"น.อ.หญิง นิตยา สุขแสน")</f>
        <v>น.อ.หญิง นิตยา สุขแสน</v>
      </c>
      <c r="N321" s="14" t="str">
        <f>IFERROR(__xludf.DUMMYFUNCTION("""COMPUTED_VALUE"""),"https://lh5.googleusercontent.com/d/1YYkWFMUUU89l8i9V_WQztUFqnEpa3G28")</f>
        <v>https://lh5.googleusercontent.com/d/1YYkWFMUUU89l8i9V_WQztUFqnEpa3G28</v>
      </c>
      <c r="O321" s="14" t="str">
        <f>IFERROR(__xludf.DUMMYFUNCTION("""COMPUTED_VALUE"""),"https://drive.google.com/file/d/150ZXrOM2Zz65MamIXt_2uep6d9ZcHP9H/view?usp=drivesdk")</f>
        <v>https://drive.google.com/file/d/150ZXrOM2Zz65MamIXt_2uep6d9ZcHP9H/view?usp=drivesdk</v>
      </c>
    </row>
    <row r="322">
      <c r="A322" s="3">
        <f>IFERROR(__xludf.DUMMYFUNCTION("""COMPUTED_VALUE"""),1724.0)</f>
        <v>1724</v>
      </c>
      <c r="B322" s="11">
        <f>IFERROR(__xludf.DUMMYFUNCTION("""COMPUTED_VALUE"""),45999.86765759259)</f>
        <v>45999.86766</v>
      </c>
      <c r="C322" s="3" t="str">
        <f>IFERROR(__xludf.DUMMYFUNCTION("""COMPUTED_VALUE"""),"ชั้นปีที่ 1")</f>
        <v>ชั้นปีที่ 1</v>
      </c>
      <c r="D322" s="3" t="str">
        <f>IFERROR(__xludf.DUMMYFUNCTION("""COMPUTED_VALUE"""),"6803896")</f>
        <v>6803896</v>
      </c>
      <c r="E322" s="3" t="str">
        <f>IFERROR(__xludf.DUMMYFUNCTION("""COMPUTED_VALUE"""),"15")</f>
        <v>15</v>
      </c>
      <c r="F322" s="3" t="str">
        <f>IFERROR(__xludf.DUMMYFUNCTION("""COMPUTED_VALUE"""),"นพอ.ณัชปวีย์ เยาวภา")</f>
        <v>นพอ.ณัชปวีย์ เยาวภา</v>
      </c>
      <c r="G322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22" s="3" t="str">
        <f>IFERROR(__xludf.DUMMYFUNCTION("""COMPUTED_VALUE"""),"พยาบาลไทยบริจาคโลหิต ช่วยชีวิตเพื่อนมนุษย์ ปี4")</f>
        <v>พยาบาลไทยบริจาคโลหิต ช่วยชีวิตเพื่อนมนุษย์ ปี4</v>
      </c>
      <c r="I322" s="3" t="str">
        <f>IFERROR(__xludf.DUMMYFUNCTION("""COMPUTED_VALUE"""),"สภากาชาดไทย")</f>
        <v>สภากาชาดไทย</v>
      </c>
      <c r="J322" s="12">
        <f>IFERROR(__xludf.DUMMYFUNCTION("""COMPUTED_VALUE"""),45916.0)</f>
        <v>45916</v>
      </c>
      <c r="K322" s="3" t="str">
        <f>IFERROR(__xludf.DUMMYFUNCTION("""COMPUTED_VALUE"""),"0900-1200")</f>
        <v>0900-1200</v>
      </c>
      <c r="L322" s="3">
        <f>IFERROR(__xludf.DUMMYFUNCTION("""COMPUTED_VALUE"""),8.0)</f>
        <v>8</v>
      </c>
      <c r="M322" s="3" t="str">
        <f>IFERROR(__xludf.DUMMYFUNCTION("""COMPUTED_VALUE"""),"น.ท.หญิง อนุกูล บำรุงวงค์")</f>
        <v>น.ท.หญิง อนุกูล บำรุงวงค์</v>
      </c>
      <c r="N322" s="14" t="str">
        <f>IFERROR(__xludf.DUMMYFUNCTION("""COMPUTED_VALUE"""),"https://lh5.googleusercontent.com/d/17Qz5n8nSVi-k3-7ZXgQ8I3El4IN1l1rB")</f>
        <v>https://lh5.googleusercontent.com/d/17Qz5n8nSVi-k3-7ZXgQ8I3El4IN1l1rB</v>
      </c>
      <c r="O322" s="14" t="str">
        <f>IFERROR(__xludf.DUMMYFUNCTION("""COMPUTED_VALUE"""),"https://drive.google.com/file/d/1Wlq1_CKMHlv4lrA4KMTnptDtQHq2Z5Nv/view?usp=drivesdk")</f>
        <v>https://drive.google.com/file/d/1Wlq1_CKMHlv4lrA4KMTnptDtQHq2Z5Nv/view?usp=drivesdk</v>
      </c>
    </row>
    <row r="323">
      <c r="A323" s="3">
        <f>IFERROR(__xludf.DUMMYFUNCTION("""COMPUTED_VALUE"""),1725.0)</f>
        <v>1725</v>
      </c>
      <c r="B323" s="11">
        <f>IFERROR(__xludf.DUMMYFUNCTION("""COMPUTED_VALUE"""),45999.869981469914)</f>
        <v>45999.86998</v>
      </c>
      <c r="C323" s="3" t="str">
        <f>IFERROR(__xludf.DUMMYFUNCTION("""COMPUTED_VALUE"""),"ชั้นปีที่ 1")</f>
        <v>ชั้นปีที่ 1</v>
      </c>
      <c r="D323" s="3" t="str">
        <f>IFERROR(__xludf.DUMMYFUNCTION("""COMPUTED_VALUE"""),"6803903")</f>
        <v>6803903</v>
      </c>
      <c r="E323" s="3" t="str">
        <f>IFERROR(__xludf.DUMMYFUNCTION("""COMPUTED_VALUE"""),"22")</f>
        <v>22</v>
      </c>
      <c r="F323" s="3" t="str">
        <f>IFERROR(__xludf.DUMMYFUNCTION("""COMPUTED_VALUE"""),"นพอ.ดลณภา คล้ายสุวรรณ์")</f>
        <v>นพอ.ดลณภา คล้ายสุวรรณ์</v>
      </c>
      <c r="G32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23" s="3" t="str">
        <f>IFERROR(__xludf.DUMMYFUNCTION("""COMPUTED_VALUE"""),"แจกของพระราชทาน")</f>
        <v>แจกของพระราชทาน</v>
      </c>
      <c r="I323" s="3" t="str">
        <f>IFERROR(__xludf.DUMMYFUNCTION("""COMPUTED_VALUE"""),"สนามหลวง")</f>
        <v>สนามหลวง</v>
      </c>
      <c r="J323" s="12">
        <f>IFERROR(__xludf.DUMMYFUNCTION("""COMPUTED_VALUE"""),45990.0)</f>
        <v>45990</v>
      </c>
      <c r="K323" s="3" t="str">
        <f>IFERROR(__xludf.DUMMYFUNCTION("""COMPUTED_VALUE"""),"0800-1200")</f>
        <v>0800-1200</v>
      </c>
      <c r="L323" s="3">
        <f>IFERROR(__xludf.DUMMYFUNCTION("""COMPUTED_VALUE"""),4.0)</f>
        <v>4</v>
      </c>
      <c r="M32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23" s="14" t="str">
        <f>IFERROR(__xludf.DUMMYFUNCTION("""COMPUTED_VALUE"""),"https://lh5.googleusercontent.com/d/1fq3dtU6WBmeT2C5IyCY6jf6LrZMH2Po2")</f>
        <v>https://lh5.googleusercontent.com/d/1fq3dtU6WBmeT2C5IyCY6jf6LrZMH2Po2</v>
      </c>
      <c r="O323" s="14" t="str">
        <f>IFERROR(__xludf.DUMMYFUNCTION("""COMPUTED_VALUE"""),"https://drive.google.com/file/d/1Ocn8Sd-JtstdzYEQH7R81H0HLdTmFXxi/view?usp=drivesdk")</f>
        <v>https://drive.google.com/file/d/1Ocn8Sd-JtstdzYEQH7R81H0HLdTmFXxi/view?usp=drivesdk</v>
      </c>
    </row>
    <row r="324">
      <c r="A324" s="3">
        <f>IFERROR(__xludf.DUMMYFUNCTION("""COMPUTED_VALUE"""),1729.0)</f>
        <v>1729</v>
      </c>
      <c r="B324" s="11">
        <f>IFERROR(__xludf.DUMMYFUNCTION("""COMPUTED_VALUE"""),45999.87351118056)</f>
        <v>45999.87351</v>
      </c>
      <c r="C324" s="3" t="str">
        <f>IFERROR(__xludf.DUMMYFUNCTION("""COMPUTED_VALUE"""),"ชั้นปีที่ 1")</f>
        <v>ชั้นปีที่ 1</v>
      </c>
      <c r="D324" s="3" t="str">
        <f>IFERROR(__xludf.DUMMYFUNCTION("""COMPUTED_VALUE"""),"6803903")</f>
        <v>6803903</v>
      </c>
      <c r="E324" s="3" t="str">
        <f>IFERROR(__xludf.DUMMYFUNCTION("""COMPUTED_VALUE"""),"22")</f>
        <v>22</v>
      </c>
      <c r="F324" s="3" t="str">
        <f>IFERROR(__xludf.DUMMYFUNCTION("""COMPUTED_VALUE"""),"นพอ.ดลณภา คล้ายสุวรรณ์")</f>
        <v>นพอ.ดลณภา คล้ายสุวรรณ์</v>
      </c>
      <c r="G324" s="3" t="str">
        <f>IFERROR(__xludf.DUMMYFUNCTION("""COMPUTED_VALUE"""),"ช่วยเหลืองานภายใน วพอ.")</f>
        <v>ช่วยเหลืองานภายใน วพอ.</v>
      </c>
      <c r="H324" s="3" t="str">
        <f>IFERROR(__xludf.DUMMYFUNCTION("""COMPUTED_VALUE"""),"ฟังบรรยายเรื่องการเตรียมความพร้อมคุณแม่ตั้งครรภ์(2)")</f>
        <v>ฟังบรรยายเรื่องการเตรียมความพร้อมคุณแม่ตั้งครรภ์(2)</v>
      </c>
      <c r="I324" s="3" t="str">
        <f>IFERROR(__xludf.DUMMYFUNCTION("""COMPUTED_VALUE"""),"ห้อง นทน.")</f>
        <v>ห้อง นทน.</v>
      </c>
      <c r="J324" s="12">
        <f>IFERROR(__xludf.DUMMYFUNCTION("""COMPUTED_VALUE"""),45976.0)</f>
        <v>45976</v>
      </c>
      <c r="K324" s="3" t="str">
        <f>IFERROR(__xludf.DUMMYFUNCTION("""COMPUTED_VALUE"""),"0900-1200")</f>
        <v>0900-1200</v>
      </c>
      <c r="L324" s="3">
        <f>IFERROR(__xludf.DUMMYFUNCTION("""COMPUTED_VALUE"""),3.0)</f>
        <v>3</v>
      </c>
      <c r="M324" s="3" t="str">
        <f>IFERROR(__xludf.DUMMYFUNCTION("""COMPUTED_VALUE"""),"น.ต.หญิง นิตยา สุขแสน")</f>
        <v>น.ต.หญิง นิตยา สุขแสน</v>
      </c>
      <c r="N324" s="14" t="str">
        <f>IFERROR(__xludf.DUMMYFUNCTION("""COMPUTED_VALUE"""),"https://lh5.googleusercontent.com/d/1AnuaHW6Fa8I5rkqeCDvtoNApZy7onZLP")</f>
        <v>https://lh5.googleusercontent.com/d/1AnuaHW6Fa8I5rkqeCDvtoNApZy7onZLP</v>
      </c>
      <c r="O324" s="14" t="str">
        <f>IFERROR(__xludf.DUMMYFUNCTION("""COMPUTED_VALUE"""),"https://drive.google.com/file/d/1j3TA4IbsExDJjPfRt3nFfgV-KPbrNi-r/view?usp=drivesdk")</f>
        <v>https://drive.google.com/file/d/1j3TA4IbsExDJjPfRt3nFfgV-KPbrNi-r/view?usp=drivesdk</v>
      </c>
    </row>
    <row r="325">
      <c r="A325" s="3">
        <f>IFERROR(__xludf.DUMMYFUNCTION("""COMPUTED_VALUE"""),1731.0)</f>
        <v>1731</v>
      </c>
      <c r="B325" s="11">
        <f>IFERROR(__xludf.DUMMYFUNCTION("""COMPUTED_VALUE"""),45999.87636320602)</f>
        <v>45999.87636</v>
      </c>
      <c r="C325" s="3" t="str">
        <f>IFERROR(__xludf.DUMMYFUNCTION("""COMPUTED_VALUE"""),"ชั้นปีที่ 1")</f>
        <v>ชั้นปีที่ 1</v>
      </c>
      <c r="D325" s="3" t="str">
        <f>IFERROR(__xludf.DUMMYFUNCTION("""COMPUTED_VALUE"""),"6803902")</f>
        <v>6803902</v>
      </c>
      <c r="E325" s="3" t="str">
        <f>IFERROR(__xludf.DUMMYFUNCTION("""COMPUTED_VALUE"""),"21")</f>
        <v>21</v>
      </c>
      <c r="F325" s="3" t="str">
        <f>IFERROR(__xludf.DUMMYFUNCTION("""COMPUTED_VALUE"""),"นพอ.ณัฐวัฒน์ บ้งพรม")</f>
        <v>นพอ.ณัฐวัฒน์ บ้งพรม</v>
      </c>
      <c r="G325" s="3" t="str">
        <f>IFERROR(__xludf.DUMMYFUNCTION("""COMPUTED_VALUE"""),"ช่วยเหลืองานภายใน วพอ.")</f>
        <v>ช่วยเหลืองานภายใน วพอ.</v>
      </c>
      <c r="H325" s="3" t="str">
        <f>IFERROR(__xludf.DUMMYFUNCTION("""COMPUTED_VALUE"""),"ช่วยอาจารย์ทำวิจัย")</f>
        <v>ช่วยอาจารย์ทำวิจัย</v>
      </c>
      <c r="I325" s="3" t="str">
        <f>IFERROR(__xludf.DUMMYFUNCTION("""COMPUTED_VALUE"""),"วพอ.พอ.")</f>
        <v>วพอ.พอ.</v>
      </c>
      <c r="J325" s="12">
        <f>IFERROR(__xludf.DUMMYFUNCTION("""COMPUTED_VALUE"""),45940.0)</f>
        <v>45940</v>
      </c>
      <c r="K325" s="3" t="str">
        <f>IFERROR(__xludf.DUMMYFUNCTION("""COMPUTED_VALUE"""),"15:00-17:00")</f>
        <v>15:00-17:00</v>
      </c>
      <c r="L325" s="3">
        <f>IFERROR(__xludf.DUMMYFUNCTION("""COMPUTED_VALUE"""),8.0)</f>
        <v>8</v>
      </c>
      <c r="M325" s="3" t="str">
        <f>IFERROR(__xludf.DUMMYFUNCTION("""COMPUTED_VALUE"""),"น.ท.หญิง ผศ.ดร.ละอองดาว วรรณฤทธิ์")</f>
        <v>น.ท.หญิง ผศ.ดร.ละอองดาว วรรณฤทธิ์</v>
      </c>
      <c r="N325" s="14" t="str">
        <f>IFERROR(__xludf.DUMMYFUNCTION("""COMPUTED_VALUE"""),"https://lh5.googleusercontent.com/d/10eWnJkdAoCBrFBgG56uxvtjjwRDj8p45")</f>
        <v>https://lh5.googleusercontent.com/d/10eWnJkdAoCBrFBgG56uxvtjjwRDj8p45</v>
      </c>
      <c r="O325" s="14" t="str">
        <f>IFERROR(__xludf.DUMMYFUNCTION("""COMPUTED_VALUE"""),"https://drive.google.com/file/d/12mvTlcwB5g05YSU5PTMXs0LzjdCPod1h/view?usp=drivesdk")</f>
        <v>https://drive.google.com/file/d/12mvTlcwB5g05YSU5PTMXs0LzjdCPod1h/view?usp=drivesdk</v>
      </c>
    </row>
    <row r="326">
      <c r="A326" s="3">
        <f>IFERROR(__xludf.DUMMYFUNCTION("""COMPUTED_VALUE"""),1733.0)</f>
        <v>1733</v>
      </c>
      <c r="B326" s="11">
        <f>IFERROR(__xludf.DUMMYFUNCTION("""COMPUTED_VALUE"""),45999.877106817126)</f>
        <v>45999.87711</v>
      </c>
      <c r="C326" s="3" t="str">
        <f>IFERROR(__xludf.DUMMYFUNCTION("""COMPUTED_VALUE"""),"ชั้นปีที่ 1")</f>
        <v>ชั้นปีที่ 1</v>
      </c>
      <c r="D326" s="3" t="str">
        <f>IFERROR(__xludf.DUMMYFUNCTION("""COMPUTED_VALUE"""),"6803903")</f>
        <v>6803903</v>
      </c>
      <c r="E326" s="3" t="str">
        <f>IFERROR(__xludf.DUMMYFUNCTION("""COMPUTED_VALUE"""),"22")</f>
        <v>22</v>
      </c>
      <c r="F326" s="3" t="str">
        <f>IFERROR(__xludf.DUMMYFUNCTION("""COMPUTED_VALUE"""),"นพอ.ดลณภา คล้ายสุวรรณ์")</f>
        <v>นพอ.ดลณภา คล้ายสุวรรณ์</v>
      </c>
      <c r="G32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26" s="3" t="str">
        <f>IFERROR(__xludf.DUMMYFUNCTION("""COMPUTED_VALUE"""),"งานกอล์ฟ(2)")</f>
        <v>งานกอล์ฟ(2)</v>
      </c>
      <c r="I326" s="3" t="str">
        <f>IFERROR(__xludf.DUMMYFUNCTION("""COMPUTED_VALUE"""),"สนามกอล์ฟธูปะเตมีย์")</f>
        <v>สนามกอล์ฟธูปะเตมีย์</v>
      </c>
      <c r="J326" s="12">
        <f>IFERROR(__xludf.DUMMYFUNCTION("""COMPUTED_VALUE"""),45989.0)</f>
        <v>45989</v>
      </c>
      <c r="K326" s="3" t="str">
        <f>IFERROR(__xludf.DUMMYFUNCTION("""COMPUTED_VALUE"""),"1900-2400")</f>
        <v>1900-2400</v>
      </c>
      <c r="L326" s="3">
        <f>IFERROR(__xludf.DUMMYFUNCTION("""COMPUTED_VALUE"""),5.0)</f>
        <v>5</v>
      </c>
      <c r="M326" s="3" t="str">
        <f>IFERROR(__xludf.DUMMYFUNCTION("""COMPUTED_VALUE"""),"น.ต. ศักชัย บุญประสิทธิ์")</f>
        <v>น.ต. ศักชัย บุญประสิทธิ์</v>
      </c>
      <c r="N326" s="14" t="str">
        <f>IFERROR(__xludf.DUMMYFUNCTION("""COMPUTED_VALUE"""),"https://lh5.googleusercontent.com/d/1TcZP-8LZ867jKEt4rUqNYV4fxYh-DA63")</f>
        <v>https://lh5.googleusercontent.com/d/1TcZP-8LZ867jKEt4rUqNYV4fxYh-DA63</v>
      </c>
      <c r="O326" s="14" t="str">
        <f>IFERROR(__xludf.DUMMYFUNCTION("""COMPUTED_VALUE"""),"https://drive.google.com/file/d/1hMA5qWjzrblPLvGE9O2YOq-tfLNCHJWP/view?usp=drivesdk")</f>
        <v>https://drive.google.com/file/d/1hMA5qWjzrblPLvGE9O2YOq-tfLNCHJWP/view?usp=drivesdk</v>
      </c>
    </row>
    <row r="327">
      <c r="A327" s="3">
        <f>IFERROR(__xludf.DUMMYFUNCTION("""COMPUTED_VALUE"""),1735.0)</f>
        <v>1735</v>
      </c>
      <c r="B327" s="11">
        <f>IFERROR(__xludf.DUMMYFUNCTION("""COMPUTED_VALUE"""),45999.87738868056)</f>
        <v>45999.87739</v>
      </c>
      <c r="C327" s="3" t="str">
        <f>IFERROR(__xludf.DUMMYFUNCTION("""COMPUTED_VALUE"""),"ชั้นปีที่ 1")</f>
        <v>ชั้นปีที่ 1</v>
      </c>
      <c r="D327" s="3" t="str">
        <f>IFERROR(__xludf.DUMMYFUNCTION("""COMPUTED_VALUE"""),"6803897")</f>
        <v>6803897</v>
      </c>
      <c r="E327" s="3" t="str">
        <f>IFERROR(__xludf.DUMMYFUNCTION("""COMPUTED_VALUE"""),"16")</f>
        <v>16</v>
      </c>
      <c r="F327" s="3" t="str">
        <f>IFERROR(__xludf.DUMMYFUNCTION("""COMPUTED_VALUE"""),"นพอ.ณัฐญา ชลอปัญจศิลป์")</f>
        <v>นพอ.ณัฐญา ชลอปัญจศิลป์</v>
      </c>
      <c r="G32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27" s="3" t="str">
        <f>IFERROR(__xludf.DUMMYFUNCTION("""COMPUTED_VALUE"""),"บริจาคโลหิต")</f>
        <v>บริจาคโลหิต</v>
      </c>
      <c r="I327" s="3" t="str">
        <f>IFERROR(__xludf.DUMMYFUNCTION("""COMPUTED_VALUE"""),"รพ.ชัยนาทนเรนทร")</f>
        <v>รพ.ชัยนาทนเรนทร</v>
      </c>
      <c r="J327" s="12">
        <f>IFERROR(__xludf.DUMMYFUNCTION("""COMPUTED_VALUE"""),45881.0)</f>
        <v>45881</v>
      </c>
      <c r="K327" s="3" t="str">
        <f>IFERROR(__xludf.DUMMYFUNCTION("""COMPUTED_VALUE"""),"1000")</f>
        <v>1000</v>
      </c>
      <c r="L327" s="3">
        <f>IFERROR(__xludf.DUMMYFUNCTION("""COMPUTED_VALUE"""),8.0)</f>
        <v>8</v>
      </c>
      <c r="M327" s="3" t="str">
        <f>IFERROR(__xludf.DUMMYFUNCTION("""COMPUTED_VALUE"""),"น.ส.ทิพวรรณ บุญยะ")</f>
        <v>น.ส.ทิพวรรณ บุญยะ</v>
      </c>
      <c r="N327" s="14" t="str">
        <f>IFERROR(__xludf.DUMMYFUNCTION("""COMPUTED_VALUE"""),"https://lh5.googleusercontent.com/d/1pc-ypG0IkVY8Yh5dB7kRomI52ppJ5uvX")</f>
        <v>https://lh5.googleusercontent.com/d/1pc-ypG0IkVY8Yh5dB7kRomI52ppJ5uvX</v>
      </c>
      <c r="O327" s="14" t="str">
        <f>IFERROR(__xludf.DUMMYFUNCTION("""COMPUTED_VALUE"""),"https://drive.google.com/file/d/1UCuSRGFIsRAQJLyyqBOQQmQbof4k0ss-/view?usp=drivesdk")</f>
        <v>https://drive.google.com/file/d/1UCuSRGFIsRAQJLyyqBOQQmQbof4k0ss-/view?usp=drivesdk</v>
      </c>
    </row>
    <row r="328">
      <c r="A328" s="3">
        <f>IFERROR(__xludf.DUMMYFUNCTION("""COMPUTED_VALUE"""),1736.0)</f>
        <v>1736</v>
      </c>
      <c r="B328" s="11">
        <f>IFERROR(__xludf.DUMMYFUNCTION("""COMPUTED_VALUE"""),45999.87847491898)</f>
        <v>45999.87847</v>
      </c>
      <c r="C328" s="3" t="str">
        <f>IFERROR(__xludf.DUMMYFUNCTION("""COMPUTED_VALUE"""),"ชั้นปีที่ 1")</f>
        <v>ชั้นปีที่ 1</v>
      </c>
      <c r="D328" s="3" t="str">
        <f>IFERROR(__xludf.DUMMYFUNCTION("""COMPUTED_VALUE"""),"6803902")</f>
        <v>6803902</v>
      </c>
      <c r="E328" s="3" t="str">
        <f>IFERROR(__xludf.DUMMYFUNCTION("""COMPUTED_VALUE"""),"21")</f>
        <v>21</v>
      </c>
      <c r="F328" s="3" t="str">
        <f>IFERROR(__xludf.DUMMYFUNCTION("""COMPUTED_VALUE"""),"นพอ.ณัฐวัฒน์ บ้งพรม")</f>
        <v>นพอ.ณัฐวัฒน์ บ้งพรม</v>
      </c>
      <c r="G328" s="3" t="str">
        <f>IFERROR(__xludf.DUMMYFUNCTION("""COMPUTED_VALUE"""),"ช่วยเหลืองานภายใน วพอ.")</f>
        <v>ช่วยเหลืองานภายใน วพอ.</v>
      </c>
      <c r="H328" s="3" t="str">
        <f>IFERROR(__xludf.DUMMYFUNCTION("""COMPUTED_VALUE"""),"ช่วยอาจารย์ทำวิจัย")</f>
        <v>ช่วยอาจารย์ทำวิจัย</v>
      </c>
      <c r="I328" s="3" t="str">
        <f>IFERROR(__xludf.DUMMYFUNCTION("""COMPUTED_VALUE"""),"วพอ.พอ.")</f>
        <v>วพอ.พอ.</v>
      </c>
      <c r="J328" s="12">
        <f>IFERROR(__xludf.DUMMYFUNCTION("""COMPUTED_VALUE"""),45945.0)</f>
        <v>45945</v>
      </c>
      <c r="K328" s="3" t="str">
        <f>IFERROR(__xludf.DUMMYFUNCTION("""COMPUTED_VALUE"""),"15:00-1700")</f>
        <v>15:00-1700</v>
      </c>
      <c r="L328" s="3">
        <f>IFERROR(__xludf.DUMMYFUNCTION("""COMPUTED_VALUE"""),8.0)</f>
        <v>8</v>
      </c>
      <c r="M328" s="3" t="str">
        <f>IFERROR(__xludf.DUMMYFUNCTION("""COMPUTED_VALUE"""),"น.ท.หญิง ผศ.ดร.ละอองดาว วรรณฤทธิ์")</f>
        <v>น.ท.หญิง ผศ.ดร.ละอองดาว วรรณฤทธิ์</v>
      </c>
      <c r="N328" s="14" t="str">
        <f>IFERROR(__xludf.DUMMYFUNCTION("""COMPUTED_VALUE"""),"https://lh5.googleusercontent.com/d/14j2ZHtO0Pjdafz8KE3uhtWmvnCO7WxD4")</f>
        <v>https://lh5.googleusercontent.com/d/14j2ZHtO0Pjdafz8KE3uhtWmvnCO7WxD4</v>
      </c>
      <c r="O328" s="14" t="str">
        <f>IFERROR(__xludf.DUMMYFUNCTION("""COMPUTED_VALUE"""),"https://drive.google.com/file/d/1sbVi72sT31yuL57TalgFmT_o0capvDv3/view?usp=drivesdk")</f>
        <v>https://drive.google.com/file/d/1sbVi72sT31yuL57TalgFmT_o0capvDv3/view?usp=drivesdk</v>
      </c>
    </row>
    <row r="329">
      <c r="A329" s="3">
        <f>IFERROR(__xludf.DUMMYFUNCTION("""COMPUTED_VALUE"""),1742.0)</f>
        <v>1742</v>
      </c>
      <c r="B329" s="11">
        <f>IFERROR(__xludf.DUMMYFUNCTION("""COMPUTED_VALUE"""),45999.8830725463)</f>
        <v>45999.88307</v>
      </c>
      <c r="C329" s="3" t="str">
        <f>IFERROR(__xludf.DUMMYFUNCTION("""COMPUTED_VALUE"""),"ชั้นปีที่ 1")</f>
        <v>ชั้นปีที่ 1</v>
      </c>
      <c r="D329" s="3" t="str">
        <f>IFERROR(__xludf.DUMMYFUNCTION("""COMPUTED_VALUE"""),"6803890")</f>
        <v>6803890</v>
      </c>
      <c r="E329" s="3" t="str">
        <f>IFERROR(__xludf.DUMMYFUNCTION("""COMPUTED_VALUE"""),"9")</f>
        <v>9</v>
      </c>
      <c r="F329" s="3" t="str">
        <f>IFERROR(__xludf.DUMMYFUNCTION("""COMPUTED_VALUE"""),"นพอ.จักรพงศ์ ปรีชาคม")</f>
        <v>นพอ.จักรพงศ์ ปรีชาคม</v>
      </c>
      <c r="G329" s="3" t="str">
        <f>IFERROR(__xludf.DUMMYFUNCTION("""COMPUTED_VALUE"""),"ช่วยเหลืองานภายใน วพอ.")</f>
        <v>ช่วยเหลืองานภายใน วพอ.</v>
      </c>
      <c r="H329" s="3" t="str">
        <f>IFERROR(__xludf.DUMMYFUNCTION("""COMPUTED_VALUE"""),"ดูเเลเเละจัดห้องพักผ่อน")</f>
        <v>ดูเเลเเละจัดห้องพักผ่อน</v>
      </c>
      <c r="I329" s="3" t="str">
        <f>IFERROR(__xludf.DUMMYFUNCTION("""COMPUTED_VALUE"""),"อาคารเรียน วพอ.พอ.")</f>
        <v>อาคารเรียน วพอ.พอ.</v>
      </c>
      <c r="J329" s="12">
        <f>IFERROR(__xludf.DUMMYFUNCTION("""COMPUTED_VALUE"""),46000.0)</f>
        <v>46000</v>
      </c>
      <c r="K329" s="3" t="str">
        <f>IFERROR(__xludf.DUMMYFUNCTION("""COMPUTED_VALUE"""),"1700")</f>
        <v>1700</v>
      </c>
      <c r="L329" s="3">
        <f>IFERROR(__xludf.DUMMYFUNCTION("""COMPUTED_VALUE"""),2.0)</f>
        <v>2</v>
      </c>
      <c r="M329" s="3" t="str">
        <f>IFERROR(__xludf.DUMMYFUNCTION("""COMPUTED_VALUE"""),"น.ท.หญิง.ผศ.ชญาพัฒน์ ทองปากน้ำ")</f>
        <v>น.ท.หญิง.ผศ.ชญาพัฒน์ ทองปากน้ำ</v>
      </c>
      <c r="N329" s="14" t="str">
        <f>IFERROR(__xludf.DUMMYFUNCTION("""COMPUTED_VALUE"""),"https://lh5.googleusercontent.com/d/1mQ5fkrU5skXb_5ZH0x8JWcz7DSW_jq7q")</f>
        <v>https://lh5.googleusercontent.com/d/1mQ5fkrU5skXb_5ZH0x8JWcz7DSW_jq7q</v>
      </c>
      <c r="O329" s="14" t="str">
        <f>IFERROR(__xludf.DUMMYFUNCTION("""COMPUTED_VALUE"""),"https://drive.google.com/file/d/1rI7BxhEBHcCzE24Li29CulronpR0XThU/view?usp=drivesdk")</f>
        <v>https://drive.google.com/file/d/1rI7BxhEBHcCzE24Li29CulronpR0XThU/view?usp=drivesdk</v>
      </c>
    </row>
    <row r="330">
      <c r="A330" s="3">
        <f>IFERROR(__xludf.DUMMYFUNCTION("""COMPUTED_VALUE"""),1743.0)</f>
        <v>1743</v>
      </c>
      <c r="B330" s="11">
        <f>IFERROR(__xludf.DUMMYFUNCTION("""COMPUTED_VALUE"""),45999.88328740741)</f>
        <v>45999.88329</v>
      </c>
      <c r="C330" s="3" t="str">
        <f>IFERROR(__xludf.DUMMYFUNCTION("""COMPUTED_VALUE"""),"ชั้นปีที่ 1")</f>
        <v>ชั้นปีที่ 1</v>
      </c>
      <c r="D330" s="3" t="str">
        <f>IFERROR(__xludf.DUMMYFUNCTION("""COMPUTED_VALUE"""),"6803902")</f>
        <v>6803902</v>
      </c>
      <c r="E330" s="3" t="str">
        <f>IFERROR(__xludf.DUMMYFUNCTION("""COMPUTED_VALUE"""),"21")</f>
        <v>21</v>
      </c>
      <c r="F330" s="3" t="str">
        <f>IFERROR(__xludf.DUMMYFUNCTION("""COMPUTED_VALUE"""),"นพอ.ณัฐวัฒน์ บ้งพรม")</f>
        <v>นพอ.ณัฐวัฒน์ บ้งพรม</v>
      </c>
      <c r="G330" s="3" t="str">
        <f>IFERROR(__xludf.DUMMYFUNCTION("""COMPUTED_VALUE"""),"ช่วยเหลืองานภายใน วพอ.")</f>
        <v>ช่วยเหลืองานภายใน วพอ.</v>
      </c>
      <c r="H330" s="3" t="str">
        <f>IFERROR(__xludf.DUMMYFUNCTION("""COMPUTED_VALUE"""),"เล่นดุริยางค์")</f>
        <v>เล่นดุริยางค์</v>
      </c>
      <c r="I330" s="3" t="str">
        <f>IFERROR(__xludf.DUMMYFUNCTION("""COMPUTED_VALUE"""),"วพอ.พอ.")</f>
        <v>วพอ.พอ.</v>
      </c>
      <c r="J330" s="12">
        <f>IFERROR(__xludf.DUMMYFUNCTION("""COMPUTED_VALUE"""),45994.0)</f>
        <v>45994</v>
      </c>
      <c r="K330" s="3" t="str">
        <f>IFERROR(__xludf.DUMMYFUNCTION("""COMPUTED_VALUE"""),"07:00-07:40")</f>
        <v>07:00-07:40</v>
      </c>
      <c r="L330" s="3">
        <f>IFERROR(__xludf.DUMMYFUNCTION("""COMPUTED_VALUE"""),1.0)</f>
        <v>1</v>
      </c>
      <c r="M330" s="3" t="str">
        <f>IFERROR(__xludf.DUMMYFUNCTION("""COMPUTED_VALUE"""),"ร.อ.อนุชิต ทำจะดี")</f>
        <v>ร.อ.อนุชิต ทำจะดี</v>
      </c>
      <c r="N330" s="14" t="str">
        <f>IFERROR(__xludf.DUMMYFUNCTION("""COMPUTED_VALUE"""),"https://lh5.googleusercontent.com/d/1ze9qQM2ZCpmyf8jrASK4NMcGZbnrJgjT")</f>
        <v>https://lh5.googleusercontent.com/d/1ze9qQM2ZCpmyf8jrASK4NMcGZbnrJgjT</v>
      </c>
      <c r="O330" s="14" t="str">
        <f>IFERROR(__xludf.DUMMYFUNCTION("""COMPUTED_VALUE"""),"https://drive.google.com/file/d/1sljji2w5e23nc41739kmUQGdWXzoJznl/view?usp=drivesdk")</f>
        <v>https://drive.google.com/file/d/1sljji2w5e23nc41739kmUQGdWXzoJznl/view?usp=drivesdk</v>
      </c>
    </row>
    <row r="331">
      <c r="A331" s="3">
        <f>IFERROR(__xludf.DUMMYFUNCTION("""COMPUTED_VALUE"""),1744.0)</f>
        <v>1744</v>
      </c>
      <c r="B331" s="11">
        <f>IFERROR(__xludf.DUMMYFUNCTION("""COMPUTED_VALUE"""),45999.88446784722)</f>
        <v>45999.88447</v>
      </c>
      <c r="C331" s="3" t="str">
        <f>IFERROR(__xludf.DUMMYFUNCTION("""COMPUTED_VALUE"""),"ชั้นปีที่ 1")</f>
        <v>ชั้นปีที่ 1</v>
      </c>
      <c r="D331" s="3" t="str">
        <f>IFERROR(__xludf.DUMMYFUNCTION("""COMPUTED_VALUE"""),"6803890")</f>
        <v>6803890</v>
      </c>
      <c r="E331" s="3" t="str">
        <f>IFERROR(__xludf.DUMMYFUNCTION("""COMPUTED_VALUE"""),"9")</f>
        <v>9</v>
      </c>
      <c r="F331" s="3" t="str">
        <f>IFERROR(__xludf.DUMMYFUNCTION("""COMPUTED_VALUE"""),"นพอ.จักรพงศ์ ปรีชาคม")</f>
        <v>นพอ.จักรพงศ์ ปรีชาคม</v>
      </c>
      <c r="G331" s="3" t="str">
        <f>IFERROR(__xludf.DUMMYFUNCTION("""COMPUTED_VALUE"""),"ช่วยเหลืองานภายใน วพอ.")</f>
        <v>ช่วยเหลืองานภายใน วพอ.</v>
      </c>
      <c r="H331" s="3" t="str">
        <f>IFERROR(__xludf.DUMMYFUNCTION("""COMPUTED_VALUE"""),"ดูเเลเเละจัดห้องพักผ่อน นพอ.")</f>
        <v>ดูเเลเเละจัดห้องพักผ่อน นพอ.</v>
      </c>
      <c r="I331" s="3" t="str">
        <f>IFERROR(__xludf.DUMMYFUNCTION("""COMPUTED_VALUE"""),"อาคารเรียน วพอ.พอ")</f>
        <v>อาคารเรียน วพอ.พอ</v>
      </c>
      <c r="J331" s="12">
        <f>IFERROR(__xludf.DUMMYFUNCTION("""COMPUTED_VALUE"""),45999.0)</f>
        <v>45999</v>
      </c>
      <c r="K331" s="3" t="str">
        <f>IFERROR(__xludf.DUMMYFUNCTION("""COMPUTED_VALUE"""),"1700")</f>
        <v>1700</v>
      </c>
      <c r="L331" s="3">
        <f>IFERROR(__xludf.DUMMYFUNCTION("""COMPUTED_VALUE"""),2.0)</f>
        <v>2</v>
      </c>
      <c r="M331" s="3" t="str">
        <f>IFERROR(__xludf.DUMMYFUNCTION("""COMPUTED_VALUE"""),"น.ท.หญิง.ผศ.ชญาพัฒน์ ทองปากน้ำ")</f>
        <v>น.ท.หญิง.ผศ.ชญาพัฒน์ ทองปากน้ำ</v>
      </c>
      <c r="N331" s="14" t="str">
        <f>IFERROR(__xludf.DUMMYFUNCTION("""COMPUTED_VALUE"""),"https://lh5.googleusercontent.com/d/1PXxXDunftf7Oynb3lBfi3A5PwPTh5BA_")</f>
        <v>https://lh5.googleusercontent.com/d/1PXxXDunftf7Oynb3lBfi3A5PwPTh5BA_</v>
      </c>
      <c r="O331" s="14" t="str">
        <f>IFERROR(__xludf.DUMMYFUNCTION("""COMPUTED_VALUE"""),"https://drive.google.com/file/d/17cbwRsyO48WCmjZH6dyB6t5EX2MxtULP/view?usp=drivesdk")</f>
        <v>https://drive.google.com/file/d/17cbwRsyO48WCmjZH6dyB6t5EX2MxtULP/view?usp=drivesdk</v>
      </c>
    </row>
    <row r="332">
      <c r="A332" s="3">
        <f>IFERROR(__xludf.DUMMYFUNCTION("""COMPUTED_VALUE"""),1745.0)</f>
        <v>1745</v>
      </c>
      <c r="B332" s="11">
        <f>IFERROR(__xludf.DUMMYFUNCTION("""COMPUTED_VALUE"""),45999.88514611111)</f>
        <v>45999.88515</v>
      </c>
      <c r="C332" s="3" t="str">
        <f>IFERROR(__xludf.DUMMYFUNCTION("""COMPUTED_VALUE"""),"ชั้นปีที่ 1")</f>
        <v>ชั้นปีที่ 1</v>
      </c>
      <c r="D332" s="3" t="str">
        <f>IFERROR(__xludf.DUMMYFUNCTION("""COMPUTED_VALUE"""),"6803902")</f>
        <v>6803902</v>
      </c>
      <c r="E332" s="3" t="str">
        <f>IFERROR(__xludf.DUMMYFUNCTION("""COMPUTED_VALUE"""),"21")</f>
        <v>21</v>
      </c>
      <c r="F332" s="3" t="str">
        <f>IFERROR(__xludf.DUMMYFUNCTION("""COMPUTED_VALUE"""),"นพอ.ณัฐวัฒน์ บ้งพรม")</f>
        <v>นพอ.ณัฐวัฒน์ บ้งพรม</v>
      </c>
      <c r="G332" s="3" t="str">
        <f>IFERROR(__xludf.DUMMYFUNCTION("""COMPUTED_VALUE"""),"ช่วยเหลืองานภายใน วพอ.")</f>
        <v>ช่วยเหลืองานภายใน วพอ.</v>
      </c>
      <c r="H332" s="3" t="str">
        <f>IFERROR(__xludf.DUMMYFUNCTION("""COMPUTED_VALUE"""),"เล่นดุริยางค์")</f>
        <v>เล่นดุริยางค์</v>
      </c>
      <c r="I332" s="3" t="str">
        <f>IFERROR(__xludf.DUMMYFUNCTION("""COMPUTED_VALUE"""),"วพอ.พอ.")</f>
        <v>วพอ.พอ.</v>
      </c>
      <c r="J332" s="12">
        <f>IFERROR(__xludf.DUMMYFUNCTION("""COMPUTED_VALUE"""),45975.0)</f>
        <v>45975</v>
      </c>
      <c r="K332" s="3" t="str">
        <f>IFERROR(__xludf.DUMMYFUNCTION("""COMPUTED_VALUE"""),"07:00-07:40")</f>
        <v>07:00-07:40</v>
      </c>
      <c r="L332" s="3">
        <f>IFERROR(__xludf.DUMMYFUNCTION("""COMPUTED_VALUE"""),1.0)</f>
        <v>1</v>
      </c>
      <c r="M332" s="3" t="str">
        <f>IFERROR(__xludf.DUMMYFUNCTION("""COMPUTED_VALUE"""),"ร.อ.อนุชิต ทำจะดี")</f>
        <v>ร.อ.อนุชิต ทำจะดี</v>
      </c>
      <c r="N332" s="14" t="str">
        <f>IFERROR(__xludf.DUMMYFUNCTION("""COMPUTED_VALUE"""),"https://lh5.googleusercontent.com/d/1LmMYpeMx1cZNkhpbuJhjLOz9SZvTTsZr")</f>
        <v>https://lh5.googleusercontent.com/d/1LmMYpeMx1cZNkhpbuJhjLOz9SZvTTsZr</v>
      </c>
      <c r="O332" s="14" t="str">
        <f>IFERROR(__xludf.DUMMYFUNCTION("""COMPUTED_VALUE"""),"https://drive.google.com/file/d/1OREvklKvzkNA6hzisO8dXIDjdo2K9F1s/view?usp=drivesdk")</f>
        <v>https://drive.google.com/file/d/1OREvklKvzkNA6hzisO8dXIDjdo2K9F1s/view?usp=drivesdk</v>
      </c>
    </row>
    <row r="333">
      <c r="A333" s="3">
        <f>IFERROR(__xludf.DUMMYFUNCTION("""COMPUTED_VALUE"""),1750.0)</f>
        <v>1750</v>
      </c>
      <c r="B333" s="11">
        <f>IFERROR(__xludf.DUMMYFUNCTION("""COMPUTED_VALUE"""),45999.88916196759)</f>
        <v>45999.88916</v>
      </c>
      <c r="C333" s="3" t="str">
        <f>IFERROR(__xludf.DUMMYFUNCTION("""COMPUTED_VALUE"""),"ชั้นปีที่ 1")</f>
        <v>ชั้นปีที่ 1</v>
      </c>
      <c r="D333" s="3" t="str">
        <f>IFERROR(__xludf.DUMMYFUNCTION("""COMPUTED_VALUE"""),"6803883")</f>
        <v>6803883</v>
      </c>
      <c r="E333" s="3" t="str">
        <f>IFERROR(__xludf.DUMMYFUNCTION("""COMPUTED_VALUE"""),"2")</f>
        <v>2</v>
      </c>
      <c r="F333" s="3" t="str">
        <f>IFERROR(__xludf.DUMMYFUNCTION("""COMPUTED_VALUE"""),"นพอ.กรชนก หน่อทิม")</f>
        <v>นพอ.กรชนก หน่อทิม</v>
      </c>
      <c r="G333" s="3" t="str">
        <f>IFERROR(__xludf.DUMMYFUNCTION("""COMPUTED_VALUE"""),"ช่วยเหลืองานภายใน วพอ.")</f>
        <v>ช่วยเหลืองานภายใน วพอ.</v>
      </c>
      <c r="H333" s="3" t="str">
        <f>IFERROR(__xludf.DUMMYFUNCTION("""COMPUTED_VALUE"""),"เล่นดุริยางค์")</f>
        <v>เล่นดุริยางค์</v>
      </c>
      <c r="I333" s="3" t="str">
        <f>IFERROR(__xludf.DUMMYFUNCTION("""COMPUTED_VALUE"""),"วพอ.พอ.")</f>
        <v>วพอ.พอ.</v>
      </c>
      <c r="J333" s="12">
        <f>IFERROR(__xludf.DUMMYFUNCTION("""COMPUTED_VALUE"""),45981.0)</f>
        <v>45981</v>
      </c>
      <c r="K333" s="3" t="str">
        <f>IFERROR(__xludf.DUMMYFUNCTION("""COMPUTED_VALUE"""),"07.30น.")</f>
        <v>07.30น.</v>
      </c>
      <c r="L333" s="3">
        <f>IFERROR(__xludf.DUMMYFUNCTION("""COMPUTED_VALUE"""),1.0)</f>
        <v>1</v>
      </c>
      <c r="M333" s="3" t="str">
        <f>IFERROR(__xludf.DUMMYFUNCTION("""COMPUTED_VALUE"""),"ร.อ.อนุชิต ทำจะดี")</f>
        <v>ร.อ.อนุชิต ทำจะดี</v>
      </c>
      <c r="N333" s="14" t="str">
        <f>IFERROR(__xludf.DUMMYFUNCTION("""COMPUTED_VALUE"""),"https://lh5.googleusercontent.com/d/1H1G4jd1iJv7wbH5ASH5f3hH0QjFGMfka")</f>
        <v>https://lh5.googleusercontent.com/d/1H1G4jd1iJv7wbH5ASH5f3hH0QjFGMfka</v>
      </c>
      <c r="O333" s="14" t="str">
        <f>IFERROR(__xludf.DUMMYFUNCTION("""COMPUTED_VALUE"""),"https://drive.google.com/file/d/1kyO9hc9LjP60sPy9LSsJvAldShlY4NNY/view?usp=drivesdk")</f>
        <v>https://drive.google.com/file/d/1kyO9hc9LjP60sPy9LSsJvAldShlY4NNY/view?usp=drivesdk</v>
      </c>
    </row>
    <row r="334">
      <c r="A334" s="3">
        <f>IFERROR(__xludf.DUMMYFUNCTION("""COMPUTED_VALUE"""),1751.0)</f>
        <v>1751</v>
      </c>
      <c r="B334" s="11">
        <f>IFERROR(__xludf.DUMMYFUNCTION("""COMPUTED_VALUE"""),45999.88941780093)</f>
        <v>45999.88942</v>
      </c>
      <c r="C334" s="3" t="str">
        <f>IFERROR(__xludf.DUMMYFUNCTION("""COMPUTED_VALUE"""),"ชั้นปีที่ 1")</f>
        <v>ชั้นปีที่ 1</v>
      </c>
      <c r="D334" s="3" t="str">
        <f>IFERROR(__xludf.DUMMYFUNCTION("""COMPUTED_VALUE"""),"6803890")</f>
        <v>6803890</v>
      </c>
      <c r="E334" s="3" t="str">
        <f>IFERROR(__xludf.DUMMYFUNCTION("""COMPUTED_VALUE"""),"9")</f>
        <v>9</v>
      </c>
      <c r="F334" s="3" t="str">
        <f>IFERROR(__xludf.DUMMYFUNCTION("""COMPUTED_VALUE"""),"นพอ.จักรพงศ์ ปรีชาคม")</f>
        <v>นพอ.จักรพงศ์ ปรีชาคม</v>
      </c>
      <c r="G334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34" s="3" t="str">
        <f>IFERROR(__xludf.DUMMYFUNCTION("""COMPUTED_VALUE"""),"ถวายความอาลัยสมเด็จพระพันปี")</f>
        <v>ถวายความอาลัยสมเด็จพระพันปี</v>
      </c>
      <c r="I334" s="3" t="str">
        <f>IFERROR(__xludf.DUMMYFUNCTION("""COMPUTED_VALUE"""),"โรงพยาบาลภูมิพล")</f>
        <v>โรงพยาบาลภูมิพล</v>
      </c>
      <c r="J334" s="12">
        <f>IFERROR(__xludf.DUMMYFUNCTION("""COMPUTED_VALUE"""),45964.0)</f>
        <v>45964</v>
      </c>
      <c r="K334" s="3" t="str">
        <f>IFERROR(__xludf.DUMMYFUNCTION("""COMPUTED_VALUE"""),"0800")</f>
        <v>0800</v>
      </c>
      <c r="L334" s="3">
        <f>IFERROR(__xludf.DUMMYFUNCTION("""COMPUTED_VALUE"""),1.0)</f>
        <v>1</v>
      </c>
      <c r="M33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34" s="14" t="str">
        <f>IFERROR(__xludf.DUMMYFUNCTION("""COMPUTED_VALUE"""),"https://lh5.googleusercontent.com/d/17o85aQ0CsQxZyRr4P-au5h19c8vvrvcb")</f>
        <v>https://lh5.googleusercontent.com/d/17o85aQ0CsQxZyRr4P-au5h19c8vvrvcb</v>
      </c>
      <c r="O334" s="14" t="str">
        <f>IFERROR(__xludf.DUMMYFUNCTION("""COMPUTED_VALUE"""),"https://drive.google.com/file/d/1w8G1r2afnuVjZ632U6fnT_YOflJbCu9E/view?usp=drivesdk")</f>
        <v>https://drive.google.com/file/d/1w8G1r2afnuVjZ632U6fnT_YOflJbCu9E/view?usp=drivesdk</v>
      </c>
    </row>
    <row r="335">
      <c r="A335" s="3">
        <f>IFERROR(__xludf.DUMMYFUNCTION("""COMPUTED_VALUE"""),1752.0)</f>
        <v>1752</v>
      </c>
      <c r="B335" s="11">
        <f>IFERROR(__xludf.DUMMYFUNCTION("""COMPUTED_VALUE"""),45999.89104321759)</f>
        <v>45999.89104</v>
      </c>
      <c r="C335" s="3" t="str">
        <f>IFERROR(__xludf.DUMMYFUNCTION("""COMPUTED_VALUE"""),"ชั้นปีที่ 1")</f>
        <v>ชั้นปีที่ 1</v>
      </c>
      <c r="D335" s="3" t="str">
        <f>IFERROR(__xludf.DUMMYFUNCTION("""COMPUTED_VALUE"""),"6803890")</f>
        <v>6803890</v>
      </c>
      <c r="E335" s="3" t="str">
        <f>IFERROR(__xludf.DUMMYFUNCTION("""COMPUTED_VALUE"""),"9")</f>
        <v>9</v>
      </c>
      <c r="F335" s="3" t="str">
        <f>IFERROR(__xludf.DUMMYFUNCTION("""COMPUTED_VALUE"""),"นพอ.จักรพงศ์ ปรีชาคม")</f>
        <v>นพอ.จักรพงศ์ ปรีชาคม</v>
      </c>
      <c r="G335" s="3" t="str">
        <f>IFERROR(__xludf.DUMMYFUNCTION("""COMPUTED_VALUE"""),"ช่วยเหลืองานภายใน วพอ.")</f>
        <v>ช่วยเหลืองานภายใน วพอ.</v>
      </c>
      <c r="H335" s="3" t="str">
        <f>IFERROR(__xludf.DUMMYFUNCTION("""COMPUTED_VALUE"""),"จัดห้องพักผ่อน นพอ.")</f>
        <v>จัดห้องพักผ่อน นพอ.</v>
      </c>
      <c r="I335" s="3" t="str">
        <f>IFERROR(__xludf.DUMMYFUNCTION("""COMPUTED_VALUE"""),"อาคารเรียน วพอ.พอ.")</f>
        <v>อาคารเรียน วพอ.พอ.</v>
      </c>
      <c r="J335" s="12">
        <f>IFERROR(__xludf.DUMMYFUNCTION("""COMPUTED_VALUE"""),45995.0)</f>
        <v>45995</v>
      </c>
      <c r="K335" s="3" t="str">
        <f>IFERROR(__xludf.DUMMYFUNCTION("""COMPUTED_VALUE"""),"1300")</f>
        <v>1300</v>
      </c>
      <c r="L335" s="3">
        <f>IFERROR(__xludf.DUMMYFUNCTION("""COMPUTED_VALUE"""),5.0)</f>
        <v>5</v>
      </c>
      <c r="M335" s="3" t="str">
        <f>IFERROR(__xludf.DUMMYFUNCTION("""COMPUTED_VALUE"""),"น.ท.หญิง.ผศ.ชญาพัฒน์ ทองปากน้ำ")</f>
        <v>น.ท.หญิง.ผศ.ชญาพัฒน์ ทองปากน้ำ</v>
      </c>
      <c r="N335" s="14" t="str">
        <f>IFERROR(__xludf.DUMMYFUNCTION("""COMPUTED_VALUE"""),"https://lh5.googleusercontent.com/d/1EdnEEzQtIq9hHzU5vQGVsqf2kZWO1gm1")</f>
        <v>https://lh5.googleusercontent.com/d/1EdnEEzQtIq9hHzU5vQGVsqf2kZWO1gm1</v>
      </c>
      <c r="O335" s="14" t="str">
        <f>IFERROR(__xludf.DUMMYFUNCTION("""COMPUTED_VALUE"""),"https://drive.google.com/file/d/1CSIBuHe7HluYGxgdU-FDN8TbXmbOsjBg/view?usp=drivesdk")</f>
        <v>https://drive.google.com/file/d/1CSIBuHe7HluYGxgdU-FDN8TbXmbOsjBg/view?usp=drivesdk</v>
      </c>
    </row>
    <row r="336">
      <c r="A336" s="3">
        <f>IFERROR(__xludf.DUMMYFUNCTION("""COMPUTED_VALUE"""),1760.0)</f>
        <v>1760</v>
      </c>
      <c r="B336" s="11">
        <f>IFERROR(__xludf.DUMMYFUNCTION("""COMPUTED_VALUE"""),45999.89969363426)</f>
        <v>45999.89969</v>
      </c>
      <c r="C336" s="3" t="str">
        <f>IFERROR(__xludf.DUMMYFUNCTION("""COMPUTED_VALUE"""),"ชั้นปีที่ 1")</f>
        <v>ชั้นปีที่ 1</v>
      </c>
      <c r="D336" s="3" t="str">
        <f>IFERROR(__xludf.DUMMYFUNCTION("""COMPUTED_VALUE"""),"6803920")</f>
        <v>6803920</v>
      </c>
      <c r="E336" s="3" t="str">
        <f>IFERROR(__xludf.DUMMYFUNCTION("""COMPUTED_VALUE"""),"39")</f>
        <v>39</v>
      </c>
      <c r="F336" s="3" t="str">
        <f>IFERROR(__xludf.DUMMYFUNCTION("""COMPUTED_VALUE"""),"นพอ.พัทธ์ธีรา สมานมาก")</f>
        <v>นพอ.พัทธ์ธีรา สมานมาก</v>
      </c>
      <c r="G336" s="3" t="str">
        <f>IFERROR(__xludf.DUMMYFUNCTION("""COMPUTED_VALUE"""),"ช่วยเหลืองานภายใน วพอ.")</f>
        <v>ช่วยเหลืองานภายใน วพอ.</v>
      </c>
      <c r="H336" s="3" t="str">
        <f>IFERROR(__xludf.DUMMYFUNCTION("""COMPUTED_VALUE"""),"เล่นดุริยางค์")</f>
        <v>เล่นดุริยางค์</v>
      </c>
      <c r="I336" s="3" t="str">
        <f>IFERROR(__xludf.DUMMYFUNCTION("""COMPUTED_VALUE"""),"วพอ.พอ.")</f>
        <v>วพอ.พอ.</v>
      </c>
      <c r="J336" s="12">
        <f>IFERROR(__xludf.DUMMYFUNCTION("""COMPUTED_VALUE"""),45950.0)</f>
        <v>45950</v>
      </c>
      <c r="K336" s="3" t="str">
        <f>IFERROR(__xludf.DUMMYFUNCTION("""COMPUTED_VALUE"""),"0730")</f>
        <v>0730</v>
      </c>
      <c r="L336" s="3">
        <f>IFERROR(__xludf.DUMMYFUNCTION("""COMPUTED_VALUE"""),1.0)</f>
        <v>1</v>
      </c>
      <c r="M336" s="3" t="str">
        <f>IFERROR(__xludf.DUMMYFUNCTION("""COMPUTED_VALUE"""),"ร.อ.อนุชิต ทำจะดี")</f>
        <v>ร.อ.อนุชิต ทำจะดี</v>
      </c>
      <c r="N336" s="14" t="str">
        <f>IFERROR(__xludf.DUMMYFUNCTION("""COMPUTED_VALUE"""),"https://lh5.googleusercontent.com/d/1btDiuSZXqVNgIhqYuRWv27o98zsLTuF9")</f>
        <v>https://lh5.googleusercontent.com/d/1btDiuSZXqVNgIhqYuRWv27o98zsLTuF9</v>
      </c>
      <c r="O336" s="14" t="str">
        <f>IFERROR(__xludf.DUMMYFUNCTION("""COMPUTED_VALUE"""),"https://drive.google.com/file/d/1hoPwtmAPaU864NPpG4UTRVb7DPSEoAK8/view?usp=drivesdk")</f>
        <v>https://drive.google.com/file/d/1hoPwtmAPaU864NPpG4UTRVb7DPSEoAK8/view?usp=drivesdk</v>
      </c>
    </row>
    <row r="337">
      <c r="A337" s="3">
        <f>IFERROR(__xludf.DUMMYFUNCTION("""COMPUTED_VALUE"""),1764.0)</f>
        <v>1764</v>
      </c>
      <c r="B337" s="11">
        <f>IFERROR(__xludf.DUMMYFUNCTION("""COMPUTED_VALUE"""),45999.90161662037)</f>
        <v>45999.90162</v>
      </c>
      <c r="C337" s="3" t="str">
        <f>IFERROR(__xludf.DUMMYFUNCTION("""COMPUTED_VALUE"""),"ชั้นปีที่ 1")</f>
        <v>ชั้นปีที่ 1</v>
      </c>
      <c r="D337" s="3" t="str">
        <f>IFERROR(__xludf.DUMMYFUNCTION("""COMPUTED_VALUE"""),"6803883")</f>
        <v>6803883</v>
      </c>
      <c r="E337" s="3" t="str">
        <f>IFERROR(__xludf.DUMMYFUNCTION("""COMPUTED_VALUE"""),"2")</f>
        <v>2</v>
      </c>
      <c r="F337" s="3" t="str">
        <f>IFERROR(__xludf.DUMMYFUNCTION("""COMPUTED_VALUE"""),"นพอ.กรชนก หน่อทิม")</f>
        <v>นพอ.กรชนก หน่อทิม</v>
      </c>
      <c r="G337" s="3" t="str">
        <f>IFERROR(__xludf.DUMMYFUNCTION("""COMPUTED_VALUE"""),"ช่วยเหลืองานภายใน วพอ.")</f>
        <v>ช่วยเหลืองานภายใน วพอ.</v>
      </c>
      <c r="H337" s="3" t="str">
        <f>IFERROR(__xludf.DUMMYFUNCTION("""COMPUTED_VALUE"""),"เล่นดุริยางค์")</f>
        <v>เล่นดุริยางค์</v>
      </c>
      <c r="I337" s="3" t="str">
        <f>IFERROR(__xludf.DUMMYFUNCTION("""COMPUTED_VALUE"""),"วพอ.พอ.")</f>
        <v>วพอ.พอ.</v>
      </c>
      <c r="J337" s="12">
        <f>IFERROR(__xludf.DUMMYFUNCTION("""COMPUTED_VALUE"""),45950.0)</f>
        <v>45950</v>
      </c>
      <c r="K337" s="3" t="str">
        <f>IFERROR(__xludf.DUMMYFUNCTION("""COMPUTED_VALUE"""),"07.30น.")</f>
        <v>07.30น.</v>
      </c>
      <c r="L337" s="3">
        <f>IFERROR(__xludf.DUMMYFUNCTION("""COMPUTED_VALUE"""),1.0)</f>
        <v>1</v>
      </c>
      <c r="M337" s="3" t="str">
        <f>IFERROR(__xludf.DUMMYFUNCTION("""COMPUTED_VALUE"""),"ร.อ.อนุชิต ทำจะดี")</f>
        <v>ร.อ.อนุชิต ทำจะดี</v>
      </c>
      <c r="N337" s="14" t="str">
        <f>IFERROR(__xludf.DUMMYFUNCTION("""COMPUTED_VALUE"""),"https://lh5.googleusercontent.com/d/1Zs3pJw1vvcKzvBnjVddXFBEwGsZMlXix")</f>
        <v>https://lh5.googleusercontent.com/d/1Zs3pJw1vvcKzvBnjVddXFBEwGsZMlXix</v>
      </c>
      <c r="O337" s="14" t="str">
        <f>IFERROR(__xludf.DUMMYFUNCTION("""COMPUTED_VALUE"""),"https://drive.google.com/file/d/1NAjJCtLyQFdi8Qmf98ZB3RxEBaNaVGjZ/view?usp=drivesdk")</f>
        <v>https://drive.google.com/file/d/1NAjJCtLyQFdi8Qmf98ZB3RxEBaNaVGjZ/view?usp=drivesdk</v>
      </c>
    </row>
    <row r="338">
      <c r="A338" s="3">
        <f>IFERROR(__xludf.DUMMYFUNCTION("""COMPUTED_VALUE"""),1770.0)</f>
        <v>1770</v>
      </c>
      <c r="B338" s="11">
        <f>IFERROR(__xludf.DUMMYFUNCTION("""COMPUTED_VALUE"""),45999.90511255787)</f>
        <v>45999.90511</v>
      </c>
      <c r="C338" s="3" t="str">
        <f>IFERROR(__xludf.DUMMYFUNCTION("""COMPUTED_VALUE"""),"ชั้นปีที่ 1")</f>
        <v>ชั้นปีที่ 1</v>
      </c>
      <c r="D338" s="3" t="str">
        <f>IFERROR(__xludf.DUMMYFUNCTION("""COMPUTED_VALUE"""),"6803902")</f>
        <v>6803902</v>
      </c>
      <c r="E338" s="3" t="str">
        <f>IFERROR(__xludf.DUMMYFUNCTION("""COMPUTED_VALUE"""),"21")</f>
        <v>21</v>
      </c>
      <c r="F338" s="3" t="str">
        <f>IFERROR(__xludf.DUMMYFUNCTION("""COMPUTED_VALUE"""),"นพอ.ณัฐวัฒน์ บ้งพรม")</f>
        <v>นพอ.ณัฐวัฒน์ บ้งพรม</v>
      </c>
      <c r="G338" s="3" t="str">
        <f>IFERROR(__xludf.DUMMYFUNCTION("""COMPUTED_VALUE"""),"ช่วยเหลืองานภายใน วพอ.")</f>
        <v>ช่วยเหลืองานภายใน วพอ.</v>
      </c>
      <c r="H338" s="3" t="str">
        <f>IFERROR(__xludf.DUMMYFUNCTION("""COMPUTED_VALUE"""),"เล่นดุริยางค์")</f>
        <v>เล่นดุริยางค์</v>
      </c>
      <c r="I338" s="3" t="str">
        <f>IFERROR(__xludf.DUMMYFUNCTION("""COMPUTED_VALUE"""),"วพอ.พอ.")</f>
        <v>วพอ.พอ.</v>
      </c>
      <c r="J338" s="12">
        <f>IFERROR(__xludf.DUMMYFUNCTION("""COMPUTED_VALUE"""),45953.0)</f>
        <v>45953</v>
      </c>
      <c r="K338" s="3" t="str">
        <f>IFERROR(__xludf.DUMMYFUNCTION("""COMPUTED_VALUE"""),"07:00-07:40")</f>
        <v>07:00-07:40</v>
      </c>
      <c r="L338" s="3">
        <f>IFERROR(__xludf.DUMMYFUNCTION("""COMPUTED_VALUE"""),1.0)</f>
        <v>1</v>
      </c>
      <c r="M338" s="3" t="str">
        <f>IFERROR(__xludf.DUMMYFUNCTION("""COMPUTED_VALUE"""),"ร.อ.อนุชิต ทำจะดี")</f>
        <v>ร.อ.อนุชิต ทำจะดี</v>
      </c>
      <c r="N338" s="14" t="str">
        <f>IFERROR(__xludf.DUMMYFUNCTION("""COMPUTED_VALUE"""),"https://lh5.googleusercontent.com/d/10jZ9Ja7VuameeEqfiFahet9ZDnikb0py")</f>
        <v>https://lh5.googleusercontent.com/d/10jZ9Ja7VuameeEqfiFahet9ZDnikb0py</v>
      </c>
      <c r="O338" s="14" t="str">
        <f>IFERROR(__xludf.DUMMYFUNCTION("""COMPUTED_VALUE"""),"https://drive.google.com/file/d/1fQknTKZrZdb0NusNSuQ6E2U7PqJVfeho/view?usp=drivesdk")</f>
        <v>https://drive.google.com/file/d/1fQknTKZrZdb0NusNSuQ6E2U7PqJVfeho/view?usp=drivesdk</v>
      </c>
    </row>
    <row r="339">
      <c r="A339" s="3">
        <f>IFERROR(__xludf.DUMMYFUNCTION("""COMPUTED_VALUE"""),1774.0)</f>
        <v>1774</v>
      </c>
      <c r="B339" s="11">
        <f>IFERROR(__xludf.DUMMYFUNCTION("""COMPUTED_VALUE"""),45999.90661070602)</f>
        <v>45999.90661</v>
      </c>
      <c r="C339" s="3" t="str">
        <f>IFERROR(__xludf.DUMMYFUNCTION("""COMPUTED_VALUE"""),"ชั้นปีที่ 1")</f>
        <v>ชั้นปีที่ 1</v>
      </c>
      <c r="D339" s="3" t="str">
        <f>IFERROR(__xludf.DUMMYFUNCTION("""COMPUTED_VALUE"""),"6803920")</f>
        <v>6803920</v>
      </c>
      <c r="E339" s="3" t="str">
        <f>IFERROR(__xludf.DUMMYFUNCTION("""COMPUTED_VALUE"""),"39")</f>
        <v>39</v>
      </c>
      <c r="F339" s="3" t="str">
        <f>IFERROR(__xludf.DUMMYFUNCTION("""COMPUTED_VALUE"""),"นพอ.พัทธ์ธีรา สมานมาก")</f>
        <v>นพอ.พัทธ์ธีรา สมานมาก</v>
      </c>
      <c r="G339" s="3" t="str">
        <f>IFERROR(__xludf.DUMMYFUNCTION("""COMPUTED_VALUE"""),"งานฟรีทั่วไป")</f>
        <v>งานฟรีทั่วไป</v>
      </c>
      <c r="H339" s="3" t="str">
        <f>IFERROR(__xludf.DUMMYFUNCTION("""COMPUTED_VALUE"""),"ทำความสะอาดบ้าน")</f>
        <v>ทำความสะอาดบ้าน</v>
      </c>
      <c r="I339" s="3" t="str">
        <f>IFERROR(__xludf.DUMMYFUNCTION("""COMPUTED_VALUE"""),"บ้านเลขที่ 91/111 หมู่บ้านสิริทัศน์ ")</f>
        <v>บ้านเลขที่ 91/111 หมู่บ้านสิริทัศน์ </v>
      </c>
      <c r="J339" s="12">
        <f>IFERROR(__xludf.DUMMYFUNCTION("""COMPUTED_VALUE"""),45997.0)</f>
        <v>45997</v>
      </c>
      <c r="K339" s="3" t="str">
        <f>IFERROR(__xludf.DUMMYFUNCTION("""COMPUTED_VALUE"""),"0800 - 1200")</f>
        <v>0800 - 1200</v>
      </c>
      <c r="L339" s="3">
        <f>IFERROR(__xludf.DUMMYFUNCTION("""COMPUTED_VALUE"""),4.0)</f>
        <v>4</v>
      </c>
      <c r="M339" s="3" t="str">
        <f>IFERROR(__xludf.DUMMYFUNCTION("""COMPUTED_VALUE"""),"นางยุวดี สมานมาก")</f>
        <v>นางยุวดี สมานมาก</v>
      </c>
      <c r="N339" s="14" t="str">
        <f>IFERROR(__xludf.DUMMYFUNCTION("""COMPUTED_VALUE"""),"https://lh5.googleusercontent.com/d/1L5Iy8GHvFD3W82G5SzqGEZIQuVgl_tVm")</f>
        <v>https://lh5.googleusercontent.com/d/1L5Iy8GHvFD3W82G5SzqGEZIQuVgl_tVm</v>
      </c>
      <c r="O339" s="14" t="str">
        <f>IFERROR(__xludf.DUMMYFUNCTION("""COMPUTED_VALUE"""),"https://drive.google.com/file/d/1fmLR77aGfnoBbovtNdmpmVU7lX6HE7Ho/view?usp=drivesdk")</f>
        <v>https://drive.google.com/file/d/1fmLR77aGfnoBbovtNdmpmVU7lX6HE7Ho/view?usp=drivesdk</v>
      </c>
    </row>
    <row r="340">
      <c r="A340" s="3">
        <f>IFERROR(__xludf.DUMMYFUNCTION("""COMPUTED_VALUE"""),1777.0)</f>
        <v>1777</v>
      </c>
      <c r="B340" s="11">
        <f>IFERROR(__xludf.DUMMYFUNCTION("""COMPUTED_VALUE"""),45999.90794065972)</f>
        <v>45999.90794</v>
      </c>
      <c r="C340" s="3" t="str">
        <f>IFERROR(__xludf.DUMMYFUNCTION("""COMPUTED_VALUE"""),"ชั้นปีที่ 1")</f>
        <v>ชั้นปีที่ 1</v>
      </c>
      <c r="D340" s="3" t="str">
        <f>IFERROR(__xludf.DUMMYFUNCTION("""COMPUTED_VALUE"""),"6803928")</f>
        <v>6803928</v>
      </c>
      <c r="E340" s="3" t="str">
        <f>IFERROR(__xludf.DUMMYFUNCTION("""COMPUTED_VALUE"""),"47")</f>
        <v>47</v>
      </c>
      <c r="F340" s="3" t="str">
        <f>IFERROR(__xludf.DUMMYFUNCTION("""COMPUTED_VALUE"""),"นพอ.มนัญชยา สุขพี้")</f>
        <v>นพอ.มนัญชยา สุขพี้</v>
      </c>
      <c r="G340" s="3" t="str">
        <f>IFERROR(__xludf.DUMMYFUNCTION("""COMPUTED_VALUE"""),"ช่วยเหลืองานภายใน วพอ.")</f>
        <v>ช่วยเหลืองานภายใน วพอ.</v>
      </c>
      <c r="H340" s="3" t="str">
        <f>IFERROR(__xludf.DUMMYFUNCTION("""COMPUTED_VALUE"""),"ช่วยทำบัญชีรายรับรายจ่าย")</f>
        <v>ช่วยทำบัญชีรายรับรายจ่าย</v>
      </c>
      <c r="I340" s="3" t="str">
        <f>IFERROR(__xludf.DUMMYFUNCTION("""COMPUTED_VALUE"""),"วิทยาลัยพยาบาลทหารอากาศ")</f>
        <v>วิทยาลัยพยาบาลทหารอากาศ</v>
      </c>
      <c r="J340" s="12">
        <f>IFERROR(__xludf.DUMMYFUNCTION("""COMPUTED_VALUE"""),45999.0)</f>
        <v>45999</v>
      </c>
      <c r="K340" s="3" t="str">
        <f>IFERROR(__xludf.DUMMYFUNCTION("""COMPUTED_VALUE"""),"2000-2100")</f>
        <v>2000-2100</v>
      </c>
      <c r="L340" s="3">
        <f>IFERROR(__xludf.DUMMYFUNCTION("""COMPUTED_VALUE"""),2.0)</f>
        <v>2</v>
      </c>
      <c r="M340" s="3" t="str">
        <f>IFERROR(__xludf.DUMMYFUNCTION("""COMPUTED_VALUE"""),"น.ท. หญิง ภัทรมน ทับสูงเนิน")</f>
        <v>น.ท. หญิง ภัทรมน ทับสูงเนิน</v>
      </c>
      <c r="N340" s="14" t="str">
        <f>IFERROR(__xludf.DUMMYFUNCTION("""COMPUTED_VALUE"""),"https://lh5.googleusercontent.com/d/10f7Xj4yaTI984OmjwbbfbI7esR6Zuukb")</f>
        <v>https://lh5.googleusercontent.com/d/10f7Xj4yaTI984OmjwbbfbI7esR6Zuukb</v>
      </c>
      <c r="O340" s="14" t="str">
        <f>IFERROR(__xludf.DUMMYFUNCTION("""COMPUTED_VALUE"""),"https://drive.google.com/file/d/1VlmrlNyXScGvom8tS-9TVSZddukOA-_N/view?usp=drivesdk")</f>
        <v>https://drive.google.com/file/d/1VlmrlNyXScGvom8tS-9TVSZddukOA-_N/view?usp=drivesdk</v>
      </c>
    </row>
    <row r="341">
      <c r="A341" s="3">
        <f>IFERROR(__xludf.DUMMYFUNCTION("""COMPUTED_VALUE"""),1778.0)</f>
        <v>1778</v>
      </c>
      <c r="B341" s="11">
        <f>IFERROR(__xludf.DUMMYFUNCTION("""COMPUTED_VALUE"""),45999.90888747685)</f>
        <v>45999.90889</v>
      </c>
      <c r="C341" s="3" t="str">
        <f>IFERROR(__xludf.DUMMYFUNCTION("""COMPUTED_VALUE"""),"ชั้นปีที่ 1")</f>
        <v>ชั้นปีที่ 1</v>
      </c>
      <c r="D341" s="3" t="str">
        <f>IFERROR(__xludf.DUMMYFUNCTION("""COMPUTED_VALUE"""),"6803943")</f>
        <v>6803943</v>
      </c>
      <c r="E341" s="3" t="str">
        <f>IFERROR(__xludf.DUMMYFUNCTION("""COMPUTED_VALUE"""),"62")</f>
        <v>62</v>
      </c>
      <c r="F341" s="3" t="str">
        <f>IFERROR(__xludf.DUMMYFUNCTION("""COMPUTED_VALUE"""),"นพอ.อภิสรา บุญเกื้อ")</f>
        <v>นพอ.อภิสรา บุญเกื้อ</v>
      </c>
      <c r="G341" s="3" t="str">
        <f>IFERROR(__xludf.DUMMYFUNCTION("""COMPUTED_VALUE"""),"งานฟรีทั่วไป")</f>
        <v>งานฟรีทั่วไป</v>
      </c>
      <c r="H341" s="3" t="str">
        <f>IFERROR(__xludf.DUMMYFUNCTION("""COMPUTED_VALUE"""),"กวาดบ้าน")</f>
        <v>กวาดบ้าน</v>
      </c>
      <c r="I341" s="3" t="str">
        <f>IFERROR(__xludf.DUMMYFUNCTION("""COMPUTED_VALUE"""),"บ้าน")</f>
        <v>บ้าน</v>
      </c>
      <c r="J341" s="12">
        <f>IFERROR(__xludf.DUMMYFUNCTION("""COMPUTED_VALUE"""),45969.0)</f>
        <v>45969</v>
      </c>
      <c r="K341" s="3" t="str">
        <f>IFERROR(__xludf.DUMMYFUNCTION("""COMPUTED_VALUE"""),"0900")</f>
        <v>0900</v>
      </c>
      <c r="L341" s="3">
        <f>IFERROR(__xludf.DUMMYFUNCTION("""COMPUTED_VALUE"""),4.0)</f>
        <v>4</v>
      </c>
      <c r="M341" s="3" t="str">
        <f>IFERROR(__xludf.DUMMYFUNCTION("""COMPUTED_VALUE"""),"นางสรัญญา บุญเกื้อ")</f>
        <v>นางสรัญญา บุญเกื้อ</v>
      </c>
      <c r="N341" s="14" t="str">
        <f>IFERROR(__xludf.DUMMYFUNCTION("""COMPUTED_VALUE"""),"https://lh5.googleusercontent.com/d/1ZzGbXuF_SEzah2LX6OjeWMEasl-cYPyh")</f>
        <v>https://lh5.googleusercontent.com/d/1ZzGbXuF_SEzah2LX6OjeWMEasl-cYPyh</v>
      </c>
      <c r="O341" s="14" t="str">
        <f>IFERROR(__xludf.DUMMYFUNCTION("""COMPUTED_VALUE"""),"https://drive.google.com/file/d/11FLvK33ES0t_ywHL6QrCcKPUSapkRdhW/view?usp=drivesdk")</f>
        <v>https://drive.google.com/file/d/11FLvK33ES0t_ywHL6QrCcKPUSapkRdhW/view?usp=drivesdk</v>
      </c>
    </row>
    <row r="342">
      <c r="A342" s="3">
        <f>IFERROR(__xludf.DUMMYFUNCTION("""COMPUTED_VALUE"""),1780.0)</f>
        <v>1780</v>
      </c>
      <c r="B342" s="11">
        <f>IFERROR(__xludf.DUMMYFUNCTION("""COMPUTED_VALUE"""),45999.90950380787)</f>
        <v>45999.9095</v>
      </c>
      <c r="C342" s="3" t="str">
        <f>IFERROR(__xludf.DUMMYFUNCTION("""COMPUTED_VALUE"""),"ชั้นปีที่ 1")</f>
        <v>ชั้นปีที่ 1</v>
      </c>
      <c r="D342" s="3" t="str">
        <f>IFERROR(__xludf.DUMMYFUNCTION("""COMPUTED_VALUE"""),"6803920")</f>
        <v>6803920</v>
      </c>
      <c r="E342" s="3" t="str">
        <f>IFERROR(__xludf.DUMMYFUNCTION("""COMPUTED_VALUE"""),"39")</f>
        <v>39</v>
      </c>
      <c r="F342" s="3" t="str">
        <f>IFERROR(__xludf.DUMMYFUNCTION("""COMPUTED_VALUE"""),"นพอ.พัทธ์ธีรา สมานมาก")</f>
        <v>นพอ.พัทธ์ธีรา สมานมาก</v>
      </c>
      <c r="G342" s="3" t="str">
        <f>IFERROR(__xludf.DUMMYFUNCTION("""COMPUTED_VALUE"""),"งานฟรีทั่วไป")</f>
        <v>งานฟรีทั่วไป</v>
      </c>
      <c r="H342" s="3" t="str">
        <f>IFERROR(__xludf.DUMMYFUNCTION("""COMPUTED_VALUE"""),"ทำความสะอาดบ้าน")</f>
        <v>ทำความสะอาดบ้าน</v>
      </c>
      <c r="I342" s="3" t="str">
        <f>IFERROR(__xludf.DUMMYFUNCTION("""COMPUTED_VALUE"""),"บ้านเลขที่ 91/111 หมู่บ้านสิริทัศน์")</f>
        <v>บ้านเลขที่ 91/111 หมู่บ้านสิริทัศน์</v>
      </c>
      <c r="J342" s="12">
        <f>IFERROR(__xludf.DUMMYFUNCTION("""COMPUTED_VALUE"""),45998.0)</f>
        <v>45998</v>
      </c>
      <c r="K342" s="3" t="str">
        <f>IFERROR(__xludf.DUMMYFUNCTION("""COMPUTED_VALUE"""),"0700 - 1100")</f>
        <v>0700 - 1100</v>
      </c>
      <c r="L342" s="3">
        <f>IFERROR(__xludf.DUMMYFUNCTION("""COMPUTED_VALUE"""),4.0)</f>
        <v>4</v>
      </c>
      <c r="M342" s="3" t="str">
        <f>IFERROR(__xludf.DUMMYFUNCTION("""COMPUTED_VALUE"""),"นางยุวดี สมานมาก")</f>
        <v>นางยุวดี สมานมาก</v>
      </c>
      <c r="N342" s="14" t="str">
        <f>IFERROR(__xludf.DUMMYFUNCTION("""COMPUTED_VALUE"""),"https://lh5.googleusercontent.com/d/1n3lssVseHrd3Z8FMvz7Q63rWdPhqD3MM")</f>
        <v>https://lh5.googleusercontent.com/d/1n3lssVseHrd3Z8FMvz7Q63rWdPhqD3MM</v>
      </c>
      <c r="O342" s="14" t="str">
        <f>IFERROR(__xludf.DUMMYFUNCTION("""COMPUTED_VALUE"""),"https://drive.google.com/file/d/1mSQIE4k8EqIQhBK_s4nKssutEjn_eXC1/view?usp=drivesdk")</f>
        <v>https://drive.google.com/file/d/1mSQIE4k8EqIQhBK_s4nKssutEjn_eXC1/view?usp=drivesdk</v>
      </c>
    </row>
    <row r="343">
      <c r="A343" s="3">
        <f>IFERROR(__xludf.DUMMYFUNCTION("""COMPUTED_VALUE"""),1785.0)</f>
        <v>1785</v>
      </c>
      <c r="B343" s="11">
        <f>IFERROR(__xludf.DUMMYFUNCTION("""COMPUTED_VALUE"""),45999.911895300924)</f>
        <v>45999.9119</v>
      </c>
      <c r="C343" s="3" t="str">
        <f>IFERROR(__xludf.DUMMYFUNCTION("""COMPUTED_VALUE"""),"ชั้นปีที่ 1")</f>
        <v>ชั้นปีที่ 1</v>
      </c>
      <c r="D343" s="3" t="str">
        <f>IFERROR(__xludf.DUMMYFUNCTION("""COMPUTED_VALUE"""),"6803898")</f>
        <v>6803898</v>
      </c>
      <c r="E343" s="3" t="str">
        <f>IFERROR(__xludf.DUMMYFUNCTION("""COMPUTED_VALUE"""),"17")</f>
        <v>17</v>
      </c>
      <c r="F343" s="3" t="str">
        <f>IFERROR(__xludf.DUMMYFUNCTION("""COMPUTED_VALUE"""),"นพอ.ณัฐณิชา ทิพย์โอสถ")</f>
        <v>นพอ.ณัฐณิชา ทิพย์โอสถ</v>
      </c>
      <c r="G343" s="3" t="str">
        <f>IFERROR(__xludf.DUMMYFUNCTION("""COMPUTED_VALUE"""),"ช่วยเหลืองานภายใน วพอ.")</f>
        <v>ช่วยเหลืองานภายใน วพอ.</v>
      </c>
      <c r="H343" s="3" t="str">
        <f>IFERROR(__xludf.DUMMYFUNCTION("""COMPUTED_VALUE"""),"เหรัญญิกชั้นปีที่ 1")</f>
        <v>เหรัญญิกชั้นปีที่ 1</v>
      </c>
      <c r="I343" s="3" t="str">
        <f>IFERROR(__xludf.DUMMYFUNCTION("""COMPUTED_VALUE"""),"วิทยาลัยพยาบาลทหารอากาศ")</f>
        <v>วิทยาลัยพยาบาลทหารอากาศ</v>
      </c>
      <c r="J343" s="12">
        <f>IFERROR(__xludf.DUMMYFUNCTION("""COMPUTED_VALUE"""),45967.0)</f>
        <v>45967</v>
      </c>
      <c r="K343" s="3" t="str">
        <f>IFERROR(__xludf.DUMMYFUNCTION("""COMPUTED_VALUE"""),"0800-1600")</f>
        <v>0800-1600</v>
      </c>
      <c r="L343" s="3">
        <f>IFERROR(__xludf.DUMMYFUNCTION("""COMPUTED_VALUE"""),4.0)</f>
        <v>4</v>
      </c>
      <c r="M343" s="3" t="str">
        <f>IFERROR(__xludf.DUMMYFUNCTION("""COMPUTED_VALUE"""),"ร.อ.ฤทธิพล อ้วนสิงห์")</f>
        <v>ร.อ.ฤทธิพล อ้วนสิงห์</v>
      </c>
      <c r="N343" s="14" t="str">
        <f>IFERROR(__xludf.DUMMYFUNCTION("""COMPUTED_VALUE"""),"https://lh5.googleusercontent.com/d/1e_JeTnukoKno22oScHJVfXwrwhhpTjr4")</f>
        <v>https://lh5.googleusercontent.com/d/1e_JeTnukoKno22oScHJVfXwrwhhpTjr4</v>
      </c>
      <c r="O343" s="14" t="str">
        <f>IFERROR(__xludf.DUMMYFUNCTION("""COMPUTED_VALUE"""),"https://drive.google.com/file/d/1iBCDzNTxI-bwXnGBuveNjjBL2CZ8TI90/view?usp=drivesdk")</f>
        <v>https://drive.google.com/file/d/1iBCDzNTxI-bwXnGBuveNjjBL2CZ8TI90/view?usp=drivesdk</v>
      </c>
    </row>
    <row r="344">
      <c r="A344" s="3">
        <f>IFERROR(__xludf.DUMMYFUNCTION("""COMPUTED_VALUE"""),1792.0)</f>
        <v>1792</v>
      </c>
      <c r="B344" s="11">
        <f>IFERROR(__xludf.DUMMYFUNCTION("""COMPUTED_VALUE"""),45999.915600659726)</f>
        <v>45999.9156</v>
      </c>
      <c r="C344" s="3" t="str">
        <f>IFERROR(__xludf.DUMMYFUNCTION("""COMPUTED_VALUE"""),"ชั้นปีที่ 1")</f>
        <v>ชั้นปีที่ 1</v>
      </c>
      <c r="D344" s="3" t="str">
        <f>IFERROR(__xludf.DUMMYFUNCTION("""COMPUTED_VALUE"""),"6803928")</f>
        <v>6803928</v>
      </c>
      <c r="E344" s="3" t="str">
        <f>IFERROR(__xludf.DUMMYFUNCTION("""COMPUTED_VALUE"""),"47")</f>
        <v>47</v>
      </c>
      <c r="F344" s="3" t="str">
        <f>IFERROR(__xludf.DUMMYFUNCTION("""COMPUTED_VALUE"""),"นพอ.มนัญชยา สุขพี้")</f>
        <v>นพอ.มนัญชยา สุขพี้</v>
      </c>
      <c r="G344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44" s="3" t="str">
        <f>IFERROR(__xludf.DUMMYFUNCTION("""COMPUTED_VALUE"""),"ลงนามถวายพระพร")</f>
        <v>ลงนามถวายพระพร</v>
      </c>
      <c r="I344" s="3" t="str">
        <f>IFERROR(__xludf.DUMMYFUNCTION("""COMPUTED_VALUE"""),"วิทยาลัยพยาบาลทหารอากาศ")</f>
        <v>วิทยาลัยพยาบาลทหารอากาศ</v>
      </c>
      <c r="J344" s="12">
        <f>IFERROR(__xludf.DUMMYFUNCTION("""COMPUTED_VALUE"""),45981.0)</f>
        <v>45981</v>
      </c>
      <c r="K344" s="3" t="str">
        <f>IFERROR(__xludf.DUMMYFUNCTION("""COMPUTED_VALUE"""),"1200-1300")</f>
        <v>1200-1300</v>
      </c>
      <c r="L344" s="3">
        <f>IFERROR(__xludf.DUMMYFUNCTION("""COMPUTED_VALUE"""),1.0)</f>
        <v>1</v>
      </c>
      <c r="M344" s="3" t="str">
        <f>IFERROR(__xludf.DUMMYFUNCTION("""COMPUTED_VALUE"""),"วิทยาลัยพยาบาลทหารอากาศ")</f>
        <v>วิทยาลัยพยาบาลทหารอากาศ</v>
      </c>
      <c r="N344" s="14" t="str">
        <f>IFERROR(__xludf.DUMMYFUNCTION("""COMPUTED_VALUE"""),"https://lh5.googleusercontent.com/d/1-4aNlufh46DUjK2uP9FHgIso4WXT4X_B")</f>
        <v>https://lh5.googleusercontent.com/d/1-4aNlufh46DUjK2uP9FHgIso4WXT4X_B</v>
      </c>
      <c r="O344" s="14" t="str">
        <f>IFERROR(__xludf.DUMMYFUNCTION("""COMPUTED_VALUE"""),"https://drive.google.com/file/d/1qk1lLqp3iS1eLjh_FnFeWZoNijNKYCPp/view?usp=drivesdk")</f>
        <v>https://drive.google.com/file/d/1qk1lLqp3iS1eLjh_FnFeWZoNijNKYCPp/view?usp=drivesdk</v>
      </c>
    </row>
    <row r="345">
      <c r="A345" s="3">
        <f>IFERROR(__xludf.DUMMYFUNCTION("""COMPUTED_VALUE"""),1796.0)</f>
        <v>1796</v>
      </c>
      <c r="B345" s="11">
        <f>IFERROR(__xludf.DUMMYFUNCTION("""COMPUTED_VALUE"""),45999.9182343287)</f>
        <v>45999.91823</v>
      </c>
      <c r="C345" s="3" t="str">
        <f>IFERROR(__xludf.DUMMYFUNCTION("""COMPUTED_VALUE"""),"ชั้นปีที่ 1")</f>
        <v>ชั้นปีที่ 1</v>
      </c>
      <c r="D345" s="3" t="str">
        <f>IFERROR(__xludf.DUMMYFUNCTION("""COMPUTED_VALUE"""),"6803920")</f>
        <v>6803920</v>
      </c>
      <c r="E345" s="3" t="str">
        <f>IFERROR(__xludf.DUMMYFUNCTION("""COMPUTED_VALUE"""),"39")</f>
        <v>39</v>
      </c>
      <c r="F345" s="3" t="str">
        <f>IFERROR(__xludf.DUMMYFUNCTION("""COMPUTED_VALUE"""),"นพอ.พัทธ์ธีรา สมานมาก")</f>
        <v>นพอ.พัทธ์ธีรา สมานมาก</v>
      </c>
      <c r="G34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5" s="3" t="str">
        <f>IFERROR(__xludf.DUMMYFUNCTION("""COMPUTED_VALUE"""),"กาชาด")</f>
        <v>กาชาด</v>
      </c>
      <c r="I345" s="3" t="str">
        <f>IFERROR(__xludf.DUMMYFUNCTION("""COMPUTED_VALUE"""),"สวนลุมพินี กรุงเทพฯ")</f>
        <v>สวนลุมพินี กรุงเทพฯ</v>
      </c>
      <c r="J345" s="12">
        <f>IFERROR(__xludf.DUMMYFUNCTION("""COMPUTED_VALUE"""),46002.0)</f>
        <v>46002</v>
      </c>
      <c r="K345" s="3" t="str">
        <f>IFERROR(__xludf.DUMMYFUNCTION("""COMPUTED_VALUE"""),"1500")</f>
        <v>1500</v>
      </c>
      <c r="L345" s="3">
        <f>IFERROR(__xludf.DUMMYFUNCTION("""COMPUTED_VALUE"""),8.0)</f>
        <v>8</v>
      </c>
      <c r="M345" s="3" t="str">
        <f>IFERROR(__xludf.DUMMYFUNCTION("""COMPUTED_VALUE"""),"น.ต.ศักชัย บุญประสิทธิ์")</f>
        <v>น.ต.ศักชัย บุญประสิทธิ์</v>
      </c>
      <c r="N345" s="14" t="str">
        <f>IFERROR(__xludf.DUMMYFUNCTION("""COMPUTED_VALUE"""),"https://lh5.googleusercontent.com/d/17LN6NzqPxcpvP52o9Kx5pXR0F4O92tIz")</f>
        <v>https://lh5.googleusercontent.com/d/17LN6NzqPxcpvP52o9Kx5pXR0F4O92tIz</v>
      </c>
      <c r="O345" s="14" t="str">
        <f>IFERROR(__xludf.DUMMYFUNCTION("""COMPUTED_VALUE"""),"https://drive.google.com/file/d/1Of6OaObs8q2kKPlkG6qG90b_cIwMX6fw/view?usp=drivesdk")</f>
        <v>https://drive.google.com/file/d/1Of6OaObs8q2kKPlkG6qG90b_cIwMX6fw/view?usp=drivesdk</v>
      </c>
    </row>
    <row r="346">
      <c r="A346" s="3">
        <f>IFERROR(__xludf.DUMMYFUNCTION("""COMPUTED_VALUE"""),1802.0)</f>
        <v>1802</v>
      </c>
      <c r="B346" s="11">
        <f>IFERROR(__xludf.DUMMYFUNCTION("""COMPUTED_VALUE"""),45999.922590937495)</f>
        <v>45999.92259</v>
      </c>
      <c r="C346" s="3" t="str">
        <f>IFERROR(__xludf.DUMMYFUNCTION("""COMPUTED_VALUE"""),"ชั้นปีที่ 1")</f>
        <v>ชั้นปีที่ 1</v>
      </c>
      <c r="D346" s="3" t="str">
        <f>IFERROR(__xludf.DUMMYFUNCTION("""COMPUTED_VALUE"""),"6803928")</f>
        <v>6803928</v>
      </c>
      <c r="E346" s="3" t="str">
        <f>IFERROR(__xludf.DUMMYFUNCTION("""COMPUTED_VALUE"""),"47")</f>
        <v>47</v>
      </c>
      <c r="F346" s="3" t="str">
        <f>IFERROR(__xludf.DUMMYFUNCTION("""COMPUTED_VALUE"""),"นพอ.มนัญชยา สุขพี้")</f>
        <v>นพอ.มนัญชยา สุขพี้</v>
      </c>
      <c r="G346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46" s="3" t="str">
        <f>IFERROR(__xludf.DUMMYFUNCTION("""COMPUTED_VALUE"""),"กวาดลานวัด")</f>
        <v>กวาดลานวัด</v>
      </c>
      <c r="I346" s="3" t="str">
        <f>IFERROR(__xludf.DUMMYFUNCTION("""COMPUTED_VALUE"""),"วัดห้วยมะระ")</f>
        <v>วัดห้วยมะระ</v>
      </c>
      <c r="J346" s="12">
        <f>IFERROR(__xludf.DUMMYFUNCTION("""COMPUTED_VALUE"""),45990.0)</f>
        <v>45990</v>
      </c>
      <c r="K346" s="3" t="str">
        <f>IFERROR(__xludf.DUMMYFUNCTION("""COMPUTED_VALUE"""),"1700-1800")</f>
        <v>1700-1800</v>
      </c>
      <c r="L346" s="3">
        <f>IFERROR(__xludf.DUMMYFUNCTION("""COMPUTED_VALUE"""),4.0)</f>
        <v>4</v>
      </c>
      <c r="M346" s="3" t="str">
        <f>IFERROR(__xludf.DUMMYFUNCTION("""COMPUTED_VALUE"""),"พระอธิการสมโภชน์ จนฺทโชโต")</f>
        <v>พระอธิการสมโภชน์ จนฺทโชโต</v>
      </c>
      <c r="N346" s="14" t="str">
        <f>IFERROR(__xludf.DUMMYFUNCTION("""COMPUTED_VALUE"""),"https://lh5.googleusercontent.com/d/1HZ8OKLEOYw5GKVc_KXbC1iImQ786WK-n")</f>
        <v>https://lh5.googleusercontent.com/d/1HZ8OKLEOYw5GKVc_KXbC1iImQ786WK-n</v>
      </c>
      <c r="O346" s="14" t="str">
        <f>IFERROR(__xludf.DUMMYFUNCTION("""COMPUTED_VALUE"""),"https://drive.google.com/file/d/1LbTVD2S137RPZPaZftwW-IYTI39lRpS8/view?usp=drivesdk")</f>
        <v>https://drive.google.com/file/d/1LbTVD2S137RPZPaZftwW-IYTI39lRpS8/view?usp=drivesdk</v>
      </c>
    </row>
    <row r="347">
      <c r="A347" s="3">
        <f>IFERROR(__xludf.DUMMYFUNCTION("""COMPUTED_VALUE"""),1803.0)</f>
        <v>1803</v>
      </c>
      <c r="B347" s="11">
        <f>IFERROR(__xludf.DUMMYFUNCTION("""COMPUTED_VALUE"""),45999.92330635417)</f>
        <v>45999.92331</v>
      </c>
      <c r="C347" s="3" t="str">
        <f>IFERROR(__xludf.DUMMYFUNCTION("""COMPUTED_VALUE"""),"ชั้นปีที่ 1")</f>
        <v>ชั้นปีที่ 1</v>
      </c>
      <c r="D347" s="3" t="str">
        <f>IFERROR(__xludf.DUMMYFUNCTION("""COMPUTED_VALUE"""),"6803885")</f>
        <v>6803885</v>
      </c>
      <c r="E347" s="3" t="str">
        <f>IFERROR(__xludf.DUMMYFUNCTION("""COMPUTED_VALUE"""),"4")</f>
        <v>4</v>
      </c>
      <c r="F347" s="3" t="str">
        <f>IFERROR(__xludf.DUMMYFUNCTION("""COMPUTED_VALUE"""),"นพอ.กษิดิ์เดช เอมอานนท์")</f>
        <v>นพอ.กษิดิ์เดช เอมอานนท์</v>
      </c>
      <c r="G3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47" s="3" t="str">
        <f>IFERROR(__xludf.DUMMYFUNCTION("""COMPUTED_VALUE"""),"การจัดอบรมบรรยายพิเศษ ด้านการประชาสัมพันธ์")</f>
        <v>การจัดอบรมบรรยายพิเศษ ด้านการประชาสัมพันธ์</v>
      </c>
      <c r="I347" s="3" t="str">
        <f>IFERROR(__xludf.DUMMYFUNCTION("""COMPUTED_VALUE"""),"ห้องบรรยาย บก.ทอ.")</f>
        <v>ห้องบรรยาย บก.ทอ.</v>
      </c>
      <c r="J347" s="12">
        <f>IFERROR(__xludf.DUMMYFUNCTION("""COMPUTED_VALUE"""),45889.0)</f>
        <v>45889</v>
      </c>
      <c r="K347" s="3" t="str">
        <f>IFERROR(__xludf.DUMMYFUNCTION("""COMPUTED_VALUE"""),"-")</f>
        <v>-</v>
      </c>
      <c r="L347" s="3">
        <f>IFERROR(__xludf.DUMMYFUNCTION("""COMPUTED_VALUE"""),4.0)</f>
        <v>4</v>
      </c>
      <c r="M347" s="3" t="str">
        <f>IFERROR(__xludf.DUMMYFUNCTION("""COMPUTED_VALUE"""),"ร.อ.อนุชิต ทำจะดี")</f>
        <v>ร.อ.อนุชิต ทำจะดี</v>
      </c>
      <c r="N347" s="14" t="str">
        <f>IFERROR(__xludf.DUMMYFUNCTION("""COMPUTED_VALUE"""),"https://lh5.googleusercontent.com/d/1MBbLwT6gsMlD6F7mGAM0Vc5mG6jfNop5")</f>
        <v>https://lh5.googleusercontent.com/d/1MBbLwT6gsMlD6F7mGAM0Vc5mG6jfNop5</v>
      </c>
      <c r="O347" s="14" t="str">
        <f>IFERROR(__xludf.DUMMYFUNCTION("""COMPUTED_VALUE"""),"https://drive.google.com/file/d/19TtSxKDwI6XC8OFlA4oltcf50tsukvAu/view?usp=drivesdk")</f>
        <v>https://drive.google.com/file/d/19TtSxKDwI6XC8OFlA4oltcf50tsukvAu/view?usp=drivesdk</v>
      </c>
    </row>
    <row r="348">
      <c r="A348" s="3">
        <f>IFERROR(__xludf.DUMMYFUNCTION("""COMPUTED_VALUE"""),1806.0)</f>
        <v>1806</v>
      </c>
      <c r="B348" s="11">
        <f>IFERROR(__xludf.DUMMYFUNCTION("""COMPUTED_VALUE"""),45999.925400925924)</f>
        <v>45999.9254</v>
      </c>
      <c r="C348" s="3" t="str">
        <f>IFERROR(__xludf.DUMMYFUNCTION("""COMPUTED_VALUE"""),"ชั้นปีที่ 1")</f>
        <v>ชั้นปีที่ 1</v>
      </c>
      <c r="D348" s="3" t="str">
        <f>IFERROR(__xludf.DUMMYFUNCTION("""COMPUTED_VALUE"""),"6803920")</f>
        <v>6803920</v>
      </c>
      <c r="E348" s="3" t="str">
        <f>IFERROR(__xludf.DUMMYFUNCTION("""COMPUTED_VALUE"""),"39")</f>
        <v>39</v>
      </c>
      <c r="F348" s="3" t="str">
        <f>IFERROR(__xludf.DUMMYFUNCTION("""COMPUTED_VALUE"""),"นพอ.พัทธ์ธีรา สมานมาก")</f>
        <v>นพอ.พัทธ์ธีรา สมานมาก</v>
      </c>
      <c r="G348" s="3" t="str">
        <f>IFERROR(__xludf.DUMMYFUNCTION("""COMPUTED_VALUE"""),"ช่วยเหลืองานภายใน วพอ.")</f>
        <v>ช่วยเหลืองานภายใน วพอ.</v>
      </c>
      <c r="H348" s="3" t="str">
        <f>IFERROR(__xludf.DUMMYFUNCTION("""COMPUTED_VALUE"""),"จัดสถานที่สวนสนาม(ไม่มีภาพขณะปฏิบัติหน้าที่)")</f>
        <v>จัดสถานที่สวนสนาม(ไม่มีภาพขณะปฏิบัติหน้าที่)</v>
      </c>
      <c r="I348" s="3" t="str">
        <f>IFERROR(__xludf.DUMMYFUNCTION("""COMPUTED_VALUE"""),"วพอ.พอ.")</f>
        <v>วพอ.พอ.</v>
      </c>
      <c r="J348" s="12">
        <f>IFERROR(__xludf.DUMMYFUNCTION("""COMPUTED_VALUE"""),45928.0)</f>
        <v>45928</v>
      </c>
      <c r="K348" s="3" t="str">
        <f>IFERROR(__xludf.DUMMYFUNCTION("""COMPUTED_VALUE"""),"1000")</f>
        <v>1000</v>
      </c>
      <c r="L348" s="3">
        <f>IFERROR(__xludf.DUMMYFUNCTION("""COMPUTED_VALUE"""),5.0)</f>
        <v>5</v>
      </c>
      <c r="M348" s="3" t="str">
        <f>IFERROR(__xludf.DUMMYFUNCTION("""COMPUTED_VALUE"""),"ร.อ.อนุชิต ทำจะดี")</f>
        <v>ร.อ.อนุชิต ทำจะดี</v>
      </c>
      <c r="N348" s="14" t="str">
        <f>IFERROR(__xludf.DUMMYFUNCTION("""COMPUTED_VALUE"""),"https://lh5.googleusercontent.com/d/1p6jKy5VXzKJk-Je9YLrJ0Xml7Wid25Rq")</f>
        <v>https://lh5.googleusercontent.com/d/1p6jKy5VXzKJk-Je9YLrJ0Xml7Wid25Rq</v>
      </c>
      <c r="O348" s="14" t="str">
        <f>IFERROR(__xludf.DUMMYFUNCTION("""COMPUTED_VALUE"""),"https://drive.google.com/file/d/1SF6ddX24_kGC77qGrggl2-_i2uo4j_qE/view?usp=drivesdk")</f>
        <v>https://drive.google.com/file/d/1SF6ddX24_kGC77qGrggl2-_i2uo4j_qE/view?usp=drivesdk</v>
      </c>
    </row>
    <row r="349">
      <c r="A349" s="3">
        <f>IFERROR(__xludf.DUMMYFUNCTION("""COMPUTED_VALUE"""),1813.0)</f>
        <v>1813</v>
      </c>
      <c r="B349" s="11">
        <f>IFERROR(__xludf.DUMMYFUNCTION("""COMPUTED_VALUE"""),45999.93395663195)</f>
        <v>45999.93396</v>
      </c>
      <c r="C349" s="3" t="str">
        <f>IFERROR(__xludf.DUMMYFUNCTION("""COMPUTED_VALUE"""),"ชั้นปีที่ 1")</f>
        <v>ชั้นปีที่ 1</v>
      </c>
      <c r="D349" s="3" t="str">
        <f>IFERROR(__xludf.DUMMYFUNCTION("""COMPUTED_VALUE"""),"6803888")</f>
        <v>6803888</v>
      </c>
      <c r="E349" s="3" t="str">
        <f>IFERROR(__xludf.DUMMYFUNCTION("""COMPUTED_VALUE"""),"7")</f>
        <v>7</v>
      </c>
      <c r="F349" s="3" t="str">
        <f>IFERROR(__xludf.DUMMYFUNCTION("""COMPUTED_VALUE"""),"กันต์ธิดา นาคทอง")</f>
        <v>กันต์ธิดา นาคทอง</v>
      </c>
      <c r="G349" s="3" t="str">
        <f>IFERROR(__xludf.DUMMYFUNCTION("""COMPUTED_VALUE"""),"งานฟรีทั่วไป")</f>
        <v>งานฟรีทั่วไป</v>
      </c>
      <c r="H349" s="3" t="str">
        <f>IFERROR(__xludf.DUMMYFUNCTION("""COMPUTED_VALUE"""),"ทำความสะอาดบ้าน")</f>
        <v>ทำความสะอาดบ้าน</v>
      </c>
      <c r="I349" s="3" t="str">
        <f>IFERROR(__xludf.DUMMYFUNCTION("""COMPUTED_VALUE"""),"บ้าน")</f>
        <v>บ้าน</v>
      </c>
      <c r="J349" s="12">
        <f>IFERROR(__xludf.DUMMYFUNCTION("""COMPUTED_VALUE"""),45997.0)</f>
        <v>45997</v>
      </c>
      <c r="K349" s="3" t="str">
        <f>IFERROR(__xludf.DUMMYFUNCTION("""COMPUTED_VALUE"""),"10.00")</f>
        <v>10.00</v>
      </c>
      <c r="L349" s="3">
        <f>IFERROR(__xludf.DUMMYFUNCTION("""COMPUTED_VALUE"""),4.0)</f>
        <v>4</v>
      </c>
      <c r="M349" s="3" t="str">
        <f>IFERROR(__xludf.DUMMYFUNCTION("""COMPUTED_VALUE"""),"นางสาวอัญชลีพร หมื่นจง")</f>
        <v>นางสาวอัญชลีพร หมื่นจง</v>
      </c>
      <c r="N349" s="14" t="str">
        <f>IFERROR(__xludf.DUMMYFUNCTION("""COMPUTED_VALUE"""),"https://lh5.googleusercontent.com/d/1fI9tYIN4X8wugrS-pJKOzaoU5zKWuZei")</f>
        <v>https://lh5.googleusercontent.com/d/1fI9tYIN4X8wugrS-pJKOzaoU5zKWuZei</v>
      </c>
      <c r="O349" s="14" t="str">
        <f>IFERROR(__xludf.DUMMYFUNCTION("""COMPUTED_VALUE"""),"https://drive.google.com/file/d/1YucK6J9ia6-z6MyebP2pMh9vUSWpAUtD/view?usp=drivesdk")</f>
        <v>https://drive.google.com/file/d/1YucK6J9ia6-z6MyebP2pMh9vUSWpAUtD/view?usp=drivesdk</v>
      </c>
    </row>
    <row r="350">
      <c r="A350" s="3">
        <f>IFERROR(__xludf.DUMMYFUNCTION("""COMPUTED_VALUE"""),1814.0)</f>
        <v>1814</v>
      </c>
      <c r="B350" s="11">
        <f>IFERROR(__xludf.DUMMYFUNCTION("""COMPUTED_VALUE"""),45999.934334618054)</f>
        <v>45999.93433</v>
      </c>
      <c r="C350" s="3" t="str">
        <f>IFERROR(__xludf.DUMMYFUNCTION("""COMPUTED_VALUE"""),"ชั้นปีที่ 1")</f>
        <v>ชั้นปีที่ 1</v>
      </c>
      <c r="D350" s="3" t="str">
        <f>IFERROR(__xludf.DUMMYFUNCTION("""COMPUTED_VALUE"""),"6803885")</f>
        <v>6803885</v>
      </c>
      <c r="E350" s="3" t="str">
        <f>IFERROR(__xludf.DUMMYFUNCTION("""COMPUTED_VALUE"""),"4")</f>
        <v>4</v>
      </c>
      <c r="F350" s="3" t="str">
        <f>IFERROR(__xludf.DUMMYFUNCTION("""COMPUTED_VALUE"""),"นพอ.กษิดิ์เดช เอมอานนท์")</f>
        <v>นพอ.กษิดิ์เดช เอมอานนท์</v>
      </c>
      <c r="G3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0" s="3" t="str">
        <f>IFERROR(__xludf.DUMMYFUNCTION("""COMPUTED_VALUE"""),"Meet The Youth Cyber Guardians Thailand 2025")</f>
        <v>Meet The Youth Cyber Guardians Thailand 2025</v>
      </c>
      <c r="I350" s="3" t="str">
        <f>IFERROR(__xludf.DUMMYFUNCTION("""COMPUTED_VALUE"""),"บก.ทท.")</f>
        <v>บก.ทท.</v>
      </c>
      <c r="J350" s="12">
        <f>IFERROR(__xludf.DUMMYFUNCTION("""COMPUTED_VALUE"""),45907.0)</f>
        <v>45907</v>
      </c>
      <c r="K350" s="3" t="str">
        <f>IFERROR(__xludf.DUMMYFUNCTION("""COMPUTED_VALUE"""),"0800-1600")</f>
        <v>0800-1600</v>
      </c>
      <c r="L350" s="3">
        <f>IFERROR(__xludf.DUMMYFUNCTION("""COMPUTED_VALUE"""),8.0)</f>
        <v>8</v>
      </c>
      <c r="M350" s="3" t="str">
        <f>IFERROR(__xludf.DUMMYFUNCTION("""COMPUTED_VALUE"""),"ร.อ.อนุชิต ทำจะดี")</f>
        <v>ร.อ.อนุชิต ทำจะดี</v>
      </c>
      <c r="N350" s="14" t="str">
        <f>IFERROR(__xludf.DUMMYFUNCTION("""COMPUTED_VALUE"""),"https://lh5.googleusercontent.com/d/1wCuxcPKrNu1clellXSn5788mkoXuwCpW")</f>
        <v>https://lh5.googleusercontent.com/d/1wCuxcPKrNu1clellXSn5788mkoXuwCpW</v>
      </c>
      <c r="O350" s="14" t="str">
        <f>IFERROR(__xludf.DUMMYFUNCTION("""COMPUTED_VALUE"""),"https://drive.google.com/file/d/1l3RkN-LrwzRz2QjNIppS_XVf4aCSrquV/view?usp=drivesdk")</f>
        <v>https://drive.google.com/file/d/1l3RkN-LrwzRz2QjNIppS_XVf4aCSrquV/view?usp=drivesdk</v>
      </c>
    </row>
    <row r="351">
      <c r="A351" s="3">
        <f>IFERROR(__xludf.DUMMYFUNCTION("""COMPUTED_VALUE"""),1815.0)</f>
        <v>1815</v>
      </c>
      <c r="B351" s="11">
        <f>IFERROR(__xludf.DUMMYFUNCTION("""COMPUTED_VALUE"""),45999.93673912036)</f>
        <v>45999.93674</v>
      </c>
      <c r="C351" s="3" t="str">
        <f>IFERROR(__xludf.DUMMYFUNCTION("""COMPUTED_VALUE"""),"ชั้นปีที่ 1")</f>
        <v>ชั้นปีที่ 1</v>
      </c>
      <c r="D351" s="3" t="str">
        <f>IFERROR(__xludf.DUMMYFUNCTION("""COMPUTED_VALUE"""),"6803944")</f>
        <v>6803944</v>
      </c>
      <c r="E351" s="3" t="str">
        <f>IFERROR(__xludf.DUMMYFUNCTION("""COMPUTED_VALUE"""),"62")</f>
        <v>62</v>
      </c>
      <c r="F351" s="3" t="str">
        <f>IFERROR(__xludf.DUMMYFUNCTION("""COMPUTED_VALUE"""),"นพอ.อภิสรา บุญเกื้อ")</f>
        <v>นพอ.อภิสรา บุญเกื้อ</v>
      </c>
      <c r="G351" s="3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351" s="3" t="str">
        <f>IFERROR(__xludf.DUMMYFUNCTION("""COMPUTED_VALUE"""),"Meet the Youth cyber Guardian Thailand 2025")</f>
        <v>Meet the Youth cyber Guardian Thailand 2025</v>
      </c>
      <c r="I351" s="3" t="str">
        <f>IFERROR(__xludf.DUMMYFUNCTION("""COMPUTED_VALUE"""),"อาคาร 15 กองบัญชาการกองทัพไทย")</f>
        <v>อาคาร 15 กองบัญชาการกองทัพไทย</v>
      </c>
      <c r="J351" s="12">
        <f>IFERROR(__xludf.DUMMYFUNCTION("""COMPUTED_VALUE"""),45907.0)</f>
        <v>45907</v>
      </c>
      <c r="K351" s="3" t="str">
        <f>IFERROR(__xludf.DUMMYFUNCTION("""COMPUTED_VALUE"""),"0800")</f>
        <v>0800</v>
      </c>
      <c r="L351" s="3">
        <f>IFERROR(__xludf.DUMMYFUNCTION("""COMPUTED_VALUE"""),8.0)</f>
        <v>8</v>
      </c>
      <c r="M351" s="3" t="str">
        <f>IFERROR(__xludf.DUMMYFUNCTION("""COMPUTED_VALUE"""),"ร.อ.อนุชิต ทำจะดี")</f>
        <v>ร.อ.อนุชิต ทำจะดี</v>
      </c>
      <c r="N351" s="14" t="str">
        <f>IFERROR(__xludf.DUMMYFUNCTION("""COMPUTED_VALUE"""),"https://lh5.googleusercontent.com/d/1p_30gMDOhHbLjeQBTEAZjqWJu9Y4xLdT")</f>
        <v>https://lh5.googleusercontent.com/d/1p_30gMDOhHbLjeQBTEAZjqWJu9Y4xLdT</v>
      </c>
      <c r="O351" s="14" t="str">
        <f>IFERROR(__xludf.DUMMYFUNCTION("""COMPUTED_VALUE"""),"https://drive.google.com/file/d/1Yv-1f-EOAm9ypln6a5DvrKgJq-N8C0Sk/view?usp=drivesdk")</f>
        <v>https://drive.google.com/file/d/1Yv-1f-EOAm9ypln6a5DvrKgJq-N8C0Sk/view?usp=drivesdk</v>
      </c>
    </row>
    <row r="352">
      <c r="A352" s="3">
        <f>IFERROR(__xludf.DUMMYFUNCTION("""COMPUTED_VALUE"""),1816.0)</f>
        <v>1816</v>
      </c>
      <c r="B352" s="11">
        <f>IFERROR(__xludf.DUMMYFUNCTION("""COMPUTED_VALUE"""),45999.93944807871)</f>
        <v>45999.93945</v>
      </c>
      <c r="C352" s="3" t="str">
        <f>IFERROR(__xludf.DUMMYFUNCTION("""COMPUTED_VALUE"""),"ชั้นปีที่ 1")</f>
        <v>ชั้นปีที่ 1</v>
      </c>
      <c r="D352" s="3" t="str">
        <f>IFERROR(__xludf.DUMMYFUNCTION("""COMPUTED_VALUE"""),"6803912")</f>
        <v>6803912</v>
      </c>
      <c r="E352" s="3" t="str">
        <f>IFERROR(__xludf.DUMMYFUNCTION("""COMPUTED_VALUE"""),"31")</f>
        <v>31</v>
      </c>
      <c r="F352" s="3" t="str">
        <f>IFERROR(__xludf.DUMMYFUNCTION("""COMPUTED_VALUE"""),"เบญจวรรณ มณีแนว")</f>
        <v>เบญจวรรณ มณีแนว</v>
      </c>
      <c r="G352" s="3" t="str">
        <f>IFERROR(__xludf.DUMMYFUNCTION("""COMPUTED_VALUE"""),"ช่วยเหลืองานภายใน วพอ.")</f>
        <v>ช่วยเหลืองานภายใน วพอ.</v>
      </c>
      <c r="H352" s="3" t="str">
        <f>IFERROR(__xludf.DUMMYFUNCTION("""COMPUTED_VALUE"""),"ดุริยางค์")</f>
        <v>ดุริยางค์</v>
      </c>
      <c r="I352" s="3" t="str">
        <f>IFERROR(__xludf.DUMMYFUNCTION("""COMPUTED_VALUE"""),"หน้าคุณพ่อ")</f>
        <v>หน้าคุณพ่อ</v>
      </c>
      <c r="J352" s="12">
        <f>IFERROR(__xludf.DUMMYFUNCTION("""COMPUTED_VALUE"""),45950.0)</f>
        <v>45950</v>
      </c>
      <c r="K352" s="3" t="str">
        <f>IFERROR(__xludf.DUMMYFUNCTION("""COMPUTED_VALUE"""),"0730-0745")</f>
        <v>0730-0745</v>
      </c>
      <c r="L352" s="3">
        <f>IFERROR(__xludf.DUMMYFUNCTION("""COMPUTED_VALUE"""),1.0)</f>
        <v>1</v>
      </c>
      <c r="M352" s="3" t="str">
        <f>IFERROR(__xludf.DUMMYFUNCTION("""COMPUTED_VALUE"""),"ร.อ.อนุชิต ทำจะดี")</f>
        <v>ร.อ.อนุชิต ทำจะดี</v>
      </c>
      <c r="N352" s="14" t="str">
        <f>IFERROR(__xludf.DUMMYFUNCTION("""COMPUTED_VALUE"""),"https://lh5.googleusercontent.com/d/1CeiAqck4PEpb_nyj7XdzGC9RecfF5Uqa")</f>
        <v>https://lh5.googleusercontent.com/d/1CeiAqck4PEpb_nyj7XdzGC9RecfF5Uqa</v>
      </c>
      <c r="O352" s="14" t="str">
        <f>IFERROR(__xludf.DUMMYFUNCTION("""COMPUTED_VALUE"""),"https://drive.google.com/file/d/1q1OvQ2Sdu_NtmbPbE9Jmg67bSKbl03hL/view?usp=drivesdk")</f>
        <v>https://drive.google.com/file/d/1q1OvQ2Sdu_NtmbPbE9Jmg67bSKbl03hL/view?usp=drivesdk</v>
      </c>
    </row>
    <row r="353">
      <c r="A353" s="3">
        <f>IFERROR(__xludf.DUMMYFUNCTION("""COMPUTED_VALUE"""),1817.0)</f>
        <v>1817</v>
      </c>
      <c r="B353" s="11">
        <f>IFERROR(__xludf.DUMMYFUNCTION("""COMPUTED_VALUE"""),45999.94078532408)</f>
        <v>45999.94079</v>
      </c>
      <c r="C353" s="3" t="str">
        <f>IFERROR(__xludf.DUMMYFUNCTION("""COMPUTED_VALUE"""),"ชั้นปีที่ 1")</f>
        <v>ชั้นปีที่ 1</v>
      </c>
      <c r="D353" s="3" t="str">
        <f>IFERROR(__xludf.DUMMYFUNCTION("""COMPUTED_VALUE"""),"6803885")</f>
        <v>6803885</v>
      </c>
      <c r="E353" s="3" t="str">
        <f>IFERROR(__xludf.DUMMYFUNCTION("""COMPUTED_VALUE"""),"4")</f>
        <v>4</v>
      </c>
      <c r="F353" s="3" t="str">
        <f>IFERROR(__xludf.DUMMYFUNCTION("""COMPUTED_VALUE"""),"นพอ.กษิดิ์เดช เอมอานนท์")</f>
        <v>นพอ.กษิดิ์เดช เอมอานนท์</v>
      </c>
      <c r="G353" s="3" t="str">
        <f>IFERROR(__xludf.DUMMYFUNCTION("""COMPUTED_VALUE"""),"ช่วยเหลืองานภายใน วพอ.")</f>
        <v>ช่วยเหลืองานภายใน วพอ.</v>
      </c>
      <c r="H353" s="3" t="str">
        <f>IFERROR(__xludf.DUMMYFUNCTION("""COMPUTED_VALUE"""),"ดูและและจัดห้องพักผ่อน นพอ.")</f>
        <v>ดูและและจัดห้องพักผ่อน นพอ.</v>
      </c>
      <c r="I353" s="3" t="str">
        <f>IFERROR(__xludf.DUMMYFUNCTION("""COMPUTED_VALUE"""),"ห้องพักผ่อน นพอ.")</f>
        <v>ห้องพักผ่อน นพอ.</v>
      </c>
      <c r="J353" s="12">
        <f>IFERROR(__xludf.DUMMYFUNCTION("""COMPUTED_VALUE"""),45995.0)</f>
        <v>45995</v>
      </c>
      <c r="K353" s="3" t="str">
        <f>IFERROR(__xludf.DUMMYFUNCTION("""COMPUTED_VALUE"""),"1300")</f>
        <v>1300</v>
      </c>
      <c r="L353" s="3">
        <f>IFERROR(__xludf.DUMMYFUNCTION("""COMPUTED_VALUE"""),5.0)</f>
        <v>5</v>
      </c>
      <c r="M353" s="3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353" s="14" t="str">
        <f>IFERROR(__xludf.DUMMYFUNCTION("""COMPUTED_VALUE"""),"https://lh5.googleusercontent.com/d/18Od0YJT65ryMFYGffOwfq_qVKxGnBwnJ")</f>
        <v>https://lh5.googleusercontent.com/d/18Od0YJT65ryMFYGffOwfq_qVKxGnBwnJ</v>
      </c>
      <c r="O353" s="14" t="str">
        <f>IFERROR(__xludf.DUMMYFUNCTION("""COMPUTED_VALUE"""),"https://drive.google.com/file/d/1_DTd5n1jBqZPcDL3euF7_nslJ5BE0AkG/view?usp=drivesdk")</f>
        <v>https://drive.google.com/file/d/1_DTd5n1jBqZPcDL3euF7_nslJ5BE0AkG/view?usp=drivesdk</v>
      </c>
    </row>
    <row r="354">
      <c r="A354" s="3">
        <f>IFERROR(__xludf.DUMMYFUNCTION("""COMPUTED_VALUE"""),1820.0)</f>
        <v>1820</v>
      </c>
      <c r="B354" s="11">
        <f>IFERROR(__xludf.DUMMYFUNCTION("""COMPUTED_VALUE"""),45999.947926701396)</f>
        <v>45999.94793</v>
      </c>
      <c r="C354" s="3" t="str">
        <f>IFERROR(__xludf.DUMMYFUNCTION("""COMPUTED_VALUE"""),"ชั้นปีที่ 1")</f>
        <v>ชั้นปีที่ 1</v>
      </c>
      <c r="D354" s="3" t="str">
        <f>IFERROR(__xludf.DUMMYFUNCTION("""COMPUTED_VALUE"""),"6803920")</f>
        <v>6803920</v>
      </c>
      <c r="E354" s="3" t="str">
        <f>IFERROR(__xludf.DUMMYFUNCTION("""COMPUTED_VALUE"""),"39")</f>
        <v>39</v>
      </c>
      <c r="F354" s="3" t="str">
        <f>IFERROR(__xludf.DUMMYFUNCTION("""COMPUTED_VALUE"""),"นพอ.พัทธ์ธีรา สมานมาก")</f>
        <v>นพอ.พัทธ์ธีรา สมานมาก</v>
      </c>
      <c r="G354" s="3" t="str">
        <f>IFERROR(__xludf.DUMMYFUNCTION("""COMPUTED_VALUE"""),"ช่วยเหลืองานภายใน วพอ.")</f>
        <v>ช่วยเหลืองานภายใน วพอ.</v>
      </c>
      <c r="H354" s="3" t="str">
        <f>IFERROR(__xludf.DUMMYFUNCTION("""COMPUTED_VALUE"""),"เล่นดุริยางค์")</f>
        <v>เล่นดุริยางค์</v>
      </c>
      <c r="I354" s="3" t="str">
        <f>IFERROR(__xludf.DUMMYFUNCTION("""COMPUTED_VALUE"""),"วพอ.พอ")</f>
        <v>วพอ.พอ</v>
      </c>
      <c r="J354" s="12">
        <f>IFERROR(__xludf.DUMMYFUNCTION("""COMPUTED_VALUE"""),45951.0)</f>
        <v>45951</v>
      </c>
      <c r="K354" s="3" t="str">
        <f>IFERROR(__xludf.DUMMYFUNCTION("""COMPUTED_VALUE"""),"0700")</f>
        <v>0700</v>
      </c>
      <c r="L354" s="3">
        <f>IFERROR(__xludf.DUMMYFUNCTION("""COMPUTED_VALUE"""),1.0)</f>
        <v>1</v>
      </c>
      <c r="M354" s="3" t="str">
        <f>IFERROR(__xludf.DUMMYFUNCTION("""COMPUTED_VALUE"""),"ร.อ.อนุชิต ทำจะดี")</f>
        <v>ร.อ.อนุชิต ทำจะดี</v>
      </c>
      <c r="N354" s="14" t="str">
        <f>IFERROR(__xludf.DUMMYFUNCTION("""COMPUTED_VALUE"""),"https://lh5.googleusercontent.com/d/1EJZ19jxVCZb3hkhLmaljVNN7QUF5ciXZ")</f>
        <v>https://lh5.googleusercontent.com/d/1EJZ19jxVCZb3hkhLmaljVNN7QUF5ciXZ</v>
      </c>
      <c r="O354" s="14" t="str">
        <f>IFERROR(__xludf.DUMMYFUNCTION("""COMPUTED_VALUE"""),"https://drive.google.com/file/d/1n-UWNOFfCtAsnrzI9ZX26TYjfRD7xHlN/view?usp=drivesdk")</f>
        <v>https://drive.google.com/file/d/1n-UWNOFfCtAsnrzI9ZX26TYjfRD7xHlN/view?usp=drivesdk</v>
      </c>
    </row>
    <row r="355">
      <c r="A355" s="3">
        <f>IFERROR(__xludf.DUMMYFUNCTION("""COMPUTED_VALUE"""),1822.0)</f>
        <v>1822</v>
      </c>
      <c r="B355" s="11">
        <f>IFERROR(__xludf.DUMMYFUNCTION("""COMPUTED_VALUE"""),45999.949229259255)</f>
        <v>45999.94923</v>
      </c>
      <c r="C355" s="3" t="str">
        <f>IFERROR(__xludf.DUMMYFUNCTION("""COMPUTED_VALUE"""),"ชั้นปีที่ 1")</f>
        <v>ชั้นปีที่ 1</v>
      </c>
      <c r="D355" s="3" t="str">
        <f>IFERROR(__xludf.DUMMYFUNCTION("""COMPUTED_VALUE"""),"6803920")</f>
        <v>6803920</v>
      </c>
      <c r="E355" s="3" t="str">
        <f>IFERROR(__xludf.DUMMYFUNCTION("""COMPUTED_VALUE"""),"39")</f>
        <v>39</v>
      </c>
      <c r="F355" s="3" t="str">
        <f>IFERROR(__xludf.DUMMYFUNCTION("""COMPUTED_VALUE"""),"นพอ.พัทธ์ธีรา สมานมาก")</f>
        <v>นพอ.พัทธ์ธีรา สมานมาก</v>
      </c>
      <c r="G355" s="3" t="str">
        <f>IFERROR(__xludf.DUMMYFUNCTION("""COMPUTED_VALUE"""),"ช่วยเหลืองานภายใน วพอ.")</f>
        <v>ช่วยเหลืองานภายใน วพอ.</v>
      </c>
      <c r="H355" s="3" t="str">
        <f>IFERROR(__xludf.DUMMYFUNCTION("""COMPUTED_VALUE"""),"เล่นดุริยางค์")</f>
        <v>เล่นดุริยางค์</v>
      </c>
      <c r="I355" s="3" t="str">
        <f>IFERROR(__xludf.DUMMYFUNCTION("""COMPUTED_VALUE"""),"วพอ.พอ.")</f>
        <v>วพอ.พอ.</v>
      </c>
      <c r="J355" s="12">
        <f>IFERROR(__xludf.DUMMYFUNCTION("""COMPUTED_VALUE"""),45993.0)</f>
        <v>45993</v>
      </c>
      <c r="K355" s="3" t="str">
        <f>IFERROR(__xludf.DUMMYFUNCTION("""COMPUTED_VALUE"""),"0700")</f>
        <v>0700</v>
      </c>
      <c r="L355" s="3">
        <f>IFERROR(__xludf.DUMMYFUNCTION("""COMPUTED_VALUE"""),1.0)</f>
        <v>1</v>
      </c>
      <c r="M355" s="3" t="str">
        <f>IFERROR(__xludf.DUMMYFUNCTION("""COMPUTED_VALUE"""),"ร.อ.อนุชิต ทำจะดี")</f>
        <v>ร.อ.อนุชิต ทำจะดี</v>
      </c>
      <c r="N355" s="14" t="str">
        <f>IFERROR(__xludf.DUMMYFUNCTION("""COMPUTED_VALUE"""),"https://lh5.googleusercontent.com/d/1afV5cu6aU8kXxBTyf9MTcSmWHxHSYSrh")</f>
        <v>https://lh5.googleusercontent.com/d/1afV5cu6aU8kXxBTyf9MTcSmWHxHSYSrh</v>
      </c>
      <c r="O355" s="14" t="str">
        <f>IFERROR(__xludf.DUMMYFUNCTION("""COMPUTED_VALUE"""),"https://drive.google.com/file/d/1rgfslDyh-WGiFcoQDCd3aFblIn0jrk1v/view?usp=drivesdk")</f>
        <v>https://drive.google.com/file/d/1rgfslDyh-WGiFcoQDCd3aFblIn0jrk1v/view?usp=drivesdk</v>
      </c>
    </row>
    <row r="356">
      <c r="A356" s="3">
        <f>IFERROR(__xludf.DUMMYFUNCTION("""COMPUTED_VALUE"""),1824.0)</f>
        <v>1824</v>
      </c>
      <c r="B356" s="11">
        <f>IFERROR(__xludf.DUMMYFUNCTION("""COMPUTED_VALUE"""),45999.950417569446)</f>
        <v>45999.95042</v>
      </c>
      <c r="C356" s="3" t="str">
        <f>IFERROR(__xludf.DUMMYFUNCTION("""COMPUTED_VALUE"""),"ชั้นปีที่ 1")</f>
        <v>ชั้นปีที่ 1</v>
      </c>
      <c r="D356" s="3" t="str">
        <f>IFERROR(__xludf.DUMMYFUNCTION("""COMPUTED_VALUE"""),"6803920")</f>
        <v>6803920</v>
      </c>
      <c r="E356" s="3" t="str">
        <f>IFERROR(__xludf.DUMMYFUNCTION("""COMPUTED_VALUE"""),"39")</f>
        <v>39</v>
      </c>
      <c r="F356" s="3" t="str">
        <f>IFERROR(__xludf.DUMMYFUNCTION("""COMPUTED_VALUE"""),"นพอ.พัทธ์ธีรา สมานมาก")</f>
        <v>นพอ.พัทธ์ธีรา สมานมาก</v>
      </c>
      <c r="G356" s="3" t="str">
        <f>IFERROR(__xludf.DUMMYFUNCTION("""COMPUTED_VALUE"""),"ช่วยเหลืองานภายใน วพอ.")</f>
        <v>ช่วยเหลืองานภายใน วพอ.</v>
      </c>
      <c r="H356" s="3" t="str">
        <f>IFERROR(__xludf.DUMMYFUNCTION("""COMPUTED_VALUE"""),"เล่นดุริยางค์")</f>
        <v>เล่นดุริยางค์</v>
      </c>
      <c r="I356" s="3" t="str">
        <f>IFERROR(__xludf.DUMMYFUNCTION("""COMPUTED_VALUE"""),"วพอ.พอ.")</f>
        <v>วพอ.พอ.</v>
      </c>
      <c r="J356" s="12">
        <f>IFERROR(__xludf.DUMMYFUNCTION("""COMPUTED_VALUE"""),45994.0)</f>
        <v>45994</v>
      </c>
      <c r="K356" s="3" t="str">
        <f>IFERROR(__xludf.DUMMYFUNCTION("""COMPUTED_VALUE"""),"0700")</f>
        <v>0700</v>
      </c>
      <c r="L356" s="3">
        <f>IFERROR(__xludf.DUMMYFUNCTION("""COMPUTED_VALUE"""),1.0)</f>
        <v>1</v>
      </c>
      <c r="M356" s="3" t="str">
        <f>IFERROR(__xludf.DUMMYFUNCTION("""COMPUTED_VALUE"""),"ร.อ.อนุชิต ทำจะดี")</f>
        <v>ร.อ.อนุชิต ทำจะดี</v>
      </c>
      <c r="N356" s="14" t="str">
        <f>IFERROR(__xludf.DUMMYFUNCTION("""COMPUTED_VALUE"""),"https://lh5.googleusercontent.com/d/19euD1PqWRz1Km9CyLdfBdNUbF8vhdGd2")</f>
        <v>https://lh5.googleusercontent.com/d/19euD1PqWRz1Km9CyLdfBdNUbF8vhdGd2</v>
      </c>
      <c r="O356" s="14" t="str">
        <f>IFERROR(__xludf.DUMMYFUNCTION("""COMPUTED_VALUE"""),"https://drive.google.com/file/d/1DOqQyD2-SZSkBc9WjhShV2wH5MCk_Akr/view?usp=drivesdk")</f>
        <v>https://drive.google.com/file/d/1DOqQyD2-SZSkBc9WjhShV2wH5MCk_Akr/view?usp=drivesdk</v>
      </c>
    </row>
    <row r="357">
      <c r="A357" s="3">
        <f>IFERROR(__xludf.DUMMYFUNCTION("""COMPUTED_VALUE"""),1829.0)</f>
        <v>1829</v>
      </c>
      <c r="B357" s="11">
        <f>IFERROR(__xludf.DUMMYFUNCTION("""COMPUTED_VALUE"""),45999.955391469906)</f>
        <v>45999.95539</v>
      </c>
      <c r="C357" s="3" t="str">
        <f>IFERROR(__xludf.DUMMYFUNCTION("""COMPUTED_VALUE"""),"ชั้นปีที่ 1")</f>
        <v>ชั้นปีที่ 1</v>
      </c>
      <c r="D357" s="3" t="str">
        <f>IFERROR(__xludf.DUMMYFUNCTION("""COMPUTED_VALUE"""),"6803896")</f>
        <v>6803896</v>
      </c>
      <c r="E357" s="3" t="str">
        <f>IFERROR(__xludf.DUMMYFUNCTION("""COMPUTED_VALUE"""),"15")</f>
        <v>15</v>
      </c>
      <c r="F357" s="3" t="str">
        <f>IFERROR(__xludf.DUMMYFUNCTION("""COMPUTED_VALUE"""),"นพอ.ณัชปวีย์ เยาวภา")</f>
        <v>นพอ.ณัชปวีย์ เยาวภา</v>
      </c>
      <c r="G357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357" s="3" t="str">
        <f>IFERROR(__xludf.DUMMYFUNCTION("""COMPUTED_VALUE"""),"ถวายความอาลัยต่อสมเด็จพระพันปีหลวง")</f>
        <v>ถวายความอาลัยต่อสมเด็จพระพันปีหลวง</v>
      </c>
      <c r="I357" s="3" t="str">
        <f>IFERROR(__xludf.DUMMYFUNCTION("""COMPUTED_VALUE"""),"โรงพยาบาลภูมิพล")</f>
        <v>โรงพยาบาลภูมิพล</v>
      </c>
      <c r="J357" s="12">
        <f>IFERROR(__xludf.DUMMYFUNCTION("""COMPUTED_VALUE"""),45964.0)</f>
        <v>45964</v>
      </c>
      <c r="K357" s="3" t="str">
        <f>IFERROR(__xludf.DUMMYFUNCTION("""COMPUTED_VALUE"""),"0800")</f>
        <v>0800</v>
      </c>
      <c r="L357" s="3">
        <f>IFERROR(__xludf.DUMMYFUNCTION("""COMPUTED_VALUE"""),5.0)</f>
        <v>5</v>
      </c>
      <c r="M357" s="3" t="str">
        <f>IFERROR(__xludf.DUMMYFUNCTION("""COMPUTED_VALUE"""),"น.ต.ศักชัย บุญประสิทธิ์")</f>
        <v>น.ต.ศักชัย บุญประสิทธิ์</v>
      </c>
      <c r="N357" s="14" t="str">
        <f>IFERROR(__xludf.DUMMYFUNCTION("""COMPUTED_VALUE"""),"https://lh5.googleusercontent.com/d/1g0qSboLerEKYQA9q8wwmwnDPSMQiiF6A")</f>
        <v>https://lh5.googleusercontent.com/d/1g0qSboLerEKYQA9q8wwmwnDPSMQiiF6A</v>
      </c>
      <c r="O357" s="14" t="str">
        <f>IFERROR(__xludf.DUMMYFUNCTION("""COMPUTED_VALUE"""),"https://drive.google.com/file/d/19KrpkAWZ1ROhzAf4Z8896DzTkMF3ac0-/view?usp=drivesdk")</f>
        <v>https://drive.google.com/file/d/19KrpkAWZ1ROhzAf4Z8896DzTkMF3ac0-/view?usp=drivesdk</v>
      </c>
    </row>
    <row r="358">
      <c r="A358" s="3">
        <f>IFERROR(__xludf.DUMMYFUNCTION("""COMPUTED_VALUE"""),1830.0)</f>
        <v>1830</v>
      </c>
      <c r="B358" s="11">
        <f>IFERROR(__xludf.DUMMYFUNCTION("""COMPUTED_VALUE"""),45999.95614844908)</f>
        <v>45999.95615</v>
      </c>
      <c r="C358" s="3" t="str">
        <f>IFERROR(__xludf.DUMMYFUNCTION("""COMPUTED_VALUE"""),"ชั้นปีที่ 1")</f>
        <v>ชั้นปีที่ 1</v>
      </c>
      <c r="D358" s="3" t="str">
        <f>IFERROR(__xludf.DUMMYFUNCTION("""COMPUTED_VALUE"""),"6803921")</f>
        <v>6803921</v>
      </c>
      <c r="E358" s="3" t="str">
        <f>IFERROR(__xludf.DUMMYFUNCTION("""COMPUTED_VALUE"""),"40")</f>
        <v>40</v>
      </c>
      <c r="F358" s="3" t="str">
        <f>IFERROR(__xludf.DUMMYFUNCTION("""COMPUTED_VALUE"""),"นพอ.พิชญาภรณ์ บุตรวัง")</f>
        <v>นพอ.พิชญาภรณ์ บุตรวัง</v>
      </c>
      <c r="G358" s="3" t="str">
        <f>IFERROR(__xludf.DUMMYFUNCTION("""COMPUTED_VALUE"""),"ช่วยเหลืองานภายใน วพอ.")</f>
        <v>ช่วยเหลืองานภายใน วพอ.</v>
      </c>
      <c r="H358" s="3" t="str">
        <f>IFERROR(__xludf.DUMMYFUNCTION("""COMPUTED_VALUE"""),"จัดสถานที่สวนสนาม(ไม่มีภาพขณะปฏิบัติงาน)")</f>
        <v>จัดสถานที่สวนสนาม(ไม่มีภาพขณะปฏิบัติงาน)</v>
      </c>
      <c r="I358" s="3" t="str">
        <f>IFERROR(__xludf.DUMMYFUNCTION("""COMPUTED_VALUE"""),"วิทยาลัยพยาบาลทหารอากาศ")</f>
        <v>วิทยาลัยพยาบาลทหารอากาศ</v>
      </c>
      <c r="J358" s="12">
        <f>IFERROR(__xludf.DUMMYFUNCTION("""COMPUTED_VALUE"""),45928.0)</f>
        <v>45928</v>
      </c>
      <c r="K358" s="3" t="str">
        <f>IFERROR(__xludf.DUMMYFUNCTION("""COMPUTED_VALUE"""),"1000")</f>
        <v>1000</v>
      </c>
      <c r="L358" s="3">
        <f>IFERROR(__xludf.DUMMYFUNCTION("""COMPUTED_VALUE"""),5.0)</f>
        <v>5</v>
      </c>
      <c r="M358" s="3" t="str">
        <f>IFERROR(__xludf.DUMMYFUNCTION("""COMPUTED_VALUE"""),"ร.อ.อนุชิต ทำจะดี")</f>
        <v>ร.อ.อนุชิต ทำจะดี</v>
      </c>
      <c r="N358" s="14" t="str">
        <f>IFERROR(__xludf.DUMMYFUNCTION("""COMPUTED_VALUE"""),"https://lh5.googleusercontent.com/d/1Uddnvp1G6BnIUz62DNMb7YohIErXY4-l")</f>
        <v>https://lh5.googleusercontent.com/d/1Uddnvp1G6BnIUz62DNMb7YohIErXY4-l</v>
      </c>
      <c r="O358" s="14" t="str">
        <f>IFERROR(__xludf.DUMMYFUNCTION("""COMPUTED_VALUE"""),"https://drive.google.com/file/d/1dgqoyArVMKHPHn3BFqGj97WlcddQdIPc/view?usp=drivesdk")</f>
        <v>https://drive.google.com/file/d/1dgqoyArVMKHPHn3BFqGj97WlcddQdIPc/view?usp=drivesdk</v>
      </c>
    </row>
    <row r="359">
      <c r="A359" s="3">
        <f>IFERROR(__xludf.DUMMYFUNCTION("""COMPUTED_VALUE"""),1835.0)</f>
        <v>1835</v>
      </c>
      <c r="B359" s="11">
        <f>IFERROR(__xludf.DUMMYFUNCTION("""COMPUTED_VALUE"""),45999.96443695602)</f>
        <v>45999.96444</v>
      </c>
      <c r="C359" s="3" t="str">
        <f>IFERROR(__xludf.DUMMYFUNCTION("""COMPUTED_VALUE"""),"ชั้นปีที่ 1")</f>
        <v>ชั้นปีที่ 1</v>
      </c>
      <c r="D359" s="3" t="str">
        <f>IFERROR(__xludf.DUMMYFUNCTION("""COMPUTED_VALUE"""),"6803885")</f>
        <v>6803885</v>
      </c>
      <c r="E359" s="3" t="str">
        <f>IFERROR(__xludf.DUMMYFUNCTION("""COMPUTED_VALUE"""),"4")</f>
        <v>4</v>
      </c>
      <c r="F359" s="3" t="str">
        <f>IFERROR(__xludf.DUMMYFUNCTION("""COMPUTED_VALUE"""),"นพอ.กษิดิ์เดช เอมอานนท์")</f>
        <v>นพอ.กษิดิ์เดช เอมอานนท์</v>
      </c>
      <c r="G3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59" s="3" t="str">
        <f>IFERROR(__xludf.DUMMYFUNCTION("""COMPUTED_VALUE"""),"พิธีแสดงความอาลัย")</f>
        <v>พิธีแสดงความอาลัย</v>
      </c>
      <c r="I359" s="3" t="str">
        <f>IFERROR(__xludf.DUMMYFUNCTION("""COMPUTED_VALUE"""),"รพ.ภูมิพล")</f>
        <v>รพ.ภูมิพล</v>
      </c>
      <c r="J359" s="12">
        <f>IFERROR(__xludf.DUMMYFUNCTION("""COMPUTED_VALUE"""),45964.0)</f>
        <v>45964</v>
      </c>
      <c r="K359" s="3" t="str">
        <f>IFERROR(__xludf.DUMMYFUNCTION("""COMPUTED_VALUE"""),"0800")</f>
        <v>0800</v>
      </c>
      <c r="L359" s="3">
        <f>IFERROR(__xludf.DUMMYFUNCTION("""COMPUTED_VALUE"""),1.0)</f>
        <v>1</v>
      </c>
      <c r="M35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59" s="14" t="str">
        <f>IFERROR(__xludf.DUMMYFUNCTION("""COMPUTED_VALUE"""),"https://lh5.googleusercontent.com/d/1y-I7lHbp62bwv1MTRf48CAJvKD-Y2CBV")</f>
        <v>https://lh5.googleusercontent.com/d/1y-I7lHbp62bwv1MTRf48CAJvKD-Y2CBV</v>
      </c>
      <c r="O359" s="14" t="str">
        <f>IFERROR(__xludf.DUMMYFUNCTION("""COMPUTED_VALUE"""),"https://drive.google.com/file/d/1nalTEenRgI-DaGwt5tVyN3-xdb5ee4NQ/view?usp=drivesdk")</f>
        <v>https://drive.google.com/file/d/1nalTEenRgI-DaGwt5tVyN3-xdb5ee4NQ/view?usp=drivesdk</v>
      </c>
    </row>
    <row r="360">
      <c r="A360" s="3">
        <f>IFERROR(__xludf.DUMMYFUNCTION("""COMPUTED_VALUE"""),1841.0)</f>
        <v>1841</v>
      </c>
      <c r="B360" s="11">
        <f>IFERROR(__xludf.DUMMYFUNCTION("""COMPUTED_VALUE"""),45999.970046874994)</f>
        <v>45999.97005</v>
      </c>
      <c r="C360" s="3" t="str">
        <f>IFERROR(__xludf.DUMMYFUNCTION("""COMPUTED_VALUE"""),"ชั้นปีที่ 1")</f>
        <v>ชั้นปีที่ 1</v>
      </c>
      <c r="D360" s="3" t="str">
        <f>IFERROR(__xludf.DUMMYFUNCTION("""COMPUTED_VALUE"""),"6803900")</f>
        <v>6803900</v>
      </c>
      <c r="E360" s="3" t="str">
        <f>IFERROR(__xludf.DUMMYFUNCTION("""COMPUTED_VALUE"""),"19")</f>
        <v>19</v>
      </c>
      <c r="F360" s="3" t="str">
        <f>IFERROR(__xludf.DUMMYFUNCTION("""COMPUTED_VALUE"""),"นพอ.ณัฐพัชร์ กาฬพรรณลึก")</f>
        <v>นพอ.ณัฐพัชร์ กาฬพรรณลึก</v>
      </c>
      <c r="G360" s="3" t="str">
        <f>IFERROR(__xludf.DUMMYFUNCTION("""COMPUTED_VALUE"""),"ช่วยเหลืองานภายใน วพอ.")</f>
        <v>ช่วยเหลืองานภายใน วพอ.</v>
      </c>
      <c r="H360" s="3" t="str">
        <f>IFERROR(__xludf.DUMMYFUNCTION("""COMPUTED_VALUE"""),"ช่วยท่านอาจารย์แพ็คเสื้อ")</f>
        <v>ช่วยท่านอาจารย์แพ็คเสื้อ</v>
      </c>
      <c r="I360" s="3" t="str">
        <f>IFERROR(__xludf.DUMMYFUNCTION("""COMPUTED_VALUE"""),"ห้องปกครองวพอ.")</f>
        <v>ห้องปกครองวพอ.</v>
      </c>
      <c r="J360" s="12">
        <f>IFERROR(__xludf.DUMMYFUNCTION("""COMPUTED_VALUE"""),45895.0)</f>
        <v>45895</v>
      </c>
      <c r="K360" s="3" t="str">
        <f>IFERROR(__xludf.DUMMYFUNCTION("""COMPUTED_VALUE"""),"1600-1800")</f>
        <v>1600-1800</v>
      </c>
      <c r="L360" s="3">
        <f>IFERROR(__xludf.DUMMYFUNCTION("""COMPUTED_VALUE"""),2.0)</f>
        <v>2</v>
      </c>
      <c r="M360" s="3" t="str">
        <f>IFERROR(__xludf.DUMMYFUNCTION("""COMPUTED_VALUE"""),"ร.อ.หญิง ขนัฎฐา นาดี")</f>
        <v>ร.อ.หญิง ขนัฎฐา นาดี</v>
      </c>
      <c r="N360" s="14" t="str">
        <f>IFERROR(__xludf.DUMMYFUNCTION("""COMPUTED_VALUE"""),"https://lh5.googleusercontent.com/d/13zrckcgkG7tIq-Jn67BjVj7BdcxQ_zHM")</f>
        <v>https://lh5.googleusercontent.com/d/13zrckcgkG7tIq-Jn67BjVj7BdcxQ_zHM</v>
      </c>
      <c r="O360" s="14" t="str">
        <f>IFERROR(__xludf.DUMMYFUNCTION("""COMPUTED_VALUE"""),"https://drive.google.com/file/d/1us0cWapxlxy-7E6O7Nf8iaWxyD2r8rQO/view?usp=drivesdk")</f>
        <v>https://drive.google.com/file/d/1us0cWapxlxy-7E6O7Nf8iaWxyD2r8rQO/view?usp=drivesdk</v>
      </c>
    </row>
    <row r="361">
      <c r="A361" s="3">
        <f>IFERROR(__xludf.DUMMYFUNCTION("""COMPUTED_VALUE"""),1843.0)</f>
        <v>1843</v>
      </c>
      <c r="B361" s="11">
        <f>IFERROR(__xludf.DUMMYFUNCTION("""COMPUTED_VALUE"""),45999.97364157407)</f>
        <v>45999.97364</v>
      </c>
      <c r="C361" s="3" t="str">
        <f>IFERROR(__xludf.DUMMYFUNCTION("""COMPUTED_VALUE"""),"ชั้นปีที่ 1")</f>
        <v>ชั้นปีที่ 1</v>
      </c>
      <c r="D361" s="3" t="str">
        <f>IFERROR(__xludf.DUMMYFUNCTION("""COMPUTED_VALUE"""),"6803900")</f>
        <v>6803900</v>
      </c>
      <c r="E361" s="3" t="str">
        <f>IFERROR(__xludf.DUMMYFUNCTION("""COMPUTED_VALUE"""),"19")</f>
        <v>19</v>
      </c>
      <c r="F361" s="3" t="str">
        <f>IFERROR(__xludf.DUMMYFUNCTION("""COMPUTED_VALUE"""),"นพอ.ณัฐพัชร์ กาฬพรรณลึก")</f>
        <v>นพอ.ณัฐพัชร์ กาฬพรรณลึก</v>
      </c>
      <c r="G361" s="3" t="str">
        <f>IFERROR(__xludf.DUMMYFUNCTION("""COMPUTED_VALUE"""),"ช่วยเหลืองานภายใน วพอ.")</f>
        <v>ช่วยเหลืองานภายใน วพอ.</v>
      </c>
      <c r="H361" s="3" t="str">
        <f>IFERROR(__xludf.DUMMYFUNCTION("""COMPUTED_VALUE"""),"เหรัญญิกชั้นปีที่ 1")</f>
        <v>เหรัญญิกชั้นปีที่ 1</v>
      </c>
      <c r="I361" s="3" t="str">
        <f>IFERROR(__xludf.DUMMYFUNCTION("""COMPUTED_VALUE"""),"วพอ.พอ.")</f>
        <v>วพอ.พอ.</v>
      </c>
      <c r="J361" s="12">
        <f>IFERROR(__xludf.DUMMYFUNCTION("""COMPUTED_VALUE"""),45965.0)</f>
        <v>45965</v>
      </c>
      <c r="K361" s="3" t="str">
        <f>IFERROR(__xludf.DUMMYFUNCTION("""COMPUTED_VALUE"""),"0800-1600")</f>
        <v>0800-1600</v>
      </c>
      <c r="L361" s="3">
        <f>IFERROR(__xludf.DUMMYFUNCTION("""COMPUTED_VALUE"""),8.0)</f>
        <v>8</v>
      </c>
      <c r="M361" s="3" t="str">
        <f>IFERROR(__xludf.DUMMYFUNCTION("""COMPUTED_VALUE"""),"ร.อ.ฤทธิพล อ้วนสิงห์")</f>
        <v>ร.อ.ฤทธิพล อ้วนสิงห์</v>
      </c>
      <c r="N361" s="14" t="str">
        <f>IFERROR(__xludf.DUMMYFUNCTION("""COMPUTED_VALUE"""),"https://lh5.googleusercontent.com/d/1e2OEx3SBEtcBv-ZHU7IXwDIEPFGYrtU9")</f>
        <v>https://lh5.googleusercontent.com/d/1e2OEx3SBEtcBv-ZHU7IXwDIEPFGYrtU9</v>
      </c>
      <c r="O361" s="14" t="str">
        <f>IFERROR(__xludf.DUMMYFUNCTION("""COMPUTED_VALUE"""),"https://drive.google.com/file/d/1miUjxCivYVmiFAzBytkkniMVyu5C9il3/view?usp=drivesdk")</f>
        <v>https://drive.google.com/file/d/1miUjxCivYVmiFAzBytkkniMVyu5C9il3/view?usp=drivesdk</v>
      </c>
    </row>
    <row r="362">
      <c r="A362" s="3">
        <f>IFERROR(__xludf.DUMMYFUNCTION("""COMPUTED_VALUE"""),1844.0)</f>
        <v>1844</v>
      </c>
      <c r="B362" s="11">
        <f>IFERROR(__xludf.DUMMYFUNCTION("""COMPUTED_VALUE"""),45999.974656875)</f>
        <v>45999.97466</v>
      </c>
      <c r="C362" s="3" t="str">
        <f>IFERROR(__xludf.DUMMYFUNCTION("""COMPUTED_VALUE"""),"ชั้นปีที่ 1")</f>
        <v>ชั้นปีที่ 1</v>
      </c>
      <c r="D362" s="3" t="str">
        <f>IFERROR(__xludf.DUMMYFUNCTION("""COMPUTED_VALUE"""),"6803900")</f>
        <v>6803900</v>
      </c>
      <c r="E362" s="3" t="str">
        <f>IFERROR(__xludf.DUMMYFUNCTION("""COMPUTED_VALUE"""),"19")</f>
        <v>19</v>
      </c>
      <c r="F362" s="3" t="str">
        <f>IFERROR(__xludf.DUMMYFUNCTION("""COMPUTED_VALUE"""),"นพอ.ณัฐพัชร์ กาฬพรรณลึก")</f>
        <v>นพอ.ณัฐพัชร์ กาฬพรรณลึก</v>
      </c>
      <c r="G362" s="3" t="str">
        <f>IFERROR(__xludf.DUMMYFUNCTION("""COMPUTED_VALUE"""),"ช่วยเหลืองานภายใน วพอ.")</f>
        <v>ช่วยเหลืองานภายใน วพอ.</v>
      </c>
      <c r="H362" s="3" t="str">
        <f>IFERROR(__xludf.DUMMYFUNCTION("""COMPUTED_VALUE"""),"เหรัญญิกชั้นปีที่ 1")</f>
        <v>เหรัญญิกชั้นปีที่ 1</v>
      </c>
      <c r="I362" s="3" t="str">
        <f>IFERROR(__xludf.DUMMYFUNCTION("""COMPUTED_VALUE"""),"วพอ.พอ.")</f>
        <v>วพอ.พอ.</v>
      </c>
      <c r="J362" s="12">
        <f>IFERROR(__xludf.DUMMYFUNCTION("""COMPUTED_VALUE"""),45966.0)</f>
        <v>45966</v>
      </c>
      <c r="K362" s="3" t="str">
        <f>IFERROR(__xludf.DUMMYFUNCTION("""COMPUTED_VALUE"""),"0800-1600")</f>
        <v>0800-1600</v>
      </c>
      <c r="L362" s="3">
        <f>IFERROR(__xludf.DUMMYFUNCTION("""COMPUTED_VALUE"""),8.0)</f>
        <v>8</v>
      </c>
      <c r="M362" s="3" t="str">
        <f>IFERROR(__xludf.DUMMYFUNCTION("""COMPUTED_VALUE"""),"ร.อ.ฤทธิพล อ้วนสิงห์")</f>
        <v>ร.อ.ฤทธิพล อ้วนสิงห์</v>
      </c>
      <c r="N362" s="14" t="str">
        <f>IFERROR(__xludf.DUMMYFUNCTION("""COMPUTED_VALUE"""),"https://lh5.googleusercontent.com/d/1FNYDqkfUpYJBOuhXDLRD0iQ4TF-pzg9A")</f>
        <v>https://lh5.googleusercontent.com/d/1FNYDqkfUpYJBOuhXDLRD0iQ4TF-pzg9A</v>
      </c>
      <c r="O362" s="14" t="str">
        <f>IFERROR(__xludf.DUMMYFUNCTION("""COMPUTED_VALUE"""),"https://drive.google.com/file/d/1CH1WahlVueECc9khVl4ID8G4GfVIXpVr/view?usp=drivesdk")</f>
        <v>https://drive.google.com/file/d/1CH1WahlVueECc9khVl4ID8G4GfVIXpVr/view?usp=drivesdk</v>
      </c>
    </row>
    <row r="363">
      <c r="A363" s="3">
        <f>IFERROR(__xludf.DUMMYFUNCTION("""COMPUTED_VALUE"""),1845.0)</f>
        <v>1845</v>
      </c>
      <c r="B363" s="11">
        <f>IFERROR(__xludf.DUMMYFUNCTION("""COMPUTED_VALUE"""),45999.975541875)</f>
        <v>45999.97554</v>
      </c>
      <c r="C363" s="3" t="str">
        <f>IFERROR(__xludf.DUMMYFUNCTION("""COMPUTED_VALUE"""),"ชั้นปีที่ 1")</f>
        <v>ชั้นปีที่ 1</v>
      </c>
      <c r="D363" s="3" t="str">
        <f>IFERROR(__xludf.DUMMYFUNCTION("""COMPUTED_VALUE"""),"6803900")</f>
        <v>6803900</v>
      </c>
      <c r="E363" s="3" t="str">
        <f>IFERROR(__xludf.DUMMYFUNCTION("""COMPUTED_VALUE"""),"19")</f>
        <v>19</v>
      </c>
      <c r="F363" s="3" t="str">
        <f>IFERROR(__xludf.DUMMYFUNCTION("""COMPUTED_VALUE"""),"นพอ.ณัฐพัชร์ กาฬพรรณลึก")</f>
        <v>นพอ.ณัฐพัชร์ กาฬพรรณลึก</v>
      </c>
      <c r="G363" s="3" t="str">
        <f>IFERROR(__xludf.DUMMYFUNCTION("""COMPUTED_VALUE"""),"ช่วยเหลืองานภายใน วพอ.")</f>
        <v>ช่วยเหลืองานภายใน วพอ.</v>
      </c>
      <c r="H363" s="3" t="str">
        <f>IFERROR(__xludf.DUMMYFUNCTION("""COMPUTED_VALUE"""),"เหรัญญิกชั้นปีที่ 1")</f>
        <v>เหรัญญิกชั้นปีที่ 1</v>
      </c>
      <c r="I363" s="3" t="str">
        <f>IFERROR(__xludf.DUMMYFUNCTION("""COMPUTED_VALUE"""),"วพอ.พอ.")</f>
        <v>วพอ.พอ.</v>
      </c>
      <c r="J363" s="12">
        <f>IFERROR(__xludf.DUMMYFUNCTION("""COMPUTED_VALUE"""),45967.0)</f>
        <v>45967</v>
      </c>
      <c r="K363" s="3" t="str">
        <f>IFERROR(__xludf.DUMMYFUNCTION("""COMPUTED_VALUE"""),"0800-1400")</f>
        <v>0800-1400</v>
      </c>
      <c r="L363" s="3">
        <f>IFERROR(__xludf.DUMMYFUNCTION("""COMPUTED_VALUE"""),4.0)</f>
        <v>4</v>
      </c>
      <c r="M363" s="3" t="str">
        <f>IFERROR(__xludf.DUMMYFUNCTION("""COMPUTED_VALUE"""),"ร.อ.ฤทธิพล อ้วนสิงห์")</f>
        <v>ร.อ.ฤทธิพล อ้วนสิงห์</v>
      </c>
      <c r="N363" s="14" t="str">
        <f>IFERROR(__xludf.DUMMYFUNCTION("""COMPUTED_VALUE"""),"https://lh5.googleusercontent.com/d/1ofZVEmtQIQ-ntb6EYFiyCFGP3aNBrRhi")</f>
        <v>https://lh5.googleusercontent.com/d/1ofZVEmtQIQ-ntb6EYFiyCFGP3aNBrRhi</v>
      </c>
      <c r="O363" s="14" t="str">
        <f>IFERROR(__xludf.DUMMYFUNCTION("""COMPUTED_VALUE"""),"https://drive.google.com/file/d/1oxWqf_IWMfTbz4hbTzx46-f9eBRGyQSB/view?usp=drivesdk")</f>
        <v>https://drive.google.com/file/d/1oxWqf_IWMfTbz4hbTzx46-f9eBRGyQSB/view?usp=drivesdk</v>
      </c>
    </row>
    <row r="364">
      <c r="A364" s="3">
        <f>IFERROR(__xludf.DUMMYFUNCTION("""COMPUTED_VALUE"""),1850.0)</f>
        <v>1850</v>
      </c>
      <c r="B364" s="11">
        <f>IFERROR(__xludf.DUMMYFUNCTION("""COMPUTED_VALUE"""),45999.98835918981)</f>
        <v>45999.98836</v>
      </c>
      <c r="C364" s="3" t="str">
        <f>IFERROR(__xludf.DUMMYFUNCTION("""COMPUTED_VALUE"""),"ชั้นปีที่ 1")</f>
        <v>ชั้นปีที่ 1</v>
      </c>
      <c r="D364" s="3" t="str">
        <f>IFERROR(__xludf.DUMMYFUNCTION("""COMPUTED_VALUE"""),"6803943")</f>
        <v>6803943</v>
      </c>
      <c r="E364" s="3" t="str">
        <f>IFERROR(__xludf.DUMMYFUNCTION("""COMPUTED_VALUE"""),"62")</f>
        <v>62</v>
      </c>
      <c r="F364" s="3" t="str">
        <f>IFERROR(__xludf.DUMMYFUNCTION("""COMPUTED_VALUE"""),"นพอ.อภิสรา บุญเกื้อ")</f>
        <v>นพอ.อภิสรา บุญเกื้อ</v>
      </c>
      <c r="G364" s="3" t="str">
        <f>IFERROR(__xludf.DUMMYFUNCTION("""COMPUTED_VALUE"""),"งานฟรีทั่วไป")</f>
        <v>งานฟรีทั่วไป</v>
      </c>
      <c r="H364" s="3" t="str">
        <f>IFERROR(__xludf.DUMMYFUNCTION("""COMPUTED_VALUE"""),"กวาดบ้าน")</f>
        <v>กวาดบ้าน</v>
      </c>
      <c r="I364" s="3" t="str">
        <f>IFERROR(__xludf.DUMMYFUNCTION("""COMPUTED_VALUE"""),"บ้าน")</f>
        <v>บ้าน</v>
      </c>
      <c r="J364" s="12">
        <f>IFERROR(__xludf.DUMMYFUNCTION("""COMPUTED_VALUE"""),45941.0)</f>
        <v>45941</v>
      </c>
      <c r="K364" s="3" t="str">
        <f>IFERROR(__xludf.DUMMYFUNCTION("""COMPUTED_VALUE"""),"2000")</f>
        <v>2000</v>
      </c>
      <c r="L364" s="3">
        <f>IFERROR(__xludf.DUMMYFUNCTION("""COMPUTED_VALUE"""),4.0)</f>
        <v>4</v>
      </c>
      <c r="M364" s="3" t="str">
        <f>IFERROR(__xludf.DUMMYFUNCTION("""COMPUTED_VALUE"""),"นางสรัญญา บุญเกื้อ")</f>
        <v>นางสรัญญา บุญเกื้อ</v>
      </c>
      <c r="N364" s="14" t="str">
        <f>IFERROR(__xludf.DUMMYFUNCTION("""COMPUTED_VALUE"""),"https://lh5.googleusercontent.com/d/1T2ieo669tsymowQFZDtkHBc1buc5wfDv")</f>
        <v>https://lh5.googleusercontent.com/d/1T2ieo669tsymowQFZDtkHBc1buc5wfDv</v>
      </c>
      <c r="O364" s="14" t="str">
        <f>IFERROR(__xludf.DUMMYFUNCTION("""COMPUTED_VALUE"""),"https://drive.google.com/file/d/1JvOGo4rlQagr3TpHdQ6nPe9q8Nt9mpot/view?usp=drivesdk")</f>
        <v>https://drive.google.com/file/d/1JvOGo4rlQagr3TpHdQ6nPe9q8Nt9mpot/view?usp=drivesdk</v>
      </c>
    </row>
    <row r="365">
      <c r="A365" s="3">
        <f>IFERROR(__xludf.DUMMYFUNCTION("""COMPUTED_VALUE"""),1861.0)</f>
        <v>1861</v>
      </c>
      <c r="B365" s="11">
        <f>IFERROR(__xludf.DUMMYFUNCTION("""COMPUTED_VALUE"""),46000.2355071875)</f>
        <v>46000.23551</v>
      </c>
      <c r="C365" s="3" t="str">
        <f>IFERROR(__xludf.DUMMYFUNCTION("""COMPUTED_VALUE"""),"ชั้นปีที่ 1")</f>
        <v>ชั้นปีที่ 1</v>
      </c>
      <c r="D365" s="3" t="str">
        <f>IFERROR(__xludf.DUMMYFUNCTION("""COMPUTED_VALUE"""),"6803885")</f>
        <v>6803885</v>
      </c>
      <c r="E365" s="3" t="str">
        <f>IFERROR(__xludf.DUMMYFUNCTION("""COMPUTED_VALUE"""),"4")</f>
        <v>4</v>
      </c>
      <c r="F365" s="3" t="str">
        <f>IFERROR(__xludf.DUMMYFUNCTION("""COMPUTED_VALUE"""),"นพอ.กษิดิ์เดช เอมอานนท์")</f>
        <v>นพอ.กษิดิ์เดช เอมอานนท์</v>
      </c>
      <c r="G365" s="3" t="str">
        <f>IFERROR(__xludf.DUMMYFUNCTION("""COMPUTED_VALUE"""),"ช่วยเหลืองานภายใน วพอ.")</f>
        <v>ช่วยเหลืองานภายใน วพอ.</v>
      </c>
      <c r="H365" s="3" t="str">
        <f>IFERROR(__xludf.DUMMYFUNCTION("""COMPUTED_VALUE"""),"ดูแลและจัดห้องพักผ่อน นพอ")</f>
        <v>ดูแลและจัดห้องพักผ่อน นพอ</v>
      </c>
      <c r="I365" s="3" t="str">
        <f>IFERROR(__xludf.DUMMYFUNCTION("""COMPUTED_VALUE"""),"ห้องพักผ่อนนพอ.")</f>
        <v>ห้องพักผ่อนนพอ.</v>
      </c>
      <c r="J365" s="12">
        <f>IFERROR(__xludf.DUMMYFUNCTION("""COMPUTED_VALUE"""),45999.0)</f>
        <v>45999</v>
      </c>
      <c r="K365" s="3" t="str">
        <f>IFERROR(__xludf.DUMMYFUNCTION("""COMPUTED_VALUE"""),"-")</f>
        <v>-</v>
      </c>
      <c r="L365" s="3">
        <f>IFERROR(__xludf.DUMMYFUNCTION("""COMPUTED_VALUE"""),4.0)</f>
        <v>4</v>
      </c>
      <c r="M365" s="3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365" s="3"/>
      <c r="O365" s="3"/>
    </row>
    <row r="366">
      <c r="A366" s="3">
        <f>IFERROR(__xludf.DUMMYFUNCTION("""COMPUTED_VALUE"""),1862.0)</f>
        <v>1862</v>
      </c>
      <c r="B366" s="11">
        <f>IFERROR(__xludf.DUMMYFUNCTION("""COMPUTED_VALUE"""),46000.23573511575)</f>
        <v>46000.23574</v>
      </c>
      <c r="C366" s="3" t="str">
        <f>IFERROR(__xludf.DUMMYFUNCTION("""COMPUTED_VALUE"""),"ชั้นปีที่ 1")</f>
        <v>ชั้นปีที่ 1</v>
      </c>
      <c r="D366" s="3" t="str">
        <f>IFERROR(__xludf.DUMMYFUNCTION("""COMPUTED_VALUE"""),"6803885")</f>
        <v>6803885</v>
      </c>
      <c r="E366" s="3" t="str">
        <f>IFERROR(__xludf.DUMMYFUNCTION("""COMPUTED_VALUE"""),"4")</f>
        <v>4</v>
      </c>
      <c r="F366" s="3" t="str">
        <f>IFERROR(__xludf.DUMMYFUNCTION("""COMPUTED_VALUE"""),"นพอ.กษิดิ์เดช เอมอานนท์")</f>
        <v>นพอ.กษิดิ์เดช เอมอานนท์</v>
      </c>
      <c r="G366" s="3" t="str">
        <f>IFERROR(__xludf.DUMMYFUNCTION("""COMPUTED_VALUE"""),"ช่วยเหลืองานภายใน วพอ.")</f>
        <v>ช่วยเหลืองานภายใน วพอ.</v>
      </c>
      <c r="H366" s="3" t="str">
        <f>IFERROR(__xludf.DUMMYFUNCTION("""COMPUTED_VALUE"""),"ดูแลและจัดห้องพักผ่อน นพอ")</f>
        <v>ดูแลและจัดห้องพักผ่อน นพอ</v>
      </c>
      <c r="I366" s="3" t="str">
        <f>IFERROR(__xludf.DUMMYFUNCTION("""COMPUTED_VALUE"""),"ห้องพักผ่อนนพอ.")</f>
        <v>ห้องพักผ่อนนพอ.</v>
      </c>
      <c r="J366" s="12">
        <f>IFERROR(__xludf.DUMMYFUNCTION("""COMPUTED_VALUE"""),45999.0)</f>
        <v>45999</v>
      </c>
      <c r="K366" s="3" t="str">
        <f>IFERROR(__xludf.DUMMYFUNCTION("""COMPUTED_VALUE"""),"-")</f>
        <v>-</v>
      </c>
      <c r="L366" s="3">
        <f>IFERROR(__xludf.DUMMYFUNCTION("""COMPUTED_VALUE"""),4.0)</f>
        <v>4</v>
      </c>
      <c r="M366" s="3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366" s="3"/>
      <c r="O366" s="3"/>
    </row>
    <row r="367">
      <c r="A367" s="3">
        <f>IFERROR(__xludf.DUMMYFUNCTION("""COMPUTED_VALUE"""),1876.0)</f>
        <v>1876</v>
      </c>
      <c r="B367" s="11">
        <f>IFERROR(__xludf.DUMMYFUNCTION("""COMPUTED_VALUE"""),46000.32092766204)</f>
        <v>46000.32093</v>
      </c>
      <c r="C367" s="3" t="str">
        <f>IFERROR(__xludf.DUMMYFUNCTION("""COMPUTED_VALUE"""),"ชั้นปีที่ 1")</f>
        <v>ชั้นปีที่ 1</v>
      </c>
      <c r="D367" s="3" t="str">
        <f>IFERROR(__xludf.DUMMYFUNCTION("""COMPUTED_VALUE"""),"6803890")</f>
        <v>6803890</v>
      </c>
      <c r="E367" s="3" t="str">
        <f>IFERROR(__xludf.DUMMYFUNCTION("""COMPUTED_VALUE"""),"9")</f>
        <v>9</v>
      </c>
      <c r="F367" s="3" t="str">
        <f>IFERROR(__xludf.DUMMYFUNCTION("""COMPUTED_VALUE"""),"นพอ.จักรพงศ์ ปรีชาคม")</f>
        <v>นพอ.จักรพงศ์ ปรีชาคม</v>
      </c>
      <c r="G36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67" s="3" t="str">
        <f>IFERROR(__xludf.DUMMYFUNCTION("""COMPUTED_VALUE"""),"พยาบาลไทยบริจาคโลหิต ช่วยชีวิตเพื่อนมนุษย์")</f>
        <v>พยาบาลไทยบริจาคโลหิต ช่วยชีวิตเพื่อนมนุษย์</v>
      </c>
      <c r="I367" s="3" t="str">
        <f>IFERROR(__xludf.DUMMYFUNCTION("""COMPUTED_VALUE"""),"สภากาชาด")</f>
        <v>สภากาชาด</v>
      </c>
      <c r="J367" s="12">
        <f>IFERROR(__xludf.DUMMYFUNCTION("""COMPUTED_VALUE"""),45916.0)</f>
        <v>45916</v>
      </c>
      <c r="K367" s="3" t="str">
        <f>IFERROR(__xludf.DUMMYFUNCTION("""COMPUTED_VALUE"""),"0800")</f>
        <v>0800</v>
      </c>
      <c r="L367" s="3">
        <f>IFERROR(__xludf.DUMMYFUNCTION("""COMPUTED_VALUE"""),8.0)</f>
        <v>8</v>
      </c>
      <c r="M367" s="3" t="str">
        <f>IFERROR(__xludf.DUMMYFUNCTION("""COMPUTED_VALUE"""),"น.ท.หญิง อนุกูล บำรุงวงค์")</f>
        <v>น.ท.หญิง อนุกูล บำรุงวงค์</v>
      </c>
      <c r="N367" s="14" t="str">
        <f>IFERROR(__xludf.DUMMYFUNCTION("""COMPUTED_VALUE"""),"https://lh5.googleusercontent.com/d/17StTP_lIP9JIZjcm16ekJnxopFkUapOu")</f>
        <v>https://lh5.googleusercontent.com/d/17StTP_lIP9JIZjcm16ekJnxopFkUapOu</v>
      </c>
      <c r="O367" s="14" t="str">
        <f>IFERROR(__xludf.DUMMYFUNCTION("""COMPUTED_VALUE"""),"https://drive.google.com/file/d/1FhEKk5HybXJEY_vak0zlJhTUnh8LnWAl/view?usp=drivesdk")</f>
        <v>https://drive.google.com/file/d/1FhEKk5HybXJEY_vak0zlJhTUnh8LnWAl/view?usp=drivesdk</v>
      </c>
    </row>
    <row r="368">
      <c r="A368" s="3">
        <f>IFERROR(__xludf.DUMMYFUNCTION("""COMPUTED_VALUE"""),1877.0)</f>
        <v>1877</v>
      </c>
      <c r="B368" s="11">
        <f>IFERROR(__xludf.DUMMYFUNCTION("""COMPUTED_VALUE"""),46000.32388438658)</f>
        <v>46000.32388</v>
      </c>
      <c r="C368" s="3" t="str">
        <f>IFERROR(__xludf.DUMMYFUNCTION("""COMPUTED_VALUE"""),"ชั้นปีที่ 1")</f>
        <v>ชั้นปีที่ 1</v>
      </c>
      <c r="D368" s="3" t="str">
        <f>IFERROR(__xludf.DUMMYFUNCTION("""COMPUTED_VALUE"""),"6803918")</f>
        <v>6803918</v>
      </c>
      <c r="E368" s="3" t="str">
        <f>IFERROR(__xludf.DUMMYFUNCTION("""COMPUTED_VALUE"""),"37")</f>
        <v>37</v>
      </c>
      <c r="F368" s="3" t="str">
        <f>IFERROR(__xludf.DUMMYFUNCTION("""COMPUTED_VALUE"""),"นพอ.พลอยธิดา รัตนกิจ")</f>
        <v>นพอ.พลอยธิดา รัตนกิจ</v>
      </c>
      <c r="G368" s="3" t="str">
        <f>IFERROR(__xludf.DUMMYFUNCTION("""COMPUTED_VALUE"""),"เข้าอบรมต่างๆที่ทางวพอ.จัดให้")</f>
        <v>เข้าอบรมต่างๆที่ทางวพอ.จัดให้</v>
      </c>
      <c r="H368" s="3" t="str">
        <f>IFERROR(__xludf.DUMMYFUNCTION("""COMPUTED_VALUE"""),"Meet the youth cyber guardians Thailand 2025")</f>
        <v>Meet the youth cyber guardians Thailand 2025</v>
      </c>
      <c r="I368" s="3" t="str">
        <f>IFERROR(__xludf.DUMMYFUNCTION("""COMPUTED_VALUE"""),"กองบัญชาการกองทัพไทย")</f>
        <v>กองบัญชาการกองทัพไทย</v>
      </c>
      <c r="J368" s="12">
        <f>IFERROR(__xludf.DUMMYFUNCTION("""COMPUTED_VALUE"""),45907.0)</f>
        <v>45907</v>
      </c>
      <c r="K368" s="3" t="str">
        <f>IFERROR(__xludf.DUMMYFUNCTION("""COMPUTED_VALUE"""),"0700-1630")</f>
        <v>0700-1630</v>
      </c>
      <c r="L368" s="3">
        <f>IFERROR(__xludf.DUMMYFUNCTION("""COMPUTED_VALUE"""),8.0)</f>
        <v>8</v>
      </c>
      <c r="M368" s="3" t="str">
        <f>IFERROR(__xludf.DUMMYFUNCTION("""COMPUTED_VALUE"""),"ร.อ.อนุชิต ทำจะดี")</f>
        <v>ร.อ.อนุชิต ทำจะดี</v>
      </c>
      <c r="N368" s="14" t="str">
        <f>IFERROR(__xludf.DUMMYFUNCTION("""COMPUTED_VALUE"""),"https://lh5.googleusercontent.com/d/1rhXsTPcq3hEd7H1whnqGjhGldRElh3_c")</f>
        <v>https://lh5.googleusercontent.com/d/1rhXsTPcq3hEd7H1whnqGjhGldRElh3_c</v>
      </c>
      <c r="O368" s="14" t="str">
        <f>IFERROR(__xludf.DUMMYFUNCTION("""COMPUTED_VALUE"""),"https://drive.google.com/file/d/1rL30dFN6jwcA498Q-y47SnwAQTp7AP3t/view?usp=drivesdk")</f>
        <v>https://drive.google.com/file/d/1rL30dFN6jwcA498Q-y47SnwAQTp7AP3t/view?usp=drivesdk</v>
      </c>
    </row>
    <row r="369">
      <c r="A369" s="3">
        <f>IFERROR(__xludf.DUMMYFUNCTION("""COMPUTED_VALUE"""),1879.0)</f>
        <v>1879</v>
      </c>
      <c r="B369" s="11">
        <f>IFERROR(__xludf.DUMMYFUNCTION("""COMPUTED_VALUE"""),46000.328074467594)</f>
        <v>46000.32807</v>
      </c>
      <c r="C369" s="3" t="str">
        <f>IFERROR(__xludf.DUMMYFUNCTION("""COMPUTED_VALUE"""),"ชั้นปีที่ 1")</f>
        <v>ชั้นปีที่ 1</v>
      </c>
      <c r="D369" s="3" t="str">
        <f>IFERROR(__xludf.DUMMYFUNCTION("""COMPUTED_VALUE"""),"6803918")</f>
        <v>6803918</v>
      </c>
      <c r="E369" s="3" t="str">
        <f>IFERROR(__xludf.DUMMYFUNCTION("""COMPUTED_VALUE"""),"37")</f>
        <v>37</v>
      </c>
      <c r="F369" s="3" t="str">
        <f>IFERROR(__xludf.DUMMYFUNCTION("""COMPUTED_VALUE"""),"นพอ.พลอยธิดา รัตนกิจ")</f>
        <v>นพอ.พลอยธิดา รัตนกิจ</v>
      </c>
      <c r="G36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69" s="3" t="str">
        <f>IFERROR(__xludf.DUMMYFUNCTION("""COMPUTED_VALUE"""),"ค่ายแนะแนวรัฐบุรุษ 2")</f>
        <v>ค่ายแนะแนวรัฐบุรุษ 2</v>
      </c>
      <c r="I369" s="3" t="str">
        <f>IFERROR(__xludf.DUMMYFUNCTION("""COMPUTED_VALUE"""),"โรงเรียนชลกันยานุกูล จ.ชลบุรี")</f>
        <v>โรงเรียนชลกันยานุกูล จ.ชลบุรี</v>
      </c>
      <c r="J369" s="12">
        <f>IFERROR(__xludf.DUMMYFUNCTION("""COMPUTED_VALUE"""),45970.0)</f>
        <v>45970</v>
      </c>
      <c r="K369" s="3" t="str">
        <f>IFERROR(__xludf.DUMMYFUNCTION("""COMPUTED_VALUE"""),"0800-1600")</f>
        <v>0800-1600</v>
      </c>
      <c r="L369" s="3">
        <f>IFERROR(__xludf.DUMMYFUNCTION("""COMPUTED_VALUE"""),8.0)</f>
        <v>8</v>
      </c>
      <c r="M36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369" s="14" t="str">
        <f>IFERROR(__xludf.DUMMYFUNCTION("""COMPUTED_VALUE"""),"https://lh5.googleusercontent.com/d/1XI6CJT_xeSPDdMJ2LLeyRTUoH-sjGU5Q")</f>
        <v>https://lh5.googleusercontent.com/d/1XI6CJT_xeSPDdMJ2LLeyRTUoH-sjGU5Q</v>
      </c>
      <c r="O369" s="14" t="str">
        <f>IFERROR(__xludf.DUMMYFUNCTION("""COMPUTED_VALUE"""),"https://drive.google.com/file/d/1djpZffRQ38vTWaU0BmlHpMgVfkOLAu-m/view?usp=drivesdk")</f>
        <v>https://drive.google.com/file/d/1djpZffRQ38vTWaU0BmlHpMgVfkOLAu-m/view?usp=drivesdk</v>
      </c>
    </row>
    <row r="370">
      <c r="A370" s="3">
        <f>IFERROR(__xludf.DUMMYFUNCTION("""COMPUTED_VALUE"""),1884.0)</f>
        <v>1884</v>
      </c>
      <c r="B370" s="11">
        <f>IFERROR(__xludf.DUMMYFUNCTION("""COMPUTED_VALUE"""),46000.42224054399)</f>
        <v>46000.42224</v>
      </c>
      <c r="C370" s="3" t="str">
        <f>IFERROR(__xludf.DUMMYFUNCTION("""COMPUTED_VALUE"""),"ชั้นปีที่ 1")</f>
        <v>ชั้นปีที่ 1</v>
      </c>
      <c r="D370" s="3" t="str">
        <f>IFERROR(__xludf.DUMMYFUNCTION("""COMPUTED_VALUE"""),"6803925")</f>
        <v>6803925</v>
      </c>
      <c r="E370" s="3" t="str">
        <f>IFERROR(__xludf.DUMMYFUNCTION("""COMPUTED_VALUE"""),"44")</f>
        <v>44</v>
      </c>
      <c r="F370" s="3" t="str">
        <f>IFERROR(__xludf.DUMMYFUNCTION("""COMPUTED_VALUE"""),"ภัทรพร ม่วงแคล้ว")</f>
        <v>ภัทรพร ม่วงแคล้ว</v>
      </c>
      <c r="G370" s="3" t="str">
        <f>IFERROR(__xludf.DUMMYFUNCTION("""COMPUTED_VALUE"""),"ช่วยเหลืองานภายใน วพอ.")</f>
        <v>ช่วยเหลืองานภายใน วพอ.</v>
      </c>
      <c r="H370" s="3" t="str">
        <f>IFERROR(__xludf.DUMMYFUNCTION("""COMPUTED_VALUE"""),"เล่นดุริงยาง")</f>
        <v>เล่นดุริงยาง</v>
      </c>
      <c r="I370" s="3" t="str">
        <f>IFERROR(__xludf.DUMMYFUNCTION("""COMPUTED_VALUE"""),"วพอ.พอ")</f>
        <v>วพอ.พอ</v>
      </c>
      <c r="J370" s="12">
        <f>IFERROR(__xludf.DUMMYFUNCTION("""COMPUTED_VALUE"""),45975.0)</f>
        <v>45975</v>
      </c>
      <c r="K370" s="3" t="str">
        <f>IFERROR(__xludf.DUMMYFUNCTION("""COMPUTED_VALUE"""),"0700-0800")</f>
        <v>0700-0800</v>
      </c>
      <c r="L370" s="3">
        <f>IFERROR(__xludf.DUMMYFUNCTION("""COMPUTED_VALUE"""),1.0)</f>
        <v>1</v>
      </c>
      <c r="M370" s="3" t="str">
        <f>IFERROR(__xludf.DUMMYFUNCTION("""COMPUTED_VALUE"""),"ร.อ.อนุชิต ทำจะดี")</f>
        <v>ร.อ.อนุชิต ทำจะดี</v>
      </c>
      <c r="N370" s="14" t="str">
        <f>IFERROR(__xludf.DUMMYFUNCTION("""COMPUTED_VALUE"""),"https://lh5.googleusercontent.com/d/1F1DCb9ofCSQ6y-xDz_D78Nw5I6Sr6qHq")</f>
        <v>https://lh5.googleusercontent.com/d/1F1DCb9ofCSQ6y-xDz_D78Nw5I6Sr6qHq</v>
      </c>
      <c r="O370" s="14" t="str">
        <f>IFERROR(__xludf.DUMMYFUNCTION("""COMPUTED_VALUE"""),"https://drive.google.com/file/d/1eNZhwjVzFWTChSCILHUNJcxww8mrhk80/view?usp=drivesdk")</f>
        <v>https://drive.google.com/file/d/1eNZhwjVzFWTChSCILHUNJcxww8mrhk80/view?usp=drivesdk</v>
      </c>
    </row>
    <row r="371">
      <c r="A371" s="3">
        <f>IFERROR(__xludf.DUMMYFUNCTION("""COMPUTED_VALUE"""),1886.0)</f>
        <v>1886</v>
      </c>
      <c r="B371" s="11">
        <f>IFERROR(__xludf.DUMMYFUNCTION("""COMPUTED_VALUE"""),46000.426015115736)</f>
        <v>46000.42602</v>
      </c>
      <c r="C371" s="3" t="str">
        <f>IFERROR(__xludf.DUMMYFUNCTION("""COMPUTED_VALUE"""),"ชั้นปีที่ 1")</f>
        <v>ชั้นปีที่ 1</v>
      </c>
      <c r="D371" s="3" t="str">
        <f>IFERROR(__xludf.DUMMYFUNCTION("""COMPUTED_VALUE"""),"6803945")</f>
        <v>6803945</v>
      </c>
      <c r="E371" s="3" t="str">
        <f>IFERROR(__xludf.DUMMYFUNCTION("""COMPUTED_VALUE"""),"64")</f>
        <v>64</v>
      </c>
      <c r="F371" s="3" t="str">
        <f>IFERROR(__xludf.DUMMYFUNCTION("""COMPUTED_VALUE"""),"ไอลดา ศาลากิจ")</f>
        <v>ไอลดา ศาลากิจ</v>
      </c>
      <c r="G37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71" s="3" t="str">
        <f>IFERROR(__xludf.DUMMYFUNCTION("""COMPUTED_VALUE"""),"""พยาบาลไทยบริจาคโลหิต ช่วยชีวิตเพื่อนมนุษย์ปี4""")</f>
        <v>"พยาบาลไทยบริจาคโลหิต ช่วยชีวิตเพื่อนมนุษย์ปี4"</v>
      </c>
      <c r="I371" s="3" t="str">
        <f>IFERROR(__xludf.DUMMYFUNCTION("""COMPUTED_VALUE"""),"ศูนย์บริจาคโลหิตสภากาชาดไทย")</f>
        <v>ศูนย์บริจาคโลหิตสภากาชาดไทย</v>
      </c>
      <c r="J371" s="12">
        <f>IFERROR(__xludf.DUMMYFUNCTION("""COMPUTED_VALUE"""),45916.0)</f>
        <v>45916</v>
      </c>
      <c r="K371" s="3" t="str">
        <f>IFERROR(__xludf.DUMMYFUNCTION("""COMPUTED_VALUE"""),"0800")</f>
        <v>0800</v>
      </c>
      <c r="L371" s="3">
        <f>IFERROR(__xludf.DUMMYFUNCTION("""COMPUTED_VALUE"""),8.0)</f>
        <v>8</v>
      </c>
      <c r="M371" s="3" t="str">
        <f>IFERROR(__xludf.DUMMYFUNCTION("""COMPUTED_VALUE"""),"น.ท.หญิง อนุกูล บำรุงวงค์")</f>
        <v>น.ท.หญิง อนุกูล บำรุงวงค์</v>
      </c>
      <c r="N371" s="14" t="str">
        <f>IFERROR(__xludf.DUMMYFUNCTION("""COMPUTED_VALUE"""),"https://lh5.googleusercontent.com/d/1mLQmi69Uci6gfWuGiovGRcKVbsmGtEQu")</f>
        <v>https://lh5.googleusercontent.com/d/1mLQmi69Uci6gfWuGiovGRcKVbsmGtEQu</v>
      </c>
      <c r="O371" s="14" t="str">
        <f>IFERROR(__xludf.DUMMYFUNCTION("""COMPUTED_VALUE"""),"https://drive.google.com/file/d/1DVJTTUiTJIgeTa3uKUEccErO7nGi49tP/view?usp=drivesdk")</f>
        <v>https://drive.google.com/file/d/1DVJTTUiTJIgeTa3uKUEccErO7nGi49tP/view?usp=drivesdk</v>
      </c>
    </row>
    <row r="372">
      <c r="A372" s="3">
        <f>IFERROR(__xludf.DUMMYFUNCTION("""COMPUTED_VALUE"""),1888.0)</f>
        <v>1888</v>
      </c>
      <c r="B372" s="11">
        <f>IFERROR(__xludf.DUMMYFUNCTION("""COMPUTED_VALUE"""),46000.42695760417)</f>
        <v>46000.42696</v>
      </c>
      <c r="C372" s="3" t="str">
        <f>IFERROR(__xludf.DUMMYFUNCTION("""COMPUTED_VALUE"""),"ชั้นปีที่ 1")</f>
        <v>ชั้นปีที่ 1</v>
      </c>
      <c r="D372" s="3" t="str">
        <f>IFERROR(__xludf.DUMMYFUNCTION("""COMPUTED_VALUE"""),"6803913")</f>
        <v>6803913</v>
      </c>
      <c r="E372" s="3" t="str">
        <f>IFERROR(__xludf.DUMMYFUNCTION("""COMPUTED_VALUE"""),"32")</f>
        <v>32</v>
      </c>
      <c r="F372" s="3" t="str">
        <f>IFERROR(__xludf.DUMMYFUNCTION("""COMPUTED_VALUE"""),"นพอ.ปกรณ์เกียรติ ชูปู")</f>
        <v>นพอ.ปกรณ์เกียรติ ชูปู</v>
      </c>
      <c r="G3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2" s="3" t="str">
        <f>IFERROR(__xludf.DUMMYFUNCTION("""COMPUTED_VALUE"""),"Meet The Yuth Hacker Thailand 2025")</f>
        <v>Meet The Yuth Hacker Thailand 2025</v>
      </c>
      <c r="I372" s="3" t="str">
        <f>IFERROR(__xludf.DUMMYFUNCTION("""COMPUTED_VALUE"""),"อาคาร 15 กองบัญชาการกองทัพไทย (บก.ทท.)")</f>
        <v>อาคาร 15 กองบัญชาการกองทัพไทย (บก.ทท.)</v>
      </c>
      <c r="J372" s="12">
        <f>IFERROR(__xludf.DUMMYFUNCTION("""COMPUTED_VALUE"""),45907.0)</f>
        <v>45907</v>
      </c>
      <c r="K372" s="3" t="str">
        <f>IFERROR(__xludf.DUMMYFUNCTION("""COMPUTED_VALUE"""),"0800-1600")</f>
        <v>0800-1600</v>
      </c>
      <c r="L372" s="3">
        <f>IFERROR(__xludf.DUMMYFUNCTION("""COMPUTED_VALUE"""),8.0)</f>
        <v>8</v>
      </c>
      <c r="M372" s="3" t="str">
        <f>IFERROR(__xludf.DUMMYFUNCTION("""COMPUTED_VALUE"""),"ร.อ.อนุชิต ทำจะดี")</f>
        <v>ร.อ.อนุชิต ทำจะดี</v>
      </c>
      <c r="N372" s="14" t="str">
        <f>IFERROR(__xludf.DUMMYFUNCTION("""COMPUTED_VALUE"""),"https://lh5.googleusercontent.com/d/1Hi6VBnt6sAc_rFyyn_R5KQLVyv-1VQ8g")</f>
        <v>https://lh5.googleusercontent.com/d/1Hi6VBnt6sAc_rFyyn_R5KQLVyv-1VQ8g</v>
      </c>
      <c r="O372" s="14" t="str">
        <f>IFERROR(__xludf.DUMMYFUNCTION("""COMPUTED_VALUE"""),"https://drive.google.com/file/d/1ovL5Xl0Dclrd_GBxLILf0JCMAQY1gMJb/view?usp=drivesdk")</f>
        <v>https://drive.google.com/file/d/1ovL5Xl0Dclrd_GBxLILf0JCMAQY1gMJb/view?usp=drivesdk</v>
      </c>
    </row>
    <row r="373">
      <c r="A373" s="3">
        <f>IFERROR(__xludf.DUMMYFUNCTION("""COMPUTED_VALUE"""),1891.0)</f>
        <v>1891</v>
      </c>
      <c r="B373" s="11">
        <f>IFERROR(__xludf.DUMMYFUNCTION("""COMPUTED_VALUE"""),46000.42910375)</f>
        <v>46000.4291</v>
      </c>
      <c r="C373" s="3" t="str">
        <f>IFERROR(__xludf.DUMMYFUNCTION("""COMPUTED_VALUE"""),"ชั้นปีที่ 1")</f>
        <v>ชั้นปีที่ 1</v>
      </c>
      <c r="D373" s="3" t="str">
        <f>IFERROR(__xludf.DUMMYFUNCTION("""COMPUTED_VALUE"""),"6803895")</f>
        <v>6803895</v>
      </c>
      <c r="E373" s="3" t="str">
        <f>IFERROR(__xludf.DUMMYFUNCTION("""COMPUTED_VALUE"""),"14")</f>
        <v>14</v>
      </c>
      <c r="F373" s="3" t="str">
        <f>IFERROR(__xludf.DUMMYFUNCTION("""COMPUTED_VALUE"""),"นพอ.ณัชชา ยอดรัตน์")</f>
        <v>นพอ.ณัชชา ยอดรัตน์</v>
      </c>
      <c r="G37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3" s="3" t="str">
        <f>IFERROR(__xludf.DUMMYFUNCTION("""COMPUTED_VALUE"""),"กวาดบ้าน")</f>
        <v>กวาดบ้าน</v>
      </c>
      <c r="I373" s="3" t="str">
        <f>IFERROR(__xludf.DUMMYFUNCTION("""COMPUTED_VALUE"""),"บ้าน")</f>
        <v>บ้าน</v>
      </c>
      <c r="J373" s="12">
        <f>IFERROR(__xludf.DUMMYFUNCTION("""COMPUTED_VALUE"""),45998.0)</f>
        <v>45998</v>
      </c>
      <c r="K373" s="3" t="str">
        <f>IFERROR(__xludf.DUMMYFUNCTION("""COMPUTED_VALUE"""),"10.00-12.00น.")</f>
        <v>10.00-12.00น.</v>
      </c>
      <c r="L373" s="3">
        <f>IFERROR(__xludf.DUMMYFUNCTION("""COMPUTED_VALUE"""),2.0)</f>
        <v>2</v>
      </c>
      <c r="M373" s="3" t="str">
        <f>IFERROR(__xludf.DUMMYFUNCTION("""COMPUTED_VALUE"""),"นางเพียงพิศ นิตย์โชติ")</f>
        <v>นางเพียงพิศ นิตย์โชติ</v>
      </c>
      <c r="N373" s="14" t="str">
        <f>IFERROR(__xludf.DUMMYFUNCTION("""COMPUTED_VALUE"""),"https://lh5.googleusercontent.com/d/1SdzKjrIEEp0oQUsDCrzTVZMTCJod-qyi")</f>
        <v>https://lh5.googleusercontent.com/d/1SdzKjrIEEp0oQUsDCrzTVZMTCJod-qyi</v>
      </c>
      <c r="O373" s="14" t="str">
        <f>IFERROR(__xludf.DUMMYFUNCTION("""COMPUTED_VALUE"""),"https://drive.google.com/file/d/1j0L8JdmRID-FId_eo1aXrs_d5VuWMOcd/view?usp=drivesdk")</f>
        <v>https://drive.google.com/file/d/1j0L8JdmRID-FId_eo1aXrs_d5VuWMOcd/view?usp=drivesdk</v>
      </c>
    </row>
    <row r="374">
      <c r="A374" s="3">
        <f>IFERROR(__xludf.DUMMYFUNCTION("""COMPUTED_VALUE"""),1892.0)</f>
        <v>1892</v>
      </c>
      <c r="B374" s="11">
        <f>IFERROR(__xludf.DUMMYFUNCTION("""COMPUTED_VALUE"""),46000.429561689816)</f>
        <v>46000.42956</v>
      </c>
      <c r="C374" s="3" t="str">
        <f>IFERROR(__xludf.DUMMYFUNCTION("""COMPUTED_VALUE"""),"ชั้นปีที่ 1")</f>
        <v>ชั้นปีที่ 1</v>
      </c>
      <c r="D374" s="3" t="str">
        <f>IFERROR(__xludf.DUMMYFUNCTION("""COMPUTED_VALUE"""),"6803922")</f>
        <v>6803922</v>
      </c>
      <c r="E374" s="3" t="str">
        <f>IFERROR(__xludf.DUMMYFUNCTION("""COMPUTED_VALUE"""),"41")</f>
        <v>41</v>
      </c>
      <c r="F374" s="3" t="str">
        <f>IFERROR(__xludf.DUMMYFUNCTION("""COMPUTED_VALUE"""),"นพอ.พินิษา อินทร์ศวร")</f>
        <v>นพอ.พินิษา อินทร์ศวร</v>
      </c>
      <c r="G37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4" s="3" t="str">
        <f>IFERROR(__xludf.DUMMYFUNCTION("""COMPUTED_VALUE"""),"ช่วยจัดงานวันสวนสนาม(ไม่มีรูปขณะปฏิบัติงาน)")</f>
        <v>ช่วยจัดงานวันสวนสนาม(ไม่มีรูปขณะปฏิบัติงาน)</v>
      </c>
      <c r="I374" s="3" t="str">
        <f>IFERROR(__xludf.DUMMYFUNCTION("""COMPUTED_VALUE"""),"วพอ.พอ")</f>
        <v>วพอ.พอ</v>
      </c>
      <c r="J374" s="12">
        <f>IFERROR(__xludf.DUMMYFUNCTION("""COMPUTED_VALUE"""),45928.0)</f>
        <v>45928</v>
      </c>
      <c r="K374" s="3" t="str">
        <f>IFERROR(__xludf.DUMMYFUNCTION("""COMPUTED_VALUE"""),"10.00")</f>
        <v>10.00</v>
      </c>
      <c r="L374" s="3">
        <f>IFERROR(__xludf.DUMMYFUNCTION("""COMPUTED_VALUE"""),5.0)</f>
        <v>5</v>
      </c>
      <c r="M374" s="3" t="str">
        <f>IFERROR(__xludf.DUMMYFUNCTION("""COMPUTED_VALUE"""),"ร.อ.อนุชิต ทําจะดี")</f>
        <v>ร.อ.อนุชิต ทําจะดี</v>
      </c>
      <c r="N374" s="14" t="str">
        <f>IFERROR(__xludf.DUMMYFUNCTION("""COMPUTED_VALUE"""),"https://lh5.googleusercontent.com/d/161jPSZBUGpYyQT14rcKofTGXbdm0-xYu")</f>
        <v>https://lh5.googleusercontent.com/d/161jPSZBUGpYyQT14rcKofTGXbdm0-xYu</v>
      </c>
      <c r="O374" s="14" t="str">
        <f>IFERROR(__xludf.DUMMYFUNCTION("""COMPUTED_VALUE"""),"https://drive.google.com/file/d/1hWC9XFoZjBv2IvX7Z-G1jH7fQNzwcOVx/view?usp=drivesdk")</f>
        <v>https://drive.google.com/file/d/1hWC9XFoZjBv2IvX7Z-G1jH7fQNzwcOVx/view?usp=drivesdk</v>
      </c>
    </row>
    <row r="375">
      <c r="A375" s="3">
        <f>IFERROR(__xludf.DUMMYFUNCTION("""COMPUTED_VALUE"""),1893.0)</f>
        <v>1893</v>
      </c>
      <c r="B375" s="11">
        <f>IFERROR(__xludf.DUMMYFUNCTION("""COMPUTED_VALUE"""),46000.42965855324)</f>
        <v>46000.42966</v>
      </c>
      <c r="C375" s="3" t="str">
        <f>IFERROR(__xludf.DUMMYFUNCTION("""COMPUTED_VALUE"""),"ชั้นปีที่ 1")</f>
        <v>ชั้นปีที่ 1</v>
      </c>
      <c r="D375" s="3" t="str">
        <f>IFERROR(__xludf.DUMMYFUNCTION("""COMPUTED_VALUE"""),"6803914")</f>
        <v>6803914</v>
      </c>
      <c r="E375" s="3" t="str">
        <f>IFERROR(__xludf.DUMMYFUNCTION("""COMPUTED_VALUE"""),"33")</f>
        <v>33</v>
      </c>
      <c r="F375" s="3" t="str">
        <f>IFERROR(__xludf.DUMMYFUNCTION("""COMPUTED_VALUE"""),"นพอ.ปราณปริยา ธูปทอง")</f>
        <v>นพอ.ปราณปริยา ธูปทอง</v>
      </c>
      <c r="G3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5" s="3" t="str">
        <f>IFERROR(__xludf.DUMMYFUNCTION("""COMPUTED_VALUE"""),"Meet the youth cyber guardians Thailand 2025")</f>
        <v>Meet the youth cyber guardians Thailand 2025</v>
      </c>
      <c r="I375" s="3" t="str">
        <f>IFERROR(__xludf.DUMMYFUNCTION("""COMPUTED_VALUE"""),"หน่วยบัญชาการกองทัพไทย")</f>
        <v>หน่วยบัญชาการกองทัพไทย</v>
      </c>
      <c r="J375" s="12">
        <f>IFERROR(__xludf.DUMMYFUNCTION("""COMPUTED_VALUE"""),45907.0)</f>
        <v>45907</v>
      </c>
      <c r="K375" s="3" t="str">
        <f>IFERROR(__xludf.DUMMYFUNCTION("""COMPUTED_VALUE"""),"0800-1600")</f>
        <v>0800-1600</v>
      </c>
      <c r="L375" s="3">
        <f>IFERROR(__xludf.DUMMYFUNCTION("""COMPUTED_VALUE"""),8.0)</f>
        <v>8</v>
      </c>
      <c r="M375" s="3" t="str">
        <f>IFERROR(__xludf.DUMMYFUNCTION("""COMPUTED_VALUE"""),"ร.อ.อนุชิต ทำจะดี")</f>
        <v>ร.อ.อนุชิต ทำจะดี</v>
      </c>
      <c r="N375" s="14" t="str">
        <f>IFERROR(__xludf.DUMMYFUNCTION("""COMPUTED_VALUE"""),"https://lh5.googleusercontent.com/d/17XWPFqmCwia-N_6wDraHR97EGR8PAIoR")</f>
        <v>https://lh5.googleusercontent.com/d/17XWPFqmCwia-N_6wDraHR97EGR8PAIoR</v>
      </c>
      <c r="O375" s="14" t="str">
        <f>IFERROR(__xludf.DUMMYFUNCTION("""COMPUTED_VALUE"""),"https://drive.google.com/file/d/1MVqqLu-PbJ6JG7ZbmHrygYY9JbWxVnj6/view?usp=drivesdk")</f>
        <v>https://drive.google.com/file/d/1MVqqLu-PbJ6JG7ZbmHrygYY9JbWxVnj6/view?usp=drivesdk</v>
      </c>
    </row>
    <row r="376">
      <c r="A376" s="3">
        <f>IFERROR(__xludf.DUMMYFUNCTION("""COMPUTED_VALUE"""),1894.0)</f>
        <v>1894</v>
      </c>
      <c r="B376" s="11">
        <f>IFERROR(__xludf.DUMMYFUNCTION("""COMPUTED_VALUE"""),46000.42984986111)</f>
        <v>46000.42985</v>
      </c>
      <c r="C376" s="3" t="str">
        <f>IFERROR(__xludf.DUMMYFUNCTION("""COMPUTED_VALUE"""),"ชั้นปีที่ 1")</f>
        <v>ชั้นปีที่ 1</v>
      </c>
      <c r="D376" s="3" t="str">
        <f>IFERROR(__xludf.DUMMYFUNCTION("""COMPUTED_VALUE"""),"6803901")</f>
        <v>6803901</v>
      </c>
      <c r="E376" s="3" t="str">
        <f>IFERROR(__xludf.DUMMYFUNCTION("""COMPUTED_VALUE"""),"20")</f>
        <v>20</v>
      </c>
      <c r="F376" s="3" t="str">
        <f>IFERROR(__xludf.DUMMYFUNCTION("""COMPUTED_VALUE"""),"นพอ.ณัฐริกา วัฒนสมบัติ")</f>
        <v>นพอ.ณัฐริกา วัฒนสมบัติ</v>
      </c>
      <c r="G376" s="3" t="str">
        <f>IFERROR(__xludf.DUMMYFUNCTION("""COMPUTED_VALUE"""),"ช่วยเหลืองานภายใน วพอ.")</f>
        <v>ช่วยเหลืองานภายใน วพอ.</v>
      </c>
      <c r="H376" s="3" t="str">
        <f>IFERROR(__xludf.DUMMYFUNCTION("""COMPUTED_VALUE"""),"เหรัญญิกชั้นปีที่ 1")</f>
        <v>เหรัญญิกชั้นปีที่ 1</v>
      </c>
      <c r="I376" s="3" t="str">
        <f>IFERROR(__xludf.DUMMYFUNCTION("""COMPUTED_VALUE"""),"วพอ.พอ.")</f>
        <v>วพอ.พอ.</v>
      </c>
      <c r="J376" s="12">
        <f>IFERROR(__xludf.DUMMYFUNCTION("""COMPUTED_VALUE"""),45965.0)</f>
        <v>45965</v>
      </c>
      <c r="K376" s="3" t="str">
        <f>IFERROR(__xludf.DUMMYFUNCTION("""COMPUTED_VALUE"""),"0800-1600")</f>
        <v>0800-1600</v>
      </c>
      <c r="L376" s="3">
        <f>IFERROR(__xludf.DUMMYFUNCTION("""COMPUTED_VALUE"""),8.0)</f>
        <v>8</v>
      </c>
      <c r="M376" s="3" t="str">
        <f>IFERROR(__xludf.DUMMYFUNCTION("""COMPUTED_VALUE"""),"ร.อ.ฤทธิพล อ้วนสิงห์")</f>
        <v>ร.อ.ฤทธิพล อ้วนสิงห์</v>
      </c>
      <c r="N376" s="14" t="str">
        <f>IFERROR(__xludf.DUMMYFUNCTION("""COMPUTED_VALUE"""),"https://lh5.googleusercontent.com/d/1E-FAmNzFq4bCaFCDJDEpuQKrv_8xbWPA")</f>
        <v>https://lh5.googleusercontent.com/d/1E-FAmNzFq4bCaFCDJDEpuQKrv_8xbWPA</v>
      </c>
      <c r="O376" s="14" t="str">
        <f>IFERROR(__xludf.DUMMYFUNCTION("""COMPUTED_VALUE"""),"https://drive.google.com/file/d/1dXuqcYBj4YtoVD-afha9OVwo9MHpOr06/view?usp=drivesdk")</f>
        <v>https://drive.google.com/file/d/1dXuqcYBj4YtoVD-afha9OVwo9MHpOr06/view?usp=drivesdk</v>
      </c>
    </row>
    <row r="377">
      <c r="A377" s="3">
        <f>IFERROR(__xludf.DUMMYFUNCTION("""COMPUTED_VALUE"""),1899.0)</f>
        <v>1899</v>
      </c>
      <c r="B377" s="11">
        <f>IFERROR(__xludf.DUMMYFUNCTION("""COMPUTED_VALUE"""),46000.431282314814)</f>
        <v>46000.43128</v>
      </c>
      <c r="C377" s="3" t="str">
        <f>IFERROR(__xludf.DUMMYFUNCTION("""COMPUTED_VALUE"""),"ชั้นปีที่ 1")</f>
        <v>ชั้นปีที่ 1</v>
      </c>
      <c r="D377" s="3" t="str">
        <f>IFERROR(__xludf.DUMMYFUNCTION("""COMPUTED_VALUE"""),"6803901")</f>
        <v>6803901</v>
      </c>
      <c r="E377" s="3" t="str">
        <f>IFERROR(__xludf.DUMMYFUNCTION("""COMPUTED_VALUE"""),"20")</f>
        <v>20</v>
      </c>
      <c r="F377" s="3" t="str">
        <f>IFERROR(__xludf.DUMMYFUNCTION("""COMPUTED_VALUE"""),"นพอ.ณัฐริกา วัฒนสมบัติ")</f>
        <v>นพอ.ณัฐริกา วัฒนสมบัติ</v>
      </c>
      <c r="G377" s="3" t="str">
        <f>IFERROR(__xludf.DUMMYFUNCTION("""COMPUTED_VALUE"""),"ช่วยเหลืองานภายใน วพอ.")</f>
        <v>ช่วยเหลืองานภายใน วพอ.</v>
      </c>
      <c r="H377" s="3" t="str">
        <f>IFERROR(__xludf.DUMMYFUNCTION("""COMPUTED_VALUE"""),"เหรัญญิกชั้นปีที่ 1")</f>
        <v>เหรัญญิกชั้นปีที่ 1</v>
      </c>
      <c r="I377" s="3" t="str">
        <f>IFERROR(__xludf.DUMMYFUNCTION("""COMPUTED_VALUE"""),"วพอ.พอ.")</f>
        <v>วพอ.พอ.</v>
      </c>
      <c r="J377" s="12">
        <f>IFERROR(__xludf.DUMMYFUNCTION("""COMPUTED_VALUE"""),45967.0)</f>
        <v>45967</v>
      </c>
      <c r="K377" s="3" t="str">
        <f>IFERROR(__xludf.DUMMYFUNCTION("""COMPUTED_VALUE"""),"0800-1200")</f>
        <v>0800-1200</v>
      </c>
      <c r="L377" s="3">
        <f>IFERROR(__xludf.DUMMYFUNCTION("""COMPUTED_VALUE"""),4.0)</f>
        <v>4</v>
      </c>
      <c r="M377" s="3" t="str">
        <f>IFERROR(__xludf.DUMMYFUNCTION("""COMPUTED_VALUE"""),"ร.อ.ฤทธิพล อ้วนสิงห์")</f>
        <v>ร.อ.ฤทธิพล อ้วนสิงห์</v>
      </c>
      <c r="N377" s="14" t="str">
        <f>IFERROR(__xludf.DUMMYFUNCTION("""COMPUTED_VALUE"""),"https://lh5.googleusercontent.com/d/1R4WwJ1u3vOyfSFKWLrUdmDQ6RH791UYa")</f>
        <v>https://lh5.googleusercontent.com/d/1R4WwJ1u3vOyfSFKWLrUdmDQ6RH791UYa</v>
      </c>
      <c r="O377" s="14" t="str">
        <f>IFERROR(__xludf.DUMMYFUNCTION("""COMPUTED_VALUE"""),"https://drive.google.com/file/d/1F6KhtBUDqEqiTG_SDiEoxLTMZTZ7EVM5/view?usp=drivesdk")</f>
        <v>https://drive.google.com/file/d/1F6KhtBUDqEqiTG_SDiEoxLTMZTZ7EVM5/view?usp=drivesdk</v>
      </c>
    </row>
    <row r="378">
      <c r="A378" s="3">
        <f>IFERROR(__xludf.DUMMYFUNCTION("""COMPUTED_VALUE"""),1900.0)</f>
        <v>1900</v>
      </c>
      <c r="B378" s="11">
        <f>IFERROR(__xludf.DUMMYFUNCTION("""COMPUTED_VALUE"""),46000.431418067135)</f>
        <v>46000.43142</v>
      </c>
      <c r="C378" s="3" t="str">
        <f>IFERROR(__xludf.DUMMYFUNCTION("""COMPUTED_VALUE"""),"ชั้นปีที่ 1")</f>
        <v>ชั้นปีที่ 1</v>
      </c>
      <c r="D378" s="3" t="str">
        <f>IFERROR(__xludf.DUMMYFUNCTION("""COMPUTED_VALUE"""),"6803934")</f>
        <v>6803934</v>
      </c>
      <c r="E378" s="3" t="str">
        <f>IFERROR(__xludf.DUMMYFUNCTION("""COMPUTED_VALUE"""),"53")</f>
        <v>53</v>
      </c>
      <c r="F378" s="3" t="str">
        <f>IFERROR(__xludf.DUMMYFUNCTION("""COMPUTED_VALUE"""),"นพอ.วริศรา ออละมาลี")</f>
        <v>นพอ.วริศรา ออละมาลี</v>
      </c>
      <c r="G378" s="3" t="str">
        <f>IFERROR(__xludf.DUMMYFUNCTION("""COMPUTED_VALUE"""),"งานฟรีทั่วไป")</f>
        <v>งานฟรีทั่วไป</v>
      </c>
      <c r="H378" s="3" t="str">
        <f>IFERROR(__xludf.DUMMYFUNCTION("""COMPUTED_VALUE"""),"ทำความสะอาดและจัดตู้เย็น")</f>
        <v>ทำความสะอาดและจัดตู้เย็น</v>
      </c>
      <c r="I378" s="3" t="str">
        <f>IFERROR(__xludf.DUMMYFUNCTION("""COMPUTED_VALUE"""),"บ้าน")</f>
        <v>บ้าน</v>
      </c>
      <c r="J378" s="12">
        <f>IFERROR(__xludf.DUMMYFUNCTION("""COMPUTED_VALUE"""),45996.0)</f>
        <v>45996</v>
      </c>
      <c r="K378" s="3" t="str">
        <f>IFERROR(__xludf.DUMMYFUNCTION("""COMPUTED_VALUE"""),"0800-1200")</f>
        <v>0800-1200</v>
      </c>
      <c r="L378" s="3">
        <f>IFERROR(__xludf.DUMMYFUNCTION("""COMPUTED_VALUE"""),4.0)</f>
        <v>4</v>
      </c>
      <c r="M378" s="3" t="str">
        <f>IFERROR(__xludf.DUMMYFUNCTION("""COMPUTED_VALUE"""),"พ.อ.อ.เรืองวิทย์ ออละมาลี")</f>
        <v>พ.อ.อ.เรืองวิทย์ ออละมาลี</v>
      </c>
      <c r="N378" s="14" t="str">
        <f>IFERROR(__xludf.DUMMYFUNCTION("""COMPUTED_VALUE"""),"https://lh5.googleusercontent.com/d/1gH4y1uolsmfISPG1eIZzltA51rwSPKAV")</f>
        <v>https://lh5.googleusercontent.com/d/1gH4y1uolsmfISPG1eIZzltA51rwSPKAV</v>
      </c>
      <c r="O378" s="14" t="str">
        <f>IFERROR(__xludf.DUMMYFUNCTION("""COMPUTED_VALUE"""),"https://drive.google.com/file/d/1tXGCNh4dzQaXpWkk2Wllza9sGjjKPmtm/view?usp=drivesdk")</f>
        <v>https://drive.google.com/file/d/1tXGCNh4dzQaXpWkk2Wllza9sGjjKPmtm/view?usp=drivesdk</v>
      </c>
    </row>
    <row r="379">
      <c r="A379" s="3">
        <f>IFERROR(__xludf.DUMMYFUNCTION("""COMPUTED_VALUE"""),1901.0)</f>
        <v>1901</v>
      </c>
      <c r="B379" s="11">
        <f>IFERROR(__xludf.DUMMYFUNCTION("""COMPUTED_VALUE"""),46000.43188333333)</f>
        <v>46000.43188</v>
      </c>
      <c r="C379" s="3" t="str">
        <f>IFERROR(__xludf.DUMMYFUNCTION("""COMPUTED_VALUE"""),"ชั้นปีที่ 1")</f>
        <v>ชั้นปีที่ 1</v>
      </c>
      <c r="D379" s="3" t="str">
        <f>IFERROR(__xludf.DUMMYFUNCTION("""COMPUTED_VALUE"""),"6803909")</f>
        <v>6803909</v>
      </c>
      <c r="E379" s="3" t="str">
        <f>IFERROR(__xludf.DUMMYFUNCTION("""COMPUTED_VALUE"""),"28")</f>
        <v>28</v>
      </c>
      <c r="F379" s="3" t="str">
        <f>IFERROR(__xludf.DUMMYFUNCTION("""COMPUTED_VALUE"""),"นวพร แซ่ห้าว")</f>
        <v>นวพร แซ่ห้าว</v>
      </c>
      <c r="G3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79" s="3" t="str">
        <f>IFERROR(__xludf.DUMMYFUNCTION("""COMPUTED_VALUE"""),"Meet the youth guardians Thailand")</f>
        <v>Meet the youth guardians Thailand</v>
      </c>
      <c r="I379" s="3" t="str">
        <f>IFERROR(__xludf.DUMMYFUNCTION("""COMPUTED_VALUE"""),"กองบัญชาการกองทัพไทย")</f>
        <v>กองบัญชาการกองทัพไทย</v>
      </c>
      <c r="J379" s="12">
        <f>IFERROR(__xludf.DUMMYFUNCTION("""COMPUTED_VALUE"""),45907.0)</f>
        <v>45907</v>
      </c>
      <c r="K379" s="3" t="str">
        <f>IFERROR(__xludf.DUMMYFUNCTION("""COMPUTED_VALUE"""),"0800-1600")</f>
        <v>0800-1600</v>
      </c>
      <c r="L379" s="3">
        <f>IFERROR(__xludf.DUMMYFUNCTION("""COMPUTED_VALUE"""),8.0)</f>
        <v>8</v>
      </c>
      <c r="M379" s="3" t="str">
        <f>IFERROR(__xludf.DUMMYFUNCTION("""COMPUTED_VALUE"""),"ร.อ.อนุชิต ทำจะดี")</f>
        <v>ร.อ.อนุชิต ทำจะดี</v>
      </c>
      <c r="N379" s="14" t="str">
        <f>IFERROR(__xludf.DUMMYFUNCTION("""COMPUTED_VALUE"""),"https://lh5.googleusercontent.com/d/14pqs431sEj8ify2CZgMxKCesjH5Filsz")</f>
        <v>https://lh5.googleusercontent.com/d/14pqs431sEj8ify2CZgMxKCesjH5Filsz</v>
      </c>
      <c r="O379" s="14" t="str">
        <f>IFERROR(__xludf.DUMMYFUNCTION("""COMPUTED_VALUE"""),"https://drive.google.com/file/d/1pBnB6MEkCE8lf0HEKTU5_gOrD3YwV_aC/view?usp=drivesdk")</f>
        <v>https://drive.google.com/file/d/1pBnB6MEkCE8lf0HEKTU5_gOrD3YwV_aC/view?usp=drivesdk</v>
      </c>
    </row>
    <row r="380">
      <c r="A380" s="3">
        <f>IFERROR(__xludf.DUMMYFUNCTION("""COMPUTED_VALUE"""),1902.0)</f>
        <v>1902</v>
      </c>
      <c r="B380" s="11">
        <f>IFERROR(__xludf.DUMMYFUNCTION("""COMPUTED_VALUE"""),46000.432330034724)</f>
        <v>46000.43233</v>
      </c>
      <c r="C380" s="3" t="str">
        <f>IFERROR(__xludf.DUMMYFUNCTION("""COMPUTED_VALUE"""),"ชั้นปีที่ 1")</f>
        <v>ชั้นปีที่ 1</v>
      </c>
      <c r="D380" s="3" t="str">
        <f>IFERROR(__xludf.DUMMYFUNCTION("""COMPUTED_VALUE"""),"6803905")</f>
        <v>6803905</v>
      </c>
      <c r="E380" s="3" t="str">
        <f>IFERROR(__xludf.DUMMYFUNCTION("""COMPUTED_VALUE"""),"24")</f>
        <v>24</v>
      </c>
      <c r="F380" s="3" t="str">
        <f>IFERROR(__xludf.DUMMYFUNCTION("""COMPUTED_VALUE"""),"นพอ.ธนพล เสือน้อย")</f>
        <v>นพอ.ธนพล เสือน้อย</v>
      </c>
      <c r="G380" s="3" t="str">
        <f>IFERROR(__xludf.DUMMYFUNCTION("""COMPUTED_VALUE"""),"ทำนุบำรุงศาสนสถาน")</f>
        <v>ทำนุบำรุงศาสนสถาน</v>
      </c>
      <c r="H380" s="3" t="str">
        <f>IFERROR(__xludf.DUMMYFUNCTION("""COMPUTED_VALUE"""),"ทำความสะอาดห้องน้ำวัด")</f>
        <v>ทำความสะอาดห้องน้ำวัด</v>
      </c>
      <c r="I380" s="3" t="str">
        <f>IFERROR(__xludf.DUMMYFUNCTION("""COMPUTED_VALUE"""),"วัดท่าถนน")</f>
        <v>วัดท่าถนน</v>
      </c>
      <c r="J380" s="12">
        <f>IFERROR(__xludf.DUMMYFUNCTION("""COMPUTED_VALUE"""),45997.0)</f>
        <v>45997</v>
      </c>
      <c r="K380" s="3" t="str">
        <f>IFERROR(__xludf.DUMMYFUNCTION("""COMPUTED_VALUE"""),"0800-1200")</f>
        <v>0800-1200</v>
      </c>
      <c r="L380" s="3">
        <f>IFERROR(__xludf.DUMMYFUNCTION("""COMPUTED_VALUE"""),4.0)</f>
        <v>4</v>
      </c>
      <c r="M380" s="3" t="str">
        <f>IFERROR(__xludf.DUMMYFUNCTION("""COMPUTED_VALUE"""),"พระอธิการประทุม เขมภทฺโท")</f>
        <v>พระอธิการประทุม เขมภทฺโท</v>
      </c>
      <c r="N380" s="14" t="str">
        <f>IFERROR(__xludf.DUMMYFUNCTION("""COMPUTED_VALUE"""),"https://lh5.googleusercontent.com/d/1txP0-zWGD_lgIOEEYDvtkHRTSa2uncvs")</f>
        <v>https://lh5.googleusercontent.com/d/1txP0-zWGD_lgIOEEYDvtkHRTSa2uncvs</v>
      </c>
      <c r="O380" s="14" t="str">
        <f>IFERROR(__xludf.DUMMYFUNCTION("""COMPUTED_VALUE"""),"https://drive.google.com/file/d/19IYwIDXLWWtBjH7ksGE5q6UzbvEr8V-M/view?usp=drivesdk")</f>
        <v>https://drive.google.com/file/d/19IYwIDXLWWtBjH7ksGE5q6UzbvEr8V-M/view?usp=drivesdk</v>
      </c>
    </row>
    <row r="381">
      <c r="A381" s="3">
        <f>IFERROR(__xludf.DUMMYFUNCTION("""COMPUTED_VALUE"""),1903.0)</f>
        <v>1903</v>
      </c>
      <c r="B381" s="11">
        <f>IFERROR(__xludf.DUMMYFUNCTION("""COMPUTED_VALUE"""),46000.433731377314)</f>
        <v>46000.43373</v>
      </c>
      <c r="C381" s="3" t="str">
        <f>IFERROR(__xludf.DUMMYFUNCTION("""COMPUTED_VALUE"""),"ชั้นปีที่ 1")</f>
        <v>ชั้นปีที่ 1</v>
      </c>
      <c r="D381" s="3" t="str">
        <f>IFERROR(__xludf.DUMMYFUNCTION("""COMPUTED_VALUE"""),"6803901")</f>
        <v>6803901</v>
      </c>
      <c r="E381" s="3" t="str">
        <f>IFERROR(__xludf.DUMMYFUNCTION("""COMPUTED_VALUE"""),"20")</f>
        <v>20</v>
      </c>
      <c r="F381" s="3" t="str">
        <f>IFERROR(__xludf.DUMMYFUNCTION("""COMPUTED_VALUE"""),"นพอ.ณัฐริกา วัฒนสมบัติ")</f>
        <v>นพอ.ณัฐริกา วัฒนสมบัติ</v>
      </c>
      <c r="G381" s="3" t="str">
        <f>IFERROR(__xludf.DUMMYFUNCTION("""COMPUTED_VALUE"""),"ช่วยเหลืองานภายใน วพอ.")</f>
        <v>ช่วยเหลืองานภายใน วพอ.</v>
      </c>
      <c r="H381" s="3" t="str">
        <f>IFERROR(__xludf.DUMMYFUNCTION("""COMPUTED_VALUE"""),"เหรัญญิกชั้นปีที่ 1")</f>
        <v>เหรัญญิกชั้นปีที่ 1</v>
      </c>
      <c r="I381" s="3" t="str">
        <f>IFERROR(__xludf.DUMMYFUNCTION("""COMPUTED_VALUE"""),"วพอ.พอ.")</f>
        <v>วพอ.พอ.</v>
      </c>
      <c r="J381" s="12">
        <f>IFERROR(__xludf.DUMMYFUNCTION("""COMPUTED_VALUE"""),45966.0)</f>
        <v>45966</v>
      </c>
      <c r="K381" s="3" t="str">
        <f>IFERROR(__xludf.DUMMYFUNCTION("""COMPUTED_VALUE"""),"0800-1600")</f>
        <v>0800-1600</v>
      </c>
      <c r="L381" s="3">
        <f>IFERROR(__xludf.DUMMYFUNCTION("""COMPUTED_VALUE"""),8.0)</f>
        <v>8</v>
      </c>
      <c r="M381" s="3" t="str">
        <f>IFERROR(__xludf.DUMMYFUNCTION("""COMPUTED_VALUE"""),"ร.อ.ฤทธิพล อ้วนสิงห์")</f>
        <v>ร.อ.ฤทธิพล อ้วนสิงห์</v>
      </c>
      <c r="N381" s="14" t="str">
        <f>IFERROR(__xludf.DUMMYFUNCTION("""COMPUTED_VALUE"""),"https://lh5.googleusercontent.com/d/1jZsw3Obj7zRVfI2ZVJFJv_5XHI9JZx93")</f>
        <v>https://lh5.googleusercontent.com/d/1jZsw3Obj7zRVfI2ZVJFJv_5XHI9JZx93</v>
      </c>
      <c r="O381" s="14" t="str">
        <f>IFERROR(__xludf.DUMMYFUNCTION("""COMPUTED_VALUE"""),"https://drive.google.com/file/d/1Sz89Ip3TP21qK_YUiLpFS67Utqpmf3bN/view?usp=drivesdk")</f>
        <v>https://drive.google.com/file/d/1Sz89Ip3TP21qK_YUiLpFS67Utqpmf3bN/view?usp=drivesdk</v>
      </c>
    </row>
    <row r="382">
      <c r="A382" s="3">
        <f>IFERROR(__xludf.DUMMYFUNCTION("""COMPUTED_VALUE"""),1904.0)</f>
        <v>1904</v>
      </c>
      <c r="B382" s="11">
        <f>IFERROR(__xludf.DUMMYFUNCTION("""COMPUTED_VALUE"""),46000.43428395834)</f>
        <v>46000.43428</v>
      </c>
      <c r="C382" s="3" t="str">
        <f>IFERROR(__xludf.DUMMYFUNCTION("""COMPUTED_VALUE"""),"ชั้นปีที่ 1")</f>
        <v>ชั้นปีที่ 1</v>
      </c>
      <c r="D382" s="3" t="str">
        <f>IFERROR(__xludf.DUMMYFUNCTION("""COMPUTED_VALUE"""),"6803934")</f>
        <v>6803934</v>
      </c>
      <c r="E382" s="3" t="str">
        <f>IFERROR(__xludf.DUMMYFUNCTION("""COMPUTED_VALUE"""),"53")</f>
        <v>53</v>
      </c>
      <c r="F382" s="3" t="str">
        <f>IFERROR(__xludf.DUMMYFUNCTION("""COMPUTED_VALUE"""),"นพอ.วริศรา ออละมาลี")</f>
        <v>นพอ.วริศรา ออละมาลี</v>
      </c>
      <c r="G382" s="3" t="str">
        <f>IFERROR(__xludf.DUMMYFUNCTION("""COMPUTED_VALUE"""),"งานฟรีทั่วไป")</f>
        <v>งานฟรีทั่วไป</v>
      </c>
      <c r="H382" s="3" t="str">
        <f>IFERROR(__xludf.DUMMYFUNCTION("""COMPUTED_VALUE"""),"ทำความสะอาดและจัดตกแต่งสวน")</f>
        <v>ทำความสะอาดและจัดตกแต่งสวน</v>
      </c>
      <c r="I382" s="3" t="str">
        <f>IFERROR(__xludf.DUMMYFUNCTION("""COMPUTED_VALUE"""),"บ้าน")</f>
        <v>บ้าน</v>
      </c>
      <c r="J382" s="12">
        <f>IFERROR(__xludf.DUMMYFUNCTION("""COMPUTED_VALUE"""),45879.0)</f>
        <v>45879</v>
      </c>
      <c r="K382" s="3" t="str">
        <f>IFERROR(__xludf.DUMMYFUNCTION("""COMPUTED_VALUE"""),"0700-1100")</f>
        <v>0700-1100</v>
      </c>
      <c r="L382" s="3">
        <f>IFERROR(__xludf.DUMMYFUNCTION("""COMPUTED_VALUE"""),4.0)</f>
        <v>4</v>
      </c>
      <c r="M382" s="3" t="str">
        <f>IFERROR(__xludf.DUMMYFUNCTION("""COMPUTED_VALUE"""),"นางอวยพร ออละมาลี")</f>
        <v>นางอวยพร ออละมาลี</v>
      </c>
      <c r="N382" s="14" t="str">
        <f>IFERROR(__xludf.DUMMYFUNCTION("""COMPUTED_VALUE"""),"https://lh5.googleusercontent.com/d/1mjKvBOwCL2pYuXC52Wp6d-SClmYWEQLE")</f>
        <v>https://lh5.googleusercontent.com/d/1mjKvBOwCL2pYuXC52Wp6d-SClmYWEQLE</v>
      </c>
      <c r="O382" s="14" t="str">
        <f>IFERROR(__xludf.DUMMYFUNCTION("""COMPUTED_VALUE"""),"https://drive.google.com/file/d/1PSV0l4VnpcgHP5hVoSOK9p0bzAOVhjlB/view?usp=drivesdk")</f>
        <v>https://drive.google.com/file/d/1PSV0l4VnpcgHP5hVoSOK9p0bzAOVhjlB/view?usp=drivesdk</v>
      </c>
    </row>
    <row r="383">
      <c r="A383" s="3">
        <f>IFERROR(__xludf.DUMMYFUNCTION("""COMPUTED_VALUE"""),1905.0)</f>
        <v>1905</v>
      </c>
      <c r="B383" s="11">
        <f>IFERROR(__xludf.DUMMYFUNCTION("""COMPUTED_VALUE"""),46000.434695289354)</f>
        <v>46000.4347</v>
      </c>
      <c r="C383" s="3" t="str">
        <f>IFERROR(__xludf.DUMMYFUNCTION("""COMPUTED_VALUE"""),"ชั้นปีที่ 1")</f>
        <v>ชั้นปีที่ 1</v>
      </c>
      <c r="D383" s="3" t="str">
        <f>IFERROR(__xludf.DUMMYFUNCTION("""COMPUTED_VALUE"""),"6803907")</f>
        <v>6803907</v>
      </c>
      <c r="E383" s="3" t="str">
        <f>IFERROR(__xludf.DUMMYFUNCTION("""COMPUTED_VALUE"""),"26")</f>
        <v>26</v>
      </c>
      <c r="F383" s="3" t="str">
        <f>IFERROR(__xludf.DUMMYFUNCTION("""COMPUTED_VALUE"""),"ธีราพร  ประสิทธิภาพ")</f>
        <v>ธีราพร  ประสิทธิภาพ</v>
      </c>
      <c r="G383" s="3" t="str">
        <f>IFERROR(__xludf.DUMMYFUNCTION("""COMPUTED_VALUE"""),"งานฟรีทั่วไป")</f>
        <v>งานฟรีทั่วไป</v>
      </c>
      <c r="H383" s="3" t="str">
        <f>IFERROR(__xludf.DUMMYFUNCTION("""COMPUTED_VALUE"""),"จิตอาสาช่วยเหลือครอบครัว")</f>
        <v>จิตอาสาช่วยเหลือครอบครัว</v>
      </c>
      <c r="I383" s="3" t="str">
        <f>IFERROR(__xludf.DUMMYFUNCTION("""COMPUTED_VALUE"""),"บ้าน")</f>
        <v>บ้าน</v>
      </c>
      <c r="J383" s="12">
        <f>IFERROR(__xludf.DUMMYFUNCTION("""COMPUTED_VALUE"""),45990.0)</f>
        <v>45990</v>
      </c>
      <c r="K383" s="3" t="str">
        <f>IFERROR(__xludf.DUMMYFUNCTION("""COMPUTED_VALUE"""),"20:20")</f>
        <v>20:20</v>
      </c>
      <c r="L383" s="3">
        <f>IFERROR(__xludf.DUMMYFUNCTION("""COMPUTED_VALUE"""),4.0)</f>
        <v>4</v>
      </c>
      <c r="M383" s="3" t="str">
        <f>IFERROR(__xludf.DUMMYFUNCTION("""COMPUTED_VALUE"""),"นางภัทรวดี ศิวะธารานนท์(ผู้ปกครอง)")</f>
        <v>นางภัทรวดี ศิวะธารานนท์(ผู้ปกครอง)</v>
      </c>
      <c r="N383" s="14" t="str">
        <f>IFERROR(__xludf.DUMMYFUNCTION("""COMPUTED_VALUE"""),"https://lh5.googleusercontent.com/d/16msDjjd9favWDBun5vPYHXRUwTMUOAS8")</f>
        <v>https://lh5.googleusercontent.com/d/16msDjjd9favWDBun5vPYHXRUwTMUOAS8</v>
      </c>
      <c r="O383" s="14" t="str">
        <f>IFERROR(__xludf.DUMMYFUNCTION("""COMPUTED_VALUE"""),"https://drive.google.com/file/d/1bD7mvo00WMKOmxWNZOLCEtVjv4YLH9Ma/view?usp=drivesdk")</f>
        <v>https://drive.google.com/file/d/1bD7mvo00WMKOmxWNZOLCEtVjv4YLH9Ma/view?usp=drivesdk</v>
      </c>
    </row>
    <row r="384">
      <c r="A384" s="3">
        <f>IFERROR(__xludf.DUMMYFUNCTION("""COMPUTED_VALUE"""),1908.0)</f>
        <v>1908</v>
      </c>
      <c r="B384" s="11">
        <f>IFERROR(__xludf.DUMMYFUNCTION("""COMPUTED_VALUE"""),46000.43778296296)</f>
        <v>46000.43778</v>
      </c>
      <c r="C384" s="3" t="str">
        <f>IFERROR(__xludf.DUMMYFUNCTION("""COMPUTED_VALUE"""),"ชั้นปีที่ 1")</f>
        <v>ชั้นปีที่ 1</v>
      </c>
      <c r="D384" s="3" t="str">
        <f>IFERROR(__xludf.DUMMYFUNCTION("""COMPUTED_VALUE"""),"6803907")</f>
        <v>6803907</v>
      </c>
      <c r="E384" s="3" t="str">
        <f>IFERROR(__xludf.DUMMYFUNCTION("""COMPUTED_VALUE"""),"26")</f>
        <v>26</v>
      </c>
      <c r="F384" s="3" t="str">
        <f>IFERROR(__xludf.DUMMYFUNCTION("""COMPUTED_VALUE"""),"ธีราพร  ประสิทธิภาพ")</f>
        <v>ธีราพร  ประสิทธิภาพ</v>
      </c>
      <c r="G384" s="3" t="str">
        <f>IFERROR(__xludf.DUMMYFUNCTION("""COMPUTED_VALUE"""),"งานฟรีทั่วไป")</f>
        <v>งานฟรีทั่วไป</v>
      </c>
      <c r="H384" s="3" t="str">
        <f>IFERROR(__xludf.DUMMYFUNCTION("""COMPUTED_VALUE"""),"จิตอาสาช่วยครอบครัว")</f>
        <v>จิตอาสาช่วยครอบครัว</v>
      </c>
      <c r="I384" s="3" t="str">
        <f>IFERROR(__xludf.DUMMYFUNCTION("""COMPUTED_VALUE"""),"บ้าน")</f>
        <v>บ้าน</v>
      </c>
      <c r="J384" s="12">
        <f>IFERROR(__xludf.DUMMYFUNCTION("""COMPUTED_VALUE"""),45991.0)</f>
        <v>45991</v>
      </c>
      <c r="K384" s="3" t="str">
        <f>IFERROR(__xludf.DUMMYFUNCTION("""COMPUTED_VALUE"""),"08:00")</f>
        <v>08:00</v>
      </c>
      <c r="L384" s="3">
        <f>IFERROR(__xludf.DUMMYFUNCTION("""COMPUTED_VALUE"""),4.0)</f>
        <v>4</v>
      </c>
      <c r="M384" s="3" t="str">
        <f>IFERROR(__xludf.DUMMYFUNCTION("""COMPUTED_VALUE"""),"นางภัทรวดี ศิวะธารานนท์(ผู้ปกครอง)")</f>
        <v>นางภัทรวดี ศิวะธารานนท์(ผู้ปกครอง)</v>
      </c>
      <c r="N384" s="14" t="str">
        <f>IFERROR(__xludf.DUMMYFUNCTION("""COMPUTED_VALUE"""),"https://lh5.googleusercontent.com/d/1_RcUhh7erj4Cverh7W1E4pcgBShJhoYo")</f>
        <v>https://lh5.googleusercontent.com/d/1_RcUhh7erj4Cverh7W1E4pcgBShJhoYo</v>
      </c>
      <c r="O384" s="14" t="str">
        <f>IFERROR(__xludf.DUMMYFUNCTION("""COMPUTED_VALUE"""),"https://drive.google.com/file/d/1_mzrWdWLhhBoS1fQuckMI4o1Mo9EL2KT/view?usp=drivesdk")</f>
        <v>https://drive.google.com/file/d/1_mzrWdWLhhBoS1fQuckMI4o1Mo9EL2KT/view?usp=drivesdk</v>
      </c>
    </row>
    <row r="385">
      <c r="A385" s="3">
        <f>IFERROR(__xludf.DUMMYFUNCTION("""COMPUTED_VALUE"""),1911.0)</f>
        <v>1911</v>
      </c>
      <c r="B385" s="11">
        <f>IFERROR(__xludf.DUMMYFUNCTION("""COMPUTED_VALUE"""),46000.43880747685)</f>
        <v>46000.43881</v>
      </c>
      <c r="C385" s="3" t="str">
        <f>IFERROR(__xludf.DUMMYFUNCTION("""COMPUTED_VALUE"""),"ชั้นปีที่ 1")</f>
        <v>ชั้นปีที่ 1</v>
      </c>
      <c r="D385" s="3" t="str">
        <f>IFERROR(__xludf.DUMMYFUNCTION("""COMPUTED_VALUE"""),"6803890")</f>
        <v>6803890</v>
      </c>
      <c r="E385" s="3" t="str">
        <f>IFERROR(__xludf.DUMMYFUNCTION("""COMPUTED_VALUE"""),"9")</f>
        <v>9</v>
      </c>
      <c r="F385" s="3" t="str">
        <f>IFERROR(__xludf.DUMMYFUNCTION("""COMPUTED_VALUE"""),"นพอ.จักรพงศ์ ปรีชาคม")</f>
        <v>นพอ.จักรพงศ์ ปรีชาคม</v>
      </c>
      <c r="G385" s="3" t="str">
        <f>IFERROR(__xludf.DUMMYFUNCTION("""COMPUTED_VALUE"""),"งานฟรีทั่วไป")</f>
        <v>งานฟรีทั่วไป</v>
      </c>
      <c r="H385" s="3" t="str">
        <f>IFERROR(__xludf.DUMMYFUNCTION("""COMPUTED_VALUE"""),"กวาดบ้าน")</f>
        <v>กวาดบ้าน</v>
      </c>
      <c r="I385" s="3" t="str">
        <f>IFERROR(__xludf.DUMMYFUNCTION("""COMPUTED_VALUE"""),"บ้าน")</f>
        <v>บ้าน</v>
      </c>
      <c r="J385" s="12">
        <f>IFERROR(__xludf.DUMMYFUNCTION("""COMPUTED_VALUE"""),45998.0)</f>
        <v>45998</v>
      </c>
      <c r="K385" s="3" t="str">
        <f>IFERROR(__xludf.DUMMYFUNCTION("""COMPUTED_VALUE"""),"0900")</f>
        <v>0900</v>
      </c>
      <c r="L385" s="3">
        <f>IFERROR(__xludf.DUMMYFUNCTION("""COMPUTED_VALUE"""),4.0)</f>
        <v>4</v>
      </c>
      <c r="M385" s="3" t="str">
        <f>IFERROR(__xludf.DUMMYFUNCTION("""COMPUTED_VALUE"""),"นายชำนาญ ปรีชาคม")</f>
        <v>นายชำนาญ ปรีชาคม</v>
      </c>
      <c r="N385" s="14" t="str">
        <f>IFERROR(__xludf.DUMMYFUNCTION("""COMPUTED_VALUE"""),"https://lh5.googleusercontent.com/d/1-gzCIrOIarwbDmv8_8J9qMu_G01p_E0i")</f>
        <v>https://lh5.googleusercontent.com/d/1-gzCIrOIarwbDmv8_8J9qMu_G01p_E0i</v>
      </c>
      <c r="O385" s="14" t="str">
        <f>IFERROR(__xludf.DUMMYFUNCTION("""COMPUTED_VALUE"""),"https://drive.google.com/file/d/141dhGFLDlg0hE1RIqMay9X1DWV6MJnnY/view?usp=drivesdk")</f>
        <v>https://drive.google.com/file/d/141dhGFLDlg0hE1RIqMay9X1DWV6MJnnY/view?usp=drivesdk</v>
      </c>
    </row>
    <row r="386">
      <c r="A386" s="3">
        <f>IFERROR(__xludf.DUMMYFUNCTION("""COMPUTED_VALUE"""),1912.0)</f>
        <v>1912</v>
      </c>
      <c r="B386" s="11">
        <f>IFERROR(__xludf.DUMMYFUNCTION("""COMPUTED_VALUE"""),46000.43976091435)</f>
        <v>46000.43976</v>
      </c>
      <c r="C386" s="3" t="str">
        <f>IFERROR(__xludf.DUMMYFUNCTION("""COMPUTED_VALUE"""),"ชั้นปีที่ 1")</f>
        <v>ชั้นปีที่ 1</v>
      </c>
      <c r="D386" s="3" t="str">
        <f>IFERROR(__xludf.DUMMYFUNCTION("""COMPUTED_VALUE"""),"6803890")</f>
        <v>6803890</v>
      </c>
      <c r="E386" s="3" t="str">
        <f>IFERROR(__xludf.DUMMYFUNCTION("""COMPUTED_VALUE"""),"9")</f>
        <v>9</v>
      </c>
      <c r="F386" s="3" t="str">
        <f>IFERROR(__xludf.DUMMYFUNCTION("""COMPUTED_VALUE"""),"นพอ.จักรพงศ์ ปรีชาคม")</f>
        <v>นพอ.จักรพงศ์ ปรีชาคม</v>
      </c>
      <c r="G386" s="3" t="str">
        <f>IFERROR(__xludf.DUMMYFUNCTION("""COMPUTED_VALUE"""),"งานฟรีทั่วไป")</f>
        <v>งานฟรีทั่วไป</v>
      </c>
      <c r="H386" s="3" t="str">
        <f>IFERROR(__xludf.DUMMYFUNCTION("""COMPUTED_VALUE"""),"ล้างจาน")</f>
        <v>ล้างจาน</v>
      </c>
      <c r="I386" s="3" t="str">
        <f>IFERROR(__xludf.DUMMYFUNCTION("""COMPUTED_VALUE"""),"บ้าน")</f>
        <v>บ้าน</v>
      </c>
      <c r="J386" s="12">
        <f>IFERROR(__xludf.DUMMYFUNCTION("""COMPUTED_VALUE"""),45998.0)</f>
        <v>45998</v>
      </c>
      <c r="K386" s="3" t="str">
        <f>IFERROR(__xludf.DUMMYFUNCTION("""COMPUTED_VALUE"""),"1800")</f>
        <v>1800</v>
      </c>
      <c r="L386" s="3">
        <f>IFERROR(__xludf.DUMMYFUNCTION("""COMPUTED_VALUE"""),4.0)</f>
        <v>4</v>
      </c>
      <c r="M386" s="3" t="str">
        <f>IFERROR(__xludf.DUMMYFUNCTION("""COMPUTED_VALUE"""),"นายชำนาญ ปรีชาคม")</f>
        <v>นายชำนาญ ปรีชาคม</v>
      </c>
      <c r="N386" s="14" t="str">
        <f>IFERROR(__xludf.DUMMYFUNCTION("""COMPUTED_VALUE"""),"https://lh5.googleusercontent.com/d/17pjW9qqkh1-649L_4MfvOZhKr15KJWNS")</f>
        <v>https://lh5.googleusercontent.com/d/17pjW9qqkh1-649L_4MfvOZhKr15KJWNS</v>
      </c>
      <c r="O386" s="14" t="str">
        <f>IFERROR(__xludf.DUMMYFUNCTION("""COMPUTED_VALUE"""),"https://drive.google.com/file/d/17O0tQyxwonqVP3IBo_5TTc6MPkFVF7ES/view?usp=drivesdk")</f>
        <v>https://drive.google.com/file/d/17O0tQyxwonqVP3IBo_5TTc6MPkFVF7ES/view?usp=drivesdk</v>
      </c>
    </row>
    <row r="387">
      <c r="A387" s="3">
        <f>IFERROR(__xludf.DUMMYFUNCTION("""COMPUTED_VALUE"""),1914.0)</f>
        <v>1914</v>
      </c>
      <c r="B387" s="11">
        <f>IFERROR(__xludf.DUMMYFUNCTION("""COMPUTED_VALUE"""),46000.44245105324)</f>
        <v>46000.44245</v>
      </c>
      <c r="C387" s="3" t="str">
        <f>IFERROR(__xludf.DUMMYFUNCTION("""COMPUTED_VALUE"""),"ชั้นปีที่ 1")</f>
        <v>ชั้นปีที่ 1</v>
      </c>
      <c r="D387" s="3" t="str">
        <f>IFERROR(__xludf.DUMMYFUNCTION("""COMPUTED_VALUE"""),"6803898")</f>
        <v>6803898</v>
      </c>
      <c r="E387" s="3" t="str">
        <f>IFERROR(__xludf.DUMMYFUNCTION("""COMPUTED_VALUE"""),"17")</f>
        <v>17</v>
      </c>
      <c r="F387" s="3" t="str">
        <f>IFERROR(__xludf.DUMMYFUNCTION("""COMPUTED_VALUE"""),"นพอ.ณัฐณิชา ทิพย์โอสถ")</f>
        <v>นพอ.ณัฐณิชา ทิพย์โอสถ</v>
      </c>
      <c r="G387" s="3" t="str">
        <f>IFERROR(__xludf.DUMMYFUNCTION("""COMPUTED_VALUE"""),"ช่วยเหลืองานภายใน วพอ.")</f>
        <v>ช่วยเหลืองานภายใน วพอ.</v>
      </c>
      <c r="H387" s="3" t="str">
        <f>IFERROR(__xludf.DUMMYFUNCTION("""COMPUTED_VALUE"""),"เหรัญญิกชั้นปีที่ 1")</f>
        <v>เหรัญญิกชั้นปีที่ 1</v>
      </c>
      <c r="I387" s="3" t="str">
        <f>IFERROR(__xludf.DUMMYFUNCTION("""COMPUTED_VALUE"""),"วพอ.พอ.")</f>
        <v>วพอ.พอ.</v>
      </c>
      <c r="J387" s="12">
        <f>IFERROR(__xludf.DUMMYFUNCTION("""COMPUTED_VALUE"""),45965.0)</f>
        <v>45965</v>
      </c>
      <c r="K387" s="3" t="str">
        <f>IFERROR(__xludf.DUMMYFUNCTION("""COMPUTED_VALUE"""),"0800-1600")</f>
        <v>0800-1600</v>
      </c>
      <c r="L387" s="3">
        <f>IFERROR(__xludf.DUMMYFUNCTION("""COMPUTED_VALUE"""),8.0)</f>
        <v>8</v>
      </c>
      <c r="M387" s="3" t="str">
        <f>IFERROR(__xludf.DUMMYFUNCTION("""COMPUTED_VALUE"""),"ร.อ.ฤทธิพล อ้วนสิงห์")</f>
        <v>ร.อ.ฤทธิพล อ้วนสิงห์</v>
      </c>
      <c r="N387" s="14" t="str">
        <f>IFERROR(__xludf.DUMMYFUNCTION("""COMPUTED_VALUE"""),"https://lh5.googleusercontent.com/d/1IWPnfyGVp1ZziRzjHAD2nd8NbEo0nBUP")</f>
        <v>https://lh5.googleusercontent.com/d/1IWPnfyGVp1ZziRzjHAD2nd8NbEo0nBUP</v>
      </c>
      <c r="O387" s="14" t="str">
        <f>IFERROR(__xludf.DUMMYFUNCTION("""COMPUTED_VALUE"""),"https://drive.google.com/file/d/1tPTfcKnZ6tvyDi3TlyPLGpBO5d4D5O-i/view?usp=drivesdk")</f>
        <v>https://drive.google.com/file/d/1tPTfcKnZ6tvyDi3TlyPLGpBO5d4D5O-i/view?usp=drivesdk</v>
      </c>
    </row>
    <row r="388">
      <c r="A388" s="3">
        <f>IFERROR(__xludf.DUMMYFUNCTION("""COMPUTED_VALUE"""),1915.0)</f>
        <v>1915</v>
      </c>
      <c r="B388" s="11">
        <f>IFERROR(__xludf.DUMMYFUNCTION("""COMPUTED_VALUE"""),46000.44443232639)</f>
        <v>46000.44443</v>
      </c>
      <c r="C388" s="3" t="str">
        <f>IFERROR(__xludf.DUMMYFUNCTION("""COMPUTED_VALUE"""),"ชั้นปีที่ 1")</f>
        <v>ชั้นปีที่ 1</v>
      </c>
      <c r="D388" s="3" t="str">
        <f>IFERROR(__xludf.DUMMYFUNCTION("""COMPUTED_VALUE"""),"6803912")</f>
        <v>6803912</v>
      </c>
      <c r="E388" s="3" t="str">
        <f>IFERROR(__xludf.DUMMYFUNCTION("""COMPUTED_VALUE"""),"31")</f>
        <v>31</v>
      </c>
      <c r="F388" s="3" t="str">
        <f>IFERROR(__xludf.DUMMYFUNCTION("""COMPUTED_VALUE"""),"เบญจวรรณ มณีแนว")</f>
        <v>เบญจวรรณ มณีแนว</v>
      </c>
      <c r="G388" s="3" t="str">
        <f>IFERROR(__xludf.DUMMYFUNCTION("""COMPUTED_VALUE"""),"งานฟรีทั่วไป")</f>
        <v>งานฟรีทั่วไป</v>
      </c>
      <c r="H388" s="3" t="str">
        <f>IFERROR(__xludf.DUMMYFUNCTION("""COMPUTED_VALUE"""),"ทำความสะอาด")</f>
        <v>ทำความสะอาด</v>
      </c>
      <c r="I388" s="3" t="str">
        <f>IFERROR(__xludf.DUMMYFUNCTION("""COMPUTED_VALUE"""),"บ้าน")</f>
        <v>บ้าน</v>
      </c>
      <c r="J388" s="12">
        <f>IFERROR(__xludf.DUMMYFUNCTION("""COMPUTED_VALUE"""),45997.0)</f>
        <v>45997</v>
      </c>
      <c r="K388" s="3" t="str">
        <f>IFERROR(__xludf.DUMMYFUNCTION("""COMPUTED_VALUE"""),"1700-1745")</f>
        <v>1700-1745</v>
      </c>
      <c r="L388" s="3">
        <f>IFERROR(__xludf.DUMMYFUNCTION("""COMPUTED_VALUE"""),4.0)</f>
        <v>4</v>
      </c>
      <c r="M388" s="3" t="str">
        <f>IFERROR(__xludf.DUMMYFUNCTION("""COMPUTED_VALUE"""),"นางอภิญญาพร นามอินทร์")</f>
        <v>นางอภิญญาพร นามอินทร์</v>
      </c>
      <c r="N388" s="14" t="str">
        <f>IFERROR(__xludf.DUMMYFUNCTION("""COMPUTED_VALUE"""),"https://lh5.googleusercontent.com/d/1aJ8NOJQNMbI6MoBBrVwQdOKoZjyHc06o")</f>
        <v>https://lh5.googleusercontent.com/d/1aJ8NOJQNMbI6MoBBrVwQdOKoZjyHc06o</v>
      </c>
      <c r="O388" s="14" t="str">
        <f>IFERROR(__xludf.DUMMYFUNCTION("""COMPUTED_VALUE"""),"https://drive.google.com/file/d/1iReTejlkXojqWT1Vv5Xj3QjydWOfDoWX/view?usp=drivesdk")</f>
        <v>https://drive.google.com/file/d/1iReTejlkXojqWT1Vv5Xj3QjydWOfDoWX/view?usp=drivesdk</v>
      </c>
    </row>
    <row r="389">
      <c r="A389" s="3">
        <f>IFERROR(__xludf.DUMMYFUNCTION("""COMPUTED_VALUE"""),1916.0)</f>
        <v>1916</v>
      </c>
      <c r="B389" s="11">
        <f>IFERROR(__xludf.DUMMYFUNCTION("""COMPUTED_VALUE"""),46000.44464030093)</f>
        <v>46000.44464</v>
      </c>
      <c r="C389" s="3" t="str">
        <f>IFERROR(__xludf.DUMMYFUNCTION("""COMPUTED_VALUE"""),"ชั้นปีที่ 1")</f>
        <v>ชั้นปีที่ 1</v>
      </c>
      <c r="D389" s="3" t="str">
        <f>IFERROR(__xludf.DUMMYFUNCTION("""COMPUTED_VALUE"""),"6803898")</f>
        <v>6803898</v>
      </c>
      <c r="E389" s="3" t="str">
        <f>IFERROR(__xludf.DUMMYFUNCTION("""COMPUTED_VALUE"""),"17")</f>
        <v>17</v>
      </c>
      <c r="F389" s="3" t="str">
        <f>IFERROR(__xludf.DUMMYFUNCTION("""COMPUTED_VALUE"""),"นพอ.ณัฐณิชา ทิพย์โอสถ")</f>
        <v>นพอ.ณัฐณิชา ทิพย์โอสถ</v>
      </c>
      <c r="G389" s="3" t="str">
        <f>IFERROR(__xludf.DUMMYFUNCTION("""COMPUTED_VALUE"""),"ช่วยเหลืองานภายใน วพอ.")</f>
        <v>ช่วยเหลืองานภายใน วพอ.</v>
      </c>
      <c r="H389" s="3" t="str">
        <f>IFERROR(__xludf.DUMMYFUNCTION("""COMPUTED_VALUE"""),"เหรัญญิกชั้นปีที่ 1")</f>
        <v>เหรัญญิกชั้นปีที่ 1</v>
      </c>
      <c r="I389" s="3" t="str">
        <f>IFERROR(__xludf.DUMMYFUNCTION("""COMPUTED_VALUE"""),"วพอ.พอ.")</f>
        <v>วพอ.พอ.</v>
      </c>
      <c r="J389" s="12">
        <f>IFERROR(__xludf.DUMMYFUNCTION("""COMPUTED_VALUE"""),45966.0)</f>
        <v>45966</v>
      </c>
      <c r="K389" s="3" t="str">
        <f>IFERROR(__xludf.DUMMYFUNCTION("""COMPUTED_VALUE"""),"0800-1600")</f>
        <v>0800-1600</v>
      </c>
      <c r="L389" s="3">
        <f>IFERROR(__xludf.DUMMYFUNCTION("""COMPUTED_VALUE"""),8.0)</f>
        <v>8</v>
      </c>
      <c r="M389" s="3" t="str">
        <f>IFERROR(__xludf.DUMMYFUNCTION("""COMPUTED_VALUE"""),"ร.อ.ฤทธิพล อ้วนสิงห์")</f>
        <v>ร.อ.ฤทธิพล อ้วนสิงห์</v>
      </c>
      <c r="N389" s="14" t="str">
        <f>IFERROR(__xludf.DUMMYFUNCTION("""COMPUTED_VALUE"""),"https://lh5.googleusercontent.com/d/1TnziL85-7hSDnuO4tbllM8GIYOgGj30E")</f>
        <v>https://lh5.googleusercontent.com/d/1TnziL85-7hSDnuO4tbllM8GIYOgGj30E</v>
      </c>
      <c r="O389" s="14" t="str">
        <f>IFERROR(__xludf.DUMMYFUNCTION("""COMPUTED_VALUE"""),"https://drive.google.com/file/d/1y7lVJrg-yLmHt16FX51SSh0mfymUVh7b/view?usp=drivesdk")</f>
        <v>https://drive.google.com/file/d/1y7lVJrg-yLmHt16FX51SSh0mfymUVh7b/view?usp=drivesdk</v>
      </c>
    </row>
    <row r="390">
      <c r="A390" s="3">
        <f>IFERROR(__xludf.DUMMYFUNCTION("""COMPUTED_VALUE"""),1917.0)</f>
        <v>1917</v>
      </c>
      <c r="B390" s="11">
        <f>IFERROR(__xludf.DUMMYFUNCTION("""COMPUTED_VALUE"""),46000.445275578706)</f>
        <v>46000.44528</v>
      </c>
      <c r="C390" s="3" t="str">
        <f>IFERROR(__xludf.DUMMYFUNCTION("""COMPUTED_VALUE"""),"ชั้นปีที่ 1")</f>
        <v>ชั้นปีที่ 1</v>
      </c>
      <c r="D390" s="3" t="str">
        <f>IFERROR(__xludf.DUMMYFUNCTION("""COMPUTED_VALUE"""),"6803943")</f>
        <v>6803943</v>
      </c>
      <c r="E390" s="3" t="str">
        <f>IFERROR(__xludf.DUMMYFUNCTION("""COMPUTED_VALUE"""),"62")</f>
        <v>62</v>
      </c>
      <c r="F390" s="3" t="str">
        <f>IFERROR(__xludf.DUMMYFUNCTION("""COMPUTED_VALUE"""),"นพอ.อภิสรา บุญเกื้อ")</f>
        <v>นพอ.อภิสรา บุญเกื้อ</v>
      </c>
      <c r="G39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0" s="3" t="str">
        <f>IFERROR(__xludf.DUMMYFUNCTION("""COMPUTED_VALUE"""),"t the Youth cyber Guardian Thailand 2025")</f>
        <v>t the Youth cyber Guardian Thailand 2025</v>
      </c>
      <c r="I390" s="3" t="str">
        <f>IFERROR(__xludf.DUMMYFUNCTION("""COMPUTED_VALUE"""),"อาคาร 15 กองบัญชาการกองทัพไทย")</f>
        <v>อาคาร 15 กองบัญชาการกองทัพไทย</v>
      </c>
      <c r="J390" s="12">
        <f>IFERROR(__xludf.DUMMYFUNCTION("""COMPUTED_VALUE"""),45907.0)</f>
        <v>45907</v>
      </c>
      <c r="K390" s="3" t="str">
        <f>IFERROR(__xludf.DUMMYFUNCTION("""COMPUTED_VALUE"""),"0800")</f>
        <v>0800</v>
      </c>
      <c r="L390" s="3">
        <f>IFERROR(__xludf.DUMMYFUNCTION("""COMPUTED_VALUE"""),8.0)</f>
        <v>8</v>
      </c>
      <c r="M390" s="3" t="str">
        <f>IFERROR(__xludf.DUMMYFUNCTION("""COMPUTED_VALUE"""),"ร.อ.อนุชิต ทำจะดี")</f>
        <v>ร.อ.อนุชิต ทำจะดี</v>
      </c>
      <c r="N390" s="14" t="str">
        <f>IFERROR(__xludf.DUMMYFUNCTION("""COMPUTED_VALUE"""),"https://lh5.googleusercontent.com/d/18XHRnIlyoiYzeegGZecVGv955EtEX8CO")</f>
        <v>https://lh5.googleusercontent.com/d/18XHRnIlyoiYzeegGZecVGv955EtEX8CO</v>
      </c>
      <c r="O390" s="14" t="str">
        <f>IFERROR(__xludf.DUMMYFUNCTION("""COMPUTED_VALUE"""),"https://drive.google.com/file/d/1zoBzUQVZOufeUD5iRyAqcTYm8-EzbjYy/view?usp=drivesdk")</f>
        <v>https://drive.google.com/file/d/1zoBzUQVZOufeUD5iRyAqcTYm8-EzbjYy/view?usp=drivesdk</v>
      </c>
    </row>
    <row r="391">
      <c r="A391" s="3">
        <f>IFERROR(__xludf.DUMMYFUNCTION("""COMPUTED_VALUE"""),1919.0)</f>
        <v>1919</v>
      </c>
      <c r="B391" s="11">
        <f>IFERROR(__xludf.DUMMYFUNCTION("""COMPUTED_VALUE"""),46000.44654621527)</f>
        <v>46000.44655</v>
      </c>
      <c r="C391" s="3" t="str">
        <f>IFERROR(__xludf.DUMMYFUNCTION("""COMPUTED_VALUE"""),"ชั้นปีที่ 1")</f>
        <v>ชั้นปีที่ 1</v>
      </c>
      <c r="D391" s="3" t="str">
        <f>IFERROR(__xludf.DUMMYFUNCTION("""COMPUTED_VALUE"""),"6803899")</f>
        <v>6803899</v>
      </c>
      <c r="E391" s="3" t="str">
        <f>IFERROR(__xludf.DUMMYFUNCTION("""COMPUTED_VALUE"""),"18")</f>
        <v>18</v>
      </c>
      <c r="F391" s="3" t="str">
        <f>IFERROR(__xludf.DUMMYFUNCTION("""COMPUTED_VALUE"""),"นพอ.ณัฐณิชา มีปา")</f>
        <v>นพอ.ณัฐณิชา มีปา</v>
      </c>
      <c r="G39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1" s="3" t="str">
        <f>IFERROR(__xludf.DUMMYFUNCTION("""COMPUTED_VALUE"""),"Meet the youth cyber guardians Thailand 2025")</f>
        <v>Meet the youth cyber guardians Thailand 2025</v>
      </c>
      <c r="I391" s="3" t="str">
        <f>IFERROR(__xludf.DUMMYFUNCTION("""COMPUTED_VALUE"""),"อาคาร15 กองบัญชาการกองทัพไทย")</f>
        <v>อาคาร15 กองบัญชาการกองทัพไทย</v>
      </c>
      <c r="J391" s="12">
        <f>IFERROR(__xludf.DUMMYFUNCTION("""COMPUTED_VALUE"""),45907.0)</f>
        <v>45907</v>
      </c>
      <c r="K391" s="3" t="str">
        <f>IFERROR(__xludf.DUMMYFUNCTION("""COMPUTED_VALUE"""),"0700-1600")</f>
        <v>0700-1600</v>
      </c>
      <c r="L391" s="3">
        <f>IFERROR(__xludf.DUMMYFUNCTION("""COMPUTED_VALUE"""),8.0)</f>
        <v>8</v>
      </c>
      <c r="M391" s="3" t="str">
        <f>IFERROR(__xludf.DUMMYFUNCTION("""COMPUTED_VALUE"""),"ร.อ.อนุชิต ทำจะดี")</f>
        <v>ร.อ.อนุชิต ทำจะดี</v>
      </c>
      <c r="N391" s="14" t="str">
        <f>IFERROR(__xludf.DUMMYFUNCTION("""COMPUTED_VALUE"""),"https://lh5.googleusercontent.com/d/1mbUb0cPx4ZE7p8vHcv_fNwca3sipn4YD")</f>
        <v>https://lh5.googleusercontent.com/d/1mbUb0cPx4ZE7p8vHcv_fNwca3sipn4YD</v>
      </c>
      <c r="O391" s="14" t="str">
        <f>IFERROR(__xludf.DUMMYFUNCTION("""COMPUTED_VALUE"""),"https://drive.google.com/file/d/1FA-e2mnHX2vRNekG7CDXpATbpfeWen0W/view?usp=drivesdk")</f>
        <v>https://drive.google.com/file/d/1FA-e2mnHX2vRNekG7CDXpATbpfeWen0W/view?usp=drivesdk</v>
      </c>
    </row>
    <row r="392">
      <c r="A392" s="3">
        <f>IFERROR(__xludf.DUMMYFUNCTION("""COMPUTED_VALUE"""),1920.0)</f>
        <v>1920</v>
      </c>
      <c r="B392" s="11">
        <f>IFERROR(__xludf.DUMMYFUNCTION("""COMPUTED_VALUE"""),46000.44771645833)</f>
        <v>46000.44772</v>
      </c>
      <c r="C392" s="3" t="str">
        <f>IFERROR(__xludf.DUMMYFUNCTION("""COMPUTED_VALUE"""),"ชั้นปีที่ 1")</f>
        <v>ชั้นปีที่ 1</v>
      </c>
      <c r="D392" s="3" t="str">
        <f>IFERROR(__xludf.DUMMYFUNCTION("""COMPUTED_VALUE"""),"6803905")</f>
        <v>6803905</v>
      </c>
      <c r="E392" s="3" t="str">
        <f>IFERROR(__xludf.DUMMYFUNCTION("""COMPUTED_VALUE"""),"24")</f>
        <v>24</v>
      </c>
      <c r="F392" s="3" t="str">
        <f>IFERROR(__xludf.DUMMYFUNCTION("""COMPUTED_VALUE"""),"นพอ.ธนพล เสือน้อย")</f>
        <v>นพอ.ธนพล เสือน้อย</v>
      </c>
      <c r="G392" s="3" t="str">
        <f>IFERROR(__xludf.DUMMYFUNCTION("""COMPUTED_VALUE"""),"ช่วยเหลืองานภายใน วพอ.")</f>
        <v>ช่วยเหลืองานภายใน วพอ.</v>
      </c>
      <c r="H392" s="3" t="str">
        <f>IFERROR(__xludf.DUMMYFUNCTION("""COMPUTED_VALUE"""),"ดุริยางค์")</f>
        <v>ดุริยางค์</v>
      </c>
      <c r="I392" s="3" t="str">
        <f>IFERROR(__xludf.DUMMYFUNCTION("""COMPUTED_VALUE"""),"วพอ.พอ.")</f>
        <v>วพอ.พอ.</v>
      </c>
      <c r="J392" s="12">
        <f>IFERROR(__xludf.DUMMYFUNCTION("""COMPUTED_VALUE"""),45964.0)</f>
        <v>45964</v>
      </c>
      <c r="K392" s="3" t="str">
        <f>IFERROR(__xludf.DUMMYFUNCTION("""COMPUTED_VALUE"""),"0744")</f>
        <v>0744</v>
      </c>
      <c r="L392" s="3">
        <f>IFERROR(__xludf.DUMMYFUNCTION("""COMPUTED_VALUE"""),1.0)</f>
        <v>1</v>
      </c>
      <c r="M392" s="3" t="str">
        <f>IFERROR(__xludf.DUMMYFUNCTION("""COMPUTED_VALUE"""),"ร.อ.อนุชิต ทำจะดี")</f>
        <v>ร.อ.อนุชิต ทำจะดี</v>
      </c>
      <c r="N392" s="14" t="str">
        <f>IFERROR(__xludf.DUMMYFUNCTION("""COMPUTED_VALUE"""),"https://lh5.googleusercontent.com/d/1Wf7_wqK-me0N6f7kr92S9wv5orZ-3KJS")</f>
        <v>https://lh5.googleusercontent.com/d/1Wf7_wqK-me0N6f7kr92S9wv5orZ-3KJS</v>
      </c>
      <c r="O392" s="14" t="str">
        <f>IFERROR(__xludf.DUMMYFUNCTION("""COMPUTED_VALUE"""),"https://drive.google.com/file/d/1eowGFKTx64FX3yJm4vv7kef0c-DOurCP/view?usp=drivesdk")</f>
        <v>https://drive.google.com/file/d/1eowGFKTx64FX3yJm4vv7kef0c-DOurCP/view?usp=drivesdk</v>
      </c>
    </row>
    <row r="393">
      <c r="A393" s="3">
        <f>IFERROR(__xludf.DUMMYFUNCTION("""COMPUTED_VALUE"""),1921.0)</f>
        <v>1921</v>
      </c>
      <c r="B393" s="11">
        <f>IFERROR(__xludf.DUMMYFUNCTION("""COMPUTED_VALUE"""),46000.44824144676)</f>
        <v>46000.44824</v>
      </c>
      <c r="C393" s="3" t="str">
        <f>IFERROR(__xludf.DUMMYFUNCTION("""COMPUTED_VALUE"""),"ชั้นปีที่ 1")</f>
        <v>ชั้นปีที่ 1</v>
      </c>
      <c r="D393" s="3" t="str">
        <f>IFERROR(__xludf.DUMMYFUNCTION("""COMPUTED_VALUE"""),"6803893")</f>
        <v>6803893</v>
      </c>
      <c r="E393" s="3" t="str">
        <f>IFERROR(__xludf.DUMMYFUNCTION("""COMPUTED_VALUE"""),"12")</f>
        <v>12</v>
      </c>
      <c r="F393" s="3" t="str">
        <f>IFERROR(__xludf.DUMMYFUNCTION("""COMPUTED_VALUE"""),"นพอ.ฐิติกานต์ วัดจัง")</f>
        <v>นพอ.ฐิติกานต์ วัดจัง</v>
      </c>
      <c r="G393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393" s="3" t="str">
        <f>IFERROR(__xludf.DUMMYFUNCTION("""COMPUTED_VALUE"""),"บริจาคเลือด")</f>
        <v>บริจาคเลือด</v>
      </c>
      <c r="I393" s="3" t="str">
        <f>IFERROR(__xludf.DUMMYFUNCTION("""COMPUTED_VALUE"""),"สภากาชาดไทย")</f>
        <v>สภากาชาดไทย</v>
      </c>
      <c r="J393" s="12">
        <f>IFERROR(__xludf.DUMMYFUNCTION("""COMPUTED_VALUE"""),45916.0)</f>
        <v>45916</v>
      </c>
      <c r="K393" s="3" t="str">
        <f>IFERROR(__xludf.DUMMYFUNCTION("""COMPUTED_VALUE"""),"0800-1600")</f>
        <v>0800-1600</v>
      </c>
      <c r="L393" s="3">
        <f>IFERROR(__xludf.DUMMYFUNCTION("""COMPUTED_VALUE"""),8.0)</f>
        <v>8</v>
      </c>
      <c r="M393" s="3" t="str">
        <f>IFERROR(__xludf.DUMMYFUNCTION("""COMPUTED_VALUE"""),"น.ท.หญิง อนุกูล บำรุงวงค์")</f>
        <v>น.ท.หญิง อนุกูล บำรุงวงค์</v>
      </c>
      <c r="N393" s="14" t="str">
        <f>IFERROR(__xludf.DUMMYFUNCTION("""COMPUTED_VALUE"""),"https://lh5.googleusercontent.com/d/1LNEuK8ik7i8eV2ZbIIsNWQq5D_NgCCXk")</f>
        <v>https://lh5.googleusercontent.com/d/1LNEuK8ik7i8eV2ZbIIsNWQq5D_NgCCXk</v>
      </c>
      <c r="O393" s="14" t="str">
        <f>IFERROR(__xludf.DUMMYFUNCTION("""COMPUTED_VALUE"""),"https://drive.google.com/file/d/1b6Tcmtsjr9W-omHEA1raLSJ3FRzYkFV7/view?usp=drivesdk")</f>
        <v>https://drive.google.com/file/d/1b6Tcmtsjr9W-omHEA1raLSJ3FRzYkFV7/view?usp=drivesdk</v>
      </c>
    </row>
    <row r="394">
      <c r="A394" s="3">
        <f>IFERROR(__xludf.DUMMYFUNCTION("""COMPUTED_VALUE"""),1922.0)</f>
        <v>1922</v>
      </c>
      <c r="B394" s="11">
        <f>IFERROR(__xludf.DUMMYFUNCTION("""COMPUTED_VALUE"""),46000.449687430555)</f>
        <v>46000.44969</v>
      </c>
      <c r="C394" s="3" t="str">
        <f>IFERROR(__xludf.DUMMYFUNCTION("""COMPUTED_VALUE"""),"ชั้นปีที่ 1")</f>
        <v>ชั้นปีที่ 1</v>
      </c>
      <c r="D394" s="3" t="str">
        <f>IFERROR(__xludf.DUMMYFUNCTION("""COMPUTED_VALUE"""),"6803912")</f>
        <v>6803912</v>
      </c>
      <c r="E394" s="3" t="str">
        <f>IFERROR(__xludf.DUMMYFUNCTION("""COMPUTED_VALUE"""),"31")</f>
        <v>31</v>
      </c>
      <c r="F394" s="3" t="str">
        <f>IFERROR(__xludf.DUMMYFUNCTION("""COMPUTED_VALUE"""),"เบญจวรรณ มณีแนว")</f>
        <v>เบญจวรรณ มณีแนว</v>
      </c>
      <c r="G3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394" s="3" t="str">
        <f>IFERROR(__xludf.DUMMYFUNCTION("""COMPUTED_VALUE"""),"Meet The Youth Cyber Guardians Thailand 2025")</f>
        <v>Meet The Youth Cyber Guardians Thailand 2025</v>
      </c>
      <c r="I394" s="3" t="str">
        <f>IFERROR(__xludf.DUMMYFUNCTION("""COMPUTED_VALUE"""),"กองบัญชาการกองทัพไทย")</f>
        <v>กองบัญชาการกองทัพไทย</v>
      </c>
      <c r="J394" s="12">
        <f>IFERROR(__xludf.DUMMYFUNCTION("""COMPUTED_VALUE"""),45907.0)</f>
        <v>45907</v>
      </c>
      <c r="K394" s="3" t="str">
        <f>IFERROR(__xludf.DUMMYFUNCTION("""COMPUTED_VALUE"""),"0700-1700")</f>
        <v>0700-1700</v>
      </c>
      <c r="L394" s="3">
        <f>IFERROR(__xludf.DUMMYFUNCTION("""COMPUTED_VALUE"""),8.0)</f>
        <v>8</v>
      </c>
      <c r="M394" s="3" t="str">
        <f>IFERROR(__xludf.DUMMYFUNCTION("""COMPUTED_VALUE"""),"ร.อ.อนุชิต ทำจะดี")</f>
        <v>ร.อ.อนุชิต ทำจะดี</v>
      </c>
      <c r="N394" s="14" t="str">
        <f>IFERROR(__xludf.DUMMYFUNCTION("""COMPUTED_VALUE"""),"https://lh5.googleusercontent.com/d/1BZvja4AzR25YU-jYXhfx-Sx4sc8BPLgT")</f>
        <v>https://lh5.googleusercontent.com/d/1BZvja4AzR25YU-jYXhfx-Sx4sc8BPLgT</v>
      </c>
      <c r="O394" s="14" t="str">
        <f>IFERROR(__xludf.DUMMYFUNCTION("""COMPUTED_VALUE"""),"https://drive.google.com/file/d/10-l5T5_oa0FW73D6FJVKQRgDK-jXgLT9/view?usp=drivesdk")</f>
        <v>https://drive.google.com/file/d/10-l5T5_oa0FW73D6FJVKQRgDK-jXgLT9/view?usp=drivesdk</v>
      </c>
    </row>
    <row r="395">
      <c r="A395" s="3">
        <f>IFERROR(__xludf.DUMMYFUNCTION("""COMPUTED_VALUE"""),1924.0)</f>
        <v>1924</v>
      </c>
      <c r="B395" s="11">
        <f>IFERROR(__xludf.DUMMYFUNCTION("""COMPUTED_VALUE"""),46000.450830856484)</f>
        <v>46000.45083</v>
      </c>
      <c r="C395" s="3" t="str">
        <f>IFERROR(__xludf.DUMMYFUNCTION("""COMPUTED_VALUE"""),"ชั้นปีที่ 1")</f>
        <v>ชั้นปีที่ 1</v>
      </c>
      <c r="D395" s="3" t="str">
        <f>IFERROR(__xludf.DUMMYFUNCTION("""COMPUTED_VALUE"""),"6803885")</f>
        <v>6803885</v>
      </c>
      <c r="E395" s="3" t="str">
        <f>IFERROR(__xludf.DUMMYFUNCTION("""COMPUTED_VALUE"""),"4")</f>
        <v>4</v>
      </c>
      <c r="F395" s="3" t="str">
        <f>IFERROR(__xludf.DUMMYFUNCTION("""COMPUTED_VALUE"""),"นพอ.กษิดิ์เดช เอมอานนท์")</f>
        <v>นพอ.กษิดิ์เดช เอมอานนท์</v>
      </c>
      <c r="G395" s="3" t="str">
        <f>IFERROR(__xludf.DUMMYFUNCTION("""COMPUTED_VALUE"""),"งานฟรีทั่วไป")</f>
        <v>งานฟรีทั่วไป</v>
      </c>
      <c r="H395" s="3" t="str">
        <f>IFERROR(__xludf.DUMMYFUNCTION("""COMPUTED_VALUE"""),"ทำความสะอาดบ้าน")</f>
        <v>ทำความสะอาดบ้าน</v>
      </c>
      <c r="I395" s="3" t="str">
        <f>IFERROR(__xludf.DUMMYFUNCTION("""COMPUTED_VALUE"""),"47/191 ต.ปากเกร็ด อ.ปากเกร็ด")</f>
        <v>47/191 ต.ปากเกร็ด อ.ปากเกร็ด</v>
      </c>
      <c r="J395" s="12">
        <f>IFERROR(__xludf.DUMMYFUNCTION("""COMPUTED_VALUE"""),45998.0)</f>
        <v>45998</v>
      </c>
      <c r="K395" s="3" t="str">
        <f>IFERROR(__xludf.DUMMYFUNCTION("""COMPUTED_VALUE"""),"0900")</f>
        <v>0900</v>
      </c>
      <c r="L395" s="3">
        <f>IFERROR(__xludf.DUMMYFUNCTION("""COMPUTED_VALUE"""),3.0)</f>
        <v>3</v>
      </c>
      <c r="M395" s="3" t="str">
        <f>IFERROR(__xludf.DUMMYFUNCTION("""COMPUTED_VALUE"""),"นางวลัย เอมอานนท์")</f>
        <v>นางวลัย เอมอานนท์</v>
      </c>
      <c r="N395" s="14" t="str">
        <f>IFERROR(__xludf.DUMMYFUNCTION("""COMPUTED_VALUE"""),"https://lh5.googleusercontent.com/d/1dxkpTqCGCWWtZ6daEVlBN156yq46N_w3")</f>
        <v>https://lh5.googleusercontent.com/d/1dxkpTqCGCWWtZ6daEVlBN156yq46N_w3</v>
      </c>
      <c r="O395" s="14" t="str">
        <f>IFERROR(__xludf.DUMMYFUNCTION("""COMPUTED_VALUE"""),"https://drive.google.com/file/d/1wDc2Ks8-NjP-Z6VwUaC66ecomt6mRdfI/view?usp=drivesdk")</f>
        <v>https://drive.google.com/file/d/1wDc2Ks8-NjP-Z6VwUaC66ecomt6mRdfI/view?usp=drivesdk</v>
      </c>
    </row>
    <row r="396">
      <c r="A396" s="3">
        <f>IFERROR(__xludf.DUMMYFUNCTION("""COMPUTED_VALUE"""),1925.0)</f>
        <v>1925</v>
      </c>
      <c r="B396" s="11">
        <f>IFERROR(__xludf.DUMMYFUNCTION("""COMPUTED_VALUE"""),46000.45237855324)</f>
        <v>46000.45238</v>
      </c>
      <c r="C396" s="3" t="str">
        <f>IFERROR(__xludf.DUMMYFUNCTION("""COMPUTED_VALUE"""),"ชั้นปีที่ 1")</f>
        <v>ชั้นปีที่ 1</v>
      </c>
      <c r="D396" s="3" t="str">
        <f>IFERROR(__xludf.DUMMYFUNCTION("""COMPUTED_VALUE"""),"6803899")</f>
        <v>6803899</v>
      </c>
      <c r="E396" s="3" t="str">
        <f>IFERROR(__xludf.DUMMYFUNCTION("""COMPUTED_VALUE"""),"18")</f>
        <v>18</v>
      </c>
      <c r="F396" s="3" t="str">
        <f>IFERROR(__xludf.DUMMYFUNCTION("""COMPUTED_VALUE"""),"นพอ.ณัฐณิชา มีปา")</f>
        <v>นพอ.ณัฐณิชา มีปา</v>
      </c>
      <c r="G396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396" s="3" t="str">
        <f>IFERROR(__xludf.DUMMYFUNCTION("""COMPUTED_VALUE"""),"จิตอาสามูลนิธิกระจกเงา")</f>
        <v>จิตอาสามูลนิธิกระจกเงา</v>
      </c>
      <c r="I396" s="3" t="str">
        <f>IFERROR(__xludf.DUMMYFUNCTION("""COMPUTED_VALUE"""),"มูลนิธิกระจกเงา")</f>
        <v>มูลนิธิกระจกเงา</v>
      </c>
      <c r="J396" s="12">
        <f>IFERROR(__xludf.DUMMYFUNCTION("""COMPUTED_VALUE"""),45941.0)</f>
        <v>45941</v>
      </c>
      <c r="K396" s="3" t="str">
        <f>IFERROR(__xludf.DUMMYFUNCTION("""COMPUTED_VALUE"""),"1000-1600")</f>
        <v>1000-1600</v>
      </c>
      <c r="L396" s="3">
        <f>IFERROR(__xludf.DUMMYFUNCTION("""COMPUTED_VALUE"""),4.0)</f>
        <v>4</v>
      </c>
      <c r="M396" s="3" t="str">
        <f>IFERROR(__xludf.DUMMYFUNCTION("""COMPUTED_VALUE"""),"เจ้าหน้าที่มูลนิธิ")</f>
        <v>เจ้าหน้าที่มูลนิธิ</v>
      </c>
      <c r="N396" s="14" t="str">
        <f>IFERROR(__xludf.DUMMYFUNCTION("""COMPUTED_VALUE"""),"https://lh5.googleusercontent.com/d/1EkX3HTA1NWWKI5wt8wzc5jxoNiWXgLXT")</f>
        <v>https://lh5.googleusercontent.com/d/1EkX3HTA1NWWKI5wt8wzc5jxoNiWXgLXT</v>
      </c>
      <c r="O396" s="14" t="str">
        <f>IFERROR(__xludf.DUMMYFUNCTION("""COMPUTED_VALUE"""),"https://drive.google.com/file/d/1rGlxhoHoazNBy6N6sS7Eyw98P9hOddLj/view?usp=drivesdk")</f>
        <v>https://drive.google.com/file/d/1rGlxhoHoazNBy6N6sS7Eyw98P9hOddLj/view?usp=drivesdk</v>
      </c>
    </row>
    <row r="397">
      <c r="A397" s="3">
        <f>IFERROR(__xludf.DUMMYFUNCTION("""COMPUTED_VALUE"""),1926.0)</f>
        <v>1926</v>
      </c>
      <c r="B397" s="11">
        <f>IFERROR(__xludf.DUMMYFUNCTION("""COMPUTED_VALUE"""),46000.45339782407)</f>
        <v>46000.4534</v>
      </c>
      <c r="C397" s="3" t="str">
        <f>IFERROR(__xludf.DUMMYFUNCTION("""COMPUTED_VALUE"""),"ชั้นปีที่ 1")</f>
        <v>ชั้นปีที่ 1</v>
      </c>
      <c r="D397" s="3" t="str">
        <f>IFERROR(__xludf.DUMMYFUNCTION("""COMPUTED_VALUE"""),"6803935")</f>
        <v>6803935</v>
      </c>
      <c r="E397" s="3" t="str">
        <f>IFERROR(__xludf.DUMMYFUNCTION("""COMPUTED_VALUE"""),"54")</f>
        <v>54</v>
      </c>
      <c r="F397" s="3" t="str">
        <f>IFERROR(__xludf.DUMMYFUNCTION("""COMPUTED_VALUE"""),"นพอ.วีรวัฒน์ ทัศน์จันดา")</f>
        <v>นพอ.วีรวัฒน์ ทัศน์จันดา</v>
      </c>
      <c r="G397" s="3" t="str">
        <f>IFERROR(__xludf.DUMMYFUNCTION("""COMPUTED_VALUE"""),"ช่วยเหลืองานภายใน วพอ.")</f>
        <v>ช่วยเหลืองานภายใน วพอ.</v>
      </c>
      <c r="H397" s="3" t="str">
        <f>IFERROR(__xludf.DUMMYFUNCTION("""COMPUTED_VALUE"""),"เล่นดุริยางค์")</f>
        <v>เล่นดุริยางค์</v>
      </c>
      <c r="I397" s="3" t="str">
        <f>IFERROR(__xludf.DUMMYFUNCTION("""COMPUTED_VALUE"""),"วพอ.พอ.")</f>
        <v>วพอ.พอ.</v>
      </c>
      <c r="J397" s="12">
        <f>IFERROR(__xludf.DUMMYFUNCTION("""COMPUTED_VALUE"""),45957.0)</f>
        <v>45957</v>
      </c>
      <c r="K397" s="3" t="str">
        <f>IFERROR(__xludf.DUMMYFUNCTION("""COMPUTED_VALUE"""),"0730")</f>
        <v>0730</v>
      </c>
      <c r="L397" s="3">
        <f>IFERROR(__xludf.DUMMYFUNCTION("""COMPUTED_VALUE"""),1.0)</f>
        <v>1</v>
      </c>
      <c r="M397" s="3" t="str">
        <f>IFERROR(__xludf.DUMMYFUNCTION("""COMPUTED_VALUE"""),"ร.อ.อนุชิต ทำจะดี")</f>
        <v>ร.อ.อนุชิต ทำจะดี</v>
      </c>
      <c r="N397" s="14" t="str">
        <f>IFERROR(__xludf.DUMMYFUNCTION("""COMPUTED_VALUE"""),"https://lh5.googleusercontent.com/d/1JkEonLTcLy2RR-mXOvCw9TKNG7db8Gk3")</f>
        <v>https://lh5.googleusercontent.com/d/1JkEonLTcLy2RR-mXOvCw9TKNG7db8Gk3</v>
      </c>
      <c r="O397" s="14" t="str">
        <f>IFERROR(__xludf.DUMMYFUNCTION("""COMPUTED_VALUE"""),"https://drive.google.com/file/d/1ppDbAPCijG4J6ZbE45JKZcatWPQJjodc/view?usp=drivesdk")</f>
        <v>https://drive.google.com/file/d/1ppDbAPCijG4J6ZbE45JKZcatWPQJjodc/view?usp=drivesdk</v>
      </c>
    </row>
    <row r="398">
      <c r="A398" s="3">
        <f>IFERROR(__xludf.DUMMYFUNCTION("""COMPUTED_VALUE"""),1927.0)</f>
        <v>1927</v>
      </c>
      <c r="B398" s="11">
        <f>IFERROR(__xludf.DUMMYFUNCTION("""COMPUTED_VALUE"""),46000.45361723379)</f>
        <v>46000.45362</v>
      </c>
      <c r="C398" s="3" t="str">
        <f>IFERROR(__xludf.DUMMYFUNCTION("""COMPUTED_VALUE"""),"ชั้นปีที่ 1")</f>
        <v>ชั้นปีที่ 1</v>
      </c>
      <c r="D398" s="3" t="str">
        <f>IFERROR(__xludf.DUMMYFUNCTION("""COMPUTED_VALUE"""),"6803893")</f>
        <v>6803893</v>
      </c>
      <c r="E398" s="3" t="str">
        <f>IFERROR(__xludf.DUMMYFUNCTION("""COMPUTED_VALUE"""),"12")</f>
        <v>12</v>
      </c>
      <c r="F398" s="3" t="str">
        <f>IFERROR(__xludf.DUMMYFUNCTION("""COMPUTED_VALUE"""),"นพอ.ฐิติกานต์ วัดจัง")</f>
        <v>นพอ.ฐิติกานต์ วัดจัง</v>
      </c>
      <c r="G398" s="3" t="str">
        <f>IFERROR(__xludf.DUMMYFUNCTION("""COMPUTED_VALUE"""),"ช่วยเหลืองานภายใน วพอ.")</f>
        <v>ช่วยเหลืองานภายใน วพอ.</v>
      </c>
      <c r="H398" s="3" t="str">
        <f>IFERROR(__xludf.DUMMYFUNCTION("""COMPUTED_VALUE"""),"ฟังบรรยายเรื่องเตรียมความพร้อมคุณแม่ตั้งครรภ์")</f>
        <v>ฟังบรรยายเรื่องเตรียมความพร้อมคุณแม่ตั้งครรภ์</v>
      </c>
      <c r="I398" s="3" t="str">
        <f>IFERROR(__xludf.DUMMYFUNCTION("""COMPUTED_VALUE"""),"วพอ.พอ.")</f>
        <v>วพอ.พอ.</v>
      </c>
      <c r="J398" s="12">
        <f>IFERROR(__xludf.DUMMYFUNCTION("""COMPUTED_VALUE"""),45976.0)</f>
        <v>45976</v>
      </c>
      <c r="K398" s="3" t="str">
        <f>IFERROR(__xludf.DUMMYFUNCTION("""COMPUTED_VALUE"""),"0900-1200")</f>
        <v>0900-1200</v>
      </c>
      <c r="L398" s="3">
        <f>IFERROR(__xludf.DUMMYFUNCTION("""COMPUTED_VALUE"""),3.0)</f>
        <v>3</v>
      </c>
      <c r="M398" s="3" t="str">
        <f>IFERROR(__xludf.DUMMYFUNCTION("""COMPUTED_VALUE"""),"น.อ.หญิง นิตยา สุขแสน")</f>
        <v>น.อ.หญิง นิตยา สุขแสน</v>
      </c>
      <c r="N398" s="14" t="str">
        <f>IFERROR(__xludf.DUMMYFUNCTION("""COMPUTED_VALUE"""),"https://lh5.googleusercontent.com/d/19WqF-fDbXiirL53FDZIfanA7Nr6DvTYP")</f>
        <v>https://lh5.googleusercontent.com/d/19WqF-fDbXiirL53FDZIfanA7Nr6DvTYP</v>
      </c>
      <c r="O398" s="14" t="str">
        <f>IFERROR(__xludf.DUMMYFUNCTION("""COMPUTED_VALUE"""),"https://drive.google.com/file/d/17X5lUssSdP9JseLoHwjN2SeSQ23XGO1j/view?usp=drivesdk")</f>
        <v>https://drive.google.com/file/d/17X5lUssSdP9JseLoHwjN2SeSQ23XGO1j/view?usp=drivesdk</v>
      </c>
    </row>
    <row r="399">
      <c r="A399" s="3">
        <f>IFERROR(__xludf.DUMMYFUNCTION("""COMPUTED_VALUE"""),1928.0)</f>
        <v>1928</v>
      </c>
      <c r="B399" s="11">
        <f>IFERROR(__xludf.DUMMYFUNCTION("""COMPUTED_VALUE"""),46000.45485758102)</f>
        <v>46000.45486</v>
      </c>
      <c r="C399" s="3" t="str">
        <f>IFERROR(__xludf.DUMMYFUNCTION("""COMPUTED_VALUE"""),"ชั้นปีที่ 1")</f>
        <v>ชั้นปีที่ 1</v>
      </c>
      <c r="D399" s="3" t="str">
        <f>IFERROR(__xludf.DUMMYFUNCTION("""COMPUTED_VALUE"""),"6803935")</f>
        <v>6803935</v>
      </c>
      <c r="E399" s="3" t="str">
        <f>IFERROR(__xludf.DUMMYFUNCTION("""COMPUTED_VALUE"""),"54")</f>
        <v>54</v>
      </c>
      <c r="F399" s="3" t="str">
        <f>IFERROR(__xludf.DUMMYFUNCTION("""COMPUTED_VALUE"""),"นพอ.วีรวัฒน์ ทัศน์จันดา")</f>
        <v>นพอ.วีรวัฒน์ ทัศน์จันดา</v>
      </c>
      <c r="G399" s="3" t="str">
        <f>IFERROR(__xludf.DUMMYFUNCTION("""COMPUTED_VALUE"""),"ช่วยเหลืองานภายใน วพอ.")</f>
        <v>ช่วยเหลืองานภายใน วพอ.</v>
      </c>
      <c r="H399" s="3" t="str">
        <f>IFERROR(__xludf.DUMMYFUNCTION("""COMPUTED_VALUE"""),"เล่นดุริยางค์")</f>
        <v>เล่นดุริยางค์</v>
      </c>
      <c r="I399" s="3" t="str">
        <f>IFERROR(__xludf.DUMMYFUNCTION("""COMPUTED_VALUE"""),"วพอ.พอ.")</f>
        <v>วพอ.พอ.</v>
      </c>
      <c r="J399" s="12">
        <f>IFERROR(__xludf.DUMMYFUNCTION("""COMPUTED_VALUE"""),45958.0)</f>
        <v>45958</v>
      </c>
      <c r="K399" s="3" t="str">
        <f>IFERROR(__xludf.DUMMYFUNCTION("""COMPUTED_VALUE"""),"0730")</f>
        <v>0730</v>
      </c>
      <c r="L399" s="3">
        <f>IFERROR(__xludf.DUMMYFUNCTION("""COMPUTED_VALUE"""),1.0)</f>
        <v>1</v>
      </c>
      <c r="M399" s="3" t="str">
        <f>IFERROR(__xludf.DUMMYFUNCTION("""COMPUTED_VALUE"""),"ร.อ.อนุชิต ทำจะดี")</f>
        <v>ร.อ.อนุชิต ทำจะดี</v>
      </c>
      <c r="N399" s="14" t="str">
        <f>IFERROR(__xludf.DUMMYFUNCTION("""COMPUTED_VALUE"""),"https://lh5.googleusercontent.com/d/194ES6APKFjf5-9tdZti0K713ey52-g_J")</f>
        <v>https://lh5.googleusercontent.com/d/194ES6APKFjf5-9tdZti0K713ey52-g_J</v>
      </c>
      <c r="O399" s="14" t="str">
        <f>IFERROR(__xludf.DUMMYFUNCTION("""COMPUTED_VALUE"""),"https://drive.google.com/file/d/1eZ8xKuwsGV5kC4fWFJBlVhILD502m_hN/view?usp=drivesdk")</f>
        <v>https://drive.google.com/file/d/1eZ8xKuwsGV5kC4fWFJBlVhILD502m_hN/view?usp=drivesdk</v>
      </c>
    </row>
    <row r="400">
      <c r="A400" s="3">
        <f>IFERROR(__xludf.DUMMYFUNCTION("""COMPUTED_VALUE"""),1929.0)</f>
        <v>1929</v>
      </c>
      <c r="B400" s="11">
        <f>IFERROR(__xludf.DUMMYFUNCTION("""COMPUTED_VALUE"""),46000.45707471065)</f>
        <v>46000.45707</v>
      </c>
      <c r="C400" s="3" t="str">
        <f>IFERROR(__xludf.DUMMYFUNCTION("""COMPUTED_VALUE"""),"ชั้นปีที่ 1")</f>
        <v>ชั้นปีที่ 1</v>
      </c>
      <c r="D400" s="3" t="str">
        <f>IFERROR(__xludf.DUMMYFUNCTION("""COMPUTED_VALUE"""),"6803935")</f>
        <v>6803935</v>
      </c>
      <c r="E400" s="3" t="str">
        <f>IFERROR(__xludf.DUMMYFUNCTION("""COMPUTED_VALUE"""),"54")</f>
        <v>54</v>
      </c>
      <c r="F400" s="3" t="str">
        <f>IFERROR(__xludf.DUMMYFUNCTION("""COMPUTED_VALUE"""),"นพอ.วีรวัฒน์ ทัศน์จันดา")</f>
        <v>นพอ.วีรวัฒน์ ทัศน์จันดา</v>
      </c>
      <c r="G400" s="3" t="str">
        <f>IFERROR(__xludf.DUMMYFUNCTION("""COMPUTED_VALUE"""),"ช่วยเหลืองานภายใน วพอ.")</f>
        <v>ช่วยเหลืองานภายใน วพอ.</v>
      </c>
      <c r="H400" s="3" t="str">
        <f>IFERROR(__xludf.DUMMYFUNCTION("""COMPUTED_VALUE"""),"เล่นดุริยางค์")</f>
        <v>เล่นดุริยางค์</v>
      </c>
      <c r="I400" s="3" t="str">
        <f>IFERROR(__xludf.DUMMYFUNCTION("""COMPUTED_VALUE"""),"วพอ.พอ.")</f>
        <v>วพอ.พอ.</v>
      </c>
      <c r="J400" s="12">
        <f>IFERROR(__xludf.DUMMYFUNCTION("""COMPUTED_VALUE"""),45960.0)</f>
        <v>45960</v>
      </c>
      <c r="K400" s="3" t="str">
        <f>IFERROR(__xludf.DUMMYFUNCTION("""COMPUTED_VALUE"""),"0730")</f>
        <v>0730</v>
      </c>
      <c r="L400" s="3">
        <f>IFERROR(__xludf.DUMMYFUNCTION("""COMPUTED_VALUE"""),1.0)</f>
        <v>1</v>
      </c>
      <c r="M400" s="3" t="str">
        <f>IFERROR(__xludf.DUMMYFUNCTION("""COMPUTED_VALUE"""),"ร.อ.อนุชิต ทำจะดี")</f>
        <v>ร.อ.อนุชิต ทำจะดี</v>
      </c>
      <c r="N400" s="14" t="str">
        <f>IFERROR(__xludf.DUMMYFUNCTION("""COMPUTED_VALUE"""),"https://lh5.googleusercontent.com/d/1izgrW5ntCBSxw8dppu6SaGRYcuaLQyTf")</f>
        <v>https://lh5.googleusercontent.com/d/1izgrW5ntCBSxw8dppu6SaGRYcuaLQyTf</v>
      </c>
      <c r="O400" s="14" t="str">
        <f>IFERROR(__xludf.DUMMYFUNCTION("""COMPUTED_VALUE"""),"https://drive.google.com/file/d/19j55_EK9FRXy-4DVSuHufv_5TgmVrg6m/view?usp=drivesdk")</f>
        <v>https://drive.google.com/file/d/19j55_EK9FRXy-4DVSuHufv_5TgmVrg6m/view?usp=drivesdk</v>
      </c>
    </row>
    <row r="401">
      <c r="A401" s="3">
        <f>IFERROR(__xludf.DUMMYFUNCTION("""COMPUTED_VALUE"""),1930.0)</f>
        <v>1930</v>
      </c>
      <c r="B401" s="11">
        <f>IFERROR(__xludf.DUMMYFUNCTION("""COMPUTED_VALUE"""),46000.45865714121)</f>
        <v>46000.45866</v>
      </c>
      <c r="C401" s="3" t="str">
        <f>IFERROR(__xludf.DUMMYFUNCTION("""COMPUTED_VALUE"""),"ชั้นปีที่ 1")</f>
        <v>ชั้นปีที่ 1</v>
      </c>
      <c r="D401" s="3" t="str">
        <f>IFERROR(__xludf.DUMMYFUNCTION("""COMPUTED_VALUE"""),"6803885")</f>
        <v>6803885</v>
      </c>
      <c r="E401" s="3" t="str">
        <f>IFERROR(__xludf.DUMMYFUNCTION("""COMPUTED_VALUE"""),"4")</f>
        <v>4</v>
      </c>
      <c r="F401" s="3" t="str">
        <f>IFERROR(__xludf.DUMMYFUNCTION("""COMPUTED_VALUE"""),"นพอ.กษิดิ์เดช เอมอานนท์")</f>
        <v>นพอ.กษิดิ์เดช เอมอานนท์</v>
      </c>
      <c r="G401" s="3" t="str">
        <f>IFERROR(__xludf.DUMMYFUNCTION("""COMPUTED_VALUE"""),"ช่วยเหลืองานภายใน วพอ.")</f>
        <v>ช่วยเหลืองานภายใน วพอ.</v>
      </c>
      <c r="H401" s="3" t="str">
        <f>IFERROR(__xludf.DUMMYFUNCTION("""COMPUTED_VALUE"""),"ดูแลและจัดห้องพักผ่อน นพอ.")</f>
        <v>ดูแลและจัดห้องพักผ่อน นพอ.</v>
      </c>
      <c r="I401" s="3" t="str">
        <f>IFERROR(__xludf.DUMMYFUNCTION("""COMPUTED_VALUE"""),"ห้องพักผ่อน นพอ.")</f>
        <v>ห้องพักผ่อน นพอ.</v>
      </c>
      <c r="J401" s="12">
        <f>IFERROR(__xludf.DUMMYFUNCTION("""COMPUTED_VALUE"""),45999.0)</f>
        <v>45999</v>
      </c>
      <c r="K401" s="3" t="str">
        <f>IFERROR(__xludf.DUMMYFUNCTION("""COMPUTED_VALUE"""),"1700")</f>
        <v>1700</v>
      </c>
      <c r="L401" s="3">
        <f>IFERROR(__xludf.DUMMYFUNCTION("""COMPUTED_VALUE"""),4.0)</f>
        <v>4</v>
      </c>
      <c r="M401" s="3" t="str">
        <f>IFERROR(__xludf.DUMMYFUNCTION("""COMPUTED_VALUE"""),"น.ท.หญิง ผศ.ชญาพัฒน์ ทองปากน้ำ")</f>
        <v>น.ท.หญิง ผศ.ชญาพัฒน์ ทองปากน้ำ</v>
      </c>
      <c r="N401" s="14" t="str">
        <f>IFERROR(__xludf.DUMMYFUNCTION("""COMPUTED_VALUE"""),"https://lh5.googleusercontent.com/d/1zDOPVWgR8tsYF-l_VLXIs2Xl9cd_q4AC")</f>
        <v>https://lh5.googleusercontent.com/d/1zDOPVWgR8tsYF-l_VLXIs2Xl9cd_q4AC</v>
      </c>
      <c r="O401" s="14" t="str">
        <f>IFERROR(__xludf.DUMMYFUNCTION("""COMPUTED_VALUE"""),"https://drive.google.com/file/d/1kS7f-OQactjgxsppdva6TA96opT1oU2o/view?usp=drivesdk")</f>
        <v>https://drive.google.com/file/d/1kS7f-OQactjgxsppdva6TA96opT1oU2o/view?usp=drivesdk</v>
      </c>
    </row>
    <row r="402">
      <c r="A402" s="3">
        <f>IFERROR(__xludf.DUMMYFUNCTION("""COMPUTED_VALUE"""),1931.0)</f>
        <v>1931</v>
      </c>
      <c r="B402" s="11">
        <f>IFERROR(__xludf.DUMMYFUNCTION("""COMPUTED_VALUE"""),46000.4763980787)</f>
        <v>46000.4764</v>
      </c>
      <c r="C402" s="3" t="str">
        <f>IFERROR(__xludf.DUMMYFUNCTION("""COMPUTED_VALUE"""),"ชั้นปีที่ 1")</f>
        <v>ชั้นปีที่ 1</v>
      </c>
      <c r="D402" s="3" t="str">
        <f>IFERROR(__xludf.DUMMYFUNCTION("""COMPUTED_VALUE"""),"6803905")</f>
        <v>6803905</v>
      </c>
      <c r="E402" s="3" t="str">
        <f>IFERROR(__xludf.DUMMYFUNCTION("""COMPUTED_VALUE"""),"24")</f>
        <v>24</v>
      </c>
      <c r="F402" s="3" t="str">
        <f>IFERROR(__xludf.DUMMYFUNCTION("""COMPUTED_VALUE"""),"นพอ.ธนพล เสือน้อย")</f>
        <v>นพอ.ธนพล เสือน้อย</v>
      </c>
      <c r="G402" s="3" t="str">
        <f>IFERROR(__xludf.DUMMYFUNCTION("""COMPUTED_VALUE"""),"งานฟรีทั่วไป")</f>
        <v>งานฟรีทั่วไป</v>
      </c>
      <c r="H402" s="3" t="str">
        <f>IFERROR(__xludf.DUMMYFUNCTION("""COMPUTED_VALUE"""),"กวาดบ้าน")</f>
        <v>กวาดบ้าน</v>
      </c>
      <c r="I402" s="3" t="str">
        <f>IFERROR(__xludf.DUMMYFUNCTION("""COMPUTED_VALUE"""),"บ้าน")</f>
        <v>บ้าน</v>
      </c>
      <c r="J402" s="12">
        <f>IFERROR(__xludf.DUMMYFUNCTION("""COMPUTED_VALUE"""),45997.0)</f>
        <v>45997</v>
      </c>
      <c r="K402" s="3" t="str">
        <f>IFERROR(__xludf.DUMMYFUNCTION("""COMPUTED_VALUE"""),"1200")</f>
        <v>1200</v>
      </c>
      <c r="L402" s="3">
        <f>IFERROR(__xludf.DUMMYFUNCTION("""COMPUTED_VALUE"""),4.0)</f>
        <v>4</v>
      </c>
      <c r="M402" s="3" t="str">
        <f>IFERROR(__xludf.DUMMYFUNCTION("""COMPUTED_VALUE"""),"นางสิริลักษณ์ เสือน้อย")</f>
        <v>นางสิริลักษณ์ เสือน้อย</v>
      </c>
      <c r="N402" s="14" t="str">
        <f>IFERROR(__xludf.DUMMYFUNCTION("""COMPUTED_VALUE"""),"https://lh5.googleusercontent.com/d/1U2DvX32vt-ReyapWQVT7Kdwx_13BsFWS")</f>
        <v>https://lh5.googleusercontent.com/d/1U2DvX32vt-ReyapWQVT7Kdwx_13BsFWS</v>
      </c>
      <c r="O402" s="14" t="str">
        <f>IFERROR(__xludf.DUMMYFUNCTION("""COMPUTED_VALUE"""),"https://drive.google.com/file/d/1qPmVQYIGLq6Wd0B0cbfCCa_xU2y9T_vs/view?usp=drivesdk")</f>
        <v>https://drive.google.com/file/d/1qPmVQYIGLq6Wd0B0cbfCCa_xU2y9T_vs/view?usp=drivesdk</v>
      </c>
    </row>
    <row r="403">
      <c r="A403" s="3">
        <f>IFERROR(__xludf.DUMMYFUNCTION("""COMPUTED_VALUE"""),1932.0)</f>
        <v>1932</v>
      </c>
      <c r="B403" s="11">
        <f>IFERROR(__xludf.DUMMYFUNCTION("""COMPUTED_VALUE"""),46000.47804244213)</f>
        <v>46000.47804</v>
      </c>
      <c r="C403" s="3" t="str">
        <f>IFERROR(__xludf.DUMMYFUNCTION("""COMPUTED_VALUE"""),"ชั้นปีที่ 1")</f>
        <v>ชั้นปีที่ 1</v>
      </c>
      <c r="D403" s="3" t="str">
        <f>IFERROR(__xludf.DUMMYFUNCTION("""COMPUTED_VALUE"""),"6803891")</f>
        <v>6803891</v>
      </c>
      <c r="E403" s="3" t="str">
        <f>IFERROR(__xludf.DUMMYFUNCTION("""COMPUTED_VALUE"""),"10")</f>
        <v>10</v>
      </c>
      <c r="F403" s="3" t="str">
        <f>IFERROR(__xludf.DUMMYFUNCTION("""COMPUTED_VALUE"""),"จิรัชยา ธีรประภานนท์")</f>
        <v>จิรัชยา ธีรประภานนท์</v>
      </c>
      <c r="G40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403" s="3" t="str">
        <f>IFERROR(__xludf.DUMMYFUNCTION("""COMPUTED_VALUE"""),"ทำความสะอาดชุมชน")</f>
        <v>ทำความสะอาดชุมชน</v>
      </c>
      <c r="I403" s="3" t="str">
        <f>IFERROR(__xludf.DUMMYFUNCTION("""COMPUTED_VALUE"""),"ชุมชนหนองไผ่ล้อม")</f>
        <v>ชุมชนหนองไผ่ล้อม</v>
      </c>
      <c r="J403" s="12">
        <f>IFERROR(__xludf.DUMMYFUNCTION("""COMPUTED_VALUE"""),45996.0)</f>
        <v>45996</v>
      </c>
      <c r="K403" s="3" t="str">
        <f>IFERROR(__xludf.DUMMYFUNCTION("""COMPUTED_VALUE"""),"0700")</f>
        <v>0700</v>
      </c>
      <c r="L403" s="3">
        <f>IFERROR(__xludf.DUMMYFUNCTION("""COMPUTED_VALUE"""),8.0)</f>
        <v>8</v>
      </c>
      <c r="M403" s="3" t="str">
        <f>IFERROR(__xludf.DUMMYFUNCTION("""COMPUTED_VALUE"""),"พ.อ.(พิเศษ) ไตรภพ สมดี")</f>
        <v>พ.อ.(พิเศษ) ไตรภพ สมดี</v>
      </c>
      <c r="N403" s="14" t="str">
        <f>IFERROR(__xludf.DUMMYFUNCTION("""COMPUTED_VALUE"""),"https://lh5.googleusercontent.com/d/1sBEpIXdLu84udRI4fNMPrO0hCFNjSnRq")</f>
        <v>https://lh5.googleusercontent.com/d/1sBEpIXdLu84udRI4fNMPrO0hCFNjSnRq</v>
      </c>
      <c r="O403" s="14" t="str">
        <f>IFERROR(__xludf.DUMMYFUNCTION("""COMPUTED_VALUE"""),"https://drive.google.com/file/d/1UcV77nQQ4CoDTQbTebzEhD1ZEMVvq19I/view?usp=drivesdk")</f>
        <v>https://drive.google.com/file/d/1UcV77nQQ4CoDTQbTebzEhD1ZEMVvq19I/view?usp=drivesdk</v>
      </c>
    </row>
    <row r="404">
      <c r="A404" s="3">
        <f>IFERROR(__xludf.DUMMYFUNCTION("""COMPUTED_VALUE"""),1933.0)</f>
        <v>1933</v>
      </c>
      <c r="B404" s="11">
        <f>IFERROR(__xludf.DUMMYFUNCTION("""COMPUTED_VALUE"""),46000.48122819445)</f>
        <v>46000.48123</v>
      </c>
      <c r="C404" s="3" t="str">
        <f>IFERROR(__xludf.DUMMYFUNCTION("""COMPUTED_VALUE"""),"ชั้นปีที่ 1")</f>
        <v>ชั้นปีที่ 1</v>
      </c>
      <c r="D404" s="3" t="str">
        <f>IFERROR(__xludf.DUMMYFUNCTION("""COMPUTED_VALUE"""),"6803935")</f>
        <v>6803935</v>
      </c>
      <c r="E404" s="3" t="str">
        <f>IFERROR(__xludf.DUMMYFUNCTION("""COMPUTED_VALUE"""),"54")</f>
        <v>54</v>
      </c>
      <c r="F404" s="3" t="str">
        <f>IFERROR(__xludf.DUMMYFUNCTION("""COMPUTED_VALUE"""),"นพอ.วีรวัฒน์ ทัศน์จันดา")</f>
        <v>นพอ.วีรวัฒน์ ทัศน์จันดา</v>
      </c>
      <c r="G404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04" s="3" t="str">
        <f>IFERROR(__xludf.DUMMYFUNCTION("""COMPUTED_VALUE"""),"Big cleaning day ")</f>
        <v>Big cleaning day </v>
      </c>
      <c r="I404" s="3" t="str">
        <f>IFERROR(__xludf.DUMMYFUNCTION("""COMPUTED_VALUE"""),"วพอ.พอ.")</f>
        <v>วพอ.พอ.</v>
      </c>
      <c r="J404" s="12">
        <f>IFERROR(__xludf.DUMMYFUNCTION("""COMPUTED_VALUE"""),45875.0)</f>
        <v>45875</v>
      </c>
      <c r="K404" s="3" t="str">
        <f>IFERROR(__xludf.DUMMYFUNCTION("""COMPUTED_VALUE"""),"0800-1200")</f>
        <v>0800-1200</v>
      </c>
      <c r="L404" s="3">
        <f>IFERROR(__xludf.DUMMYFUNCTION("""COMPUTED_VALUE"""),8.0)</f>
        <v>8</v>
      </c>
      <c r="M404" s="3" t="str">
        <f>IFERROR(__xludf.DUMMYFUNCTION("""COMPUTED_VALUE"""),"น.ต.ศักชัย บุญประสิทธิ์")</f>
        <v>น.ต.ศักชัย บุญประสิทธิ์</v>
      </c>
      <c r="N404" s="14" t="str">
        <f>IFERROR(__xludf.DUMMYFUNCTION("""COMPUTED_VALUE"""),"https://lh5.googleusercontent.com/d/16Nx8mOZ4uvRbPl6ODXzQXVgjNArgI-9X")</f>
        <v>https://lh5.googleusercontent.com/d/16Nx8mOZ4uvRbPl6ODXzQXVgjNArgI-9X</v>
      </c>
      <c r="O404" s="14" t="str">
        <f>IFERROR(__xludf.DUMMYFUNCTION("""COMPUTED_VALUE"""),"https://drive.google.com/file/d/1udXHz2Dcp94ckV8PICay2L1JY8uYoJ9z/view?usp=drivesdk")</f>
        <v>https://drive.google.com/file/d/1udXHz2Dcp94ckV8PICay2L1JY8uYoJ9z/view?usp=drivesdk</v>
      </c>
    </row>
    <row r="405">
      <c r="A405" s="3">
        <f>IFERROR(__xludf.DUMMYFUNCTION("""COMPUTED_VALUE"""),1934.0)</f>
        <v>1934</v>
      </c>
      <c r="B405" s="11">
        <f>IFERROR(__xludf.DUMMYFUNCTION("""COMPUTED_VALUE"""),46000.482919699076)</f>
        <v>46000.48292</v>
      </c>
      <c r="C405" s="3" t="str">
        <f>IFERROR(__xludf.DUMMYFUNCTION("""COMPUTED_VALUE"""),"ชั้นปีที่ 1")</f>
        <v>ชั้นปีที่ 1</v>
      </c>
      <c r="D405" s="3" t="str">
        <f>IFERROR(__xludf.DUMMYFUNCTION("""COMPUTED_VALUE"""),"6803896")</f>
        <v>6803896</v>
      </c>
      <c r="E405" s="3" t="str">
        <f>IFERROR(__xludf.DUMMYFUNCTION("""COMPUTED_VALUE"""),"15")</f>
        <v>15</v>
      </c>
      <c r="F405" s="3" t="str">
        <f>IFERROR(__xludf.DUMMYFUNCTION("""COMPUTED_VALUE"""),"นพอ.ณัชปวีย์ เยาวภา")</f>
        <v>นพอ.ณัชปวีย์ เยาวภา</v>
      </c>
      <c r="G405" s="3" t="str">
        <f>IFERROR(__xludf.DUMMYFUNCTION("""COMPUTED_VALUE"""),"งานฟรีทั่วไป")</f>
        <v>งานฟรีทั่วไป</v>
      </c>
      <c r="H405" s="3" t="str">
        <f>IFERROR(__xludf.DUMMYFUNCTION("""COMPUTED_VALUE"""),"ทำงานบ้านทั่วไป")</f>
        <v>ทำงานบ้านทั่วไป</v>
      </c>
      <c r="I405" s="3" t="str">
        <f>IFERROR(__xludf.DUMMYFUNCTION("""COMPUTED_VALUE"""),"บ้านพัก")</f>
        <v>บ้านพัก</v>
      </c>
      <c r="J405" s="12">
        <f>IFERROR(__xludf.DUMMYFUNCTION("""COMPUTED_VALUE"""),45983.0)</f>
        <v>45983</v>
      </c>
      <c r="K405" s="3" t="str">
        <f>IFERROR(__xludf.DUMMYFUNCTION("""COMPUTED_VALUE"""),"1430-1630")</f>
        <v>1430-1630</v>
      </c>
      <c r="L405" s="3">
        <f>IFERROR(__xludf.DUMMYFUNCTION("""COMPUTED_VALUE"""),2.0)</f>
        <v>2</v>
      </c>
      <c r="M405" s="3" t="str">
        <f>IFERROR(__xludf.DUMMYFUNCTION("""COMPUTED_VALUE"""),"นาง สุพัตรา เยาวภา (มารดา)")</f>
        <v>นาง สุพัตรา เยาวภา (มารดา)</v>
      </c>
      <c r="N405" s="14" t="str">
        <f>IFERROR(__xludf.DUMMYFUNCTION("""COMPUTED_VALUE"""),"https://lh5.googleusercontent.com/d/1tHadX-Ou9giPbfcbGtNoVj0rh5JVNCy4")</f>
        <v>https://lh5.googleusercontent.com/d/1tHadX-Ou9giPbfcbGtNoVj0rh5JVNCy4</v>
      </c>
      <c r="O405" s="14" t="str">
        <f>IFERROR(__xludf.DUMMYFUNCTION("""COMPUTED_VALUE"""),"https://drive.google.com/file/d/1OhywwWDhYkK4Y3-A21-7HIyoEWRAFT1B/view?usp=drivesdk")</f>
        <v>https://drive.google.com/file/d/1OhywwWDhYkK4Y3-A21-7HIyoEWRAFT1B/view?usp=drivesdk</v>
      </c>
    </row>
    <row r="406">
      <c r="A406" s="3">
        <f>IFERROR(__xludf.DUMMYFUNCTION("""COMPUTED_VALUE"""),1935.0)</f>
        <v>1935</v>
      </c>
      <c r="B406" s="11">
        <f>IFERROR(__xludf.DUMMYFUNCTION("""COMPUTED_VALUE"""),46000.487062430555)</f>
        <v>46000.48706</v>
      </c>
      <c r="C406" s="3" t="str">
        <f>IFERROR(__xludf.DUMMYFUNCTION("""COMPUTED_VALUE"""),"ชั้นปีที่ 1")</f>
        <v>ชั้นปีที่ 1</v>
      </c>
      <c r="D406" s="3" t="str">
        <f>IFERROR(__xludf.DUMMYFUNCTION("""COMPUTED_VALUE"""),"6803891")</f>
        <v>6803891</v>
      </c>
      <c r="E406" s="3" t="str">
        <f>IFERROR(__xludf.DUMMYFUNCTION("""COMPUTED_VALUE"""),"10")</f>
        <v>10</v>
      </c>
      <c r="F406" s="3" t="str">
        <f>IFERROR(__xludf.DUMMYFUNCTION("""COMPUTED_VALUE"""),"จิรัชยา ธีรประภานนท์")</f>
        <v>จิรัชยา ธีรประภานนท์</v>
      </c>
      <c r="G406" s="3" t="str">
        <f>IFERROR(__xludf.DUMMYFUNCTION("""COMPUTED_VALUE"""),"งานฟรีทั่วไป")</f>
        <v>งานฟรีทั่วไป</v>
      </c>
      <c r="H406" s="3" t="str">
        <f>IFERROR(__xludf.DUMMYFUNCTION("""COMPUTED_VALUE"""),"ทาสีสนามเด็กเล่นโรงเรียน")</f>
        <v>ทาสีสนามเด็กเล่นโรงเรียน</v>
      </c>
      <c r="I406" s="3" t="str">
        <f>IFERROR(__xludf.DUMMYFUNCTION("""COMPUTED_VALUE"""),"โรงเรียนบ้านหนองบอน")</f>
        <v>โรงเรียนบ้านหนองบอน</v>
      </c>
      <c r="J406" s="12">
        <f>IFERROR(__xludf.DUMMYFUNCTION("""COMPUTED_VALUE"""),45962.0)</f>
        <v>45962</v>
      </c>
      <c r="K406" s="3" t="str">
        <f>IFERROR(__xludf.DUMMYFUNCTION("""COMPUTED_VALUE"""),"0700")</f>
        <v>0700</v>
      </c>
      <c r="L406" s="3">
        <f>IFERROR(__xludf.DUMMYFUNCTION("""COMPUTED_VALUE"""),8.0)</f>
        <v>8</v>
      </c>
      <c r="M406" s="3" t="str">
        <f>IFERROR(__xludf.DUMMYFUNCTION("""COMPUTED_VALUE"""),"ผอ.สุปราณี แก้วมาพะเนาว์ ")</f>
        <v>ผอ.สุปราณี แก้วมาพะเนาว์ </v>
      </c>
      <c r="N406" s="14" t="str">
        <f>IFERROR(__xludf.DUMMYFUNCTION("""COMPUTED_VALUE"""),"https://lh5.googleusercontent.com/d/1TQSXVsbs3cuG7GHx1fekHhADWsJPxLhd")</f>
        <v>https://lh5.googleusercontent.com/d/1TQSXVsbs3cuG7GHx1fekHhADWsJPxLhd</v>
      </c>
      <c r="O406" s="14" t="str">
        <f>IFERROR(__xludf.DUMMYFUNCTION("""COMPUTED_VALUE"""),"https://drive.google.com/file/d/14VACDHCmV-qhUW2tGJ_eOAQJ0eLp-Gsp/view?usp=drivesdk")</f>
        <v>https://drive.google.com/file/d/14VACDHCmV-qhUW2tGJ_eOAQJ0eLp-Gsp/view?usp=drivesdk</v>
      </c>
    </row>
    <row r="407">
      <c r="A407" s="3">
        <f>IFERROR(__xludf.DUMMYFUNCTION("""COMPUTED_VALUE"""),1936.0)</f>
        <v>1936</v>
      </c>
      <c r="B407" s="11">
        <f>IFERROR(__xludf.DUMMYFUNCTION("""COMPUTED_VALUE"""),46000.48837835647)</f>
        <v>46000.48838</v>
      </c>
      <c r="C407" s="3" t="str">
        <f>IFERROR(__xludf.DUMMYFUNCTION("""COMPUTED_VALUE"""),"ชั้นปีที่ 1")</f>
        <v>ชั้นปีที่ 1</v>
      </c>
      <c r="D407" s="3" t="str">
        <f>IFERROR(__xludf.DUMMYFUNCTION("""COMPUTED_VALUE"""),"6803905")</f>
        <v>6803905</v>
      </c>
      <c r="E407" s="3" t="str">
        <f>IFERROR(__xludf.DUMMYFUNCTION("""COMPUTED_VALUE"""),"24")</f>
        <v>24</v>
      </c>
      <c r="F407" s="3" t="str">
        <f>IFERROR(__xludf.DUMMYFUNCTION("""COMPUTED_VALUE"""),"นพอ.ธนพล เสือน้อย")</f>
        <v>นพอ.ธนพล เสือน้อย</v>
      </c>
      <c r="G407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07" s="3" t="str">
        <f>IFERROR(__xludf.DUMMYFUNCTION("""COMPUTED_VALUE"""),"ถวายความอาลัย")</f>
        <v>ถวายความอาลัย</v>
      </c>
      <c r="I407" s="3" t="str">
        <f>IFERROR(__xludf.DUMMYFUNCTION("""COMPUTED_VALUE"""),"รพ.ภูมิพล")</f>
        <v>รพ.ภูมิพล</v>
      </c>
      <c r="J407" s="12">
        <f>IFERROR(__xludf.DUMMYFUNCTION("""COMPUTED_VALUE"""),45964.0)</f>
        <v>45964</v>
      </c>
      <c r="K407" s="3" t="str">
        <f>IFERROR(__xludf.DUMMYFUNCTION("""COMPUTED_VALUE"""),"0800")</f>
        <v>0800</v>
      </c>
      <c r="L407" s="3">
        <f>IFERROR(__xludf.DUMMYFUNCTION("""COMPUTED_VALUE"""),1.0)</f>
        <v>1</v>
      </c>
      <c r="M407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07" s="14" t="str">
        <f>IFERROR(__xludf.DUMMYFUNCTION("""COMPUTED_VALUE"""),"https://lh5.googleusercontent.com/d/17kg6Crkxs3Jd9gkYBYVaKlT8PS2zwsCl")</f>
        <v>https://lh5.googleusercontent.com/d/17kg6Crkxs3Jd9gkYBYVaKlT8PS2zwsCl</v>
      </c>
      <c r="O407" s="14" t="str">
        <f>IFERROR(__xludf.DUMMYFUNCTION("""COMPUTED_VALUE"""),"https://drive.google.com/file/d/1O0jPlKAZAHCtr2zyErpod0ntm2UW7qY8/view?usp=drivesdk")</f>
        <v>https://drive.google.com/file/d/1O0jPlKAZAHCtr2zyErpod0ntm2UW7qY8/view?usp=drivesdk</v>
      </c>
    </row>
    <row r="408">
      <c r="A408" s="3">
        <f>IFERROR(__xludf.DUMMYFUNCTION("""COMPUTED_VALUE"""),1937.0)</f>
        <v>1937</v>
      </c>
      <c r="B408" s="11">
        <f>IFERROR(__xludf.DUMMYFUNCTION("""COMPUTED_VALUE"""),46000.492991018524)</f>
        <v>46000.49299</v>
      </c>
      <c r="C408" s="3" t="str">
        <f>IFERROR(__xludf.DUMMYFUNCTION("""COMPUTED_VALUE"""),"ชั้นปีที่ 1")</f>
        <v>ชั้นปีที่ 1</v>
      </c>
      <c r="D408" s="3" t="str">
        <f>IFERROR(__xludf.DUMMYFUNCTION("""COMPUTED_VALUE"""),"6803905")</f>
        <v>6803905</v>
      </c>
      <c r="E408" s="3" t="str">
        <f>IFERROR(__xludf.DUMMYFUNCTION("""COMPUTED_VALUE"""),"24")</f>
        <v>24</v>
      </c>
      <c r="F408" s="3" t="str">
        <f>IFERROR(__xludf.DUMMYFUNCTION("""COMPUTED_VALUE"""),"นพอ.ธนพล เสือน้อย")</f>
        <v>นพอ.ธนพล เสือน้อย</v>
      </c>
      <c r="G408" s="3" t="str">
        <f>IFERROR(__xludf.DUMMYFUNCTION("""COMPUTED_VALUE"""),"ช่วยเหลืองานภายใน วพอ.")</f>
        <v>ช่วยเหลืองานภายใน วพอ.</v>
      </c>
      <c r="H408" s="3" t="str">
        <f>IFERROR(__xludf.DUMMYFUNCTION("""COMPUTED_VALUE"""),"ดุริยางค์")</f>
        <v>ดุริยางค์</v>
      </c>
      <c r="I408" s="3" t="str">
        <f>IFERROR(__xludf.DUMMYFUNCTION("""COMPUTED_VALUE"""),"วพอ.พอ.")</f>
        <v>วพอ.พอ.</v>
      </c>
      <c r="J408" s="12">
        <f>IFERROR(__xludf.DUMMYFUNCTION("""COMPUTED_VALUE"""),45981.0)</f>
        <v>45981</v>
      </c>
      <c r="K408" s="3" t="str">
        <f>IFERROR(__xludf.DUMMYFUNCTION("""COMPUTED_VALUE"""),"0730")</f>
        <v>0730</v>
      </c>
      <c r="L408" s="3">
        <f>IFERROR(__xludf.DUMMYFUNCTION("""COMPUTED_VALUE"""),1.0)</f>
        <v>1</v>
      </c>
      <c r="M408" s="3" t="str">
        <f>IFERROR(__xludf.DUMMYFUNCTION("""COMPUTED_VALUE"""),"ร.อ.อนุชิต ทำจะดี")</f>
        <v>ร.อ.อนุชิต ทำจะดี</v>
      </c>
      <c r="N408" s="14" t="str">
        <f>IFERROR(__xludf.DUMMYFUNCTION("""COMPUTED_VALUE"""),"https://lh5.googleusercontent.com/d/1GOYrCrIMJwfbJzIUB5YVFcV6VOb6wIsS")</f>
        <v>https://lh5.googleusercontent.com/d/1GOYrCrIMJwfbJzIUB5YVFcV6VOb6wIsS</v>
      </c>
      <c r="O408" s="14" t="str">
        <f>IFERROR(__xludf.DUMMYFUNCTION("""COMPUTED_VALUE"""),"https://drive.google.com/file/d/1GaUfm0Eeg-mYKyO4SPVVreqJPYgr-5UW/view?usp=drivesdk")</f>
        <v>https://drive.google.com/file/d/1GaUfm0Eeg-mYKyO4SPVVreqJPYgr-5UW/view?usp=drivesdk</v>
      </c>
    </row>
    <row r="409">
      <c r="A409" s="3">
        <f>IFERROR(__xludf.DUMMYFUNCTION("""COMPUTED_VALUE"""),1939.0)</f>
        <v>1939</v>
      </c>
      <c r="B409" s="11">
        <f>IFERROR(__xludf.DUMMYFUNCTION("""COMPUTED_VALUE"""),46000.49825550926)</f>
        <v>46000.49826</v>
      </c>
      <c r="C409" s="3" t="str">
        <f>IFERROR(__xludf.DUMMYFUNCTION("""COMPUTED_VALUE"""),"ชั้นปีที่ 1")</f>
        <v>ชั้นปีที่ 1</v>
      </c>
      <c r="D409" s="3" t="str">
        <f>IFERROR(__xludf.DUMMYFUNCTION("""COMPUTED_VALUE"""),"6803935")</f>
        <v>6803935</v>
      </c>
      <c r="E409" s="3" t="str">
        <f>IFERROR(__xludf.DUMMYFUNCTION("""COMPUTED_VALUE"""),"54")</f>
        <v>54</v>
      </c>
      <c r="F409" s="3" t="str">
        <f>IFERROR(__xludf.DUMMYFUNCTION("""COMPUTED_VALUE"""),"นพอ.วีรวัฒน์ ทัศน์จันดา")</f>
        <v>นพอ.วีรวัฒน์ ทัศน์จันดา</v>
      </c>
      <c r="G409" s="3" t="str">
        <f>IFERROR(__xludf.DUMMYFUNCTION("""COMPUTED_VALUE"""),"กิจกรรมแสดงความจงรักภักดีต่อสถาบันพระมหากษัตริย์")</f>
        <v>กิจกรรมแสดงความจงรักภักดีต่อสถาบันพระมหากษัตริย์</v>
      </c>
      <c r="H409" s="3" t="str">
        <f>IFERROR(__xludf.DUMMYFUNCTION("""COMPUTED_VALUE"""),"ถวายความอาลัย")</f>
        <v>ถวายความอาลัย</v>
      </c>
      <c r="I409" s="3" t="str">
        <f>IFERROR(__xludf.DUMMYFUNCTION("""COMPUTED_VALUE"""),"รพ.ภูมิพล")</f>
        <v>รพ.ภูมิพล</v>
      </c>
      <c r="J409" s="12">
        <f>IFERROR(__xludf.DUMMYFUNCTION("""COMPUTED_VALUE"""),45964.0)</f>
        <v>45964</v>
      </c>
      <c r="K409" s="3" t="str">
        <f>IFERROR(__xludf.DUMMYFUNCTION("""COMPUTED_VALUE"""),"0800-1000")</f>
        <v>0800-1000</v>
      </c>
      <c r="L409" s="3">
        <f>IFERROR(__xludf.DUMMYFUNCTION("""COMPUTED_VALUE"""),5.0)</f>
        <v>5</v>
      </c>
      <c r="M409" s="3" t="str">
        <f>IFERROR(__xludf.DUMMYFUNCTION("""COMPUTED_VALUE"""),"น.ต.ศักชัย บุญประสิทธิ์")</f>
        <v>น.ต.ศักชัย บุญประสิทธิ์</v>
      </c>
      <c r="N409" s="14" t="str">
        <f>IFERROR(__xludf.DUMMYFUNCTION("""COMPUTED_VALUE"""),"https://lh5.googleusercontent.com/d/13IV3wwm0MgYmClNkAG3yVpeowvvEYaVe")</f>
        <v>https://lh5.googleusercontent.com/d/13IV3wwm0MgYmClNkAG3yVpeowvvEYaVe</v>
      </c>
      <c r="O409" s="14" t="str">
        <f>IFERROR(__xludf.DUMMYFUNCTION("""COMPUTED_VALUE"""),"https://drive.google.com/file/d/1cRbaqsyNFka_bGZQU2RwALFMMkGRFTDF/view?usp=drivesdk")</f>
        <v>https://drive.google.com/file/d/1cRbaqsyNFka_bGZQU2RwALFMMkGRFTDF/view?usp=drivesdk</v>
      </c>
    </row>
    <row r="410">
      <c r="A410" s="3">
        <f>IFERROR(__xludf.DUMMYFUNCTION("""COMPUTED_VALUE"""),1940.0)</f>
        <v>1940</v>
      </c>
      <c r="B410" s="11">
        <f>IFERROR(__xludf.DUMMYFUNCTION("""COMPUTED_VALUE"""),46000.50689413195)</f>
        <v>46000.50689</v>
      </c>
      <c r="C410" s="3" t="str">
        <f>IFERROR(__xludf.DUMMYFUNCTION("""COMPUTED_VALUE"""),"ชั้นปีที่ 1")</f>
        <v>ชั้นปีที่ 1</v>
      </c>
      <c r="D410" s="3" t="str">
        <f>IFERROR(__xludf.DUMMYFUNCTION("""COMPUTED_VALUE"""),"6803935")</f>
        <v>6803935</v>
      </c>
      <c r="E410" s="3" t="str">
        <f>IFERROR(__xludf.DUMMYFUNCTION("""COMPUTED_VALUE"""),"54")</f>
        <v>54</v>
      </c>
      <c r="F410" s="3" t="str">
        <f>IFERROR(__xludf.DUMMYFUNCTION("""COMPUTED_VALUE"""),"นพอ.วีรวัฒน์ ทัศน์จันดา")</f>
        <v>นพอ.วีรวัฒน์ ทัศน์จันดา</v>
      </c>
      <c r="G410" s="3" t="str">
        <f>IFERROR(__xludf.DUMMYFUNCTION("""COMPUTED_VALUE"""),"ช่วยเหลืองานภายใน วพอ.")</f>
        <v>ช่วยเหลืองานภายใน วพอ.</v>
      </c>
      <c r="H410" s="3" t="str">
        <f>IFERROR(__xludf.DUMMYFUNCTION("""COMPUTED_VALUE"""),"เล่นดุริยางค์")</f>
        <v>เล่นดุริยางค์</v>
      </c>
      <c r="I410" s="3" t="str">
        <f>IFERROR(__xludf.DUMMYFUNCTION("""COMPUTED_VALUE"""),"วพอ.พอ.")</f>
        <v>วพอ.พอ.</v>
      </c>
      <c r="J410" s="12">
        <f>IFERROR(__xludf.DUMMYFUNCTION("""COMPUTED_VALUE"""),45989.0)</f>
        <v>45989</v>
      </c>
      <c r="K410" s="3" t="str">
        <f>IFERROR(__xludf.DUMMYFUNCTION("""COMPUTED_VALUE"""),"0730")</f>
        <v>0730</v>
      </c>
      <c r="L410" s="3">
        <f>IFERROR(__xludf.DUMMYFUNCTION("""COMPUTED_VALUE"""),1.0)</f>
        <v>1</v>
      </c>
      <c r="M410" s="3" t="str">
        <f>IFERROR(__xludf.DUMMYFUNCTION("""COMPUTED_VALUE"""),"ร.อ.อนุชิต ทำจะดี")</f>
        <v>ร.อ.อนุชิต ทำจะดี</v>
      </c>
      <c r="N410" s="14" t="str">
        <f>IFERROR(__xludf.DUMMYFUNCTION("""COMPUTED_VALUE"""),"https://lh5.googleusercontent.com/d/1KW91nfmSzXhOrKyvULqpi_A7G6huLBCM")</f>
        <v>https://lh5.googleusercontent.com/d/1KW91nfmSzXhOrKyvULqpi_A7G6huLBCM</v>
      </c>
      <c r="O410" s="14" t="str">
        <f>IFERROR(__xludf.DUMMYFUNCTION("""COMPUTED_VALUE"""),"https://drive.google.com/file/d/15QH2vO40F2yrF8tnMcBScV6TYOLk4XT6/view?usp=drivesdk")</f>
        <v>https://drive.google.com/file/d/15QH2vO40F2yrF8tnMcBScV6TYOLk4XT6/view?usp=drivesdk</v>
      </c>
    </row>
    <row r="411">
      <c r="A411" s="3">
        <f>IFERROR(__xludf.DUMMYFUNCTION("""COMPUTED_VALUE"""),1941.0)</f>
        <v>1941</v>
      </c>
      <c r="B411" s="11">
        <f>IFERROR(__xludf.DUMMYFUNCTION("""COMPUTED_VALUE"""),46000.508071979166)</f>
        <v>46000.50807</v>
      </c>
      <c r="C411" s="3" t="str">
        <f>IFERROR(__xludf.DUMMYFUNCTION("""COMPUTED_VALUE"""),"ชั้นปีที่ 1")</f>
        <v>ชั้นปีที่ 1</v>
      </c>
      <c r="D411" s="3" t="str">
        <f>IFERROR(__xludf.DUMMYFUNCTION("""COMPUTED_VALUE"""),"6803935")</f>
        <v>6803935</v>
      </c>
      <c r="E411" s="3" t="str">
        <f>IFERROR(__xludf.DUMMYFUNCTION("""COMPUTED_VALUE"""),"54")</f>
        <v>54</v>
      </c>
      <c r="F411" s="3" t="str">
        <f>IFERROR(__xludf.DUMMYFUNCTION("""COMPUTED_VALUE"""),"นพอ.วีรวัฒน์ ทัศน์จันดา")</f>
        <v>นพอ.วีรวัฒน์ ทัศน์จันดา</v>
      </c>
      <c r="G411" s="3" t="str">
        <f>IFERROR(__xludf.DUMMYFUNCTION("""COMPUTED_VALUE"""),"ช่วยเหลืองานภายใน วพอ.")</f>
        <v>ช่วยเหลืองานภายใน วพอ.</v>
      </c>
      <c r="H411" s="3" t="str">
        <f>IFERROR(__xludf.DUMMYFUNCTION("""COMPUTED_VALUE"""),"เล่นดุริยางค์")</f>
        <v>เล่นดุริยางค์</v>
      </c>
      <c r="I411" s="3" t="str">
        <f>IFERROR(__xludf.DUMMYFUNCTION("""COMPUTED_VALUE"""),"วพอ.พอ.")</f>
        <v>วพอ.พอ.</v>
      </c>
      <c r="J411" s="12">
        <f>IFERROR(__xludf.DUMMYFUNCTION("""COMPUTED_VALUE"""),45978.0)</f>
        <v>45978</v>
      </c>
      <c r="K411" s="3" t="str">
        <f>IFERROR(__xludf.DUMMYFUNCTION("""COMPUTED_VALUE"""),"0730")</f>
        <v>0730</v>
      </c>
      <c r="L411" s="3">
        <f>IFERROR(__xludf.DUMMYFUNCTION("""COMPUTED_VALUE"""),1.0)</f>
        <v>1</v>
      </c>
      <c r="M411" s="3" t="str">
        <f>IFERROR(__xludf.DUMMYFUNCTION("""COMPUTED_VALUE"""),"ร.อ.อนุชิต ทำจะดี")</f>
        <v>ร.อ.อนุชิต ทำจะดี</v>
      </c>
      <c r="N411" s="14" t="str">
        <f>IFERROR(__xludf.DUMMYFUNCTION("""COMPUTED_VALUE"""),"https://lh5.googleusercontent.com/d/1dFuZZmKFxhnvNOiAbfDePDdlgxNphUW-")</f>
        <v>https://lh5.googleusercontent.com/d/1dFuZZmKFxhnvNOiAbfDePDdlgxNphUW-</v>
      </c>
      <c r="O411" s="14" t="str">
        <f>IFERROR(__xludf.DUMMYFUNCTION("""COMPUTED_VALUE"""),"https://drive.google.com/file/d/1D0NrWFn1o3X4BekcS7Ut50z305VA03vO/view?usp=drivesdk")</f>
        <v>https://drive.google.com/file/d/1D0NrWFn1o3X4BekcS7Ut50z305VA03vO/view?usp=drivesdk</v>
      </c>
    </row>
    <row r="412">
      <c r="A412" s="3">
        <f>IFERROR(__xludf.DUMMYFUNCTION("""COMPUTED_VALUE"""),1942.0)</f>
        <v>1942</v>
      </c>
      <c r="B412" s="11">
        <f>IFERROR(__xludf.DUMMYFUNCTION("""COMPUTED_VALUE"""),46000.50925008102)</f>
        <v>46000.50925</v>
      </c>
      <c r="C412" s="3" t="str">
        <f>IFERROR(__xludf.DUMMYFUNCTION("""COMPUTED_VALUE"""),"ชั้นปีที่ 1")</f>
        <v>ชั้นปีที่ 1</v>
      </c>
      <c r="D412" s="3" t="str">
        <f>IFERROR(__xludf.DUMMYFUNCTION("""COMPUTED_VALUE"""),"6803935")</f>
        <v>6803935</v>
      </c>
      <c r="E412" s="3" t="str">
        <f>IFERROR(__xludf.DUMMYFUNCTION("""COMPUTED_VALUE"""),"54")</f>
        <v>54</v>
      </c>
      <c r="F412" s="3" t="str">
        <f>IFERROR(__xludf.DUMMYFUNCTION("""COMPUTED_VALUE"""),"นพอ.วีรวัฒน์ ทัศน์จันดา")</f>
        <v>นพอ.วีรวัฒน์ ทัศน์จันดา</v>
      </c>
      <c r="G412" s="3" t="str">
        <f>IFERROR(__xludf.DUMMYFUNCTION("""COMPUTED_VALUE"""),"ช่วยเหลืองานภายใน วพอ.")</f>
        <v>ช่วยเหลืองานภายใน วพอ.</v>
      </c>
      <c r="H412" s="3" t="str">
        <f>IFERROR(__xludf.DUMMYFUNCTION("""COMPUTED_VALUE"""),"เล่นดุริยางค์")</f>
        <v>เล่นดุริยางค์</v>
      </c>
      <c r="I412" s="3" t="str">
        <f>IFERROR(__xludf.DUMMYFUNCTION("""COMPUTED_VALUE"""),"วพอ.พอ.")</f>
        <v>วพอ.พอ.</v>
      </c>
      <c r="J412" s="12">
        <f>IFERROR(__xludf.DUMMYFUNCTION("""COMPUTED_VALUE"""),45980.0)</f>
        <v>45980</v>
      </c>
      <c r="K412" s="3" t="str">
        <f>IFERROR(__xludf.DUMMYFUNCTION("""COMPUTED_VALUE"""),"0730")</f>
        <v>0730</v>
      </c>
      <c r="L412" s="3">
        <f>IFERROR(__xludf.DUMMYFUNCTION("""COMPUTED_VALUE"""),1.0)</f>
        <v>1</v>
      </c>
      <c r="M412" s="3" t="str">
        <f>IFERROR(__xludf.DUMMYFUNCTION("""COMPUTED_VALUE"""),"ร.อ.อนุชิต ทำจะดี")</f>
        <v>ร.อ.อนุชิต ทำจะดี</v>
      </c>
      <c r="N412" s="14" t="str">
        <f>IFERROR(__xludf.DUMMYFUNCTION("""COMPUTED_VALUE"""),"https://lh5.googleusercontent.com/d/1_T0k7S7iIPBfZuj4W5KP3FX3Mas3OrrU")</f>
        <v>https://lh5.googleusercontent.com/d/1_T0k7S7iIPBfZuj4W5KP3FX3Mas3OrrU</v>
      </c>
      <c r="O412" s="14" t="str">
        <f>IFERROR(__xludf.DUMMYFUNCTION("""COMPUTED_VALUE"""),"https://drive.google.com/file/d/1OP0HpxEQvUOHLCJTXWMquBcxTy4NwP9o/view?usp=drivesdk")</f>
        <v>https://drive.google.com/file/d/1OP0HpxEQvUOHLCJTXWMquBcxTy4NwP9o/view?usp=drivesdk</v>
      </c>
    </row>
    <row r="413">
      <c r="A413" s="3">
        <f>IFERROR(__xludf.DUMMYFUNCTION("""COMPUTED_VALUE"""),1943.0)</f>
        <v>1943</v>
      </c>
      <c r="B413" s="11">
        <f>IFERROR(__xludf.DUMMYFUNCTION("""COMPUTED_VALUE"""),46001.41311612268)</f>
        <v>46001.41312</v>
      </c>
      <c r="C413" s="3" t="str">
        <f>IFERROR(__xludf.DUMMYFUNCTION("""COMPUTED_VALUE"""),"ชั้นปีที่ 1")</f>
        <v>ชั้นปีที่ 1</v>
      </c>
      <c r="D413" s="3" t="str">
        <f>IFERROR(__xludf.DUMMYFUNCTION("""COMPUTED_VALUE"""),"6803896")</f>
        <v>6803896</v>
      </c>
      <c r="E413" s="3" t="str">
        <f>IFERROR(__xludf.DUMMYFUNCTION("""COMPUTED_VALUE"""),"15")</f>
        <v>15</v>
      </c>
      <c r="F413" s="3" t="str">
        <f>IFERROR(__xludf.DUMMYFUNCTION("""COMPUTED_VALUE"""),"นพอ.ณัชปวีย์ เยาวภา")</f>
        <v>นพอ.ณัชปวีย์ เยาวภา</v>
      </c>
      <c r="G413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413" s="3" t="str">
        <f>IFERROR(__xludf.DUMMYFUNCTION("""COMPUTED_VALUE"""),"ทำงานบ้านทั่วไป")</f>
        <v>ทำงานบ้านทั่วไป</v>
      </c>
      <c r="I413" s="3" t="str">
        <f>IFERROR(__xludf.DUMMYFUNCTION("""COMPUTED_VALUE"""),"บ้านพัก")</f>
        <v>บ้านพัก</v>
      </c>
      <c r="J413" s="12">
        <f>IFERROR(__xludf.DUMMYFUNCTION("""COMPUTED_VALUE"""),45983.0)</f>
        <v>45983</v>
      </c>
      <c r="K413" s="3" t="str">
        <f>IFERROR(__xludf.DUMMYFUNCTION("""COMPUTED_VALUE"""),"1430-1630")</f>
        <v>1430-1630</v>
      </c>
      <c r="L413" s="3">
        <f>IFERROR(__xludf.DUMMYFUNCTION("""COMPUTED_VALUE"""),2.0)</f>
        <v>2</v>
      </c>
      <c r="M413" s="3" t="str">
        <f>IFERROR(__xludf.DUMMYFUNCTION("""COMPUTED_VALUE"""),"นาง สุพัตรา เยาวภา (มารดา)")</f>
        <v>นาง สุพัตรา เยาวภา (มารดา)</v>
      </c>
      <c r="N413" s="3"/>
      <c r="O413" s="3"/>
    </row>
    <row r="414">
      <c r="A414" s="3">
        <f>IFERROR(__xludf.DUMMYFUNCTION("""COMPUTED_VALUE"""),1944.0)</f>
        <v>1944</v>
      </c>
      <c r="B414" s="11">
        <f>IFERROR(__xludf.DUMMYFUNCTION("""COMPUTED_VALUE"""),46010.81168211806)</f>
        <v>46010.81168</v>
      </c>
      <c r="C414" s="3" t="str">
        <f>IFERROR(__xludf.DUMMYFUNCTION("""COMPUTED_VALUE"""),"ชั้นปีที่ 1")</f>
        <v>ชั้นปีที่ 1</v>
      </c>
      <c r="D414" s="3" t="str">
        <f>IFERROR(__xludf.DUMMYFUNCTION("""COMPUTED_VALUE"""),"6803896")</f>
        <v>6803896</v>
      </c>
      <c r="E414" s="3" t="str">
        <f>IFERROR(__xludf.DUMMYFUNCTION("""COMPUTED_VALUE"""),"15")</f>
        <v>15</v>
      </c>
      <c r="F414" s="3" t="str">
        <f>IFERROR(__xludf.DUMMYFUNCTION("""COMPUTED_VALUE"""),"นพอ.ณัชปวีย์ เยาวภา")</f>
        <v>นพอ.ณัชปวีย์ เยาวภา</v>
      </c>
      <c r="G414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414" s="3" t="str">
        <f>IFERROR(__xludf.DUMMYFUNCTION("""COMPUTED_VALUE"""),"ทำงานบ้านทั่วไป")</f>
        <v>ทำงานบ้านทั่วไป</v>
      </c>
      <c r="I414" s="3" t="str">
        <f>IFERROR(__xludf.DUMMYFUNCTION("""COMPUTED_VALUE"""),"บ้านพัก")</f>
        <v>บ้านพัก</v>
      </c>
      <c r="J414" s="12">
        <f>IFERROR(__xludf.DUMMYFUNCTION("""COMPUTED_VALUE"""),45983.0)</f>
        <v>45983</v>
      </c>
      <c r="K414" s="3" t="str">
        <f>IFERROR(__xludf.DUMMYFUNCTION("""COMPUTED_VALUE"""),"1430-1630")</f>
        <v>1430-1630</v>
      </c>
      <c r="L414" s="3">
        <f>IFERROR(__xludf.DUMMYFUNCTION("""COMPUTED_VALUE"""),2.0)</f>
        <v>2</v>
      </c>
      <c r="M414" s="3" t="str">
        <f>IFERROR(__xludf.DUMMYFUNCTION("""COMPUTED_VALUE"""),"นาง สุพัตรา เยาวภา (มารดา)")</f>
        <v>นาง สุพัตรา เยาวภา (มารดา)</v>
      </c>
      <c r="N414" s="3"/>
      <c r="O414" s="3"/>
    </row>
    <row r="415">
      <c r="A415" s="3">
        <f>IFERROR(__xludf.DUMMYFUNCTION("""COMPUTED_VALUE"""),1945.0)</f>
        <v>1945</v>
      </c>
      <c r="B415" s="11">
        <f>IFERROR(__xludf.DUMMYFUNCTION("""COMPUTED_VALUE"""),46012.92161587963)</f>
        <v>46012.92162</v>
      </c>
      <c r="C415" s="3" t="str">
        <f>IFERROR(__xludf.DUMMYFUNCTION("""COMPUTED_VALUE"""),"ชั้นปีที่ 1")</f>
        <v>ชั้นปีที่ 1</v>
      </c>
      <c r="D415" s="3" t="str">
        <f>IFERROR(__xludf.DUMMYFUNCTION("""COMPUTED_VALUE"""),"6803896")</f>
        <v>6803896</v>
      </c>
      <c r="E415" s="3" t="str">
        <f>IFERROR(__xludf.DUMMYFUNCTION("""COMPUTED_VALUE"""),"15")</f>
        <v>15</v>
      </c>
      <c r="F415" s="3" t="str">
        <f>IFERROR(__xludf.DUMMYFUNCTION("""COMPUTED_VALUE"""),"นพอ.ณัชปวีย์ เยาวภา")</f>
        <v>นพอ.ณัชปวีย์ เยาวภา</v>
      </c>
      <c r="G415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415" s="3" t="str">
        <f>IFERROR(__xludf.DUMMYFUNCTION("""COMPUTED_VALUE"""),"ทำงานบ้านทั่วไป")</f>
        <v>ทำงานบ้านทั่วไป</v>
      </c>
      <c r="I415" s="3" t="str">
        <f>IFERROR(__xludf.DUMMYFUNCTION("""COMPUTED_VALUE"""),"บ้านพัก")</f>
        <v>บ้านพัก</v>
      </c>
      <c r="J415" s="12">
        <f>IFERROR(__xludf.DUMMYFUNCTION("""COMPUTED_VALUE"""),45983.0)</f>
        <v>45983</v>
      </c>
      <c r="K415" s="3" t="str">
        <f>IFERROR(__xludf.DUMMYFUNCTION("""COMPUTED_VALUE"""),"1430-1630")</f>
        <v>1430-1630</v>
      </c>
      <c r="L415" s="3">
        <f>IFERROR(__xludf.DUMMYFUNCTION("""COMPUTED_VALUE"""),2.0)</f>
        <v>2</v>
      </c>
      <c r="M415" s="3" t="str">
        <f>IFERROR(__xludf.DUMMYFUNCTION("""COMPUTED_VALUE"""),"นาง สุพัตรา เยาวภา (มารดา)")</f>
        <v>นาง สุพัตรา เยาวภา (มารดา)</v>
      </c>
      <c r="N415" s="3"/>
      <c r="O415" s="3"/>
    </row>
    <row r="416">
      <c r="A416" s="3">
        <f>IFERROR(__xludf.DUMMYFUNCTION("""COMPUTED_VALUE"""),1946.0)</f>
        <v>1946</v>
      </c>
      <c r="B416" s="11">
        <f>IFERROR(__xludf.DUMMYFUNCTION("""COMPUTED_VALUE"""),46028.337957974545)</f>
        <v>46028.33796</v>
      </c>
      <c r="C416" s="3" t="str">
        <f>IFERROR(__xludf.DUMMYFUNCTION("""COMPUTED_VALUE"""),"ชั้นปีที่ 1")</f>
        <v>ชั้นปีที่ 1</v>
      </c>
      <c r="D416" s="3" t="str">
        <f>IFERROR(__xludf.DUMMYFUNCTION("""COMPUTED_VALUE"""),"6803907")</f>
        <v>6803907</v>
      </c>
      <c r="E416" s="3" t="str">
        <f>IFERROR(__xludf.DUMMYFUNCTION("""COMPUTED_VALUE"""),"26")</f>
        <v>26</v>
      </c>
      <c r="F416" s="3" t="str">
        <f>IFERROR(__xludf.DUMMYFUNCTION("""COMPUTED_VALUE"""),"นพอ. ธีราพร  ประสิทธิภาพ")</f>
        <v>นพอ. ธีราพร  ประสิทธิภาพ</v>
      </c>
      <c r="G416" s="3" t="str">
        <f>IFERROR(__xludf.DUMMYFUNCTION("""COMPUTED_VALUE"""),"ช่วยเหลืองานภายใน วพอ.")</f>
        <v>ช่วยเหลืองานภายใน วพอ.</v>
      </c>
      <c r="H416" s="3" t="str">
        <f>IFERROR(__xludf.DUMMYFUNCTION("""COMPUTED_VALUE"""),"ดุริยางค์เข้าแถวตอนเช้า")</f>
        <v>ดุริยางค์เข้าแถวตอนเช้า</v>
      </c>
      <c r="I416" s="3" t="str">
        <f>IFERROR(__xludf.DUMMYFUNCTION("""COMPUTED_VALUE"""),"วพอ.พอ")</f>
        <v>วพอ.พอ</v>
      </c>
      <c r="J416" s="12">
        <f>IFERROR(__xludf.DUMMYFUNCTION("""COMPUTED_VALUE"""),46028.0)</f>
        <v>46028</v>
      </c>
      <c r="K416" s="3" t="str">
        <f>IFERROR(__xludf.DUMMYFUNCTION("""COMPUTED_VALUE"""),"07.50")</f>
        <v>07.50</v>
      </c>
      <c r="L416" s="3">
        <f>IFERROR(__xludf.DUMMYFUNCTION("""COMPUTED_VALUE"""),1.0)</f>
        <v>1</v>
      </c>
      <c r="M416" s="3" t="str">
        <f>IFERROR(__xludf.DUMMYFUNCTION("""COMPUTED_VALUE"""),"ร.อ. อนุชิต ทำจะดี")</f>
        <v>ร.อ. อนุชิต ทำจะดี</v>
      </c>
      <c r="N416" s="14" t="str">
        <f>IFERROR(__xludf.DUMMYFUNCTION("""COMPUTED_VALUE"""),"https://lh5.googleusercontent.com/d/1463pBQFpY1uS7MKwbm2lRBsbSQEwCV_k")</f>
        <v>https://lh5.googleusercontent.com/d/1463pBQFpY1uS7MKwbm2lRBsbSQEwCV_k</v>
      </c>
      <c r="O416" s="14" t="str">
        <f>IFERROR(__xludf.DUMMYFUNCTION("""COMPUTED_VALUE"""),"https://drive.google.com/file/d/1yY8-NdaZoFZJEscxx-43O-aPker3Nc7S/view?usp=drivesdk")</f>
        <v>https://drive.google.com/file/d/1yY8-NdaZoFZJEscxx-43O-aPker3Nc7S/view?usp=drivesdk</v>
      </c>
    </row>
    <row r="417">
      <c r="A417" s="3">
        <f>IFERROR(__xludf.DUMMYFUNCTION("""COMPUTED_VALUE"""),1950.0)</f>
        <v>1950</v>
      </c>
      <c r="B417" s="11">
        <f>IFERROR(__xludf.DUMMYFUNCTION("""COMPUTED_VALUE"""),46080.50329622685)</f>
        <v>46080.5033</v>
      </c>
      <c r="C417" s="3" t="str">
        <f>IFERROR(__xludf.DUMMYFUNCTION("""COMPUTED_VALUE"""),"ชั้นปีที่ 1")</f>
        <v>ชั้นปีที่ 1</v>
      </c>
      <c r="D417" s="3" t="str">
        <f>IFERROR(__xludf.DUMMYFUNCTION("""COMPUTED_VALUE"""),"999999")</f>
        <v>999999</v>
      </c>
      <c r="E417" s="3" t="str">
        <f>IFERROR(__xludf.DUMMYFUNCTION("""COMPUTED_VALUE"""),"2")</f>
        <v>2</v>
      </c>
      <c r="F417" s="3" t="str">
        <f>IFERROR(__xludf.DUMMYFUNCTION("""COMPUTED_VALUE"""),"345435624")</f>
        <v>345435624</v>
      </c>
      <c r="G41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17" s="3" t="str">
        <f>IFERROR(__xludf.DUMMYFUNCTION("""COMPUTED_VALUE"""),"4324")</f>
        <v>4324</v>
      </c>
      <c r="I417" s="3" t="str">
        <f>IFERROR(__xludf.DUMMYFUNCTION("""COMPUTED_VALUE"""),"4234")</f>
        <v>4234</v>
      </c>
      <c r="J417" s="12">
        <f>IFERROR(__xludf.DUMMYFUNCTION("""COMPUTED_VALUE"""),46080.0)</f>
        <v>46080</v>
      </c>
      <c r="K417" s="3" t="str">
        <f>IFERROR(__xludf.DUMMYFUNCTION("""COMPUTED_VALUE"""),"4324")</f>
        <v>4324</v>
      </c>
      <c r="L417" s="3">
        <f>IFERROR(__xludf.DUMMYFUNCTION("""COMPUTED_VALUE"""),7.0)</f>
        <v>7</v>
      </c>
      <c r="M417" s="3" t="str">
        <f>IFERROR(__xludf.DUMMYFUNCTION("""COMPUTED_VALUE"""),"4324")</f>
        <v>4324</v>
      </c>
      <c r="N417" s="14" t="str">
        <f>IFERROR(__xludf.DUMMYFUNCTION("""COMPUTED_VALUE"""),"https://lh5.googleusercontent.com/d/1XTuz7GqfdTuxh9V-xdvx_QZYoTI5-v56")</f>
        <v>https://lh5.googleusercontent.com/d/1XTuz7GqfdTuxh9V-xdvx_QZYoTI5-v56</v>
      </c>
      <c r="O417" s="14" t="str">
        <f>IFERROR(__xludf.DUMMYFUNCTION("""COMPUTED_VALUE"""),"https://drive.google.com/file/d/1oGuClWKEa_51feCHKoLfJgZTYrJBrNuy/view?usp=drivesdk")</f>
        <v>https://drive.google.com/file/d/1oGuClWKEa_51feCHKoLfJgZTYrJBrNuy/view?usp=drivesdk</v>
      </c>
    </row>
    <row r="418">
      <c r="A418" s="3">
        <f>IFERROR(__xludf.DUMMYFUNCTION("""COMPUTED_VALUE"""),1958.0)</f>
        <v>1958</v>
      </c>
      <c r="B418" s="11">
        <f>IFERROR(__xludf.DUMMYFUNCTION("""COMPUTED_VALUE"""),46113.54034885417)</f>
        <v>46113.54035</v>
      </c>
      <c r="C418" s="3" t="str">
        <f>IFERROR(__xludf.DUMMYFUNCTION("""COMPUTED_VALUE"""),"ชั้นปีที่ 1")</f>
        <v>ชั้นปีที่ 1</v>
      </c>
      <c r="D418" s="3" t="str">
        <f>IFERROR(__xludf.DUMMYFUNCTION("""COMPUTED_VALUE"""),"6803888")</f>
        <v>6803888</v>
      </c>
      <c r="E418" s="3" t="str">
        <f>IFERROR(__xludf.DUMMYFUNCTION("""COMPUTED_VALUE"""),"7")</f>
        <v>7</v>
      </c>
      <c r="F418" s="3" t="str">
        <f>IFERROR(__xludf.DUMMYFUNCTION("""COMPUTED_VALUE"""),"กันต์ธิดา นาคทอง")</f>
        <v>กันต์ธิดา นาคทอง</v>
      </c>
      <c r="G418" s="3" t="str">
        <f>IFERROR(__xludf.DUMMYFUNCTION("""COMPUTED_VALUE"""),"งานฟรีทั่วไป")</f>
        <v>งานฟรีทั่วไป</v>
      </c>
      <c r="H418" s="3" t="str">
        <f>IFERROR(__xludf.DUMMYFUNCTION("""COMPUTED_VALUE"""),"Women Thailand Cyber Top Talent 2025")</f>
        <v>Women Thailand Cyber Top Talent 2025</v>
      </c>
      <c r="I418" s="3" t="str">
        <f>IFERROR(__xludf.DUMMYFUNCTION("""COMPUTED_VALUE"""),"บ้าน")</f>
        <v>บ้าน</v>
      </c>
      <c r="J418" s="12">
        <f>IFERROR(__xludf.DUMMYFUNCTION("""COMPUTED_VALUE"""),46039.0)</f>
        <v>46039</v>
      </c>
      <c r="K418" s="3" t="str">
        <f>IFERROR(__xludf.DUMMYFUNCTION("""COMPUTED_VALUE"""),"8.00-16.00")</f>
        <v>8.00-16.00</v>
      </c>
      <c r="L418" s="3">
        <f>IFERROR(__xludf.DUMMYFUNCTION("""COMPUTED_VALUE"""),8.0)</f>
        <v>8</v>
      </c>
      <c r="M418" s="3" t="str">
        <f>IFERROR(__xludf.DUMMYFUNCTION("""COMPUTED_VALUE"""),"ร.อ.อนุชิต ทำจะดี")</f>
        <v>ร.อ.อนุชิต ทำจะดี</v>
      </c>
      <c r="N418" s="14" t="str">
        <f>IFERROR(__xludf.DUMMYFUNCTION("""COMPUTED_VALUE"""),"https://lh5.googleusercontent.com/d/1LVezP3fCiloe0E_eewXsKj9--SPIFmRU")</f>
        <v>https://lh5.googleusercontent.com/d/1LVezP3fCiloe0E_eewXsKj9--SPIFmRU</v>
      </c>
      <c r="O418" s="14" t="str">
        <f>IFERROR(__xludf.DUMMYFUNCTION("""COMPUTED_VALUE"""),"https://drive.google.com/file/d/1_VpnV1i2OjhCwAWTzxOOK81YP7SwSmFN/view?usp=drivesdk")</f>
        <v>https://drive.google.com/file/d/1_VpnV1i2OjhCwAWTzxOOK81YP7SwSmFN/view?usp=drivesdk</v>
      </c>
    </row>
    <row r="419">
      <c r="A419" s="3">
        <f>IFERROR(__xludf.DUMMYFUNCTION("""COMPUTED_VALUE"""),1964.0)</f>
        <v>1964</v>
      </c>
      <c r="B419" s="11">
        <f>IFERROR(__xludf.DUMMYFUNCTION("""COMPUTED_VALUE"""),46128.7381291551)</f>
        <v>46128.73813</v>
      </c>
      <c r="C419" s="3" t="str">
        <f>IFERROR(__xludf.DUMMYFUNCTION("""COMPUTED_VALUE"""),"ชั้นปีที่ 1")</f>
        <v>ชั้นปีที่ 1</v>
      </c>
      <c r="D419" s="3" t="str">
        <f>IFERROR(__xludf.DUMMYFUNCTION("""COMPUTED_VALUE"""),"6803924")</f>
        <v>6803924</v>
      </c>
      <c r="E419" s="3" t="str">
        <f>IFERROR(__xludf.DUMMYFUNCTION("""COMPUTED_VALUE"""),"43")</f>
        <v>43</v>
      </c>
      <c r="F419" s="3" t="str">
        <f>IFERROR(__xludf.DUMMYFUNCTION("""COMPUTED_VALUE"""),"นพอ.พีรชา แสงไทย")</f>
        <v>นพอ.พีรชา แสงไทย</v>
      </c>
      <c r="G4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19" s="3" t="str">
        <f>IFERROR(__xludf.DUMMYFUNCTION("""COMPUTED_VALUE"""),"WOMEN THAILAND CYBER TOP TALENT 2025")</f>
        <v>WOMEN THAILAND CYBER TOP TALENT 2025</v>
      </c>
      <c r="I419" s="3" t="str">
        <f>IFERROR(__xludf.DUMMYFUNCTION("""COMPUTED_VALUE"""),"ออนไลน์")</f>
        <v>ออนไลน์</v>
      </c>
      <c r="J419" s="12">
        <f>IFERROR(__xludf.DUMMYFUNCTION("""COMPUTED_VALUE"""),46039.0)</f>
        <v>46039</v>
      </c>
      <c r="K419" s="3" t="str">
        <f>IFERROR(__xludf.DUMMYFUNCTION("""COMPUTED_VALUE"""),"0900-1600")</f>
        <v>0900-1600</v>
      </c>
      <c r="L419" s="3">
        <f>IFERROR(__xludf.DUMMYFUNCTION("""COMPUTED_VALUE"""),8.0)</f>
        <v>8</v>
      </c>
      <c r="M419" s="3" t="str">
        <f>IFERROR(__xludf.DUMMYFUNCTION("""COMPUTED_VALUE"""),"ร.อ.อนุชิต ทำจะดี")</f>
        <v>ร.อ.อนุชิต ทำจะดี</v>
      </c>
      <c r="N419" s="14" t="str">
        <f>IFERROR(__xludf.DUMMYFUNCTION("""COMPUTED_VALUE"""),"https://lh5.googleusercontent.com/d/1aRzuIyqHGfaSpaaFeBvPU_DDWOMZZDVh")</f>
        <v>https://lh5.googleusercontent.com/d/1aRzuIyqHGfaSpaaFeBvPU_DDWOMZZDVh</v>
      </c>
      <c r="O419" s="14" t="str">
        <f>IFERROR(__xludf.DUMMYFUNCTION("""COMPUTED_VALUE"""),"https://drive.google.com/file/d/1g41mcEtokHrost024OnRxmUPVitIjvdK/view?usp=drivesdk")</f>
        <v>https://drive.google.com/file/d/1g41mcEtokHrost024OnRxmUPVitIjvdK/view?usp=drivesdk</v>
      </c>
    </row>
    <row r="420">
      <c r="A420" s="3">
        <f>IFERROR(__xludf.DUMMYFUNCTION("""COMPUTED_VALUE"""),1970.0)</f>
        <v>1970</v>
      </c>
      <c r="B420" s="11">
        <f>IFERROR(__xludf.DUMMYFUNCTION("""COMPUTED_VALUE"""),46133.835627939814)</f>
        <v>46133.83563</v>
      </c>
      <c r="C420" s="3" t="str">
        <f>IFERROR(__xludf.DUMMYFUNCTION("""COMPUTED_VALUE"""),"ชั้นปีที่ 1")</f>
        <v>ชั้นปีที่ 1</v>
      </c>
      <c r="D420" s="3" t="str">
        <f>IFERROR(__xludf.DUMMYFUNCTION("""COMPUTED_VALUE"""),"6803929")</f>
        <v>6803929</v>
      </c>
      <c r="E420" s="3" t="str">
        <f>IFERROR(__xludf.DUMMYFUNCTION("""COMPUTED_VALUE"""),"48")</f>
        <v>48</v>
      </c>
      <c r="F420" s="3" t="str">
        <f>IFERROR(__xludf.DUMMYFUNCTION("""COMPUTED_VALUE"""),"นพอ.ยลภาม ลำดับวงพุฒิปาณ")</f>
        <v>นพอ.ยลภาม ลำดับวงพุฒิปาณ</v>
      </c>
      <c r="G42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0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20" s="3" t="str">
        <f>IFERROR(__xludf.DUMMYFUNCTION("""COMPUTED_VALUE"""),"โรงเรียนการบิน กำแพงแสน")</f>
        <v>โรงเรียนการบิน กำแพงแสน</v>
      </c>
      <c r="J420" s="12">
        <f>IFERROR(__xludf.DUMMYFUNCTION("""COMPUTED_VALUE"""),46032.0)</f>
        <v>46032</v>
      </c>
      <c r="K420" s="3" t="str">
        <f>IFERROR(__xludf.DUMMYFUNCTION("""COMPUTED_VALUE"""),"0600-1400")</f>
        <v>0600-1400</v>
      </c>
      <c r="L420" s="3">
        <f>IFERROR(__xludf.DUMMYFUNCTION("""COMPUTED_VALUE"""),8.0)</f>
        <v>8</v>
      </c>
      <c r="M42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0" s="14" t="str">
        <f>IFERROR(__xludf.DUMMYFUNCTION("""COMPUTED_VALUE"""),"https://lh5.googleusercontent.com/d/1WYe4wBev0mcGOxC-EhhlMqmJM8jzdkZU")</f>
        <v>https://lh5.googleusercontent.com/d/1WYe4wBev0mcGOxC-EhhlMqmJM8jzdkZU</v>
      </c>
      <c r="O420" s="14" t="str">
        <f>IFERROR(__xludf.DUMMYFUNCTION("""COMPUTED_VALUE"""),"https://drive.google.com/file/d/1BBhIgb39JIrSbqqaw1pu6MMGLAnKpdhh/view?usp=drivesdk")</f>
        <v>https://drive.google.com/file/d/1BBhIgb39JIrSbqqaw1pu6MMGLAnKpdhh/view?usp=drivesdk</v>
      </c>
    </row>
    <row r="421">
      <c r="A421" s="3">
        <f>IFERROR(__xludf.DUMMYFUNCTION("""COMPUTED_VALUE"""),1975.0)</f>
        <v>1975</v>
      </c>
      <c r="B421" s="11">
        <f>IFERROR(__xludf.DUMMYFUNCTION("""COMPUTED_VALUE"""),46141.44610043981)</f>
        <v>46141.4461</v>
      </c>
      <c r="C421" s="3" t="str">
        <f>IFERROR(__xludf.DUMMYFUNCTION("""COMPUTED_VALUE"""),"ชั้นปีที่ 1")</f>
        <v>ชั้นปีที่ 1</v>
      </c>
      <c r="D421" s="3" t="str">
        <f>IFERROR(__xludf.DUMMYFUNCTION("""COMPUTED_VALUE"""),"6803890")</f>
        <v>6803890</v>
      </c>
      <c r="E421" s="3" t="str">
        <f>IFERROR(__xludf.DUMMYFUNCTION("""COMPUTED_VALUE"""),"9")</f>
        <v>9</v>
      </c>
      <c r="F421" s="3" t="str">
        <f>IFERROR(__xludf.DUMMYFUNCTION("""COMPUTED_VALUE"""),"นพอ.จักรพงศ์ ปรีชาคม")</f>
        <v>นพอ.จักรพงศ์ ปรีชาคม</v>
      </c>
      <c r="G42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21" s="3" t="str">
        <f>IFERROR(__xludf.DUMMYFUNCTION("""COMPUTED_VALUE"""),"บริจาคโลหิต")</f>
        <v>บริจาคโลหิต</v>
      </c>
      <c r="I421" s="3" t="str">
        <f>IFERROR(__xludf.DUMMYFUNCTION("""COMPUTED_VALUE"""),"รพ.นครปฐม")</f>
        <v>รพ.นครปฐม</v>
      </c>
      <c r="J421" s="12">
        <f>IFERROR(__xludf.DUMMYFUNCTION("""COMPUTED_VALUE"""),46032.0)</f>
        <v>46032</v>
      </c>
      <c r="K421" s="3" t="str">
        <f>IFERROR(__xludf.DUMMYFUNCTION("""COMPUTED_VALUE"""),"1300")</f>
        <v>1300</v>
      </c>
      <c r="L421" s="3">
        <f>IFERROR(__xludf.DUMMYFUNCTION("""COMPUTED_VALUE"""),8.0)</f>
        <v>8</v>
      </c>
      <c r="M421" s="3" t="str">
        <f>IFERROR(__xludf.DUMMYFUNCTION("""COMPUTED_VALUE"""),"นานชำนาญ ปรีชาคม")</f>
        <v>นานชำนาญ ปรีชาคม</v>
      </c>
      <c r="N421" s="14" t="str">
        <f>IFERROR(__xludf.DUMMYFUNCTION("""COMPUTED_VALUE"""),"https://lh5.googleusercontent.com/d/1lKVWF2NovTrzhK3IEIPYeEqp3DxNhJbO")</f>
        <v>https://lh5.googleusercontent.com/d/1lKVWF2NovTrzhK3IEIPYeEqp3DxNhJbO</v>
      </c>
      <c r="O421" s="14" t="str">
        <f>IFERROR(__xludf.DUMMYFUNCTION("""COMPUTED_VALUE"""),"https://drive.google.com/file/d/1fdd84H9ZPhlRU84Xt38ysjI5fzZmk1aV/view?usp=drivesdk")</f>
        <v>https://drive.google.com/file/d/1fdd84H9ZPhlRU84Xt38ysjI5fzZmk1aV/view?usp=drivesdk</v>
      </c>
    </row>
    <row r="422">
      <c r="A422" s="3">
        <f>IFERROR(__xludf.DUMMYFUNCTION("""COMPUTED_VALUE"""),1976.0)</f>
        <v>1976</v>
      </c>
      <c r="B422" s="11">
        <f>IFERROR(__xludf.DUMMYFUNCTION("""COMPUTED_VALUE"""),46141.4474940162)</f>
        <v>46141.44749</v>
      </c>
      <c r="C422" s="3" t="str">
        <f>IFERROR(__xludf.DUMMYFUNCTION("""COMPUTED_VALUE"""),"ชั้นปีที่ 1")</f>
        <v>ชั้นปีที่ 1</v>
      </c>
      <c r="D422" s="3" t="str">
        <f>IFERROR(__xludf.DUMMYFUNCTION("""COMPUTED_VALUE"""),"6803890")</f>
        <v>6803890</v>
      </c>
      <c r="E422" s="3" t="str">
        <f>IFERROR(__xludf.DUMMYFUNCTION("""COMPUTED_VALUE"""),"9")</f>
        <v>9</v>
      </c>
      <c r="F422" s="3" t="str">
        <f>IFERROR(__xludf.DUMMYFUNCTION("""COMPUTED_VALUE"""),"นพอ.จักรพงศ์ ปรีชาคม")</f>
        <v>นพอ.จักรพงศ์ ปรีชาคม</v>
      </c>
      <c r="G422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422" s="3" t="str">
        <f>IFERROR(__xludf.DUMMYFUNCTION("""COMPUTED_VALUE"""),"บริจาคโลหิต")</f>
        <v>บริจาคโลหิต</v>
      </c>
      <c r="I422" s="3" t="str">
        <f>IFERROR(__xludf.DUMMYFUNCTION("""COMPUTED_VALUE"""),"รพ.นครปฐม")</f>
        <v>รพ.นครปฐม</v>
      </c>
      <c r="J422" s="12">
        <f>IFERROR(__xludf.DUMMYFUNCTION("""COMPUTED_VALUE"""),46123.0)</f>
        <v>46123</v>
      </c>
      <c r="K422" s="3" t="str">
        <f>IFERROR(__xludf.DUMMYFUNCTION("""COMPUTED_VALUE"""),"1000")</f>
        <v>1000</v>
      </c>
      <c r="L422" s="3">
        <f>IFERROR(__xludf.DUMMYFUNCTION("""COMPUTED_VALUE"""),8.0)</f>
        <v>8</v>
      </c>
      <c r="M422" s="3" t="str">
        <f>IFERROR(__xludf.DUMMYFUNCTION("""COMPUTED_VALUE"""),"นายชำนาญ ปรีชาคม")</f>
        <v>นายชำนาญ ปรีชาคม</v>
      </c>
      <c r="N422" s="14" t="str">
        <f>IFERROR(__xludf.DUMMYFUNCTION("""COMPUTED_VALUE"""),"https://lh5.googleusercontent.com/d/1kMkcu8qlHHozARDaEemErGKN0A8wsg5f")</f>
        <v>https://lh5.googleusercontent.com/d/1kMkcu8qlHHozARDaEemErGKN0A8wsg5f</v>
      </c>
      <c r="O422" s="14" t="str">
        <f>IFERROR(__xludf.DUMMYFUNCTION("""COMPUTED_VALUE"""),"https://drive.google.com/file/d/1wwbW6V7GRDTQ1obSd6NZrZyyW1NrViWt/view?usp=drivesdk")</f>
        <v>https://drive.google.com/file/d/1wwbW6V7GRDTQ1obSd6NZrZyyW1NrViWt/view?usp=drivesdk</v>
      </c>
    </row>
    <row r="423">
      <c r="A423" s="3">
        <f>IFERROR(__xludf.DUMMYFUNCTION("""COMPUTED_VALUE"""),1984.0)</f>
        <v>1984</v>
      </c>
      <c r="B423" s="11">
        <f>IFERROR(__xludf.DUMMYFUNCTION("""COMPUTED_VALUE"""),46150.316632974536)</f>
        <v>46150.31663</v>
      </c>
      <c r="C423" s="3" t="str">
        <f>IFERROR(__xludf.DUMMYFUNCTION("""COMPUTED_VALUE"""),"ชั้นปีที่ 1")</f>
        <v>ชั้นปีที่ 1</v>
      </c>
      <c r="D423" s="3" t="str">
        <f>IFERROR(__xludf.DUMMYFUNCTION("""COMPUTED_VALUE"""),"6803930")</f>
        <v>6803930</v>
      </c>
      <c r="E423" s="3" t="str">
        <f>IFERROR(__xludf.DUMMYFUNCTION("""COMPUTED_VALUE"""),"49")</f>
        <v>49</v>
      </c>
      <c r="F423" s="3" t="str">
        <f>IFERROR(__xludf.DUMMYFUNCTION("""COMPUTED_VALUE"""),"นพอ.ยุพารัตน์ ดาวลาย")</f>
        <v>นพอ.ยุพารัตน์ ดาวลาย</v>
      </c>
      <c r="G42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3" s="3" t="str">
        <f>IFERROR(__xludf.DUMMYFUNCTION("""COMPUTED_VALUE"""),"ค่ายเยาวชนพัฒนา ครั้งที่ 215")</f>
        <v>ค่ายเยาวชนพัฒนา ครั้งที่ 215</v>
      </c>
      <c r="I423" s="3" t="str">
        <f>IFERROR(__xludf.DUMMYFUNCTION("""COMPUTED_VALUE"""),"วัดสามบัณฑิต จ.อยุธยา")</f>
        <v>วัดสามบัณฑิต จ.อยุธยา</v>
      </c>
      <c r="J423" s="12">
        <f>IFERROR(__xludf.DUMMYFUNCTION("""COMPUTED_VALUE"""),46136.0)</f>
        <v>46136</v>
      </c>
      <c r="K423" s="3" t="str">
        <f>IFERROR(__xludf.DUMMYFUNCTION("""COMPUTED_VALUE"""),"1600-2400")</f>
        <v>1600-2400</v>
      </c>
      <c r="L423" s="3">
        <f>IFERROR(__xludf.DUMMYFUNCTION("""COMPUTED_VALUE"""),8.0)</f>
        <v>8</v>
      </c>
      <c r="M42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3" s="14" t="str">
        <f>IFERROR(__xludf.DUMMYFUNCTION("""COMPUTED_VALUE"""),"https://lh5.googleusercontent.com/d/10qP1BGZd0L1I59YfH7Rf3h3iRVKFOkFD")</f>
        <v>https://lh5.googleusercontent.com/d/10qP1BGZd0L1I59YfH7Rf3h3iRVKFOkFD</v>
      </c>
      <c r="O423" s="14" t="str">
        <f>IFERROR(__xludf.DUMMYFUNCTION("""COMPUTED_VALUE"""),"https://drive.google.com/file/d/1r2kUJQrgzoEX4gSaCE2qCiKrN-7n2kKV/view?usp=drivesdk")</f>
        <v>https://drive.google.com/file/d/1r2kUJQrgzoEX4gSaCE2qCiKrN-7n2kKV/view?usp=drivesdk</v>
      </c>
    </row>
    <row r="424">
      <c r="A424" s="3">
        <f>IFERROR(__xludf.DUMMYFUNCTION("""COMPUTED_VALUE"""),1985.0)</f>
        <v>1985</v>
      </c>
      <c r="B424" s="11">
        <f>IFERROR(__xludf.DUMMYFUNCTION("""COMPUTED_VALUE"""),46150.318378067124)</f>
        <v>46150.31838</v>
      </c>
      <c r="C424" s="3" t="str">
        <f>IFERROR(__xludf.DUMMYFUNCTION("""COMPUTED_VALUE"""),"ชั้นปีที่ 1")</f>
        <v>ชั้นปีที่ 1</v>
      </c>
      <c r="D424" s="3" t="str">
        <f>IFERROR(__xludf.DUMMYFUNCTION("""COMPUTED_VALUE"""),"6803930")</f>
        <v>6803930</v>
      </c>
      <c r="E424" s="3" t="str">
        <f>IFERROR(__xludf.DUMMYFUNCTION("""COMPUTED_VALUE"""),"49")</f>
        <v>49</v>
      </c>
      <c r="F424" s="3" t="str">
        <f>IFERROR(__xludf.DUMMYFUNCTION("""COMPUTED_VALUE"""),"นพอ.ยุพารัตน์ ดาวลาย")</f>
        <v>นพอ.ยุพารัตน์ ดาวลาย</v>
      </c>
      <c r="G42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4" s="3" t="str">
        <f>IFERROR(__xludf.DUMMYFUNCTION("""COMPUTED_VALUE"""),"ค่ายเยาวชนพัฒนา ครั้งที่ 215")</f>
        <v>ค่ายเยาวชนพัฒนา ครั้งที่ 215</v>
      </c>
      <c r="I424" s="3" t="str">
        <f>IFERROR(__xludf.DUMMYFUNCTION("""COMPUTED_VALUE"""),"วัดสามบัณฑิต จ.อยุธยา")</f>
        <v>วัดสามบัณฑิต จ.อยุธยา</v>
      </c>
      <c r="J424" s="12">
        <f>IFERROR(__xludf.DUMMYFUNCTION("""COMPUTED_VALUE"""),46137.0)</f>
        <v>46137</v>
      </c>
      <c r="K424" s="3" t="str">
        <f>IFERROR(__xludf.DUMMYFUNCTION("""COMPUTED_VALUE"""),"0800-1600")</f>
        <v>0800-1600</v>
      </c>
      <c r="L424" s="3">
        <f>IFERROR(__xludf.DUMMYFUNCTION("""COMPUTED_VALUE"""),8.0)</f>
        <v>8</v>
      </c>
      <c r="M42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4" s="14" t="str">
        <f>IFERROR(__xludf.DUMMYFUNCTION("""COMPUTED_VALUE"""),"https://lh5.googleusercontent.com/d/1Wtc9Hc8ipiNF6FURmj2frPESqNFhEVeA")</f>
        <v>https://lh5.googleusercontent.com/d/1Wtc9Hc8ipiNF6FURmj2frPESqNFhEVeA</v>
      </c>
      <c r="O424" s="14" t="str">
        <f>IFERROR(__xludf.DUMMYFUNCTION("""COMPUTED_VALUE"""),"https://drive.google.com/file/d/1lCVZufuu0EXWpW9huWLb0aJUxbSRxMEm/view?usp=drivesdk")</f>
        <v>https://drive.google.com/file/d/1lCVZufuu0EXWpW9huWLb0aJUxbSRxMEm/view?usp=drivesdk</v>
      </c>
    </row>
    <row r="425">
      <c r="A425" s="3">
        <f>IFERROR(__xludf.DUMMYFUNCTION("""COMPUTED_VALUE"""),1986.0)</f>
        <v>1986</v>
      </c>
      <c r="B425" s="11">
        <f>IFERROR(__xludf.DUMMYFUNCTION("""COMPUTED_VALUE"""),46150.320337731486)</f>
        <v>46150.32034</v>
      </c>
      <c r="C425" s="3" t="str">
        <f>IFERROR(__xludf.DUMMYFUNCTION("""COMPUTED_VALUE"""),"ชั้นปีที่ 1")</f>
        <v>ชั้นปีที่ 1</v>
      </c>
      <c r="D425" s="3" t="str">
        <f>IFERROR(__xludf.DUMMYFUNCTION("""COMPUTED_VALUE"""),"6803930")</f>
        <v>6803930</v>
      </c>
      <c r="E425" s="3" t="str">
        <f>IFERROR(__xludf.DUMMYFUNCTION("""COMPUTED_VALUE"""),"49")</f>
        <v>49</v>
      </c>
      <c r="F425" s="3" t="str">
        <f>IFERROR(__xludf.DUMMYFUNCTION("""COMPUTED_VALUE"""),"นพอ.ยุพารัตน์ ดาวลาย")</f>
        <v>นพอ.ยุพารัตน์ ดาวลาย</v>
      </c>
      <c r="G42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5" s="3" t="str">
        <f>IFERROR(__xludf.DUMMYFUNCTION("""COMPUTED_VALUE"""),"ค่ายเยาวชนพัฒนา ครั้งที่ 215")</f>
        <v>ค่ายเยาวชนพัฒนา ครั้งที่ 215</v>
      </c>
      <c r="I425" s="3" t="str">
        <f>IFERROR(__xludf.DUMMYFUNCTION("""COMPUTED_VALUE"""),"วัดสามบัณฑิต จ.อยุธยา")</f>
        <v>วัดสามบัณฑิต จ.อยุธยา</v>
      </c>
      <c r="J425" s="12">
        <f>IFERROR(__xludf.DUMMYFUNCTION("""COMPUTED_VALUE"""),46138.0)</f>
        <v>46138</v>
      </c>
      <c r="K425" s="3" t="str">
        <f>IFERROR(__xludf.DUMMYFUNCTION("""COMPUTED_VALUE"""),"0800-1600")</f>
        <v>0800-1600</v>
      </c>
      <c r="L425" s="3">
        <f>IFERROR(__xludf.DUMMYFUNCTION("""COMPUTED_VALUE"""),8.0)</f>
        <v>8</v>
      </c>
      <c r="M42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5" s="14" t="str">
        <f>IFERROR(__xludf.DUMMYFUNCTION("""COMPUTED_VALUE"""),"https://lh5.googleusercontent.com/d/16XBhw66Rkx1PatASQGQG7BuUX3GUzqWz")</f>
        <v>https://lh5.googleusercontent.com/d/16XBhw66Rkx1PatASQGQG7BuUX3GUzqWz</v>
      </c>
      <c r="O425" s="14" t="str">
        <f>IFERROR(__xludf.DUMMYFUNCTION("""COMPUTED_VALUE"""),"https://drive.google.com/file/d/1wyU3Jamst4VTE1v6llmAzRiUhVxtmVjd/view?usp=drivesdk")</f>
        <v>https://drive.google.com/file/d/1wyU3Jamst4VTE1v6llmAzRiUhVxtmVjd/view?usp=drivesdk</v>
      </c>
    </row>
    <row r="426">
      <c r="A426" s="3">
        <f>IFERROR(__xludf.DUMMYFUNCTION("""COMPUTED_VALUE"""),2084.0)</f>
        <v>2084</v>
      </c>
      <c r="B426" s="11">
        <f>IFERROR(__xludf.DUMMYFUNCTION("""COMPUTED_VALUE"""),46157.45071597222)</f>
        <v>46157.45072</v>
      </c>
      <c r="C426" s="3" t="str">
        <f>IFERROR(__xludf.DUMMYFUNCTION("""COMPUTED_VALUE"""),"ชั้นปีที่ 1")</f>
        <v>ชั้นปีที่ 1</v>
      </c>
      <c r="D426" s="3" t="str">
        <f>IFERROR(__xludf.DUMMYFUNCTION("""COMPUTED_VALUE"""),"6803915")</f>
        <v>6803915</v>
      </c>
      <c r="E426" s="3" t="str">
        <f>IFERROR(__xludf.DUMMYFUNCTION("""COMPUTED_VALUE"""),"34")</f>
        <v>34</v>
      </c>
      <c r="F426" s="3" t="str">
        <f>IFERROR(__xludf.DUMMYFUNCTION("""COMPUTED_VALUE"""),"นพอ.ปัญชลีย์ ชื่นสวัสดิ์")</f>
        <v>นพอ.ปัญชลีย์ ชื่นสวัสดิ์</v>
      </c>
      <c r="G42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6" s="3" t="str">
        <f>IFERROR(__xludf.DUMMYFUNCTION("""COMPUTED_VALUE"""),"ค่ายเยาวชนพัฒนา ครั้งที่ 215")</f>
        <v>ค่ายเยาวชนพัฒนา ครั้งที่ 215</v>
      </c>
      <c r="I426" s="3" t="str">
        <f>IFERROR(__xludf.DUMMYFUNCTION("""COMPUTED_VALUE"""),"วัดสามบัณฑิต จ.อยุธยา")</f>
        <v>วัดสามบัณฑิต จ.อยุธยา</v>
      </c>
      <c r="J426" s="12">
        <f>IFERROR(__xludf.DUMMYFUNCTION("""COMPUTED_VALUE"""),46136.0)</f>
        <v>46136</v>
      </c>
      <c r="K426" s="3" t="str">
        <f>IFERROR(__xludf.DUMMYFUNCTION("""COMPUTED_VALUE"""),"1600-2400")</f>
        <v>1600-2400</v>
      </c>
      <c r="L426" s="3">
        <f>IFERROR(__xludf.DUMMYFUNCTION("""COMPUTED_VALUE"""),8.0)</f>
        <v>8</v>
      </c>
      <c r="M42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6" s="14" t="str">
        <f>IFERROR(__xludf.DUMMYFUNCTION("""COMPUTED_VALUE"""),"https://lh5.googleusercontent.com/d/1JVt8106TnKCSHNbTFx_szjpl6du9sq9V")</f>
        <v>https://lh5.googleusercontent.com/d/1JVt8106TnKCSHNbTFx_szjpl6du9sq9V</v>
      </c>
      <c r="O426" s="14" t="str">
        <f>IFERROR(__xludf.DUMMYFUNCTION("""COMPUTED_VALUE"""),"https://drive.google.com/file/d/1SnU-dmmizjVQvkY9K999MaYCL55eMkK2/view?usp=drivesdk")</f>
        <v>https://drive.google.com/file/d/1SnU-dmmizjVQvkY9K999MaYCL55eMkK2/view?usp=drivesdk</v>
      </c>
    </row>
    <row r="427">
      <c r="A427" s="3">
        <f>IFERROR(__xludf.DUMMYFUNCTION("""COMPUTED_VALUE"""),2085.0)</f>
        <v>2085</v>
      </c>
      <c r="B427" s="11">
        <f>IFERROR(__xludf.DUMMYFUNCTION("""COMPUTED_VALUE"""),46157.45223758102)</f>
        <v>46157.45224</v>
      </c>
      <c r="C427" s="3" t="str">
        <f>IFERROR(__xludf.DUMMYFUNCTION("""COMPUTED_VALUE"""),"ชั้นปีที่ 1")</f>
        <v>ชั้นปีที่ 1</v>
      </c>
      <c r="D427" s="3" t="str">
        <f>IFERROR(__xludf.DUMMYFUNCTION("""COMPUTED_VALUE"""),"6803915")</f>
        <v>6803915</v>
      </c>
      <c r="E427" s="3" t="str">
        <f>IFERROR(__xludf.DUMMYFUNCTION("""COMPUTED_VALUE"""),"34")</f>
        <v>34</v>
      </c>
      <c r="F427" s="3" t="str">
        <f>IFERROR(__xludf.DUMMYFUNCTION("""COMPUTED_VALUE"""),"นพอ.ปัญชลีย์ ชื่นสวัสดิ์")</f>
        <v>นพอ.ปัญชลีย์ ชื่นสวัสดิ์</v>
      </c>
      <c r="G42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7" s="3" t="str">
        <f>IFERROR(__xludf.DUMMYFUNCTION("""COMPUTED_VALUE"""),"ค่ายเยาวชนพัฒนา ครั้งที่ 215")</f>
        <v>ค่ายเยาวชนพัฒนา ครั้งที่ 215</v>
      </c>
      <c r="I427" s="3" t="str">
        <f>IFERROR(__xludf.DUMMYFUNCTION("""COMPUTED_VALUE"""),"วัดสามบัณฑิต จ.อยุธยา")</f>
        <v>วัดสามบัณฑิต จ.อยุธยา</v>
      </c>
      <c r="J427" s="12">
        <f>IFERROR(__xludf.DUMMYFUNCTION("""COMPUTED_VALUE"""),46137.0)</f>
        <v>46137</v>
      </c>
      <c r="K427" s="3" t="str">
        <f>IFERROR(__xludf.DUMMYFUNCTION("""COMPUTED_VALUE"""),"0800-1600")</f>
        <v>0800-1600</v>
      </c>
      <c r="L427" s="3">
        <f>IFERROR(__xludf.DUMMYFUNCTION("""COMPUTED_VALUE"""),8.0)</f>
        <v>8</v>
      </c>
      <c r="M427" s="3" t="str">
        <f>IFERROR(__xludf.DUMMYFUNCTION("""COMPUTED_VALUE"""),"น.ต.หญิง.ขวัญชนก พ่วงนาคพันธุ์")</f>
        <v>น.ต.หญิง.ขวัญชนก พ่วงนาคพันธุ์</v>
      </c>
      <c r="N427" s="14" t="str">
        <f>IFERROR(__xludf.DUMMYFUNCTION("""COMPUTED_VALUE"""),"https://lh5.googleusercontent.com/d/1dC8MKKUaka2OI2OooJmGRd9IdyixHgF1")</f>
        <v>https://lh5.googleusercontent.com/d/1dC8MKKUaka2OI2OooJmGRd9IdyixHgF1</v>
      </c>
      <c r="O427" s="14" t="str">
        <f>IFERROR(__xludf.DUMMYFUNCTION("""COMPUTED_VALUE"""),"https://drive.google.com/file/d/1s9KeKJQVTnb0QAVqviJoLwXpYZ_RArHV/view?usp=drivesdk")</f>
        <v>https://drive.google.com/file/d/1s9KeKJQVTnb0QAVqviJoLwXpYZ_RArHV/view?usp=drivesdk</v>
      </c>
    </row>
    <row r="428">
      <c r="A428" s="3">
        <f>IFERROR(__xludf.DUMMYFUNCTION("""COMPUTED_VALUE"""),2086.0)</f>
        <v>2086</v>
      </c>
      <c r="B428" s="11">
        <f>IFERROR(__xludf.DUMMYFUNCTION("""COMPUTED_VALUE"""),46157.45335918981)</f>
        <v>46157.45336</v>
      </c>
      <c r="C428" s="3" t="str">
        <f>IFERROR(__xludf.DUMMYFUNCTION("""COMPUTED_VALUE"""),"ชั้นปีที่ 1")</f>
        <v>ชั้นปีที่ 1</v>
      </c>
      <c r="D428" s="3" t="str">
        <f>IFERROR(__xludf.DUMMYFUNCTION("""COMPUTED_VALUE"""),"6803915")</f>
        <v>6803915</v>
      </c>
      <c r="E428" s="3" t="str">
        <f>IFERROR(__xludf.DUMMYFUNCTION("""COMPUTED_VALUE"""),"34")</f>
        <v>34</v>
      </c>
      <c r="F428" s="3" t="str">
        <f>IFERROR(__xludf.DUMMYFUNCTION("""COMPUTED_VALUE"""),"นพอ.ปัญชลีย์ ชื่นสวัสดิ์")</f>
        <v>นพอ.ปัญชลีย์ ชื่นสวัสดิ์</v>
      </c>
      <c r="G4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8" s="3" t="str">
        <f>IFERROR(__xludf.DUMMYFUNCTION("""COMPUTED_VALUE"""),"ค่ายเยาวชนพัฒนา ครั้งที่ 215")</f>
        <v>ค่ายเยาวชนพัฒนา ครั้งที่ 215</v>
      </c>
      <c r="I428" s="3" t="str">
        <f>IFERROR(__xludf.DUMMYFUNCTION("""COMPUTED_VALUE"""),"วัดสามบัณฑิต จ.อยุธยา")</f>
        <v>วัดสามบัณฑิต จ.อยุธยา</v>
      </c>
      <c r="J428" s="12">
        <f>IFERROR(__xludf.DUMMYFUNCTION("""COMPUTED_VALUE"""),46138.0)</f>
        <v>46138</v>
      </c>
      <c r="K428" s="3" t="str">
        <f>IFERROR(__xludf.DUMMYFUNCTION("""COMPUTED_VALUE"""),"0800-1600")</f>
        <v>0800-1600</v>
      </c>
      <c r="L428" s="3">
        <f>IFERROR(__xludf.DUMMYFUNCTION("""COMPUTED_VALUE"""),8.0)</f>
        <v>8</v>
      </c>
      <c r="M42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28" s="14" t="str">
        <f>IFERROR(__xludf.DUMMYFUNCTION("""COMPUTED_VALUE"""),"https://lh5.googleusercontent.com/d/1CHQ_vWZLkb40SU8cTRj_dCzRRlFIQ3bO")</f>
        <v>https://lh5.googleusercontent.com/d/1CHQ_vWZLkb40SU8cTRj_dCzRRlFIQ3bO</v>
      </c>
      <c r="O428" s="14" t="str">
        <f>IFERROR(__xludf.DUMMYFUNCTION("""COMPUTED_VALUE"""),"https://drive.google.com/file/d/179EtlSfdywW-A3zKgJOzUggvg_3G7qZY/view?usp=drivesdk")</f>
        <v>https://drive.google.com/file/d/179EtlSfdywW-A3zKgJOzUggvg_3G7qZY/view?usp=drivesdk</v>
      </c>
    </row>
    <row r="429">
      <c r="A429" s="3">
        <f>IFERROR(__xludf.DUMMYFUNCTION("""COMPUTED_VALUE"""),2087.0)</f>
        <v>2087</v>
      </c>
      <c r="B429" s="11">
        <f>IFERROR(__xludf.DUMMYFUNCTION("""COMPUTED_VALUE"""),46157.61011675926)</f>
        <v>46157.61012</v>
      </c>
      <c r="C429" s="3" t="str">
        <f>IFERROR(__xludf.DUMMYFUNCTION("""COMPUTED_VALUE"""),"ชั้นปีที่ 1")</f>
        <v>ชั้นปีที่ 1</v>
      </c>
      <c r="D429" s="3" t="str">
        <f>IFERROR(__xludf.DUMMYFUNCTION("""COMPUTED_VALUE"""),"6803937")</f>
        <v>6803937</v>
      </c>
      <c r="E429" s="3" t="str">
        <f>IFERROR(__xludf.DUMMYFUNCTION("""COMPUTED_VALUE"""),"56")</f>
        <v>56</v>
      </c>
      <c r="F429" s="3" t="str">
        <f>IFERROR(__xludf.DUMMYFUNCTION("""COMPUTED_VALUE"""),"นพอ.ศิริกานดา  แหลมไธสง")</f>
        <v>นพอ.ศิริกานดา  แหลมไธสง</v>
      </c>
      <c r="G42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29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29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429" s="12">
        <f>IFERROR(__xludf.DUMMYFUNCTION("""COMPUTED_VALUE"""),46078.0)</f>
        <v>46078</v>
      </c>
      <c r="K429" s="3" t="str">
        <f>IFERROR(__xludf.DUMMYFUNCTION("""COMPUTED_VALUE"""),"1200-2000")</f>
        <v>1200-2000</v>
      </c>
      <c r="L429" s="3">
        <f>IFERROR(__xludf.DUMMYFUNCTION("""COMPUTED_VALUE"""),8.0)</f>
        <v>8</v>
      </c>
      <c r="M429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429" s="14" t="str">
        <f>IFERROR(__xludf.DUMMYFUNCTION("""COMPUTED_VALUE"""),"https://lh5.googleusercontent.com/d/19YQf0MrEazLI26DMGrtCZIjw3-nDj7Ap")</f>
        <v>https://lh5.googleusercontent.com/d/19YQf0MrEazLI26DMGrtCZIjw3-nDj7Ap</v>
      </c>
      <c r="O429" s="14" t="str">
        <f>IFERROR(__xludf.DUMMYFUNCTION("""COMPUTED_VALUE"""),"https://drive.google.com/file/d/1vQGTSQQTLcFjCd93WD7Qn5fHjoacLbWl/view?usp=drivesdk")</f>
        <v>https://drive.google.com/file/d/1vQGTSQQTLcFjCd93WD7Qn5fHjoacLbWl/view?usp=drivesdk</v>
      </c>
    </row>
    <row r="430">
      <c r="A430" s="3">
        <f>IFERROR(__xludf.DUMMYFUNCTION("""COMPUTED_VALUE"""),2088.0)</f>
        <v>2088</v>
      </c>
      <c r="B430" s="11">
        <f>IFERROR(__xludf.DUMMYFUNCTION("""COMPUTED_VALUE"""),46157.674219039356)</f>
        <v>46157.67422</v>
      </c>
      <c r="C430" s="3" t="str">
        <f>IFERROR(__xludf.DUMMYFUNCTION("""COMPUTED_VALUE"""),"ชั้นปีที่ 1")</f>
        <v>ชั้นปีที่ 1</v>
      </c>
      <c r="D430" s="3" t="str">
        <f>IFERROR(__xludf.DUMMYFUNCTION("""COMPUTED_VALUE"""),"6803912")</f>
        <v>6803912</v>
      </c>
      <c r="E430" s="3" t="str">
        <f>IFERROR(__xludf.DUMMYFUNCTION("""COMPUTED_VALUE"""),"31")</f>
        <v>31</v>
      </c>
      <c r="F430" s="3" t="str">
        <f>IFERROR(__xludf.DUMMYFUNCTION("""COMPUTED_VALUE"""),"เบญจวรรณ มณีแนว")</f>
        <v>เบญจวรรณ มณีแนว</v>
      </c>
      <c r="G43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0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430" s="3" t="str">
        <f>IFERROR(__xludf.DUMMYFUNCTION("""COMPUTED_VALUE"""),"โรงเรียนการบิน")</f>
        <v>โรงเรียนการบิน</v>
      </c>
      <c r="J430" s="12">
        <f>IFERROR(__xludf.DUMMYFUNCTION("""COMPUTED_VALUE"""),46032.0)</f>
        <v>46032</v>
      </c>
      <c r="K430" s="3" t="str">
        <f>IFERROR(__xludf.DUMMYFUNCTION("""COMPUTED_VALUE"""),"0600-1400")</f>
        <v>0600-1400</v>
      </c>
      <c r="L430" s="3">
        <f>IFERROR(__xludf.DUMMYFUNCTION("""COMPUTED_VALUE"""),8.0)</f>
        <v>8</v>
      </c>
      <c r="M43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0" s="14" t="str">
        <f>IFERROR(__xludf.DUMMYFUNCTION("""COMPUTED_VALUE"""),"https://lh5.googleusercontent.com/d/1grrccwG2yhFQDJZ0Kd4Fb_XWFC0RoamZ")</f>
        <v>https://lh5.googleusercontent.com/d/1grrccwG2yhFQDJZ0Kd4Fb_XWFC0RoamZ</v>
      </c>
      <c r="O430" s="14" t="str">
        <f>IFERROR(__xludf.DUMMYFUNCTION("""COMPUTED_VALUE"""),"https://drive.google.com/file/d/1LzMcTeBmLhrWLxWmeJswQGSBNA46Nrrc/view?usp=drivesdk")</f>
        <v>https://drive.google.com/file/d/1LzMcTeBmLhrWLxWmeJswQGSBNA46Nrrc/view?usp=drivesdk</v>
      </c>
    </row>
    <row r="431">
      <c r="A431" s="3">
        <f>IFERROR(__xludf.DUMMYFUNCTION("""COMPUTED_VALUE"""),2089.0)</f>
        <v>2089</v>
      </c>
      <c r="B431" s="11">
        <f>IFERROR(__xludf.DUMMYFUNCTION("""COMPUTED_VALUE"""),46157.675317037036)</f>
        <v>46157.67532</v>
      </c>
      <c r="C431" s="3" t="str">
        <f>IFERROR(__xludf.DUMMYFUNCTION("""COMPUTED_VALUE"""),"ชั้นปีที่ 1")</f>
        <v>ชั้นปีที่ 1</v>
      </c>
      <c r="D431" s="3" t="str">
        <f>IFERROR(__xludf.DUMMYFUNCTION("""COMPUTED_VALUE"""),"6903915")</f>
        <v>6903915</v>
      </c>
      <c r="E431" s="3" t="str">
        <f>IFERROR(__xludf.DUMMYFUNCTION("""COMPUTED_VALUE"""),"34")</f>
        <v>34</v>
      </c>
      <c r="F431" s="3" t="str">
        <f>IFERROR(__xludf.DUMMYFUNCTION("""COMPUTED_VALUE"""),"นพอ.ปัญชลีย์ ชื่นสวัสดิ์")</f>
        <v>นพอ.ปัญชลีย์ ชื่นสวัสดิ์</v>
      </c>
      <c r="G4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1" s="3" t="str">
        <f>IFERROR(__xludf.DUMMYFUNCTION("""COMPUTED_VALUE"""),"งานวันเด็ก")</f>
        <v>งานวันเด็ก</v>
      </c>
      <c r="I431" s="3" t="str">
        <f>IFERROR(__xludf.DUMMYFUNCTION("""COMPUTED_VALUE"""),"บก.ทท.")</f>
        <v>บก.ทท.</v>
      </c>
      <c r="J431" s="12">
        <f>IFERROR(__xludf.DUMMYFUNCTION("""COMPUTED_VALUE"""),46032.0)</f>
        <v>46032</v>
      </c>
      <c r="K431" s="3" t="str">
        <f>IFERROR(__xludf.DUMMYFUNCTION("""COMPUTED_VALUE"""),"0800-1600")</f>
        <v>0800-1600</v>
      </c>
      <c r="L431" s="3">
        <f>IFERROR(__xludf.DUMMYFUNCTION("""COMPUTED_VALUE"""),8.0)</f>
        <v>8</v>
      </c>
      <c r="M43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1" s="14" t="str">
        <f>IFERROR(__xludf.DUMMYFUNCTION("""COMPUTED_VALUE"""),"https://lh5.googleusercontent.com/d/1Ud0xKThkPuM9cvK36o7fZ9837y10H5BH")</f>
        <v>https://lh5.googleusercontent.com/d/1Ud0xKThkPuM9cvK36o7fZ9837y10H5BH</v>
      </c>
      <c r="O431" s="14" t="str">
        <f>IFERROR(__xludf.DUMMYFUNCTION("""COMPUTED_VALUE"""),"https://drive.google.com/file/d/1-_2sWq7c9Wayv5yjXGyEE7P0Dam_fMFG/view?usp=drivesdk")</f>
        <v>https://drive.google.com/file/d/1-_2sWq7c9Wayv5yjXGyEE7P0Dam_fMFG/view?usp=drivesdk</v>
      </c>
    </row>
    <row r="432">
      <c r="A432" s="3">
        <f>IFERROR(__xludf.DUMMYFUNCTION("""COMPUTED_VALUE"""),2090.0)</f>
        <v>2090</v>
      </c>
      <c r="B432" s="11">
        <f>IFERROR(__xludf.DUMMYFUNCTION("""COMPUTED_VALUE"""),46157.67637127315)</f>
        <v>46157.67637</v>
      </c>
      <c r="C432" s="3" t="str">
        <f>IFERROR(__xludf.DUMMYFUNCTION("""COMPUTED_VALUE"""),"ชั้นปีที่ 1")</f>
        <v>ชั้นปีที่ 1</v>
      </c>
      <c r="D432" s="3" t="str">
        <f>IFERROR(__xludf.DUMMYFUNCTION("""COMPUTED_VALUE"""),"6803899")</f>
        <v>6803899</v>
      </c>
      <c r="E432" s="3" t="str">
        <f>IFERROR(__xludf.DUMMYFUNCTION("""COMPUTED_VALUE"""),"18")</f>
        <v>18</v>
      </c>
      <c r="F432" s="3" t="str">
        <f>IFERROR(__xludf.DUMMYFUNCTION("""COMPUTED_VALUE"""),"นพอ.ณัฐณิชา มีปา")</f>
        <v>นพอ.ณัฐณิชา มีปา</v>
      </c>
      <c r="G4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2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32" s="3" t="str">
        <f>IFERROR(__xludf.DUMMYFUNCTION("""COMPUTED_VALUE"""),"สนามกีฬาธูปะเตมีย์")</f>
        <v>สนามกีฬาธูปะเตมีย์</v>
      </c>
      <c r="J432" s="12">
        <f>IFERROR(__xludf.DUMMYFUNCTION("""COMPUTED_VALUE"""),46078.0)</f>
        <v>46078</v>
      </c>
      <c r="K432" s="3" t="str">
        <f>IFERROR(__xludf.DUMMYFUNCTION("""COMPUTED_VALUE"""),"1200-2000")</f>
        <v>1200-2000</v>
      </c>
      <c r="L432" s="3">
        <f>IFERROR(__xludf.DUMMYFUNCTION("""COMPUTED_VALUE"""),8.0)</f>
        <v>8</v>
      </c>
      <c r="M43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2" s="14" t="str">
        <f>IFERROR(__xludf.DUMMYFUNCTION("""COMPUTED_VALUE"""),"https://lh5.googleusercontent.com/d/1DZ-P6bbt4kwO1ouAfh3UTlfsKVZwDdc-")</f>
        <v>https://lh5.googleusercontent.com/d/1DZ-P6bbt4kwO1ouAfh3UTlfsKVZwDdc-</v>
      </c>
      <c r="O432" s="14" t="str">
        <f>IFERROR(__xludf.DUMMYFUNCTION("""COMPUTED_VALUE"""),"https://drive.google.com/file/d/1i0TNv2G69nrq6wy7B1ouDxP2j6CCDkm9/view?usp=drivesdk")</f>
        <v>https://drive.google.com/file/d/1i0TNv2G69nrq6wy7B1ouDxP2j6CCDkm9/view?usp=drivesdk</v>
      </c>
    </row>
    <row r="433">
      <c r="A433" s="3">
        <f>IFERROR(__xludf.DUMMYFUNCTION("""COMPUTED_VALUE"""),2109.0)</f>
        <v>2109</v>
      </c>
      <c r="B433" s="11">
        <f>IFERROR(__xludf.DUMMYFUNCTION("""COMPUTED_VALUE"""),46161.939104293975)</f>
        <v>46161.9391</v>
      </c>
      <c r="C433" s="3" t="str">
        <f>IFERROR(__xludf.DUMMYFUNCTION("""COMPUTED_VALUE"""),"ชั้นปีที่ 1")</f>
        <v>ชั้นปีที่ 1</v>
      </c>
      <c r="D433" s="3" t="str">
        <f>IFERROR(__xludf.DUMMYFUNCTION("""COMPUTED_VALUE"""),"6803890")</f>
        <v>6803890</v>
      </c>
      <c r="E433" s="3" t="str">
        <f>IFERROR(__xludf.DUMMYFUNCTION("""COMPUTED_VALUE"""),"9")</f>
        <v>9</v>
      </c>
      <c r="F433" s="3" t="str">
        <f>IFERROR(__xludf.DUMMYFUNCTION("""COMPUTED_VALUE"""),"นพอ.จักรพงศ์ ปรีชาคม")</f>
        <v>นพอ.จักรพงศ์ ปรีชาคม</v>
      </c>
      <c r="G433" s="3" t="str">
        <f>IFERROR(__xludf.DUMMYFUNCTION("""COMPUTED_VALUE"""),"ช่วยเหลืองานภายใน วพอ.")</f>
        <v>ช่วยเหลืองานภายใน วพอ.</v>
      </c>
      <c r="H433" s="3" t="str">
        <f>IFERROR(__xludf.DUMMYFUNCTION("""COMPUTED_VALUE"""),"เล่นดุริยางค์")</f>
        <v>เล่นดุริยางค์</v>
      </c>
      <c r="I433" s="3" t="str">
        <f>IFERROR(__xludf.DUMMYFUNCTION("""COMPUTED_VALUE"""),"วพอ.พอ.")</f>
        <v>วพอ.พอ.</v>
      </c>
      <c r="J433" s="12">
        <f>IFERROR(__xludf.DUMMYFUNCTION("""COMPUTED_VALUE"""),46028.0)</f>
        <v>46028</v>
      </c>
      <c r="K433" s="3" t="str">
        <f>IFERROR(__xludf.DUMMYFUNCTION("""COMPUTED_VALUE"""),"0730")</f>
        <v>0730</v>
      </c>
      <c r="L433" s="3">
        <f>IFERROR(__xludf.DUMMYFUNCTION("""COMPUTED_VALUE"""),1.0)</f>
        <v>1</v>
      </c>
      <c r="M433" s="3" t="str">
        <f>IFERROR(__xludf.DUMMYFUNCTION("""COMPUTED_VALUE"""),"ร.อ.อนุชิต ทำจะดี")</f>
        <v>ร.อ.อนุชิต ทำจะดี</v>
      </c>
      <c r="N433" s="14" t="str">
        <f>IFERROR(__xludf.DUMMYFUNCTION("""COMPUTED_VALUE"""),"https://lh5.googleusercontent.com/d/10U2Oqzr1JzL9rLSLk4D2Ap29PG8Lxy5L")</f>
        <v>https://lh5.googleusercontent.com/d/10U2Oqzr1JzL9rLSLk4D2Ap29PG8Lxy5L</v>
      </c>
      <c r="O433" s="14" t="str">
        <f>IFERROR(__xludf.DUMMYFUNCTION("""COMPUTED_VALUE"""),"https://drive.google.com/file/d/1q86MiiQMVQuKM1KPT48p_ojV9975xfTH/view?usp=drivesdk")</f>
        <v>https://drive.google.com/file/d/1q86MiiQMVQuKM1KPT48p_ojV9975xfTH/view?usp=drivesdk</v>
      </c>
    </row>
    <row r="434">
      <c r="A434" s="3">
        <f>IFERROR(__xludf.DUMMYFUNCTION("""COMPUTED_VALUE"""),2110.0)</f>
        <v>2110</v>
      </c>
      <c r="B434" s="11">
        <f>IFERROR(__xludf.DUMMYFUNCTION("""COMPUTED_VALUE"""),46161.94062612269)</f>
        <v>46161.94063</v>
      </c>
      <c r="C434" s="3" t="str">
        <f>IFERROR(__xludf.DUMMYFUNCTION("""COMPUTED_VALUE"""),"ชั้นปีที่ 1")</f>
        <v>ชั้นปีที่ 1</v>
      </c>
      <c r="D434" s="3" t="str">
        <f>IFERROR(__xludf.DUMMYFUNCTION("""COMPUTED_VALUE"""),"6803890")</f>
        <v>6803890</v>
      </c>
      <c r="E434" s="3" t="str">
        <f>IFERROR(__xludf.DUMMYFUNCTION("""COMPUTED_VALUE"""),"9")</f>
        <v>9</v>
      </c>
      <c r="F434" s="3" t="str">
        <f>IFERROR(__xludf.DUMMYFUNCTION("""COMPUTED_VALUE"""),"นพอ.จักรพงศ์ ปรีชาคม")</f>
        <v>นพอ.จักรพงศ์ ปรีชาคม</v>
      </c>
      <c r="G434" s="3" t="str">
        <f>IFERROR(__xludf.DUMMYFUNCTION("""COMPUTED_VALUE"""),"ช่วยเหลืองานภายใน วพอ.")</f>
        <v>ช่วยเหลืองานภายใน วพอ.</v>
      </c>
      <c r="H434" s="3" t="str">
        <f>IFERROR(__xludf.DUMMYFUNCTION("""COMPUTED_VALUE"""),"เช่นดุริยางค์")</f>
        <v>เช่นดุริยางค์</v>
      </c>
      <c r="I434" s="3" t="str">
        <f>IFERROR(__xludf.DUMMYFUNCTION("""COMPUTED_VALUE"""),"วพอ.พอ")</f>
        <v>วพอ.พอ</v>
      </c>
      <c r="J434" s="12">
        <f>IFERROR(__xludf.DUMMYFUNCTION("""COMPUTED_VALUE"""),46035.0)</f>
        <v>46035</v>
      </c>
      <c r="K434" s="3" t="str">
        <f>IFERROR(__xludf.DUMMYFUNCTION("""COMPUTED_VALUE"""),"0730")</f>
        <v>0730</v>
      </c>
      <c r="L434" s="3">
        <f>IFERROR(__xludf.DUMMYFUNCTION("""COMPUTED_VALUE"""),1.0)</f>
        <v>1</v>
      </c>
      <c r="M434" s="3" t="str">
        <f>IFERROR(__xludf.DUMMYFUNCTION("""COMPUTED_VALUE"""),"ร.อ.อนุชิต ทำจะดี")</f>
        <v>ร.อ.อนุชิต ทำจะดี</v>
      </c>
      <c r="N434" s="14" t="str">
        <f>IFERROR(__xludf.DUMMYFUNCTION("""COMPUTED_VALUE"""),"https://lh5.googleusercontent.com/d/1Z53PZ0hbQ6Uld6Akki-PCmxp1vfpBWtd")</f>
        <v>https://lh5.googleusercontent.com/d/1Z53PZ0hbQ6Uld6Akki-PCmxp1vfpBWtd</v>
      </c>
      <c r="O434" s="14" t="str">
        <f>IFERROR(__xludf.DUMMYFUNCTION("""COMPUTED_VALUE"""),"https://drive.google.com/file/d/1iZ4Q3YAswtwXE33SYsQu7zzwbLkynwiR/view?usp=drivesdk")</f>
        <v>https://drive.google.com/file/d/1iZ4Q3YAswtwXE33SYsQu7zzwbLkynwiR/view?usp=drivesdk</v>
      </c>
    </row>
    <row r="435">
      <c r="A435" s="3">
        <f>IFERROR(__xludf.DUMMYFUNCTION("""COMPUTED_VALUE"""),2112.0)</f>
        <v>2112</v>
      </c>
      <c r="B435" s="11">
        <f>IFERROR(__xludf.DUMMYFUNCTION("""COMPUTED_VALUE"""),46162.47743626157)</f>
        <v>46162.47744</v>
      </c>
      <c r="C435" s="3" t="str">
        <f>IFERROR(__xludf.DUMMYFUNCTION("""COMPUTED_VALUE"""),"ชั้นปีที่ 1")</f>
        <v>ชั้นปีที่ 1</v>
      </c>
      <c r="D435" s="3" t="str">
        <f>IFERROR(__xludf.DUMMYFUNCTION("""COMPUTED_VALUE"""),"6803887")</f>
        <v>6803887</v>
      </c>
      <c r="E435" s="3" t="str">
        <f>IFERROR(__xludf.DUMMYFUNCTION("""COMPUTED_VALUE"""),"6")</f>
        <v>6</v>
      </c>
      <c r="F435" s="3" t="str">
        <f>IFERROR(__xludf.DUMMYFUNCTION("""COMPUTED_VALUE"""),"นพอ.กัญญวรา โกษาเสวียง")</f>
        <v>นพอ.กัญญวรา โกษาเสวียง</v>
      </c>
      <c r="G4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5" s="3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35" s="3" t="str">
        <f>IFERROR(__xludf.DUMMYFUNCTION("""COMPUTED_VALUE"""),"บน.6")</f>
        <v>บน.6</v>
      </c>
      <c r="J435" s="12">
        <f>IFERROR(__xludf.DUMMYFUNCTION("""COMPUTED_VALUE"""),46032.0)</f>
        <v>46032</v>
      </c>
      <c r="K435" s="3" t="str">
        <f>IFERROR(__xludf.DUMMYFUNCTION("""COMPUTED_VALUE"""),"0600-1400")</f>
        <v>0600-1400</v>
      </c>
      <c r="L435" s="3">
        <f>IFERROR(__xludf.DUMMYFUNCTION("""COMPUTED_VALUE"""),8.0)</f>
        <v>8</v>
      </c>
      <c r="M435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435" s="14" t="str">
        <f>IFERROR(__xludf.DUMMYFUNCTION("""COMPUTED_VALUE"""),"https://lh5.googleusercontent.com/d/171zc59_LaqNtgH4UIKDZPYq5VG6OFJ1X")</f>
        <v>https://lh5.googleusercontent.com/d/171zc59_LaqNtgH4UIKDZPYq5VG6OFJ1X</v>
      </c>
      <c r="O435" s="14" t="str">
        <f>IFERROR(__xludf.DUMMYFUNCTION("""COMPUTED_VALUE"""),"https://drive.google.com/file/d/1QcSpsHI2EB_MdadPA10G102ZA7IF3Cp9/view?usp=drivesdk")</f>
        <v>https://drive.google.com/file/d/1QcSpsHI2EB_MdadPA10G102ZA7IF3Cp9/view?usp=drivesdk</v>
      </c>
    </row>
    <row r="436">
      <c r="A436" s="3">
        <f>IFERROR(__xludf.DUMMYFUNCTION("""COMPUTED_VALUE"""),2114.0)</f>
        <v>2114</v>
      </c>
      <c r="B436" s="11">
        <f>IFERROR(__xludf.DUMMYFUNCTION("""COMPUTED_VALUE"""),46162.48134810186)</f>
        <v>46162.48135</v>
      </c>
      <c r="C436" s="3" t="str">
        <f>IFERROR(__xludf.DUMMYFUNCTION("""COMPUTED_VALUE"""),"ชั้นปีที่ 1")</f>
        <v>ชั้นปีที่ 1</v>
      </c>
      <c r="D436" s="3" t="str">
        <f>IFERROR(__xludf.DUMMYFUNCTION("""COMPUTED_VALUE"""),"6803924")</f>
        <v>6803924</v>
      </c>
      <c r="E436" s="3" t="str">
        <f>IFERROR(__xludf.DUMMYFUNCTION("""COMPUTED_VALUE"""),"43")</f>
        <v>43</v>
      </c>
      <c r="F436" s="3" t="str">
        <f>IFERROR(__xludf.DUMMYFUNCTION("""COMPUTED_VALUE"""),"นพอ.พีรชา แสงไทย")</f>
        <v>นพอ.พีรชา แสงไทย</v>
      </c>
      <c r="G4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6" s="3" t="str">
        <f>IFERROR(__xludf.DUMMYFUNCTION("""COMPUTED_VALUE"""),"พิธีเปิดกีฬาภายในกองทัพอากาศ")</f>
        <v>พิธีเปิดกีฬาภายในกองทัพอากาศ</v>
      </c>
      <c r="I436" s="3" t="str">
        <f>IFERROR(__xludf.DUMMYFUNCTION("""COMPUTED_VALUE"""),"สนามกีฬาธูปะเตมีย์")</f>
        <v>สนามกีฬาธูปะเตมีย์</v>
      </c>
      <c r="J436" s="12">
        <f>IFERROR(__xludf.DUMMYFUNCTION("""COMPUTED_VALUE"""),46078.0)</f>
        <v>46078</v>
      </c>
      <c r="K436" s="3" t="str">
        <f>IFERROR(__xludf.DUMMYFUNCTION("""COMPUTED_VALUE"""),"1200-2000")</f>
        <v>1200-2000</v>
      </c>
      <c r="L436" s="3">
        <f>IFERROR(__xludf.DUMMYFUNCTION("""COMPUTED_VALUE"""),8.0)</f>
        <v>8</v>
      </c>
      <c r="M43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6" s="14" t="str">
        <f>IFERROR(__xludf.DUMMYFUNCTION("""COMPUTED_VALUE"""),"https://lh5.googleusercontent.com/d/1Q8kzPHKdY-daccv0FLl_tpg2zsbxKDmr")</f>
        <v>https://lh5.googleusercontent.com/d/1Q8kzPHKdY-daccv0FLl_tpg2zsbxKDmr</v>
      </c>
      <c r="O436" s="14" t="str">
        <f>IFERROR(__xludf.DUMMYFUNCTION("""COMPUTED_VALUE"""),"https://drive.google.com/file/d/1seOLIz-sPMYT_yOpe75oaz9RMax5QReM/view?usp=drivesdk")</f>
        <v>https://drive.google.com/file/d/1seOLIz-sPMYT_yOpe75oaz9RMax5QReM/view?usp=drivesdk</v>
      </c>
    </row>
    <row r="437">
      <c r="A437" s="3">
        <f>IFERROR(__xludf.DUMMYFUNCTION("""COMPUTED_VALUE"""),2115.0)</f>
        <v>2115</v>
      </c>
      <c r="B437" s="11">
        <f>IFERROR(__xludf.DUMMYFUNCTION("""COMPUTED_VALUE"""),46162.48249496528)</f>
        <v>46162.48249</v>
      </c>
      <c r="C437" s="3" t="str">
        <f>IFERROR(__xludf.DUMMYFUNCTION("""COMPUTED_VALUE"""),"ชั้นปีที่ 1")</f>
        <v>ชั้นปีที่ 1</v>
      </c>
      <c r="D437" s="3" t="str">
        <f>IFERROR(__xludf.DUMMYFUNCTION("""COMPUTED_VALUE"""),"6803887")</f>
        <v>6803887</v>
      </c>
      <c r="E437" s="3" t="str">
        <f>IFERROR(__xludf.DUMMYFUNCTION("""COMPUTED_VALUE"""),"6")</f>
        <v>6</v>
      </c>
      <c r="F437" s="3" t="str">
        <f>IFERROR(__xludf.DUMMYFUNCTION("""COMPUTED_VALUE"""),"นพอ.กัญญวรา โกษาเสวียง")</f>
        <v>นพอ.กัญญวรา โกษาเสวียง</v>
      </c>
      <c r="G4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7" s="3" t="str">
        <f>IFERROR(__xludf.DUMMYFUNCTION("""COMPUTED_VALUE"""),"ค่ายเยาวชนพัฒนา ครั้งที่ 215")</f>
        <v>ค่ายเยาวชนพัฒนา ครั้งที่ 215</v>
      </c>
      <c r="I437" s="3" t="str">
        <f>IFERROR(__xludf.DUMMYFUNCTION("""COMPUTED_VALUE"""),"วัดสามบัณฑิต จ.อยุธยา")</f>
        <v>วัดสามบัณฑิต จ.อยุธยา</v>
      </c>
      <c r="J437" s="12">
        <f>IFERROR(__xludf.DUMMYFUNCTION("""COMPUTED_VALUE"""),46137.0)</f>
        <v>46137</v>
      </c>
      <c r="K437" s="3" t="str">
        <f>IFERROR(__xludf.DUMMYFUNCTION("""COMPUTED_VALUE"""),"0800-1600")</f>
        <v>0800-1600</v>
      </c>
      <c r="L437" s="3">
        <f>IFERROR(__xludf.DUMMYFUNCTION("""COMPUTED_VALUE"""),8.0)</f>
        <v>8</v>
      </c>
      <c r="M43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7" s="14" t="str">
        <f>IFERROR(__xludf.DUMMYFUNCTION("""COMPUTED_VALUE"""),"https://lh5.googleusercontent.com/d/15d9soHqFRuAv210QcI_L8DQ2idhnUtia")</f>
        <v>https://lh5.googleusercontent.com/d/15d9soHqFRuAv210QcI_L8DQ2idhnUtia</v>
      </c>
      <c r="O437" s="14" t="str">
        <f>IFERROR(__xludf.DUMMYFUNCTION("""COMPUTED_VALUE"""),"https://drive.google.com/file/d/1sw_3tMSnULifSh62q6kp1yH2r8gY0qMf/view?usp=drivesdk")</f>
        <v>https://drive.google.com/file/d/1sw_3tMSnULifSh62q6kp1yH2r8gY0qMf/view?usp=drivesdk</v>
      </c>
    </row>
    <row r="438">
      <c r="A438" s="3">
        <f>IFERROR(__xludf.DUMMYFUNCTION("""COMPUTED_VALUE"""),2116.0)</f>
        <v>2116</v>
      </c>
      <c r="B438" s="11">
        <f>IFERROR(__xludf.DUMMYFUNCTION("""COMPUTED_VALUE"""),46162.484224513886)</f>
        <v>46162.48422</v>
      </c>
      <c r="C438" s="3" t="str">
        <f>IFERROR(__xludf.DUMMYFUNCTION("""COMPUTED_VALUE"""),"ชั้นปีที่ 1")</f>
        <v>ชั้นปีที่ 1</v>
      </c>
      <c r="D438" s="3" t="str">
        <f>IFERROR(__xludf.DUMMYFUNCTION("""COMPUTED_VALUE"""),"6803887")</f>
        <v>6803887</v>
      </c>
      <c r="E438" s="3" t="str">
        <f>IFERROR(__xludf.DUMMYFUNCTION("""COMPUTED_VALUE"""),"6")</f>
        <v>6</v>
      </c>
      <c r="F438" s="3" t="str">
        <f>IFERROR(__xludf.DUMMYFUNCTION("""COMPUTED_VALUE"""),"นพอ.กัญญวรา โกษาเสวียง")</f>
        <v>นพอ.กัญญวรา โกษาเสวียง</v>
      </c>
      <c r="G43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8" s="3" t="str">
        <f>IFERROR(__xludf.DUMMYFUNCTION("""COMPUTED_VALUE"""),"ค่ายเยาวชนพัฒนา ครั้งที่ 215")</f>
        <v>ค่ายเยาวชนพัฒนา ครั้งที่ 215</v>
      </c>
      <c r="I438" s="3" t="str">
        <f>IFERROR(__xludf.DUMMYFUNCTION("""COMPUTED_VALUE"""),"วัดสามบัณฑิต จ.อยุธยา")</f>
        <v>วัดสามบัณฑิต จ.อยุธยา</v>
      </c>
      <c r="J438" s="12">
        <f>IFERROR(__xludf.DUMMYFUNCTION("""COMPUTED_VALUE"""),46138.0)</f>
        <v>46138</v>
      </c>
      <c r="K438" s="3" t="str">
        <f>IFERROR(__xludf.DUMMYFUNCTION("""COMPUTED_VALUE"""),"0800-1600")</f>
        <v>0800-1600</v>
      </c>
      <c r="L438" s="3">
        <f>IFERROR(__xludf.DUMMYFUNCTION("""COMPUTED_VALUE"""),8.0)</f>
        <v>8</v>
      </c>
      <c r="M43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8" s="14" t="str">
        <f>IFERROR(__xludf.DUMMYFUNCTION("""COMPUTED_VALUE"""),"https://lh5.googleusercontent.com/d/1g1UImn0OtVFrCjVSbfC7NPoIjGvrSW5s")</f>
        <v>https://lh5.googleusercontent.com/d/1g1UImn0OtVFrCjVSbfC7NPoIjGvrSW5s</v>
      </c>
      <c r="O438" s="14" t="str">
        <f>IFERROR(__xludf.DUMMYFUNCTION("""COMPUTED_VALUE"""),"https://drive.google.com/file/d/1NbbMXiRTpDUqmJi8PD2LQzK9xaeIS4sH/view?usp=drivesdk")</f>
        <v>https://drive.google.com/file/d/1NbbMXiRTpDUqmJi8PD2LQzK9xaeIS4sH/view?usp=drivesdk</v>
      </c>
    </row>
    <row r="439">
      <c r="A439" s="3">
        <f>IFERROR(__xludf.DUMMYFUNCTION("""COMPUTED_VALUE"""),2117.0)</f>
        <v>2117</v>
      </c>
      <c r="B439" s="11">
        <f>IFERROR(__xludf.DUMMYFUNCTION("""COMPUTED_VALUE"""),46162.48730626157)</f>
        <v>46162.48731</v>
      </c>
      <c r="C439" s="3" t="str">
        <f>IFERROR(__xludf.DUMMYFUNCTION("""COMPUTED_VALUE"""),"ชั้นปีที่ 1")</f>
        <v>ชั้นปีที่ 1</v>
      </c>
      <c r="D439" s="3" t="str">
        <f>IFERROR(__xludf.DUMMYFUNCTION("""COMPUTED_VALUE"""),"6803887")</f>
        <v>6803887</v>
      </c>
      <c r="E439" s="3" t="str">
        <f>IFERROR(__xludf.DUMMYFUNCTION("""COMPUTED_VALUE"""),"6")</f>
        <v>6</v>
      </c>
      <c r="F439" s="3" t="str">
        <f>IFERROR(__xludf.DUMMYFUNCTION("""COMPUTED_VALUE"""),"นพอ.กัญญวรา โกษาเสวียง")</f>
        <v>นพอ.กัญญวรา โกษาเสวียง</v>
      </c>
      <c r="G43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39" s="3" t="str">
        <f>IFERROR(__xludf.DUMMYFUNCTION("""COMPUTED_VALUE"""),"ค่ายเยาวชนพัฒนา ครั้งที่ 215")</f>
        <v>ค่ายเยาวชนพัฒนา ครั้งที่ 215</v>
      </c>
      <c r="I439" s="3" t="str">
        <f>IFERROR(__xludf.DUMMYFUNCTION("""COMPUTED_VALUE"""),"วัดสามบัณฑิต จ.อยุธยา")</f>
        <v>วัดสามบัณฑิต จ.อยุธยา</v>
      </c>
      <c r="J439" s="12">
        <f>IFERROR(__xludf.DUMMYFUNCTION("""COMPUTED_VALUE"""),46136.0)</f>
        <v>46136</v>
      </c>
      <c r="K439" s="3" t="str">
        <f>IFERROR(__xludf.DUMMYFUNCTION("""COMPUTED_VALUE"""),"1600-2400")</f>
        <v>1600-2400</v>
      </c>
      <c r="L439" s="3">
        <f>IFERROR(__xludf.DUMMYFUNCTION("""COMPUTED_VALUE"""),8.0)</f>
        <v>8</v>
      </c>
      <c r="M43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39" s="14" t="str">
        <f>IFERROR(__xludf.DUMMYFUNCTION("""COMPUTED_VALUE"""),"https://lh5.googleusercontent.com/d/1AXZflBokd2-6LzrQRombjC_TkL0UF8_5")</f>
        <v>https://lh5.googleusercontent.com/d/1AXZflBokd2-6LzrQRombjC_TkL0UF8_5</v>
      </c>
      <c r="O439" s="14" t="str">
        <f>IFERROR(__xludf.DUMMYFUNCTION("""COMPUTED_VALUE"""),"https://drive.google.com/file/d/1uhM5zYCGfrE5WNNWQrbPQ6e4vTxs6CSc/view?usp=drivesdk")</f>
        <v>https://drive.google.com/file/d/1uhM5zYCGfrE5WNNWQrbPQ6e4vTxs6CSc/view?usp=drivesdk</v>
      </c>
    </row>
    <row r="440">
      <c r="A440" s="3">
        <f>IFERROR(__xludf.DUMMYFUNCTION("""COMPUTED_VALUE"""),2124.0)</f>
        <v>2124</v>
      </c>
      <c r="B440" s="11">
        <f>IFERROR(__xludf.DUMMYFUNCTION("""COMPUTED_VALUE"""),46162.65915951389)</f>
        <v>46162.65916</v>
      </c>
      <c r="C440" s="3" t="str">
        <f>IFERROR(__xludf.DUMMYFUNCTION("""COMPUTED_VALUE"""),"ชั้นปีที่ 1")</f>
        <v>ชั้นปีที่ 1</v>
      </c>
      <c r="D440" s="3" t="str">
        <f>IFERROR(__xludf.DUMMYFUNCTION("""COMPUTED_VALUE"""),"6803907")</f>
        <v>6803907</v>
      </c>
      <c r="E440" s="3" t="str">
        <f>IFERROR(__xludf.DUMMYFUNCTION("""COMPUTED_VALUE"""),"26")</f>
        <v>26</v>
      </c>
      <c r="F440" s="3" t="str">
        <f>IFERROR(__xludf.DUMMYFUNCTION("""COMPUTED_VALUE"""),"ธีราพร  ประสิทธิภาพ")</f>
        <v>ธีราพร  ประสิทธิภาพ</v>
      </c>
      <c r="G440" s="3" t="str">
        <f>IFERROR(__xludf.DUMMYFUNCTION("""COMPUTED_VALUE"""),"ช่วยเหลืองานภายใน วพอ.")</f>
        <v>ช่วยเหลืองานภายใน วพอ.</v>
      </c>
      <c r="H44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0" s="3" t="str">
        <f>IFERROR(__xludf.DUMMYFUNCTION("""COMPUTED_VALUE"""),"วพอ.พอ")</f>
        <v>วพอ.พอ</v>
      </c>
      <c r="J440" s="12">
        <f>IFERROR(__xludf.DUMMYFUNCTION("""COMPUTED_VALUE"""),46133.0)</f>
        <v>46133</v>
      </c>
      <c r="K440" s="3" t="str">
        <f>IFERROR(__xludf.DUMMYFUNCTION("""COMPUTED_VALUE"""),"17:00-21:00")</f>
        <v>17:00-21:00</v>
      </c>
      <c r="L440" s="3">
        <f>IFERROR(__xludf.DUMMYFUNCTION("""COMPUTED_VALUE"""),4.0)</f>
        <v>4</v>
      </c>
      <c r="M440" s="3" t="str">
        <f>IFERROR(__xludf.DUMMYFUNCTION("""COMPUTED_VALUE"""),"ร.อ. อนุชิต ทำจะดี")</f>
        <v>ร.อ. อนุชิต ทำจะดี</v>
      </c>
      <c r="N440" s="14" t="str">
        <f>IFERROR(__xludf.DUMMYFUNCTION("""COMPUTED_VALUE"""),"https://lh5.googleusercontent.com/d/1Kwnr6Rru1POt0bOJBIau56UWqFslIu0v")</f>
        <v>https://lh5.googleusercontent.com/d/1Kwnr6Rru1POt0bOJBIau56UWqFslIu0v</v>
      </c>
      <c r="O440" s="14" t="str">
        <f>IFERROR(__xludf.DUMMYFUNCTION("""COMPUTED_VALUE"""),"https://drive.google.com/file/d/1VtlNKIYdLUtJxVGQwTl0YnBG-XgWuGDV/view?usp=drivesdk")</f>
        <v>https://drive.google.com/file/d/1VtlNKIYdLUtJxVGQwTl0YnBG-XgWuGDV/view?usp=drivesdk</v>
      </c>
    </row>
    <row r="441">
      <c r="A441" s="3">
        <f>IFERROR(__xludf.DUMMYFUNCTION("""COMPUTED_VALUE"""),2125.0)</f>
        <v>2125</v>
      </c>
      <c r="B441" s="11">
        <f>IFERROR(__xludf.DUMMYFUNCTION("""COMPUTED_VALUE"""),46162.6611031713)</f>
        <v>46162.6611</v>
      </c>
      <c r="C441" s="3" t="str">
        <f>IFERROR(__xludf.DUMMYFUNCTION("""COMPUTED_VALUE"""),"ชั้นปีที่ 1")</f>
        <v>ชั้นปีที่ 1</v>
      </c>
      <c r="D441" s="3" t="str">
        <f>IFERROR(__xludf.DUMMYFUNCTION("""COMPUTED_VALUE"""),"6803907")</f>
        <v>6803907</v>
      </c>
      <c r="E441" s="3" t="str">
        <f>IFERROR(__xludf.DUMMYFUNCTION("""COMPUTED_VALUE"""),"26")</f>
        <v>26</v>
      </c>
      <c r="F441" s="3" t="str">
        <f>IFERROR(__xludf.DUMMYFUNCTION("""COMPUTED_VALUE"""),"ธีราพร  ประสิทธิภาพ")</f>
        <v>ธีราพร  ประสิทธิภาพ</v>
      </c>
      <c r="G441" s="3" t="str">
        <f>IFERROR(__xludf.DUMMYFUNCTION("""COMPUTED_VALUE"""),"ช่วยเหลืองานภายใน วพอ.")</f>
        <v>ช่วยเหลืองานภายใน วพอ.</v>
      </c>
      <c r="H44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1" s="3" t="str">
        <f>IFERROR(__xludf.DUMMYFUNCTION("""COMPUTED_VALUE"""),"วพอ.พอ")</f>
        <v>วพอ.พอ</v>
      </c>
      <c r="J441" s="12">
        <f>IFERROR(__xludf.DUMMYFUNCTION("""COMPUTED_VALUE"""),46134.0)</f>
        <v>46134</v>
      </c>
      <c r="K441" s="3" t="str">
        <f>IFERROR(__xludf.DUMMYFUNCTION("""COMPUTED_VALUE"""),"17:00-21:00")</f>
        <v>17:00-21:00</v>
      </c>
      <c r="L441" s="3">
        <f>IFERROR(__xludf.DUMMYFUNCTION("""COMPUTED_VALUE"""),4.0)</f>
        <v>4</v>
      </c>
      <c r="M441" s="3" t="str">
        <f>IFERROR(__xludf.DUMMYFUNCTION("""COMPUTED_VALUE"""),"ร.อ. อนุชิต ทำจะ")</f>
        <v>ร.อ. อนุชิต ทำจะ</v>
      </c>
      <c r="N441" s="14" t="str">
        <f>IFERROR(__xludf.DUMMYFUNCTION("""COMPUTED_VALUE"""),"https://lh5.googleusercontent.com/d/1K149aAWYVw16864Z0A53pdb5s1YtOW0M")</f>
        <v>https://lh5.googleusercontent.com/d/1K149aAWYVw16864Z0A53pdb5s1YtOW0M</v>
      </c>
      <c r="O441" s="14" t="str">
        <f>IFERROR(__xludf.DUMMYFUNCTION("""COMPUTED_VALUE"""),"https://drive.google.com/file/d/1jp7_zmXRnljHHcJbwKS3YS2pQpMHUzDg/view?usp=drivesdk")</f>
        <v>https://drive.google.com/file/d/1jp7_zmXRnljHHcJbwKS3YS2pQpMHUzDg/view?usp=drivesdk</v>
      </c>
    </row>
    <row r="442">
      <c r="A442" s="3">
        <f>IFERROR(__xludf.DUMMYFUNCTION("""COMPUTED_VALUE"""),2126.0)</f>
        <v>2126</v>
      </c>
      <c r="B442" s="11">
        <f>IFERROR(__xludf.DUMMYFUNCTION("""COMPUTED_VALUE"""),46162.66300695602)</f>
        <v>46162.66301</v>
      </c>
      <c r="C442" s="3" t="str">
        <f>IFERROR(__xludf.DUMMYFUNCTION("""COMPUTED_VALUE"""),"ชั้นปีที่ 1")</f>
        <v>ชั้นปีที่ 1</v>
      </c>
      <c r="D442" s="3" t="str">
        <f>IFERROR(__xludf.DUMMYFUNCTION("""COMPUTED_VALUE"""),"6803888")</f>
        <v>6803888</v>
      </c>
      <c r="E442" s="3" t="str">
        <f>IFERROR(__xludf.DUMMYFUNCTION("""COMPUTED_VALUE"""),"7")</f>
        <v>7</v>
      </c>
      <c r="F442" s="3" t="str">
        <f>IFERROR(__xludf.DUMMYFUNCTION("""COMPUTED_VALUE"""),"กันต์ธิดา นาคทอง")</f>
        <v>กันต์ธิดา นาคทอง</v>
      </c>
      <c r="G44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2" s="3" t="str">
        <f>IFERROR(__xludf.DUMMYFUNCTION("""COMPUTED_VALUE"""),"2026 ROTARACT DAY ปลูกป่าชายโร")</f>
        <v>2026 ROTARACT DAY ปลูกป่าชายโร</v>
      </c>
      <c r="I442" s="3" t="str">
        <f>IFERROR(__xludf.DUMMYFUNCTION("""COMPUTED_VALUE"""),"ศูนย์ศึกษาธรรมชาติกองทัพบก บางปู")</f>
        <v>ศูนย์ศึกษาธรรมชาติกองทัพบก บางปู</v>
      </c>
      <c r="J442" s="12">
        <f>IFERROR(__xludf.DUMMYFUNCTION("""COMPUTED_VALUE"""),46060.0)</f>
        <v>46060</v>
      </c>
      <c r="K442" s="3" t="str">
        <f>IFERROR(__xludf.DUMMYFUNCTION("""COMPUTED_VALUE"""),"8.30")</f>
        <v>8.30</v>
      </c>
      <c r="L442" s="3">
        <f>IFERROR(__xludf.DUMMYFUNCTION("""COMPUTED_VALUE"""),8.0)</f>
        <v>8</v>
      </c>
      <c r="M442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442" s="14" t="str">
        <f>IFERROR(__xludf.DUMMYFUNCTION("""COMPUTED_VALUE"""),"https://lh5.googleusercontent.com/d/1XEGGXTQ3qgRitZ9JP005R2VvIfwEHg8I")</f>
        <v>https://lh5.googleusercontent.com/d/1XEGGXTQ3qgRitZ9JP005R2VvIfwEHg8I</v>
      </c>
      <c r="O442" s="14" t="str">
        <f>IFERROR(__xludf.DUMMYFUNCTION("""COMPUTED_VALUE"""),"https://drive.google.com/file/d/1PNUNjWufUd89HE1WVoAx5bMQ-9oI6Vnd/view?usp=drivesdk")</f>
        <v>https://drive.google.com/file/d/1PNUNjWufUd89HE1WVoAx5bMQ-9oI6Vnd/view?usp=drivesdk</v>
      </c>
    </row>
    <row r="443">
      <c r="A443" s="3">
        <f>IFERROR(__xludf.DUMMYFUNCTION("""COMPUTED_VALUE"""),2127.0)</f>
        <v>2127</v>
      </c>
      <c r="B443" s="11">
        <f>IFERROR(__xludf.DUMMYFUNCTION("""COMPUTED_VALUE"""),46162.6631415625)</f>
        <v>46162.66314</v>
      </c>
      <c r="C443" s="3" t="str">
        <f>IFERROR(__xludf.DUMMYFUNCTION("""COMPUTED_VALUE"""),"ชั้นปีที่ 1")</f>
        <v>ชั้นปีที่ 1</v>
      </c>
      <c r="D443" s="3" t="str">
        <f>IFERROR(__xludf.DUMMYFUNCTION("""COMPUTED_VALUE"""),"6803907")</f>
        <v>6803907</v>
      </c>
      <c r="E443" s="3" t="str">
        <f>IFERROR(__xludf.DUMMYFUNCTION("""COMPUTED_VALUE"""),"26")</f>
        <v>26</v>
      </c>
      <c r="F443" s="3" t="str">
        <f>IFERROR(__xludf.DUMMYFUNCTION("""COMPUTED_VALUE"""),"ธีราพร  ประสิทธิภาพ")</f>
        <v>ธีราพร  ประสิทธิภาพ</v>
      </c>
      <c r="G443" s="3" t="str">
        <f>IFERROR(__xludf.DUMMYFUNCTION("""COMPUTED_VALUE"""),"ช่วยเหลืองานภายใน วพอ.")</f>
        <v>ช่วยเหลืองานภายใน วพอ.</v>
      </c>
      <c r="H44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3" s="3" t="str">
        <f>IFERROR(__xludf.DUMMYFUNCTION("""COMPUTED_VALUE"""),"วพอ.พอ.")</f>
        <v>วพอ.พอ.</v>
      </c>
      <c r="J443" s="12">
        <f>IFERROR(__xludf.DUMMYFUNCTION("""COMPUTED_VALUE"""),46135.0)</f>
        <v>46135</v>
      </c>
      <c r="K443" s="3" t="str">
        <f>IFERROR(__xludf.DUMMYFUNCTION("""COMPUTED_VALUE"""),"17:00-21:00")</f>
        <v>17:00-21:00</v>
      </c>
      <c r="L443" s="3">
        <f>IFERROR(__xludf.DUMMYFUNCTION("""COMPUTED_VALUE"""),4.0)</f>
        <v>4</v>
      </c>
      <c r="M443" s="3" t="str">
        <f>IFERROR(__xludf.DUMMYFUNCTION("""COMPUTED_VALUE"""),"ร.อ. อนุชิต  ทำจะดี")</f>
        <v>ร.อ. อนุชิต  ทำจะดี</v>
      </c>
      <c r="N443" s="14" t="str">
        <f>IFERROR(__xludf.DUMMYFUNCTION("""COMPUTED_VALUE"""),"https://lh5.googleusercontent.com/d/18Ak5llOp_cIU9jqB9yKOlx_4zNGFADw0")</f>
        <v>https://lh5.googleusercontent.com/d/18Ak5llOp_cIU9jqB9yKOlx_4zNGFADw0</v>
      </c>
      <c r="O443" s="14" t="str">
        <f>IFERROR(__xludf.DUMMYFUNCTION("""COMPUTED_VALUE"""),"https://drive.google.com/file/d/1aWBf_O-zVJaulqv1l8YeesG3lRdkY166/view?usp=drivesdk")</f>
        <v>https://drive.google.com/file/d/1aWBf_O-zVJaulqv1l8YeesG3lRdkY166/view?usp=drivesdk</v>
      </c>
    </row>
    <row r="444">
      <c r="A444" s="3">
        <f>IFERROR(__xludf.DUMMYFUNCTION("""COMPUTED_VALUE"""),2128.0)</f>
        <v>2128</v>
      </c>
      <c r="B444" s="11">
        <f>IFERROR(__xludf.DUMMYFUNCTION("""COMPUTED_VALUE"""),46162.66504997686)</f>
        <v>46162.66505</v>
      </c>
      <c r="C444" s="3" t="str">
        <f>IFERROR(__xludf.DUMMYFUNCTION("""COMPUTED_VALUE"""),"ชั้นปีที่ 1")</f>
        <v>ชั้นปีที่ 1</v>
      </c>
      <c r="D444" s="3" t="str">
        <f>IFERROR(__xludf.DUMMYFUNCTION("""COMPUTED_VALUE"""),"6803907")</f>
        <v>6803907</v>
      </c>
      <c r="E444" s="3" t="str">
        <f>IFERROR(__xludf.DUMMYFUNCTION("""COMPUTED_VALUE"""),"26")</f>
        <v>26</v>
      </c>
      <c r="F444" s="3" t="str">
        <f>IFERROR(__xludf.DUMMYFUNCTION("""COMPUTED_VALUE"""),"ธีราพร  ประสิทธิภาพ")</f>
        <v>ธีราพร  ประสิทธิภาพ</v>
      </c>
      <c r="G444" s="3" t="str">
        <f>IFERROR(__xludf.DUMMYFUNCTION("""COMPUTED_VALUE"""),"ช่วยเหลืองานภายใน วพอ.")</f>
        <v>ช่วยเหลืองานภายใน วพอ.</v>
      </c>
      <c r="H44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4" s="3" t="str">
        <f>IFERROR(__xludf.DUMMYFUNCTION("""COMPUTED_VALUE"""),"วพอ.พอ.")</f>
        <v>วพอ.พอ.</v>
      </c>
      <c r="J444" s="12">
        <f>IFERROR(__xludf.DUMMYFUNCTION("""COMPUTED_VALUE"""),46138.0)</f>
        <v>46138</v>
      </c>
      <c r="K444" s="3" t="str">
        <f>IFERROR(__xludf.DUMMYFUNCTION("""COMPUTED_VALUE"""),"13:00-21:00")</f>
        <v>13:00-21:00</v>
      </c>
      <c r="L444" s="3">
        <f>IFERROR(__xludf.DUMMYFUNCTION("""COMPUTED_VALUE"""),8.0)</f>
        <v>8</v>
      </c>
      <c r="M444" s="3" t="str">
        <f>IFERROR(__xludf.DUMMYFUNCTION("""COMPUTED_VALUE"""),"ร.อ. อนุชิต  ทำจะดี")</f>
        <v>ร.อ. อนุชิต  ทำจะดี</v>
      </c>
      <c r="N444" s="14" t="str">
        <f>IFERROR(__xludf.DUMMYFUNCTION("""COMPUTED_VALUE"""),"https://lh5.googleusercontent.com/d/1QA0DhHkn_nRTit_4x1_eHhBcR9q0DNPV")</f>
        <v>https://lh5.googleusercontent.com/d/1QA0DhHkn_nRTit_4x1_eHhBcR9q0DNPV</v>
      </c>
      <c r="O444" s="14" t="str">
        <f>IFERROR(__xludf.DUMMYFUNCTION("""COMPUTED_VALUE"""),"https://drive.google.com/file/d/1q4FBZYUvd_laKMEQo8GJ1wdhew6Iv--z/view?usp=drivesdk")</f>
        <v>https://drive.google.com/file/d/1q4FBZYUvd_laKMEQo8GJ1wdhew6Iv--z/view?usp=drivesdk</v>
      </c>
    </row>
    <row r="445">
      <c r="A445" s="3">
        <f>IFERROR(__xludf.DUMMYFUNCTION("""COMPUTED_VALUE"""),2129.0)</f>
        <v>2129</v>
      </c>
      <c r="B445" s="11">
        <f>IFERROR(__xludf.DUMMYFUNCTION("""COMPUTED_VALUE"""),46162.666414687505)</f>
        <v>46162.66641</v>
      </c>
      <c r="C445" s="3" t="str">
        <f>IFERROR(__xludf.DUMMYFUNCTION("""COMPUTED_VALUE"""),"ชั้นปีที่ 1")</f>
        <v>ชั้นปีที่ 1</v>
      </c>
      <c r="D445" s="3" t="str">
        <f>IFERROR(__xludf.DUMMYFUNCTION("""COMPUTED_VALUE"""),"6803907")</f>
        <v>6803907</v>
      </c>
      <c r="E445" s="3" t="str">
        <f>IFERROR(__xludf.DUMMYFUNCTION("""COMPUTED_VALUE"""),"26")</f>
        <v>26</v>
      </c>
      <c r="F445" s="3" t="str">
        <f>IFERROR(__xludf.DUMMYFUNCTION("""COMPUTED_VALUE"""),"ธีราพร  ประสิทธิภาพ")</f>
        <v>ธีราพร  ประสิทธิภาพ</v>
      </c>
      <c r="G445" s="3" t="str">
        <f>IFERROR(__xludf.DUMMYFUNCTION("""COMPUTED_VALUE"""),"ช่วยเหลืองานภายใน วพอ.")</f>
        <v>ช่วยเหลืองานภายใน วพอ.</v>
      </c>
      <c r="H44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45" s="3" t="str">
        <f>IFERROR(__xludf.DUMMYFUNCTION("""COMPUTED_VALUE"""),"วพอ.พอ.")</f>
        <v>วพอ.พอ.</v>
      </c>
      <c r="J445" s="12">
        <f>IFERROR(__xludf.DUMMYFUNCTION("""COMPUTED_VALUE"""),46139.0)</f>
        <v>46139</v>
      </c>
      <c r="K445" s="3" t="str">
        <f>IFERROR(__xludf.DUMMYFUNCTION("""COMPUTED_VALUE"""),"17:00-21:00")</f>
        <v>17:00-21:00</v>
      </c>
      <c r="L445" s="3">
        <f>IFERROR(__xludf.DUMMYFUNCTION("""COMPUTED_VALUE"""),4.0)</f>
        <v>4</v>
      </c>
      <c r="M445" s="3" t="str">
        <f>IFERROR(__xludf.DUMMYFUNCTION("""COMPUTED_VALUE"""),"ร.อ. อนุชิต  ทำจะดี")</f>
        <v>ร.อ. อนุชิต  ทำจะดี</v>
      </c>
      <c r="N445" s="14" t="str">
        <f>IFERROR(__xludf.DUMMYFUNCTION("""COMPUTED_VALUE"""),"https://lh5.googleusercontent.com/d/11qbMOzJUw_ldZ1OecR2wHZbP5MpqAJ45")</f>
        <v>https://lh5.googleusercontent.com/d/11qbMOzJUw_ldZ1OecR2wHZbP5MpqAJ45</v>
      </c>
      <c r="O445" s="14" t="str">
        <f>IFERROR(__xludf.DUMMYFUNCTION("""COMPUTED_VALUE"""),"https://drive.google.com/file/d/1HK7kRXxBRmfR7NSLn72hbFtueSpY8O03/view?usp=drivesdk")</f>
        <v>https://drive.google.com/file/d/1HK7kRXxBRmfR7NSLn72hbFtueSpY8O03/view?usp=drivesdk</v>
      </c>
    </row>
    <row r="446">
      <c r="A446" s="3">
        <f>IFERROR(__xludf.DUMMYFUNCTION("""COMPUTED_VALUE"""),2131.0)</f>
        <v>2131</v>
      </c>
      <c r="B446" s="11">
        <f>IFERROR(__xludf.DUMMYFUNCTION("""COMPUTED_VALUE"""),46162.67012640046)</f>
        <v>46162.67013</v>
      </c>
      <c r="C446" s="3" t="str">
        <f>IFERROR(__xludf.DUMMYFUNCTION("""COMPUTED_VALUE"""),"ชั้นปีที่ 1")</f>
        <v>ชั้นปีที่ 1</v>
      </c>
      <c r="D446" s="3" t="str">
        <f>IFERROR(__xludf.DUMMYFUNCTION("""COMPUTED_VALUE"""),"6803934")</f>
        <v>6803934</v>
      </c>
      <c r="E446" s="3" t="str">
        <f>IFERROR(__xludf.DUMMYFUNCTION("""COMPUTED_VALUE"""),"53")</f>
        <v>53</v>
      </c>
      <c r="F446" s="3" t="str">
        <f>IFERROR(__xludf.DUMMYFUNCTION("""COMPUTED_VALUE"""),"นพอ.วริศรา ออละมาลี")</f>
        <v>นพอ.วริศรา ออละมาลี</v>
      </c>
      <c r="G4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6" s="3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46" s="3" t="str">
        <f>IFERROR(__xludf.DUMMYFUNCTION("""COMPUTED_VALUE"""),"พิพิธภัณฑ์กองทัพอากาศและการบินแห่งชาติ")</f>
        <v>พิพิธภัณฑ์กองทัพอากาศและการบินแห่งชาติ</v>
      </c>
      <c r="J446" s="12">
        <f>IFERROR(__xludf.DUMMYFUNCTION("""COMPUTED_VALUE"""),46032.0)</f>
        <v>46032</v>
      </c>
      <c r="K446" s="3" t="str">
        <f>IFERROR(__xludf.DUMMYFUNCTION("""COMPUTED_VALUE"""),"0600-1400")</f>
        <v>0600-1400</v>
      </c>
      <c r="L446" s="3">
        <f>IFERROR(__xludf.DUMMYFUNCTION("""COMPUTED_VALUE"""),8.0)</f>
        <v>8</v>
      </c>
      <c r="M44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6" s="14" t="str">
        <f>IFERROR(__xludf.DUMMYFUNCTION("""COMPUTED_VALUE"""),"https://lh5.googleusercontent.com/d/1kkfwz8rhJzcEB1cVmitYzC9bmC4FQF8d")</f>
        <v>https://lh5.googleusercontent.com/d/1kkfwz8rhJzcEB1cVmitYzC9bmC4FQF8d</v>
      </c>
      <c r="O446" s="14" t="str">
        <f>IFERROR(__xludf.DUMMYFUNCTION("""COMPUTED_VALUE"""),"https://drive.google.com/file/d/1E7yL0rFFc_0Ry9123rUUx0VcDQFLho3G/view?usp=drivesdk")</f>
        <v>https://drive.google.com/file/d/1E7yL0rFFc_0Ry9123rUUx0VcDQFLho3G/view?usp=drivesdk</v>
      </c>
    </row>
    <row r="447">
      <c r="A447" s="3">
        <f>IFERROR(__xludf.DUMMYFUNCTION("""COMPUTED_VALUE"""),2132.0)</f>
        <v>2132</v>
      </c>
      <c r="B447" s="11">
        <f>IFERROR(__xludf.DUMMYFUNCTION("""COMPUTED_VALUE"""),46162.67198399306)</f>
        <v>46162.67198</v>
      </c>
      <c r="C447" s="3" t="str">
        <f>IFERROR(__xludf.DUMMYFUNCTION("""COMPUTED_VALUE"""),"ชั้นปีที่ 1")</f>
        <v>ชั้นปีที่ 1</v>
      </c>
      <c r="D447" s="3" t="str">
        <f>IFERROR(__xludf.DUMMYFUNCTION("""COMPUTED_VALUE"""),"6803884")</f>
        <v>6803884</v>
      </c>
      <c r="E447" s="3" t="str">
        <f>IFERROR(__xludf.DUMMYFUNCTION("""COMPUTED_VALUE"""),"3")</f>
        <v>3</v>
      </c>
      <c r="F447" s="3" t="str">
        <f>IFERROR(__xludf.DUMMYFUNCTION("""COMPUTED_VALUE"""),"นพอ.กรองทอง กันฟัก")</f>
        <v>นพอ.กรองทอง กันฟัก</v>
      </c>
      <c r="G4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7" s="3" t="str">
        <f>IFERROR(__xludf.DUMMYFUNCTION("""COMPUTED_VALUE"""),"เข้าร่วมงานวันเด็กแห่งชาติ")</f>
        <v>เข้าร่วมงานวันเด็กแห่งชาติ</v>
      </c>
      <c r="I447" s="3" t="str">
        <f>IFERROR(__xludf.DUMMYFUNCTION("""COMPUTED_VALUE"""),"โรงเรียนการบิน กำแพงแสน")</f>
        <v>โรงเรียนการบิน กำแพงแสน</v>
      </c>
      <c r="J447" s="12">
        <f>IFERROR(__xludf.DUMMYFUNCTION("""COMPUTED_VALUE"""),46032.0)</f>
        <v>46032</v>
      </c>
      <c r="K447" s="3" t="str">
        <f>IFERROR(__xludf.DUMMYFUNCTION("""COMPUTED_VALUE"""),"0600-1400")</f>
        <v>0600-1400</v>
      </c>
      <c r="L447" s="3">
        <f>IFERROR(__xludf.DUMMYFUNCTION("""COMPUTED_VALUE"""),8.0)</f>
        <v>8</v>
      </c>
      <c r="M44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7" s="14" t="str">
        <f>IFERROR(__xludf.DUMMYFUNCTION("""COMPUTED_VALUE"""),"https://lh5.googleusercontent.com/d/1Abaxo-THZmlnHpkghrv4RhG-j3FlOV0I")</f>
        <v>https://lh5.googleusercontent.com/d/1Abaxo-THZmlnHpkghrv4RhG-j3FlOV0I</v>
      </c>
      <c r="O447" s="14" t="str">
        <f>IFERROR(__xludf.DUMMYFUNCTION("""COMPUTED_VALUE"""),"https://drive.google.com/file/d/1y3Fos2A0_BVtKt2wPMsm0MmWFByyhn7n/view?usp=drivesdk")</f>
        <v>https://drive.google.com/file/d/1y3Fos2A0_BVtKt2wPMsm0MmWFByyhn7n/view?usp=drivesdk</v>
      </c>
    </row>
    <row r="448">
      <c r="A448" s="3">
        <f>IFERROR(__xludf.DUMMYFUNCTION("""COMPUTED_VALUE"""),2133.0)</f>
        <v>2133</v>
      </c>
      <c r="B448" s="11">
        <f>IFERROR(__xludf.DUMMYFUNCTION("""COMPUTED_VALUE"""),46162.67224368056)</f>
        <v>46162.67224</v>
      </c>
      <c r="C448" s="3" t="str">
        <f>IFERROR(__xludf.DUMMYFUNCTION("""COMPUTED_VALUE"""),"ชั้นปีที่ 1")</f>
        <v>ชั้นปีที่ 1</v>
      </c>
      <c r="D448" s="3" t="str">
        <f>IFERROR(__xludf.DUMMYFUNCTION("""COMPUTED_VALUE"""),"6803934")</f>
        <v>6803934</v>
      </c>
      <c r="E448" s="3" t="str">
        <f>IFERROR(__xludf.DUMMYFUNCTION("""COMPUTED_VALUE"""),"53")</f>
        <v>53</v>
      </c>
      <c r="F448" s="3" t="str">
        <f>IFERROR(__xludf.DUMMYFUNCTION("""COMPUTED_VALUE"""),"นพอ.วริศรา ออละมาลี")</f>
        <v>นพอ.วริศรา ออละมาลี</v>
      </c>
      <c r="G44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48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448" s="3" t="str">
        <f>IFERROR(__xludf.DUMMYFUNCTION("""COMPUTED_VALUE"""),"สนามกีฬาธูปะเตมีย์")</f>
        <v>สนามกีฬาธูปะเตมีย์</v>
      </c>
      <c r="J448" s="12">
        <f>IFERROR(__xludf.DUMMYFUNCTION("""COMPUTED_VALUE"""),46078.0)</f>
        <v>46078</v>
      </c>
      <c r="K448" s="3" t="str">
        <f>IFERROR(__xludf.DUMMYFUNCTION("""COMPUTED_VALUE"""),"1200-2000")</f>
        <v>1200-2000</v>
      </c>
      <c r="L448" s="3">
        <f>IFERROR(__xludf.DUMMYFUNCTION("""COMPUTED_VALUE"""),8.0)</f>
        <v>8</v>
      </c>
      <c r="M44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48" s="14" t="str">
        <f>IFERROR(__xludf.DUMMYFUNCTION("""COMPUTED_VALUE"""),"https://lh5.googleusercontent.com/d/128l6zSj36jRS5LxiJZ6EAvHdVXjpeOla")</f>
        <v>https://lh5.googleusercontent.com/d/128l6zSj36jRS5LxiJZ6EAvHdVXjpeOla</v>
      </c>
      <c r="O448" s="14" t="str">
        <f>IFERROR(__xludf.DUMMYFUNCTION("""COMPUTED_VALUE"""),"https://drive.google.com/file/d/1QpeC1AgbERuLSTWsqqpS0DkSuHxd_tD_/view?usp=drivesdk")</f>
        <v>https://drive.google.com/file/d/1QpeC1AgbERuLSTWsqqpS0DkSuHxd_tD_/view?usp=drivesdk</v>
      </c>
    </row>
    <row r="449">
      <c r="A449" s="3">
        <f>IFERROR(__xludf.DUMMYFUNCTION("""COMPUTED_VALUE"""),2137.0)</f>
        <v>2137</v>
      </c>
      <c r="B449" s="11">
        <f>IFERROR(__xludf.DUMMYFUNCTION("""COMPUTED_VALUE"""),46162.68811637732)</f>
        <v>46162.68812</v>
      </c>
      <c r="C449" s="3" t="str">
        <f>IFERROR(__xludf.DUMMYFUNCTION("""COMPUTED_VALUE"""),"ชั้นปีที่ 1")</f>
        <v>ชั้นปีที่ 1</v>
      </c>
      <c r="D449" s="3" t="str">
        <f>IFERROR(__xludf.DUMMYFUNCTION("""COMPUTED_VALUE"""),"6803890")</f>
        <v>6803890</v>
      </c>
      <c r="E449" s="3" t="str">
        <f>IFERROR(__xludf.DUMMYFUNCTION("""COMPUTED_VALUE"""),"9")</f>
        <v>9</v>
      </c>
      <c r="F449" s="3" t="str">
        <f>IFERROR(__xludf.DUMMYFUNCTION("""COMPUTED_VALUE"""),"นพอ.จักรพงศ์ ปรีชาคม")</f>
        <v>นพอ.จักรพงศ์ ปรีชาคม</v>
      </c>
      <c r="G449" s="3" t="str">
        <f>IFERROR(__xludf.DUMMYFUNCTION("""COMPUTED_VALUE"""),"ช่วยเหลืองานภายใน วพอ.")</f>
        <v>ช่วยเหลืองานภายใน วพอ.</v>
      </c>
      <c r="H449" s="3" t="str">
        <f>IFERROR(__xludf.DUMMYFUNCTION("""COMPUTED_VALUE"""),"เล่นดุริยางค์")</f>
        <v>เล่นดุริยางค์</v>
      </c>
      <c r="I449" s="3" t="str">
        <f>IFERROR(__xludf.DUMMYFUNCTION("""COMPUTED_VALUE"""),"วพอ.พอ.")</f>
        <v>วพอ.พอ.</v>
      </c>
      <c r="J449" s="12">
        <f>IFERROR(__xludf.DUMMYFUNCTION("""COMPUTED_VALUE"""),46079.0)</f>
        <v>46079</v>
      </c>
      <c r="K449" s="3" t="str">
        <f>IFERROR(__xludf.DUMMYFUNCTION("""COMPUTED_VALUE"""),"0730")</f>
        <v>0730</v>
      </c>
      <c r="L449" s="3">
        <f>IFERROR(__xludf.DUMMYFUNCTION("""COMPUTED_VALUE"""),1.0)</f>
        <v>1</v>
      </c>
      <c r="M449" s="3" t="str">
        <f>IFERROR(__xludf.DUMMYFUNCTION("""COMPUTED_VALUE"""),"ร.อ.อนุชิต ทำจะดี")</f>
        <v>ร.อ.อนุชิต ทำจะดี</v>
      </c>
      <c r="N449" s="14" t="str">
        <f>IFERROR(__xludf.DUMMYFUNCTION("""COMPUTED_VALUE"""),"https://lh5.googleusercontent.com/d/11CCQ-i_IMTeLkm-YEX79kbnyrCyksuzX")</f>
        <v>https://lh5.googleusercontent.com/d/11CCQ-i_IMTeLkm-YEX79kbnyrCyksuzX</v>
      </c>
      <c r="O449" s="14" t="str">
        <f>IFERROR(__xludf.DUMMYFUNCTION("""COMPUTED_VALUE"""),"https://drive.google.com/file/d/1ZsaqXY8ODFPlkXY6lCh15fmCKLjfZNOq/view?usp=drivesdk")</f>
        <v>https://drive.google.com/file/d/1ZsaqXY8ODFPlkXY6lCh15fmCKLjfZNOq/view?usp=drivesdk</v>
      </c>
    </row>
    <row r="450">
      <c r="A450" s="3">
        <f>IFERROR(__xludf.DUMMYFUNCTION("""COMPUTED_VALUE"""),2138.0)</f>
        <v>2138</v>
      </c>
      <c r="B450" s="11">
        <f>IFERROR(__xludf.DUMMYFUNCTION("""COMPUTED_VALUE"""),46162.68819165509)</f>
        <v>46162.68819</v>
      </c>
      <c r="C450" s="3" t="str">
        <f>IFERROR(__xludf.DUMMYFUNCTION("""COMPUTED_VALUE"""),"ชั้นปีที่ 1")</f>
        <v>ชั้นปีที่ 1</v>
      </c>
      <c r="D450" s="3" t="str">
        <f>IFERROR(__xludf.DUMMYFUNCTION("""COMPUTED_VALUE"""),"6803934")</f>
        <v>6803934</v>
      </c>
      <c r="E450" s="3" t="str">
        <f>IFERROR(__xludf.DUMMYFUNCTION("""COMPUTED_VALUE"""),"53")</f>
        <v>53</v>
      </c>
      <c r="F450" s="3" t="str">
        <f>IFERROR(__xludf.DUMMYFUNCTION("""COMPUTED_VALUE"""),"นพอ.วริศรา ออละมาลี")</f>
        <v>นพอ.วริศรา ออละมาลี</v>
      </c>
      <c r="G4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0" s="3" t="str">
        <f>IFERROR(__xludf.DUMMYFUNCTION("""COMPUTED_VALUE"""),"โครงการตอบปัญหาธรรมะ ""ทางก้าวหน้า"" ครั้งที่ ๔๓")</f>
        <v>โครงการตอบปัญหาธรรมะ "ทางก้าวหน้า" ครั้งที่ ๔๓</v>
      </c>
      <c r="I450" s="3" t="str">
        <f>IFERROR(__xludf.DUMMYFUNCTION("""COMPUTED_VALUE"""),"วัดพระธรรมกาย")</f>
        <v>วัดพระธรรมกาย</v>
      </c>
      <c r="J450" s="12">
        <f>IFERROR(__xludf.DUMMYFUNCTION("""COMPUTED_VALUE"""),46011.0)</f>
        <v>46011</v>
      </c>
      <c r="K450" s="3" t="str">
        <f>IFERROR(__xludf.DUMMYFUNCTION("""COMPUTED_VALUE"""),"0700-1400")</f>
        <v>0700-1400</v>
      </c>
      <c r="L450" s="3">
        <f>IFERROR(__xludf.DUMMYFUNCTION("""COMPUTED_VALUE"""),6.0)</f>
        <v>6</v>
      </c>
      <c r="M450" s="3" t="str">
        <f>IFERROR(__xludf.DUMMYFUNCTION("""COMPUTED_VALUE"""),"ร.อ.ฤทธิพล อ้วนสิงห์")</f>
        <v>ร.อ.ฤทธิพล อ้วนสิงห์</v>
      </c>
      <c r="N450" s="14" t="str">
        <f>IFERROR(__xludf.DUMMYFUNCTION("""COMPUTED_VALUE"""),"https://lh5.googleusercontent.com/d/1023mKlPMMficyRHVl6PDjl63fYfrV4KZ")</f>
        <v>https://lh5.googleusercontent.com/d/1023mKlPMMficyRHVl6PDjl63fYfrV4KZ</v>
      </c>
      <c r="O450" s="14" t="str">
        <f>IFERROR(__xludf.DUMMYFUNCTION("""COMPUTED_VALUE"""),"https://drive.google.com/file/d/1xCF7-Nw0KLYWiOcC-Linu6iFoki12oFi/view?usp=drivesdk")</f>
        <v>https://drive.google.com/file/d/1xCF7-Nw0KLYWiOcC-Linu6iFoki12oFi/view?usp=drivesdk</v>
      </c>
    </row>
    <row r="451">
      <c r="A451" s="3">
        <f>IFERROR(__xludf.DUMMYFUNCTION("""COMPUTED_VALUE"""),2139.0)</f>
        <v>2139</v>
      </c>
      <c r="B451" s="11">
        <f>IFERROR(__xludf.DUMMYFUNCTION("""COMPUTED_VALUE"""),46162.68929526621)</f>
        <v>46162.6893</v>
      </c>
      <c r="C451" s="3" t="str">
        <f>IFERROR(__xludf.DUMMYFUNCTION("""COMPUTED_VALUE"""),"ชั้นปีที่ 1")</f>
        <v>ชั้นปีที่ 1</v>
      </c>
      <c r="D451" s="3" t="str">
        <f>IFERROR(__xludf.DUMMYFUNCTION("""COMPUTED_VALUE"""),"6803890")</f>
        <v>6803890</v>
      </c>
      <c r="E451" s="3" t="str">
        <f>IFERROR(__xludf.DUMMYFUNCTION("""COMPUTED_VALUE"""),"9")</f>
        <v>9</v>
      </c>
      <c r="F451" s="3" t="str">
        <f>IFERROR(__xludf.DUMMYFUNCTION("""COMPUTED_VALUE"""),"นพอ.จักรพงศ์ ปรีชาคม")</f>
        <v>นพอ.จักรพงศ์ ปรีชาคม</v>
      </c>
      <c r="G451" s="3" t="str">
        <f>IFERROR(__xludf.DUMMYFUNCTION("""COMPUTED_VALUE"""),"ช่วยเหลืองานภายใน วพอ.")</f>
        <v>ช่วยเหลืองานภายใน วพอ.</v>
      </c>
      <c r="H451" s="3" t="str">
        <f>IFERROR(__xludf.DUMMYFUNCTION("""COMPUTED_VALUE"""),"เล่นดุริยางค์")</f>
        <v>เล่นดุริยางค์</v>
      </c>
      <c r="I451" s="3" t="str">
        <f>IFERROR(__xludf.DUMMYFUNCTION("""COMPUTED_VALUE"""),"วพอ.พอ.")</f>
        <v>วพอ.พอ.</v>
      </c>
      <c r="J451" s="12">
        <f>IFERROR(__xludf.DUMMYFUNCTION("""COMPUTED_VALUE"""),46106.0)</f>
        <v>46106</v>
      </c>
      <c r="K451" s="3" t="str">
        <f>IFERROR(__xludf.DUMMYFUNCTION("""COMPUTED_VALUE"""),"0730")</f>
        <v>0730</v>
      </c>
      <c r="L451" s="3">
        <f>IFERROR(__xludf.DUMMYFUNCTION("""COMPUTED_VALUE"""),1.0)</f>
        <v>1</v>
      </c>
      <c r="M451" s="3" t="str">
        <f>IFERROR(__xludf.DUMMYFUNCTION("""COMPUTED_VALUE"""),"ร.อ.อนุชิต ทำจะดี")</f>
        <v>ร.อ.อนุชิต ทำจะดี</v>
      </c>
      <c r="N451" s="14" t="str">
        <f>IFERROR(__xludf.DUMMYFUNCTION("""COMPUTED_VALUE"""),"https://lh5.googleusercontent.com/d/10yOGqQYEh2r84Y1EKuxf80YDFDcufQV_")</f>
        <v>https://lh5.googleusercontent.com/d/10yOGqQYEh2r84Y1EKuxf80YDFDcufQV_</v>
      </c>
      <c r="O451" s="14" t="str">
        <f>IFERROR(__xludf.DUMMYFUNCTION("""COMPUTED_VALUE"""),"https://drive.google.com/file/d/1SgCYUhWW2SkXe1XZt5IIbryJG1jo--s_/view?usp=drivesdk")</f>
        <v>https://drive.google.com/file/d/1SgCYUhWW2SkXe1XZt5IIbryJG1jo--s_/view?usp=drivesdk</v>
      </c>
    </row>
    <row r="452">
      <c r="A452" s="3">
        <f>IFERROR(__xludf.DUMMYFUNCTION("""COMPUTED_VALUE"""),2140.0)</f>
        <v>2140</v>
      </c>
      <c r="B452" s="11">
        <f>IFERROR(__xludf.DUMMYFUNCTION("""COMPUTED_VALUE"""),46162.689927094914)</f>
        <v>46162.68993</v>
      </c>
      <c r="C452" s="3" t="str">
        <f>IFERROR(__xludf.DUMMYFUNCTION("""COMPUTED_VALUE"""),"ชั้นปีที่ 1")</f>
        <v>ชั้นปีที่ 1</v>
      </c>
      <c r="D452" s="3" t="str">
        <f>IFERROR(__xludf.DUMMYFUNCTION("""COMPUTED_VALUE"""),"6803934")</f>
        <v>6803934</v>
      </c>
      <c r="E452" s="3" t="str">
        <f>IFERROR(__xludf.DUMMYFUNCTION("""COMPUTED_VALUE"""),"53")</f>
        <v>53</v>
      </c>
      <c r="F452" s="3" t="str">
        <f>IFERROR(__xludf.DUMMYFUNCTION("""COMPUTED_VALUE"""),"นพอ.วริศรา ออละมาลี")</f>
        <v>นพอ.วริศรา ออละมาลี</v>
      </c>
      <c r="G452" s="3" t="str">
        <f>IFERROR(__xludf.DUMMYFUNCTION("""COMPUTED_VALUE"""),"ทำนุบำรุงศาสนสถาน")</f>
        <v>ทำนุบำรุงศาสนสถาน</v>
      </c>
      <c r="H452" s="3" t="str">
        <f>IFERROR(__xludf.DUMMYFUNCTION("""COMPUTED_VALUE"""),"กวาดและทำความสะอาดลานวัด")</f>
        <v>กวาดและทำความสะอาดลานวัด</v>
      </c>
      <c r="I452" s="3" t="str">
        <f>IFERROR(__xludf.DUMMYFUNCTION("""COMPUTED_VALUE"""),"วัดพระธาตุพนมวรมหาวิหาร")</f>
        <v>วัดพระธาตุพนมวรมหาวิหาร</v>
      </c>
      <c r="J452" s="12">
        <f>IFERROR(__xludf.DUMMYFUNCTION("""COMPUTED_VALUE"""),46023.0)</f>
        <v>46023</v>
      </c>
      <c r="K452" s="3" t="str">
        <f>IFERROR(__xludf.DUMMYFUNCTION("""COMPUTED_VALUE"""),"0700-1100")</f>
        <v>0700-1100</v>
      </c>
      <c r="L452" s="3">
        <f>IFERROR(__xludf.DUMMYFUNCTION("""COMPUTED_VALUE"""),4.0)</f>
        <v>4</v>
      </c>
      <c r="M452" s="3" t="str">
        <f>IFERROR(__xludf.DUMMYFUNCTION("""COMPUTED_VALUE"""),"เรืองวิทย์ ออละมาลี")</f>
        <v>เรืองวิทย์ ออละมาลี</v>
      </c>
      <c r="N452" s="14" t="str">
        <f>IFERROR(__xludf.DUMMYFUNCTION("""COMPUTED_VALUE"""),"https://lh5.googleusercontent.com/d/1rrBVsZUUxORPoy5r7WE40MfUxMRhp3Pl")</f>
        <v>https://lh5.googleusercontent.com/d/1rrBVsZUUxORPoy5r7WE40MfUxMRhp3Pl</v>
      </c>
      <c r="O452" s="14" t="str">
        <f>IFERROR(__xludf.DUMMYFUNCTION("""COMPUTED_VALUE"""),"https://drive.google.com/file/d/1wec87jgNBGR7CQfUsffPGk2bOGWpAr-V/view?usp=drivesdk")</f>
        <v>https://drive.google.com/file/d/1wec87jgNBGR7CQfUsffPGk2bOGWpAr-V/view?usp=drivesdk</v>
      </c>
    </row>
    <row r="453">
      <c r="A453" s="3">
        <f>IFERROR(__xludf.DUMMYFUNCTION("""COMPUTED_VALUE"""),2147.0)</f>
        <v>2147</v>
      </c>
      <c r="B453" s="11">
        <f>IFERROR(__xludf.DUMMYFUNCTION("""COMPUTED_VALUE"""),46162.88089900463)</f>
        <v>46162.8809</v>
      </c>
      <c r="C453" s="3" t="str">
        <f>IFERROR(__xludf.DUMMYFUNCTION("""COMPUTED_VALUE"""),"ชั้นปีที่ 1")</f>
        <v>ชั้นปีที่ 1</v>
      </c>
      <c r="D453" s="3" t="str">
        <f>IFERROR(__xludf.DUMMYFUNCTION("""COMPUTED_VALUE"""),"6803921")</f>
        <v>6803921</v>
      </c>
      <c r="E453" s="3" t="str">
        <f>IFERROR(__xludf.DUMMYFUNCTION("""COMPUTED_VALUE"""),"40")</f>
        <v>40</v>
      </c>
      <c r="F453" s="3" t="str">
        <f>IFERROR(__xludf.DUMMYFUNCTION("""COMPUTED_VALUE"""),"นพอ.พิชญาภรณ์ บุตรวัง")</f>
        <v>นพอ.พิชญาภรณ์ บุตรวัง</v>
      </c>
      <c r="G4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3" s="3" t="str">
        <f>IFERROR(__xludf.DUMMYFUNCTION("""COMPUTED_VALUE"""),"เข้าร่วมงานวันเด็กเเห่งชาติ 2568")</f>
        <v>เข้าร่วมงานวันเด็กเเห่งชาติ 2568</v>
      </c>
      <c r="I453" s="3" t="str">
        <f>IFERROR(__xludf.DUMMYFUNCTION("""COMPUTED_VALUE"""),"พิพิธภัณฑ์กองทัพอากาศและการบินแห่งชาติ")</f>
        <v>พิพิธภัณฑ์กองทัพอากาศและการบินแห่งชาติ</v>
      </c>
      <c r="J453" s="12">
        <f>IFERROR(__xludf.DUMMYFUNCTION("""COMPUTED_VALUE"""),46032.0)</f>
        <v>46032</v>
      </c>
      <c r="K453" s="3" t="str">
        <f>IFERROR(__xludf.DUMMYFUNCTION("""COMPUTED_VALUE"""),"0600-1400")</f>
        <v>0600-1400</v>
      </c>
      <c r="L453" s="3">
        <f>IFERROR(__xludf.DUMMYFUNCTION("""COMPUTED_VALUE"""),8.0)</f>
        <v>8</v>
      </c>
      <c r="M45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3" s="14" t="str">
        <f>IFERROR(__xludf.DUMMYFUNCTION("""COMPUTED_VALUE"""),"https://lh5.googleusercontent.com/d/1R1OZsX-MOeLCkL95qsL0Gt-ZGeulEO2d")</f>
        <v>https://lh5.googleusercontent.com/d/1R1OZsX-MOeLCkL95qsL0Gt-ZGeulEO2d</v>
      </c>
      <c r="O453" s="14" t="str">
        <f>IFERROR(__xludf.DUMMYFUNCTION("""COMPUTED_VALUE"""),"https://drive.google.com/file/d/17jW6MeYEm8VpO9_8RuhQHZxBdKXLgtYZ/view?usp=drivesdk")</f>
        <v>https://drive.google.com/file/d/17jW6MeYEm8VpO9_8RuhQHZxBdKXLgtYZ/view?usp=drivesdk</v>
      </c>
    </row>
    <row r="454">
      <c r="A454" s="3">
        <f>IFERROR(__xludf.DUMMYFUNCTION("""COMPUTED_VALUE"""),2148.0)</f>
        <v>2148</v>
      </c>
      <c r="B454" s="11">
        <f>IFERROR(__xludf.DUMMYFUNCTION("""COMPUTED_VALUE"""),46162.88321597223)</f>
        <v>46162.88322</v>
      </c>
      <c r="C454" s="3" t="str">
        <f>IFERROR(__xludf.DUMMYFUNCTION("""COMPUTED_VALUE"""),"ชั้นปีที่ 1")</f>
        <v>ชั้นปีที่ 1</v>
      </c>
      <c r="D454" s="3" t="str">
        <f>IFERROR(__xludf.DUMMYFUNCTION("""COMPUTED_VALUE"""),"6803921")</f>
        <v>6803921</v>
      </c>
      <c r="E454" s="3" t="str">
        <f>IFERROR(__xludf.DUMMYFUNCTION("""COMPUTED_VALUE"""),"40")</f>
        <v>40</v>
      </c>
      <c r="F454" s="3" t="str">
        <f>IFERROR(__xludf.DUMMYFUNCTION("""COMPUTED_VALUE"""),"นพอ.พิชญาภรณ์ บุตรวัง")</f>
        <v>นพอ.พิชญาภรณ์ บุตรวัง</v>
      </c>
      <c r="G45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4" s="3" t="str">
        <f>IFERROR(__xludf.DUMMYFUNCTION("""COMPUTED_VALUE"""),"ค่ายเยาวชนพัฒนา ครั้งที่ 215")</f>
        <v>ค่ายเยาวชนพัฒนา ครั้งที่ 215</v>
      </c>
      <c r="I454" s="3" t="str">
        <f>IFERROR(__xludf.DUMMYFUNCTION("""COMPUTED_VALUE"""),"วัดสามบัณฑิต จ.อยุธยา")</f>
        <v>วัดสามบัณฑิต จ.อยุธยา</v>
      </c>
      <c r="J454" s="12">
        <f>IFERROR(__xludf.DUMMYFUNCTION("""COMPUTED_VALUE"""),46136.0)</f>
        <v>46136</v>
      </c>
      <c r="K454" s="3" t="str">
        <f>IFERROR(__xludf.DUMMYFUNCTION("""COMPUTED_VALUE"""),"1600-2400")</f>
        <v>1600-2400</v>
      </c>
      <c r="L454" s="3">
        <f>IFERROR(__xludf.DUMMYFUNCTION("""COMPUTED_VALUE"""),8.0)</f>
        <v>8</v>
      </c>
      <c r="M45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4" s="14" t="str">
        <f>IFERROR(__xludf.DUMMYFUNCTION("""COMPUTED_VALUE"""),"https://lh5.googleusercontent.com/d/1Bm5fm4ZEOgmKzMp6CcSsABO-glAbabHF")</f>
        <v>https://lh5.googleusercontent.com/d/1Bm5fm4ZEOgmKzMp6CcSsABO-glAbabHF</v>
      </c>
      <c r="O454" s="14" t="str">
        <f>IFERROR(__xludf.DUMMYFUNCTION("""COMPUTED_VALUE"""),"https://drive.google.com/file/d/1UDYdoxh_j28O1qM7ADXRKccuOTzFjKvZ/view?usp=drivesdk")</f>
        <v>https://drive.google.com/file/d/1UDYdoxh_j28O1qM7ADXRKccuOTzFjKvZ/view?usp=drivesdk</v>
      </c>
    </row>
    <row r="455">
      <c r="A455" s="3">
        <f>IFERROR(__xludf.DUMMYFUNCTION("""COMPUTED_VALUE"""),2149.0)</f>
        <v>2149</v>
      </c>
      <c r="B455" s="11">
        <f>IFERROR(__xludf.DUMMYFUNCTION("""COMPUTED_VALUE"""),46162.885284780095)</f>
        <v>46162.88528</v>
      </c>
      <c r="C455" s="3" t="str">
        <f>IFERROR(__xludf.DUMMYFUNCTION("""COMPUTED_VALUE"""),"ชั้นปีที่ 1")</f>
        <v>ชั้นปีที่ 1</v>
      </c>
      <c r="D455" s="3" t="str">
        <f>IFERROR(__xludf.DUMMYFUNCTION("""COMPUTED_VALUE"""),"6803921")</f>
        <v>6803921</v>
      </c>
      <c r="E455" s="3" t="str">
        <f>IFERROR(__xludf.DUMMYFUNCTION("""COMPUTED_VALUE"""),"40")</f>
        <v>40</v>
      </c>
      <c r="F455" s="3" t="str">
        <f>IFERROR(__xludf.DUMMYFUNCTION("""COMPUTED_VALUE"""),"นพอ.พิชญาภรณ์ บุตรวัง")</f>
        <v>นพอ.พิชญาภรณ์ บุตรวัง</v>
      </c>
      <c r="G45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5" s="3" t="str">
        <f>IFERROR(__xludf.DUMMYFUNCTION("""COMPUTED_VALUE"""),"ค่ายเยาวชนพัฒนา ครั้งที่ 215")</f>
        <v>ค่ายเยาวชนพัฒนา ครั้งที่ 215</v>
      </c>
      <c r="I455" s="3" t="str">
        <f>IFERROR(__xludf.DUMMYFUNCTION("""COMPUTED_VALUE"""),"วัดสามบัณฑิต จ.อยุธยา")</f>
        <v>วัดสามบัณฑิต จ.อยุธยา</v>
      </c>
      <c r="J455" s="12">
        <f>IFERROR(__xludf.DUMMYFUNCTION("""COMPUTED_VALUE"""),46137.0)</f>
        <v>46137</v>
      </c>
      <c r="K455" s="3" t="str">
        <f>IFERROR(__xludf.DUMMYFUNCTION("""COMPUTED_VALUE"""),"0800-1600")</f>
        <v>0800-1600</v>
      </c>
      <c r="L455" s="3">
        <f>IFERROR(__xludf.DUMMYFUNCTION("""COMPUTED_VALUE"""),8.0)</f>
        <v>8</v>
      </c>
      <c r="M45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5" s="14" t="str">
        <f>IFERROR(__xludf.DUMMYFUNCTION("""COMPUTED_VALUE"""),"https://lh5.googleusercontent.com/d/1XV_tdWKqfcMkHPZkcVvgq0BAkNcSn9dh")</f>
        <v>https://lh5.googleusercontent.com/d/1XV_tdWKqfcMkHPZkcVvgq0BAkNcSn9dh</v>
      </c>
      <c r="O455" s="14" t="str">
        <f>IFERROR(__xludf.DUMMYFUNCTION("""COMPUTED_VALUE"""),"https://drive.google.com/file/d/1S5L60LffHU9QcW6t0BahnAImgMGRpa0r/view?usp=drivesdk")</f>
        <v>https://drive.google.com/file/d/1S5L60LffHU9QcW6t0BahnAImgMGRpa0r/view?usp=drivesdk</v>
      </c>
    </row>
    <row r="456">
      <c r="A456" s="3">
        <f>IFERROR(__xludf.DUMMYFUNCTION("""COMPUTED_VALUE"""),2150.0)</f>
        <v>2150</v>
      </c>
      <c r="B456" s="11">
        <f>IFERROR(__xludf.DUMMYFUNCTION("""COMPUTED_VALUE"""),46162.886530312506)</f>
        <v>46162.88653</v>
      </c>
      <c r="C456" s="3" t="str">
        <f>IFERROR(__xludf.DUMMYFUNCTION("""COMPUTED_VALUE"""),"ชั้นปีที่ 1")</f>
        <v>ชั้นปีที่ 1</v>
      </c>
      <c r="D456" s="3" t="str">
        <f>IFERROR(__xludf.DUMMYFUNCTION("""COMPUTED_VALUE"""),"6803921")</f>
        <v>6803921</v>
      </c>
      <c r="E456" s="3" t="str">
        <f>IFERROR(__xludf.DUMMYFUNCTION("""COMPUTED_VALUE"""),"40")</f>
        <v>40</v>
      </c>
      <c r="F456" s="3" t="str">
        <f>IFERROR(__xludf.DUMMYFUNCTION("""COMPUTED_VALUE"""),"นพอ.พิชญาภรณ์ บุตรวัง")</f>
        <v>นพอ.พิชญาภรณ์ บุตรวัง</v>
      </c>
      <c r="G4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6" s="3" t="str">
        <f>IFERROR(__xludf.DUMMYFUNCTION("""COMPUTED_VALUE"""),"ค่ายเยาวชนพัฒนา ครั้งที่ 215")</f>
        <v>ค่ายเยาวชนพัฒนา ครั้งที่ 215</v>
      </c>
      <c r="I456" s="3" t="str">
        <f>IFERROR(__xludf.DUMMYFUNCTION("""COMPUTED_VALUE"""),"วัดสามบัณฑิต จ.อยุธยา")</f>
        <v>วัดสามบัณฑิต จ.อยุธยา</v>
      </c>
      <c r="J456" s="12">
        <f>IFERROR(__xludf.DUMMYFUNCTION("""COMPUTED_VALUE"""),46138.0)</f>
        <v>46138</v>
      </c>
      <c r="K456" s="3" t="str">
        <f>IFERROR(__xludf.DUMMYFUNCTION("""COMPUTED_VALUE"""),"0800-1600")</f>
        <v>0800-1600</v>
      </c>
      <c r="L456" s="3">
        <f>IFERROR(__xludf.DUMMYFUNCTION("""COMPUTED_VALUE"""),8.0)</f>
        <v>8</v>
      </c>
      <c r="M45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6" s="14" t="str">
        <f>IFERROR(__xludf.DUMMYFUNCTION("""COMPUTED_VALUE"""),"https://lh5.googleusercontent.com/d/1VNE-yYMrsfyDcqPYHASTM9gCJb7BEbOg")</f>
        <v>https://lh5.googleusercontent.com/d/1VNE-yYMrsfyDcqPYHASTM9gCJb7BEbOg</v>
      </c>
      <c r="O456" s="14" t="str">
        <f>IFERROR(__xludf.DUMMYFUNCTION("""COMPUTED_VALUE"""),"https://drive.google.com/file/d/1-KrQSfpcesFAzjGpteZVMWDPUEK15xfH/view?usp=drivesdk")</f>
        <v>https://drive.google.com/file/d/1-KrQSfpcesFAzjGpteZVMWDPUEK15xfH/view?usp=drivesdk</v>
      </c>
    </row>
    <row r="457">
      <c r="A457" s="3">
        <f>IFERROR(__xludf.DUMMYFUNCTION("""COMPUTED_VALUE"""),2151.0)</f>
        <v>2151</v>
      </c>
      <c r="B457" s="11">
        <f>IFERROR(__xludf.DUMMYFUNCTION("""COMPUTED_VALUE"""),46163.37106398148)</f>
        <v>46163.37106</v>
      </c>
      <c r="C457" s="3" t="str">
        <f>IFERROR(__xludf.DUMMYFUNCTION("""COMPUTED_VALUE"""),"ชั้นปีที่ 1")</f>
        <v>ชั้นปีที่ 1</v>
      </c>
      <c r="D457" s="3" t="str">
        <f>IFERROR(__xludf.DUMMYFUNCTION("""COMPUTED_VALUE"""),"6803888")</f>
        <v>6803888</v>
      </c>
      <c r="E457" s="3" t="str">
        <f>IFERROR(__xludf.DUMMYFUNCTION("""COMPUTED_VALUE"""),"7")</f>
        <v>7</v>
      </c>
      <c r="F457" s="3" t="str">
        <f>IFERROR(__xludf.DUMMYFUNCTION("""COMPUTED_VALUE"""),"กันต์ธิดา นาคทอง")</f>
        <v>กันต์ธิดา นาคทอง</v>
      </c>
      <c r="G457" s="3" t="str">
        <f>IFERROR(__xludf.DUMMYFUNCTION("""COMPUTED_VALUE"""),"ช่วยเหลืองานภายใน วพอ.")</f>
        <v>ช่วยเหลืองานภายใน วพอ.</v>
      </c>
      <c r="H457" s="3" t="str">
        <f>IFERROR(__xludf.DUMMYFUNCTION("""COMPUTED_VALUE"""),"ซ้อมงานพิธีมอบหมายพยาบาลวิชาชีพ ปีการศึกษา2568")</f>
        <v>ซ้อมงานพิธีมอบหมายพยาบาลวิชาชีพ ปีการศึกษา2568</v>
      </c>
      <c r="I457" s="3" t="str">
        <f>IFERROR(__xludf.DUMMYFUNCTION("""COMPUTED_VALUE"""),"วพอ.พอ.")</f>
        <v>วพอ.พอ.</v>
      </c>
      <c r="J457" s="12">
        <f>IFERROR(__xludf.DUMMYFUNCTION("""COMPUTED_VALUE"""),46138.0)</f>
        <v>46138</v>
      </c>
      <c r="K457" s="3" t="str">
        <f>IFERROR(__xludf.DUMMYFUNCTION("""COMPUTED_VALUE"""),"13.00")</f>
        <v>13.00</v>
      </c>
      <c r="L457" s="3">
        <f>IFERROR(__xludf.DUMMYFUNCTION("""COMPUTED_VALUE"""),8.0)</f>
        <v>8</v>
      </c>
      <c r="M457" s="3" t="str">
        <f>IFERROR(__xludf.DUMMYFUNCTION("""COMPUTED_VALUE"""),"ร.อ.อนุชิต ทำจะดี")</f>
        <v>ร.อ.อนุชิต ทำจะดี</v>
      </c>
      <c r="N457" s="14" t="str">
        <f>IFERROR(__xludf.DUMMYFUNCTION("""COMPUTED_VALUE"""),"https://lh5.googleusercontent.com/d/1uR3srLugQU0O41yWyay9AkCrxwvL0_qb")</f>
        <v>https://lh5.googleusercontent.com/d/1uR3srLugQU0O41yWyay9AkCrxwvL0_qb</v>
      </c>
      <c r="O457" s="14" t="str">
        <f>IFERROR(__xludf.DUMMYFUNCTION("""COMPUTED_VALUE"""),"https://drive.google.com/file/d/1v1k6o8h0sh8_CVHuA7lCkXPTXohOkaLK/view?usp=drivesdk")</f>
        <v>https://drive.google.com/file/d/1v1k6o8h0sh8_CVHuA7lCkXPTXohOkaLK/view?usp=drivesdk</v>
      </c>
    </row>
    <row r="458">
      <c r="A458" s="3">
        <f>IFERROR(__xludf.DUMMYFUNCTION("""COMPUTED_VALUE"""),2240.0)</f>
        <v>2240</v>
      </c>
      <c r="B458" s="11">
        <f>IFERROR(__xludf.DUMMYFUNCTION("""COMPUTED_VALUE"""),46167.58597730324)</f>
        <v>46167.58598</v>
      </c>
      <c r="C458" s="3" t="str">
        <f>IFERROR(__xludf.DUMMYFUNCTION("""COMPUTED_VALUE"""),"ชั้นปีที่ 1")</f>
        <v>ชั้นปีที่ 1</v>
      </c>
      <c r="D458" s="3" t="str">
        <f>IFERROR(__xludf.DUMMYFUNCTION("""COMPUTED_VALUE"""),"6803908")</f>
        <v>6803908</v>
      </c>
      <c r="E458" s="3" t="str">
        <f>IFERROR(__xludf.DUMMYFUNCTION("""COMPUTED_VALUE"""),"27")</f>
        <v>27</v>
      </c>
      <c r="F458" s="3" t="str">
        <f>IFERROR(__xludf.DUMMYFUNCTION("""COMPUTED_VALUE"""),"นพอ.นภัสสร บุญรัตน์")</f>
        <v>นพอ.นภัสสร บุญรัตน์</v>
      </c>
      <c r="G45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58" s="3" t="str">
        <f>IFERROR(__xludf.DUMMYFUNCTION("""COMPUTED_VALUE"""),"Youth Camp 2026 &amp; การคัดเลือกผู้แทนโรทาแรคท์ภาครับเลือกของภาค 3350 (DRRE)")</f>
        <v>Youth Camp 2026 &amp; การคัดเลือกผู้แทนโรทาแรคท์ภาครับเลือกของภาค 3350 (DRRE)</v>
      </c>
      <c r="I458" s="3" t="str">
        <f>IFERROR(__xludf.DUMMYFUNCTION("""COMPUTED_VALUE"""),"จี ฟาร์ม ตำบลกระแชง อำเภอสามโคก จังหวัดปทุมธานี")</f>
        <v>จี ฟาร์ม ตำบลกระแชง อำเภอสามโคก จังหวัดปทุมธานี</v>
      </c>
      <c r="J458" s="12">
        <f>IFERROR(__xludf.DUMMYFUNCTION("""COMPUTED_VALUE"""),46138.0)</f>
        <v>46138</v>
      </c>
      <c r="K458" s="3" t="str">
        <f>IFERROR(__xludf.DUMMYFUNCTION("""COMPUTED_VALUE"""),"0800-1600")</f>
        <v>0800-1600</v>
      </c>
      <c r="L458" s="3">
        <f>IFERROR(__xludf.DUMMYFUNCTION("""COMPUTED_VALUE"""),8.0)</f>
        <v>8</v>
      </c>
      <c r="M45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58" s="14" t="str">
        <f>IFERROR(__xludf.DUMMYFUNCTION("""COMPUTED_VALUE"""),"https://lh5.googleusercontent.com/d/1pr-PHd3raRL50_tmgseseb-Om4mqmduq")</f>
        <v>https://lh5.googleusercontent.com/d/1pr-PHd3raRL50_tmgseseb-Om4mqmduq</v>
      </c>
      <c r="O458" s="14" t="str">
        <f>IFERROR(__xludf.DUMMYFUNCTION("""COMPUTED_VALUE"""),"https://drive.google.com/file/d/1zAJx8OxtWXFThIKhsZv_clsVXW9u-iYS/view?usp=drivesdk")</f>
        <v>https://drive.google.com/file/d/1zAJx8OxtWXFThIKhsZv_clsVXW9u-iYS/view?usp=drivesdk</v>
      </c>
    </row>
    <row r="459">
      <c r="A459" s="3">
        <f>IFERROR(__xludf.DUMMYFUNCTION("""COMPUTED_VALUE"""),2241.0)</f>
        <v>2241</v>
      </c>
      <c r="B459" s="11">
        <f>IFERROR(__xludf.DUMMYFUNCTION("""COMPUTED_VALUE"""),46167.58666076389)</f>
        <v>46167.58666</v>
      </c>
      <c r="C459" s="3" t="str">
        <f>IFERROR(__xludf.DUMMYFUNCTION("""COMPUTED_VALUE"""),"ชั้นปีที่ 1")</f>
        <v>ชั้นปีที่ 1</v>
      </c>
      <c r="D459" s="3" t="str">
        <f>IFERROR(__xludf.DUMMYFUNCTION("""COMPUTED_VALUE"""),"6803929")</f>
        <v>6803929</v>
      </c>
      <c r="E459" s="3" t="str">
        <f>IFERROR(__xludf.DUMMYFUNCTION("""COMPUTED_VALUE"""),"48")</f>
        <v>48</v>
      </c>
      <c r="F459" s="3" t="str">
        <f>IFERROR(__xludf.DUMMYFUNCTION("""COMPUTED_VALUE"""),"นพอ.ยลภาม ลำดับวงพุฒิปาณ")</f>
        <v>นพอ.ยลภาม ลำดับวงพุฒิปาณ</v>
      </c>
      <c r="G459" s="3" t="str">
        <f>IFERROR(__xludf.DUMMYFUNCTION("""COMPUTED_VALUE"""),"ช่วยเหลืองานภายใน วพอ.")</f>
        <v>ช่วยเหลืองานภายใน วพอ.</v>
      </c>
      <c r="H459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59" s="3" t="str">
        <f>IFERROR(__xludf.DUMMYFUNCTION("""COMPUTED_VALUE"""),"อาคารสำนักงานชั้น4")</f>
        <v>อาคารสำนักงานชั้น4</v>
      </c>
      <c r="J459" s="12">
        <f>IFERROR(__xludf.DUMMYFUNCTION("""COMPUTED_VALUE"""),46147.0)</f>
        <v>46147</v>
      </c>
      <c r="K459" s="3" t="str">
        <f>IFERROR(__xludf.DUMMYFUNCTION("""COMPUTED_VALUE"""),"1500-1800")</f>
        <v>1500-1800</v>
      </c>
      <c r="L459" s="3">
        <f>IFERROR(__xludf.DUMMYFUNCTION("""COMPUTED_VALUE"""),3.0)</f>
        <v>3</v>
      </c>
      <c r="M459" s="3" t="str">
        <f>IFERROR(__xludf.DUMMYFUNCTION("""COMPUTED_VALUE"""),"น.ต.ศักชัย บุญประสิทธิ์")</f>
        <v>น.ต.ศักชัย บุญประสิทธิ์</v>
      </c>
      <c r="N459" s="14" t="str">
        <f>IFERROR(__xludf.DUMMYFUNCTION("""COMPUTED_VALUE"""),"https://lh5.googleusercontent.com/d/1ytB9VqvFGmztn_0RKrKS9qdsC-OVOlov")</f>
        <v>https://lh5.googleusercontent.com/d/1ytB9VqvFGmztn_0RKrKS9qdsC-OVOlov</v>
      </c>
      <c r="O459" s="14" t="str">
        <f>IFERROR(__xludf.DUMMYFUNCTION("""COMPUTED_VALUE"""),"https://drive.google.com/file/d/1XQ2_VJkD0EhzMbTbStXha2LIamVot4ZX/view?usp=drivesdk")</f>
        <v>https://drive.google.com/file/d/1XQ2_VJkD0EhzMbTbStXha2LIamVot4ZX/view?usp=drivesdk</v>
      </c>
    </row>
    <row r="460">
      <c r="A460" s="3">
        <f>IFERROR(__xludf.DUMMYFUNCTION("""COMPUTED_VALUE"""),2242.0)</f>
        <v>2242</v>
      </c>
      <c r="B460" s="11">
        <f>IFERROR(__xludf.DUMMYFUNCTION("""COMPUTED_VALUE"""),46167.58714265047)</f>
        <v>46167.58714</v>
      </c>
      <c r="C460" s="3" t="str">
        <f>IFERROR(__xludf.DUMMYFUNCTION("""COMPUTED_VALUE"""),"ชั้นปีที่ 1")</f>
        <v>ชั้นปีที่ 1</v>
      </c>
      <c r="D460" s="3" t="str">
        <f>IFERROR(__xludf.DUMMYFUNCTION("""COMPUTED_VALUE"""),"6803899")</f>
        <v>6803899</v>
      </c>
      <c r="E460" s="3" t="str">
        <f>IFERROR(__xludf.DUMMYFUNCTION("""COMPUTED_VALUE"""),"18")</f>
        <v>18</v>
      </c>
      <c r="F460" s="3" t="str">
        <f>IFERROR(__xludf.DUMMYFUNCTION("""COMPUTED_VALUE"""),"นพอ.ณัฐณิชา มีปา")</f>
        <v>นพอ.ณัฐณิชา มีปา</v>
      </c>
      <c r="G460" s="3" t="str">
        <f>IFERROR(__xludf.DUMMYFUNCTION("""COMPUTED_VALUE"""),"ช่วยเหลืองานภายใน วพอ.")</f>
        <v>ช่วยเหลืองานภายใน วพอ.</v>
      </c>
      <c r="H460" s="3" t="str">
        <f>IFERROR(__xludf.DUMMYFUNCTION("""COMPUTED_VALUE"""),"เก็บสถานที่สอบคัดเลือก นพอ.69")</f>
        <v>เก็บสถานที่สอบคัดเลือก นพอ.69</v>
      </c>
      <c r="I460" s="3" t="str">
        <f>IFERROR(__xludf.DUMMYFUNCTION("""COMPUTED_VALUE"""),"วิทยาลัยพยาบาลทหารอากาศ")</f>
        <v>วิทยาลัยพยาบาลทหารอากาศ</v>
      </c>
      <c r="J460" s="12">
        <f>IFERROR(__xludf.DUMMYFUNCTION("""COMPUTED_VALUE"""),46147.0)</f>
        <v>46147</v>
      </c>
      <c r="K460" s="3" t="str">
        <f>IFERROR(__xludf.DUMMYFUNCTION("""COMPUTED_VALUE"""),"1500-1800")</f>
        <v>1500-1800</v>
      </c>
      <c r="L460" s="3">
        <f>IFERROR(__xludf.DUMMYFUNCTION("""COMPUTED_VALUE"""),3.0)</f>
        <v>3</v>
      </c>
      <c r="M460" s="3" t="str">
        <f>IFERROR(__xludf.DUMMYFUNCTION("""COMPUTED_VALUE"""),"น.ต.ศักชัย บุญประสิทธิ์")</f>
        <v>น.ต.ศักชัย บุญประสิทธิ์</v>
      </c>
      <c r="N460" s="14" t="str">
        <f>IFERROR(__xludf.DUMMYFUNCTION("""COMPUTED_VALUE"""),"https://lh5.googleusercontent.com/d/1uo6TyGRhUyvfEJnJTN9zZUNcGm2MG45k")</f>
        <v>https://lh5.googleusercontent.com/d/1uo6TyGRhUyvfEJnJTN9zZUNcGm2MG45k</v>
      </c>
      <c r="O460" s="14" t="str">
        <f>IFERROR(__xludf.DUMMYFUNCTION("""COMPUTED_VALUE"""),"https://drive.google.com/file/d/1jgiXweM2qaJDIk16WKrql-8ZMM67crzW/view?usp=drivesdk")</f>
        <v>https://drive.google.com/file/d/1jgiXweM2qaJDIk16WKrql-8ZMM67crzW/view?usp=drivesdk</v>
      </c>
    </row>
    <row r="461">
      <c r="A461" s="3">
        <f>IFERROR(__xludf.DUMMYFUNCTION("""COMPUTED_VALUE"""),2243.0)</f>
        <v>2243</v>
      </c>
      <c r="B461" s="11">
        <f>IFERROR(__xludf.DUMMYFUNCTION("""COMPUTED_VALUE"""),46167.58785346065)</f>
        <v>46167.58785</v>
      </c>
      <c r="C461" s="3" t="str">
        <f>IFERROR(__xludf.DUMMYFUNCTION("""COMPUTED_VALUE"""),"ชั้นปีที่ 1")</f>
        <v>ชั้นปีที่ 1</v>
      </c>
      <c r="D461" s="3" t="str">
        <f>IFERROR(__xludf.DUMMYFUNCTION("""COMPUTED_VALUE"""),"6803898")</f>
        <v>6803898</v>
      </c>
      <c r="E461" s="3" t="str">
        <f>IFERROR(__xludf.DUMMYFUNCTION("""COMPUTED_VALUE"""),"17")</f>
        <v>17</v>
      </c>
      <c r="F461" s="3" t="str">
        <f>IFERROR(__xludf.DUMMYFUNCTION("""COMPUTED_VALUE"""),"นพอ.ณัฐณิชา ทิพย์โอสถ")</f>
        <v>นพอ.ณัฐณิชา ทิพย์โอสถ</v>
      </c>
      <c r="G461" s="3" t="str">
        <f>IFERROR(__xludf.DUMMYFUNCTION("""COMPUTED_VALUE"""),"ช่วยเหลืองานภายใน วพอ.")</f>
        <v>ช่วยเหลืองานภายใน วพอ.</v>
      </c>
      <c r="H461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1" s="3" t="str">
        <f>IFERROR(__xludf.DUMMYFUNCTION("""COMPUTED_VALUE"""),"อาคารสำนักงานชั้น 4")</f>
        <v>อาคารสำนักงานชั้น 4</v>
      </c>
      <c r="J461" s="12">
        <f>IFERROR(__xludf.DUMMYFUNCTION("""COMPUTED_VALUE"""),46147.0)</f>
        <v>46147</v>
      </c>
      <c r="K461" s="3" t="str">
        <f>IFERROR(__xludf.DUMMYFUNCTION("""COMPUTED_VALUE"""),"1500-1800")</f>
        <v>1500-1800</v>
      </c>
      <c r="L461" s="3">
        <f>IFERROR(__xludf.DUMMYFUNCTION("""COMPUTED_VALUE"""),3.0)</f>
        <v>3</v>
      </c>
      <c r="M461" s="3" t="str">
        <f>IFERROR(__xludf.DUMMYFUNCTION("""COMPUTED_VALUE"""),"น.ต.ศักชัย บุญประสิทธิ์")</f>
        <v>น.ต.ศักชัย บุญประสิทธิ์</v>
      </c>
      <c r="N461" s="14" t="str">
        <f>IFERROR(__xludf.DUMMYFUNCTION("""COMPUTED_VALUE"""),"https://lh5.googleusercontent.com/d/1fKB5i4VTY6xaBcO3feC4LEQ5GQZ7d4cO")</f>
        <v>https://lh5.googleusercontent.com/d/1fKB5i4VTY6xaBcO3feC4LEQ5GQZ7d4cO</v>
      </c>
      <c r="O461" s="14" t="str">
        <f>IFERROR(__xludf.DUMMYFUNCTION("""COMPUTED_VALUE"""),"https://drive.google.com/file/d/1xYoeSzcuS3-vGcy3lJFgP1v1CSpOSFiS/view?usp=drivesdk")</f>
        <v>https://drive.google.com/file/d/1xYoeSzcuS3-vGcy3lJFgP1v1CSpOSFiS/view?usp=drivesdk</v>
      </c>
    </row>
    <row r="462">
      <c r="A462" s="3">
        <f>IFERROR(__xludf.DUMMYFUNCTION("""COMPUTED_VALUE"""),2244.0)</f>
        <v>2244</v>
      </c>
      <c r="B462" s="11">
        <f>IFERROR(__xludf.DUMMYFUNCTION("""COMPUTED_VALUE"""),46167.587981666664)</f>
        <v>46167.58798</v>
      </c>
      <c r="C462" s="3" t="str">
        <f>IFERROR(__xludf.DUMMYFUNCTION("""COMPUTED_VALUE"""),"ชั้นปีที่ 1")</f>
        <v>ชั้นปีที่ 1</v>
      </c>
      <c r="D462" s="3" t="str">
        <f>IFERROR(__xludf.DUMMYFUNCTION("""COMPUTED_VALUE"""),"6803883")</f>
        <v>6803883</v>
      </c>
      <c r="E462" s="3" t="str">
        <f>IFERROR(__xludf.DUMMYFUNCTION("""COMPUTED_VALUE"""),"2")</f>
        <v>2</v>
      </c>
      <c r="F462" s="3" t="str">
        <f>IFERROR(__xludf.DUMMYFUNCTION("""COMPUTED_VALUE"""),"กรชนก หน่อทิม ")</f>
        <v>กรชนก หน่อทิม </v>
      </c>
      <c r="G462" s="3" t="str">
        <f>IFERROR(__xludf.DUMMYFUNCTION("""COMPUTED_VALUE"""),"ช่วยเหลืองานภายใน วพอ.")</f>
        <v>ช่วยเหลืองานภายใน วพอ.</v>
      </c>
      <c r="H462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2" s="3" t="str">
        <f>IFERROR(__xludf.DUMMYFUNCTION("""COMPUTED_VALUE"""),"วพอ.พอ.")</f>
        <v>วพอ.พอ.</v>
      </c>
      <c r="J462" s="12">
        <f>IFERROR(__xludf.DUMMYFUNCTION("""COMPUTED_VALUE"""),46147.0)</f>
        <v>46147</v>
      </c>
      <c r="K462" s="3" t="str">
        <f>IFERROR(__xludf.DUMMYFUNCTION("""COMPUTED_VALUE"""),"1500-1800")</f>
        <v>1500-1800</v>
      </c>
      <c r="L462" s="3">
        <f>IFERROR(__xludf.DUMMYFUNCTION("""COMPUTED_VALUE"""),3.0)</f>
        <v>3</v>
      </c>
      <c r="M462" s="3" t="str">
        <f>IFERROR(__xludf.DUMMYFUNCTION("""COMPUTED_VALUE"""),"น.ต.ศักชัย บุญประสิทธิ์")</f>
        <v>น.ต.ศักชัย บุญประสิทธิ์</v>
      </c>
      <c r="N462" s="14" t="str">
        <f>IFERROR(__xludf.DUMMYFUNCTION("""COMPUTED_VALUE"""),"https://lh5.googleusercontent.com/d/1QOm-rEBuiA63ZKEDWfnbpqsbCq__GyL6")</f>
        <v>https://lh5.googleusercontent.com/d/1QOm-rEBuiA63ZKEDWfnbpqsbCq__GyL6</v>
      </c>
      <c r="O462" s="14" t="str">
        <f>IFERROR(__xludf.DUMMYFUNCTION("""COMPUTED_VALUE"""),"https://drive.google.com/file/d/1kYh219Zer6A6ddh5qbWi3M6s0iwszquz/view?usp=drivesdk")</f>
        <v>https://drive.google.com/file/d/1kYh219Zer6A6ddh5qbWi3M6s0iwszquz/view?usp=drivesdk</v>
      </c>
    </row>
    <row r="463">
      <c r="A463" s="3">
        <f>IFERROR(__xludf.DUMMYFUNCTION("""COMPUTED_VALUE"""),2245.0)</f>
        <v>2245</v>
      </c>
      <c r="B463" s="11">
        <f>IFERROR(__xludf.DUMMYFUNCTION("""COMPUTED_VALUE"""),46167.58896555556)</f>
        <v>46167.58897</v>
      </c>
      <c r="C463" s="3" t="str">
        <f>IFERROR(__xludf.DUMMYFUNCTION("""COMPUTED_VALUE"""),"ชั้นปีที่ 1")</f>
        <v>ชั้นปีที่ 1</v>
      </c>
      <c r="D463" s="3" t="str">
        <f>IFERROR(__xludf.DUMMYFUNCTION("""COMPUTED_VALUE"""),"6803915")</f>
        <v>6803915</v>
      </c>
      <c r="E463" s="3" t="str">
        <f>IFERROR(__xludf.DUMMYFUNCTION("""COMPUTED_VALUE"""),"34")</f>
        <v>34</v>
      </c>
      <c r="F463" s="3" t="str">
        <f>IFERROR(__xludf.DUMMYFUNCTION("""COMPUTED_VALUE"""),"นพอ.ปัญชลีย์ ชื่นสวัสดิ์")</f>
        <v>นพอ.ปัญชลีย์ ชื่นสวัสดิ์</v>
      </c>
      <c r="G463" s="3" t="str">
        <f>IFERROR(__xludf.DUMMYFUNCTION("""COMPUTED_VALUE"""),"ช่วยเหลืองานภายใน วพอ.")</f>
        <v>ช่วยเหลืองานภายใน วพอ.</v>
      </c>
      <c r="H463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3" s="3" t="str">
        <f>IFERROR(__xludf.DUMMYFUNCTION("""COMPUTED_VALUE"""),"อาคารสำนักงานชั้น 4")</f>
        <v>อาคารสำนักงานชั้น 4</v>
      </c>
      <c r="J463" s="12">
        <f>IFERROR(__xludf.DUMMYFUNCTION("""COMPUTED_VALUE"""),46147.0)</f>
        <v>46147</v>
      </c>
      <c r="K463" s="3" t="str">
        <f>IFERROR(__xludf.DUMMYFUNCTION("""COMPUTED_VALUE"""),"1500-1800")</f>
        <v>1500-1800</v>
      </c>
      <c r="L463" s="3">
        <f>IFERROR(__xludf.DUMMYFUNCTION("""COMPUTED_VALUE"""),3.0)</f>
        <v>3</v>
      </c>
      <c r="M463" s="3" t="str">
        <f>IFERROR(__xludf.DUMMYFUNCTION("""COMPUTED_VALUE"""),"น.ต.ศักชัย บุญประสิทธิ์")</f>
        <v>น.ต.ศักชัย บุญประสิทธิ์</v>
      </c>
      <c r="N463" s="14" t="str">
        <f>IFERROR(__xludf.DUMMYFUNCTION("""COMPUTED_VALUE"""),"https://lh5.googleusercontent.com/d/1meH1kPxMyoxYQMRsB0mxwvX87XRq0qC6")</f>
        <v>https://lh5.googleusercontent.com/d/1meH1kPxMyoxYQMRsB0mxwvX87XRq0qC6</v>
      </c>
      <c r="O463" s="14" t="str">
        <f>IFERROR(__xludf.DUMMYFUNCTION("""COMPUTED_VALUE"""),"https://drive.google.com/file/d/1ZdAqmW1e4UshHQtubPnyRiQ8F-uVQO0x/view?usp=drivesdk")</f>
        <v>https://drive.google.com/file/d/1ZdAqmW1e4UshHQtubPnyRiQ8F-uVQO0x/view?usp=drivesdk</v>
      </c>
    </row>
    <row r="464">
      <c r="A464" s="3">
        <f>IFERROR(__xludf.DUMMYFUNCTION("""COMPUTED_VALUE"""),2246.0)</f>
        <v>2246</v>
      </c>
      <c r="B464" s="11">
        <f>IFERROR(__xludf.DUMMYFUNCTION("""COMPUTED_VALUE"""),46167.58902969908)</f>
        <v>46167.58903</v>
      </c>
      <c r="C464" s="3" t="str">
        <f>IFERROR(__xludf.DUMMYFUNCTION("""COMPUTED_VALUE"""),"ชั้นปีที่ 1")</f>
        <v>ชั้นปีที่ 1</v>
      </c>
      <c r="D464" s="3" t="str">
        <f>IFERROR(__xludf.DUMMYFUNCTION("""COMPUTED_VALUE"""),"6803907")</f>
        <v>6803907</v>
      </c>
      <c r="E464" s="3" t="str">
        <f>IFERROR(__xludf.DUMMYFUNCTION("""COMPUTED_VALUE"""),"26")</f>
        <v>26</v>
      </c>
      <c r="F464" s="3" t="str">
        <f>IFERROR(__xludf.DUMMYFUNCTION("""COMPUTED_VALUE"""),"นพอ.ธีราพร  ประสิทธิภาพ")</f>
        <v>นพอ.ธีราพร  ประสิทธิภาพ</v>
      </c>
      <c r="G464" s="3" t="str">
        <f>IFERROR(__xludf.DUMMYFUNCTION("""COMPUTED_VALUE"""),"ช่วยเหลืองานภายใน วพอ.")</f>
        <v>ช่วยเหลืองานภายใน วพอ.</v>
      </c>
      <c r="H464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4" s="3" t="str">
        <f>IFERROR(__xludf.DUMMYFUNCTION("""COMPUTED_VALUE"""),"อาคารสำนักงานชั้น 4")</f>
        <v>อาคารสำนักงานชั้น 4</v>
      </c>
      <c r="J464" s="12">
        <f>IFERROR(__xludf.DUMMYFUNCTION("""COMPUTED_VALUE"""),46147.0)</f>
        <v>46147</v>
      </c>
      <c r="K464" s="3" t="str">
        <f>IFERROR(__xludf.DUMMYFUNCTION("""COMPUTED_VALUE"""),"15:00-18:00")</f>
        <v>15:00-18:00</v>
      </c>
      <c r="L464" s="3">
        <f>IFERROR(__xludf.DUMMYFUNCTION("""COMPUTED_VALUE"""),3.0)</f>
        <v>3</v>
      </c>
      <c r="M464" s="3" t="str">
        <f>IFERROR(__xludf.DUMMYFUNCTION("""COMPUTED_VALUE"""),"น.ต.ศักชัย บุญประสิทธิ์")</f>
        <v>น.ต.ศักชัย บุญประสิทธิ์</v>
      </c>
      <c r="N464" s="14" t="str">
        <f>IFERROR(__xludf.DUMMYFUNCTION("""COMPUTED_VALUE"""),"https://lh5.googleusercontent.com/d/11MFEVSkUMgAmFjeLW-O861yxDHU0tKu3")</f>
        <v>https://lh5.googleusercontent.com/d/11MFEVSkUMgAmFjeLW-O861yxDHU0tKu3</v>
      </c>
      <c r="O464" s="14" t="str">
        <f>IFERROR(__xludf.DUMMYFUNCTION("""COMPUTED_VALUE"""),"https://drive.google.com/file/d/182xxxv7pOzB6UJXDWQVsHSbGAXFHu65B/view?usp=drivesdk")</f>
        <v>https://drive.google.com/file/d/182xxxv7pOzB6UJXDWQVsHSbGAXFHu65B/view?usp=drivesdk</v>
      </c>
    </row>
    <row r="465">
      <c r="A465" s="3">
        <f>IFERROR(__xludf.DUMMYFUNCTION("""COMPUTED_VALUE"""),2247.0)</f>
        <v>2247</v>
      </c>
      <c r="B465" s="11">
        <f>IFERROR(__xludf.DUMMYFUNCTION("""COMPUTED_VALUE"""),46167.58944127315)</f>
        <v>46167.58944</v>
      </c>
      <c r="C465" s="3" t="str">
        <f>IFERROR(__xludf.DUMMYFUNCTION("""COMPUTED_VALUE"""),"ชั้นปีที่ 1")</f>
        <v>ชั้นปีที่ 1</v>
      </c>
      <c r="D465" s="3" t="str">
        <f>IFERROR(__xludf.DUMMYFUNCTION("""COMPUTED_VALUE"""),"6803917")</f>
        <v>6803917</v>
      </c>
      <c r="E465" s="3" t="str">
        <f>IFERROR(__xludf.DUMMYFUNCTION("""COMPUTED_VALUE"""),"36")</f>
        <v>36</v>
      </c>
      <c r="F465" s="3" t="str">
        <f>IFERROR(__xludf.DUMMYFUNCTION("""COMPUTED_VALUE"""),"นพอ.ไปรยา อิ่มเหว่า")</f>
        <v>นพอ.ไปรยา อิ่มเหว่า</v>
      </c>
      <c r="G46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5" s="3" t="str">
        <f>IFERROR(__xludf.DUMMYFUNCTION("""COMPUTED_VALUE"""),"Youth Camp 2026 &amp; การคัดเลือกผู้แทนโรทาแรคท์ภาครับเลือก ของภาค 3350 (DRRE)")</f>
        <v>Youth Camp 2026 &amp; การคัดเลือกผู้แทนโรทาแรคท์ภาครับเลือก ของภาค 3350 (DRRE)</v>
      </c>
      <c r="I465" s="3" t="str">
        <f>IFERROR(__xludf.DUMMYFUNCTION("""COMPUTED_VALUE"""),"จี ฟาร์ม ตำบลกระแชง อำเภอสามโคก จังหวัดปทุมธานี")</f>
        <v>จี ฟาร์ม ตำบลกระแชง อำเภอสามโคก จังหวัดปทุมธานี</v>
      </c>
      <c r="J465" s="12">
        <f>IFERROR(__xludf.DUMMYFUNCTION("""COMPUTED_VALUE"""),46138.0)</f>
        <v>46138</v>
      </c>
      <c r="K465" s="3" t="str">
        <f>IFERROR(__xludf.DUMMYFUNCTION("""COMPUTED_VALUE"""),"0800-1600")</f>
        <v>0800-1600</v>
      </c>
      <c r="L465" s="3">
        <f>IFERROR(__xludf.DUMMYFUNCTION("""COMPUTED_VALUE"""),8.0)</f>
        <v>8</v>
      </c>
      <c r="M46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5" s="14" t="str">
        <f>IFERROR(__xludf.DUMMYFUNCTION("""COMPUTED_VALUE"""),"https://lh5.googleusercontent.com/d/11uhbUOwlw25K2Bv8WuiX89rKnvSP20uo")</f>
        <v>https://lh5.googleusercontent.com/d/11uhbUOwlw25K2Bv8WuiX89rKnvSP20uo</v>
      </c>
      <c r="O465" s="14" t="str">
        <f>IFERROR(__xludf.DUMMYFUNCTION("""COMPUTED_VALUE"""),"https://drive.google.com/file/d/1gH9qhBydMajBUKaK9-wc7yQRhd4iV4RN/view?usp=drivesdk")</f>
        <v>https://drive.google.com/file/d/1gH9qhBydMajBUKaK9-wc7yQRhd4iV4RN/view?usp=drivesdk</v>
      </c>
    </row>
    <row r="466">
      <c r="A466" s="3">
        <f>IFERROR(__xludf.DUMMYFUNCTION("""COMPUTED_VALUE"""),2248.0)</f>
        <v>2248</v>
      </c>
      <c r="B466" s="11">
        <f>IFERROR(__xludf.DUMMYFUNCTION("""COMPUTED_VALUE"""),46167.59020601852)</f>
        <v>46167.59021</v>
      </c>
      <c r="C466" s="3" t="str">
        <f>IFERROR(__xludf.DUMMYFUNCTION("""COMPUTED_VALUE"""),"ชั้นปีที่ 1")</f>
        <v>ชั้นปีที่ 1</v>
      </c>
      <c r="D466" s="3" t="str">
        <f>IFERROR(__xludf.DUMMYFUNCTION("""COMPUTED_VALUE"""),"6803898")</f>
        <v>6803898</v>
      </c>
      <c r="E466" s="3" t="str">
        <f>IFERROR(__xludf.DUMMYFUNCTION("""COMPUTED_VALUE"""),"17")</f>
        <v>17</v>
      </c>
      <c r="F466" s="3" t="str">
        <f>IFERROR(__xludf.DUMMYFUNCTION("""COMPUTED_VALUE"""),"นพอ.ณัฐณิชา ทิพย์โอสถ")</f>
        <v>นพอ.ณัฐณิชา ทิพย์โอสถ</v>
      </c>
      <c r="G4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66" s="3" t="str">
        <f>IFERROR(__xludf.DUMMYFUNCTION("""COMPUTED_VALUE"""),"ค่ายเยาวชนพัฒนา ครั้งที่ 215")</f>
        <v>ค่ายเยาวชนพัฒนา ครั้งที่ 215</v>
      </c>
      <c r="I466" s="3" t="str">
        <f>IFERROR(__xludf.DUMMYFUNCTION("""COMPUTED_VALUE"""),"วัดสามบัณฑิต จ.อยุธยา")</f>
        <v>วัดสามบัณฑิต จ.อยุธยา</v>
      </c>
      <c r="J466" s="12">
        <f>IFERROR(__xludf.DUMMYFUNCTION("""COMPUTED_VALUE"""),46136.0)</f>
        <v>46136</v>
      </c>
      <c r="K466" s="3" t="str">
        <f>IFERROR(__xludf.DUMMYFUNCTION("""COMPUTED_VALUE"""),"1600-2400")</f>
        <v>1600-2400</v>
      </c>
      <c r="L466" s="3">
        <f>IFERROR(__xludf.DUMMYFUNCTION("""COMPUTED_VALUE"""),8.0)</f>
        <v>8</v>
      </c>
      <c r="M46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66" s="14" t="str">
        <f>IFERROR(__xludf.DUMMYFUNCTION("""COMPUTED_VALUE"""),"https://lh5.googleusercontent.com/d/19QFvV6kWDEmUUljjxtLsCs_CQ6rbHn0h")</f>
        <v>https://lh5.googleusercontent.com/d/19QFvV6kWDEmUUljjxtLsCs_CQ6rbHn0h</v>
      </c>
      <c r="O466" s="14" t="str">
        <f>IFERROR(__xludf.DUMMYFUNCTION("""COMPUTED_VALUE"""),"https://drive.google.com/file/d/1RZXPKV971TymVwLQO2YeTwHOBKnVn1Qe/view?usp=drivesdk")</f>
        <v>https://drive.google.com/file/d/1RZXPKV971TymVwLQO2YeTwHOBKnVn1Qe/view?usp=drivesdk</v>
      </c>
    </row>
    <row r="467">
      <c r="A467" s="3">
        <f>IFERROR(__xludf.DUMMYFUNCTION("""COMPUTED_VALUE"""),2249.0)</f>
        <v>2249</v>
      </c>
      <c r="B467" s="11">
        <f>IFERROR(__xludf.DUMMYFUNCTION("""COMPUTED_VALUE"""),46167.59029659722)</f>
        <v>46167.5903</v>
      </c>
      <c r="C467" s="3" t="str">
        <f>IFERROR(__xludf.DUMMYFUNCTION("""COMPUTED_VALUE"""),"ชั้นปีที่ 1")</f>
        <v>ชั้นปีที่ 1</v>
      </c>
      <c r="D467" s="3" t="str">
        <f>IFERROR(__xludf.DUMMYFUNCTION("""COMPUTED_VALUE"""),"6803922")</f>
        <v>6803922</v>
      </c>
      <c r="E467" s="3" t="str">
        <f>IFERROR(__xludf.DUMMYFUNCTION("""COMPUTED_VALUE"""),"41")</f>
        <v>41</v>
      </c>
      <c r="F467" s="3" t="str">
        <f>IFERROR(__xludf.DUMMYFUNCTION("""COMPUTED_VALUE"""),"นพอ.พินิษา อินทร์ศวร")</f>
        <v>นพอ.พินิษา อินทร์ศวร</v>
      </c>
      <c r="G467" s="3" t="str">
        <f>IFERROR(__xludf.DUMMYFUNCTION("""COMPUTED_VALUE"""),"ช่วยเหลืองานภายใน วพอ.")</f>
        <v>ช่วยเหลืองานภายใน วพอ.</v>
      </c>
      <c r="H467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7" s="3" t="str">
        <f>IFERROR(__xludf.DUMMYFUNCTION("""COMPUTED_VALUE"""),"อาคารสํานักงานชั้น4")</f>
        <v>อาคารสํานักงานชั้น4</v>
      </c>
      <c r="J467" s="12">
        <f>IFERROR(__xludf.DUMMYFUNCTION("""COMPUTED_VALUE"""),46147.0)</f>
        <v>46147</v>
      </c>
      <c r="K467" s="3" t="str">
        <f>IFERROR(__xludf.DUMMYFUNCTION("""COMPUTED_VALUE"""),"15.00-18.00")</f>
        <v>15.00-18.00</v>
      </c>
      <c r="L467" s="3">
        <f>IFERROR(__xludf.DUMMYFUNCTION("""COMPUTED_VALUE"""),3.0)</f>
        <v>3</v>
      </c>
      <c r="M467" s="3" t="str">
        <f>IFERROR(__xludf.DUMMYFUNCTION("""COMPUTED_VALUE""")," น.ต.ศักชัย บุญประสิทธิ์")</f>
        <v> น.ต.ศักชัย บุญประสิทธิ์</v>
      </c>
      <c r="N467" s="14" t="str">
        <f>IFERROR(__xludf.DUMMYFUNCTION("""COMPUTED_VALUE"""),"https://lh5.googleusercontent.com/d/1p2mwxVF6wWmnFKtNSJNfiU5E7jTsITgG")</f>
        <v>https://lh5.googleusercontent.com/d/1p2mwxVF6wWmnFKtNSJNfiU5E7jTsITgG</v>
      </c>
      <c r="O467" s="14" t="str">
        <f>IFERROR(__xludf.DUMMYFUNCTION("""COMPUTED_VALUE"""),"https://drive.google.com/file/d/1gKv9O9cuWtfGvQVTsbD-c-qtjCA7BA7z/view?usp=drivesdk")</f>
        <v>https://drive.google.com/file/d/1gKv9O9cuWtfGvQVTsbD-c-qtjCA7BA7z/view?usp=drivesdk</v>
      </c>
    </row>
    <row r="468">
      <c r="A468" s="3">
        <f>IFERROR(__xludf.DUMMYFUNCTION("""COMPUTED_VALUE"""),2250.0)</f>
        <v>2250</v>
      </c>
      <c r="B468" s="11">
        <f>IFERROR(__xludf.DUMMYFUNCTION("""COMPUTED_VALUE"""),46167.59157827546)</f>
        <v>46167.59158</v>
      </c>
      <c r="C468" s="3" t="str">
        <f>IFERROR(__xludf.DUMMYFUNCTION("""COMPUTED_VALUE"""),"ชั้นปีที่ 1")</f>
        <v>ชั้นปีที่ 1</v>
      </c>
      <c r="D468" s="3" t="str">
        <f>IFERROR(__xludf.DUMMYFUNCTION("""COMPUTED_VALUE"""),"6803940")</f>
        <v>6803940</v>
      </c>
      <c r="E468" s="3" t="str">
        <f>IFERROR(__xludf.DUMMYFUNCTION("""COMPUTED_VALUE"""),"59")</f>
        <v>59</v>
      </c>
      <c r="F468" s="3" t="str">
        <f>IFERROR(__xludf.DUMMYFUNCTION("""COMPUTED_VALUE"""),"หฤทชนัน อุทกัง")</f>
        <v>หฤทชนัน อุทกัง</v>
      </c>
      <c r="G468" s="3" t="str">
        <f>IFERROR(__xludf.DUMMYFUNCTION("""COMPUTED_VALUE"""),"ช่วยเหลืองานภายใน วพอ.")</f>
        <v>ช่วยเหลืองานภายใน วพอ.</v>
      </c>
      <c r="H468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8" s="3" t="str">
        <f>IFERROR(__xludf.DUMMYFUNCTION("""COMPUTED_VALUE"""),"อาคารสำนักงานชั้น 4")</f>
        <v>อาคารสำนักงานชั้น 4</v>
      </c>
      <c r="J468" s="12">
        <f>IFERROR(__xludf.DUMMYFUNCTION("""COMPUTED_VALUE"""),46147.0)</f>
        <v>46147</v>
      </c>
      <c r="K468" s="3" t="str">
        <f>IFERROR(__xludf.DUMMYFUNCTION("""COMPUTED_VALUE"""),"1500 - 1800")</f>
        <v>1500 - 1800</v>
      </c>
      <c r="L468" s="3">
        <f>IFERROR(__xludf.DUMMYFUNCTION("""COMPUTED_VALUE"""),3.0)</f>
        <v>3</v>
      </c>
      <c r="M468" s="3" t="str">
        <f>IFERROR(__xludf.DUMMYFUNCTION("""COMPUTED_VALUE"""),"น.ต.ศักชัย บุญประสิทธิ์")</f>
        <v>น.ต.ศักชัย บุญประสิทธิ์</v>
      </c>
      <c r="N468" s="14" t="str">
        <f>IFERROR(__xludf.DUMMYFUNCTION("""COMPUTED_VALUE"""),"https://lh5.googleusercontent.com/d/1il7TnyNGLOO2XlM5c6x4L1taKlci8B5Y")</f>
        <v>https://lh5.googleusercontent.com/d/1il7TnyNGLOO2XlM5c6x4L1taKlci8B5Y</v>
      </c>
      <c r="O468" s="14" t="str">
        <f>IFERROR(__xludf.DUMMYFUNCTION("""COMPUTED_VALUE"""),"https://drive.google.com/file/d/1a63IUdZx5VW6dKKT9dYakCVjdZpFFRrx/view?usp=drivesdk")</f>
        <v>https://drive.google.com/file/d/1a63IUdZx5VW6dKKT9dYakCVjdZpFFRrx/view?usp=drivesdk</v>
      </c>
    </row>
    <row r="469">
      <c r="A469" s="3">
        <f>IFERROR(__xludf.DUMMYFUNCTION("""COMPUTED_VALUE"""),2251.0)</f>
        <v>2251</v>
      </c>
      <c r="B469" s="11">
        <f>IFERROR(__xludf.DUMMYFUNCTION("""COMPUTED_VALUE"""),46167.591757650465)</f>
        <v>46167.59176</v>
      </c>
      <c r="C469" s="3" t="str">
        <f>IFERROR(__xludf.DUMMYFUNCTION("""COMPUTED_VALUE"""),"ชั้นปีที่ 1")</f>
        <v>ชั้นปีที่ 1</v>
      </c>
      <c r="D469" s="3" t="str">
        <f>IFERROR(__xludf.DUMMYFUNCTION("""COMPUTED_VALUE"""),"6803901")</f>
        <v>6803901</v>
      </c>
      <c r="E469" s="3" t="str">
        <f>IFERROR(__xludf.DUMMYFUNCTION("""COMPUTED_VALUE"""),"20")</f>
        <v>20</v>
      </c>
      <c r="F469" s="3" t="str">
        <f>IFERROR(__xludf.DUMMYFUNCTION("""COMPUTED_VALUE"""),"นพอ.ณัฐริกา วัฒนสมบัติ")</f>
        <v>นพอ.ณัฐริกา วัฒนสมบัติ</v>
      </c>
      <c r="G469" s="3" t="str">
        <f>IFERROR(__xludf.DUMMYFUNCTION("""COMPUTED_VALUE"""),"ช่วยเหลืองานภายใน วพอ.")</f>
        <v>ช่วยเหลืองานภายใน วพอ.</v>
      </c>
      <c r="H469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69" s="3" t="str">
        <f>IFERROR(__xludf.DUMMYFUNCTION("""COMPUTED_VALUE"""),"อาคารสำนักงานชั้น 4")</f>
        <v>อาคารสำนักงานชั้น 4</v>
      </c>
      <c r="J469" s="12">
        <f>IFERROR(__xludf.DUMMYFUNCTION("""COMPUTED_VALUE"""),46147.0)</f>
        <v>46147</v>
      </c>
      <c r="K469" s="3" t="str">
        <f>IFERROR(__xludf.DUMMYFUNCTION("""COMPUTED_VALUE"""),"1500-1800")</f>
        <v>1500-1800</v>
      </c>
      <c r="L469" s="3">
        <f>IFERROR(__xludf.DUMMYFUNCTION("""COMPUTED_VALUE"""),3.0)</f>
        <v>3</v>
      </c>
      <c r="M469" s="3" t="str">
        <f>IFERROR(__xludf.DUMMYFUNCTION("""COMPUTED_VALUE"""),"น.ต.ศักชัย บุญประสิทธิ์")</f>
        <v>น.ต.ศักชัย บุญประสิทธิ์</v>
      </c>
      <c r="N469" s="14" t="str">
        <f>IFERROR(__xludf.DUMMYFUNCTION("""COMPUTED_VALUE"""),"https://lh5.googleusercontent.com/d/1Za74XXjgETQeC2zyb9g-LcNffc9rnFgE")</f>
        <v>https://lh5.googleusercontent.com/d/1Za74XXjgETQeC2zyb9g-LcNffc9rnFgE</v>
      </c>
      <c r="O469" s="14" t="str">
        <f>IFERROR(__xludf.DUMMYFUNCTION("""COMPUTED_VALUE"""),"https://drive.google.com/file/d/1xyiLgHajiWDshl2v4TpnrOyNs1b6Evfc/view?usp=drivesdk")</f>
        <v>https://drive.google.com/file/d/1xyiLgHajiWDshl2v4TpnrOyNs1b6Evfc/view?usp=drivesdk</v>
      </c>
    </row>
    <row r="470">
      <c r="A470" s="3">
        <f>IFERROR(__xludf.DUMMYFUNCTION("""COMPUTED_VALUE"""),2252.0)</f>
        <v>2252</v>
      </c>
      <c r="B470" s="11">
        <f>IFERROR(__xludf.DUMMYFUNCTION("""COMPUTED_VALUE"""),46167.59195856481)</f>
        <v>46167.59196</v>
      </c>
      <c r="C470" s="3" t="str">
        <f>IFERROR(__xludf.DUMMYFUNCTION("""COMPUTED_VALUE"""),"ชั้นปีที่ 1")</f>
        <v>ชั้นปีที่ 1</v>
      </c>
      <c r="D470" s="3" t="str">
        <f>IFERROR(__xludf.DUMMYFUNCTION("""COMPUTED_VALUE"""),"6803898")</f>
        <v>6803898</v>
      </c>
      <c r="E470" s="3" t="str">
        <f>IFERROR(__xludf.DUMMYFUNCTION("""COMPUTED_VALUE"""),"17")</f>
        <v>17</v>
      </c>
      <c r="F470" s="3" t="str">
        <f>IFERROR(__xludf.DUMMYFUNCTION("""COMPUTED_VALUE"""),"นพอ.ณัฐณิชา ทิพย์โอสถ")</f>
        <v>นพอ.ณัฐณิชา ทิพย์โอสถ</v>
      </c>
      <c r="G47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0" s="3" t="str">
        <f>IFERROR(__xludf.DUMMYFUNCTION("""COMPUTED_VALUE"""),"ค่ายเยาวชนพัฒนา ครั้งที่ 215")</f>
        <v>ค่ายเยาวชนพัฒนา ครั้งที่ 215</v>
      </c>
      <c r="I470" s="3" t="str">
        <f>IFERROR(__xludf.DUMMYFUNCTION("""COMPUTED_VALUE"""),"วัดสามบัณฑิต จ.อยุธยา")</f>
        <v>วัดสามบัณฑิต จ.อยุธยา</v>
      </c>
      <c r="J470" s="12">
        <f>IFERROR(__xludf.DUMMYFUNCTION("""COMPUTED_VALUE"""),46137.0)</f>
        <v>46137</v>
      </c>
      <c r="K470" s="3" t="str">
        <f>IFERROR(__xludf.DUMMYFUNCTION("""COMPUTED_VALUE"""),"0800-1600")</f>
        <v>0800-1600</v>
      </c>
      <c r="L470" s="3">
        <f>IFERROR(__xludf.DUMMYFUNCTION("""COMPUTED_VALUE"""),8.0)</f>
        <v>8</v>
      </c>
      <c r="M47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70" s="14" t="str">
        <f>IFERROR(__xludf.DUMMYFUNCTION("""COMPUTED_VALUE"""),"https://lh5.googleusercontent.com/d/1PzIKWcyLQn8oSlVx2ycPdDv8LMwLg2cl")</f>
        <v>https://lh5.googleusercontent.com/d/1PzIKWcyLQn8oSlVx2ycPdDv8LMwLg2cl</v>
      </c>
      <c r="O470" s="14" t="str">
        <f>IFERROR(__xludf.DUMMYFUNCTION("""COMPUTED_VALUE"""),"https://drive.google.com/file/d/1eTdXtgtms7cFYX1TeeiWICgrLWOplpQu/view?usp=drivesdk")</f>
        <v>https://drive.google.com/file/d/1eTdXtgtms7cFYX1TeeiWICgrLWOplpQu/view?usp=drivesdk</v>
      </c>
    </row>
    <row r="471">
      <c r="A471" s="3">
        <f>IFERROR(__xludf.DUMMYFUNCTION("""COMPUTED_VALUE"""),2253.0)</f>
        <v>2253</v>
      </c>
      <c r="B471" s="11">
        <f>IFERROR(__xludf.DUMMYFUNCTION("""COMPUTED_VALUE"""),46167.59332446759)</f>
        <v>46167.59332</v>
      </c>
      <c r="C471" s="3" t="str">
        <f>IFERROR(__xludf.DUMMYFUNCTION("""COMPUTED_VALUE"""),"ชั้นปีที่ 1")</f>
        <v>ชั้นปีที่ 1</v>
      </c>
      <c r="D471" s="3" t="str">
        <f>IFERROR(__xludf.DUMMYFUNCTION("""COMPUTED_VALUE"""),"6803898")</f>
        <v>6803898</v>
      </c>
      <c r="E471" s="3" t="str">
        <f>IFERROR(__xludf.DUMMYFUNCTION("""COMPUTED_VALUE"""),"17")</f>
        <v>17</v>
      </c>
      <c r="F471" s="3" t="str">
        <f>IFERROR(__xludf.DUMMYFUNCTION("""COMPUTED_VALUE"""),"นพอ.ณัฐณิชา ทิพย์โอสถ")</f>
        <v>นพอ.ณัฐณิชา ทิพย์โอสถ</v>
      </c>
      <c r="G47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1" s="3" t="str">
        <f>IFERROR(__xludf.DUMMYFUNCTION("""COMPUTED_VALUE"""),"ค่ายเยาวชนพัฒนา ครั้งที่ 215")</f>
        <v>ค่ายเยาวชนพัฒนา ครั้งที่ 215</v>
      </c>
      <c r="I471" s="3" t="str">
        <f>IFERROR(__xludf.DUMMYFUNCTION("""COMPUTED_VALUE"""),"วัดสามบัณฑิต จ.อยุธยา")</f>
        <v>วัดสามบัณฑิต จ.อยุธยา</v>
      </c>
      <c r="J471" s="12">
        <f>IFERROR(__xludf.DUMMYFUNCTION("""COMPUTED_VALUE"""),46138.0)</f>
        <v>46138</v>
      </c>
      <c r="K471" s="3" t="str">
        <f>IFERROR(__xludf.DUMMYFUNCTION("""COMPUTED_VALUE"""),"0800-1600")</f>
        <v>0800-1600</v>
      </c>
      <c r="L471" s="3">
        <f>IFERROR(__xludf.DUMMYFUNCTION("""COMPUTED_VALUE"""),8.0)</f>
        <v>8</v>
      </c>
      <c r="M47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71" s="14" t="str">
        <f>IFERROR(__xludf.DUMMYFUNCTION("""COMPUTED_VALUE"""),"https://lh5.googleusercontent.com/d/1KvUBU2oDirHp-AV35tGFy8e_xj3zWnHe")</f>
        <v>https://lh5.googleusercontent.com/d/1KvUBU2oDirHp-AV35tGFy8e_xj3zWnHe</v>
      </c>
      <c r="O471" s="14" t="str">
        <f>IFERROR(__xludf.DUMMYFUNCTION("""COMPUTED_VALUE"""),"https://drive.google.com/file/d/1ykSbrwXnxKYhKqrPDY-K4grmOn2089oM/view?usp=drivesdk")</f>
        <v>https://drive.google.com/file/d/1ykSbrwXnxKYhKqrPDY-K4grmOn2089oM/view?usp=drivesdk</v>
      </c>
    </row>
    <row r="472">
      <c r="A472" s="3">
        <f>IFERROR(__xludf.DUMMYFUNCTION("""COMPUTED_VALUE"""),2254.0)</f>
        <v>2254</v>
      </c>
      <c r="B472" s="11">
        <f>IFERROR(__xludf.DUMMYFUNCTION("""COMPUTED_VALUE"""),46167.59379853009)</f>
        <v>46167.5938</v>
      </c>
      <c r="C472" s="3" t="str">
        <f>IFERROR(__xludf.DUMMYFUNCTION("""COMPUTED_VALUE"""),"ชั้นปีที่ 1")</f>
        <v>ชั้นปีที่ 1</v>
      </c>
      <c r="D472" s="3" t="str">
        <f>IFERROR(__xludf.DUMMYFUNCTION("""COMPUTED_VALUE"""),"6803900")</f>
        <v>6803900</v>
      </c>
      <c r="E472" s="3" t="str">
        <f>IFERROR(__xludf.DUMMYFUNCTION("""COMPUTED_VALUE"""),"19")</f>
        <v>19</v>
      </c>
      <c r="F472" s="3" t="str">
        <f>IFERROR(__xludf.DUMMYFUNCTION("""COMPUTED_VALUE"""),"นพอ.ณัฐพัชร์ กาฬพรรณลึก")</f>
        <v>นพอ.ณัฐพัชร์ กาฬพรรณลึก</v>
      </c>
      <c r="G47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2" s="3" t="str">
        <f>IFERROR(__xludf.DUMMYFUNCTION("""COMPUTED_VALUE"""),"Green Market ")</f>
        <v>Green Market </v>
      </c>
      <c r="I472" s="3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472" s="12">
        <f>IFERROR(__xludf.DUMMYFUNCTION("""COMPUTED_VALUE"""),46134.0)</f>
        <v>46134</v>
      </c>
      <c r="K472" s="3" t="str">
        <f>IFERROR(__xludf.DUMMYFUNCTION("""COMPUTED_VALUE"""),"0800-1600")</f>
        <v>0800-1600</v>
      </c>
      <c r="L472" s="3">
        <f>IFERROR(__xludf.DUMMYFUNCTION("""COMPUTED_VALUE"""),8.0)</f>
        <v>8</v>
      </c>
      <c r="M472" s="3" t="str">
        <f>IFERROR(__xludf.DUMMYFUNCTION("""COMPUTED_VALUE"""),"น.ต.ศักชัย บุญประสิทธิ์")</f>
        <v>น.ต.ศักชัย บุญประสิทธิ์</v>
      </c>
      <c r="N472" s="14" t="str">
        <f>IFERROR(__xludf.DUMMYFUNCTION("""COMPUTED_VALUE"""),"https://lh5.googleusercontent.com/d/1XRGS7Bn4RBXb_hwAtB9AwwBa1DeZE7gw")</f>
        <v>https://lh5.googleusercontent.com/d/1XRGS7Bn4RBXb_hwAtB9AwwBa1DeZE7gw</v>
      </c>
      <c r="O472" s="14" t="str">
        <f>IFERROR(__xludf.DUMMYFUNCTION("""COMPUTED_VALUE"""),"https://drive.google.com/file/d/1C8CzDYJNTHLkbQ3SFLgDDEEHL58cwjpl/view?usp=drivesdk")</f>
        <v>https://drive.google.com/file/d/1C8CzDYJNTHLkbQ3SFLgDDEEHL58cwjpl/view?usp=drivesdk</v>
      </c>
    </row>
    <row r="473">
      <c r="A473" s="3">
        <f>IFERROR(__xludf.DUMMYFUNCTION("""COMPUTED_VALUE"""),2256.0)</f>
        <v>2256</v>
      </c>
      <c r="B473" s="11">
        <f>IFERROR(__xludf.DUMMYFUNCTION("""COMPUTED_VALUE"""),46167.59827019676)</f>
        <v>46167.59827</v>
      </c>
      <c r="C473" s="3" t="str">
        <f>IFERROR(__xludf.DUMMYFUNCTION("""COMPUTED_VALUE"""),"ชั้นปีที่ 1")</f>
        <v>ชั้นปีที่ 1</v>
      </c>
      <c r="D473" s="3" t="str">
        <f>IFERROR(__xludf.DUMMYFUNCTION("""COMPUTED_VALUE"""),"6803933")</f>
        <v>6803933</v>
      </c>
      <c r="E473" s="3" t="str">
        <f>IFERROR(__xludf.DUMMYFUNCTION("""COMPUTED_VALUE"""),"52")</f>
        <v>52</v>
      </c>
      <c r="F473" s="3" t="str">
        <f>IFERROR(__xludf.DUMMYFUNCTION("""COMPUTED_VALUE"""),"นพอ.รศิตา ปลื้มจิตร์")</f>
        <v>นพอ.รศิตา ปลื้มจิตร์</v>
      </c>
      <c r="G473" s="3" t="str">
        <f>IFERROR(__xludf.DUMMYFUNCTION("""COMPUTED_VALUE"""),"ช่วยเหลืองานภายใน วพอ.")</f>
        <v>ช่วยเหลืองานภายใน วพอ.</v>
      </c>
      <c r="H473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73" s="3" t="str">
        <f>IFERROR(__xludf.DUMMYFUNCTION("""COMPUTED_VALUE"""),"อาคารสำนักงานชั้น 4")</f>
        <v>อาคารสำนักงานชั้น 4</v>
      </c>
      <c r="J473" s="12">
        <f>IFERROR(__xludf.DUMMYFUNCTION("""COMPUTED_VALUE"""),46147.0)</f>
        <v>46147</v>
      </c>
      <c r="K473" s="3" t="str">
        <f>IFERROR(__xludf.DUMMYFUNCTION("""COMPUTED_VALUE"""),"1500-1800")</f>
        <v>1500-1800</v>
      </c>
      <c r="L473" s="3">
        <f>IFERROR(__xludf.DUMMYFUNCTION("""COMPUTED_VALUE"""),3.0)</f>
        <v>3</v>
      </c>
      <c r="M473" s="3" t="str">
        <f>IFERROR(__xludf.DUMMYFUNCTION("""COMPUTED_VALUE"""),"น.ต.ศักชัย บุญประสิทธิ์")</f>
        <v>น.ต.ศักชัย บุญประสิทธิ์</v>
      </c>
      <c r="N473" s="14" t="str">
        <f>IFERROR(__xludf.DUMMYFUNCTION("""COMPUTED_VALUE"""),"https://lh5.googleusercontent.com/d/19UwtO5cg6VJvf-XwszrB9UkfstH4SBqL")</f>
        <v>https://lh5.googleusercontent.com/d/19UwtO5cg6VJvf-XwszrB9UkfstH4SBqL</v>
      </c>
      <c r="O473" s="14" t="str">
        <f>IFERROR(__xludf.DUMMYFUNCTION("""COMPUTED_VALUE"""),"https://drive.google.com/file/d/1ViHLaOWHzyNQWQodbzc04EJdaMnjgrMX/view?usp=drivesdk")</f>
        <v>https://drive.google.com/file/d/1ViHLaOWHzyNQWQodbzc04EJdaMnjgrMX/view?usp=drivesdk</v>
      </c>
    </row>
    <row r="474">
      <c r="A474" s="3">
        <f>IFERROR(__xludf.DUMMYFUNCTION("""COMPUTED_VALUE"""),2257.0)</f>
        <v>2257</v>
      </c>
      <c r="B474" s="11">
        <f>IFERROR(__xludf.DUMMYFUNCTION("""COMPUTED_VALUE"""),46167.59856903936)</f>
        <v>46167.59857</v>
      </c>
      <c r="C474" s="3" t="str">
        <f>IFERROR(__xludf.DUMMYFUNCTION("""COMPUTED_VALUE"""),"ชั้นปีที่ 1")</f>
        <v>ชั้นปีที่ 1</v>
      </c>
      <c r="D474" s="3" t="str">
        <f>IFERROR(__xludf.DUMMYFUNCTION("""COMPUTED_VALUE"""),"6803900")</f>
        <v>6803900</v>
      </c>
      <c r="E474" s="3" t="str">
        <f>IFERROR(__xludf.DUMMYFUNCTION("""COMPUTED_VALUE"""),"19")</f>
        <v>19</v>
      </c>
      <c r="F474" s="3" t="str">
        <f>IFERROR(__xludf.DUMMYFUNCTION("""COMPUTED_VALUE"""),"นพอ.ณัฐพัชร์ กาฬพรรณลึก")</f>
        <v>นพอ.ณัฐพัชร์ กาฬพรรณลึก</v>
      </c>
      <c r="G474" s="3" t="str">
        <f>IFERROR(__xludf.DUMMYFUNCTION("""COMPUTED_VALUE"""),"ช่วยเหลืองานภายใน วพอ.")</f>
        <v>ช่วยเหลืองานภายใน วพอ.</v>
      </c>
      <c r="H474" s="3" t="str">
        <f>IFERROR(__xludf.DUMMYFUNCTION("""COMPUTED_VALUE"""),"ซ้อมงานพิธีรับหมวกวิชาชีพ ปีการศึกษา 2568")</f>
        <v>ซ้อมงานพิธีรับหมวกวิชาชีพ ปีการศึกษา 2568</v>
      </c>
      <c r="I474" s="3" t="str">
        <f>IFERROR(__xludf.DUMMYFUNCTION("""COMPUTED_VALUE"""),"วพอ.พอ.")</f>
        <v>วพอ.พอ.</v>
      </c>
      <c r="J474" s="12">
        <f>IFERROR(__xludf.DUMMYFUNCTION("""COMPUTED_VALUE"""),46133.0)</f>
        <v>46133</v>
      </c>
      <c r="K474" s="3" t="str">
        <f>IFERROR(__xludf.DUMMYFUNCTION("""COMPUTED_VALUE"""),"1700-2100")</f>
        <v>1700-2100</v>
      </c>
      <c r="L474" s="3">
        <f>IFERROR(__xludf.DUMMYFUNCTION("""COMPUTED_VALUE"""),4.0)</f>
        <v>4</v>
      </c>
      <c r="M474" s="3" t="str">
        <f>IFERROR(__xludf.DUMMYFUNCTION("""COMPUTED_VALUE"""),"ร.อ.อนุชิต ทำจะดี")</f>
        <v>ร.อ.อนุชิต ทำจะดี</v>
      </c>
      <c r="N474" s="14" t="str">
        <f>IFERROR(__xludf.DUMMYFUNCTION("""COMPUTED_VALUE"""),"https://lh5.googleusercontent.com/d/11YymM3PR1MFiNF_L40XW9x_xkQLXCR5W")</f>
        <v>https://lh5.googleusercontent.com/d/11YymM3PR1MFiNF_L40XW9x_xkQLXCR5W</v>
      </c>
      <c r="O474" s="14" t="str">
        <f>IFERROR(__xludf.DUMMYFUNCTION("""COMPUTED_VALUE"""),"https://drive.google.com/file/d/17ejOAEldgmSa326dKM_A3bpnNBaXT3IS/view?usp=drivesdk")</f>
        <v>https://drive.google.com/file/d/17ejOAEldgmSa326dKM_A3bpnNBaXT3IS/view?usp=drivesdk</v>
      </c>
    </row>
    <row r="475">
      <c r="A475" s="3">
        <f>IFERROR(__xludf.DUMMYFUNCTION("""COMPUTED_VALUE"""),2258.0)</f>
        <v>2258</v>
      </c>
      <c r="B475" s="11">
        <f>IFERROR(__xludf.DUMMYFUNCTION("""COMPUTED_VALUE"""),46167.59938673611)</f>
        <v>46167.59939</v>
      </c>
      <c r="C475" s="3" t="str">
        <f>IFERROR(__xludf.DUMMYFUNCTION("""COMPUTED_VALUE"""),"ชั้นปีที่ 1")</f>
        <v>ชั้นปีที่ 1</v>
      </c>
      <c r="D475" s="3" t="str">
        <f>IFERROR(__xludf.DUMMYFUNCTION("""COMPUTED_VALUE"""),"6803907")</f>
        <v>6803907</v>
      </c>
      <c r="E475" s="3" t="str">
        <f>IFERROR(__xludf.DUMMYFUNCTION("""COMPUTED_VALUE"""),"26")</f>
        <v>26</v>
      </c>
      <c r="F475" s="3" t="str">
        <f>IFERROR(__xludf.DUMMYFUNCTION("""COMPUTED_VALUE"""),"นพอ.ธีราพร  ประสิทธิภาพ")</f>
        <v>นพอ.ธีราพร  ประสิทธิภาพ</v>
      </c>
      <c r="G4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5" s="3" t="str">
        <f>IFERROR(__xludf.DUMMYFUNCTION("""COMPUTED_VALUE"""),"Be Green Markets ")</f>
        <v>Be Green Markets </v>
      </c>
      <c r="I475" s="3" t="str">
        <f>IFERROR(__xludf.DUMMYFUNCTION("""COMPUTED_VALUE"""),"Green Markets ")</f>
        <v>Green Markets </v>
      </c>
      <c r="J475" s="12">
        <f>IFERROR(__xludf.DUMMYFUNCTION("""COMPUTED_VALUE"""),46134.0)</f>
        <v>46134</v>
      </c>
      <c r="K475" s="3" t="str">
        <f>IFERROR(__xludf.DUMMYFUNCTION("""COMPUTED_VALUE"""),"07:00-15:00")</f>
        <v>07:00-15:00</v>
      </c>
      <c r="L475" s="3">
        <f>IFERROR(__xludf.DUMMYFUNCTION("""COMPUTED_VALUE"""),8.0)</f>
        <v>8</v>
      </c>
      <c r="M475" s="3" t="str">
        <f>IFERROR(__xludf.DUMMYFUNCTION("""COMPUTED_VALUE"""),"น.ต.ศักชัย บุญประสิทธิ์")</f>
        <v>น.ต.ศักชัย บุญประสิทธิ์</v>
      </c>
      <c r="N475" s="14" t="str">
        <f>IFERROR(__xludf.DUMMYFUNCTION("""COMPUTED_VALUE"""),"https://lh5.googleusercontent.com/d/1Xif7yibYXzy41C5KslgNU__CeC2JT-Yx")</f>
        <v>https://lh5.googleusercontent.com/d/1Xif7yibYXzy41C5KslgNU__CeC2JT-Yx</v>
      </c>
      <c r="O475" s="14" t="str">
        <f>IFERROR(__xludf.DUMMYFUNCTION("""COMPUTED_VALUE"""),"https://drive.google.com/file/d/153Y8vZ8AwOWYtOjpcAyTkRQjH7BLv2I4/view?usp=drivesdk")</f>
        <v>https://drive.google.com/file/d/153Y8vZ8AwOWYtOjpcAyTkRQjH7BLv2I4/view?usp=drivesdk</v>
      </c>
    </row>
    <row r="476">
      <c r="A476" s="3">
        <f>IFERROR(__xludf.DUMMYFUNCTION("""COMPUTED_VALUE"""),2259.0)</f>
        <v>2259</v>
      </c>
      <c r="B476" s="11">
        <f>IFERROR(__xludf.DUMMYFUNCTION("""COMPUTED_VALUE"""),46167.599742060185)</f>
        <v>46167.59974</v>
      </c>
      <c r="C476" s="3" t="str">
        <f>IFERROR(__xludf.DUMMYFUNCTION("""COMPUTED_VALUE"""),"ชั้นปีที่ 1")</f>
        <v>ชั้นปีที่ 1</v>
      </c>
      <c r="D476" s="3" t="str">
        <f>IFERROR(__xludf.DUMMYFUNCTION("""COMPUTED_VALUE"""),"6803900")</f>
        <v>6803900</v>
      </c>
      <c r="E476" s="3" t="str">
        <f>IFERROR(__xludf.DUMMYFUNCTION("""COMPUTED_VALUE"""),"19")</f>
        <v>19</v>
      </c>
      <c r="F476" s="3" t="str">
        <f>IFERROR(__xludf.DUMMYFUNCTION("""COMPUTED_VALUE"""),"นพอ.ณัฐพัชร์ กาฬพรรณลึก")</f>
        <v>นพอ.ณัฐพัชร์ กาฬพรรณลึก</v>
      </c>
      <c r="G476" s="3" t="str">
        <f>IFERROR(__xludf.DUMMYFUNCTION("""COMPUTED_VALUE"""),"ช่วยเหลืองานภายใน วพอ.")</f>
        <v>ช่วยเหลืองานภายใน วพอ.</v>
      </c>
      <c r="H476" s="3" t="str">
        <f>IFERROR(__xludf.DUMMYFUNCTION("""COMPUTED_VALUE"""),"ซ้อมงานพิธีรับหมวกวิชาชีพ ปีการศึกษา 2568")</f>
        <v>ซ้อมงานพิธีรับหมวกวิชาชีพ ปีการศึกษา 2568</v>
      </c>
      <c r="I476" s="3" t="str">
        <f>IFERROR(__xludf.DUMMYFUNCTION("""COMPUTED_VALUE"""),"วพอ.พอ.")</f>
        <v>วพอ.พอ.</v>
      </c>
      <c r="J476" s="12">
        <f>IFERROR(__xludf.DUMMYFUNCTION("""COMPUTED_VALUE"""),46134.0)</f>
        <v>46134</v>
      </c>
      <c r="K476" s="3" t="str">
        <f>IFERROR(__xludf.DUMMYFUNCTION("""COMPUTED_VALUE"""),"1700-2100")</f>
        <v>1700-2100</v>
      </c>
      <c r="L476" s="3">
        <f>IFERROR(__xludf.DUMMYFUNCTION("""COMPUTED_VALUE"""),4.0)</f>
        <v>4</v>
      </c>
      <c r="M476" s="3" t="str">
        <f>IFERROR(__xludf.DUMMYFUNCTION("""COMPUTED_VALUE"""),"ร.อ.อนุชิต ทำจะดี")</f>
        <v>ร.อ.อนุชิต ทำจะดี</v>
      </c>
      <c r="N476" s="14" t="str">
        <f>IFERROR(__xludf.DUMMYFUNCTION("""COMPUTED_VALUE"""),"https://lh5.googleusercontent.com/d/1NDUhnXBNq2cP5PxUgc3D22mqRikRRXbK")</f>
        <v>https://lh5.googleusercontent.com/d/1NDUhnXBNq2cP5PxUgc3D22mqRikRRXbK</v>
      </c>
      <c r="O476" s="14" t="str">
        <f>IFERROR(__xludf.DUMMYFUNCTION("""COMPUTED_VALUE"""),"https://drive.google.com/file/d/12FQ3xJDUG-h71-SdGcu4ZzAlMoQ_AdQN/view?usp=drivesdk")</f>
        <v>https://drive.google.com/file/d/12FQ3xJDUG-h71-SdGcu4ZzAlMoQ_AdQN/view?usp=drivesdk</v>
      </c>
    </row>
    <row r="477">
      <c r="A477" s="3">
        <f>IFERROR(__xludf.DUMMYFUNCTION("""COMPUTED_VALUE"""),2260.0)</f>
        <v>2260</v>
      </c>
      <c r="B477" s="11">
        <f>IFERROR(__xludf.DUMMYFUNCTION("""COMPUTED_VALUE"""),46167.60015053241)</f>
        <v>46167.60015</v>
      </c>
      <c r="C477" s="3" t="str">
        <f>IFERROR(__xludf.DUMMYFUNCTION("""COMPUTED_VALUE"""),"ชั้นปีที่ 1")</f>
        <v>ชั้นปีที่ 1</v>
      </c>
      <c r="D477" s="3" t="str">
        <f>IFERROR(__xludf.DUMMYFUNCTION("""COMPUTED_VALUE"""),"6803908")</f>
        <v>6803908</v>
      </c>
      <c r="E477" s="3" t="str">
        <f>IFERROR(__xludf.DUMMYFUNCTION("""COMPUTED_VALUE"""),"27")</f>
        <v>27</v>
      </c>
      <c r="F477" s="3" t="str">
        <f>IFERROR(__xludf.DUMMYFUNCTION("""COMPUTED_VALUE"""),"นพอ.นภัสสร บุญรัตน์")</f>
        <v>นพอ.นภัสสร บุญรัตน์</v>
      </c>
      <c r="G47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7" s="3" t="str">
        <f>IFERROR(__xludf.DUMMYFUNCTION("""COMPUTED_VALUE"""),"พิธีฟังสารผู้บัญชาการทหารอากาศ เนื่องใน “วันกองทัพอากาศ” ประจำปี 2569")</f>
        <v>พิธีฟังสารผู้บัญชาการทหารอากาศ เนื่องใน “วันกองทัพอากาศ” ประจำปี 2569</v>
      </c>
      <c r="I477" s="3" t="str">
        <f>IFERROR(__xludf.DUMMYFUNCTION("""COMPUTED_VALUE"""),"บก.ทอ.")</f>
        <v>บก.ทอ.</v>
      </c>
      <c r="J477" s="12">
        <f>IFERROR(__xludf.DUMMYFUNCTION("""COMPUTED_VALUE"""),46121.0)</f>
        <v>46121</v>
      </c>
      <c r="K477" s="3" t="str">
        <f>IFERROR(__xludf.DUMMYFUNCTION("""COMPUTED_VALUE"""),"0600-1400")</f>
        <v>0600-1400</v>
      </c>
      <c r="L477" s="3">
        <f>IFERROR(__xludf.DUMMYFUNCTION("""COMPUTED_VALUE"""),8.0)</f>
        <v>8</v>
      </c>
      <c r="M477" s="3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477" s="14" t="str">
        <f>IFERROR(__xludf.DUMMYFUNCTION("""COMPUTED_VALUE"""),"https://lh5.googleusercontent.com/d/11yEthjBa9lMs9u7gO8Ks2sy7p1TkN0h-")</f>
        <v>https://lh5.googleusercontent.com/d/11yEthjBa9lMs9u7gO8Ks2sy7p1TkN0h-</v>
      </c>
      <c r="O477" s="14" t="str">
        <f>IFERROR(__xludf.DUMMYFUNCTION("""COMPUTED_VALUE"""),"https://drive.google.com/file/d/1pv9DBVIrixj_r56Q14ooVl7gz0-QEDns/view?usp=drivesdk")</f>
        <v>https://drive.google.com/file/d/1pv9DBVIrixj_r56Q14ooVl7gz0-QEDns/view?usp=drivesdk</v>
      </c>
    </row>
    <row r="478">
      <c r="A478" s="3">
        <f>IFERROR(__xludf.DUMMYFUNCTION("""COMPUTED_VALUE"""),2261.0)</f>
        <v>2261</v>
      </c>
      <c r="B478" s="11">
        <f>IFERROR(__xludf.DUMMYFUNCTION("""COMPUTED_VALUE"""),46167.60120611111)</f>
        <v>46167.60121</v>
      </c>
      <c r="C478" s="3" t="str">
        <f>IFERROR(__xludf.DUMMYFUNCTION("""COMPUTED_VALUE"""),"ชั้นปีที่ 1")</f>
        <v>ชั้นปีที่ 1</v>
      </c>
      <c r="D478" s="3" t="str">
        <f>IFERROR(__xludf.DUMMYFUNCTION("""COMPUTED_VALUE"""),"6803900")</f>
        <v>6803900</v>
      </c>
      <c r="E478" s="3" t="str">
        <f>IFERROR(__xludf.DUMMYFUNCTION("""COMPUTED_VALUE"""),"19")</f>
        <v>19</v>
      </c>
      <c r="F478" s="3" t="str">
        <f>IFERROR(__xludf.DUMMYFUNCTION("""COMPUTED_VALUE"""),"นพอ.ณัฐพัชร์ กาฬพรรณลึก")</f>
        <v>นพอ.ณัฐพัชร์ กาฬพรรณลึก</v>
      </c>
      <c r="G478" s="3" t="str">
        <f>IFERROR(__xludf.DUMMYFUNCTION("""COMPUTED_VALUE"""),"ช่วยเหลืองานภายใน วพอ.")</f>
        <v>ช่วยเหลืองานภายใน วพอ.</v>
      </c>
      <c r="H478" s="3" t="str">
        <f>IFERROR(__xludf.DUMMYFUNCTION("""COMPUTED_VALUE"""),"ซ้อมงานพิธีรับหมวกวิชาชีพ ปีการศึกษา 2568")</f>
        <v>ซ้อมงานพิธีรับหมวกวิชาชีพ ปีการศึกษา 2568</v>
      </c>
      <c r="I478" s="3" t="str">
        <f>IFERROR(__xludf.DUMMYFUNCTION("""COMPUTED_VALUE"""),"วพอ.พอ.")</f>
        <v>วพอ.พอ.</v>
      </c>
      <c r="J478" s="12">
        <f>IFERROR(__xludf.DUMMYFUNCTION("""COMPUTED_VALUE"""),46135.0)</f>
        <v>46135</v>
      </c>
      <c r="K478" s="3" t="str">
        <f>IFERROR(__xludf.DUMMYFUNCTION("""COMPUTED_VALUE"""),"1700-2100")</f>
        <v>1700-2100</v>
      </c>
      <c r="L478" s="3">
        <f>IFERROR(__xludf.DUMMYFUNCTION("""COMPUTED_VALUE"""),4.0)</f>
        <v>4</v>
      </c>
      <c r="M478" s="3" t="str">
        <f>IFERROR(__xludf.DUMMYFUNCTION("""COMPUTED_VALUE"""),"ร.อ.อนุชิต ทำจะดี")</f>
        <v>ร.อ.อนุชิต ทำจะดี</v>
      </c>
      <c r="N478" s="14" t="str">
        <f>IFERROR(__xludf.DUMMYFUNCTION("""COMPUTED_VALUE"""),"https://lh5.googleusercontent.com/d/1W1D3ICLsJ6Z4sdcwv590mEde0xQM7zXv")</f>
        <v>https://lh5.googleusercontent.com/d/1W1D3ICLsJ6Z4sdcwv590mEde0xQM7zXv</v>
      </c>
      <c r="O478" s="14" t="str">
        <f>IFERROR(__xludf.DUMMYFUNCTION("""COMPUTED_VALUE"""),"https://drive.google.com/file/d/1JmYgSBU6aiD4q1xK2rxSuGG1xxxdvIb6/view?usp=drivesdk")</f>
        <v>https://drive.google.com/file/d/1JmYgSBU6aiD4q1xK2rxSuGG1xxxdvIb6/view?usp=drivesdk</v>
      </c>
    </row>
    <row r="479">
      <c r="A479" s="3">
        <f>IFERROR(__xludf.DUMMYFUNCTION("""COMPUTED_VALUE"""),2262.0)</f>
        <v>2262</v>
      </c>
      <c r="B479" s="11">
        <f>IFERROR(__xludf.DUMMYFUNCTION("""COMPUTED_VALUE"""),46167.60230778935)</f>
        <v>46167.60231</v>
      </c>
      <c r="C479" s="3" t="str">
        <f>IFERROR(__xludf.DUMMYFUNCTION("""COMPUTED_VALUE"""),"ชั้นปีที่ 1")</f>
        <v>ชั้นปีที่ 1</v>
      </c>
      <c r="D479" s="3" t="str">
        <f>IFERROR(__xludf.DUMMYFUNCTION("""COMPUTED_VALUE"""),"6803907")</f>
        <v>6803907</v>
      </c>
      <c r="E479" s="3" t="str">
        <f>IFERROR(__xludf.DUMMYFUNCTION("""COMPUTED_VALUE"""),"26")</f>
        <v>26</v>
      </c>
      <c r="F479" s="3" t="str">
        <f>IFERROR(__xludf.DUMMYFUNCTION("""COMPUTED_VALUE"""),"นพอ.ธีราพร  ประสิทธิภาพ")</f>
        <v>นพอ.ธีราพร  ประสิทธิภาพ</v>
      </c>
      <c r="G4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79" s="3" t="str">
        <f>IFERROR(__xludf.DUMMYFUNCTION("""COMPUTED_VALUE"""),"พิธีฟังสารผู้บัญชาการทหารอากาศ เนื่องใน ""วันกองทัพอากาศ"" ประจำปี 2569")</f>
        <v>พิธีฟังสารผู้บัญชาการทหารอากาศ เนื่องใน "วันกองทัพอากาศ" ประจำปี 2569</v>
      </c>
      <c r="I479" s="3" t="str">
        <f>IFERROR(__xludf.DUMMYFUNCTION("""COMPUTED_VALUE"""),"บก.ทอ.")</f>
        <v>บก.ทอ.</v>
      </c>
      <c r="J479" s="12">
        <f>IFERROR(__xludf.DUMMYFUNCTION("""COMPUTED_VALUE"""),46121.0)</f>
        <v>46121</v>
      </c>
      <c r="K479" s="3" t="str">
        <f>IFERROR(__xludf.DUMMYFUNCTION("""COMPUTED_VALUE"""),"06:00-14:00")</f>
        <v>06:00-14:00</v>
      </c>
      <c r="L479" s="3">
        <f>IFERROR(__xludf.DUMMYFUNCTION("""COMPUTED_VALUE"""),8.0)</f>
        <v>8</v>
      </c>
      <c r="M479" s="3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479" s="14" t="str">
        <f>IFERROR(__xludf.DUMMYFUNCTION("""COMPUTED_VALUE"""),"https://lh5.googleusercontent.com/d/1fTUh8eiVAjvKTXS_LVsvFXW568phk91I")</f>
        <v>https://lh5.googleusercontent.com/d/1fTUh8eiVAjvKTXS_LVsvFXW568phk91I</v>
      </c>
      <c r="O479" s="14" t="str">
        <f>IFERROR(__xludf.DUMMYFUNCTION("""COMPUTED_VALUE"""),"https://drive.google.com/file/d/1AZln4ymoCKKkbaJ-xDAYg6ptor_ijRY3/view?usp=drivesdk")</f>
        <v>https://drive.google.com/file/d/1AZln4ymoCKKkbaJ-xDAYg6ptor_ijRY3/view?usp=drivesdk</v>
      </c>
    </row>
    <row r="480">
      <c r="A480" s="3">
        <f>IFERROR(__xludf.DUMMYFUNCTION("""COMPUTED_VALUE"""),2265.0)</f>
        <v>2265</v>
      </c>
      <c r="B480" s="11">
        <f>IFERROR(__xludf.DUMMYFUNCTION("""COMPUTED_VALUE"""),46167.60517359954)</f>
        <v>46167.60517</v>
      </c>
      <c r="C480" s="3" t="str">
        <f>IFERROR(__xludf.DUMMYFUNCTION("""COMPUTED_VALUE"""),"ชั้นปีที่ 1")</f>
        <v>ชั้นปีที่ 1</v>
      </c>
      <c r="D480" s="3" t="str">
        <f>IFERROR(__xludf.DUMMYFUNCTION("""COMPUTED_VALUE"""),"6803901")</f>
        <v>6803901</v>
      </c>
      <c r="E480" s="3" t="str">
        <f>IFERROR(__xludf.DUMMYFUNCTION("""COMPUTED_VALUE"""),"20")</f>
        <v>20</v>
      </c>
      <c r="F480" s="3" t="str">
        <f>IFERROR(__xludf.DUMMYFUNCTION("""COMPUTED_VALUE"""),"นพอ.ณัฐริกา วัฒนสมบัติ")</f>
        <v>นพอ.ณัฐริกา วัฒนสมบัติ</v>
      </c>
      <c r="G4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0" s="3" t="str">
        <f>IFERROR(__xludf.DUMMYFUNCTION("""COMPUTED_VALUE"""),"Green Markets")</f>
        <v>Green Markets</v>
      </c>
      <c r="I480" s="3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480" s="12">
        <f>IFERROR(__xludf.DUMMYFUNCTION("""COMPUTED_VALUE"""),46134.0)</f>
        <v>46134</v>
      </c>
      <c r="K480" s="3" t="str">
        <f>IFERROR(__xludf.DUMMYFUNCTION("""COMPUTED_VALUE"""),"0800-1600")</f>
        <v>0800-1600</v>
      </c>
      <c r="L480" s="3">
        <f>IFERROR(__xludf.DUMMYFUNCTION("""COMPUTED_VALUE"""),8.0)</f>
        <v>8</v>
      </c>
      <c r="M480" s="3" t="str">
        <f>IFERROR(__xludf.DUMMYFUNCTION("""COMPUTED_VALUE"""),"ร.อ.ฤทธิพล อ้วนสิงห์")</f>
        <v>ร.อ.ฤทธิพล อ้วนสิงห์</v>
      </c>
      <c r="N480" s="14" t="str">
        <f>IFERROR(__xludf.DUMMYFUNCTION("""COMPUTED_VALUE"""),"https://lh5.googleusercontent.com/d/1UgmuIBGpELR4l0Cd_lE0_qvPIp4iQFDv")</f>
        <v>https://lh5.googleusercontent.com/d/1UgmuIBGpELR4l0Cd_lE0_qvPIp4iQFDv</v>
      </c>
      <c r="O480" s="14" t="str">
        <f>IFERROR(__xludf.DUMMYFUNCTION("""COMPUTED_VALUE"""),"https://drive.google.com/file/d/1s-hfgjHp797XCsbhzqeZIOuBP408Qjen/view?usp=drivesdk")</f>
        <v>https://drive.google.com/file/d/1s-hfgjHp797XCsbhzqeZIOuBP408Qjen/view?usp=drivesdk</v>
      </c>
    </row>
    <row r="481">
      <c r="A481" s="3">
        <f>IFERROR(__xludf.DUMMYFUNCTION("""COMPUTED_VALUE"""),2268.0)</f>
        <v>2268</v>
      </c>
      <c r="B481" s="11">
        <f>IFERROR(__xludf.DUMMYFUNCTION("""COMPUTED_VALUE"""),46167.61035076389)</f>
        <v>46167.61035</v>
      </c>
      <c r="C481" s="3" t="str">
        <f>IFERROR(__xludf.DUMMYFUNCTION("""COMPUTED_VALUE"""),"ชั้นปีที่ 1")</f>
        <v>ชั้นปีที่ 1</v>
      </c>
      <c r="D481" s="3" t="str">
        <f>IFERROR(__xludf.DUMMYFUNCTION("""COMPUTED_VALUE"""),"6803883")</f>
        <v>6803883</v>
      </c>
      <c r="E481" s="3" t="str">
        <f>IFERROR(__xludf.DUMMYFUNCTION("""COMPUTED_VALUE"""),"2")</f>
        <v>2</v>
      </c>
      <c r="F481" s="3" t="str">
        <f>IFERROR(__xludf.DUMMYFUNCTION("""COMPUTED_VALUE"""),"นพอ.กรชนก หน่อทิม")</f>
        <v>นพอ.กรชนก หน่อทิม</v>
      </c>
      <c r="G4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1" s="3" t="str">
        <f>IFERROR(__xludf.DUMMYFUNCTION("""COMPUTED_VALUE"""),"พิธีฟังสารผู้บัญชาการทหารอากาศ เนื่องใน ""วันกองทัพอากาศ"" ประจำปี 2569")</f>
        <v>พิธีฟังสารผู้บัญชาการทหารอากาศ เนื่องใน "วันกองทัพอากาศ" ประจำปี 2569</v>
      </c>
      <c r="I481" s="3" t="str">
        <f>IFERROR(__xludf.DUMMYFUNCTION("""COMPUTED_VALUE"""),"กองบัญชาการกองทัพอากาศ")</f>
        <v>กองบัญชาการกองทัพอากาศ</v>
      </c>
      <c r="J481" s="12">
        <f>IFERROR(__xludf.DUMMYFUNCTION("""COMPUTED_VALUE"""),46121.0)</f>
        <v>46121</v>
      </c>
      <c r="K481" s="3" t="str">
        <f>IFERROR(__xludf.DUMMYFUNCTION("""COMPUTED_VALUE"""),"0600-1400")</f>
        <v>0600-1400</v>
      </c>
      <c r="L481" s="3">
        <f>IFERROR(__xludf.DUMMYFUNCTION("""COMPUTED_VALUE"""),8.0)</f>
        <v>8</v>
      </c>
      <c r="M481" s="3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481" s="14" t="str">
        <f>IFERROR(__xludf.DUMMYFUNCTION("""COMPUTED_VALUE"""),"https://lh5.googleusercontent.com/d/1WkCcoktIN6CzICnmNqbJuPDWRyrgnIV4")</f>
        <v>https://lh5.googleusercontent.com/d/1WkCcoktIN6CzICnmNqbJuPDWRyrgnIV4</v>
      </c>
      <c r="O481" s="14" t="str">
        <f>IFERROR(__xludf.DUMMYFUNCTION("""COMPUTED_VALUE"""),"https://drive.google.com/file/d/15ovOYpJzFgvck-u_UX8wRflZ7EKYJWfQ/view?usp=drivesdk")</f>
        <v>https://drive.google.com/file/d/15ovOYpJzFgvck-u_UX8wRflZ7EKYJWfQ/view?usp=drivesdk</v>
      </c>
    </row>
    <row r="482">
      <c r="A482" s="3">
        <f>IFERROR(__xludf.DUMMYFUNCTION("""COMPUTED_VALUE"""),2276.0)</f>
        <v>2276</v>
      </c>
      <c r="B482" s="11">
        <f>IFERROR(__xludf.DUMMYFUNCTION("""COMPUTED_VALUE"""),46167.65581130787)</f>
        <v>46167.65581</v>
      </c>
      <c r="C482" s="3" t="str">
        <f>IFERROR(__xludf.DUMMYFUNCTION("""COMPUTED_VALUE"""),"ชั้นปีที่ 1")</f>
        <v>ชั้นปีที่ 1</v>
      </c>
      <c r="D482" s="3" t="str">
        <f>IFERROR(__xludf.DUMMYFUNCTION("""COMPUTED_VALUE"""),"6803929")</f>
        <v>6803929</v>
      </c>
      <c r="E482" s="3" t="str">
        <f>IFERROR(__xludf.DUMMYFUNCTION("""COMPUTED_VALUE"""),"48")</f>
        <v>48</v>
      </c>
      <c r="F482" s="3" t="str">
        <f>IFERROR(__xludf.DUMMYFUNCTION("""COMPUTED_VALUE"""),"นพอ.ยลภาม ลำดับวงพุฒิปาณ")</f>
        <v>นพอ.ยลภาม ลำดับวงพุฒิปาณ</v>
      </c>
      <c r="G48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2" s="3" t="str">
        <f>IFERROR(__xludf.DUMMYFUNCTION("""COMPUTED_VALUE"""),"Be green market ")</f>
        <v>Be green market </v>
      </c>
      <c r="I482" s="3" t="str">
        <f>IFERROR(__xludf.DUMMYFUNCTION("""COMPUTED_VALUE"""),"อาคารอเนกประสงค์ชาวฟ้า")</f>
        <v>อาคารอเนกประสงค์ชาวฟ้า</v>
      </c>
      <c r="J482" s="12">
        <f>IFERROR(__xludf.DUMMYFUNCTION("""COMPUTED_VALUE"""),46116.0)</f>
        <v>46116</v>
      </c>
      <c r="K482" s="3" t="str">
        <f>IFERROR(__xludf.DUMMYFUNCTION("""COMPUTED_VALUE"""),"0800-1600")</f>
        <v>0800-1600</v>
      </c>
      <c r="L482" s="3">
        <f>IFERROR(__xludf.DUMMYFUNCTION("""COMPUTED_VALUE"""),8.0)</f>
        <v>8</v>
      </c>
      <c r="M482" s="3" t="str">
        <f>IFERROR(__xludf.DUMMYFUNCTION("""COMPUTED_VALUE"""),"น.อ.หญิงชญาพัฒน์ ทองปากน้ำ")</f>
        <v>น.อ.หญิงชญาพัฒน์ ทองปากน้ำ</v>
      </c>
      <c r="N482" s="14" t="str">
        <f>IFERROR(__xludf.DUMMYFUNCTION("""COMPUTED_VALUE"""),"https://lh5.googleusercontent.com/d/1UkNDXJ6_QKvRDBvZQ5aIk-20qr4jGOnX")</f>
        <v>https://lh5.googleusercontent.com/d/1UkNDXJ6_QKvRDBvZQ5aIk-20qr4jGOnX</v>
      </c>
      <c r="O482" s="14" t="str">
        <f>IFERROR(__xludf.DUMMYFUNCTION("""COMPUTED_VALUE"""),"https://drive.google.com/file/d/1O1-ysZaxeCyg49DwJQy4B6UKNoJAWBSA/view?usp=drivesdk")</f>
        <v>https://drive.google.com/file/d/1O1-ysZaxeCyg49DwJQy4B6UKNoJAWBSA/view?usp=drivesdk</v>
      </c>
    </row>
    <row r="483">
      <c r="A483" s="3">
        <f>IFERROR(__xludf.DUMMYFUNCTION("""COMPUTED_VALUE"""),2277.0)</f>
        <v>2277</v>
      </c>
      <c r="B483" s="11">
        <f>IFERROR(__xludf.DUMMYFUNCTION("""COMPUTED_VALUE"""),46167.666428055556)</f>
        <v>46167.66643</v>
      </c>
      <c r="C483" s="3" t="str">
        <f>IFERROR(__xludf.DUMMYFUNCTION("""COMPUTED_VALUE"""),"ชั้นปีที่ 1")</f>
        <v>ชั้นปีที่ 1</v>
      </c>
      <c r="D483" s="3" t="str">
        <f>IFERROR(__xludf.DUMMYFUNCTION("""COMPUTED_VALUE"""),"6803883")</f>
        <v>6803883</v>
      </c>
      <c r="E483" s="3" t="str">
        <f>IFERROR(__xludf.DUMMYFUNCTION("""COMPUTED_VALUE"""),"2")</f>
        <v>2</v>
      </c>
      <c r="F483" s="3" t="str">
        <f>IFERROR(__xludf.DUMMYFUNCTION("""COMPUTED_VALUE"""),"นพอ.กรชนก หน่อทิม")</f>
        <v>นพอ.กรชนก หน่อทิม</v>
      </c>
      <c r="G483" s="3" t="str">
        <f>IFERROR(__xludf.DUMMYFUNCTION("""COMPUTED_VALUE"""),"ช่วยเหลืองานภายใน วพอ.")</f>
        <v>ช่วยเหลืองานภายใน วพอ.</v>
      </c>
      <c r="H483" s="3" t="str">
        <f>IFERROR(__xludf.DUMMYFUNCTION("""COMPUTED_VALUE"""),"เล่นดุริยางค์")</f>
        <v>เล่นดุริยางค์</v>
      </c>
      <c r="I483" s="3" t="str">
        <f>IFERROR(__xludf.DUMMYFUNCTION("""COMPUTED_VALUE"""),"วพอ.พอ.")</f>
        <v>วพอ.พอ.</v>
      </c>
      <c r="J483" s="12">
        <f>IFERROR(__xludf.DUMMYFUNCTION("""COMPUTED_VALUE"""),46079.0)</f>
        <v>46079</v>
      </c>
      <c r="K483" s="3" t="str">
        <f>IFERROR(__xludf.DUMMYFUNCTION("""COMPUTED_VALUE"""),"0700-0800")</f>
        <v>0700-0800</v>
      </c>
      <c r="L483" s="3">
        <f>IFERROR(__xludf.DUMMYFUNCTION("""COMPUTED_VALUE"""),1.0)</f>
        <v>1</v>
      </c>
      <c r="M483" s="3" t="str">
        <f>IFERROR(__xludf.DUMMYFUNCTION("""COMPUTED_VALUE"""),"ร.อ.อนุชิต ทำจะดี")</f>
        <v>ร.อ.อนุชิต ทำจะดี</v>
      </c>
      <c r="N483" s="14" t="str">
        <f>IFERROR(__xludf.DUMMYFUNCTION("""COMPUTED_VALUE"""),"https://lh5.googleusercontent.com/d/1teyqqNl0Uwwrj_SX6oJVD1QWxwg-v9Ua")</f>
        <v>https://lh5.googleusercontent.com/d/1teyqqNl0Uwwrj_SX6oJVD1QWxwg-v9Ua</v>
      </c>
      <c r="O483" s="14" t="str">
        <f>IFERROR(__xludf.DUMMYFUNCTION("""COMPUTED_VALUE"""),"https://drive.google.com/file/d/1eFttlC3fYl5uQngLZJJihDXEPoh7Oc4H/view?usp=drivesdk")</f>
        <v>https://drive.google.com/file/d/1eFttlC3fYl5uQngLZJJihDXEPoh7Oc4H/view?usp=drivesdk</v>
      </c>
    </row>
    <row r="484">
      <c r="A484" s="3">
        <f>IFERROR(__xludf.DUMMYFUNCTION("""COMPUTED_VALUE"""),2278.0)</f>
        <v>2278</v>
      </c>
      <c r="B484" s="11">
        <f>IFERROR(__xludf.DUMMYFUNCTION("""COMPUTED_VALUE"""),46167.6678798611)</f>
        <v>46167.66788</v>
      </c>
      <c r="C484" s="3" t="str">
        <f>IFERROR(__xludf.DUMMYFUNCTION("""COMPUTED_VALUE"""),"ชั้นปีที่ 1")</f>
        <v>ชั้นปีที่ 1</v>
      </c>
      <c r="D484" s="3" t="str">
        <f>IFERROR(__xludf.DUMMYFUNCTION("""COMPUTED_VALUE"""),"6803883")</f>
        <v>6803883</v>
      </c>
      <c r="E484" s="3" t="str">
        <f>IFERROR(__xludf.DUMMYFUNCTION("""COMPUTED_VALUE"""),"2")</f>
        <v>2</v>
      </c>
      <c r="F484" s="3" t="str">
        <f>IFERROR(__xludf.DUMMYFUNCTION("""COMPUTED_VALUE"""),"นพอ.กรชนก หน่อทิม")</f>
        <v>นพอ.กรชนก หน่อทิม</v>
      </c>
      <c r="G484" s="3" t="str">
        <f>IFERROR(__xludf.DUMMYFUNCTION("""COMPUTED_VALUE"""),"ช่วยเหลืองานภายใน วพอ.")</f>
        <v>ช่วยเหลืองานภายใน วพอ.</v>
      </c>
      <c r="H484" s="3" t="str">
        <f>IFERROR(__xludf.DUMMYFUNCTION("""COMPUTED_VALUE"""),"เล่นดุริยางค์")</f>
        <v>เล่นดุริยางค์</v>
      </c>
      <c r="I484" s="3" t="str">
        <f>IFERROR(__xludf.DUMMYFUNCTION("""COMPUTED_VALUE"""),"วพอ.พอ.")</f>
        <v>วพอ.พอ.</v>
      </c>
      <c r="J484" s="12">
        <f>IFERROR(__xludf.DUMMYFUNCTION("""COMPUTED_VALUE"""),46107.0)</f>
        <v>46107</v>
      </c>
      <c r="K484" s="3" t="str">
        <f>IFERROR(__xludf.DUMMYFUNCTION("""COMPUTED_VALUE"""),"0700-0800")</f>
        <v>0700-0800</v>
      </c>
      <c r="L484" s="3">
        <f>IFERROR(__xludf.DUMMYFUNCTION("""COMPUTED_VALUE"""),1.0)</f>
        <v>1</v>
      </c>
      <c r="M484" s="3" t="str">
        <f>IFERROR(__xludf.DUMMYFUNCTION("""COMPUTED_VALUE"""),"ร.อ.อนุชิต ทำจะดี")</f>
        <v>ร.อ.อนุชิต ทำจะดี</v>
      </c>
      <c r="N484" s="14" t="str">
        <f>IFERROR(__xludf.DUMMYFUNCTION("""COMPUTED_VALUE"""),"https://lh5.googleusercontent.com/d/156wY-X6dvfuDClnqxJLh7K7gWwM0jCNv")</f>
        <v>https://lh5.googleusercontent.com/d/156wY-X6dvfuDClnqxJLh7K7gWwM0jCNv</v>
      </c>
      <c r="O484" s="14" t="str">
        <f>IFERROR(__xludf.DUMMYFUNCTION("""COMPUTED_VALUE"""),"https://drive.google.com/file/d/1Gj1QDHiW19pjJl4DzZ728_bLnHwl-8Rq/view?usp=drivesdk")</f>
        <v>https://drive.google.com/file/d/1Gj1QDHiW19pjJl4DzZ728_bLnHwl-8Rq/view?usp=drivesdk</v>
      </c>
    </row>
    <row r="485">
      <c r="A485" s="3">
        <f>IFERROR(__xludf.DUMMYFUNCTION("""COMPUTED_VALUE"""),2303.0)</f>
        <v>2303</v>
      </c>
      <c r="B485" s="11">
        <f>IFERROR(__xludf.DUMMYFUNCTION("""COMPUTED_VALUE"""),46168.91111295139)</f>
        <v>46168.91111</v>
      </c>
      <c r="C485" s="3" t="str">
        <f>IFERROR(__xludf.DUMMYFUNCTION("""COMPUTED_VALUE"""),"ชั้นปีที่ 1")</f>
        <v>ชั้นปีที่ 1</v>
      </c>
      <c r="D485" s="3" t="str">
        <f>IFERROR(__xludf.DUMMYFUNCTION("""COMPUTED_VALUE"""),"6803929")</f>
        <v>6803929</v>
      </c>
      <c r="E485" s="3" t="str">
        <f>IFERROR(__xludf.DUMMYFUNCTION("""COMPUTED_VALUE"""),"48")</f>
        <v>48</v>
      </c>
      <c r="F485" s="3" t="str">
        <f>IFERROR(__xludf.DUMMYFUNCTION("""COMPUTED_VALUE"""),"นพอ.ยลภาม ลำดับวงพุฒิปาณ")</f>
        <v>นพอ.ยลภาม ลำดับวงพุฒิปาณ</v>
      </c>
      <c r="G4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5" s="3" t="str">
        <f>IFERROR(__xludf.DUMMYFUNCTION("""COMPUTED_VALUE"""),"Be green market ")</f>
        <v>Be green market </v>
      </c>
      <c r="I485" s="3" t="str">
        <f>IFERROR(__xludf.DUMMYFUNCTION("""COMPUTED_VALUE"""),"อาคารอเนกประสงค์ชาวฟ้า")</f>
        <v>อาคารอเนกประสงค์ชาวฟ้า</v>
      </c>
      <c r="J485" s="12">
        <f>IFERROR(__xludf.DUMMYFUNCTION("""COMPUTED_VALUE"""),46116.0)</f>
        <v>46116</v>
      </c>
      <c r="K485" s="3" t="str">
        <f>IFERROR(__xludf.DUMMYFUNCTION("""COMPUTED_VALUE"""),"0800-1600")</f>
        <v>0800-1600</v>
      </c>
      <c r="L485" s="3">
        <f>IFERROR(__xludf.DUMMYFUNCTION("""COMPUTED_VALUE"""),8.0)</f>
        <v>8</v>
      </c>
      <c r="M485" s="3" t="str">
        <f>IFERROR(__xludf.DUMMYFUNCTION("""COMPUTED_VALUE"""),"น.อ.หญิงชญาพัฒน์ ทองปากน้ำ")</f>
        <v>น.อ.หญิงชญาพัฒน์ ทองปากน้ำ</v>
      </c>
      <c r="N485" s="3"/>
      <c r="O485" s="14" t="str">
        <f>IFERROR(__xludf.DUMMYFUNCTION("""COMPUTED_VALUE"""),"https://drive.google.com/file/d/1hV8iqC0YFG8id8xgy2Ga_MFE2JcD8FNA/view?usp=drivesdk")</f>
        <v>https://drive.google.com/file/d/1hV8iqC0YFG8id8xgy2Ga_MFE2JcD8FNA/view?usp=drivesdk</v>
      </c>
    </row>
    <row r="486">
      <c r="A486" s="3">
        <f>IFERROR(__xludf.DUMMYFUNCTION("""COMPUTED_VALUE"""),2304.0)</f>
        <v>2304</v>
      </c>
      <c r="B486" s="11">
        <f>IFERROR(__xludf.DUMMYFUNCTION("""COMPUTED_VALUE"""),46169.53256072917)</f>
        <v>46169.53256</v>
      </c>
      <c r="C486" s="3" t="str">
        <f>IFERROR(__xludf.DUMMYFUNCTION("""COMPUTED_VALUE"""),"ชั้นปีที่ 1")</f>
        <v>ชั้นปีที่ 1</v>
      </c>
      <c r="D486" s="3" t="str">
        <f>IFERROR(__xludf.DUMMYFUNCTION("""COMPUTED_VALUE"""),"6803904")</f>
        <v>6803904</v>
      </c>
      <c r="E486" s="3" t="str">
        <f>IFERROR(__xludf.DUMMYFUNCTION("""COMPUTED_VALUE"""),"23")</f>
        <v>23</v>
      </c>
      <c r="F486" s="3" t="str">
        <f>IFERROR(__xludf.DUMMYFUNCTION("""COMPUTED_VALUE"""),"นพอ.(ช)ธนธัส แซ่ว่อง")</f>
        <v>นพอ.(ช)ธนธัส แซ่ว่อง</v>
      </c>
      <c r="G48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6" s="3" t="str">
        <f>IFERROR(__xludf.DUMMYFUNCTION("""COMPUTED_VALUE"""),"ค่ายเยาวชนพัฒนา ครั้งที่ 215")</f>
        <v>ค่ายเยาวชนพัฒนา ครั้งที่ 215</v>
      </c>
      <c r="I486" s="3" t="str">
        <f>IFERROR(__xludf.DUMMYFUNCTION("""COMPUTED_VALUE"""),"วัดสามบัณฑิต จ.อยุธยา")</f>
        <v>วัดสามบัณฑิต จ.อยุธยา</v>
      </c>
      <c r="J486" s="12">
        <f>IFERROR(__xludf.DUMMYFUNCTION("""COMPUTED_VALUE"""),46136.0)</f>
        <v>46136</v>
      </c>
      <c r="K486" s="3" t="str">
        <f>IFERROR(__xludf.DUMMYFUNCTION("""COMPUTED_VALUE"""),"16.00-24.00")</f>
        <v>16.00-24.00</v>
      </c>
      <c r="L486" s="3">
        <f>IFERROR(__xludf.DUMMYFUNCTION("""COMPUTED_VALUE"""),8.0)</f>
        <v>8</v>
      </c>
      <c r="M48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6" s="14" t="str">
        <f>IFERROR(__xludf.DUMMYFUNCTION("""COMPUTED_VALUE"""),"https://lh5.googleusercontent.com/d/15dqt3Y9sjXesnh3V0qsINGv8etw5kXIl")</f>
        <v>https://lh5.googleusercontent.com/d/15dqt3Y9sjXesnh3V0qsINGv8etw5kXIl</v>
      </c>
      <c r="O486" s="14" t="str">
        <f>IFERROR(__xludf.DUMMYFUNCTION("""COMPUTED_VALUE"""),"https://drive.google.com/file/d/1uc64SJzUiWiaAQDRqEHe-V8HBoJdmpfk/view?usp=drivesdk")</f>
        <v>https://drive.google.com/file/d/1uc64SJzUiWiaAQDRqEHe-V8HBoJdmpfk/view?usp=drivesdk</v>
      </c>
    </row>
    <row r="487">
      <c r="A487" s="3">
        <f>IFERROR(__xludf.DUMMYFUNCTION("""COMPUTED_VALUE"""),2320.0)</f>
        <v>2320</v>
      </c>
      <c r="B487" s="11">
        <f>IFERROR(__xludf.DUMMYFUNCTION("""COMPUTED_VALUE"""),46169.695183993055)</f>
        <v>46169.69518</v>
      </c>
      <c r="C487" s="3" t="str">
        <f>IFERROR(__xludf.DUMMYFUNCTION("""COMPUTED_VALUE"""),"ชั้นปีที่ 1")</f>
        <v>ชั้นปีที่ 1</v>
      </c>
      <c r="D487" s="3" t="str">
        <f>IFERROR(__xludf.DUMMYFUNCTION("""COMPUTED_VALUE"""),"6803913")</f>
        <v>6803913</v>
      </c>
      <c r="E487" s="3" t="str">
        <f>IFERROR(__xludf.DUMMYFUNCTION("""COMPUTED_VALUE"""),"32")</f>
        <v>32</v>
      </c>
      <c r="F487" s="3" t="str">
        <f>IFERROR(__xludf.DUMMYFUNCTION("""COMPUTED_VALUE"""),"นพอ.ปกรณ์เกียรติ ชูปู")</f>
        <v>นพอ.ปกรณ์เกียรติ ชูปู</v>
      </c>
      <c r="G4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7" s="3" t="str">
        <f>IFERROR(__xludf.DUMMYFUNCTION("""COMPUTED_VALUE"""),"ค่ายเยาวชนพัฒนา ครั้งที่ 215")</f>
        <v>ค่ายเยาวชนพัฒนา ครั้งที่ 215</v>
      </c>
      <c r="I487" s="3" t="str">
        <f>IFERROR(__xludf.DUMMYFUNCTION("""COMPUTED_VALUE"""),"วัดสามบัณฑิต จ.อยุธยา")</f>
        <v>วัดสามบัณฑิต จ.อยุธยา</v>
      </c>
      <c r="J487" s="12">
        <f>IFERROR(__xludf.DUMMYFUNCTION("""COMPUTED_VALUE"""),46136.0)</f>
        <v>46136</v>
      </c>
      <c r="K487" s="3" t="str">
        <f>IFERROR(__xludf.DUMMYFUNCTION("""COMPUTED_VALUE"""),"1600-2400")</f>
        <v>1600-2400</v>
      </c>
      <c r="L487" s="3">
        <f>IFERROR(__xludf.DUMMYFUNCTION("""COMPUTED_VALUE"""),8.0)</f>
        <v>8</v>
      </c>
      <c r="M48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7" s="14" t="str">
        <f>IFERROR(__xludf.DUMMYFUNCTION("""COMPUTED_VALUE"""),"https://lh5.googleusercontent.com/d/1iSXS8b8zWueB1glruy1j79Ahj7qceH_O")</f>
        <v>https://lh5.googleusercontent.com/d/1iSXS8b8zWueB1glruy1j79Ahj7qceH_O</v>
      </c>
      <c r="O487" s="14" t="str">
        <f>IFERROR(__xludf.DUMMYFUNCTION("""COMPUTED_VALUE"""),"https://drive.google.com/file/d/1o40hUytV96geVFE1yl7-Xs_CU5fAufGN/view?usp=drivesdk")</f>
        <v>https://drive.google.com/file/d/1o40hUytV96geVFE1yl7-Xs_CU5fAufGN/view?usp=drivesdk</v>
      </c>
    </row>
    <row r="488">
      <c r="A488" s="3">
        <f>IFERROR(__xludf.DUMMYFUNCTION("""COMPUTED_VALUE"""),2321.0)</f>
        <v>2321</v>
      </c>
      <c r="B488" s="11">
        <f>IFERROR(__xludf.DUMMYFUNCTION("""COMPUTED_VALUE"""),46169.69596858796)</f>
        <v>46169.69597</v>
      </c>
      <c r="C488" s="3" t="str">
        <f>IFERROR(__xludf.DUMMYFUNCTION("""COMPUTED_VALUE"""),"ชั้นปีที่ 1")</f>
        <v>ชั้นปีที่ 1</v>
      </c>
      <c r="D488" s="3" t="str">
        <f>IFERROR(__xludf.DUMMYFUNCTION("""COMPUTED_VALUE"""),"6803913")</f>
        <v>6803913</v>
      </c>
      <c r="E488" s="3" t="str">
        <f>IFERROR(__xludf.DUMMYFUNCTION("""COMPUTED_VALUE"""),"32")</f>
        <v>32</v>
      </c>
      <c r="F488" s="3" t="str">
        <f>IFERROR(__xludf.DUMMYFUNCTION("""COMPUTED_VALUE"""),"นพอ.ปกรณ์เกียรติ ชูปู")</f>
        <v>นพอ.ปกรณ์เกียรติ ชูปู</v>
      </c>
      <c r="G48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8" s="3" t="str">
        <f>IFERROR(__xludf.DUMMYFUNCTION("""COMPUTED_VALUE"""),"ค่ายเยาวชนพัฒนา ครั้งที่ 215")</f>
        <v>ค่ายเยาวชนพัฒนา ครั้งที่ 215</v>
      </c>
      <c r="I488" s="3" t="str">
        <f>IFERROR(__xludf.DUMMYFUNCTION("""COMPUTED_VALUE"""),"วัดสามบัณฑิต จ.อยุธยา")</f>
        <v>วัดสามบัณฑิต จ.อยุธยา</v>
      </c>
      <c r="J488" s="12">
        <f>IFERROR(__xludf.DUMMYFUNCTION("""COMPUTED_VALUE"""),46137.0)</f>
        <v>46137</v>
      </c>
      <c r="K488" s="3" t="str">
        <f>IFERROR(__xludf.DUMMYFUNCTION("""COMPUTED_VALUE"""),"0800-1600")</f>
        <v>0800-1600</v>
      </c>
      <c r="L488" s="3">
        <f>IFERROR(__xludf.DUMMYFUNCTION("""COMPUTED_VALUE"""),8.0)</f>
        <v>8</v>
      </c>
      <c r="M48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8" s="14" t="str">
        <f>IFERROR(__xludf.DUMMYFUNCTION("""COMPUTED_VALUE"""),"https://lh5.googleusercontent.com/d/1UjBfXRD-5u6u7Sx01vlw9NvaqUaEE4P3")</f>
        <v>https://lh5.googleusercontent.com/d/1UjBfXRD-5u6u7Sx01vlw9NvaqUaEE4P3</v>
      </c>
      <c r="O488" s="14" t="str">
        <f>IFERROR(__xludf.DUMMYFUNCTION("""COMPUTED_VALUE"""),"https://drive.google.com/file/d/171ZOqkqGcTh_-4L-QTuGJ3IcW9l4Jwk6/view?usp=drivesdk")</f>
        <v>https://drive.google.com/file/d/171ZOqkqGcTh_-4L-QTuGJ3IcW9l4Jwk6/view?usp=drivesdk</v>
      </c>
    </row>
    <row r="489">
      <c r="A489" s="3">
        <f>IFERROR(__xludf.DUMMYFUNCTION("""COMPUTED_VALUE"""),2322.0)</f>
        <v>2322</v>
      </c>
      <c r="B489" s="11">
        <f>IFERROR(__xludf.DUMMYFUNCTION("""COMPUTED_VALUE"""),46169.69670418982)</f>
        <v>46169.6967</v>
      </c>
      <c r="C489" s="3" t="str">
        <f>IFERROR(__xludf.DUMMYFUNCTION("""COMPUTED_VALUE"""),"ชั้นปีที่ 1")</f>
        <v>ชั้นปีที่ 1</v>
      </c>
      <c r="D489" s="3" t="str">
        <f>IFERROR(__xludf.DUMMYFUNCTION("""COMPUTED_VALUE"""),"6803913")</f>
        <v>6803913</v>
      </c>
      <c r="E489" s="3" t="str">
        <f>IFERROR(__xludf.DUMMYFUNCTION("""COMPUTED_VALUE"""),"32")</f>
        <v>32</v>
      </c>
      <c r="F489" s="3" t="str">
        <f>IFERROR(__xludf.DUMMYFUNCTION("""COMPUTED_VALUE"""),"นพอ.ปกรณ์เกียรติ ชูปู")</f>
        <v>นพอ.ปกรณ์เกียรติ ชูปู</v>
      </c>
      <c r="G48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489" s="3" t="str">
        <f>IFERROR(__xludf.DUMMYFUNCTION("""COMPUTED_VALUE"""),"ค่ายเยาวชนพัฒนา ครั้งที่ 215")</f>
        <v>ค่ายเยาวชนพัฒนา ครั้งที่ 215</v>
      </c>
      <c r="I489" s="3" t="str">
        <f>IFERROR(__xludf.DUMMYFUNCTION("""COMPUTED_VALUE"""),"วัดสามบัณฑิต จ.อยุธยา")</f>
        <v>วัดสามบัณฑิต จ.อยุธยา</v>
      </c>
      <c r="J489" s="12">
        <f>IFERROR(__xludf.DUMMYFUNCTION("""COMPUTED_VALUE"""),46138.0)</f>
        <v>46138</v>
      </c>
      <c r="K489" s="3" t="str">
        <f>IFERROR(__xludf.DUMMYFUNCTION("""COMPUTED_VALUE"""),"1600-2400")</f>
        <v>1600-2400</v>
      </c>
      <c r="L489" s="3">
        <f>IFERROR(__xludf.DUMMYFUNCTION("""COMPUTED_VALUE"""),8.0)</f>
        <v>8</v>
      </c>
      <c r="M48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489" s="14" t="str">
        <f>IFERROR(__xludf.DUMMYFUNCTION("""COMPUTED_VALUE"""),"https://lh5.googleusercontent.com/d/1Lh7DisozVixwwRrSvBnXAXUwtvgo7zgX")</f>
        <v>https://lh5.googleusercontent.com/d/1Lh7DisozVixwwRrSvBnXAXUwtvgo7zgX</v>
      </c>
      <c r="O489" s="14" t="str">
        <f>IFERROR(__xludf.DUMMYFUNCTION("""COMPUTED_VALUE"""),"https://drive.google.com/file/d/18aNEYaP1tIKTGBN2rI6Ieqi1bJHjcuqN/view?usp=drivesdk")</f>
        <v>https://drive.google.com/file/d/18aNEYaP1tIKTGBN2rI6Ieqi1bJHjcuqN/view?usp=drivesdk</v>
      </c>
    </row>
    <row r="490">
      <c r="A490" s="3">
        <f>IFERROR(__xludf.DUMMYFUNCTION("""COMPUTED_VALUE"""),2323.0)</f>
        <v>2323</v>
      </c>
      <c r="B490" s="11">
        <f>IFERROR(__xludf.DUMMYFUNCTION("""COMPUTED_VALUE"""),46169.80841751157)</f>
        <v>46169.80842</v>
      </c>
      <c r="C490" s="3" t="str">
        <f>IFERROR(__xludf.DUMMYFUNCTION("""COMPUTED_VALUE"""),"ชั้นปีที่ 1")</f>
        <v>ชั้นปีที่ 1</v>
      </c>
      <c r="D490" s="3" t="str">
        <f>IFERROR(__xludf.DUMMYFUNCTION("""COMPUTED_VALUE"""),"6803890")</f>
        <v>6803890</v>
      </c>
      <c r="E490" s="3" t="str">
        <f>IFERROR(__xludf.DUMMYFUNCTION("""COMPUTED_VALUE"""),"9")</f>
        <v>9</v>
      </c>
      <c r="F490" s="3" t="str">
        <f>IFERROR(__xludf.DUMMYFUNCTION("""COMPUTED_VALUE"""),"นพอ.จักรพงศ์ ปรีชาคม")</f>
        <v>นพอ.จักรพงศ์ ปรีชาคม</v>
      </c>
      <c r="G490" s="3" t="str">
        <f>IFERROR(__xludf.DUMMYFUNCTION("""COMPUTED_VALUE"""),"ช่วยเหลืองานภายใน วพอ.")</f>
        <v>ช่วยเหลืองานภายใน วพอ.</v>
      </c>
      <c r="H490" s="3" t="str">
        <f>IFERROR(__xludf.DUMMYFUNCTION("""COMPUTED_VALUE"""),"เล่นดุริยางค์")</f>
        <v>เล่นดุริยางค์</v>
      </c>
      <c r="I490" s="3" t="str">
        <f>IFERROR(__xludf.DUMMYFUNCTION("""COMPUTED_VALUE"""),"วพอ.พอ.")</f>
        <v>วพอ.พอ.</v>
      </c>
      <c r="J490" s="12">
        <f>IFERROR(__xludf.DUMMYFUNCTION("""COMPUTED_VALUE"""),46114.0)</f>
        <v>46114</v>
      </c>
      <c r="K490" s="3" t="str">
        <f>IFERROR(__xludf.DUMMYFUNCTION("""COMPUTED_VALUE"""),"0730-0800")</f>
        <v>0730-0800</v>
      </c>
      <c r="L490" s="3">
        <f>IFERROR(__xludf.DUMMYFUNCTION("""COMPUTED_VALUE"""),1.0)</f>
        <v>1</v>
      </c>
      <c r="M490" s="3" t="str">
        <f>IFERROR(__xludf.DUMMYFUNCTION("""COMPUTED_VALUE"""),"ร.อ.อนุชิต ทำจะดี")</f>
        <v>ร.อ.อนุชิต ทำจะดี</v>
      </c>
      <c r="N490" s="14" t="str">
        <f>IFERROR(__xludf.DUMMYFUNCTION("""COMPUTED_VALUE"""),"https://lh5.googleusercontent.com/d/1ectly9BwGQKXWhAC50fHK7I-boGDjnmJ")</f>
        <v>https://lh5.googleusercontent.com/d/1ectly9BwGQKXWhAC50fHK7I-boGDjnmJ</v>
      </c>
      <c r="O490" s="14" t="str">
        <f>IFERROR(__xludf.DUMMYFUNCTION("""COMPUTED_VALUE"""),"https://drive.google.com/file/d/15YoBsoysZfe-tIoUWHsKA0tE_QrpjIeJ/view?usp=drivesdk")</f>
        <v>https://drive.google.com/file/d/15YoBsoysZfe-tIoUWHsKA0tE_QrpjIeJ/view?usp=drivesdk</v>
      </c>
    </row>
    <row r="491">
      <c r="A491" s="3">
        <f>IFERROR(__xludf.DUMMYFUNCTION("""COMPUTED_VALUE"""),2324.0)</f>
        <v>2324</v>
      </c>
      <c r="B491" s="11">
        <f>IFERROR(__xludf.DUMMYFUNCTION("""COMPUTED_VALUE"""),46169.809244097225)</f>
        <v>46169.80924</v>
      </c>
      <c r="C491" s="3" t="str">
        <f>IFERROR(__xludf.DUMMYFUNCTION("""COMPUTED_VALUE"""),"ชั้นปีที่ 1")</f>
        <v>ชั้นปีที่ 1</v>
      </c>
      <c r="D491" s="3" t="str">
        <f>IFERROR(__xludf.DUMMYFUNCTION("""COMPUTED_VALUE"""),"6803890")</f>
        <v>6803890</v>
      </c>
      <c r="E491" s="3" t="str">
        <f>IFERROR(__xludf.DUMMYFUNCTION("""COMPUTED_VALUE"""),"9")</f>
        <v>9</v>
      </c>
      <c r="F491" s="3" t="str">
        <f>IFERROR(__xludf.DUMMYFUNCTION("""COMPUTED_VALUE"""),"นพอ.จักรพงศ์ ปรีชาคม")</f>
        <v>นพอ.จักรพงศ์ ปรีชาคม</v>
      </c>
      <c r="G491" s="3" t="str">
        <f>IFERROR(__xludf.DUMMYFUNCTION("""COMPUTED_VALUE"""),"ช่วยเหลืองานภายใน วพอ.")</f>
        <v>ช่วยเหลืองานภายใน วพอ.</v>
      </c>
      <c r="H491" s="3" t="str">
        <f>IFERROR(__xludf.DUMMYFUNCTION("""COMPUTED_VALUE"""),"เล่นดุริยางค์")</f>
        <v>เล่นดุริยางค์</v>
      </c>
      <c r="I491" s="3" t="str">
        <f>IFERROR(__xludf.DUMMYFUNCTION("""COMPUTED_VALUE"""),"วพอ.พอ.")</f>
        <v>วพอ.พอ.</v>
      </c>
      <c r="J491" s="12">
        <f>IFERROR(__xludf.DUMMYFUNCTION("""COMPUTED_VALUE"""),46115.0)</f>
        <v>46115</v>
      </c>
      <c r="K491" s="3" t="str">
        <f>IFERROR(__xludf.DUMMYFUNCTION("""COMPUTED_VALUE"""),"0730-0800")</f>
        <v>0730-0800</v>
      </c>
      <c r="L491" s="3">
        <f>IFERROR(__xludf.DUMMYFUNCTION("""COMPUTED_VALUE"""),1.0)</f>
        <v>1</v>
      </c>
      <c r="M491" s="3" t="str">
        <f>IFERROR(__xludf.DUMMYFUNCTION("""COMPUTED_VALUE"""),"ร.อ.อนุชิต ทำจะดี")</f>
        <v>ร.อ.อนุชิต ทำจะดี</v>
      </c>
      <c r="N491" s="14" t="str">
        <f>IFERROR(__xludf.DUMMYFUNCTION("""COMPUTED_VALUE"""),"https://lh5.googleusercontent.com/d/1lXX3vJdvMD_V0C1axTE5aPbTz3hQD7N1")</f>
        <v>https://lh5.googleusercontent.com/d/1lXX3vJdvMD_V0C1axTE5aPbTz3hQD7N1</v>
      </c>
      <c r="O491" s="14" t="str">
        <f>IFERROR(__xludf.DUMMYFUNCTION("""COMPUTED_VALUE"""),"https://drive.google.com/file/d/1WFnKgJkqIyvKuSVDSXEC3tA03435NUwX/view?usp=drivesdk")</f>
        <v>https://drive.google.com/file/d/1WFnKgJkqIyvKuSVDSXEC3tA03435NUwX/view?usp=drivesdk</v>
      </c>
    </row>
    <row r="492">
      <c r="A492" s="3">
        <f>IFERROR(__xludf.DUMMYFUNCTION("""COMPUTED_VALUE"""),2325.0)</f>
        <v>2325</v>
      </c>
      <c r="B492" s="11">
        <f>IFERROR(__xludf.DUMMYFUNCTION("""COMPUTED_VALUE"""),46170.38673107639)</f>
        <v>46170.38673</v>
      </c>
      <c r="C492" s="3" t="str">
        <f>IFERROR(__xludf.DUMMYFUNCTION("""COMPUTED_VALUE"""),"ชั้นปีที่ 1")</f>
        <v>ชั้นปีที่ 1</v>
      </c>
      <c r="D492" s="3" t="str">
        <f>IFERROR(__xludf.DUMMYFUNCTION("""COMPUTED_VALUE"""),"6803905")</f>
        <v>6803905</v>
      </c>
      <c r="E492" s="3" t="str">
        <f>IFERROR(__xludf.DUMMYFUNCTION("""COMPUTED_VALUE"""),"24")</f>
        <v>24</v>
      </c>
      <c r="F492" s="3" t="str">
        <f>IFERROR(__xludf.DUMMYFUNCTION("""COMPUTED_VALUE"""),"นพอ.ธนพล เสือน้อย")</f>
        <v>นพอ.ธนพล เสือน้อย</v>
      </c>
      <c r="G492" s="3" t="str">
        <f>IFERROR(__xludf.DUMMYFUNCTION("""COMPUTED_VALUE"""),"ช่วยเหลืองานภายใน วพอ.")</f>
        <v>ช่วยเหลืองานภายใน วพอ.</v>
      </c>
      <c r="H492" s="3" t="str">
        <f>IFERROR(__xludf.DUMMYFUNCTION("""COMPUTED_VALUE"""),"เก็บสถานที่สอบคัดเลือกนพอ. 69")</f>
        <v>เก็บสถานที่สอบคัดเลือกนพอ. 69</v>
      </c>
      <c r="I492" s="3" t="str">
        <f>IFERROR(__xludf.DUMMYFUNCTION("""COMPUTED_VALUE"""),"อาคารสำนักงานชั้น 4")</f>
        <v>อาคารสำนักงานชั้น 4</v>
      </c>
      <c r="J492" s="12">
        <f>IFERROR(__xludf.DUMMYFUNCTION("""COMPUTED_VALUE"""),46147.0)</f>
        <v>46147</v>
      </c>
      <c r="K492" s="3" t="str">
        <f>IFERROR(__xludf.DUMMYFUNCTION("""COMPUTED_VALUE"""),"1500-1800")</f>
        <v>1500-1800</v>
      </c>
      <c r="L492" s="3">
        <f>IFERROR(__xludf.DUMMYFUNCTION("""COMPUTED_VALUE"""),3.0)</f>
        <v>3</v>
      </c>
      <c r="M492" s="3" t="str">
        <f>IFERROR(__xludf.DUMMYFUNCTION("""COMPUTED_VALUE"""),"น.ต. ศักชัย บุญประสิทธิ์")</f>
        <v>น.ต. ศักชัย บุญประสิทธิ์</v>
      </c>
      <c r="N492" s="14" t="str">
        <f>IFERROR(__xludf.DUMMYFUNCTION("""COMPUTED_VALUE"""),"https://lh5.googleusercontent.com/d/196GZY-1F-XJKV4XpVNpT_N6nkF8Yvpwh")</f>
        <v>https://lh5.googleusercontent.com/d/196GZY-1F-XJKV4XpVNpT_N6nkF8Yvpwh</v>
      </c>
      <c r="O492" s="14" t="str">
        <f>IFERROR(__xludf.DUMMYFUNCTION("""COMPUTED_VALUE"""),"https://drive.google.com/file/d/14sTyK10KklAXkCGSc_GVsx8oKm9crT5W/view?usp=drivesdk")</f>
        <v>https://drive.google.com/file/d/14sTyK10KklAXkCGSc_GVsx8oKm9crT5W/view?usp=drivesdk</v>
      </c>
    </row>
    <row r="493">
      <c r="A493" s="3">
        <f>IFERROR(__xludf.DUMMYFUNCTION("""COMPUTED_VALUE"""),2326.0)</f>
        <v>2326</v>
      </c>
      <c r="B493" s="11">
        <f>IFERROR(__xludf.DUMMYFUNCTION("""COMPUTED_VALUE"""),46170.38987320602)</f>
        <v>46170.38987</v>
      </c>
      <c r="C493" s="3" t="str">
        <f>IFERROR(__xludf.DUMMYFUNCTION("""COMPUTED_VALUE"""),"ชั้นปีที่ 1")</f>
        <v>ชั้นปีที่ 1</v>
      </c>
      <c r="D493" s="3" t="str">
        <f>IFERROR(__xludf.DUMMYFUNCTION("""COMPUTED_VALUE"""),"6803905")</f>
        <v>6803905</v>
      </c>
      <c r="E493" s="3" t="str">
        <f>IFERROR(__xludf.DUMMYFUNCTION("""COMPUTED_VALUE"""),"24")</f>
        <v>24</v>
      </c>
      <c r="F493" s="3" t="str">
        <f>IFERROR(__xludf.DUMMYFUNCTION("""COMPUTED_VALUE"""),"นพอ.ธนพล เสือน้อย")</f>
        <v>นพอ.ธนพล เสือน้อย</v>
      </c>
      <c r="G493" s="3" t="str">
        <f>IFERROR(__xludf.DUMMYFUNCTION("""COMPUTED_VALUE"""),"ช่วยเหลืองานภายใน วพอ.")</f>
        <v>ช่วยเหลืองานภายใน วพอ.</v>
      </c>
      <c r="H493" s="3" t="str">
        <f>IFERROR(__xludf.DUMMYFUNCTION("""COMPUTED_VALUE"""),"ดุริยางค์")</f>
        <v>ดุริยางค์</v>
      </c>
      <c r="I493" s="3" t="str">
        <f>IFERROR(__xludf.DUMMYFUNCTION("""COMPUTED_VALUE"""),"วพอ.พอ.")</f>
        <v>วพอ.พอ.</v>
      </c>
      <c r="J493" s="12">
        <f>IFERROR(__xludf.DUMMYFUNCTION("""COMPUTED_VALUE"""),46163.0)</f>
        <v>46163</v>
      </c>
      <c r="K493" s="3" t="str">
        <f>IFERROR(__xludf.DUMMYFUNCTION("""COMPUTED_VALUE"""),"0700-0800")</f>
        <v>0700-0800</v>
      </c>
      <c r="L493" s="3">
        <f>IFERROR(__xludf.DUMMYFUNCTION("""COMPUTED_VALUE"""),1.0)</f>
        <v>1</v>
      </c>
      <c r="M493" s="3" t="str">
        <f>IFERROR(__xludf.DUMMYFUNCTION("""COMPUTED_VALUE"""),"ร.อ. อนุชิต ทำจะดี")</f>
        <v>ร.อ. อนุชิต ทำจะดี</v>
      </c>
      <c r="N493" s="14" t="str">
        <f>IFERROR(__xludf.DUMMYFUNCTION("""COMPUTED_VALUE"""),"https://lh5.googleusercontent.com/d/1R4_F8kbWj_cD2GAM6ggqhODMOE-m32zL")</f>
        <v>https://lh5.googleusercontent.com/d/1R4_F8kbWj_cD2GAM6ggqhODMOE-m32zL</v>
      </c>
      <c r="O493" s="14" t="str">
        <f>IFERROR(__xludf.DUMMYFUNCTION("""COMPUTED_VALUE"""),"https://drive.google.com/file/d/1RhzPVzA-hI5NB_C0G8f2pxitLIl7Bvmr/view?usp=drivesdk")</f>
        <v>https://drive.google.com/file/d/1RhzPVzA-hI5NB_C0G8f2pxitLIl7Bvmr/view?usp=drivesdk</v>
      </c>
    </row>
    <row r="494">
      <c r="A494" s="3">
        <f>IFERROR(__xludf.DUMMYFUNCTION("""COMPUTED_VALUE"""),2327.0)</f>
        <v>2327</v>
      </c>
      <c r="B494" s="11">
        <f>IFERROR(__xludf.DUMMYFUNCTION("""COMPUTED_VALUE"""),46170.49390644676)</f>
        <v>46170.49391</v>
      </c>
      <c r="C494" s="3" t="str">
        <f>IFERROR(__xludf.DUMMYFUNCTION("""COMPUTED_VALUE"""),"ชั้นปีที่ 1")</f>
        <v>ชั้นปีที่ 1</v>
      </c>
      <c r="D494" s="3" t="str">
        <f>IFERROR(__xludf.DUMMYFUNCTION("""COMPUTED_VALUE"""),"6803888")</f>
        <v>6803888</v>
      </c>
      <c r="E494" s="3" t="str">
        <f>IFERROR(__xludf.DUMMYFUNCTION("""COMPUTED_VALUE"""),"7")</f>
        <v>7</v>
      </c>
      <c r="F494" s="3" t="str">
        <f>IFERROR(__xludf.DUMMYFUNCTION("""COMPUTED_VALUE"""),"กันต์ธิดา นาคทอง")</f>
        <v>กันต์ธิดา นาคทอง</v>
      </c>
      <c r="G494" s="3" t="str">
        <f>IFERROR(__xludf.DUMMYFUNCTION("""COMPUTED_VALUE"""),"ช่วยเหลืองานภายใน วพอ.")</f>
        <v>ช่วยเหลืองานภายใน วพอ.</v>
      </c>
      <c r="H494" s="3" t="str">
        <f>IFERROR(__xludf.DUMMYFUNCTION("""COMPUTED_VALUE"""),"ซ้อมงานพิธีมอบหมวกพยาบาลวิชาชีพ ปีการศึกษา2568")</f>
        <v>ซ้อมงานพิธีมอบหมวกพยาบาลวิชาชีพ ปีการศึกษา2568</v>
      </c>
      <c r="I494" s="3" t="str">
        <f>IFERROR(__xludf.DUMMYFUNCTION("""COMPUTED_VALUE"""),"วพอ.พอ.")</f>
        <v>วพอ.พอ.</v>
      </c>
      <c r="J494" s="12">
        <f>IFERROR(__xludf.DUMMYFUNCTION("""COMPUTED_VALUE"""),46135.0)</f>
        <v>46135</v>
      </c>
      <c r="K494" s="3" t="str">
        <f>IFERROR(__xludf.DUMMYFUNCTION("""COMPUTED_VALUE"""),"17.00-21.00")</f>
        <v>17.00-21.00</v>
      </c>
      <c r="L494" s="3">
        <f>IFERROR(__xludf.DUMMYFUNCTION("""COMPUTED_VALUE"""),4.0)</f>
        <v>4</v>
      </c>
      <c r="M494" s="3" t="str">
        <f>IFERROR(__xludf.DUMMYFUNCTION("""COMPUTED_VALUE"""),"ร.อ.อนุชิต ทำจะดี")</f>
        <v>ร.อ.อนุชิต ทำจะดี</v>
      </c>
      <c r="N494" s="14" t="str">
        <f>IFERROR(__xludf.DUMMYFUNCTION("""COMPUTED_VALUE"""),"https://lh5.googleusercontent.com/d/1fiH6gVhb2f12DWoXpv3kNsRRv8xkiGje")</f>
        <v>https://lh5.googleusercontent.com/d/1fiH6gVhb2f12DWoXpv3kNsRRv8xkiGje</v>
      </c>
      <c r="O494" s="14" t="str">
        <f>IFERROR(__xludf.DUMMYFUNCTION("""COMPUTED_VALUE"""),"https://drive.google.com/file/d/1nsWG3qVU65GOkJHU-Sh2C9INZdOm1v2-/view?usp=drivesdk")</f>
        <v>https://drive.google.com/file/d/1nsWG3qVU65GOkJHU-Sh2C9INZdOm1v2-/view?usp=drivesdk</v>
      </c>
    </row>
    <row r="495">
      <c r="A495" s="3">
        <f>IFERROR(__xludf.DUMMYFUNCTION("""COMPUTED_VALUE"""),2328.0)</f>
        <v>2328</v>
      </c>
      <c r="B495" s="11">
        <f>IFERROR(__xludf.DUMMYFUNCTION("""COMPUTED_VALUE"""),46170.49654393519)</f>
        <v>46170.49654</v>
      </c>
      <c r="C495" s="3" t="str">
        <f>IFERROR(__xludf.DUMMYFUNCTION("""COMPUTED_VALUE"""),"ชั้นปีที่ 1")</f>
        <v>ชั้นปีที่ 1</v>
      </c>
      <c r="D495" s="3" t="str">
        <f>IFERROR(__xludf.DUMMYFUNCTION("""COMPUTED_VALUE"""),"6803382")</f>
        <v>6803382</v>
      </c>
      <c r="E495" s="3" t="str">
        <f>IFERROR(__xludf.DUMMYFUNCTION("""COMPUTED_VALUE"""),"1")</f>
        <v>1</v>
      </c>
      <c r="F495" s="3" t="str">
        <f>IFERROR(__xludf.DUMMYFUNCTION("""COMPUTED_VALUE"""),"นพอ.กมลฉัตร ชาสุรีย์")</f>
        <v>นพอ.กมลฉัตร ชาสุรีย์</v>
      </c>
      <c r="G495" s="3" t="str">
        <f>IFERROR(__xludf.DUMMYFUNCTION("""COMPUTED_VALUE"""),"ช่วยเหลืองานภายใน วพอ.")</f>
        <v>ช่วยเหลืองานภายใน วพอ.</v>
      </c>
      <c r="H495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95" s="3" t="str">
        <f>IFERROR(__xludf.DUMMYFUNCTION("""COMPUTED_VALUE"""),"อาคารสำนักงานชั้น 4")</f>
        <v>อาคารสำนักงานชั้น 4</v>
      </c>
      <c r="J495" s="12">
        <f>IFERROR(__xludf.DUMMYFUNCTION("""COMPUTED_VALUE"""),46147.0)</f>
        <v>46147</v>
      </c>
      <c r="K495" s="3" t="str">
        <f>IFERROR(__xludf.DUMMYFUNCTION("""COMPUTED_VALUE"""),"1500-1800")</f>
        <v>1500-1800</v>
      </c>
      <c r="L495" s="3">
        <f>IFERROR(__xludf.DUMMYFUNCTION("""COMPUTED_VALUE"""),3.0)</f>
        <v>3</v>
      </c>
      <c r="M495" s="3" t="str">
        <f>IFERROR(__xludf.DUMMYFUNCTION("""COMPUTED_VALUE"""),"น.ต.ศักชัย บุญประสิทธิ์")</f>
        <v>น.ต.ศักชัย บุญประสิทธิ์</v>
      </c>
      <c r="N495" s="14" t="str">
        <f>IFERROR(__xludf.DUMMYFUNCTION("""COMPUTED_VALUE"""),"https://lh5.googleusercontent.com/d/1j9sWMrL7qhb1bPZRh6ne4naAZvSFyrNn")</f>
        <v>https://lh5.googleusercontent.com/d/1j9sWMrL7qhb1bPZRh6ne4naAZvSFyrNn</v>
      </c>
      <c r="O495" s="14" t="str">
        <f>IFERROR(__xludf.DUMMYFUNCTION("""COMPUTED_VALUE"""),"https://drive.google.com/file/d/15vjxfIpcFTYwgMvE98CNciDu6QzZtcf5/view?usp=drivesdk")</f>
        <v>https://drive.google.com/file/d/15vjxfIpcFTYwgMvE98CNciDu6QzZtcf5/view?usp=drivesdk</v>
      </c>
    </row>
    <row r="496">
      <c r="A496" s="3">
        <f>IFERROR(__xludf.DUMMYFUNCTION("""COMPUTED_VALUE"""),2329.0)</f>
        <v>2329</v>
      </c>
      <c r="B496" s="11">
        <f>IFERROR(__xludf.DUMMYFUNCTION("""COMPUTED_VALUE"""),46170.49802237268)</f>
        <v>46170.49802</v>
      </c>
      <c r="C496" s="3" t="str">
        <f>IFERROR(__xludf.DUMMYFUNCTION("""COMPUTED_VALUE"""),"ชั้นปีที่ 1")</f>
        <v>ชั้นปีที่ 1</v>
      </c>
      <c r="D496" s="3" t="str">
        <f>IFERROR(__xludf.DUMMYFUNCTION("""COMPUTED_VALUE"""),"6803921")</f>
        <v>6803921</v>
      </c>
      <c r="E496" s="3" t="str">
        <f>IFERROR(__xludf.DUMMYFUNCTION("""COMPUTED_VALUE"""),"40")</f>
        <v>40</v>
      </c>
      <c r="F496" s="3" t="str">
        <f>IFERROR(__xludf.DUMMYFUNCTION("""COMPUTED_VALUE"""),"นพอ.พิชญาภรณ์ บุตรวัง")</f>
        <v>นพอ.พิชญาภรณ์ บุตรวัง</v>
      </c>
      <c r="G496" s="3" t="str">
        <f>IFERROR(__xludf.DUMMYFUNCTION("""COMPUTED_VALUE"""),"ช่วยเหลืองานภายใน วพอ.")</f>
        <v>ช่วยเหลืองานภายใน วพอ.</v>
      </c>
      <c r="H49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6" s="3" t="str">
        <f>IFERROR(__xludf.DUMMYFUNCTION("""COMPUTED_VALUE"""),"วพอ.พอ.")</f>
        <v>วพอ.พอ.</v>
      </c>
      <c r="J496" s="12">
        <f>IFERROR(__xludf.DUMMYFUNCTION("""COMPUTED_VALUE"""),46133.0)</f>
        <v>46133</v>
      </c>
      <c r="K496" s="3" t="str">
        <f>IFERROR(__xludf.DUMMYFUNCTION("""COMPUTED_VALUE"""),"1700-2100")</f>
        <v>1700-2100</v>
      </c>
      <c r="L496" s="3">
        <f>IFERROR(__xludf.DUMMYFUNCTION("""COMPUTED_VALUE"""),4.0)</f>
        <v>4</v>
      </c>
      <c r="M496" s="3" t="str">
        <f>IFERROR(__xludf.DUMMYFUNCTION("""COMPUTED_VALUE"""),"ร.อ.อนุชิต ทำจะดี")</f>
        <v>ร.อ.อนุชิต ทำจะดี</v>
      </c>
      <c r="N496" s="14" t="str">
        <f>IFERROR(__xludf.DUMMYFUNCTION("""COMPUTED_VALUE"""),"https://lh5.googleusercontent.com/d/18DPSsgWfHXxGGZuoBoU78OhVDqRbzE-4")</f>
        <v>https://lh5.googleusercontent.com/d/18DPSsgWfHXxGGZuoBoU78OhVDqRbzE-4</v>
      </c>
      <c r="O496" s="14" t="str">
        <f>IFERROR(__xludf.DUMMYFUNCTION("""COMPUTED_VALUE"""),"https://drive.google.com/file/d/1pLYmROd-5rFh1_FLwskG0cwGpJY_-yAL/view?usp=drivesdk")</f>
        <v>https://drive.google.com/file/d/1pLYmROd-5rFh1_FLwskG0cwGpJY_-yAL/view?usp=drivesdk</v>
      </c>
    </row>
    <row r="497">
      <c r="A497" s="3">
        <f>IFERROR(__xludf.DUMMYFUNCTION("""COMPUTED_VALUE"""),2330.0)</f>
        <v>2330</v>
      </c>
      <c r="B497" s="11">
        <f>IFERROR(__xludf.DUMMYFUNCTION("""COMPUTED_VALUE"""),46170.49979957176)</f>
        <v>46170.4998</v>
      </c>
      <c r="C497" s="3" t="str">
        <f>IFERROR(__xludf.DUMMYFUNCTION("""COMPUTED_VALUE"""),"ชั้นปีที่ 1")</f>
        <v>ชั้นปีที่ 1</v>
      </c>
      <c r="D497" s="3" t="str">
        <f>IFERROR(__xludf.DUMMYFUNCTION("""COMPUTED_VALUE"""),"6803921")</f>
        <v>6803921</v>
      </c>
      <c r="E497" s="3" t="str">
        <f>IFERROR(__xludf.DUMMYFUNCTION("""COMPUTED_VALUE"""),"40")</f>
        <v>40</v>
      </c>
      <c r="F497" s="3" t="str">
        <f>IFERROR(__xludf.DUMMYFUNCTION("""COMPUTED_VALUE"""),"นพอ.พิชญาภรณ์ บุตรวัง")</f>
        <v>นพอ.พิชญาภรณ์ บุตรวัง</v>
      </c>
      <c r="G497" s="3" t="str">
        <f>IFERROR(__xludf.DUMMYFUNCTION("""COMPUTED_VALUE"""),"ช่วยเหลืองานภายใน วพอ.")</f>
        <v>ช่วยเหลืองานภายใน วพอ.</v>
      </c>
      <c r="H49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497" s="3" t="str">
        <f>IFERROR(__xludf.DUMMYFUNCTION("""COMPUTED_VALUE"""),"วพอ.พอ.")</f>
        <v>วพอ.พอ.</v>
      </c>
      <c r="J497" s="12">
        <f>IFERROR(__xludf.DUMMYFUNCTION("""COMPUTED_VALUE"""),46134.0)</f>
        <v>46134</v>
      </c>
      <c r="K497" s="3" t="str">
        <f>IFERROR(__xludf.DUMMYFUNCTION("""COMPUTED_VALUE"""),"1700-2100")</f>
        <v>1700-2100</v>
      </c>
      <c r="L497" s="3">
        <f>IFERROR(__xludf.DUMMYFUNCTION("""COMPUTED_VALUE"""),4.0)</f>
        <v>4</v>
      </c>
      <c r="M497" s="3" t="str">
        <f>IFERROR(__xludf.DUMMYFUNCTION("""COMPUTED_VALUE"""),"ร.อ.อนุชิต ทำจะดี")</f>
        <v>ร.อ.อนุชิต ทำจะดี</v>
      </c>
      <c r="N497" s="14" t="str">
        <f>IFERROR(__xludf.DUMMYFUNCTION("""COMPUTED_VALUE"""),"https://lh5.googleusercontent.com/d/18blsgPyb5Q1ZOb-hB0UwcJKHIb1v-Huj")</f>
        <v>https://lh5.googleusercontent.com/d/18blsgPyb5Q1ZOb-hB0UwcJKHIb1v-Huj</v>
      </c>
      <c r="O497" s="14" t="str">
        <f>IFERROR(__xludf.DUMMYFUNCTION("""COMPUTED_VALUE"""),"https://drive.google.com/file/d/1xcQqKnNW8QnpgU2HAhi6mnhZi8X3uypV/view?usp=drivesdk")</f>
        <v>https://drive.google.com/file/d/1xcQqKnNW8QnpgU2HAhi6mnhZi8X3uypV/view?usp=drivesdk</v>
      </c>
    </row>
    <row r="498">
      <c r="A498" s="3">
        <f>IFERROR(__xludf.DUMMYFUNCTION("""COMPUTED_VALUE"""),2331.0)</f>
        <v>2331</v>
      </c>
      <c r="B498" s="11">
        <f>IFERROR(__xludf.DUMMYFUNCTION("""COMPUTED_VALUE"""),46170.50026045139)</f>
        <v>46170.50026</v>
      </c>
      <c r="C498" s="3" t="str">
        <f>IFERROR(__xludf.DUMMYFUNCTION("""COMPUTED_VALUE"""),"ชั้นปีที่ 1")</f>
        <v>ชั้นปีที่ 1</v>
      </c>
      <c r="D498" s="3" t="str">
        <f>IFERROR(__xludf.DUMMYFUNCTION("""COMPUTED_VALUE"""),"6803887")</f>
        <v>6803887</v>
      </c>
      <c r="E498" s="3" t="str">
        <f>IFERROR(__xludf.DUMMYFUNCTION("""COMPUTED_VALUE"""),"6")</f>
        <v>6</v>
      </c>
      <c r="F498" s="3" t="str">
        <f>IFERROR(__xludf.DUMMYFUNCTION("""COMPUTED_VALUE"""),"นพอ.กัญญวรา โกษาเสวียง")</f>
        <v>นพอ.กัญญวรา โกษาเสวียง</v>
      </c>
      <c r="G498" s="3" t="str">
        <f>IFERROR(__xludf.DUMMYFUNCTION("""COMPUTED_VALUE"""),"ช่วยเหลืองานภายใน วพอ.")</f>
        <v>ช่วยเหลืองานภายใน วพอ.</v>
      </c>
      <c r="H498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498" s="3" t="str">
        <f>IFERROR(__xludf.DUMMYFUNCTION("""COMPUTED_VALUE"""),"อาคารสำนักงานชั้น 4")</f>
        <v>อาคารสำนักงานชั้น 4</v>
      </c>
      <c r="J498" s="12">
        <f>IFERROR(__xludf.DUMMYFUNCTION("""COMPUTED_VALUE"""),46147.0)</f>
        <v>46147</v>
      </c>
      <c r="K498" s="3" t="str">
        <f>IFERROR(__xludf.DUMMYFUNCTION("""COMPUTED_VALUE"""),"1500-1800")</f>
        <v>1500-1800</v>
      </c>
      <c r="L498" s="3">
        <f>IFERROR(__xludf.DUMMYFUNCTION("""COMPUTED_VALUE"""),3.0)</f>
        <v>3</v>
      </c>
      <c r="M498" s="3" t="str">
        <f>IFERROR(__xludf.DUMMYFUNCTION("""COMPUTED_VALUE"""),"น.ต.ศักชัย บุญประสิทธิ์")</f>
        <v>น.ต.ศักชัย บุญประสิทธิ์</v>
      </c>
      <c r="N498" s="14" t="str">
        <f>IFERROR(__xludf.DUMMYFUNCTION("""COMPUTED_VALUE"""),"https://lh5.googleusercontent.com/d/1Kv62_HS2H06kJon26d6Mr4eMTUYaKFz0")</f>
        <v>https://lh5.googleusercontent.com/d/1Kv62_HS2H06kJon26d6Mr4eMTUYaKFz0</v>
      </c>
      <c r="O498" s="14" t="str">
        <f>IFERROR(__xludf.DUMMYFUNCTION("""COMPUTED_VALUE"""),"https://drive.google.com/file/d/1goVAjXAji_subElHr3a53irQejOZSJ8J/view?usp=drivesdk")</f>
        <v>https://drive.google.com/file/d/1goVAjXAji_subElHr3a53irQejOZSJ8J/view?usp=drivesdk</v>
      </c>
    </row>
    <row r="499">
      <c r="A499" s="3">
        <f>IFERROR(__xludf.DUMMYFUNCTION("""COMPUTED_VALUE"""),2332.0)</f>
        <v>2332</v>
      </c>
      <c r="B499" s="11">
        <f>IFERROR(__xludf.DUMMYFUNCTION("""COMPUTED_VALUE"""),46170.50037184028)</f>
        <v>46170.50037</v>
      </c>
      <c r="C499" s="3" t="str">
        <f>IFERROR(__xludf.DUMMYFUNCTION("""COMPUTED_VALUE"""),"ชั้นปีที่ 1")</f>
        <v>ชั้นปีที่ 1</v>
      </c>
      <c r="D499" s="3" t="str">
        <f>IFERROR(__xludf.DUMMYFUNCTION("""COMPUTED_VALUE"""),"6803022")</f>
        <v>6803022</v>
      </c>
      <c r="E499" s="3" t="str">
        <f>IFERROR(__xludf.DUMMYFUNCTION("""COMPUTED_VALUE"""),"41")</f>
        <v>41</v>
      </c>
      <c r="F499" s="3" t="str">
        <f>IFERROR(__xludf.DUMMYFUNCTION("""COMPUTED_VALUE"""),"นพอ.พินิษา อินทร์ศวร ")</f>
        <v>นพอ.พินิษา อินทร์ศวร </v>
      </c>
      <c r="G499" s="3" t="str">
        <f>IFERROR(__xludf.DUMMYFUNCTION("""COMPUTED_VALUE"""),"ช่วยเหลืองานภายใน วพอ.")</f>
        <v>ช่วยเหลืองานภายใน วพอ.</v>
      </c>
      <c r="H499" s="3" t="str">
        <f>IFERROR(__xludf.DUMMYFUNCTION("""COMPUTED_VALUE"""),"เก็บหินจัดสวน")</f>
        <v>เก็บหินจัดสวน</v>
      </c>
      <c r="I499" s="3" t="str">
        <f>IFERROR(__xludf.DUMMYFUNCTION("""COMPUTED_VALUE"""),"วพอ.พอ.")</f>
        <v>วพอ.พอ.</v>
      </c>
      <c r="J499" s="12">
        <f>IFERROR(__xludf.DUMMYFUNCTION("""COMPUTED_VALUE"""),46164.0)</f>
        <v>46164</v>
      </c>
      <c r="K499" s="3" t="str">
        <f>IFERROR(__xludf.DUMMYFUNCTION("""COMPUTED_VALUE"""),"15.00-18.00")</f>
        <v>15.00-18.00</v>
      </c>
      <c r="L499" s="3">
        <f>IFERROR(__xludf.DUMMYFUNCTION("""COMPUTED_VALUE"""),3.0)</f>
        <v>3</v>
      </c>
      <c r="M499" s="3" t="str">
        <f>IFERROR(__xludf.DUMMYFUNCTION("""COMPUTED_VALUE"""),"น.อ.หญิงนิตยา สุขแสน")</f>
        <v>น.อ.หญิงนิตยา สุขแสน</v>
      </c>
      <c r="N499" s="14" t="str">
        <f>IFERROR(__xludf.DUMMYFUNCTION("""COMPUTED_VALUE"""),"https://lh5.googleusercontent.com/d/1DAVUCdbL7wwxmrhJIdQ52wJBKi0VOsHb")</f>
        <v>https://lh5.googleusercontent.com/d/1DAVUCdbL7wwxmrhJIdQ52wJBKi0VOsHb</v>
      </c>
      <c r="O499" s="14" t="str">
        <f>IFERROR(__xludf.DUMMYFUNCTION("""COMPUTED_VALUE"""),"https://drive.google.com/file/d/1Ri2DlIyDVsYQQyVWO02FrPJZALjjNR3_/view?usp=drivesdk")</f>
        <v>https://drive.google.com/file/d/1Ri2DlIyDVsYQQyVWO02FrPJZALjjNR3_/view?usp=drivesdk</v>
      </c>
    </row>
    <row r="500">
      <c r="A500" s="3">
        <f>IFERROR(__xludf.DUMMYFUNCTION("""COMPUTED_VALUE"""),2334.0)</f>
        <v>2334</v>
      </c>
      <c r="B500" s="11">
        <f>IFERROR(__xludf.DUMMYFUNCTION("""COMPUTED_VALUE"""),46170.50155597222)</f>
        <v>46170.50156</v>
      </c>
      <c r="C500" s="3" t="str">
        <f>IFERROR(__xludf.DUMMYFUNCTION("""COMPUTED_VALUE"""),"ชั้นปีที่ 1")</f>
        <v>ชั้นปีที่ 1</v>
      </c>
      <c r="D500" s="3" t="str">
        <f>IFERROR(__xludf.DUMMYFUNCTION("""COMPUTED_VALUE"""),"6803921")</f>
        <v>6803921</v>
      </c>
      <c r="E500" s="3" t="str">
        <f>IFERROR(__xludf.DUMMYFUNCTION("""COMPUTED_VALUE"""),"40")</f>
        <v>40</v>
      </c>
      <c r="F500" s="3" t="str">
        <f>IFERROR(__xludf.DUMMYFUNCTION("""COMPUTED_VALUE"""),"นพอ.พิชญาภรณ์ บุตรวัง")</f>
        <v>นพอ.พิชญาภรณ์ บุตรวัง</v>
      </c>
      <c r="G500" s="3" t="str">
        <f>IFERROR(__xludf.DUMMYFUNCTION("""COMPUTED_VALUE"""),"ช่วยเหลืองานภายใน วพอ.")</f>
        <v>ช่วยเหลืองานภายใน วพอ.</v>
      </c>
      <c r="H50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0" s="3" t="str">
        <f>IFERROR(__xludf.DUMMYFUNCTION("""COMPUTED_VALUE"""),"วพอ.พอ.")</f>
        <v>วพอ.พอ.</v>
      </c>
      <c r="J500" s="12">
        <f>IFERROR(__xludf.DUMMYFUNCTION("""COMPUTED_VALUE"""),46135.0)</f>
        <v>46135</v>
      </c>
      <c r="K500" s="3" t="str">
        <f>IFERROR(__xludf.DUMMYFUNCTION("""COMPUTED_VALUE"""),"1700-2100")</f>
        <v>1700-2100</v>
      </c>
      <c r="L500" s="3">
        <f>IFERROR(__xludf.DUMMYFUNCTION("""COMPUTED_VALUE"""),4.0)</f>
        <v>4</v>
      </c>
      <c r="M500" s="3" t="str">
        <f>IFERROR(__xludf.DUMMYFUNCTION("""COMPUTED_VALUE"""),"ร.อ.อนุชิต ทำจะดี")</f>
        <v>ร.อ.อนุชิต ทำจะดี</v>
      </c>
      <c r="N500" s="14" t="str">
        <f>IFERROR(__xludf.DUMMYFUNCTION("""COMPUTED_VALUE"""),"https://lh5.googleusercontent.com/d/1Ruuj-JvHcOeiRrqSeDXPJLzRcWTlehYM")</f>
        <v>https://lh5.googleusercontent.com/d/1Ruuj-JvHcOeiRrqSeDXPJLzRcWTlehYM</v>
      </c>
      <c r="O500" s="14" t="str">
        <f>IFERROR(__xludf.DUMMYFUNCTION("""COMPUTED_VALUE"""),"https://drive.google.com/file/d/1dJV7TOrX6__QHDjK3PvFc0aBDvRXUlhl/view?usp=drivesdk")</f>
        <v>https://drive.google.com/file/d/1dJV7TOrX6__QHDjK3PvFc0aBDvRXUlhl/view?usp=drivesdk</v>
      </c>
    </row>
    <row r="501">
      <c r="A501" s="3">
        <f>IFERROR(__xludf.DUMMYFUNCTION("""COMPUTED_VALUE"""),2335.0)</f>
        <v>2335</v>
      </c>
      <c r="B501" s="11">
        <f>IFERROR(__xludf.DUMMYFUNCTION("""COMPUTED_VALUE"""),46170.50287849537)</f>
        <v>46170.50288</v>
      </c>
      <c r="C501" s="3" t="str">
        <f>IFERROR(__xludf.DUMMYFUNCTION("""COMPUTED_VALUE"""),"ชั้นปีที่ 1")</f>
        <v>ชั้นปีที่ 1</v>
      </c>
      <c r="D501" s="3" t="str">
        <f>IFERROR(__xludf.DUMMYFUNCTION("""COMPUTED_VALUE"""),"6803882")</f>
        <v>6803882</v>
      </c>
      <c r="E501" s="3" t="str">
        <f>IFERROR(__xludf.DUMMYFUNCTION("""COMPUTED_VALUE"""),"1")</f>
        <v>1</v>
      </c>
      <c r="F501" s="3" t="str">
        <f>IFERROR(__xludf.DUMMYFUNCTION("""COMPUTED_VALUE"""),"นพอ.กมลฉัตร ชาสุรีย์")</f>
        <v>นพอ.กมลฉัตร ชาสุรีย์</v>
      </c>
      <c r="G501" s="3" t="str">
        <f>IFERROR(__xludf.DUMMYFUNCTION("""COMPUTED_VALUE"""),"ช่วยเหลืองานภายใน วพอ.")</f>
        <v>ช่วยเหลืองานภายใน วพอ.</v>
      </c>
      <c r="H501" s="3" t="str">
        <f>IFERROR(__xludf.DUMMYFUNCTION("""COMPUTED_VALUE"""),"เก็บหิน")</f>
        <v>เก็บหิน</v>
      </c>
      <c r="I501" s="3" t="str">
        <f>IFERROR(__xludf.DUMMYFUNCTION("""COMPUTED_VALUE"""),"วพอ.พอ.")</f>
        <v>วพอ.พอ.</v>
      </c>
      <c r="J501" s="12">
        <f>IFERROR(__xludf.DUMMYFUNCTION("""COMPUTED_VALUE"""),46164.0)</f>
        <v>46164</v>
      </c>
      <c r="K501" s="3" t="str">
        <f>IFERROR(__xludf.DUMMYFUNCTION("""COMPUTED_VALUE"""),"1500-1800")</f>
        <v>1500-1800</v>
      </c>
      <c r="L501" s="3">
        <f>IFERROR(__xludf.DUMMYFUNCTION("""COMPUTED_VALUE"""),3.0)</f>
        <v>3</v>
      </c>
      <c r="M501" s="3" t="str">
        <f>IFERROR(__xludf.DUMMYFUNCTION("""COMPUTED_VALUE"""),"น.อ.หญิง นิตยา สุขแสน")</f>
        <v>น.อ.หญิง นิตยา สุขแสน</v>
      </c>
      <c r="N501" s="14" t="str">
        <f>IFERROR(__xludf.DUMMYFUNCTION("""COMPUTED_VALUE"""),"https://lh5.googleusercontent.com/d/1Ybtbs37FuHELp0HuWD1yHrHfSJD_IYoi")</f>
        <v>https://lh5.googleusercontent.com/d/1Ybtbs37FuHELp0HuWD1yHrHfSJD_IYoi</v>
      </c>
      <c r="O501" s="14" t="str">
        <f>IFERROR(__xludf.DUMMYFUNCTION("""COMPUTED_VALUE"""),"https://drive.google.com/file/d/1sn7N01imi2uz_TmS5eP4ZMRw470A8WwV/view?usp=drivesdk")</f>
        <v>https://drive.google.com/file/d/1sn7N01imi2uz_TmS5eP4ZMRw470A8WwV/view?usp=drivesdk</v>
      </c>
    </row>
    <row r="502">
      <c r="A502" s="3">
        <f>IFERROR(__xludf.DUMMYFUNCTION("""COMPUTED_VALUE"""),2336.0)</f>
        <v>2336</v>
      </c>
      <c r="B502" s="11">
        <f>IFERROR(__xludf.DUMMYFUNCTION("""COMPUTED_VALUE"""),46170.52826875)</f>
        <v>46170.52827</v>
      </c>
      <c r="C502" s="3" t="str">
        <f>IFERROR(__xludf.DUMMYFUNCTION("""COMPUTED_VALUE"""),"ชั้นปีที่ 1")</f>
        <v>ชั้นปีที่ 1</v>
      </c>
      <c r="D502" s="3" t="str">
        <f>IFERROR(__xludf.DUMMYFUNCTION("""COMPUTED_VALUE"""),"6803922")</f>
        <v>6803922</v>
      </c>
      <c r="E502" s="3" t="str">
        <f>IFERROR(__xludf.DUMMYFUNCTION("""COMPUTED_VALUE"""),"41")</f>
        <v>41</v>
      </c>
      <c r="F502" s="3" t="str">
        <f>IFERROR(__xludf.DUMMYFUNCTION("""COMPUTED_VALUE"""),"นพอ.พินิษา อินทร์ศวร")</f>
        <v>นพอ.พินิษา อินทร์ศวร</v>
      </c>
      <c r="G50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2" s="3" t="str">
        <f>IFERROR(__xludf.DUMMYFUNCTION("""COMPUTED_VALUE"""),"Green market")</f>
        <v>Green market</v>
      </c>
      <c r="I502" s="3" t="str">
        <f>IFERROR(__xludf.DUMMYFUNCTION("""COMPUTED_VALUE"""),"อาคารอเนกประสงค์ชาวฟ้า")</f>
        <v>อาคารอเนกประสงค์ชาวฟ้า</v>
      </c>
      <c r="J502" s="12">
        <f>IFERROR(__xludf.DUMMYFUNCTION("""COMPUTED_VALUE"""),46134.0)</f>
        <v>46134</v>
      </c>
      <c r="K502" s="3" t="str">
        <f>IFERROR(__xludf.DUMMYFUNCTION("""COMPUTED_VALUE"""),"08.00-17.00")</f>
        <v>08.00-17.00</v>
      </c>
      <c r="L502" s="3">
        <f>IFERROR(__xludf.DUMMYFUNCTION("""COMPUTED_VALUE"""),8.0)</f>
        <v>8</v>
      </c>
      <c r="M502" s="3" t="str">
        <f>IFERROR(__xludf.DUMMYFUNCTION("""COMPUTED_VALUE"""),"ร.อ.ฤทธิพล อ้วนสิงห์")</f>
        <v>ร.อ.ฤทธิพล อ้วนสิงห์</v>
      </c>
      <c r="N502" s="14" t="str">
        <f>IFERROR(__xludf.DUMMYFUNCTION("""COMPUTED_VALUE"""),"https://lh5.googleusercontent.com/d/1jeJzB2dR1z_0i960ESPKGjgeC4byeLEi")</f>
        <v>https://lh5.googleusercontent.com/d/1jeJzB2dR1z_0i960ESPKGjgeC4byeLEi</v>
      </c>
      <c r="O502" s="14" t="str">
        <f>IFERROR(__xludf.DUMMYFUNCTION("""COMPUTED_VALUE"""),"https://drive.google.com/file/d/1NlzMZrww57Rnfqexl3VVOJKtTuXGbm9R/view?usp=drivesdk")</f>
        <v>https://drive.google.com/file/d/1NlzMZrww57Rnfqexl3VVOJKtTuXGbm9R/view?usp=drivesdk</v>
      </c>
    </row>
    <row r="503">
      <c r="A503" s="3">
        <f>IFERROR(__xludf.DUMMYFUNCTION("""COMPUTED_VALUE"""),2337.0)</f>
        <v>2337</v>
      </c>
      <c r="B503" s="11">
        <f>IFERROR(__xludf.DUMMYFUNCTION("""COMPUTED_VALUE"""),46170.53026658564)</f>
        <v>46170.53027</v>
      </c>
      <c r="C503" s="3" t="str">
        <f>IFERROR(__xludf.DUMMYFUNCTION("""COMPUTED_VALUE"""),"ชั้นปีที่ 1")</f>
        <v>ชั้นปีที่ 1</v>
      </c>
      <c r="D503" s="3" t="str">
        <f>IFERROR(__xludf.DUMMYFUNCTION("""COMPUTED_VALUE"""),"6803930")</f>
        <v>6803930</v>
      </c>
      <c r="E503" s="3" t="str">
        <f>IFERROR(__xludf.DUMMYFUNCTION("""COMPUTED_VALUE"""),"49")</f>
        <v>49</v>
      </c>
      <c r="F503" s="3" t="str">
        <f>IFERROR(__xludf.DUMMYFUNCTION("""COMPUTED_VALUE"""),"นพอ.ยุพารัตน์ ดาวลาย")</f>
        <v>นพอ.ยุพารัตน์ ดาวลาย</v>
      </c>
      <c r="G503" s="3" t="str">
        <f>IFERROR(__xludf.DUMMYFUNCTION("""COMPUTED_VALUE"""),"งานฟรีทั่วไป")</f>
        <v>งานฟรีทั่วไป</v>
      </c>
      <c r="H503" s="3" t="str">
        <f>IFERROR(__xludf.DUMMYFUNCTION("""COMPUTED_VALUE"""),"ถูบันได")</f>
        <v>ถูบันได</v>
      </c>
      <c r="I503" s="3" t="str">
        <f>IFERROR(__xludf.DUMMYFUNCTION("""COMPUTED_VALUE"""),"บ้านดาวลาย 286/6 ถนนพหลโยธิน 62 จ.ปทุมธานี")</f>
        <v>บ้านดาวลาย 286/6 ถนนพหลโยธิน 62 จ.ปทุมธานี</v>
      </c>
      <c r="J503" s="12">
        <f>IFERROR(__xludf.DUMMYFUNCTION("""COMPUTED_VALUE"""),46166.0)</f>
        <v>46166</v>
      </c>
      <c r="K503" s="3" t="str">
        <f>IFERROR(__xludf.DUMMYFUNCTION("""COMPUTED_VALUE"""),"0900-1000")</f>
        <v>0900-1000</v>
      </c>
      <c r="L503" s="3">
        <f>IFERROR(__xludf.DUMMYFUNCTION("""COMPUTED_VALUE"""),1.0)</f>
        <v>1</v>
      </c>
      <c r="M503" s="3" t="str">
        <f>IFERROR(__xludf.DUMMYFUNCTION("""COMPUTED_VALUE"""),"นายประวีป ดาวลาย")</f>
        <v>นายประวีป ดาวลาย</v>
      </c>
      <c r="N503" s="14" t="str">
        <f>IFERROR(__xludf.DUMMYFUNCTION("""COMPUTED_VALUE"""),"https://lh5.googleusercontent.com/d/1qbs_BQGfQwSoAButLUNHOsLCHdIDXEHm")</f>
        <v>https://lh5.googleusercontent.com/d/1qbs_BQGfQwSoAButLUNHOsLCHdIDXEHm</v>
      </c>
      <c r="O503" s="14" t="str">
        <f>IFERROR(__xludf.DUMMYFUNCTION("""COMPUTED_VALUE"""),"https://drive.google.com/file/d/1VyPmM0wNUsUDbivTX2VTJcCyValbh63f/view?usp=drivesdk")</f>
        <v>https://drive.google.com/file/d/1VyPmM0wNUsUDbivTX2VTJcCyValbh63f/view?usp=drivesdk</v>
      </c>
    </row>
    <row r="504">
      <c r="A504" s="3">
        <f>IFERROR(__xludf.DUMMYFUNCTION("""COMPUTED_VALUE"""),2338.0)</f>
        <v>2338</v>
      </c>
      <c r="B504" s="11">
        <f>IFERROR(__xludf.DUMMYFUNCTION("""COMPUTED_VALUE"""),46170.53041436343)</f>
        <v>46170.53041</v>
      </c>
      <c r="C504" s="3" t="str">
        <f>IFERROR(__xludf.DUMMYFUNCTION("""COMPUTED_VALUE"""),"ชั้นปีที่ 1")</f>
        <v>ชั้นปีที่ 1</v>
      </c>
      <c r="D504" s="3" t="str">
        <f>IFERROR(__xludf.DUMMYFUNCTION("""COMPUTED_VALUE"""),"6803924")</f>
        <v>6803924</v>
      </c>
      <c r="E504" s="3" t="str">
        <f>IFERROR(__xludf.DUMMYFUNCTION("""COMPUTED_VALUE"""),"43")</f>
        <v>43</v>
      </c>
      <c r="F504" s="3" t="str">
        <f>IFERROR(__xludf.DUMMYFUNCTION("""COMPUTED_VALUE"""),"นพอ.พีรชา แสงไทย")</f>
        <v>นพอ.พีรชา แสงไทย</v>
      </c>
      <c r="G50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4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04" s="3" t="str">
        <f>IFERROR(__xludf.DUMMYFUNCTION("""COMPUTED_VALUE"""),"สนามกีฬาธูปะเตมีย์")</f>
        <v>สนามกีฬาธูปะเตมีย์</v>
      </c>
      <c r="J504" s="12">
        <f>IFERROR(__xludf.DUMMYFUNCTION("""COMPUTED_VALUE"""),46078.0)</f>
        <v>46078</v>
      </c>
      <c r="K504" s="3" t="str">
        <f>IFERROR(__xludf.DUMMYFUNCTION("""COMPUTED_VALUE"""),"1200-2000")</f>
        <v>1200-2000</v>
      </c>
      <c r="L504" s="3">
        <f>IFERROR(__xludf.DUMMYFUNCTION("""COMPUTED_VALUE"""),8.0)</f>
        <v>8</v>
      </c>
      <c r="M50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04" s="14" t="str">
        <f>IFERROR(__xludf.DUMMYFUNCTION("""COMPUTED_VALUE"""),"https://lh5.googleusercontent.com/d/1CxBo4ZdbWMXZJjKGyPaOMaFH23MSEfPX")</f>
        <v>https://lh5.googleusercontent.com/d/1CxBo4ZdbWMXZJjKGyPaOMaFH23MSEfPX</v>
      </c>
      <c r="O504" s="14" t="str">
        <f>IFERROR(__xludf.DUMMYFUNCTION("""COMPUTED_VALUE"""),"https://drive.google.com/file/d/1YftZ9mIYPllxSuB2MFxDtEy1eIiVodtH/view?usp=drivesdk")</f>
        <v>https://drive.google.com/file/d/1YftZ9mIYPllxSuB2MFxDtEy1eIiVodtH/view?usp=drivesdk</v>
      </c>
    </row>
    <row r="505">
      <c r="A505" s="3">
        <f>IFERROR(__xludf.DUMMYFUNCTION("""COMPUTED_VALUE"""),2339.0)</f>
        <v>2339</v>
      </c>
      <c r="B505" s="11">
        <f>IFERROR(__xludf.DUMMYFUNCTION("""COMPUTED_VALUE"""),46170.532667395826)</f>
        <v>46170.53267</v>
      </c>
      <c r="C505" s="3" t="str">
        <f>IFERROR(__xludf.DUMMYFUNCTION("""COMPUTED_VALUE"""),"ชั้นปีที่ 1")</f>
        <v>ชั้นปีที่ 1</v>
      </c>
      <c r="D505" s="3" t="str">
        <f>IFERROR(__xludf.DUMMYFUNCTION("""COMPUTED_VALUE"""),"6803920")</f>
        <v>6803920</v>
      </c>
      <c r="E505" s="3" t="str">
        <f>IFERROR(__xludf.DUMMYFUNCTION("""COMPUTED_VALUE"""),"39")</f>
        <v>39</v>
      </c>
      <c r="F505" s="3" t="str">
        <f>IFERROR(__xludf.DUMMYFUNCTION("""COMPUTED_VALUE"""),"นพอ.พัทธ์ธีรา สมานมาก")</f>
        <v>นพอ.พัทธ์ธีรา สมานมาก</v>
      </c>
      <c r="G50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5" s="3" t="str">
        <f>IFERROR(__xludf.DUMMYFUNCTION("""COMPUTED_VALUE"""),"Be Green market")</f>
        <v>Be Green market</v>
      </c>
      <c r="I505" s="3" t="str">
        <f>IFERROR(__xludf.DUMMYFUNCTION("""COMPUTED_VALUE"""),"อาคารอเนกประสงค์ชาวฟ้า สโมสรทหารอากาศชั้นประทวน")</f>
        <v>อาคารอเนกประสงค์ชาวฟ้า สโมสรทหารอากาศชั้นประทวน</v>
      </c>
      <c r="J505" s="12">
        <f>IFERROR(__xludf.DUMMYFUNCTION("""COMPUTED_VALUE"""),46134.0)</f>
        <v>46134</v>
      </c>
      <c r="K505" s="3" t="str">
        <f>IFERROR(__xludf.DUMMYFUNCTION("""COMPUTED_VALUE"""),"0800-1700")</f>
        <v>0800-1700</v>
      </c>
      <c r="L505" s="3">
        <f>IFERROR(__xludf.DUMMYFUNCTION("""COMPUTED_VALUE"""),8.0)</f>
        <v>8</v>
      </c>
      <c r="M505" s="3" t="str">
        <f>IFERROR(__xludf.DUMMYFUNCTION("""COMPUTED_VALUE"""),"ร.อ.ฤทธิพล อ้วนสิงห์")</f>
        <v>ร.อ.ฤทธิพล อ้วนสิงห์</v>
      </c>
      <c r="N505" s="14" t="str">
        <f>IFERROR(__xludf.DUMMYFUNCTION("""COMPUTED_VALUE"""),"https://lh5.googleusercontent.com/d/1ini5SR5Wlxp9yqchg6AndRk97T8foX1T")</f>
        <v>https://lh5.googleusercontent.com/d/1ini5SR5Wlxp9yqchg6AndRk97T8foX1T</v>
      </c>
      <c r="O505" s="14" t="str">
        <f>IFERROR(__xludf.DUMMYFUNCTION("""COMPUTED_VALUE"""),"https://drive.google.com/file/d/1gIAv33CZZKDZ9UbTpCE09GKIIhcdSIQy/view?usp=drivesdk")</f>
        <v>https://drive.google.com/file/d/1gIAv33CZZKDZ9UbTpCE09GKIIhcdSIQy/view?usp=drivesdk</v>
      </c>
    </row>
    <row r="506">
      <c r="A506" s="3">
        <f>IFERROR(__xludf.DUMMYFUNCTION("""COMPUTED_VALUE"""),2340.0)</f>
        <v>2340</v>
      </c>
      <c r="B506" s="11">
        <f>IFERROR(__xludf.DUMMYFUNCTION("""COMPUTED_VALUE"""),46170.538808576384)</f>
        <v>46170.53881</v>
      </c>
      <c r="C506" s="3" t="str">
        <f>IFERROR(__xludf.DUMMYFUNCTION("""COMPUTED_VALUE"""),"ชั้นปีที่ 1")</f>
        <v>ชั้นปีที่ 1</v>
      </c>
      <c r="D506" s="3" t="str">
        <f>IFERROR(__xludf.DUMMYFUNCTION("""COMPUTED_VALUE"""),"6803921")</f>
        <v>6803921</v>
      </c>
      <c r="E506" s="3" t="str">
        <f>IFERROR(__xludf.DUMMYFUNCTION("""COMPUTED_VALUE"""),"40")</f>
        <v>40</v>
      </c>
      <c r="F506" s="3" t="str">
        <f>IFERROR(__xludf.DUMMYFUNCTION("""COMPUTED_VALUE"""),"นพอ.พิชญาภรณ์ บุตรวัง")</f>
        <v>นพอ.พิชญาภรณ์ บุตรวัง</v>
      </c>
      <c r="G506" s="3" t="str">
        <f>IFERROR(__xludf.DUMMYFUNCTION("""COMPUTED_VALUE"""),"ช่วยเหลืองานภายใน วพอ.")</f>
        <v>ช่วยเหลืองานภายใน วพอ.</v>
      </c>
      <c r="H50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6" s="3" t="str">
        <f>IFERROR(__xludf.DUMMYFUNCTION("""COMPUTED_VALUE"""),"วพอ.พอ.")</f>
        <v>วพอ.พอ.</v>
      </c>
      <c r="J506" s="12">
        <f>IFERROR(__xludf.DUMMYFUNCTION("""COMPUTED_VALUE"""),46138.0)</f>
        <v>46138</v>
      </c>
      <c r="K506" s="3" t="str">
        <f>IFERROR(__xludf.DUMMYFUNCTION("""COMPUTED_VALUE"""),"1500-2100")</f>
        <v>1500-2100</v>
      </c>
      <c r="L506" s="3">
        <f>IFERROR(__xludf.DUMMYFUNCTION("""COMPUTED_VALUE"""),6.0)</f>
        <v>6</v>
      </c>
      <c r="M506" s="3" t="str">
        <f>IFERROR(__xludf.DUMMYFUNCTION("""COMPUTED_VALUE"""),"ร.อ.อนุชิต ทำจะดี")</f>
        <v>ร.อ.อนุชิต ทำจะดี</v>
      </c>
      <c r="N506" s="14" t="str">
        <f>IFERROR(__xludf.DUMMYFUNCTION("""COMPUTED_VALUE"""),"https://lh5.googleusercontent.com/d/1sK98xr3k-5UBhoAggnUdEa4M_sjaesNe")</f>
        <v>https://lh5.googleusercontent.com/d/1sK98xr3k-5UBhoAggnUdEa4M_sjaesNe</v>
      </c>
      <c r="O506" s="14" t="str">
        <f>IFERROR(__xludf.DUMMYFUNCTION("""COMPUTED_VALUE"""),"https://drive.google.com/file/d/1yBw3-a9R5GyEXxznwdgwIIpG_X8v1DN0/view?usp=drivesdk")</f>
        <v>https://drive.google.com/file/d/1yBw3-a9R5GyEXxznwdgwIIpG_X8v1DN0/view?usp=drivesdk</v>
      </c>
    </row>
    <row r="507">
      <c r="A507" s="3">
        <f>IFERROR(__xludf.DUMMYFUNCTION("""COMPUTED_VALUE"""),2341.0)</f>
        <v>2341</v>
      </c>
      <c r="B507" s="11">
        <f>IFERROR(__xludf.DUMMYFUNCTION("""COMPUTED_VALUE"""),46170.54040866898)</f>
        <v>46170.54041</v>
      </c>
      <c r="C507" s="3" t="str">
        <f>IFERROR(__xludf.DUMMYFUNCTION("""COMPUTED_VALUE"""),"ชั้นปีที่ 1")</f>
        <v>ชั้นปีที่ 1</v>
      </c>
      <c r="D507" s="3" t="str">
        <f>IFERROR(__xludf.DUMMYFUNCTION("""COMPUTED_VALUE"""),"6803921")</f>
        <v>6803921</v>
      </c>
      <c r="E507" s="3" t="str">
        <f>IFERROR(__xludf.DUMMYFUNCTION("""COMPUTED_VALUE"""),"40")</f>
        <v>40</v>
      </c>
      <c r="F507" s="3" t="str">
        <f>IFERROR(__xludf.DUMMYFUNCTION("""COMPUTED_VALUE"""),"นพอ.พิชญาภรณ์ บุตรวัง")</f>
        <v>นพอ.พิชญาภรณ์ บุตรวัง</v>
      </c>
      <c r="G507" s="3" t="str">
        <f>IFERROR(__xludf.DUMMYFUNCTION("""COMPUTED_VALUE"""),"ช่วยเหลืองานภายใน วพอ.")</f>
        <v>ช่วยเหลืองานภายใน วพอ.</v>
      </c>
      <c r="H50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07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07" s="12">
        <f>IFERROR(__xludf.DUMMYFUNCTION("""COMPUTED_VALUE"""),46139.0)</f>
        <v>46139</v>
      </c>
      <c r="K507" s="3" t="str">
        <f>IFERROR(__xludf.DUMMYFUNCTION("""COMPUTED_VALUE"""),"1700-2100")</f>
        <v>1700-2100</v>
      </c>
      <c r="L507" s="3">
        <f>IFERROR(__xludf.DUMMYFUNCTION("""COMPUTED_VALUE"""),4.0)</f>
        <v>4</v>
      </c>
      <c r="M507" s="3" t="str">
        <f>IFERROR(__xludf.DUMMYFUNCTION("""COMPUTED_VALUE"""),"ร.อ.อนุชิต ทำจะดี")</f>
        <v>ร.อ.อนุชิต ทำจะดี</v>
      </c>
      <c r="N507" s="14" t="str">
        <f>IFERROR(__xludf.DUMMYFUNCTION("""COMPUTED_VALUE"""),"https://lh5.googleusercontent.com/d/1PRVzzpZroJdtnvWz8aEA_x_FiEzohe-2")</f>
        <v>https://lh5.googleusercontent.com/d/1PRVzzpZroJdtnvWz8aEA_x_FiEzohe-2</v>
      </c>
      <c r="O507" s="14" t="str">
        <f>IFERROR(__xludf.DUMMYFUNCTION("""COMPUTED_VALUE"""),"https://drive.google.com/file/d/1zdC0vtdHodhvTkkuI0GqeiKUh0eA7CPO/view?usp=drivesdk")</f>
        <v>https://drive.google.com/file/d/1zdC0vtdHodhvTkkuI0GqeiKUh0eA7CPO/view?usp=drivesdk</v>
      </c>
    </row>
    <row r="508">
      <c r="A508" s="3">
        <f>IFERROR(__xludf.DUMMYFUNCTION("""COMPUTED_VALUE"""),2342.0)</f>
        <v>2342</v>
      </c>
      <c r="B508" s="11">
        <f>IFERROR(__xludf.DUMMYFUNCTION("""COMPUTED_VALUE"""),46170.54314195602)</f>
        <v>46170.54314</v>
      </c>
      <c r="C508" s="3" t="str">
        <f>IFERROR(__xludf.DUMMYFUNCTION("""COMPUTED_VALUE"""),"ชั้นปีที่ 1")</f>
        <v>ชั้นปีที่ 1</v>
      </c>
      <c r="D508" s="3" t="str">
        <f>IFERROR(__xludf.DUMMYFUNCTION("""COMPUTED_VALUE"""),"6803939")</f>
        <v>6803939</v>
      </c>
      <c r="E508" s="3" t="str">
        <f>IFERROR(__xludf.DUMMYFUNCTION("""COMPUTED_VALUE"""),"58")</f>
        <v>58</v>
      </c>
      <c r="F508" s="3" t="str">
        <f>IFERROR(__xludf.DUMMYFUNCTION("""COMPUTED_VALUE"""),"นพอ.สุภาวดี สุวรรณโกศัย")</f>
        <v>นพอ.สุภาวดี สุวรรณโกศัย</v>
      </c>
      <c r="G50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8" s="3" t="str">
        <f>IFERROR(__xludf.DUMMYFUNCTION("""COMPUTED_VALUE"""),"พิธีฟังสารผู้บัญชาการทหารอากาศเนื่องใน“วันกองทัพอากาศ”ประจำปี2569")</f>
        <v>พิธีฟังสารผู้บัญชาการทหารอากาศเนื่องใน“วันกองทัพอากาศ”ประจำปี2569</v>
      </c>
      <c r="I508" s="3" t="str">
        <f>IFERROR(__xludf.DUMMYFUNCTION("""COMPUTED_VALUE"""),"บก.ทอ.")</f>
        <v>บก.ทอ.</v>
      </c>
      <c r="J508" s="12">
        <f>IFERROR(__xludf.DUMMYFUNCTION("""COMPUTED_VALUE"""),46121.0)</f>
        <v>46121</v>
      </c>
      <c r="K508" s="3" t="str">
        <f>IFERROR(__xludf.DUMMYFUNCTION("""COMPUTED_VALUE"""),"0600-1400")</f>
        <v>0600-1400</v>
      </c>
      <c r="L508" s="3">
        <f>IFERROR(__xludf.DUMMYFUNCTION("""COMPUTED_VALUE"""),8.0)</f>
        <v>8</v>
      </c>
      <c r="M508" s="3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508" s="14" t="str">
        <f>IFERROR(__xludf.DUMMYFUNCTION("""COMPUTED_VALUE"""),"https://lh5.googleusercontent.com/d/1rlrXT_1qbuidw4Hk-5r6rISv-D8qn34q")</f>
        <v>https://lh5.googleusercontent.com/d/1rlrXT_1qbuidw4Hk-5r6rISv-D8qn34q</v>
      </c>
      <c r="O508" s="14" t="str">
        <f>IFERROR(__xludf.DUMMYFUNCTION("""COMPUTED_VALUE"""),"https://drive.google.com/file/d/1t3QzSlfVeha7Nb_ZhnRIzLlwtsB8JC0-/view?usp=drivesdk")</f>
        <v>https://drive.google.com/file/d/1t3QzSlfVeha7Nb_ZhnRIzLlwtsB8JC0-/view?usp=drivesdk</v>
      </c>
    </row>
    <row r="509">
      <c r="A509" s="3">
        <f>IFERROR(__xludf.DUMMYFUNCTION("""COMPUTED_VALUE"""),2344.0)</f>
        <v>2344</v>
      </c>
      <c r="B509" s="11">
        <f>IFERROR(__xludf.DUMMYFUNCTION("""COMPUTED_VALUE"""),46170.54689355323)</f>
        <v>46170.54689</v>
      </c>
      <c r="C509" s="3" t="str">
        <f>IFERROR(__xludf.DUMMYFUNCTION("""COMPUTED_VALUE"""),"ชั้นปีที่ 1")</f>
        <v>ชั้นปีที่ 1</v>
      </c>
      <c r="D509" s="3" t="str">
        <f>IFERROR(__xludf.DUMMYFUNCTION("""COMPUTED_VALUE"""),"6803906")</f>
        <v>6803906</v>
      </c>
      <c r="E509" s="3" t="str">
        <f>IFERROR(__xludf.DUMMYFUNCTION("""COMPUTED_VALUE"""),"25")</f>
        <v>25</v>
      </c>
      <c r="F509" s="3" t="str">
        <f>IFERROR(__xludf.DUMMYFUNCTION("""COMPUTED_VALUE"""),"นพอ.ธัญวรัตน์ ยงคะวิสัย")</f>
        <v>นพอ.ธัญวรัตน์ ยงคะวิสัย</v>
      </c>
      <c r="G50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09" s="3" t="str">
        <f>IFERROR(__xludf.DUMMYFUNCTION("""COMPUTED_VALUE"""),"พิธีฟังสารผู้บัญชาการทหารอากาศ เนื่องใน ""วันกองทัพอากาศ"" ประจำปี 2569")</f>
        <v>พิธีฟังสารผู้บัญชาการทหารอากาศ เนื่องใน "วันกองทัพอากาศ" ประจำปี 2569</v>
      </c>
      <c r="I509" s="3" t="str">
        <f>IFERROR(__xludf.DUMMYFUNCTION("""COMPUTED_VALUE"""),"บก.ทอ.")</f>
        <v>บก.ทอ.</v>
      </c>
      <c r="J509" s="12">
        <f>IFERROR(__xludf.DUMMYFUNCTION("""COMPUTED_VALUE"""),46121.0)</f>
        <v>46121</v>
      </c>
      <c r="K509" s="3" t="str">
        <f>IFERROR(__xludf.DUMMYFUNCTION("""COMPUTED_VALUE"""),"0600-1400")</f>
        <v>0600-1400</v>
      </c>
      <c r="L509" s="3">
        <f>IFERROR(__xludf.DUMMYFUNCTION("""COMPUTED_VALUE"""),8.0)</f>
        <v>8</v>
      </c>
      <c r="M509" s="3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509" s="14" t="str">
        <f>IFERROR(__xludf.DUMMYFUNCTION("""COMPUTED_VALUE"""),"https://lh5.googleusercontent.com/d/1z3NfVN0rFh3hfiiyfy2DQmR5bJPrahQw")</f>
        <v>https://lh5.googleusercontent.com/d/1z3NfVN0rFh3hfiiyfy2DQmR5bJPrahQw</v>
      </c>
      <c r="O509" s="14" t="str">
        <f>IFERROR(__xludf.DUMMYFUNCTION("""COMPUTED_VALUE"""),"https://drive.google.com/file/d/13ak3w5VQdTE7mduMZyEszs3eARnbnlQJ/view?usp=drivesdk")</f>
        <v>https://drive.google.com/file/d/13ak3w5VQdTE7mduMZyEszs3eARnbnlQJ/view?usp=drivesdk</v>
      </c>
    </row>
    <row r="510">
      <c r="A510" s="3">
        <f>IFERROR(__xludf.DUMMYFUNCTION("""COMPUTED_VALUE"""),2345.0)</f>
        <v>2345</v>
      </c>
      <c r="B510" s="11">
        <f>IFERROR(__xludf.DUMMYFUNCTION("""COMPUTED_VALUE"""),46170.547138009264)</f>
        <v>46170.54714</v>
      </c>
      <c r="C510" s="3" t="str">
        <f>IFERROR(__xludf.DUMMYFUNCTION("""COMPUTED_VALUE"""),"ชั้นปีที่ 1")</f>
        <v>ชั้นปีที่ 1</v>
      </c>
      <c r="D510" s="3" t="str">
        <f>IFERROR(__xludf.DUMMYFUNCTION("""COMPUTED_VALUE"""),"6803939")</f>
        <v>6803939</v>
      </c>
      <c r="E510" s="3" t="str">
        <f>IFERROR(__xludf.DUMMYFUNCTION("""COMPUTED_VALUE"""),"58")</f>
        <v>58</v>
      </c>
      <c r="F510" s="3" t="str">
        <f>IFERROR(__xludf.DUMMYFUNCTION("""COMPUTED_VALUE"""),"นพอ.สุภาวดี สุวรรณโกศัย")</f>
        <v>นพอ.สุภาวดี สุวรรณโกศัย</v>
      </c>
      <c r="G510" s="3" t="str">
        <f>IFERROR(__xludf.DUMMYFUNCTION("""COMPUTED_VALUE"""),"ช่วยเหลืองานภายใน วพอ.")</f>
        <v>ช่วยเหลืองานภายใน วพอ.</v>
      </c>
      <c r="H510" s="3" t="str">
        <f>IFERROR(__xludf.DUMMYFUNCTION("""COMPUTED_VALUE"""),"วงดุริยางค์")</f>
        <v>วงดุริยางค์</v>
      </c>
      <c r="I510" s="3" t="str">
        <f>IFERROR(__xludf.DUMMYFUNCTION("""COMPUTED_VALUE"""),"วพอ.พอ.")</f>
        <v>วพอ.พอ.</v>
      </c>
      <c r="J510" s="12">
        <f>IFERROR(__xludf.DUMMYFUNCTION("""COMPUTED_VALUE"""),46079.0)</f>
        <v>46079</v>
      </c>
      <c r="K510" s="3" t="str">
        <f>IFERROR(__xludf.DUMMYFUNCTION("""COMPUTED_VALUE"""),"0700-0800")</f>
        <v>0700-0800</v>
      </c>
      <c r="L510" s="3">
        <f>IFERROR(__xludf.DUMMYFUNCTION("""COMPUTED_VALUE"""),1.0)</f>
        <v>1</v>
      </c>
      <c r="M510" s="3" t="str">
        <f>IFERROR(__xludf.DUMMYFUNCTION("""COMPUTED_VALUE"""),"ร.อ อนุชิต ทำจะดี")</f>
        <v>ร.อ อนุชิต ทำจะดี</v>
      </c>
      <c r="N510" s="14" t="str">
        <f>IFERROR(__xludf.DUMMYFUNCTION("""COMPUTED_VALUE"""),"https://lh5.googleusercontent.com/d/173oWD4QhbP9nfUzZ1yA9w00X1cdlfs7U")</f>
        <v>https://lh5.googleusercontent.com/d/173oWD4QhbP9nfUzZ1yA9w00X1cdlfs7U</v>
      </c>
      <c r="O510" s="14" t="str">
        <f>IFERROR(__xludf.DUMMYFUNCTION("""COMPUTED_VALUE"""),"https://drive.google.com/file/d/1UQc4CMcwsNwNKSUn29hTkviosKz7b2qW/view?usp=drivesdk")</f>
        <v>https://drive.google.com/file/d/1UQc4CMcwsNwNKSUn29hTkviosKz7b2qW/view?usp=drivesdk</v>
      </c>
    </row>
    <row r="511">
      <c r="A511" s="3">
        <f>IFERROR(__xludf.DUMMYFUNCTION("""COMPUTED_VALUE"""),2346.0)</f>
        <v>2346</v>
      </c>
      <c r="B511" s="11">
        <f>IFERROR(__xludf.DUMMYFUNCTION("""COMPUTED_VALUE"""),46170.55121409722)</f>
        <v>46170.55121</v>
      </c>
      <c r="C511" s="3" t="str">
        <f>IFERROR(__xludf.DUMMYFUNCTION("""COMPUTED_VALUE"""),"ชั้นปีที่ 1")</f>
        <v>ชั้นปีที่ 1</v>
      </c>
      <c r="D511" s="3" t="str">
        <f>IFERROR(__xludf.DUMMYFUNCTION("""COMPUTED_VALUE"""),"6803920")</f>
        <v>6803920</v>
      </c>
      <c r="E511" s="3" t="str">
        <f>IFERROR(__xludf.DUMMYFUNCTION("""COMPUTED_VALUE"""),"39")</f>
        <v>39</v>
      </c>
      <c r="F511" s="3" t="str">
        <f>IFERROR(__xludf.DUMMYFUNCTION("""COMPUTED_VALUE"""),"นพอ.พัทธ์ธีรา สมานมาก")</f>
        <v>นพอ.พัทธ์ธีรา สมานมาก</v>
      </c>
      <c r="G5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1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11" s="3" t="str">
        <f>IFERROR(__xludf.DUMMYFUNCTION("""COMPUTED_VALUE"""),"สนามกีฬาธูปะเตมีย์")</f>
        <v>สนามกีฬาธูปะเตมีย์</v>
      </c>
      <c r="J511" s="12">
        <f>IFERROR(__xludf.DUMMYFUNCTION("""COMPUTED_VALUE"""),46078.0)</f>
        <v>46078</v>
      </c>
      <c r="K511" s="3" t="str">
        <f>IFERROR(__xludf.DUMMYFUNCTION("""COMPUTED_VALUE"""),"1200-2000")</f>
        <v>1200-2000</v>
      </c>
      <c r="L511" s="3">
        <f>IFERROR(__xludf.DUMMYFUNCTION("""COMPUTED_VALUE"""),8.0)</f>
        <v>8</v>
      </c>
      <c r="M51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11" s="14" t="str">
        <f>IFERROR(__xludf.DUMMYFUNCTION("""COMPUTED_VALUE"""),"https://lh5.googleusercontent.com/d/1b0u0_AMMrl9FGkBRUVbdFBSZJHp9XbJS")</f>
        <v>https://lh5.googleusercontent.com/d/1b0u0_AMMrl9FGkBRUVbdFBSZJHp9XbJS</v>
      </c>
      <c r="O511" s="14" t="str">
        <f>IFERROR(__xludf.DUMMYFUNCTION("""COMPUTED_VALUE"""),"https://drive.google.com/file/d/12siZbS7TcWsryem8piOquhJL0geq-kM_/view?usp=drivesdk")</f>
        <v>https://drive.google.com/file/d/12siZbS7TcWsryem8piOquhJL0geq-kM_/view?usp=drivesdk</v>
      </c>
    </row>
    <row r="512">
      <c r="A512" s="3">
        <f>IFERROR(__xludf.DUMMYFUNCTION("""COMPUTED_VALUE"""),2347.0)</f>
        <v>2347</v>
      </c>
      <c r="B512" s="11">
        <f>IFERROR(__xludf.DUMMYFUNCTION("""COMPUTED_VALUE"""),46170.5521887963)</f>
        <v>46170.55219</v>
      </c>
      <c r="C512" s="3" t="str">
        <f>IFERROR(__xludf.DUMMYFUNCTION("""COMPUTED_VALUE"""),"ชั้นปีที่ 1")</f>
        <v>ชั้นปีที่ 1</v>
      </c>
      <c r="D512" s="3" t="str">
        <f>IFERROR(__xludf.DUMMYFUNCTION("""COMPUTED_VALUE"""),"6803939")</f>
        <v>6803939</v>
      </c>
      <c r="E512" s="3" t="str">
        <f>IFERROR(__xludf.DUMMYFUNCTION("""COMPUTED_VALUE"""),"58")</f>
        <v>58</v>
      </c>
      <c r="F512" s="3" t="str">
        <f>IFERROR(__xludf.DUMMYFUNCTION("""COMPUTED_VALUE"""),"นพอ.สุภาวดี สุวรรณโกศัย")</f>
        <v>นพอ.สุภาวดี สุวรรณโกศัย</v>
      </c>
      <c r="G512" s="3" t="str">
        <f>IFERROR(__xludf.DUMMYFUNCTION("""COMPUTED_VALUE"""),"ช่วยเหลืองานภายใน วพอ.")</f>
        <v>ช่วยเหลืองานภายใน วพอ.</v>
      </c>
      <c r="H512" s="3" t="str">
        <f>IFERROR(__xludf.DUMMYFUNCTION("""COMPUTED_VALUE"""),"เก็บหินเพื่อจัดพื้นที่สวนหย่อม")</f>
        <v>เก็บหินเพื่อจัดพื้นที่สวนหย่อม</v>
      </c>
      <c r="I512" s="3" t="str">
        <f>IFERROR(__xludf.DUMMYFUNCTION("""COMPUTED_VALUE"""),"วพอ.พอ.")</f>
        <v>วพอ.พอ.</v>
      </c>
      <c r="J512" s="12">
        <f>IFERROR(__xludf.DUMMYFUNCTION("""COMPUTED_VALUE"""),46164.0)</f>
        <v>46164</v>
      </c>
      <c r="K512" s="3" t="str">
        <f>IFERROR(__xludf.DUMMYFUNCTION("""COMPUTED_VALUE"""),"1500-1800")</f>
        <v>1500-1800</v>
      </c>
      <c r="L512" s="3">
        <f>IFERROR(__xludf.DUMMYFUNCTION("""COMPUTED_VALUE"""),3.0)</f>
        <v>3</v>
      </c>
      <c r="M512" s="3" t="str">
        <f>IFERROR(__xludf.DUMMYFUNCTION("""COMPUTED_VALUE"""),"น.อ.หญิง นิตยา สุขแสน")</f>
        <v>น.อ.หญิง นิตยา สุขแสน</v>
      </c>
      <c r="N512" s="14" t="str">
        <f>IFERROR(__xludf.DUMMYFUNCTION("""COMPUTED_VALUE"""),"https://lh5.googleusercontent.com/d/1ysHb5r6NTyd-fZGhcwl02HFJuxBT-Exy")</f>
        <v>https://lh5.googleusercontent.com/d/1ysHb5r6NTyd-fZGhcwl02HFJuxBT-Exy</v>
      </c>
      <c r="O512" s="14" t="str">
        <f>IFERROR(__xludf.DUMMYFUNCTION("""COMPUTED_VALUE"""),"https://drive.google.com/file/d/1-yYQZBj_tcjrJSTIfAuqJ6qEeVivfpDX/view?usp=drivesdk")</f>
        <v>https://drive.google.com/file/d/1-yYQZBj_tcjrJSTIfAuqJ6qEeVivfpDX/view?usp=drivesdk</v>
      </c>
    </row>
    <row r="513">
      <c r="A513" s="3">
        <f>IFERROR(__xludf.DUMMYFUNCTION("""COMPUTED_VALUE"""),2348.0)</f>
        <v>2348</v>
      </c>
      <c r="B513" s="11">
        <f>IFERROR(__xludf.DUMMYFUNCTION("""COMPUTED_VALUE"""),46170.55305138889)</f>
        <v>46170.55305</v>
      </c>
      <c r="C513" s="3" t="str">
        <f>IFERROR(__xludf.DUMMYFUNCTION("""COMPUTED_VALUE"""),"ชั้นปีที่ 1")</f>
        <v>ชั้นปีที่ 1</v>
      </c>
      <c r="D513" s="3" t="str">
        <f>IFERROR(__xludf.DUMMYFUNCTION("""COMPUTED_VALUE"""),"6803923")</f>
        <v>6803923</v>
      </c>
      <c r="E513" s="3" t="str">
        <f>IFERROR(__xludf.DUMMYFUNCTION("""COMPUTED_VALUE"""),"42")</f>
        <v>42</v>
      </c>
      <c r="F513" s="3" t="str">
        <f>IFERROR(__xludf.DUMMYFUNCTION("""COMPUTED_VALUE"""),"นพอ.พิมพ์ณัฐชยา มนนามอญ")</f>
        <v>นพอ.พิมพ์ณัฐชยา มนนามอญ</v>
      </c>
      <c r="G51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3" s="3" t="str">
        <f>IFERROR(__xludf.DUMMYFUNCTION("""COMPUTED_VALUE"""),"งานวันเด็กแห่งชาติ 2568")</f>
        <v>งานวันเด็กแห่งชาติ 2568</v>
      </c>
      <c r="I513" s="3" t="str">
        <f>IFERROR(__xludf.DUMMYFUNCTION("""COMPUTED_VALUE"""),"พิพิธภัณฑ์กองทัพอากาศ")</f>
        <v>พิพิธภัณฑ์กองทัพอากาศ</v>
      </c>
      <c r="J513" s="12">
        <f>IFERROR(__xludf.DUMMYFUNCTION("""COMPUTED_VALUE"""),46032.0)</f>
        <v>46032</v>
      </c>
      <c r="K513" s="3" t="str">
        <f>IFERROR(__xludf.DUMMYFUNCTION("""COMPUTED_VALUE"""),"0600-1400")</f>
        <v>0600-1400</v>
      </c>
      <c r="L513" s="3">
        <f>IFERROR(__xludf.DUMMYFUNCTION("""COMPUTED_VALUE"""),8.0)</f>
        <v>8</v>
      </c>
      <c r="M51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13" s="14" t="str">
        <f>IFERROR(__xludf.DUMMYFUNCTION("""COMPUTED_VALUE"""),"https://lh5.googleusercontent.com/d/1EH99mmy6pEAC8h_V7yr96GKbLrVLxwah")</f>
        <v>https://lh5.googleusercontent.com/d/1EH99mmy6pEAC8h_V7yr96GKbLrVLxwah</v>
      </c>
      <c r="O513" s="14" t="str">
        <f>IFERROR(__xludf.DUMMYFUNCTION("""COMPUTED_VALUE"""),"https://drive.google.com/file/d/1hhcKyQ4Y0DJ7ZCdJ_vVUH0bwcHB99xJV/view?usp=drivesdk")</f>
        <v>https://drive.google.com/file/d/1hhcKyQ4Y0DJ7ZCdJ_vVUH0bwcHB99xJV/view?usp=drivesdk</v>
      </c>
    </row>
    <row r="514">
      <c r="A514" s="3">
        <f>IFERROR(__xludf.DUMMYFUNCTION("""COMPUTED_VALUE"""),2350.0)</f>
        <v>2350</v>
      </c>
      <c r="B514" s="11">
        <f>IFERROR(__xludf.DUMMYFUNCTION("""COMPUTED_VALUE"""),46170.55357435185)</f>
        <v>46170.55357</v>
      </c>
      <c r="C514" s="3" t="str">
        <f>IFERROR(__xludf.DUMMYFUNCTION("""COMPUTED_VALUE"""),"ชั้นปีที่ 1")</f>
        <v>ชั้นปีที่ 1</v>
      </c>
      <c r="D514" s="3" t="str">
        <f>IFERROR(__xludf.DUMMYFUNCTION("""COMPUTED_VALUE"""),"6803939")</f>
        <v>6803939</v>
      </c>
      <c r="E514" s="3" t="str">
        <f>IFERROR(__xludf.DUMMYFUNCTION("""COMPUTED_VALUE"""),"58")</f>
        <v>58</v>
      </c>
      <c r="F514" s="3" t="str">
        <f>IFERROR(__xludf.DUMMYFUNCTION("""COMPUTED_VALUE"""),"นพอ.สุภาวดี สุวรรณโกศัย")</f>
        <v>นพอ.สุภาวดี สุวรรณโกศัย</v>
      </c>
      <c r="G514" s="3" t="str">
        <f>IFERROR(__xludf.DUMMYFUNCTION("""COMPUTED_VALUE"""),"ช่วยเหลืองานภายใน วพอ.")</f>
        <v>ช่วยเหลืองานภายใน วพอ.</v>
      </c>
      <c r="H514" s="3" t="str">
        <f>IFERROR(__xludf.DUMMYFUNCTION("""COMPUTED_VALUE"""),"วงดุริยางค์")</f>
        <v>วงดุริยางค์</v>
      </c>
      <c r="I514" s="3" t="str">
        <f>IFERROR(__xludf.DUMMYFUNCTION("""COMPUTED_VALUE"""),"วพอ.พอ.")</f>
        <v>วพอ.พอ.</v>
      </c>
      <c r="J514" s="12">
        <f>IFERROR(__xludf.DUMMYFUNCTION("""COMPUTED_VALUE"""),46142.0)</f>
        <v>46142</v>
      </c>
      <c r="K514" s="3" t="str">
        <f>IFERROR(__xludf.DUMMYFUNCTION("""COMPUTED_VALUE"""),"0700-0800")</f>
        <v>0700-0800</v>
      </c>
      <c r="L514" s="3">
        <f>IFERROR(__xludf.DUMMYFUNCTION("""COMPUTED_VALUE"""),1.0)</f>
        <v>1</v>
      </c>
      <c r="M514" s="3" t="str">
        <f>IFERROR(__xludf.DUMMYFUNCTION("""COMPUTED_VALUE"""),"ร.อ อนุชิต ทำจะดี")</f>
        <v>ร.อ อนุชิต ทำจะดี</v>
      </c>
      <c r="N514" s="14" t="str">
        <f>IFERROR(__xludf.DUMMYFUNCTION("""COMPUTED_VALUE"""),"https://lh5.googleusercontent.com/d/1UZpqZmZC1yX3EPGzbQZa56U8BGYMVPXi")</f>
        <v>https://lh5.googleusercontent.com/d/1UZpqZmZC1yX3EPGzbQZa56U8BGYMVPXi</v>
      </c>
      <c r="O514" s="14" t="str">
        <f>IFERROR(__xludf.DUMMYFUNCTION("""COMPUTED_VALUE"""),"https://drive.google.com/file/d/1Hh-ZRT8WxMeoEge2eD716XxI2f1oajMo/view?usp=drivesdk")</f>
        <v>https://drive.google.com/file/d/1Hh-ZRT8WxMeoEge2eD716XxI2f1oajMo/view?usp=drivesdk</v>
      </c>
    </row>
    <row r="515">
      <c r="A515" s="3">
        <f>IFERROR(__xludf.DUMMYFUNCTION("""COMPUTED_VALUE"""),2352.0)</f>
        <v>2352</v>
      </c>
      <c r="B515" s="11">
        <f>IFERROR(__xludf.DUMMYFUNCTION("""COMPUTED_VALUE"""),46170.55527278936)</f>
        <v>46170.55527</v>
      </c>
      <c r="C515" s="3" t="str">
        <f>IFERROR(__xludf.DUMMYFUNCTION("""COMPUTED_VALUE"""),"ชั้นปีที่ 1")</f>
        <v>ชั้นปีที่ 1</v>
      </c>
      <c r="D515" s="3" t="str">
        <f>IFERROR(__xludf.DUMMYFUNCTION("""COMPUTED_VALUE"""),"6803923")</f>
        <v>6803923</v>
      </c>
      <c r="E515" s="3" t="str">
        <f>IFERROR(__xludf.DUMMYFUNCTION("""COMPUTED_VALUE"""),"42")</f>
        <v>42</v>
      </c>
      <c r="F515" s="3" t="str">
        <f>IFERROR(__xludf.DUMMYFUNCTION("""COMPUTED_VALUE"""),"นพอ.พิมพ์ณัฐชยา มนนามอญ")</f>
        <v>นพอ.พิมพ์ณัฐชยา มนนามอญ</v>
      </c>
      <c r="G515" s="3" t="str">
        <f>IFERROR(__xludf.DUMMYFUNCTION("""COMPUTED_VALUE"""),"ช่วยเหลืองานภายใน วพอ.")</f>
        <v>ช่วยเหลืองานภายใน วพอ.</v>
      </c>
      <c r="H515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15" s="3" t="str">
        <f>IFERROR(__xludf.DUMMYFUNCTION("""COMPUTED_VALUE"""),"อาคารสำนักงานชั้น 4")</f>
        <v>อาคารสำนักงานชั้น 4</v>
      </c>
      <c r="J515" s="12">
        <f>IFERROR(__xludf.DUMMYFUNCTION("""COMPUTED_VALUE"""),46147.0)</f>
        <v>46147</v>
      </c>
      <c r="K515" s="3" t="str">
        <f>IFERROR(__xludf.DUMMYFUNCTION("""COMPUTED_VALUE"""),"1500-1800")</f>
        <v>1500-1800</v>
      </c>
      <c r="L515" s="3">
        <f>IFERROR(__xludf.DUMMYFUNCTION("""COMPUTED_VALUE"""),3.0)</f>
        <v>3</v>
      </c>
      <c r="M515" s="3" t="str">
        <f>IFERROR(__xludf.DUMMYFUNCTION("""COMPUTED_VALUE"""),"น.ต.ศักชัย บุญประสิทธิ์")</f>
        <v>น.ต.ศักชัย บุญประสิทธิ์</v>
      </c>
      <c r="N515" s="14" t="str">
        <f>IFERROR(__xludf.DUMMYFUNCTION("""COMPUTED_VALUE"""),"https://lh5.googleusercontent.com/d/11-M3uf9yX2MTTaTzH7gq6lK76vDd9qFO")</f>
        <v>https://lh5.googleusercontent.com/d/11-M3uf9yX2MTTaTzH7gq6lK76vDd9qFO</v>
      </c>
      <c r="O515" s="14" t="str">
        <f>IFERROR(__xludf.DUMMYFUNCTION("""COMPUTED_VALUE"""),"https://drive.google.com/file/d/1YOn1U-CISkWDvUe6rkRpz66kbmx_4IAI/view?usp=drivesdk")</f>
        <v>https://drive.google.com/file/d/1YOn1U-CISkWDvUe6rkRpz66kbmx_4IAI/view?usp=drivesdk</v>
      </c>
    </row>
    <row r="516">
      <c r="A516" s="3">
        <f>IFERROR(__xludf.DUMMYFUNCTION("""COMPUTED_VALUE"""),2353.0)</f>
        <v>2353</v>
      </c>
      <c r="B516" s="11">
        <f>IFERROR(__xludf.DUMMYFUNCTION("""COMPUTED_VALUE"""),46170.555556817126)</f>
        <v>46170.55556</v>
      </c>
      <c r="C516" s="3" t="str">
        <f>IFERROR(__xludf.DUMMYFUNCTION("""COMPUTED_VALUE"""),"ชั้นปีที่ 1")</f>
        <v>ชั้นปีที่ 1</v>
      </c>
      <c r="D516" s="3" t="str">
        <f>IFERROR(__xludf.DUMMYFUNCTION("""COMPUTED_VALUE"""),"6803906")</f>
        <v>6803906</v>
      </c>
      <c r="E516" s="3" t="str">
        <f>IFERROR(__xludf.DUMMYFUNCTION("""COMPUTED_VALUE"""),"25")</f>
        <v>25</v>
      </c>
      <c r="F516" s="3" t="str">
        <f>IFERROR(__xludf.DUMMYFUNCTION("""COMPUTED_VALUE"""),"นพอ.ธัญวรัตน์ ยงคะวิสัย")</f>
        <v>นพอ.ธัญวรัตน์ ยงคะวิสัย</v>
      </c>
      <c r="G5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6" s="3" t="str">
        <f>IFERROR(__xludf.DUMMYFUNCTION("""COMPUTED_VALUE"""),"Green Markets")</f>
        <v>Green Markets</v>
      </c>
      <c r="I516" s="3" t="str">
        <f>IFERROR(__xludf.DUMMYFUNCTION("""COMPUTED_VALUE"""),"อาคารอเนกประสงค์ชาวฟ้า สโมสรทหารอากาศชั้นประทวน")</f>
        <v>อาคารอเนกประสงค์ชาวฟ้า สโมสรทหารอากาศชั้นประทวน</v>
      </c>
      <c r="J516" s="12">
        <f>IFERROR(__xludf.DUMMYFUNCTION("""COMPUTED_VALUE"""),46134.0)</f>
        <v>46134</v>
      </c>
      <c r="K516" s="3" t="str">
        <f>IFERROR(__xludf.DUMMYFUNCTION("""COMPUTED_VALUE"""),"0800-1500")</f>
        <v>0800-1500</v>
      </c>
      <c r="L516" s="3">
        <f>IFERROR(__xludf.DUMMYFUNCTION("""COMPUTED_VALUE"""),8.0)</f>
        <v>8</v>
      </c>
      <c r="M516" s="3" t="str">
        <f>IFERROR(__xludf.DUMMYFUNCTION("""COMPUTED_VALUE"""),"ร.อ.ฤทธิพล อ้วนสิงห์")</f>
        <v>ร.อ.ฤทธิพล อ้วนสิงห์</v>
      </c>
      <c r="N516" s="14" t="str">
        <f>IFERROR(__xludf.DUMMYFUNCTION("""COMPUTED_VALUE"""),"https://lh5.googleusercontent.com/d/1YGPCA9_Z1ICwGODrik6CuQioR26bAeiW")</f>
        <v>https://lh5.googleusercontent.com/d/1YGPCA9_Z1ICwGODrik6CuQioR26bAeiW</v>
      </c>
      <c r="O516" s="14" t="str">
        <f>IFERROR(__xludf.DUMMYFUNCTION("""COMPUTED_VALUE"""),"https://drive.google.com/file/d/1DcNF9riwNYUK1Ol_bMYc1VjMuzYZKSqX/view?usp=drivesdk")</f>
        <v>https://drive.google.com/file/d/1DcNF9riwNYUK1Ol_bMYc1VjMuzYZKSqX/view?usp=drivesdk</v>
      </c>
    </row>
    <row r="517">
      <c r="A517" s="3">
        <f>IFERROR(__xludf.DUMMYFUNCTION("""COMPUTED_VALUE"""),2354.0)</f>
        <v>2354</v>
      </c>
      <c r="B517" s="11">
        <f>IFERROR(__xludf.DUMMYFUNCTION("""COMPUTED_VALUE"""),46170.55571424769)</f>
        <v>46170.55571</v>
      </c>
      <c r="C517" s="3" t="str">
        <f>IFERROR(__xludf.DUMMYFUNCTION("""COMPUTED_VALUE"""),"ชั้นปีที่ 1")</f>
        <v>ชั้นปีที่ 1</v>
      </c>
      <c r="D517" s="3" t="str">
        <f>IFERROR(__xludf.DUMMYFUNCTION("""COMPUTED_VALUE"""),"6803919")</f>
        <v>6803919</v>
      </c>
      <c r="E517" s="3" t="str">
        <f>IFERROR(__xludf.DUMMYFUNCTION("""COMPUTED_VALUE"""),"38")</f>
        <v>38</v>
      </c>
      <c r="F517" s="3" t="str">
        <f>IFERROR(__xludf.DUMMYFUNCTION("""COMPUTED_VALUE"""),"นพอ.พลอยปภัส มากใหม่")</f>
        <v>นพอ.พลอยปภัส มากใหม่</v>
      </c>
      <c r="G5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7" s="3" t="str">
        <f>IFERROR(__xludf.DUMMYFUNCTION("""COMPUTED_VALUE"""),"ค่ายเยาวชนพัฒนา ครั้งที่ 215")</f>
        <v>ค่ายเยาวชนพัฒนา ครั้งที่ 215</v>
      </c>
      <c r="I517" s="3" t="str">
        <f>IFERROR(__xludf.DUMMYFUNCTION("""COMPUTED_VALUE"""),"วัดสามบัณฑิต จ.อยุธยา")</f>
        <v>วัดสามบัณฑิต จ.อยุธยา</v>
      </c>
      <c r="J517" s="12">
        <f>IFERROR(__xludf.DUMMYFUNCTION("""COMPUTED_VALUE"""),46136.0)</f>
        <v>46136</v>
      </c>
      <c r="K517" s="3" t="str">
        <f>IFERROR(__xludf.DUMMYFUNCTION("""COMPUTED_VALUE"""),"1600-2400")</f>
        <v>1600-2400</v>
      </c>
      <c r="L517" s="3">
        <f>IFERROR(__xludf.DUMMYFUNCTION("""COMPUTED_VALUE"""),8.0)</f>
        <v>8</v>
      </c>
      <c r="M51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17" s="14" t="str">
        <f>IFERROR(__xludf.DUMMYFUNCTION("""COMPUTED_VALUE"""),"https://lh5.googleusercontent.com/d/17MOTr5f1tstDiPOMepcrTzBkGV7JivHS")</f>
        <v>https://lh5.googleusercontent.com/d/17MOTr5f1tstDiPOMepcrTzBkGV7JivHS</v>
      </c>
      <c r="O517" s="14" t="str">
        <f>IFERROR(__xludf.DUMMYFUNCTION("""COMPUTED_VALUE"""),"https://drive.google.com/file/d/1brXTfHzcQtx95N40IkVMSKeEOV23QVKt/view?usp=drivesdk")</f>
        <v>https://drive.google.com/file/d/1brXTfHzcQtx95N40IkVMSKeEOV23QVKt/view?usp=drivesdk</v>
      </c>
    </row>
    <row r="518">
      <c r="A518" s="3">
        <f>IFERROR(__xludf.DUMMYFUNCTION("""COMPUTED_VALUE"""),2355.0)</f>
        <v>2355</v>
      </c>
      <c r="B518" s="11">
        <f>IFERROR(__xludf.DUMMYFUNCTION("""COMPUTED_VALUE"""),46170.555842546295)</f>
        <v>46170.55584</v>
      </c>
      <c r="C518" s="3" t="str">
        <f>IFERROR(__xludf.DUMMYFUNCTION("""COMPUTED_VALUE"""),"ชั้นปีที่ 1")</f>
        <v>ชั้นปีที่ 1</v>
      </c>
      <c r="D518" s="3" t="str">
        <f>IFERROR(__xludf.DUMMYFUNCTION("""COMPUTED_VALUE"""),"6803884")</f>
        <v>6803884</v>
      </c>
      <c r="E518" s="3" t="str">
        <f>IFERROR(__xludf.DUMMYFUNCTION("""COMPUTED_VALUE"""),"3")</f>
        <v>3</v>
      </c>
      <c r="F518" s="3" t="str">
        <f>IFERROR(__xludf.DUMMYFUNCTION("""COMPUTED_VALUE"""),"นพอ.กรองทอง กันฟัก")</f>
        <v>นพอ.กรองทอง กันฟัก</v>
      </c>
      <c r="G518" s="3" t="str">
        <f>IFERROR(__xludf.DUMMYFUNCTION("""COMPUTED_VALUE"""),"ทำนุบำรุงศาสนสถาน")</f>
        <v>ทำนุบำรุงศาสนสถาน</v>
      </c>
      <c r="H518" s="3" t="str">
        <f>IFERROR(__xludf.DUMMYFUNCTION("""COMPUTED_VALUE"""),"กวาดลานวัดท่าหลวง")</f>
        <v>กวาดลานวัดท่าหลวง</v>
      </c>
      <c r="I518" s="3" t="str">
        <f>IFERROR(__xludf.DUMMYFUNCTION("""COMPUTED_VALUE"""),"วัดท่าหลวง จ.พิจิตร")</f>
        <v>วัดท่าหลวง จ.พิจิตร</v>
      </c>
      <c r="J518" s="12">
        <f>IFERROR(__xludf.DUMMYFUNCTION("""COMPUTED_VALUE"""),46023.0)</f>
        <v>46023</v>
      </c>
      <c r="K518" s="3" t="str">
        <f>IFERROR(__xludf.DUMMYFUNCTION("""COMPUTED_VALUE"""),"0800-0900")</f>
        <v>0800-0900</v>
      </c>
      <c r="L518" s="3">
        <f>IFERROR(__xludf.DUMMYFUNCTION("""COMPUTED_VALUE"""),1.0)</f>
        <v>1</v>
      </c>
      <c r="M518" s="3" t="str">
        <f>IFERROR(__xludf.DUMMYFUNCTION("""COMPUTED_VALUE"""),"นางดาวรุ่ง กันฟัก")</f>
        <v>นางดาวรุ่ง กันฟัก</v>
      </c>
      <c r="N518" s="14" t="str">
        <f>IFERROR(__xludf.DUMMYFUNCTION("""COMPUTED_VALUE"""),"https://lh5.googleusercontent.com/d/17P6GFVrR6kRULYzQQQwaQ7hCNCzFKf1c")</f>
        <v>https://lh5.googleusercontent.com/d/17P6GFVrR6kRULYzQQQwaQ7hCNCzFKf1c</v>
      </c>
      <c r="O518" s="14" t="str">
        <f>IFERROR(__xludf.DUMMYFUNCTION("""COMPUTED_VALUE"""),"https://drive.google.com/file/d/1Ff0WhDLYdmU4_oLgZVci39_pxbBjIIo5/view?usp=drivesdk")</f>
        <v>https://drive.google.com/file/d/1Ff0WhDLYdmU4_oLgZVci39_pxbBjIIo5/view?usp=drivesdk</v>
      </c>
    </row>
    <row r="519">
      <c r="A519" s="3">
        <f>IFERROR(__xludf.DUMMYFUNCTION("""COMPUTED_VALUE"""),2356.0)</f>
        <v>2356</v>
      </c>
      <c r="B519" s="11">
        <f>IFERROR(__xludf.DUMMYFUNCTION("""COMPUTED_VALUE"""),46170.55708533565)</f>
        <v>46170.55709</v>
      </c>
      <c r="C519" s="3" t="str">
        <f>IFERROR(__xludf.DUMMYFUNCTION("""COMPUTED_VALUE"""),"ชั้นปีที่ 1")</f>
        <v>ชั้นปีที่ 1</v>
      </c>
      <c r="D519" s="3" t="str">
        <f>IFERROR(__xludf.DUMMYFUNCTION("""COMPUTED_VALUE"""),"6803919")</f>
        <v>6803919</v>
      </c>
      <c r="E519" s="3" t="str">
        <f>IFERROR(__xludf.DUMMYFUNCTION("""COMPUTED_VALUE"""),"38")</f>
        <v>38</v>
      </c>
      <c r="F519" s="3" t="str">
        <f>IFERROR(__xludf.DUMMYFUNCTION("""COMPUTED_VALUE"""),"นพอ.พลอยปภัส มากใหม่")</f>
        <v>นพอ.พลอยปภัส มากใหม่</v>
      </c>
      <c r="G51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19" s="3" t="str">
        <f>IFERROR(__xludf.DUMMYFUNCTION("""COMPUTED_VALUE"""),"ค่ายเยาวชนพัฒนา ครั้งที่ 215")</f>
        <v>ค่ายเยาวชนพัฒนา ครั้งที่ 215</v>
      </c>
      <c r="I519" s="3" t="str">
        <f>IFERROR(__xludf.DUMMYFUNCTION("""COMPUTED_VALUE"""),"วัดสามบัณฑิต จ.อยุธยา")</f>
        <v>วัดสามบัณฑิต จ.อยุธยา</v>
      </c>
      <c r="J519" s="12">
        <f>IFERROR(__xludf.DUMMYFUNCTION("""COMPUTED_VALUE"""),46137.0)</f>
        <v>46137</v>
      </c>
      <c r="K519" s="3" t="str">
        <f>IFERROR(__xludf.DUMMYFUNCTION("""COMPUTED_VALUE"""),"0800-1600")</f>
        <v>0800-1600</v>
      </c>
      <c r="L519" s="3">
        <f>IFERROR(__xludf.DUMMYFUNCTION("""COMPUTED_VALUE"""),8.0)</f>
        <v>8</v>
      </c>
      <c r="M51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19" s="14" t="str">
        <f>IFERROR(__xludf.DUMMYFUNCTION("""COMPUTED_VALUE"""),"https://lh5.googleusercontent.com/d/1uBe-zDN0ydsISRXFx2JXw6jTRfWNh8nl")</f>
        <v>https://lh5.googleusercontent.com/d/1uBe-zDN0ydsISRXFx2JXw6jTRfWNh8nl</v>
      </c>
      <c r="O519" s="14" t="str">
        <f>IFERROR(__xludf.DUMMYFUNCTION("""COMPUTED_VALUE"""),"https://drive.google.com/file/d/19jzuClkHKgUVDsgducEPoe7LQnXgfVHV/view?usp=drivesdk")</f>
        <v>https://drive.google.com/file/d/19jzuClkHKgUVDsgducEPoe7LQnXgfVHV/view?usp=drivesdk</v>
      </c>
    </row>
    <row r="520">
      <c r="A520" s="3">
        <f>IFERROR(__xludf.DUMMYFUNCTION("""COMPUTED_VALUE"""),2359.0)</f>
        <v>2359</v>
      </c>
      <c r="B520" s="11">
        <f>IFERROR(__xludf.DUMMYFUNCTION("""COMPUTED_VALUE"""),46170.558753032405)</f>
        <v>46170.55875</v>
      </c>
      <c r="C520" s="3" t="str">
        <f>IFERROR(__xludf.DUMMYFUNCTION("""COMPUTED_VALUE"""),"ชั้นปีที่ 1")</f>
        <v>ชั้นปีที่ 1</v>
      </c>
      <c r="D520" s="3" t="str">
        <f>IFERROR(__xludf.DUMMYFUNCTION("""COMPUTED_VALUE"""),"6803919")</f>
        <v>6803919</v>
      </c>
      <c r="E520" s="3" t="str">
        <f>IFERROR(__xludf.DUMMYFUNCTION("""COMPUTED_VALUE"""),"38")</f>
        <v>38</v>
      </c>
      <c r="F520" s="3" t="str">
        <f>IFERROR(__xludf.DUMMYFUNCTION("""COMPUTED_VALUE"""),"นพอ.พลอยปภัส มากใหม่")</f>
        <v>นพอ.พลอยปภัส มากใหม่</v>
      </c>
      <c r="G52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0" s="3" t="str">
        <f>IFERROR(__xludf.DUMMYFUNCTION("""COMPUTED_VALUE"""),"ค่ายเยาวชนพัฒนา ครั้งที่ 215")</f>
        <v>ค่ายเยาวชนพัฒนา ครั้งที่ 215</v>
      </c>
      <c r="I520" s="3" t="str">
        <f>IFERROR(__xludf.DUMMYFUNCTION("""COMPUTED_VALUE"""),"วัดสามบัณฑิต จ.อยุธยา")</f>
        <v>วัดสามบัณฑิต จ.อยุธยา</v>
      </c>
      <c r="J520" s="12">
        <f>IFERROR(__xludf.DUMMYFUNCTION("""COMPUTED_VALUE"""),46138.0)</f>
        <v>46138</v>
      </c>
      <c r="K520" s="3" t="str">
        <f>IFERROR(__xludf.DUMMYFUNCTION("""COMPUTED_VALUE"""),"0800-1600")</f>
        <v>0800-1600</v>
      </c>
      <c r="L520" s="3">
        <f>IFERROR(__xludf.DUMMYFUNCTION("""COMPUTED_VALUE"""),8.0)</f>
        <v>8</v>
      </c>
      <c r="M52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20" s="14" t="str">
        <f>IFERROR(__xludf.DUMMYFUNCTION("""COMPUTED_VALUE"""),"https://lh5.googleusercontent.com/d/1CMhCnhX40ocpCart-afNytzg7rel5T-L")</f>
        <v>https://lh5.googleusercontent.com/d/1CMhCnhX40ocpCart-afNytzg7rel5T-L</v>
      </c>
      <c r="O520" s="14" t="str">
        <f>IFERROR(__xludf.DUMMYFUNCTION("""COMPUTED_VALUE"""),"https://drive.google.com/file/d/1yZ-03GIYLUIdCuxKnYKH6tfUYdvSkKKe/view?usp=drivesdk")</f>
        <v>https://drive.google.com/file/d/1yZ-03GIYLUIdCuxKnYKH6tfUYdvSkKKe/view?usp=drivesdk</v>
      </c>
    </row>
    <row r="521">
      <c r="A521" s="3">
        <f>IFERROR(__xludf.DUMMYFUNCTION("""COMPUTED_VALUE"""),2363.0)</f>
        <v>2363</v>
      </c>
      <c r="B521" s="11">
        <f>IFERROR(__xludf.DUMMYFUNCTION("""COMPUTED_VALUE"""),46170.56116143519)</f>
        <v>46170.56116</v>
      </c>
      <c r="C521" s="3" t="str">
        <f>IFERROR(__xludf.DUMMYFUNCTION("""COMPUTED_VALUE"""),"ชั้นปีที่ 1")</f>
        <v>ชั้นปีที่ 1</v>
      </c>
      <c r="D521" s="3" t="str">
        <f>IFERROR(__xludf.DUMMYFUNCTION("""COMPUTED_VALUE"""),"6803916")</f>
        <v>6803916</v>
      </c>
      <c r="E521" s="3" t="str">
        <f>IFERROR(__xludf.DUMMYFUNCTION("""COMPUTED_VALUE"""),"35")</f>
        <v>35</v>
      </c>
      <c r="F521" s="3" t="str">
        <f>IFERROR(__xludf.DUMMYFUNCTION("""COMPUTED_VALUE"""),"นพอ.ปาลิดา ลือนาม")</f>
        <v>นพอ.ปาลิดา ลือนาม</v>
      </c>
      <c r="G52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21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521" s="3" t="str">
        <f>IFERROR(__xludf.DUMMYFUNCTION("""COMPUTED_VALUE"""),"โรงเรียนการบิน")</f>
        <v>โรงเรียนการบิน</v>
      </c>
      <c r="J521" s="12">
        <f>IFERROR(__xludf.DUMMYFUNCTION("""COMPUTED_VALUE"""),46032.0)</f>
        <v>46032</v>
      </c>
      <c r="K521" s="3" t="str">
        <f>IFERROR(__xludf.DUMMYFUNCTION("""COMPUTED_VALUE"""),"0600-1400")</f>
        <v>0600-1400</v>
      </c>
      <c r="L521" s="3">
        <f>IFERROR(__xludf.DUMMYFUNCTION("""COMPUTED_VALUE"""),8.0)</f>
        <v>8</v>
      </c>
      <c r="M521" s="3" t="str">
        <f>IFERROR(__xludf.DUMMYFUNCTION("""COMPUTED_VALUE"""),"น.ต. หญิง ขวัญ ชนก พ่วงนาคพันธุ์ ")</f>
        <v>น.ต. หญิง ขวัญ ชนก พ่วงนาคพันธุ์ </v>
      </c>
      <c r="N521" s="14" t="str">
        <f>IFERROR(__xludf.DUMMYFUNCTION("""COMPUTED_VALUE"""),"https://lh5.googleusercontent.com/d/1nuYv4SkzxgEBUle7byAViAsskQ6EOmDf")</f>
        <v>https://lh5.googleusercontent.com/d/1nuYv4SkzxgEBUle7byAViAsskQ6EOmDf</v>
      </c>
      <c r="O521" s="14" t="str">
        <f>IFERROR(__xludf.DUMMYFUNCTION("""COMPUTED_VALUE"""),"https://drive.google.com/file/d/1L4D-y48FYSxFqg-BYqJrNhp2RBRE1LL1/view?usp=drivesdk")</f>
        <v>https://drive.google.com/file/d/1L4D-y48FYSxFqg-BYqJrNhp2RBRE1LL1/view?usp=drivesdk</v>
      </c>
    </row>
    <row r="522">
      <c r="A522" s="3">
        <f>IFERROR(__xludf.DUMMYFUNCTION("""COMPUTED_VALUE"""),2364.0)</f>
        <v>2364</v>
      </c>
      <c r="B522" s="11">
        <f>IFERROR(__xludf.DUMMYFUNCTION("""COMPUTED_VALUE"""),46170.562131990744)</f>
        <v>46170.56213</v>
      </c>
      <c r="C522" s="3" t="str">
        <f>IFERROR(__xludf.DUMMYFUNCTION("""COMPUTED_VALUE"""),"ชั้นปีที่ 1")</f>
        <v>ชั้นปีที่ 1</v>
      </c>
      <c r="D522" s="3" t="str">
        <f>IFERROR(__xludf.DUMMYFUNCTION("""COMPUTED_VALUE"""),"6803925")</f>
        <v>6803925</v>
      </c>
      <c r="E522" s="3" t="str">
        <f>IFERROR(__xludf.DUMMYFUNCTION("""COMPUTED_VALUE"""),"44")</f>
        <v>44</v>
      </c>
      <c r="F522" s="3" t="str">
        <f>IFERROR(__xludf.DUMMYFUNCTION("""COMPUTED_VALUE"""),"นพอ.ภัทรพร ม่วงแคล้ว")</f>
        <v>นพอ.ภัทรพร ม่วงแคล้ว</v>
      </c>
      <c r="G522" s="3" t="str">
        <f>IFERROR(__xludf.DUMMYFUNCTION("""COMPUTED_VALUE"""),"ช่วยเหลืองานภายใน วพอ.")</f>
        <v>ช่วยเหลืองานภายใน วพอ.</v>
      </c>
      <c r="H52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2" s="3" t="str">
        <f>IFERROR(__xludf.DUMMYFUNCTION("""COMPUTED_VALUE"""),"วพอ.พอ.")</f>
        <v>วพอ.พอ.</v>
      </c>
      <c r="J522" s="12">
        <f>IFERROR(__xludf.DUMMYFUNCTION("""COMPUTED_VALUE"""),46134.0)</f>
        <v>46134</v>
      </c>
      <c r="K522" s="3" t="str">
        <f>IFERROR(__xludf.DUMMYFUNCTION("""COMPUTED_VALUE"""),"1700-2100")</f>
        <v>1700-2100</v>
      </c>
      <c r="L522" s="3">
        <f>IFERROR(__xludf.DUMMYFUNCTION("""COMPUTED_VALUE"""),4.0)</f>
        <v>4</v>
      </c>
      <c r="M522" s="3" t="str">
        <f>IFERROR(__xludf.DUMMYFUNCTION("""COMPUTED_VALUE"""),"ร.อ.อนุชิต ทำจะดี")</f>
        <v>ร.อ.อนุชิต ทำจะดี</v>
      </c>
      <c r="N522" s="14" t="str">
        <f>IFERROR(__xludf.DUMMYFUNCTION("""COMPUTED_VALUE"""),"https://lh5.googleusercontent.com/d/16q5_ErgFfqz3OMCALKbUmF2MKTRLBY7w")</f>
        <v>https://lh5.googleusercontent.com/d/16q5_ErgFfqz3OMCALKbUmF2MKTRLBY7w</v>
      </c>
      <c r="O522" s="14" t="str">
        <f>IFERROR(__xludf.DUMMYFUNCTION("""COMPUTED_VALUE"""),"https://drive.google.com/file/d/1x0WtdmFrrglPejNWTzl6Ip_hD8tCMjIm/view?usp=drivesdk")</f>
        <v>https://drive.google.com/file/d/1x0WtdmFrrglPejNWTzl6Ip_hD8tCMjIm/view?usp=drivesdk</v>
      </c>
    </row>
    <row r="523">
      <c r="A523" s="3">
        <f>IFERROR(__xludf.DUMMYFUNCTION("""COMPUTED_VALUE"""),2365.0)</f>
        <v>2365</v>
      </c>
      <c r="B523" s="11">
        <f>IFERROR(__xludf.DUMMYFUNCTION("""COMPUTED_VALUE"""),46170.56321023148)</f>
        <v>46170.56321</v>
      </c>
      <c r="C523" s="3" t="str">
        <f>IFERROR(__xludf.DUMMYFUNCTION("""COMPUTED_VALUE"""),"ชั้นปีที่ 1")</f>
        <v>ชั้นปีที่ 1</v>
      </c>
      <c r="D523" s="3" t="str">
        <f>IFERROR(__xludf.DUMMYFUNCTION("""COMPUTED_VALUE"""),"6803906")</f>
        <v>6803906</v>
      </c>
      <c r="E523" s="3" t="str">
        <f>IFERROR(__xludf.DUMMYFUNCTION("""COMPUTED_VALUE"""),"25")</f>
        <v>25</v>
      </c>
      <c r="F523" s="3" t="str">
        <f>IFERROR(__xludf.DUMMYFUNCTION("""COMPUTED_VALUE"""),"นพอ.ธัญวรัตน์ ยงคะวิสัย")</f>
        <v>นพอ.ธัญวรัตน์ ยงคะวิสัย</v>
      </c>
      <c r="G523" s="3" t="str">
        <f>IFERROR(__xludf.DUMMYFUNCTION("""COMPUTED_VALUE"""),"ช่วยเหลืองานภายใน วพอ.")</f>
        <v>ช่วยเหลืองานภายใน วพอ.</v>
      </c>
      <c r="H523" s="3" t="str">
        <f>IFERROR(__xludf.DUMMYFUNCTION("""COMPUTED_VALUE"""),"เล่นดุริยางค์")</f>
        <v>เล่นดุริยางค์</v>
      </c>
      <c r="I523" s="3" t="str">
        <f>IFERROR(__xludf.DUMMYFUNCTION("""COMPUTED_VALUE"""),"วพอ.พอ.")</f>
        <v>วพอ.พอ.</v>
      </c>
      <c r="J523" s="12">
        <f>IFERROR(__xludf.DUMMYFUNCTION("""COMPUTED_VALUE"""),46035.0)</f>
        <v>46035</v>
      </c>
      <c r="K523" s="3" t="str">
        <f>IFERROR(__xludf.DUMMYFUNCTION("""COMPUTED_VALUE"""),"0700-0800")</f>
        <v>0700-0800</v>
      </c>
      <c r="L523" s="3">
        <f>IFERROR(__xludf.DUMMYFUNCTION("""COMPUTED_VALUE"""),1.0)</f>
        <v>1</v>
      </c>
      <c r="M523" s="3" t="str">
        <f>IFERROR(__xludf.DUMMYFUNCTION("""COMPUTED_VALUE"""),"ร.อ.อนุชิต ทำจะดี")</f>
        <v>ร.อ.อนุชิต ทำจะดี</v>
      </c>
      <c r="N523" s="14" t="str">
        <f>IFERROR(__xludf.DUMMYFUNCTION("""COMPUTED_VALUE"""),"https://lh5.googleusercontent.com/d/1M_QBPuIJI9sT51pZ_QD5f2EphubCxeqB")</f>
        <v>https://lh5.googleusercontent.com/d/1M_QBPuIJI9sT51pZ_QD5f2EphubCxeqB</v>
      </c>
      <c r="O523" s="3"/>
    </row>
    <row r="524">
      <c r="A524" s="3">
        <f>IFERROR(__xludf.DUMMYFUNCTION("""COMPUTED_VALUE"""),2366.0)</f>
        <v>2366</v>
      </c>
      <c r="B524" s="11">
        <f>IFERROR(__xludf.DUMMYFUNCTION("""COMPUTED_VALUE"""),46170.56400194445)</f>
        <v>46170.564</v>
      </c>
      <c r="C524" s="3" t="str">
        <f>IFERROR(__xludf.DUMMYFUNCTION("""COMPUTED_VALUE"""),"ชั้นปีที่ 1")</f>
        <v>ชั้นปีที่ 1</v>
      </c>
      <c r="D524" s="3" t="str">
        <f>IFERROR(__xludf.DUMMYFUNCTION("""COMPUTED_VALUE"""),"6803894")</f>
        <v>6803894</v>
      </c>
      <c r="E524" s="3" t="str">
        <f>IFERROR(__xludf.DUMMYFUNCTION("""COMPUTED_VALUE"""),"13")</f>
        <v>13</v>
      </c>
      <c r="F524" s="3" t="str">
        <f>IFERROR(__xludf.DUMMYFUNCTION("""COMPUTED_VALUE"""),"นพอ.ฐิติณัฐดา แสนสุขเกษม")</f>
        <v>นพอ.ฐิติณัฐดา แสนสุขเกษม</v>
      </c>
      <c r="G524" s="3" t="str">
        <f>IFERROR(__xludf.DUMMYFUNCTION("""COMPUTED_VALUE"""),"ช่วยเหลืองานภายใน วพอ.")</f>
        <v>ช่วยเหลืองานภายใน วพอ.</v>
      </c>
      <c r="H524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24" s="3" t="str">
        <f>IFERROR(__xludf.DUMMYFUNCTION("""COMPUTED_VALUE"""),"วพอ.พอ.")</f>
        <v>วพอ.พอ.</v>
      </c>
      <c r="J524" s="12">
        <f>IFERROR(__xludf.DUMMYFUNCTION("""COMPUTED_VALUE"""),46164.0)</f>
        <v>46164</v>
      </c>
      <c r="K524" s="3" t="str">
        <f>IFERROR(__xludf.DUMMYFUNCTION("""COMPUTED_VALUE"""),"1500-1700")</f>
        <v>1500-1700</v>
      </c>
      <c r="L524" s="3">
        <f>IFERROR(__xludf.DUMMYFUNCTION("""COMPUTED_VALUE"""),2.0)</f>
        <v>2</v>
      </c>
      <c r="M524" s="3" t="str">
        <f>IFERROR(__xludf.DUMMYFUNCTION("""COMPUTED_VALUE"""),"น.อ.หญิง นิตยา สุขแสน")</f>
        <v>น.อ.หญิง นิตยา สุขแสน</v>
      </c>
      <c r="N524" s="14" t="str">
        <f>IFERROR(__xludf.DUMMYFUNCTION("""COMPUTED_VALUE"""),"https://lh5.googleusercontent.com/d/1MElDX4fxCHsqmag9tbHaLMk4zYh7CcT8")</f>
        <v>https://lh5.googleusercontent.com/d/1MElDX4fxCHsqmag9tbHaLMk4zYh7CcT8</v>
      </c>
      <c r="O524" s="14" t="str">
        <f>IFERROR(__xludf.DUMMYFUNCTION("""COMPUTED_VALUE"""),"https://drive.google.com/file/d/11q-Q5gsjwDZ0CJQrUwvej95SjV9jsXhy/view?usp=drivesdk")</f>
        <v>https://drive.google.com/file/d/11q-Q5gsjwDZ0CJQrUwvej95SjV9jsXhy/view?usp=drivesdk</v>
      </c>
    </row>
    <row r="525">
      <c r="A525" s="3">
        <f>IFERROR(__xludf.DUMMYFUNCTION("""COMPUTED_VALUE"""),2368.0)</f>
        <v>2368</v>
      </c>
      <c r="B525" s="11">
        <f>IFERROR(__xludf.DUMMYFUNCTION("""COMPUTED_VALUE"""),46170.564773101854)</f>
        <v>46170.56477</v>
      </c>
      <c r="C525" s="3" t="str">
        <f>IFERROR(__xludf.DUMMYFUNCTION("""COMPUTED_VALUE"""),"ชั้นปีที่ 1")</f>
        <v>ชั้นปีที่ 1</v>
      </c>
      <c r="D525" s="3" t="str">
        <f>IFERROR(__xludf.DUMMYFUNCTION("""COMPUTED_VALUE"""),"6803934")</f>
        <v>6803934</v>
      </c>
      <c r="E525" s="3" t="str">
        <f>IFERROR(__xludf.DUMMYFUNCTION("""COMPUTED_VALUE"""),"53")</f>
        <v>53</v>
      </c>
      <c r="F525" s="3" t="str">
        <f>IFERROR(__xludf.DUMMYFUNCTION("""COMPUTED_VALUE"""),"นพอ.วริศรา ออละมาลี")</f>
        <v>นพอ.วริศรา ออละมาลี</v>
      </c>
      <c r="G525" s="3" t="str">
        <f>IFERROR(__xludf.DUMMYFUNCTION("""COMPUTED_VALUE"""),"ช่วยเหลืองานภายใน วพอ.")</f>
        <v>ช่วยเหลืองานภายใน วพอ.</v>
      </c>
      <c r="H525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25" s="3" t="str">
        <f>IFERROR(__xludf.DUMMYFUNCTION("""COMPUTED_VALUE"""),"อาคารสำนักงานชั้น 4")</f>
        <v>อาคารสำนักงานชั้น 4</v>
      </c>
      <c r="J525" s="12">
        <f>IFERROR(__xludf.DUMMYFUNCTION("""COMPUTED_VALUE"""),46147.0)</f>
        <v>46147</v>
      </c>
      <c r="K525" s="3" t="str">
        <f>IFERROR(__xludf.DUMMYFUNCTION("""COMPUTED_VALUE"""),"1500-1800")</f>
        <v>1500-1800</v>
      </c>
      <c r="L525" s="3">
        <f>IFERROR(__xludf.DUMMYFUNCTION("""COMPUTED_VALUE"""),3.0)</f>
        <v>3</v>
      </c>
      <c r="M525" s="3" t="str">
        <f>IFERROR(__xludf.DUMMYFUNCTION("""COMPUTED_VALUE"""),"น.ต.ศักชัย บุญประสิทธิ์")</f>
        <v>น.ต.ศักชัย บุญประสิทธิ์</v>
      </c>
      <c r="N525" s="14" t="str">
        <f>IFERROR(__xludf.DUMMYFUNCTION("""COMPUTED_VALUE"""),"https://lh5.googleusercontent.com/d/1PEV_hOfWTa5tR22GTsXXuRQckQyfyPZZ")</f>
        <v>https://lh5.googleusercontent.com/d/1PEV_hOfWTa5tR22GTsXXuRQckQyfyPZZ</v>
      </c>
      <c r="O525" s="14" t="str">
        <f>IFERROR(__xludf.DUMMYFUNCTION("""COMPUTED_VALUE"""),"https://drive.google.com/file/d/1NnXApQZRmK1Fwxs5xUvIHXzS4293qcgA/view?usp=drivesdk")</f>
        <v>https://drive.google.com/file/d/1NnXApQZRmK1Fwxs5xUvIHXzS4293qcgA/view?usp=drivesdk</v>
      </c>
    </row>
    <row r="526">
      <c r="A526" s="3">
        <f>IFERROR(__xludf.DUMMYFUNCTION("""COMPUTED_VALUE"""),2369.0)</f>
        <v>2369</v>
      </c>
      <c r="B526" s="11">
        <f>IFERROR(__xludf.DUMMYFUNCTION("""COMPUTED_VALUE"""),46170.56533450232)</f>
        <v>46170.56533</v>
      </c>
      <c r="C526" s="3" t="str">
        <f>IFERROR(__xludf.DUMMYFUNCTION("""COMPUTED_VALUE"""),"ชั้นปีที่ 1")</f>
        <v>ชั้นปีที่ 1</v>
      </c>
      <c r="D526" s="3" t="str">
        <f>IFERROR(__xludf.DUMMYFUNCTION("""COMPUTED_VALUE"""),"6803916")</f>
        <v>6803916</v>
      </c>
      <c r="E526" s="3" t="str">
        <f>IFERROR(__xludf.DUMMYFUNCTION("""COMPUTED_VALUE"""),"35")</f>
        <v>35</v>
      </c>
      <c r="F526" s="3" t="str">
        <f>IFERROR(__xludf.DUMMYFUNCTION("""COMPUTED_VALUE"""),"นพอ.ปาลิดา ลือนาม")</f>
        <v>นพอ.ปาลิดา ลือนาม</v>
      </c>
      <c r="G526" s="3" t="str">
        <f>IFERROR(__xludf.DUMMYFUNCTION("""COMPUTED_VALUE"""),"ช่วยเหลืองานภายใน วพอ.")</f>
        <v>ช่วยเหลืองานภายใน วพอ.</v>
      </c>
      <c r="H526" s="3" t="str">
        <f>IFERROR(__xludf.DUMMYFUNCTION("""COMPUTED_VALUE"""),"งานพิธีมอบ หมวกพยาบาลวิชาชีพ ปีการศึกษา 2568")</f>
        <v>งานพิธีมอบ หมวกพยาบาลวิชาชีพ ปีการศึกษา 2568</v>
      </c>
      <c r="I526" s="3" t="str">
        <f>IFERROR(__xludf.DUMMYFUNCTION("""COMPUTED_VALUE"""),"หอประชุมธูปะเต มีย์ รพ.ภูมิพล")</f>
        <v>หอประชุมธูปะเต มีย์ รพ.ภูมิพล</v>
      </c>
      <c r="J526" s="12">
        <f>IFERROR(__xludf.DUMMYFUNCTION("""COMPUTED_VALUE"""),46139.0)</f>
        <v>46139</v>
      </c>
      <c r="K526" s="3" t="str">
        <f>IFERROR(__xludf.DUMMYFUNCTION("""COMPUTED_VALUE"""),"1700-2100")</f>
        <v>1700-2100</v>
      </c>
      <c r="L526" s="3">
        <f>IFERROR(__xludf.DUMMYFUNCTION("""COMPUTED_VALUE"""),4.0)</f>
        <v>4</v>
      </c>
      <c r="M526" s="3" t="str">
        <f>IFERROR(__xludf.DUMMYFUNCTION("""COMPUTED_VALUE"""),"ร.อ.อนุชิต ทำจะดี")</f>
        <v>ร.อ.อนุชิต ทำจะดี</v>
      </c>
      <c r="N526" s="14" t="str">
        <f>IFERROR(__xludf.DUMMYFUNCTION("""COMPUTED_VALUE"""),"https://lh5.googleusercontent.com/d/1bNwtm-4qK3VhPJd-ETLLFAxjkm02TSkA")</f>
        <v>https://lh5.googleusercontent.com/d/1bNwtm-4qK3VhPJd-ETLLFAxjkm02TSkA</v>
      </c>
      <c r="O526" s="14" t="str">
        <f>IFERROR(__xludf.DUMMYFUNCTION("""COMPUTED_VALUE"""),"https://drive.google.com/file/d/1IPQx0zq49i_LV9hBu0WATiTqQ5etgjKv/view?usp=drivesdk")</f>
        <v>https://drive.google.com/file/d/1IPQx0zq49i_LV9hBu0WATiTqQ5etgjKv/view?usp=drivesdk</v>
      </c>
    </row>
    <row r="527">
      <c r="A527" s="3">
        <f>IFERROR(__xludf.DUMMYFUNCTION("""COMPUTED_VALUE"""),2370.0)</f>
        <v>2370</v>
      </c>
      <c r="B527" s="11">
        <f>IFERROR(__xludf.DUMMYFUNCTION("""COMPUTED_VALUE"""),46170.566564479166)</f>
        <v>46170.56656</v>
      </c>
      <c r="C527" s="3" t="str">
        <f>IFERROR(__xludf.DUMMYFUNCTION("""COMPUTED_VALUE"""),"ชั้นปีที่ 1")</f>
        <v>ชั้นปีที่ 1</v>
      </c>
      <c r="D527" s="3" t="str">
        <f>IFERROR(__xludf.DUMMYFUNCTION("""COMPUTED_VALUE"""),"6803890")</f>
        <v>6803890</v>
      </c>
      <c r="E527" s="3" t="str">
        <f>IFERROR(__xludf.DUMMYFUNCTION("""COMPUTED_VALUE"""),"9")</f>
        <v>9</v>
      </c>
      <c r="F527" s="3" t="str">
        <f>IFERROR(__xludf.DUMMYFUNCTION("""COMPUTED_VALUE"""),"นพอ.จักรพงศ์ ปรีชาคม")</f>
        <v>นพอ.จักรพงศ์ ปรีชาคม</v>
      </c>
      <c r="G527" s="3" t="str">
        <f>IFERROR(__xludf.DUMMYFUNCTION("""COMPUTED_VALUE"""),"ช่วยเหลืองานภายใน วพอ.")</f>
        <v>ช่วยเหลืองานภายใน วพอ.</v>
      </c>
      <c r="H527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27" s="3" t="str">
        <f>IFERROR(__xludf.DUMMYFUNCTION("""COMPUTED_VALUE"""),"ลานข้างหอพัก")</f>
        <v>ลานข้างหอพัก</v>
      </c>
      <c r="J527" s="12">
        <f>IFERROR(__xludf.DUMMYFUNCTION("""COMPUTED_VALUE"""),46164.0)</f>
        <v>46164</v>
      </c>
      <c r="K527" s="3" t="str">
        <f>IFERROR(__xludf.DUMMYFUNCTION("""COMPUTED_VALUE"""),"1500-1700")</f>
        <v>1500-1700</v>
      </c>
      <c r="L527" s="3">
        <f>IFERROR(__xludf.DUMMYFUNCTION("""COMPUTED_VALUE"""),2.0)</f>
        <v>2</v>
      </c>
      <c r="M527" s="3" t="str">
        <f>IFERROR(__xludf.DUMMYFUNCTION("""COMPUTED_VALUE"""),"น.อ.หญิง นิตยา สุขแสน")</f>
        <v>น.อ.หญิง นิตยา สุขแสน</v>
      </c>
      <c r="N527" s="14" t="str">
        <f>IFERROR(__xludf.DUMMYFUNCTION("""COMPUTED_VALUE"""),"https://lh5.googleusercontent.com/d/1gLWKAtvmHnYg8xeMxdlbxZhjgO6keEge")</f>
        <v>https://lh5.googleusercontent.com/d/1gLWKAtvmHnYg8xeMxdlbxZhjgO6keEge</v>
      </c>
      <c r="O527" s="14" t="str">
        <f>IFERROR(__xludf.DUMMYFUNCTION("""COMPUTED_VALUE"""),"https://drive.google.com/file/d/1X0WwI8qGmNAzfIl_3R711D77zLE-LW-3/view?usp=drivesdk")</f>
        <v>https://drive.google.com/file/d/1X0WwI8qGmNAzfIl_3R711D77zLE-LW-3/view?usp=drivesdk</v>
      </c>
    </row>
    <row r="528">
      <c r="A528" s="3">
        <f>IFERROR(__xludf.DUMMYFUNCTION("""COMPUTED_VALUE"""),2371.0)</f>
        <v>2371</v>
      </c>
      <c r="B528" s="11">
        <f>IFERROR(__xludf.DUMMYFUNCTION("""COMPUTED_VALUE"""),46170.56750512732)</f>
        <v>46170.56751</v>
      </c>
      <c r="C528" s="3" t="str">
        <f>IFERROR(__xludf.DUMMYFUNCTION("""COMPUTED_VALUE"""),"ชั้นปีที่ 1")</f>
        <v>ชั้นปีที่ 1</v>
      </c>
      <c r="D528" s="3" t="str">
        <f>IFERROR(__xludf.DUMMYFUNCTION("""COMPUTED_VALUE"""),"6803883")</f>
        <v>6803883</v>
      </c>
      <c r="E528" s="3" t="str">
        <f>IFERROR(__xludf.DUMMYFUNCTION("""COMPUTED_VALUE"""),"2")</f>
        <v>2</v>
      </c>
      <c r="F528" s="3" t="str">
        <f>IFERROR(__xludf.DUMMYFUNCTION("""COMPUTED_VALUE"""),"นพอ.กรชนก หน่อทิม")</f>
        <v>นพอ.กรชนก หน่อทิม</v>
      </c>
      <c r="G528" s="3" t="str">
        <f>IFERROR(__xludf.DUMMYFUNCTION("""COMPUTED_VALUE"""),"ช่วยเหลืองานภายใน วพอ.")</f>
        <v>ช่วยเหลืองานภายใน วพอ.</v>
      </c>
      <c r="H528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28" s="3" t="str">
        <f>IFERROR(__xludf.DUMMYFUNCTION("""COMPUTED_VALUE"""),"ลานข้างหอพัก")</f>
        <v>ลานข้างหอพัก</v>
      </c>
      <c r="J528" s="12">
        <f>IFERROR(__xludf.DUMMYFUNCTION("""COMPUTED_VALUE"""),46164.0)</f>
        <v>46164</v>
      </c>
      <c r="K528" s="3" t="str">
        <f>IFERROR(__xludf.DUMMYFUNCTION("""COMPUTED_VALUE"""),"1500-1700")</f>
        <v>1500-1700</v>
      </c>
      <c r="L528" s="3">
        <f>IFERROR(__xludf.DUMMYFUNCTION("""COMPUTED_VALUE"""),2.0)</f>
        <v>2</v>
      </c>
      <c r="M528" s="3" t="str">
        <f>IFERROR(__xludf.DUMMYFUNCTION("""COMPUTED_VALUE"""),"น.อ.หญิง นิตยา สุขแสน")</f>
        <v>น.อ.หญิง นิตยา สุขแสน</v>
      </c>
      <c r="N528" s="14" t="str">
        <f>IFERROR(__xludf.DUMMYFUNCTION("""COMPUTED_VALUE"""),"https://lh5.googleusercontent.com/d/1x8fSfYHBPVcOUCfmPs-et91owrtleg_d")</f>
        <v>https://lh5.googleusercontent.com/d/1x8fSfYHBPVcOUCfmPs-et91owrtleg_d</v>
      </c>
      <c r="O528" s="14" t="str">
        <f>IFERROR(__xludf.DUMMYFUNCTION("""COMPUTED_VALUE"""),"https://drive.google.com/file/d/1AWcBoLs01dCqDGNk6ueN4zH4JJef_3c-/view?usp=drivesdk")</f>
        <v>https://drive.google.com/file/d/1AWcBoLs01dCqDGNk6ueN4zH4JJef_3c-/view?usp=drivesdk</v>
      </c>
    </row>
    <row r="529">
      <c r="A529" s="3">
        <f>IFERROR(__xludf.DUMMYFUNCTION("""COMPUTED_VALUE"""),2372.0)</f>
        <v>2372</v>
      </c>
      <c r="B529" s="11">
        <f>IFERROR(__xludf.DUMMYFUNCTION("""COMPUTED_VALUE"""),46170.56863601852)</f>
        <v>46170.56864</v>
      </c>
      <c r="C529" s="3" t="str">
        <f>IFERROR(__xludf.DUMMYFUNCTION("""COMPUTED_VALUE"""),"ชั้นปีที่ 1")</f>
        <v>ชั้นปีที่ 1</v>
      </c>
      <c r="D529" s="3" t="str">
        <f>IFERROR(__xludf.DUMMYFUNCTION("""COMPUTED_VALUE"""),"6803925")</f>
        <v>6803925</v>
      </c>
      <c r="E529" s="3" t="str">
        <f>IFERROR(__xludf.DUMMYFUNCTION("""COMPUTED_VALUE"""),"44")</f>
        <v>44</v>
      </c>
      <c r="F529" s="3" t="str">
        <f>IFERROR(__xludf.DUMMYFUNCTION("""COMPUTED_VALUE"""),"นพอ.ภัทรพร ม่วงแคล้ว")</f>
        <v>นพอ.ภัทรพร ม่วงแคล้ว</v>
      </c>
      <c r="G529" s="3" t="str">
        <f>IFERROR(__xludf.DUMMYFUNCTION("""COMPUTED_VALUE"""),"ช่วยเหลืองานภายใน วพอ.")</f>
        <v>ช่วยเหลืองานภายใน วพอ.</v>
      </c>
      <c r="H52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29" s="3" t="str">
        <f>IFERROR(__xludf.DUMMYFUNCTION("""COMPUTED_VALUE"""),"วพอ.พอ.")</f>
        <v>วพอ.พอ.</v>
      </c>
      <c r="J529" s="12">
        <f>IFERROR(__xludf.DUMMYFUNCTION("""COMPUTED_VALUE"""),46133.0)</f>
        <v>46133</v>
      </c>
      <c r="K529" s="3" t="str">
        <f>IFERROR(__xludf.DUMMYFUNCTION("""COMPUTED_VALUE"""),"1700-2100")</f>
        <v>1700-2100</v>
      </c>
      <c r="L529" s="3">
        <f>IFERROR(__xludf.DUMMYFUNCTION("""COMPUTED_VALUE"""),4.0)</f>
        <v>4</v>
      </c>
      <c r="M529" s="3" t="str">
        <f>IFERROR(__xludf.DUMMYFUNCTION("""COMPUTED_VALUE"""),"ร.อ.อนุชิต ทำจะดี")</f>
        <v>ร.อ.อนุชิต ทำจะดี</v>
      </c>
      <c r="N529" s="14" t="str">
        <f>IFERROR(__xludf.DUMMYFUNCTION("""COMPUTED_VALUE"""),"https://lh5.googleusercontent.com/d/1mFHo8GMzSZO2dDde-LSiD_cCLRYG7NJ1")</f>
        <v>https://lh5.googleusercontent.com/d/1mFHo8GMzSZO2dDde-LSiD_cCLRYG7NJ1</v>
      </c>
      <c r="O529" s="14" t="str">
        <f>IFERROR(__xludf.DUMMYFUNCTION("""COMPUTED_VALUE"""),"https://drive.google.com/file/d/1Ihi8gqjeuoprAYAb8RTbQXuT43-aPyRb/view?usp=drivesdk")</f>
        <v>https://drive.google.com/file/d/1Ihi8gqjeuoprAYAb8RTbQXuT43-aPyRb/view?usp=drivesdk</v>
      </c>
    </row>
    <row r="530">
      <c r="A530" s="3">
        <f>IFERROR(__xludf.DUMMYFUNCTION("""COMPUTED_VALUE"""),2373.0)</f>
        <v>2373</v>
      </c>
      <c r="B530" s="11">
        <f>IFERROR(__xludf.DUMMYFUNCTION("""COMPUTED_VALUE"""),46170.568659895835)</f>
        <v>46170.56866</v>
      </c>
      <c r="C530" s="3" t="str">
        <f>IFERROR(__xludf.DUMMYFUNCTION("""COMPUTED_VALUE"""),"ชั้นปีที่ 1")</f>
        <v>ชั้นปีที่ 1</v>
      </c>
      <c r="D530" s="3" t="str">
        <f>IFERROR(__xludf.DUMMYFUNCTION("""COMPUTED_VALUE"""),"6803894")</f>
        <v>6803894</v>
      </c>
      <c r="E530" s="3" t="str">
        <f>IFERROR(__xludf.DUMMYFUNCTION("""COMPUTED_VALUE"""),"13")</f>
        <v>13</v>
      </c>
      <c r="F530" s="3" t="str">
        <f>IFERROR(__xludf.DUMMYFUNCTION("""COMPUTED_VALUE"""),"นพอ.ฐิติณัฐดา แสนสุขเกษม")</f>
        <v>นพอ.ฐิติณัฐดา แสนสุขเกษม</v>
      </c>
      <c r="G530" s="3" t="str">
        <f>IFERROR(__xludf.DUMMYFUNCTION("""COMPUTED_VALUE"""),"ช่วยเหลืองานภายใน วพอ.")</f>
        <v>ช่วยเหลืองานภายใน วพอ.</v>
      </c>
      <c r="H530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30" s="3" t="str">
        <f>IFERROR(__xludf.DUMMYFUNCTION("""COMPUTED_VALUE"""),"อาคารสำนักงานชั้น 4")</f>
        <v>อาคารสำนักงานชั้น 4</v>
      </c>
      <c r="J530" s="12">
        <f>IFERROR(__xludf.DUMMYFUNCTION("""COMPUTED_VALUE"""),46147.0)</f>
        <v>46147</v>
      </c>
      <c r="K530" s="3" t="str">
        <f>IFERROR(__xludf.DUMMYFUNCTION("""COMPUTED_VALUE"""),"1500-1800")</f>
        <v>1500-1800</v>
      </c>
      <c r="L530" s="3">
        <f>IFERROR(__xludf.DUMMYFUNCTION("""COMPUTED_VALUE"""),3.0)</f>
        <v>3</v>
      </c>
      <c r="M530" s="3" t="str">
        <f>IFERROR(__xludf.DUMMYFUNCTION("""COMPUTED_VALUE"""),"น.ต.ศักชัย บุญประสิทธิ์")</f>
        <v>น.ต.ศักชัย บุญประสิทธิ์</v>
      </c>
      <c r="N530" s="14" t="str">
        <f>IFERROR(__xludf.DUMMYFUNCTION("""COMPUTED_VALUE"""),"https://lh5.googleusercontent.com/d/1_5WS3VFg0FPMtF9ArxjfzOvhYsScRgUw")</f>
        <v>https://lh5.googleusercontent.com/d/1_5WS3VFg0FPMtF9ArxjfzOvhYsScRgUw</v>
      </c>
      <c r="O530" s="14" t="str">
        <f>IFERROR(__xludf.DUMMYFUNCTION("""COMPUTED_VALUE"""),"https://drive.google.com/file/d/18vX30DfhFIdKR5iBooYkUcroc06SIFYG/view?usp=drivesdk")</f>
        <v>https://drive.google.com/file/d/18vX30DfhFIdKR5iBooYkUcroc06SIFYG/view?usp=drivesdk</v>
      </c>
    </row>
    <row r="531">
      <c r="A531" s="3">
        <f>IFERROR(__xludf.DUMMYFUNCTION("""COMPUTED_VALUE"""),2374.0)</f>
        <v>2374</v>
      </c>
      <c r="B531" s="11">
        <f>IFERROR(__xludf.DUMMYFUNCTION("""COMPUTED_VALUE"""),46170.56899414351)</f>
        <v>46170.56899</v>
      </c>
      <c r="C531" s="3" t="str">
        <f>IFERROR(__xludf.DUMMYFUNCTION("""COMPUTED_VALUE"""),"ชั้นปีที่ 1")</f>
        <v>ชั้นปีที่ 1</v>
      </c>
      <c r="D531" s="3" t="str">
        <f>IFERROR(__xludf.DUMMYFUNCTION("""COMPUTED_VALUE"""),"6803916")</f>
        <v>6803916</v>
      </c>
      <c r="E531" s="3" t="str">
        <f>IFERROR(__xludf.DUMMYFUNCTION("""COMPUTED_VALUE"""),"35")</f>
        <v>35</v>
      </c>
      <c r="F531" s="3" t="str">
        <f>IFERROR(__xludf.DUMMYFUNCTION("""COMPUTED_VALUE"""),"นพอ.ปาลิดา ลือนาม")</f>
        <v>นพอ.ปาลิดา ลือนาม</v>
      </c>
      <c r="G531" s="3" t="str">
        <f>IFERROR(__xludf.DUMMYFUNCTION("""COMPUTED_VALUE"""),"ช่วยเหลืองานภายใน วพอ.")</f>
        <v>ช่วยเหลืองานภายใน วพอ.</v>
      </c>
      <c r="H531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31" s="3" t="str">
        <f>IFERROR(__xludf.DUMMYFUNCTION("""COMPUTED_VALUE"""),"อาคารสำนักงานชั้น 4")</f>
        <v>อาคารสำนักงานชั้น 4</v>
      </c>
      <c r="J531" s="12">
        <f>IFERROR(__xludf.DUMMYFUNCTION("""COMPUTED_VALUE"""),46147.0)</f>
        <v>46147</v>
      </c>
      <c r="K531" s="3" t="str">
        <f>IFERROR(__xludf.DUMMYFUNCTION("""COMPUTED_VALUE"""),"1500-1800")</f>
        <v>1500-1800</v>
      </c>
      <c r="L531" s="3">
        <f>IFERROR(__xludf.DUMMYFUNCTION("""COMPUTED_VALUE"""),3.0)</f>
        <v>3</v>
      </c>
      <c r="M531" s="3" t="str">
        <f>IFERROR(__xludf.DUMMYFUNCTION("""COMPUTED_VALUE"""),"น.ต.ศักชัย บุญ ประสิทธิ์ ")</f>
        <v>น.ต.ศักชัย บุญ ประสิทธิ์ </v>
      </c>
      <c r="N531" s="3"/>
      <c r="O531" s="14" t="str">
        <f>IFERROR(__xludf.DUMMYFUNCTION("""COMPUTED_VALUE"""),"https://drive.google.com/file/d/11P2bagfp8i4yOfEZGbs_Le9XWy581VLq/view?usp=drivesdk")</f>
        <v>https://drive.google.com/file/d/11P2bagfp8i4yOfEZGbs_Le9XWy581VLq/view?usp=drivesdk</v>
      </c>
    </row>
    <row r="532">
      <c r="A532" s="3">
        <f>IFERROR(__xludf.DUMMYFUNCTION("""COMPUTED_VALUE"""),2375.0)</f>
        <v>2375</v>
      </c>
      <c r="B532" s="11">
        <f>IFERROR(__xludf.DUMMYFUNCTION("""COMPUTED_VALUE"""),46170.56997708334)</f>
        <v>46170.56998</v>
      </c>
      <c r="C532" s="3" t="str">
        <f>IFERROR(__xludf.DUMMYFUNCTION("""COMPUTED_VALUE"""),"ชั้นปีที่ 1")</f>
        <v>ชั้นปีที่ 1</v>
      </c>
      <c r="D532" s="3" t="str">
        <f>IFERROR(__xludf.DUMMYFUNCTION("""COMPUTED_VALUE"""),"6803925")</f>
        <v>6803925</v>
      </c>
      <c r="E532" s="3" t="str">
        <f>IFERROR(__xludf.DUMMYFUNCTION("""COMPUTED_VALUE"""),"44")</f>
        <v>44</v>
      </c>
      <c r="F532" s="3" t="str">
        <f>IFERROR(__xludf.DUMMYFUNCTION("""COMPUTED_VALUE"""),"นพอ.ภัทรพร ม่วงแคล้ว")</f>
        <v>นพอ.ภัทรพร ม่วงแคล้ว</v>
      </c>
      <c r="G532" s="3" t="str">
        <f>IFERROR(__xludf.DUMMYFUNCTION("""COMPUTED_VALUE"""),"ช่วยเหลืองานภายใน วพอ.")</f>
        <v>ช่วยเหลืองานภายใน วพอ.</v>
      </c>
      <c r="H53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32" s="3" t="str">
        <f>IFERROR(__xludf.DUMMYFUNCTION("""COMPUTED_VALUE"""),"วพอ.พอ.")</f>
        <v>วพอ.พอ.</v>
      </c>
      <c r="J532" s="12">
        <f>IFERROR(__xludf.DUMMYFUNCTION("""COMPUTED_VALUE"""),46135.0)</f>
        <v>46135</v>
      </c>
      <c r="K532" s="3" t="str">
        <f>IFERROR(__xludf.DUMMYFUNCTION("""COMPUTED_VALUE"""),"1700-2100")</f>
        <v>1700-2100</v>
      </c>
      <c r="L532" s="3">
        <f>IFERROR(__xludf.DUMMYFUNCTION("""COMPUTED_VALUE"""),4.0)</f>
        <v>4</v>
      </c>
      <c r="M532" s="3" t="str">
        <f>IFERROR(__xludf.DUMMYFUNCTION("""COMPUTED_VALUE"""),"ร.อ.อนุชิต ทำจะดี")</f>
        <v>ร.อ.อนุชิต ทำจะดี</v>
      </c>
      <c r="N532" s="14" t="str">
        <f>IFERROR(__xludf.DUMMYFUNCTION("""COMPUTED_VALUE"""),"https://lh5.googleusercontent.com/d/1qcnejgPyJEhoItlYaqBXz3y6LKKFJbyH")</f>
        <v>https://lh5.googleusercontent.com/d/1qcnejgPyJEhoItlYaqBXz3y6LKKFJbyH</v>
      </c>
      <c r="O532" s="14" t="str">
        <f>IFERROR(__xludf.DUMMYFUNCTION("""COMPUTED_VALUE"""),"https://drive.google.com/file/d/1Dvp5gmIfH1hTxqOYNfMkhuve6HX6ODfQ/view?usp=drivesdk")</f>
        <v>https://drive.google.com/file/d/1Dvp5gmIfH1hTxqOYNfMkhuve6HX6ODfQ/view?usp=drivesdk</v>
      </c>
    </row>
    <row r="533">
      <c r="A533" s="3">
        <f>IFERROR(__xludf.DUMMYFUNCTION("""COMPUTED_VALUE"""),2376.0)</f>
        <v>2376</v>
      </c>
      <c r="B533" s="11">
        <f>IFERROR(__xludf.DUMMYFUNCTION("""COMPUTED_VALUE"""),46170.57003296296)</f>
        <v>46170.57003</v>
      </c>
      <c r="C533" s="3" t="str">
        <f>IFERROR(__xludf.DUMMYFUNCTION("""COMPUTED_VALUE"""),"ชั้นปีที่ 1")</f>
        <v>ชั้นปีที่ 1</v>
      </c>
      <c r="D533" s="3" t="str">
        <f>IFERROR(__xludf.DUMMYFUNCTION("""COMPUTED_VALUE"""),"6803940")</f>
        <v>6803940</v>
      </c>
      <c r="E533" s="3" t="str">
        <f>IFERROR(__xludf.DUMMYFUNCTION("""COMPUTED_VALUE"""),"59")</f>
        <v>59</v>
      </c>
      <c r="F533" s="3" t="str">
        <f>IFERROR(__xludf.DUMMYFUNCTION("""COMPUTED_VALUE"""),"นพอ.หฤทชนัน อุทกัง")</f>
        <v>นพอ.หฤทชนัน อุทกัง</v>
      </c>
      <c r="G533" s="3" t="str">
        <f>IFERROR(__xludf.DUMMYFUNCTION("""COMPUTED_VALUE"""),"ช่วยเหลืองานภายใน วพอ.")</f>
        <v>ช่วยเหลืองานภายใน วพอ.</v>
      </c>
      <c r="H533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33" s="3" t="str">
        <f>IFERROR(__xludf.DUMMYFUNCTION("""COMPUTED_VALUE"""),"ลานข้างหอพัก")</f>
        <v>ลานข้างหอพัก</v>
      </c>
      <c r="J533" s="12">
        <f>IFERROR(__xludf.DUMMYFUNCTION("""COMPUTED_VALUE"""),46164.0)</f>
        <v>46164</v>
      </c>
      <c r="K533" s="3" t="str">
        <f>IFERROR(__xludf.DUMMYFUNCTION("""COMPUTED_VALUE"""),"1500 - 1700")</f>
        <v>1500 - 1700</v>
      </c>
      <c r="L533" s="3">
        <f>IFERROR(__xludf.DUMMYFUNCTION("""COMPUTED_VALUE"""),2.0)</f>
        <v>2</v>
      </c>
      <c r="M533" s="3" t="str">
        <f>IFERROR(__xludf.DUMMYFUNCTION("""COMPUTED_VALUE"""),"น.อ.หญิง นิตยา สุขแสน")</f>
        <v>น.อ.หญิง นิตยา สุขแสน</v>
      </c>
      <c r="N533" s="14" t="str">
        <f>IFERROR(__xludf.DUMMYFUNCTION("""COMPUTED_VALUE"""),"https://lh5.googleusercontent.com/d/1GXUfjqNUF_rbQJ3IMv2lMM8RlfYWuqFd")</f>
        <v>https://lh5.googleusercontent.com/d/1GXUfjqNUF_rbQJ3IMv2lMM8RlfYWuqFd</v>
      </c>
      <c r="O533" s="14" t="str">
        <f>IFERROR(__xludf.DUMMYFUNCTION("""COMPUTED_VALUE"""),"https://drive.google.com/file/d/1t-IHaVsYYM0T1ZxJdLTOQOGdWYPw9jKt/view?usp=drivesdk")</f>
        <v>https://drive.google.com/file/d/1t-IHaVsYYM0T1ZxJdLTOQOGdWYPw9jKt/view?usp=drivesdk</v>
      </c>
    </row>
    <row r="534">
      <c r="A534" s="3">
        <f>IFERROR(__xludf.DUMMYFUNCTION("""COMPUTED_VALUE"""),2378.0)</f>
        <v>2378</v>
      </c>
      <c r="B534" s="11">
        <f>IFERROR(__xludf.DUMMYFUNCTION("""COMPUTED_VALUE"""),46170.57006466435)</f>
        <v>46170.57006</v>
      </c>
      <c r="C534" s="3" t="str">
        <f>IFERROR(__xludf.DUMMYFUNCTION("""COMPUTED_VALUE"""),"ชั้นปีที่ 1")</f>
        <v>ชั้นปีที่ 1</v>
      </c>
      <c r="D534" s="3" t="str">
        <f>IFERROR(__xludf.DUMMYFUNCTION("""COMPUTED_VALUE"""),"6803883")</f>
        <v>6803883</v>
      </c>
      <c r="E534" s="3" t="str">
        <f>IFERROR(__xludf.DUMMYFUNCTION("""COMPUTED_VALUE"""),"2")</f>
        <v>2</v>
      </c>
      <c r="F534" s="3" t="str">
        <f>IFERROR(__xludf.DUMMYFUNCTION("""COMPUTED_VALUE"""),"นพอ.กรชนก หน่อทิม")</f>
        <v>นพอ.กรชนก หน่อทิม</v>
      </c>
      <c r="G534" s="3" t="str">
        <f>IFERROR(__xludf.DUMMYFUNCTION("""COMPUTED_VALUE"""),"ช่วยเหลืองานภายใน วพอ.")</f>
        <v>ช่วยเหลืองานภายใน วพอ.</v>
      </c>
      <c r="H534" s="3" t="str">
        <f>IFERROR(__xludf.DUMMYFUNCTION("""COMPUTED_VALUE"""),"เล่นดุริยางค์")</f>
        <v>เล่นดุริยางค์</v>
      </c>
      <c r="I534" s="3" t="str">
        <f>IFERROR(__xludf.DUMMYFUNCTION("""COMPUTED_VALUE"""),"วพอ.พอ.")</f>
        <v>วพอ.พอ.</v>
      </c>
      <c r="J534" s="12">
        <f>IFERROR(__xludf.DUMMYFUNCTION("""COMPUTED_VALUE"""),46093.0)</f>
        <v>46093</v>
      </c>
      <c r="K534" s="3" t="str">
        <f>IFERROR(__xludf.DUMMYFUNCTION("""COMPUTED_VALUE"""),"0700-0800")</f>
        <v>0700-0800</v>
      </c>
      <c r="L534" s="3">
        <f>IFERROR(__xludf.DUMMYFUNCTION("""COMPUTED_VALUE"""),1.0)</f>
        <v>1</v>
      </c>
      <c r="M534" s="3" t="str">
        <f>IFERROR(__xludf.DUMMYFUNCTION("""COMPUTED_VALUE"""),"ร.อ.อนุชิต ทำจะดี")</f>
        <v>ร.อ.อนุชิต ทำจะดี</v>
      </c>
      <c r="N534" s="14" t="str">
        <f>IFERROR(__xludf.DUMMYFUNCTION("""COMPUTED_VALUE"""),"https://lh5.googleusercontent.com/d/1skOXusmg_6TTtNejhgBpjyMhg6kBA_Tt")</f>
        <v>https://lh5.googleusercontent.com/d/1skOXusmg_6TTtNejhgBpjyMhg6kBA_Tt</v>
      </c>
      <c r="O534" s="14" t="str">
        <f>IFERROR(__xludf.DUMMYFUNCTION("""COMPUTED_VALUE"""),"https://drive.google.com/file/d/16RHYOyAc36BwsZcbVNR7NZ9YWJP4WH-Z/view?usp=drivesdk")</f>
        <v>https://drive.google.com/file/d/16RHYOyAc36BwsZcbVNR7NZ9YWJP4WH-Z/view?usp=drivesdk</v>
      </c>
    </row>
    <row r="535">
      <c r="A535" s="3">
        <f>IFERROR(__xludf.DUMMYFUNCTION("""COMPUTED_VALUE"""),2379.0)</f>
        <v>2379</v>
      </c>
      <c r="B535" s="11">
        <f>IFERROR(__xludf.DUMMYFUNCTION("""COMPUTED_VALUE"""),46170.57010982638)</f>
        <v>46170.57011</v>
      </c>
      <c r="C535" s="3" t="str">
        <f>IFERROR(__xludf.DUMMYFUNCTION("""COMPUTED_VALUE"""),"ชั้นปีที่ 1")</f>
        <v>ชั้นปีที่ 1</v>
      </c>
      <c r="D535" s="3" t="str">
        <f>IFERROR(__xludf.DUMMYFUNCTION("""COMPUTED_VALUE"""),"6803887")</f>
        <v>6803887</v>
      </c>
      <c r="E535" s="3" t="str">
        <f>IFERROR(__xludf.DUMMYFUNCTION("""COMPUTED_VALUE"""),"6")</f>
        <v>6</v>
      </c>
      <c r="F535" s="3" t="str">
        <f>IFERROR(__xludf.DUMMYFUNCTION("""COMPUTED_VALUE"""),"นพอ.กัญญวรา โกษาเสวียง")</f>
        <v>นพอ.กัญญวรา โกษาเสวียง</v>
      </c>
      <c r="G535" s="3" t="str">
        <f>IFERROR(__xludf.DUMMYFUNCTION("""COMPUTED_VALUE"""),"ช่วยเหลืองานภายใน วพอ.")</f>
        <v>ช่วยเหลืองานภายใน วพอ.</v>
      </c>
      <c r="H535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35" s="3" t="str">
        <f>IFERROR(__xludf.DUMMYFUNCTION("""COMPUTED_VALUE"""),"ลานข้างหอพัก")</f>
        <v>ลานข้างหอพัก</v>
      </c>
      <c r="J535" s="12">
        <f>IFERROR(__xludf.DUMMYFUNCTION("""COMPUTED_VALUE"""),46164.0)</f>
        <v>46164</v>
      </c>
      <c r="K535" s="3" t="str">
        <f>IFERROR(__xludf.DUMMYFUNCTION("""COMPUTED_VALUE"""),"1500-1700")</f>
        <v>1500-1700</v>
      </c>
      <c r="L535" s="3">
        <f>IFERROR(__xludf.DUMMYFUNCTION("""COMPUTED_VALUE"""),2.0)</f>
        <v>2</v>
      </c>
      <c r="M535" s="3" t="str">
        <f>IFERROR(__xludf.DUMMYFUNCTION("""COMPUTED_VALUE"""),"น.อ.หญิง นิตยา สุขแสน")</f>
        <v>น.อ.หญิง นิตยา สุขแสน</v>
      </c>
      <c r="N535" s="14" t="str">
        <f>IFERROR(__xludf.DUMMYFUNCTION("""COMPUTED_VALUE"""),"https://lh5.googleusercontent.com/d/1LANj_8JS0veZTnMajR_v9t6Mx5FsrY8W")</f>
        <v>https://lh5.googleusercontent.com/d/1LANj_8JS0veZTnMajR_v9t6Mx5FsrY8W</v>
      </c>
      <c r="O535" s="14" t="str">
        <f>IFERROR(__xludf.DUMMYFUNCTION("""COMPUTED_VALUE"""),"https://drive.google.com/file/d/1vl6awoR0QfP-XXVskYtq1YCwX9L7hNia/view?usp=drivesdk")</f>
        <v>https://drive.google.com/file/d/1vl6awoR0QfP-XXVskYtq1YCwX9L7hNia/view?usp=drivesdk</v>
      </c>
    </row>
    <row r="536">
      <c r="A536" s="3">
        <f>IFERROR(__xludf.DUMMYFUNCTION("""COMPUTED_VALUE"""),2380.0)</f>
        <v>2380</v>
      </c>
      <c r="B536" s="11">
        <f>IFERROR(__xludf.DUMMYFUNCTION("""COMPUTED_VALUE"""),46170.57044675926)</f>
        <v>46170.57045</v>
      </c>
      <c r="C536" s="3" t="str">
        <f>IFERROR(__xludf.DUMMYFUNCTION("""COMPUTED_VALUE"""),"ชั้นปีที่ 1")</f>
        <v>ชั้นปีที่ 1</v>
      </c>
      <c r="D536" s="3" t="str">
        <f>IFERROR(__xludf.DUMMYFUNCTION("""COMPUTED_VALUE"""),"6803906")</f>
        <v>6803906</v>
      </c>
      <c r="E536" s="3" t="str">
        <f>IFERROR(__xludf.DUMMYFUNCTION("""COMPUTED_VALUE"""),"25")</f>
        <v>25</v>
      </c>
      <c r="F536" s="3" t="str">
        <f>IFERROR(__xludf.DUMMYFUNCTION("""COMPUTED_VALUE"""),"นพอ.ธัญวรัตน์ ยงคะวิสัย")</f>
        <v>นพอ.ธัญวรัตน์ ยงคะวิสัย</v>
      </c>
      <c r="G536" s="3" t="str">
        <f>IFERROR(__xludf.DUMMYFUNCTION("""COMPUTED_VALUE"""),"ช่วยเหลืองานภายใน วพอ.")</f>
        <v>ช่วยเหลืองานภายใน วพอ.</v>
      </c>
      <c r="H536" s="3" t="str">
        <f>IFERROR(__xludf.DUMMYFUNCTION("""COMPUTED_VALUE"""),"เล่นดุริยางค์")</f>
        <v>เล่นดุริยางค์</v>
      </c>
      <c r="I536" s="3" t="str">
        <f>IFERROR(__xludf.DUMMYFUNCTION("""COMPUTED_VALUE"""),"วพอ.พอ.")</f>
        <v>วพอ.พอ.</v>
      </c>
      <c r="J536" s="12">
        <f>IFERROR(__xludf.DUMMYFUNCTION("""COMPUTED_VALUE"""),46079.0)</f>
        <v>46079</v>
      </c>
      <c r="K536" s="3" t="str">
        <f>IFERROR(__xludf.DUMMYFUNCTION("""COMPUTED_VALUE"""),"0700-0800")</f>
        <v>0700-0800</v>
      </c>
      <c r="L536" s="3">
        <f>IFERROR(__xludf.DUMMYFUNCTION("""COMPUTED_VALUE"""),1.0)</f>
        <v>1</v>
      </c>
      <c r="M536" s="3" t="str">
        <f>IFERROR(__xludf.DUMMYFUNCTION("""COMPUTED_VALUE"""),"ร.อ.อนุชิต ทำจะดี")</f>
        <v>ร.อ.อนุชิต ทำจะดี</v>
      </c>
      <c r="N536" s="14" t="str">
        <f>IFERROR(__xludf.DUMMYFUNCTION("""COMPUTED_VALUE"""),"https://lh5.googleusercontent.com/d/1FREZcCyULT6l_fy-A5eVri_RqSHUJD8E")</f>
        <v>https://lh5.googleusercontent.com/d/1FREZcCyULT6l_fy-A5eVri_RqSHUJD8E</v>
      </c>
      <c r="O536" s="14" t="str">
        <f>IFERROR(__xludf.DUMMYFUNCTION("""COMPUTED_VALUE"""),"https://drive.google.com/file/d/1fGA3_G2VSb_c9GSHbaKeYMvjgJ2sWApj/view?usp=drivesdk")</f>
        <v>https://drive.google.com/file/d/1fGA3_G2VSb_c9GSHbaKeYMvjgJ2sWApj/view?usp=drivesdk</v>
      </c>
    </row>
    <row r="537">
      <c r="A537" s="3">
        <f>IFERROR(__xludf.DUMMYFUNCTION("""COMPUTED_VALUE"""),2381.0)</f>
        <v>2381</v>
      </c>
      <c r="B537" s="11">
        <f>IFERROR(__xludf.DUMMYFUNCTION("""COMPUTED_VALUE"""),46170.570998993055)</f>
        <v>46170.571</v>
      </c>
      <c r="C537" s="3" t="str">
        <f>IFERROR(__xludf.DUMMYFUNCTION("""COMPUTED_VALUE"""),"ชั้นปีที่ 1")</f>
        <v>ชั้นปีที่ 1</v>
      </c>
      <c r="D537" s="3" t="str">
        <f>IFERROR(__xludf.DUMMYFUNCTION("""COMPUTED_VALUE"""),"6803934")</f>
        <v>6803934</v>
      </c>
      <c r="E537" s="3" t="str">
        <f>IFERROR(__xludf.DUMMYFUNCTION("""COMPUTED_VALUE"""),"53")</f>
        <v>53</v>
      </c>
      <c r="F537" s="3" t="str">
        <f>IFERROR(__xludf.DUMMYFUNCTION("""COMPUTED_VALUE"""),"นพอ.วริศรา ออละมาลี")</f>
        <v>นพอ.วริศรา ออละมาลี</v>
      </c>
      <c r="G5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37" s="3" t="str">
        <f>IFERROR(__xludf.DUMMYFUNCTION("""COMPUTED_VALUE"""),"Green Markets")</f>
        <v>Green Markets</v>
      </c>
      <c r="I537" s="3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537" s="12">
        <f>IFERROR(__xludf.DUMMYFUNCTION("""COMPUTED_VALUE"""),46134.0)</f>
        <v>46134</v>
      </c>
      <c r="K537" s="3" t="str">
        <f>IFERROR(__xludf.DUMMYFUNCTION("""COMPUTED_VALUE"""),"0800-1600")</f>
        <v>0800-1600</v>
      </c>
      <c r="L537" s="3">
        <f>IFERROR(__xludf.DUMMYFUNCTION("""COMPUTED_VALUE"""),8.0)</f>
        <v>8</v>
      </c>
      <c r="M537" s="3" t="str">
        <f>IFERROR(__xludf.DUMMYFUNCTION("""COMPUTED_VALUE"""),"ร.อ.ฤทธิพล อ้วนสิงห์")</f>
        <v>ร.อ.ฤทธิพล อ้วนสิงห์</v>
      </c>
      <c r="N537" s="14" t="str">
        <f>IFERROR(__xludf.DUMMYFUNCTION("""COMPUTED_VALUE"""),"https://lh5.googleusercontent.com/d/1DmqKs-KEGtlLMAsKEETKlQWbhqkgy5tV")</f>
        <v>https://lh5.googleusercontent.com/d/1DmqKs-KEGtlLMAsKEETKlQWbhqkgy5tV</v>
      </c>
      <c r="O537" s="14" t="str">
        <f>IFERROR(__xludf.DUMMYFUNCTION("""COMPUTED_VALUE"""),"https://drive.google.com/file/d/1KZVTh__zL8Xqd-rTx6KBD5-NLgTypUEN/view?usp=drivesdk")</f>
        <v>https://drive.google.com/file/d/1KZVTh__zL8Xqd-rTx6KBD5-NLgTypUEN/view?usp=drivesdk</v>
      </c>
    </row>
    <row r="538">
      <c r="A538" s="3">
        <f>IFERROR(__xludf.DUMMYFUNCTION("""COMPUTED_VALUE"""),2382.0)</f>
        <v>2382</v>
      </c>
      <c r="B538" s="11">
        <f>IFERROR(__xludf.DUMMYFUNCTION("""COMPUTED_VALUE"""),46170.57133210648)</f>
        <v>46170.57133</v>
      </c>
      <c r="C538" s="3" t="str">
        <f>IFERROR(__xludf.DUMMYFUNCTION("""COMPUTED_VALUE"""),"ชั้นปีที่ 1")</f>
        <v>ชั้นปีที่ 1</v>
      </c>
      <c r="D538" s="3" t="str">
        <f>IFERROR(__xludf.DUMMYFUNCTION("""COMPUTED_VALUE"""),"6803925")</f>
        <v>6803925</v>
      </c>
      <c r="E538" s="3" t="str">
        <f>IFERROR(__xludf.DUMMYFUNCTION("""COMPUTED_VALUE"""),"44")</f>
        <v>44</v>
      </c>
      <c r="F538" s="3" t="str">
        <f>IFERROR(__xludf.DUMMYFUNCTION("""COMPUTED_VALUE"""),"นพอ.ภัทรพร ม่วงแคล้ว")</f>
        <v>นพอ.ภัทรพร ม่วงแคล้ว</v>
      </c>
      <c r="G538" s="3" t="str">
        <f>IFERROR(__xludf.DUMMYFUNCTION("""COMPUTED_VALUE"""),"ช่วยเหลืองานภายใน วพอ.")</f>
        <v>ช่วยเหลืองานภายใน วพอ.</v>
      </c>
      <c r="H53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38" s="3" t="str">
        <f>IFERROR(__xludf.DUMMYFUNCTION("""COMPUTED_VALUE"""),"วพอ.พอ.")</f>
        <v>วพอ.พอ.</v>
      </c>
      <c r="J538" s="12">
        <f>IFERROR(__xludf.DUMMYFUNCTION("""COMPUTED_VALUE"""),46138.0)</f>
        <v>46138</v>
      </c>
      <c r="K538" s="3" t="str">
        <f>IFERROR(__xludf.DUMMYFUNCTION("""COMPUTED_VALUE"""),"1500-2100")</f>
        <v>1500-2100</v>
      </c>
      <c r="L538" s="3">
        <f>IFERROR(__xludf.DUMMYFUNCTION("""COMPUTED_VALUE"""),6.0)</f>
        <v>6</v>
      </c>
      <c r="M538" s="3" t="str">
        <f>IFERROR(__xludf.DUMMYFUNCTION("""COMPUTED_VALUE"""),"ร.อ.อนุชิต ทำจะดี")</f>
        <v>ร.อ.อนุชิต ทำจะดี</v>
      </c>
      <c r="N538" s="14" t="str">
        <f>IFERROR(__xludf.DUMMYFUNCTION("""COMPUTED_VALUE"""),"https://lh5.googleusercontent.com/d/13WD84IcxruxW4WChHb8m797hTdPyJnx0")</f>
        <v>https://lh5.googleusercontent.com/d/13WD84IcxruxW4WChHb8m797hTdPyJnx0</v>
      </c>
      <c r="O538" s="14" t="str">
        <f>IFERROR(__xludf.DUMMYFUNCTION("""COMPUTED_VALUE"""),"https://drive.google.com/file/d/1dVJ8TJ1LTds4VAJ89qBYnU1dRra1M0uo/view?usp=drivesdk")</f>
        <v>https://drive.google.com/file/d/1dVJ8TJ1LTds4VAJ89qBYnU1dRra1M0uo/view?usp=drivesdk</v>
      </c>
    </row>
    <row r="539">
      <c r="A539" s="3">
        <f>IFERROR(__xludf.DUMMYFUNCTION("""COMPUTED_VALUE"""),2383.0)</f>
        <v>2383</v>
      </c>
      <c r="B539" s="11">
        <f>IFERROR(__xludf.DUMMYFUNCTION("""COMPUTED_VALUE"""),46170.57185310186)</f>
        <v>46170.57185</v>
      </c>
      <c r="C539" s="3" t="str">
        <f>IFERROR(__xludf.DUMMYFUNCTION("""COMPUTED_VALUE"""),"ชั้นปีที่ 1")</f>
        <v>ชั้นปีที่ 1</v>
      </c>
      <c r="D539" s="3" t="str">
        <f>IFERROR(__xludf.DUMMYFUNCTION("""COMPUTED_VALUE"""),"6803933")</f>
        <v>6803933</v>
      </c>
      <c r="E539" s="3" t="str">
        <f>IFERROR(__xludf.DUMMYFUNCTION("""COMPUTED_VALUE"""),"52")</f>
        <v>52</v>
      </c>
      <c r="F539" s="3" t="str">
        <f>IFERROR(__xludf.DUMMYFUNCTION("""COMPUTED_VALUE"""),"นพอ.รศิตา ปลื้มจิตร์")</f>
        <v>นพอ.รศิตา ปลื้มจิตร์</v>
      </c>
      <c r="G539" s="3" t="str">
        <f>IFERROR(__xludf.DUMMYFUNCTION("""COMPUTED_VALUE"""),"ช่วยเหลืองานภายใน วพอ.")</f>
        <v>ช่วยเหลืองานภายใน วพอ.</v>
      </c>
      <c r="H539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39" s="3" t="str">
        <f>IFERROR(__xludf.DUMMYFUNCTION("""COMPUTED_VALUE"""),"ลานข้างหอพัก")</f>
        <v>ลานข้างหอพัก</v>
      </c>
      <c r="J539" s="12">
        <f>IFERROR(__xludf.DUMMYFUNCTION("""COMPUTED_VALUE"""),46164.0)</f>
        <v>46164</v>
      </c>
      <c r="K539" s="3" t="str">
        <f>IFERROR(__xludf.DUMMYFUNCTION("""COMPUTED_VALUE"""),"1500-1700")</f>
        <v>1500-1700</v>
      </c>
      <c r="L539" s="3">
        <f>IFERROR(__xludf.DUMMYFUNCTION("""COMPUTED_VALUE"""),2.0)</f>
        <v>2</v>
      </c>
      <c r="M539" s="3" t="str">
        <f>IFERROR(__xludf.DUMMYFUNCTION("""COMPUTED_VALUE"""),"น.อ.หญิง นิตยา สุขแสน")</f>
        <v>น.อ.หญิง นิตยา สุขแสน</v>
      </c>
      <c r="N539" s="14" t="str">
        <f>IFERROR(__xludf.DUMMYFUNCTION("""COMPUTED_VALUE"""),"https://lh5.googleusercontent.com/d/1a1QC6pgOxIEz3gg606hmuxuTCCEWi4By")</f>
        <v>https://lh5.googleusercontent.com/d/1a1QC6pgOxIEz3gg606hmuxuTCCEWi4By</v>
      </c>
      <c r="O539" s="14" t="str">
        <f>IFERROR(__xludf.DUMMYFUNCTION("""COMPUTED_VALUE"""),"https://drive.google.com/file/d/1ljFvEbdzRL0pcrGwvBF87q5Z0hj6pK7x/view?usp=drivesdk")</f>
        <v>https://drive.google.com/file/d/1ljFvEbdzRL0pcrGwvBF87q5Z0hj6pK7x/view?usp=drivesdk</v>
      </c>
    </row>
    <row r="540">
      <c r="A540" s="3">
        <f>IFERROR(__xludf.DUMMYFUNCTION("""COMPUTED_VALUE"""),2384.0)</f>
        <v>2384</v>
      </c>
      <c r="B540" s="11">
        <f>IFERROR(__xludf.DUMMYFUNCTION("""COMPUTED_VALUE"""),46170.57206070602)</f>
        <v>46170.57206</v>
      </c>
      <c r="C540" s="3" t="str">
        <f>IFERROR(__xludf.DUMMYFUNCTION("""COMPUTED_VALUE"""),"ชั้นปีที่ 1")</f>
        <v>ชั้นปีที่ 1</v>
      </c>
      <c r="D540" s="3" t="str">
        <f>IFERROR(__xludf.DUMMYFUNCTION("""COMPUTED_VALUE"""),"6803901")</f>
        <v>6803901</v>
      </c>
      <c r="E540" s="3" t="str">
        <f>IFERROR(__xludf.DUMMYFUNCTION("""COMPUTED_VALUE"""),"20")</f>
        <v>20</v>
      </c>
      <c r="F540" s="3" t="str">
        <f>IFERROR(__xludf.DUMMYFUNCTION("""COMPUTED_VALUE"""),"นพอ.ณัฐริกา วัฒนสมบัติ")</f>
        <v>นพอ.ณัฐริกา วัฒนสมบัติ</v>
      </c>
      <c r="G540" s="3" t="str">
        <f>IFERROR(__xludf.DUMMYFUNCTION("""COMPUTED_VALUE"""),"ช่วยเหลืองานภายใน วพอ.")</f>
        <v>ช่วยเหลืองานภายใน วพอ.</v>
      </c>
      <c r="H540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40" s="3" t="str">
        <f>IFERROR(__xludf.DUMMYFUNCTION("""COMPUTED_VALUE"""),"ลานข้างหอพัก")</f>
        <v>ลานข้างหอพัก</v>
      </c>
      <c r="J540" s="12">
        <f>IFERROR(__xludf.DUMMYFUNCTION("""COMPUTED_VALUE"""),46164.0)</f>
        <v>46164</v>
      </c>
      <c r="K540" s="3" t="str">
        <f>IFERROR(__xludf.DUMMYFUNCTION("""COMPUTED_VALUE"""),"1500-1700")</f>
        <v>1500-1700</v>
      </c>
      <c r="L540" s="3">
        <f>IFERROR(__xludf.DUMMYFUNCTION("""COMPUTED_VALUE"""),3.0)</f>
        <v>3</v>
      </c>
      <c r="M540" s="3" t="str">
        <f>IFERROR(__xludf.DUMMYFUNCTION("""COMPUTED_VALUE"""),"น.อ.หญิง นิตยา สุขแสน")</f>
        <v>น.อ.หญิง นิตยา สุขแสน</v>
      </c>
      <c r="N540" s="14" t="str">
        <f>IFERROR(__xludf.DUMMYFUNCTION("""COMPUTED_VALUE"""),"https://lh5.googleusercontent.com/d/10WzG06UeXUGjVKaHFBuHd-uSN7Uc6_9F")</f>
        <v>https://lh5.googleusercontent.com/d/10WzG06UeXUGjVKaHFBuHd-uSN7Uc6_9F</v>
      </c>
      <c r="O540" s="14" t="str">
        <f>IFERROR(__xludf.DUMMYFUNCTION("""COMPUTED_VALUE"""),"https://drive.google.com/file/d/1Mtrw5D3SB-4_FcU1JhD62wAULwEM-AAT/view?usp=drivesdk")</f>
        <v>https://drive.google.com/file/d/1Mtrw5D3SB-4_FcU1JhD62wAULwEM-AAT/view?usp=drivesdk</v>
      </c>
    </row>
    <row r="541">
      <c r="A541" s="3">
        <f>IFERROR(__xludf.DUMMYFUNCTION("""COMPUTED_VALUE"""),2385.0)</f>
        <v>2385</v>
      </c>
      <c r="B541" s="11">
        <f>IFERROR(__xludf.DUMMYFUNCTION("""COMPUTED_VALUE"""),46170.57212842593)</f>
        <v>46170.57213</v>
      </c>
      <c r="C541" s="3" t="str">
        <f>IFERROR(__xludf.DUMMYFUNCTION("""COMPUTED_VALUE"""),"ชั้นปีที่ 1")</f>
        <v>ชั้นปีที่ 1</v>
      </c>
      <c r="D541" s="3" t="str">
        <f>IFERROR(__xludf.DUMMYFUNCTION("""COMPUTED_VALUE"""),"6803883")</f>
        <v>6803883</v>
      </c>
      <c r="E541" s="3" t="str">
        <f>IFERROR(__xludf.DUMMYFUNCTION("""COMPUTED_VALUE"""),"2")</f>
        <v>2</v>
      </c>
      <c r="F541" s="3" t="str">
        <f>IFERROR(__xludf.DUMMYFUNCTION("""COMPUTED_VALUE"""),"นพอ.กรชนก หน่อทิม")</f>
        <v>นพอ.กรชนก หน่อทิม</v>
      </c>
      <c r="G541" s="3" t="str">
        <f>IFERROR(__xludf.DUMMYFUNCTION("""COMPUTED_VALUE"""),"ช่วยเหลืองานภายใน วพอ.")</f>
        <v>ช่วยเหลืองานภายใน วพอ.</v>
      </c>
      <c r="H541" s="3" t="str">
        <f>IFERROR(__xludf.DUMMYFUNCTION("""COMPUTED_VALUE"""),"เล่นดุริยางค์")</f>
        <v>เล่นดุริยางค์</v>
      </c>
      <c r="I541" s="3" t="str">
        <f>IFERROR(__xludf.DUMMYFUNCTION("""COMPUTED_VALUE"""),"วพอ.พอ.")</f>
        <v>วพอ.พอ.</v>
      </c>
      <c r="J541" s="12">
        <f>IFERROR(__xludf.DUMMYFUNCTION("""COMPUTED_VALUE"""),46086.0)</f>
        <v>46086</v>
      </c>
      <c r="K541" s="3" t="str">
        <f>IFERROR(__xludf.DUMMYFUNCTION("""COMPUTED_VALUE"""),"0700-0800")</f>
        <v>0700-0800</v>
      </c>
      <c r="L541" s="3">
        <f>IFERROR(__xludf.DUMMYFUNCTION("""COMPUTED_VALUE"""),1.0)</f>
        <v>1</v>
      </c>
      <c r="M541" s="3" t="str">
        <f>IFERROR(__xludf.DUMMYFUNCTION("""COMPUTED_VALUE"""),"ร.อ.อนุชิต ทำจะดี")</f>
        <v>ร.อ.อนุชิต ทำจะดี</v>
      </c>
      <c r="N541" s="14" t="str">
        <f>IFERROR(__xludf.DUMMYFUNCTION("""COMPUTED_VALUE"""),"https://lh5.googleusercontent.com/d/1Wd7vWHwZPjplfA-QwC7u-NwvFXEqjFiG")</f>
        <v>https://lh5.googleusercontent.com/d/1Wd7vWHwZPjplfA-QwC7u-NwvFXEqjFiG</v>
      </c>
      <c r="O541" s="14" t="str">
        <f>IFERROR(__xludf.DUMMYFUNCTION("""COMPUTED_VALUE"""),"https://drive.google.com/file/d/1sBpAzr7Y9lXIc1MfFevJKDSYzUEvJOkP/view?usp=drivesdk")</f>
        <v>https://drive.google.com/file/d/1sBpAzr7Y9lXIc1MfFevJKDSYzUEvJOkP/view?usp=drivesdk</v>
      </c>
    </row>
    <row r="542">
      <c r="A542" s="3">
        <f>IFERROR(__xludf.DUMMYFUNCTION("""COMPUTED_VALUE"""),2386.0)</f>
        <v>2386</v>
      </c>
      <c r="B542" s="11">
        <f>IFERROR(__xludf.DUMMYFUNCTION("""COMPUTED_VALUE"""),46170.572377881945)</f>
        <v>46170.57238</v>
      </c>
      <c r="C542" s="3" t="str">
        <f>IFERROR(__xludf.DUMMYFUNCTION("""COMPUTED_VALUE"""),"ชั้นปีที่ 1")</f>
        <v>ชั้นปีที่ 1</v>
      </c>
      <c r="D542" s="3" t="str">
        <f>IFERROR(__xludf.DUMMYFUNCTION("""COMPUTED_VALUE"""),"6803884")</f>
        <v>6803884</v>
      </c>
      <c r="E542" s="3" t="str">
        <f>IFERROR(__xludf.DUMMYFUNCTION("""COMPUTED_VALUE"""),"3")</f>
        <v>3</v>
      </c>
      <c r="F542" s="3" t="str">
        <f>IFERROR(__xludf.DUMMYFUNCTION("""COMPUTED_VALUE"""),"นพอ.กรองทอง กันฟัก")</f>
        <v>นพอ.กรองทอง กันฟัก</v>
      </c>
      <c r="G542" s="3" t="str">
        <f>IFERROR(__xludf.DUMMYFUNCTION("""COMPUTED_VALUE"""),"งานฟรีทั่วไป")</f>
        <v>งานฟรีทั่วไป</v>
      </c>
      <c r="H542" s="3" t="str">
        <f>IFERROR(__xludf.DUMMYFUNCTION("""COMPUTED_VALUE"""),"ซักผ้า")</f>
        <v>ซักผ้า</v>
      </c>
      <c r="I542" s="3" t="str">
        <f>IFERROR(__xludf.DUMMYFUNCTION("""COMPUTED_VALUE"""),"บ้าน")</f>
        <v>บ้าน</v>
      </c>
      <c r="J542" s="12">
        <f>IFERROR(__xludf.DUMMYFUNCTION("""COMPUTED_VALUE"""),46020.0)</f>
        <v>46020</v>
      </c>
      <c r="K542" s="3" t="str">
        <f>IFERROR(__xludf.DUMMYFUNCTION("""COMPUTED_VALUE"""),"1400-1600")</f>
        <v>1400-1600</v>
      </c>
      <c r="L542" s="3">
        <f>IFERROR(__xludf.DUMMYFUNCTION("""COMPUTED_VALUE"""),2.0)</f>
        <v>2</v>
      </c>
      <c r="M542" s="3" t="str">
        <f>IFERROR(__xludf.DUMMYFUNCTION("""COMPUTED_VALUE"""),"นางดาวรุ่ง กันฟัก")</f>
        <v>นางดาวรุ่ง กันฟัก</v>
      </c>
      <c r="N542" s="14" t="str">
        <f>IFERROR(__xludf.DUMMYFUNCTION("""COMPUTED_VALUE"""),"https://lh5.googleusercontent.com/d/1mbmlZVyrnn1-Vss9QAImq3jjPwhVGVap")</f>
        <v>https://lh5.googleusercontent.com/d/1mbmlZVyrnn1-Vss9QAImq3jjPwhVGVap</v>
      </c>
      <c r="O542" s="14" t="str">
        <f>IFERROR(__xludf.DUMMYFUNCTION("""COMPUTED_VALUE"""),"https://drive.google.com/file/d/1k4Y_Ja6-QeThdXTgZZITtQE6w4QhmenT/view?usp=drivesdk")</f>
        <v>https://drive.google.com/file/d/1k4Y_Ja6-QeThdXTgZZITtQE6w4QhmenT/view?usp=drivesdk</v>
      </c>
    </row>
    <row r="543">
      <c r="A543" s="3">
        <f>IFERROR(__xludf.DUMMYFUNCTION("""COMPUTED_VALUE"""),2387.0)</f>
        <v>2387</v>
      </c>
      <c r="B543" s="11">
        <f>IFERROR(__xludf.DUMMYFUNCTION("""COMPUTED_VALUE"""),46170.5728362963)</f>
        <v>46170.57284</v>
      </c>
      <c r="C543" s="3" t="str">
        <f>IFERROR(__xludf.DUMMYFUNCTION("""COMPUTED_VALUE"""),"ชั้นปีที่ 1")</f>
        <v>ชั้นปีที่ 1</v>
      </c>
      <c r="D543" s="3" t="str">
        <f>IFERROR(__xludf.DUMMYFUNCTION("""COMPUTED_VALUE"""),"6803925")</f>
        <v>6803925</v>
      </c>
      <c r="E543" s="3" t="str">
        <f>IFERROR(__xludf.DUMMYFUNCTION("""COMPUTED_VALUE"""),"44")</f>
        <v>44</v>
      </c>
      <c r="F543" s="3" t="str">
        <f>IFERROR(__xludf.DUMMYFUNCTION("""COMPUTED_VALUE"""),"นพอ.ภัทรพร ม่วงแคล้ว")</f>
        <v>นพอ.ภัทรพร ม่วงแคล้ว</v>
      </c>
      <c r="G543" s="3" t="str">
        <f>IFERROR(__xludf.DUMMYFUNCTION("""COMPUTED_VALUE"""),"ช่วยเหลืองานภายใน วพอ.")</f>
        <v>ช่วยเหลืองานภายใน วพอ.</v>
      </c>
      <c r="H543" s="3" t="str">
        <f>IFERROR(__xludf.DUMMYFUNCTION("""COMPUTED_VALUE"""),"งานพิธีมอบหมวกพยาบาลวิชาชีพ ปีการศึกษา 2568")</f>
        <v>งานพิธีมอบหมวกพยาบาลวิชาชีพ ปีการศึกษา 2568</v>
      </c>
      <c r="I543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43" s="12">
        <f>IFERROR(__xludf.DUMMYFUNCTION("""COMPUTED_VALUE"""),46139.0)</f>
        <v>46139</v>
      </c>
      <c r="K543" s="3" t="str">
        <f>IFERROR(__xludf.DUMMYFUNCTION("""COMPUTED_VALUE"""),"1700-2100")</f>
        <v>1700-2100</v>
      </c>
      <c r="L543" s="3">
        <f>IFERROR(__xludf.DUMMYFUNCTION("""COMPUTED_VALUE"""),4.0)</f>
        <v>4</v>
      </c>
      <c r="M543" s="3" t="str">
        <f>IFERROR(__xludf.DUMMYFUNCTION("""COMPUTED_VALUE"""),"ร.อ.อนุชิต ทำจะดี")</f>
        <v>ร.อ.อนุชิต ทำจะดี</v>
      </c>
      <c r="N543" s="14" t="str">
        <f>IFERROR(__xludf.DUMMYFUNCTION("""COMPUTED_VALUE"""),"https://lh5.googleusercontent.com/d/13PFYSMy8w4trOef9riye3zWtqZT8rC_f")</f>
        <v>https://lh5.googleusercontent.com/d/13PFYSMy8w4trOef9riye3zWtqZT8rC_f</v>
      </c>
      <c r="O543" s="14" t="str">
        <f>IFERROR(__xludf.DUMMYFUNCTION("""COMPUTED_VALUE"""),"https://drive.google.com/file/d/1UBe9e8-ubZL4Xds9xYfzRT8IJ_BoCk20/view?usp=drivesdk")</f>
        <v>https://drive.google.com/file/d/1UBe9e8-ubZL4Xds9xYfzRT8IJ_BoCk20/view?usp=drivesdk</v>
      </c>
    </row>
    <row r="544">
      <c r="A544" s="3">
        <f>IFERROR(__xludf.DUMMYFUNCTION("""COMPUTED_VALUE"""),2388.0)</f>
        <v>2388</v>
      </c>
      <c r="B544" s="11">
        <f>IFERROR(__xludf.DUMMYFUNCTION("""COMPUTED_VALUE"""),46170.57308633102)</f>
        <v>46170.57309</v>
      </c>
      <c r="C544" s="3" t="str">
        <f>IFERROR(__xludf.DUMMYFUNCTION("""COMPUTED_VALUE"""),"ชั้นปีที่ 1")</f>
        <v>ชั้นปีที่ 1</v>
      </c>
      <c r="D544" s="3" t="str">
        <f>IFERROR(__xludf.DUMMYFUNCTION("""COMPUTED_VALUE"""),"6803916")</f>
        <v>6803916</v>
      </c>
      <c r="E544" s="3" t="str">
        <f>IFERROR(__xludf.DUMMYFUNCTION("""COMPUTED_VALUE"""),"35")</f>
        <v>35</v>
      </c>
      <c r="F544" s="3" t="str">
        <f>IFERROR(__xludf.DUMMYFUNCTION("""COMPUTED_VALUE"""),"นพอ.ปาลิดา ลือนาม")</f>
        <v>นพอ.ปาลิดา ลือนาม</v>
      </c>
      <c r="G5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44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544" s="3" t="str">
        <f>IFERROR(__xludf.DUMMYFUNCTION("""COMPUTED_VALUE"""),"สนามกีฬาธูปะเตมีย์")</f>
        <v>สนามกีฬาธูปะเตมีย์</v>
      </c>
      <c r="J544" s="12">
        <f>IFERROR(__xludf.DUMMYFUNCTION("""COMPUTED_VALUE"""),46078.0)</f>
        <v>46078</v>
      </c>
      <c r="K544" s="3" t="str">
        <f>IFERROR(__xludf.DUMMYFUNCTION("""COMPUTED_VALUE"""),"1200-2000")</f>
        <v>1200-2000</v>
      </c>
      <c r="L544" s="3">
        <f>IFERROR(__xludf.DUMMYFUNCTION("""COMPUTED_VALUE"""),8.0)</f>
        <v>8</v>
      </c>
      <c r="M544" s="3" t="str">
        <f>IFERROR(__xludf.DUMMYFUNCTION("""COMPUTED_VALUE"""),"น.ต. หญิง ขวัญ ชนก พ่วงนาคพันธุ์")</f>
        <v>น.ต. หญิง ขวัญ ชนก พ่วงนาคพันธุ์</v>
      </c>
      <c r="N544" s="14" t="str">
        <f>IFERROR(__xludf.DUMMYFUNCTION("""COMPUTED_VALUE"""),"https://lh5.googleusercontent.com/d/1tXjuyVvu6_tn2ZtPMddk1snWAcK3099_")</f>
        <v>https://lh5.googleusercontent.com/d/1tXjuyVvu6_tn2ZtPMddk1snWAcK3099_</v>
      </c>
      <c r="O544" s="14" t="str">
        <f>IFERROR(__xludf.DUMMYFUNCTION("""COMPUTED_VALUE"""),"https://drive.google.com/file/d/1OfcnU0XfRVaRxYBIBB4J0_FzZBXeQBmK/view?usp=drivesdk")</f>
        <v>https://drive.google.com/file/d/1OfcnU0XfRVaRxYBIBB4J0_FzZBXeQBmK/view?usp=drivesdk</v>
      </c>
    </row>
    <row r="545">
      <c r="A545" s="3">
        <f>IFERROR(__xludf.DUMMYFUNCTION("""COMPUTED_VALUE"""),2389.0)</f>
        <v>2389</v>
      </c>
      <c r="B545" s="11">
        <f>IFERROR(__xludf.DUMMYFUNCTION("""COMPUTED_VALUE"""),46170.573429282405)</f>
        <v>46170.57343</v>
      </c>
      <c r="C545" s="3" t="str">
        <f>IFERROR(__xludf.DUMMYFUNCTION("""COMPUTED_VALUE"""),"ชั้นปีที่ 1")</f>
        <v>ชั้นปีที่ 1</v>
      </c>
      <c r="D545" s="3" t="str">
        <f>IFERROR(__xludf.DUMMYFUNCTION("""COMPUTED_VALUE"""),"6803934")</f>
        <v>6803934</v>
      </c>
      <c r="E545" s="3" t="str">
        <f>IFERROR(__xludf.DUMMYFUNCTION("""COMPUTED_VALUE"""),"53")</f>
        <v>53</v>
      </c>
      <c r="F545" s="3" t="str">
        <f>IFERROR(__xludf.DUMMYFUNCTION("""COMPUTED_VALUE"""),"นพอ.วริศรา ออละมาลี")</f>
        <v>นพอ.วริศรา ออละมาลี</v>
      </c>
      <c r="G545" s="3" t="str">
        <f>IFERROR(__xludf.DUMMYFUNCTION("""COMPUTED_VALUE"""),"ช่วยเหลืองานภายใน วพอ.")</f>
        <v>ช่วยเหลืองานภายใน วพอ.</v>
      </c>
      <c r="H545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45" s="3" t="str">
        <f>IFERROR(__xludf.DUMMYFUNCTION("""COMPUTED_VALUE"""),"ลานข้างหอพัก")</f>
        <v>ลานข้างหอพัก</v>
      </c>
      <c r="J545" s="12">
        <f>IFERROR(__xludf.DUMMYFUNCTION("""COMPUTED_VALUE"""),46164.0)</f>
        <v>46164</v>
      </c>
      <c r="K545" s="3" t="str">
        <f>IFERROR(__xludf.DUMMYFUNCTION("""COMPUTED_VALUE"""),"1500-1700")</f>
        <v>1500-1700</v>
      </c>
      <c r="L545" s="3">
        <f>IFERROR(__xludf.DUMMYFUNCTION("""COMPUTED_VALUE"""),2.0)</f>
        <v>2</v>
      </c>
      <c r="M545" s="3" t="str">
        <f>IFERROR(__xludf.DUMMYFUNCTION("""COMPUTED_VALUE"""),"น.อ.หญิง นิตยา สุขแสน")</f>
        <v>น.อ.หญิง นิตยา สุขแสน</v>
      </c>
      <c r="N545" s="14" t="str">
        <f>IFERROR(__xludf.DUMMYFUNCTION("""COMPUTED_VALUE"""),"https://lh5.googleusercontent.com/d/1AF4MuANSC3UPGbwkx86Ednt3qD7EqU13")</f>
        <v>https://lh5.googleusercontent.com/d/1AF4MuANSC3UPGbwkx86Ednt3qD7EqU13</v>
      </c>
      <c r="O545" s="14" t="str">
        <f>IFERROR(__xludf.DUMMYFUNCTION("""COMPUTED_VALUE"""),"https://drive.google.com/file/d/1f2Q09khQqcofgmz0MLwIkC0hzwJtcGgz/view?usp=drivesdk")</f>
        <v>https://drive.google.com/file/d/1f2Q09khQqcofgmz0MLwIkC0hzwJtcGgz/view?usp=drivesdk</v>
      </c>
    </row>
    <row r="546">
      <c r="A546" s="3">
        <f>IFERROR(__xludf.DUMMYFUNCTION("""COMPUTED_VALUE"""),2390.0)</f>
        <v>2390</v>
      </c>
      <c r="B546" s="11">
        <f>IFERROR(__xludf.DUMMYFUNCTION("""COMPUTED_VALUE"""),46170.57364524305)</f>
        <v>46170.57365</v>
      </c>
      <c r="C546" s="3" t="str">
        <f>IFERROR(__xludf.DUMMYFUNCTION("""COMPUTED_VALUE"""),"ชั้นปีที่ 1")</f>
        <v>ชั้นปีที่ 1</v>
      </c>
      <c r="D546" s="3" t="str">
        <f>IFERROR(__xludf.DUMMYFUNCTION("""COMPUTED_VALUE"""),"6803906")</f>
        <v>6803906</v>
      </c>
      <c r="E546" s="3" t="str">
        <f>IFERROR(__xludf.DUMMYFUNCTION("""COMPUTED_VALUE"""),"25")</f>
        <v>25</v>
      </c>
      <c r="F546" s="3" t="str">
        <f>IFERROR(__xludf.DUMMYFUNCTION("""COMPUTED_VALUE"""),"นพอ.ธัญวรัตน์ ยงคะวิสัย")</f>
        <v>นพอ.ธัญวรัตน์ ยงคะวิสัย</v>
      </c>
      <c r="G546" s="3" t="str">
        <f>IFERROR(__xludf.DUMMYFUNCTION("""COMPUTED_VALUE"""),"ช่วยเหลืองานภายใน วพอ.")</f>
        <v>ช่วยเหลืองานภายใน วพอ.</v>
      </c>
      <c r="H546" s="3" t="str">
        <f>IFERROR(__xludf.DUMMYFUNCTION("""COMPUTED_VALUE"""),"เล่นดุริยางค์")</f>
        <v>เล่นดุริยางค์</v>
      </c>
      <c r="I546" s="3" t="str">
        <f>IFERROR(__xludf.DUMMYFUNCTION("""COMPUTED_VALUE"""),"วพอ.พอ.")</f>
        <v>วพอ.พอ.</v>
      </c>
      <c r="J546" s="12">
        <f>IFERROR(__xludf.DUMMYFUNCTION("""COMPUTED_VALUE"""),46114.0)</f>
        <v>46114</v>
      </c>
      <c r="K546" s="3" t="str">
        <f>IFERROR(__xludf.DUMMYFUNCTION("""COMPUTED_VALUE"""),"0700-0800")</f>
        <v>0700-0800</v>
      </c>
      <c r="L546" s="3">
        <f>IFERROR(__xludf.DUMMYFUNCTION("""COMPUTED_VALUE"""),1.0)</f>
        <v>1</v>
      </c>
      <c r="M546" s="3" t="str">
        <f>IFERROR(__xludf.DUMMYFUNCTION("""COMPUTED_VALUE"""),"ร.อ.อนุชิต ทำจะดี")</f>
        <v>ร.อ.อนุชิต ทำจะดี</v>
      </c>
      <c r="N546" s="14" t="str">
        <f>IFERROR(__xludf.DUMMYFUNCTION("""COMPUTED_VALUE"""),"https://lh5.googleusercontent.com/d/1ZVEv3CEi2vbDv1u7cf3ztWF0lSqzOZVr")</f>
        <v>https://lh5.googleusercontent.com/d/1ZVEv3CEi2vbDv1u7cf3ztWF0lSqzOZVr</v>
      </c>
      <c r="O546" s="14" t="str">
        <f>IFERROR(__xludf.DUMMYFUNCTION("""COMPUTED_VALUE"""),"https://drive.google.com/file/d/1Ni2p-A1ZuiY1HYlEEjQJ2QjnDgZoDA_z/view?usp=drivesdk")</f>
        <v>https://drive.google.com/file/d/1Ni2p-A1ZuiY1HYlEEjQJ2QjnDgZoDA_z/view?usp=drivesdk</v>
      </c>
    </row>
    <row r="547">
      <c r="A547" s="3">
        <f>IFERROR(__xludf.DUMMYFUNCTION("""COMPUTED_VALUE"""),2391.0)</f>
        <v>2391</v>
      </c>
      <c r="B547" s="11">
        <f>IFERROR(__xludf.DUMMYFUNCTION("""COMPUTED_VALUE"""),46170.574125856474)</f>
        <v>46170.57413</v>
      </c>
      <c r="C547" s="3" t="str">
        <f>IFERROR(__xludf.DUMMYFUNCTION("""COMPUTED_VALUE"""),"ชั้นปีที่ 1")</f>
        <v>ชั้นปีที่ 1</v>
      </c>
      <c r="D547" s="3" t="str">
        <f>IFERROR(__xludf.DUMMYFUNCTION("""COMPUTED_VALUE"""),"6803933")</f>
        <v>6803933</v>
      </c>
      <c r="E547" s="3" t="str">
        <f>IFERROR(__xludf.DUMMYFUNCTION("""COMPUTED_VALUE"""),"52")</f>
        <v>52</v>
      </c>
      <c r="F547" s="3" t="str">
        <f>IFERROR(__xludf.DUMMYFUNCTION("""COMPUTED_VALUE"""),"นพอ.รศิตา ปลื้มจิตร์")</f>
        <v>นพอ.รศิตา ปลื้มจิตร์</v>
      </c>
      <c r="G54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547" s="3" t="str">
        <f>IFERROR(__xludf.DUMMYFUNCTION("""COMPUTED_VALUE"""),"บริจาคโลหิต")</f>
        <v>บริจาคโลหิต</v>
      </c>
      <c r="I547" s="3" t="str">
        <f>IFERROR(__xludf.DUMMYFUNCTION("""COMPUTED_VALUE"""),"สภากาชาด")</f>
        <v>สภากาชาด</v>
      </c>
      <c r="J547" s="12">
        <f>IFERROR(__xludf.DUMMYFUNCTION("""COMPUTED_VALUE"""),46102.0)</f>
        <v>46102</v>
      </c>
      <c r="K547" s="3" t="str">
        <f>IFERROR(__xludf.DUMMYFUNCTION("""COMPUTED_VALUE"""),"0900-1000")</f>
        <v>0900-1000</v>
      </c>
      <c r="L547" s="3">
        <f>IFERROR(__xludf.DUMMYFUNCTION("""COMPUTED_VALUE"""),8.0)</f>
        <v>8</v>
      </c>
      <c r="M547" s="3" t="str">
        <f>IFERROR(__xludf.DUMMYFUNCTION("""COMPUTED_VALUE"""),"นายเนติกรณ์ ปลื้มจิตร์")</f>
        <v>นายเนติกรณ์ ปลื้มจิตร์</v>
      </c>
      <c r="N547" s="14" t="str">
        <f>IFERROR(__xludf.DUMMYFUNCTION("""COMPUTED_VALUE"""),"https://lh5.googleusercontent.com/d/1VkexFo1N9wSfbQK_w0AFIOJ1RBDRd7mG")</f>
        <v>https://lh5.googleusercontent.com/d/1VkexFo1N9wSfbQK_w0AFIOJ1RBDRd7mG</v>
      </c>
      <c r="O547" s="14" t="str">
        <f>IFERROR(__xludf.DUMMYFUNCTION("""COMPUTED_VALUE"""),"https://drive.google.com/file/d/10V5M7wHBgokpNXDIcMRQZ_DmJSNLJX3M/view?usp=drivesdk")</f>
        <v>https://drive.google.com/file/d/10V5M7wHBgokpNXDIcMRQZ_DmJSNLJX3M/view?usp=drivesdk</v>
      </c>
    </row>
    <row r="548">
      <c r="A548" s="3">
        <f>IFERROR(__xludf.DUMMYFUNCTION("""COMPUTED_VALUE"""),2392.0)</f>
        <v>2392</v>
      </c>
      <c r="B548" s="11">
        <f>IFERROR(__xludf.DUMMYFUNCTION("""COMPUTED_VALUE"""),46170.57421138889)</f>
        <v>46170.57421</v>
      </c>
      <c r="C548" s="3" t="str">
        <f>IFERROR(__xludf.DUMMYFUNCTION("""COMPUTED_VALUE"""),"ชั้นปีที่ 1")</f>
        <v>ชั้นปีที่ 1</v>
      </c>
      <c r="D548" s="3" t="str">
        <f>IFERROR(__xludf.DUMMYFUNCTION("""COMPUTED_VALUE"""),"6803883")</f>
        <v>6803883</v>
      </c>
      <c r="E548" s="3" t="str">
        <f>IFERROR(__xludf.DUMMYFUNCTION("""COMPUTED_VALUE"""),"2")</f>
        <v>2</v>
      </c>
      <c r="F548" s="3" t="str">
        <f>IFERROR(__xludf.DUMMYFUNCTION("""COMPUTED_VALUE"""),"นพอ.กรชนก หน่อทิม")</f>
        <v>นพอ.กรชนก หน่อทิม</v>
      </c>
      <c r="G548" s="3" t="str">
        <f>IFERROR(__xludf.DUMMYFUNCTION("""COMPUTED_VALUE"""),"ช่วยเหลืองานภายใน วพอ.")</f>
        <v>ช่วยเหลืองานภายใน วพอ.</v>
      </c>
      <c r="H548" s="3" t="str">
        <f>IFERROR(__xludf.DUMMYFUNCTION("""COMPUTED_VALUE"""),"เล่นดุริยางค์")</f>
        <v>เล่นดุริยางค์</v>
      </c>
      <c r="I548" s="3" t="str">
        <f>IFERROR(__xludf.DUMMYFUNCTION("""COMPUTED_VALUE"""),"วพอ.พอ.")</f>
        <v>วพอ.พอ.</v>
      </c>
      <c r="J548" s="12">
        <f>IFERROR(__xludf.DUMMYFUNCTION("""COMPUTED_VALUE"""),46143.0)</f>
        <v>46143</v>
      </c>
      <c r="K548" s="3" t="str">
        <f>IFERROR(__xludf.DUMMYFUNCTION("""COMPUTED_VALUE"""),"0700-0800")</f>
        <v>0700-0800</v>
      </c>
      <c r="L548" s="3">
        <f>IFERROR(__xludf.DUMMYFUNCTION("""COMPUTED_VALUE"""),1.0)</f>
        <v>1</v>
      </c>
      <c r="M548" s="3" t="str">
        <f>IFERROR(__xludf.DUMMYFUNCTION("""COMPUTED_VALUE"""),"ร.อ.อนุชิต ทำจะดี")</f>
        <v>ร.อ.อนุชิต ทำจะดี</v>
      </c>
      <c r="N548" s="14" t="str">
        <f>IFERROR(__xludf.DUMMYFUNCTION("""COMPUTED_VALUE"""),"https://lh5.googleusercontent.com/d/1K1XnM6OUzqBKDbE7HiiQn1292zuCh8nq")</f>
        <v>https://lh5.googleusercontent.com/d/1K1XnM6OUzqBKDbE7HiiQn1292zuCh8nq</v>
      </c>
      <c r="O548" s="14" t="str">
        <f>IFERROR(__xludf.DUMMYFUNCTION("""COMPUTED_VALUE"""),"https://drive.google.com/file/d/1NIU33jZBcYFpx94UpytW1tsR-bUZ_yIi/view?usp=drivesdk")</f>
        <v>https://drive.google.com/file/d/1NIU33jZBcYFpx94UpytW1tsR-bUZ_yIi/view?usp=drivesdk</v>
      </c>
    </row>
    <row r="549">
      <c r="A549" s="3">
        <f>IFERROR(__xludf.DUMMYFUNCTION("""COMPUTED_VALUE"""),2393.0)</f>
        <v>2393</v>
      </c>
      <c r="B549" s="11">
        <f>IFERROR(__xludf.DUMMYFUNCTION("""COMPUTED_VALUE"""),46170.57424591435)</f>
        <v>46170.57425</v>
      </c>
      <c r="C549" s="3" t="str">
        <f>IFERROR(__xludf.DUMMYFUNCTION("""COMPUTED_VALUE"""),"ชั้นปีที่ 1")</f>
        <v>ชั้นปีที่ 1</v>
      </c>
      <c r="D549" s="3" t="str">
        <f>IFERROR(__xludf.DUMMYFUNCTION("""COMPUTED_VALUE"""),"6803916")</f>
        <v>6803916</v>
      </c>
      <c r="E549" s="3" t="str">
        <f>IFERROR(__xludf.DUMMYFUNCTION("""COMPUTED_VALUE"""),"35")</f>
        <v>35</v>
      </c>
      <c r="F549" s="3" t="str">
        <f>IFERROR(__xludf.DUMMYFUNCTION("""COMPUTED_VALUE"""),"นพอ.ปาลิดา ลือนาม")</f>
        <v>นพอ.ปาลิดา ลือนาม</v>
      </c>
      <c r="G549" s="3" t="str">
        <f>IFERROR(__xludf.DUMMYFUNCTION("""COMPUTED_VALUE"""),"ช่วยเหลืองานภายใน วพอ.")</f>
        <v>ช่วยเหลืองานภายใน วพอ.</v>
      </c>
      <c r="H549" s="3" t="str">
        <f>IFERROR(__xludf.DUMMYFUNCTION("""COMPUTED_VALUE"""),"เก็บสถานที่สอบคัดเลือกนพอ.6")</f>
        <v>เก็บสถานที่สอบคัดเลือกนพอ.6</v>
      </c>
      <c r="I549" s="3" t="str">
        <f>IFERROR(__xludf.DUMMYFUNCTION("""COMPUTED_VALUE"""),"วพอ.พอ.")</f>
        <v>วพอ.พอ.</v>
      </c>
      <c r="J549" s="12">
        <f>IFERROR(__xludf.DUMMYFUNCTION("""COMPUTED_VALUE"""),46147.0)</f>
        <v>46147</v>
      </c>
      <c r="K549" s="3" t="str">
        <f>IFERROR(__xludf.DUMMYFUNCTION("""COMPUTED_VALUE"""),"1500-1800")</f>
        <v>1500-1800</v>
      </c>
      <c r="L549" s="3">
        <f>IFERROR(__xludf.DUMMYFUNCTION("""COMPUTED_VALUE"""),3.0)</f>
        <v>3</v>
      </c>
      <c r="M549" s="3" t="str">
        <f>IFERROR(__xludf.DUMMYFUNCTION("""COMPUTED_VALUE"""),"น.ต.ศักชัย บุญ ประสิทธิ์ ")</f>
        <v>น.ต.ศักชัย บุญ ประสิทธิ์ </v>
      </c>
      <c r="N549" s="14" t="str">
        <f>IFERROR(__xludf.DUMMYFUNCTION("""COMPUTED_VALUE"""),"https://lh5.googleusercontent.com/d/1vNKIrJV4iaZdMza04V8oab9wZFSdmKNY")</f>
        <v>https://lh5.googleusercontent.com/d/1vNKIrJV4iaZdMza04V8oab9wZFSdmKNY</v>
      </c>
      <c r="O549" s="14" t="str">
        <f>IFERROR(__xludf.DUMMYFUNCTION("""COMPUTED_VALUE"""),"https://drive.google.com/file/d/13Da43uBwAq1CSXfRmIsm3BS0rDKq8jHL/view?usp=drivesdk")</f>
        <v>https://drive.google.com/file/d/13Da43uBwAq1CSXfRmIsm3BS0rDKq8jHL/view?usp=drivesdk</v>
      </c>
    </row>
    <row r="550">
      <c r="A550" s="3">
        <f>IFERROR(__xludf.DUMMYFUNCTION("""COMPUTED_VALUE"""),2394.0)</f>
        <v>2394</v>
      </c>
      <c r="B550" s="11">
        <f>IFERROR(__xludf.DUMMYFUNCTION("""COMPUTED_VALUE"""),46170.57437138889)</f>
        <v>46170.57437</v>
      </c>
      <c r="C550" s="3" t="str">
        <f>IFERROR(__xludf.DUMMYFUNCTION("""COMPUTED_VALUE"""),"ชั้นปีที่ 1")</f>
        <v>ชั้นปีที่ 1</v>
      </c>
      <c r="D550" s="3" t="str">
        <f>IFERROR(__xludf.DUMMYFUNCTION("""COMPUTED_VALUE"""),"6803887")</f>
        <v>6803887</v>
      </c>
      <c r="E550" s="3" t="str">
        <f>IFERROR(__xludf.DUMMYFUNCTION("""COMPUTED_VALUE"""),"6")</f>
        <v>6</v>
      </c>
      <c r="F550" s="3" t="str">
        <f>IFERROR(__xludf.DUMMYFUNCTION("""COMPUTED_VALUE"""),"นพอ.กัญญวรา โกษาเสวียง")</f>
        <v>นพอ.กัญญวรา โกษาเสวียง</v>
      </c>
      <c r="G55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0" s="3" t="str">
        <f>IFERROR(__xludf.DUMMYFUNCTION("""COMPUTED_VALUE"""),"แข่งขัน Women Thailand Cyber Top Talent 2025")</f>
        <v>แข่งขัน Women Thailand Cyber Top Talent 2025</v>
      </c>
      <c r="I550" s="3" t="str">
        <f>IFERROR(__xludf.DUMMYFUNCTION("""COMPUTED_VALUE"""),"บ้านนพอ.")</f>
        <v>บ้านนพอ.</v>
      </c>
      <c r="J550" s="12">
        <f>IFERROR(__xludf.DUMMYFUNCTION("""COMPUTED_VALUE"""),46041.0)</f>
        <v>46041</v>
      </c>
      <c r="K550" s="3" t="str">
        <f>IFERROR(__xludf.DUMMYFUNCTION("""COMPUTED_VALUE"""),"0800-1600")</f>
        <v>0800-1600</v>
      </c>
      <c r="L550" s="3">
        <f>IFERROR(__xludf.DUMMYFUNCTION("""COMPUTED_VALUE"""),8.0)</f>
        <v>8</v>
      </c>
      <c r="M550" s="3" t="str">
        <f>IFERROR(__xludf.DUMMYFUNCTION("""COMPUTED_VALUE"""),"ร.อ.อนุชิต ทำจะดี")</f>
        <v>ร.อ.อนุชิต ทำจะดี</v>
      </c>
      <c r="N550" s="14" t="str">
        <f>IFERROR(__xludf.DUMMYFUNCTION("""COMPUTED_VALUE"""),"https://lh5.googleusercontent.com/d/1B_Ecr2szaYlbzHm0sb4DE74klA34wG6y")</f>
        <v>https://lh5.googleusercontent.com/d/1B_Ecr2szaYlbzHm0sb4DE74klA34wG6y</v>
      </c>
      <c r="O550" s="14" t="str">
        <f>IFERROR(__xludf.DUMMYFUNCTION("""COMPUTED_VALUE"""),"https://drive.google.com/file/d/1DOIpK35IVGTMlgiDyzqQVZFpG7mund4t/view?usp=drivesdk")</f>
        <v>https://drive.google.com/file/d/1DOIpK35IVGTMlgiDyzqQVZFpG7mund4t/view?usp=drivesdk</v>
      </c>
    </row>
    <row r="551">
      <c r="A551" s="3">
        <f>IFERROR(__xludf.DUMMYFUNCTION("""COMPUTED_VALUE"""),2395.0)</f>
        <v>2395</v>
      </c>
      <c r="B551" s="11">
        <f>IFERROR(__xludf.DUMMYFUNCTION("""COMPUTED_VALUE"""),46170.57469935185)</f>
        <v>46170.5747</v>
      </c>
      <c r="C551" s="3" t="str">
        <f>IFERROR(__xludf.DUMMYFUNCTION("""COMPUTED_VALUE"""),"ชั้นปีที่ 1")</f>
        <v>ชั้นปีที่ 1</v>
      </c>
      <c r="D551" s="3" t="str">
        <f>IFERROR(__xludf.DUMMYFUNCTION("""COMPUTED_VALUE"""),"6803925")</f>
        <v>6803925</v>
      </c>
      <c r="E551" s="3" t="str">
        <f>IFERROR(__xludf.DUMMYFUNCTION("""COMPUTED_VALUE"""),"44")</f>
        <v>44</v>
      </c>
      <c r="F551" s="3" t="str">
        <f>IFERROR(__xludf.DUMMYFUNCTION("""COMPUTED_VALUE"""),"นพอ.ภัทรพร ม่วงแคล้ว")</f>
        <v>นพอ.ภัทรพร ม่วงแคล้ว</v>
      </c>
      <c r="G5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1" s="3" t="str">
        <f>IFERROR(__xludf.DUMMYFUNCTION("""COMPUTED_VALUE"""),"พิธีเปิด-ปิดกีฬาสีภายในกองทัพอากาศ")</f>
        <v>พิธีเปิด-ปิดกีฬาสีภายในกองทัพอากาศ</v>
      </c>
      <c r="I551" s="3" t="str">
        <f>IFERROR(__xludf.DUMMYFUNCTION("""COMPUTED_VALUE"""),"สนามธูปะเตมีย์")</f>
        <v>สนามธูปะเตมีย์</v>
      </c>
      <c r="J551" s="12">
        <f>IFERROR(__xludf.DUMMYFUNCTION("""COMPUTED_VALUE"""),46078.0)</f>
        <v>46078</v>
      </c>
      <c r="K551" s="3" t="str">
        <f>IFERROR(__xludf.DUMMYFUNCTION("""COMPUTED_VALUE"""),"1200-2000")</f>
        <v>1200-2000</v>
      </c>
      <c r="L551" s="3">
        <f>IFERROR(__xludf.DUMMYFUNCTION("""COMPUTED_VALUE"""),8.0)</f>
        <v>8</v>
      </c>
      <c r="M55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51" s="14" t="str">
        <f>IFERROR(__xludf.DUMMYFUNCTION("""COMPUTED_VALUE"""),"https://lh5.googleusercontent.com/d/11dZvMyMwsz4stFr8hiJO_V4XyEe5MY_x")</f>
        <v>https://lh5.googleusercontent.com/d/11dZvMyMwsz4stFr8hiJO_V4XyEe5MY_x</v>
      </c>
      <c r="O551" s="14" t="str">
        <f>IFERROR(__xludf.DUMMYFUNCTION("""COMPUTED_VALUE"""),"https://drive.google.com/file/d/1b2jQ1YFkYOLbS-a_18cGFj01iz4t-DEH/view?usp=drivesdk")</f>
        <v>https://drive.google.com/file/d/1b2jQ1YFkYOLbS-a_18cGFj01iz4t-DEH/view?usp=drivesdk</v>
      </c>
    </row>
    <row r="552">
      <c r="A552" s="3">
        <f>IFERROR(__xludf.DUMMYFUNCTION("""COMPUTED_VALUE"""),2396.0)</f>
        <v>2396</v>
      </c>
      <c r="B552" s="11">
        <f>IFERROR(__xludf.DUMMYFUNCTION("""COMPUTED_VALUE"""),46170.574879074076)</f>
        <v>46170.57488</v>
      </c>
      <c r="C552" s="3" t="str">
        <f>IFERROR(__xludf.DUMMYFUNCTION("""COMPUTED_VALUE"""),"ชั้นปีที่ 1")</f>
        <v>ชั้นปีที่ 1</v>
      </c>
      <c r="D552" s="3" t="str">
        <f>IFERROR(__xludf.DUMMYFUNCTION("""COMPUTED_VALUE"""),"6803920")</f>
        <v>6803920</v>
      </c>
      <c r="E552" s="3" t="str">
        <f>IFERROR(__xludf.DUMMYFUNCTION("""COMPUTED_VALUE"""),"39")</f>
        <v>39</v>
      </c>
      <c r="F552" s="3" t="str">
        <f>IFERROR(__xludf.DUMMYFUNCTION("""COMPUTED_VALUE"""),"นพอ.พัทธ์ธีรา สมานมาก")</f>
        <v>นพอ.พัทธ์ธีรา สมานมาก</v>
      </c>
      <c r="G552" s="3" t="str">
        <f>IFERROR(__xludf.DUMMYFUNCTION("""COMPUTED_VALUE"""),"ช่วยเหลืองานภายใน วพอ.")</f>
        <v>ช่วยเหลืองานภายใน วพอ.</v>
      </c>
      <c r="H55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52" s="3" t="str">
        <f>IFERROR(__xludf.DUMMYFUNCTION("""COMPUTED_VALUE"""),"วพอ.พอ.")</f>
        <v>วพอ.พอ.</v>
      </c>
      <c r="J552" s="12">
        <f>IFERROR(__xludf.DUMMYFUNCTION("""COMPUTED_VALUE"""),46134.0)</f>
        <v>46134</v>
      </c>
      <c r="K552" s="3" t="str">
        <f>IFERROR(__xludf.DUMMYFUNCTION("""COMPUTED_VALUE"""),"1700 - 2100")</f>
        <v>1700 - 2100</v>
      </c>
      <c r="L552" s="3">
        <f>IFERROR(__xludf.DUMMYFUNCTION("""COMPUTED_VALUE"""),4.0)</f>
        <v>4</v>
      </c>
      <c r="M552" s="3" t="str">
        <f>IFERROR(__xludf.DUMMYFUNCTION("""COMPUTED_VALUE"""),"ร.อ.อนุชิต ทำจะดี")</f>
        <v>ร.อ.อนุชิต ทำจะดี</v>
      </c>
      <c r="N552" s="14" t="str">
        <f>IFERROR(__xludf.DUMMYFUNCTION("""COMPUTED_VALUE"""),"https://lh5.googleusercontent.com/d/1qF0q7j86O3MIJBYgaOy5cLdHRh4yRv_T")</f>
        <v>https://lh5.googleusercontent.com/d/1qF0q7j86O3MIJBYgaOy5cLdHRh4yRv_T</v>
      </c>
      <c r="O552" s="14" t="str">
        <f>IFERROR(__xludf.DUMMYFUNCTION("""COMPUTED_VALUE"""),"https://drive.google.com/file/d/1LAnTNN926Mq5CJ-G6MDNuVgwZOAjukxG/view?usp=drivesdk")</f>
        <v>https://drive.google.com/file/d/1LAnTNN926Mq5CJ-G6MDNuVgwZOAjukxG/view?usp=drivesdk</v>
      </c>
    </row>
    <row r="553">
      <c r="A553" s="3">
        <f>IFERROR(__xludf.DUMMYFUNCTION("""COMPUTED_VALUE"""),2397.0)</f>
        <v>2397</v>
      </c>
      <c r="B553" s="11">
        <f>IFERROR(__xludf.DUMMYFUNCTION("""COMPUTED_VALUE"""),46170.574998703705)</f>
        <v>46170.575</v>
      </c>
      <c r="C553" s="3" t="str">
        <f>IFERROR(__xludf.DUMMYFUNCTION("""COMPUTED_VALUE"""),"ชั้นปีที่ 1")</f>
        <v>ชั้นปีที่ 1</v>
      </c>
      <c r="D553" s="3" t="str">
        <f>IFERROR(__xludf.DUMMYFUNCTION("""COMPUTED_VALUE"""),"6803938")</f>
        <v>6803938</v>
      </c>
      <c r="E553" s="3" t="str">
        <f>IFERROR(__xludf.DUMMYFUNCTION("""COMPUTED_VALUE"""),"57")</f>
        <v>57</v>
      </c>
      <c r="F553" s="3" t="str">
        <f>IFERROR(__xludf.DUMMYFUNCTION("""COMPUTED_VALUE"""),"นพอ.สุพิชชา เชื้อชาติ")</f>
        <v>นพอ.สุพิชชา เชื้อชาติ</v>
      </c>
      <c r="G5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3" s="3" t="str">
        <f>IFERROR(__xludf.DUMMYFUNCTION("""COMPUTED_VALUE"""),"ซ้อมเดินแบบงานวันกองทัพอากาศ 2569")</f>
        <v>ซ้อมเดินแบบงานวันกองทัพอากาศ 2569</v>
      </c>
      <c r="I553" s="3" t="str">
        <f>IFERROR(__xludf.DUMMYFUNCTION("""COMPUTED_VALUE"""),"อาคารรณนภากาศ")</f>
        <v>อาคารรณนภากาศ</v>
      </c>
      <c r="J553" s="12">
        <f>IFERROR(__xludf.DUMMYFUNCTION("""COMPUTED_VALUE"""),46120.0)</f>
        <v>46120</v>
      </c>
      <c r="K553" s="3" t="str">
        <f>IFERROR(__xludf.DUMMYFUNCTION("""COMPUTED_VALUE"""),"1300-1800")</f>
        <v>1300-1800</v>
      </c>
      <c r="L553" s="3">
        <f>IFERROR(__xludf.DUMMYFUNCTION("""COMPUTED_VALUE"""),6.0)</f>
        <v>6</v>
      </c>
      <c r="M553" s="3" t="str">
        <f>IFERROR(__xludf.DUMMYFUNCTION("""COMPUTED_VALUE"""),"ร.อ.หญิง ขนัฏฐา นาดี")</f>
        <v>ร.อ.หญิง ขนัฏฐา นาดี</v>
      </c>
      <c r="N553" s="14" t="str">
        <f>IFERROR(__xludf.DUMMYFUNCTION("""COMPUTED_VALUE"""),"https://lh5.googleusercontent.com/d/1tLqQ3_RjLri5gvN0i_O0ilbplb_ZpkAc")</f>
        <v>https://lh5.googleusercontent.com/d/1tLqQ3_RjLri5gvN0i_O0ilbplb_ZpkAc</v>
      </c>
      <c r="O553" s="14" t="str">
        <f>IFERROR(__xludf.DUMMYFUNCTION("""COMPUTED_VALUE"""),"https://drive.google.com/file/d/1GW88841ifRp55DGgRltrzAzjaYkK6pFN/view?usp=drivesdk")</f>
        <v>https://drive.google.com/file/d/1GW88841ifRp55DGgRltrzAzjaYkK6pFN/view?usp=drivesdk</v>
      </c>
    </row>
    <row r="554">
      <c r="A554" s="3">
        <f>IFERROR(__xludf.DUMMYFUNCTION("""COMPUTED_VALUE"""),2398.0)</f>
        <v>2398</v>
      </c>
      <c r="B554" s="11">
        <f>IFERROR(__xludf.DUMMYFUNCTION("""COMPUTED_VALUE"""),46170.575496770834)</f>
        <v>46170.5755</v>
      </c>
      <c r="C554" s="3" t="str">
        <f>IFERROR(__xludf.DUMMYFUNCTION("""COMPUTED_VALUE"""),"ชั้นปีที่ 1")</f>
        <v>ชั้นปีที่ 1</v>
      </c>
      <c r="D554" s="3" t="str">
        <f>IFERROR(__xludf.DUMMYFUNCTION("""COMPUTED_VALUE"""),"6803906")</f>
        <v>6803906</v>
      </c>
      <c r="E554" s="3" t="str">
        <f>IFERROR(__xludf.DUMMYFUNCTION("""COMPUTED_VALUE"""),"25")</f>
        <v>25</v>
      </c>
      <c r="F554" s="3" t="str">
        <f>IFERROR(__xludf.DUMMYFUNCTION("""COMPUTED_VALUE"""),"นพอ.ธัญวรัตน์ ยงคะวิสัย")</f>
        <v>นพอ.ธัญวรัตน์ ยงคะวิสัย</v>
      </c>
      <c r="G554" s="3" t="str">
        <f>IFERROR(__xludf.DUMMYFUNCTION("""COMPUTED_VALUE"""),"ช่วยเหลืองานภายใน วพอ.")</f>
        <v>ช่วยเหลืองานภายใน วพอ.</v>
      </c>
      <c r="H554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54" s="3" t="str">
        <f>IFERROR(__xludf.DUMMYFUNCTION("""COMPUTED_VALUE"""),"วพอ.พอ.")</f>
        <v>วพอ.พอ.</v>
      </c>
      <c r="J554" s="12">
        <f>IFERROR(__xludf.DUMMYFUNCTION("""COMPUTED_VALUE"""),46164.0)</f>
        <v>46164</v>
      </c>
      <c r="K554" s="3" t="str">
        <f>IFERROR(__xludf.DUMMYFUNCTION("""COMPUTED_VALUE"""),"1500-1700")</f>
        <v>1500-1700</v>
      </c>
      <c r="L554" s="3">
        <f>IFERROR(__xludf.DUMMYFUNCTION("""COMPUTED_VALUE"""),2.0)</f>
        <v>2</v>
      </c>
      <c r="M554" s="3" t="str">
        <f>IFERROR(__xludf.DUMMYFUNCTION("""COMPUTED_VALUE"""),"น.อ.หญิง นิตยา สุขแสน")</f>
        <v>น.อ.หญิง นิตยา สุขแสน</v>
      </c>
      <c r="N554" s="14" t="str">
        <f>IFERROR(__xludf.DUMMYFUNCTION("""COMPUTED_VALUE"""),"https://lh5.googleusercontent.com/d/1vmYEs20JR1qT3s6Q8HAzcbH3iyvf-5T5")</f>
        <v>https://lh5.googleusercontent.com/d/1vmYEs20JR1qT3s6Q8HAzcbH3iyvf-5T5</v>
      </c>
      <c r="O554" s="14" t="str">
        <f>IFERROR(__xludf.DUMMYFUNCTION("""COMPUTED_VALUE"""),"https://drive.google.com/file/d/1KChrsVTwYzQq3chcFv9qlG-iLKRcjjbi/view?usp=drivesdk")</f>
        <v>https://drive.google.com/file/d/1KChrsVTwYzQq3chcFv9qlG-iLKRcjjbi/view?usp=drivesdk</v>
      </c>
    </row>
    <row r="555">
      <c r="A555" s="3">
        <f>IFERROR(__xludf.DUMMYFUNCTION("""COMPUTED_VALUE"""),2399.0)</f>
        <v>2399</v>
      </c>
      <c r="B555" s="11">
        <f>IFERROR(__xludf.DUMMYFUNCTION("""COMPUTED_VALUE"""),46170.575610925924)</f>
        <v>46170.57561</v>
      </c>
      <c r="C555" s="3" t="str">
        <f>IFERROR(__xludf.DUMMYFUNCTION("""COMPUTED_VALUE"""),"ชั้นปีที่ 1")</f>
        <v>ชั้นปีที่ 1</v>
      </c>
      <c r="D555" s="3" t="str">
        <f>IFERROR(__xludf.DUMMYFUNCTION("""COMPUTED_VALUE"""),"6803883")</f>
        <v>6803883</v>
      </c>
      <c r="E555" s="3" t="str">
        <f>IFERROR(__xludf.DUMMYFUNCTION("""COMPUTED_VALUE"""),"2")</f>
        <v>2</v>
      </c>
      <c r="F555" s="3" t="str">
        <f>IFERROR(__xludf.DUMMYFUNCTION("""COMPUTED_VALUE"""),"นพอ.กรชนก หน่อทิม")</f>
        <v>นพอ.กรชนก หน่อทิม</v>
      </c>
      <c r="G555" s="3" t="str">
        <f>IFERROR(__xludf.DUMMYFUNCTION("""COMPUTED_VALUE"""),"ช่วยเหลืองานภายใน วพอ.")</f>
        <v>ช่วยเหลืองานภายใน วพอ.</v>
      </c>
      <c r="H555" s="3" t="str">
        <f>IFERROR(__xludf.DUMMYFUNCTION("""COMPUTED_VALUE"""),"เล่นดุริยางค์")</f>
        <v>เล่นดุริยางค์</v>
      </c>
      <c r="I555" s="3" t="str">
        <f>IFERROR(__xludf.DUMMYFUNCTION("""COMPUTED_VALUE"""),"วพอ.พอ.")</f>
        <v>วพอ.พอ.</v>
      </c>
      <c r="J555" s="12">
        <f>IFERROR(__xludf.DUMMYFUNCTION("""COMPUTED_VALUE"""),46140.0)</f>
        <v>46140</v>
      </c>
      <c r="K555" s="3" t="str">
        <f>IFERROR(__xludf.DUMMYFUNCTION("""COMPUTED_VALUE"""),"0700-0800")</f>
        <v>0700-0800</v>
      </c>
      <c r="L555" s="3">
        <f>IFERROR(__xludf.DUMMYFUNCTION("""COMPUTED_VALUE"""),1.0)</f>
        <v>1</v>
      </c>
      <c r="M555" s="3" t="str">
        <f>IFERROR(__xludf.DUMMYFUNCTION("""COMPUTED_VALUE"""),"ร.อ.อนุชิต ทำจะดี")</f>
        <v>ร.อ.อนุชิต ทำจะดี</v>
      </c>
      <c r="N555" s="14" t="str">
        <f>IFERROR(__xludf.DUMMYFUNCTION("""COMPUTED_VALUE"""),"https://lh5.googleusercontent.com/d/1fa2-LRUlCzWcxAYmelyndJPNTFUHfmcK")</f>
        <v>https://lh5.googleusercontent.com/d/1fa2-LRUlCzWcxAYmelyndJPNTFUHfmcK</v>
      </c>
      <c r="O555" s="14" t="str">
        <f>IFERROR(__xludf.DUMMYFUNCTION("""COMPUTED_VALUE"""),"https://drive.google.com/file/d/1RifOz9FSU72zuEEccxUa2IU-tqZsgAUw/view?usp=drivesdk")</f>
        <v>https://drive.google.com/file/d/1RifOz9FSU72zuEEccxUa2IU-tqZsgAUw/view?usp=drivesdk</v>
      </c>
    </row>
    <row r="556">
      <c r="A556" s="3">
        <f>IFERROR(__xludf.DUMMYFUNCTION("""COMPUTED_VALUE"""),2400.0)</f>
        <v>2400</v>
      </c>
      <c r="B556" s="11">
        <f>IFERROR(__xludf.DUMMYFUNCTION("""COMPUTED_VALUE"""),46170.576415868054)</f>
        <v>46170.57642</v>
      </c>
      <c r="C556" s="3" t="str">
        <f>IFERROR(__xludf.DUMMYFUNCTION("""COMPUTED_VALUE"""),"ชั้นปีที่ 1")</f>
        <v>ชั้นปีที่ 1</v>
      </c>
      <c r="D556" s="3" t="str">
        <f>IFERROR(__xludf.DUMMYFUNCTION("""COMPUTED_VALUE"""),"6803906")</f>
        <v>6803906</v>
      </c>
      <c r="E556" s="3" t="str">
        <f>IFERROR(__xludf.DUMMYFUNCTION("""COMPUTED_VALUE"""),"25")</f>
        <v>25</v>
      </c>
      <c r="F556" s="3" t="str">
        <f>IFERROR(__xludf.DUMMYFUNCTION("""COMPUTED_VALUE"""),"นพอ.ธัญวรัตน์ ยงคะวิสัย")</f>
        <v>นพอ.ธัญวรัตน์ ยงคะวิสัย</v>
      </c>
      <c r="G556" s="3" t="str">
        <f>IFERROR(__xludf.DUMMYFUNCTION("""COMPUTED_VALUE"""),"ช่วยเหลืองานภายใน วพอ.")</f>
        <v>ช่วยเหลืองานภายใน วพอ.</v>
      </c>
      <c r="H556" s="3" t="str">
        <f>IFERROR(__xludf.DUMMYFUNCTION("""COMPUTED_VALUE"""),"เล่นดุริยางค์")</f>
        <v>เล่นดุริยางค์</v>
      </c>
      <c r="I556" s="3" t="str">
        <f>IFERROR(__xludf.DUMMYFUNCTION("""COMPUTED_VALUE"""),"วพอ.พอ.")</f>
        <v>วพอ.พอ.</v>
      </c>
      <c r="J556" s="12">
        <f>IFERROR(__xludf.DUMMYFUNCTION("""COMPUTED_VALUE"""),46143.0)</f>
        <v>46143</v>
      </c>
      <c r="K556" s="3" t="str">
        <f>IFERROR(__xludf.DUMMYFUNCTION("""COMPUTED_VALUE"""),"0700-0800")</f>
        <v>0700-0800</v>
      </c>
      <c r="L556" s="3">
        <f>IFERROR(__xludf.DUMMYFUNCTION("""COMPUTED_VALUE"""),1.0)</f>
        <v>1</v>
      </c>
      <c r="M556" s="3" t="str">
        <f>IFERROR(__xludf.DUMMYFUNCTION("""COMPUTED_VALUE"""),"ร.อ.อนุชิต ทำจะดี")</f>
        <v>ร.อ.อนุชิต ทำจะดี</v>
      </c>
      <c r="N556" s="14" t="str">
        <f>IFERROR(__xludf.DUMMYFUNCTION("""COMPUTED_VALUE"""),"https://lh5.googleusercontent.com/d/1wvtTLnhHozYRxSFKMoPymtAlZ7AbU--7")</f>
        <v>https://lh5.googleusercontent.com/d/1wvtTLnhHozYRxSFKMoPymtAlZ7AbU--7</v>
      </c>
      <c r="O556" s="14" t="str">
        <f>IFERROR(__xludf.DUMMYFUNCTION("""COMPUTED_VALUE"""),"https://drive.google.com/file/d/1Sp-2O5ccX8A_vITAGXDvyYh3J-BGgZR-/view?usp=drivesdk")</f>
        <v>https://drive.google.com/file/d/1Sp-2O5ccX8A_vITAGXDvyYh3J-BGgZR-/view?usp=drivesdk</v>
      </c>
    </row>
    <row r="557">
      <c r="A557" s="3">
        <f>IFERROR(__xludf.DUMMYFUNCTION("""COMPUTED_VALUE"""),2401.0)</f>
        <v>2401</v>
      </c>
      <c r="B557" s="11">
        <f>IFERROR(__xludf.DUMMYFUNCTION("""COMPUTED_VALUE"""),46170.576801296294)</f>
        <v>46170.5768</v>
      </c>
      <c r="C557" s="3" t="str">
        <f>IFERROR(__xludf.DUMMYFUNCTION("""COMPUTED_VALUE"""),"ชั้นปีที่ 1")</f>
        <v>ชั้นปีที่ 1</v>
      </c>
      <c r="D557" s="3" t="str">
        <f>IFERROR(__xludf.DUMMYFUNCTION("""COMPUTED_VALUE"""),"6803894")</f>
        <v>6803894</v>
      </c>
      <c r="E557" s="3" t="str">
        <f>IFERROR(__xludf.DUMMYFUNCTION("""COMPUTED_VALUE"""),"13")</f>
        <v>13</v>
      </c>
      <c r="F557" s="3" t="str">
        <f>IFERROR(__xludf.DUMMYFUNCTION("""COMPUTED_VALUE"""),"นพอ.ฐิติณัฐดา แสนสุขเกษม")</f>
        <v>นพอ.ฐิติณัฐดา แสนสุขเกษม</v>
      </c>
      <c r="G557" s="3" t="str">
        <f>IFERROR(__xludf.DUMMYFUNCTION("""COMPUTED_VALUE"""),"งานฟรีทั่วไป")</f>
        <v>งานฟรีทั่วไป</v>
      </c>
      <c r="H557" s="3" t="str">
        <f>IFERROR(__xludf.DUMMYFUNCTION("""COMPUTED_VALUE"""),"ล้างจาน")</f>
        <v>ล้างจาน</v>
      </c>
      <c r="I557" s="3" t="str">
        <f>IFERROR(__xludf.DUMMYFUNCTION("""COMPUTED_VALUE"""),"บ้าน")</f>
        <v>บ้าน</v>
      </c>
      <c r="J557" s="12">
        <f>IFERROR(__xludf.DUMMYFUNCTION("""COMPUTED_VALUE"""),46158.0)</f>
        <v>46158</v>
      </c>
      <c r="K557" s="3" t="str">
        <f>IFERROR(__xludf.DUMMYFUNCTION("""COMPUTED_VALUE"""),"1810")</f>
        <v>1810</v>
      </c>
      <c r="L557" s="3">
        <f>IFERROR(__xludf.DUMMYFUNCTION("""COMPUTED_VALUE"""),1.0)</f>
        <v>1</v>
      </c>
      <c r="M557" s="3" t="str">
        <f>IFERROR(__xludf.DUMMYFUNCTION("""COMPUTED_VALUE"""),"ทัชชกร แสนสุขเกษม")</f>
        <v>ทัชชกร แสนสุขเกษม</v>
      </c>
      <c r="N557" s="14" t="str">
        <f>IFERROR(__xludf.DUMMYFUNCTION("""COMPUTED_VALUE"""),"https://lh5.googleusercontent.com/d/1IrVyQFpP9u7TNM_Rofo3asPZW3GHqEGa")</f>
        <v>https://lh5.googleusercontent.com/d/1IrVyQFpP9u7TNM_Rofo3asPZW3GHqEGa</v>
      </c>
      <c r="O557" s="14" t="str">
        <f>IFERROR(__xludf.DUMMYFUNCTION("""COMPUTED_VALUE"""),"https://drive.google.com/file/d/1mXWLcsbdSipLyBlD_Wi7qJSfjXkSo5kM/view?usp=drivesdk")</f>
        <v>https://drive.google.com/file/d/1mXWLcsbdSipLyBlD_Wi7qJSfjXkSo5kM/view?usp=drivesdk</v>
      </c>
    </row>
    <row r="558">
      <c r="A558" s="3">
        <f>IFERROR(__xludf.DUMMYFUNCTION("""COMPUTED_VALUE"""),2402.0)</f>
        <v>2402</v>
      </c>
      <c r="B558" s="11">
        <f>IFERROR(__xludf.DUMMYFUNCTION("""COMPUTED_VALUE"""),46170.57693912037)</f>
        <v>46170.57694</v>
      </c>
      <c r="C558" s="3" t="str">
        <f>IFERROR(__xludf.DUMMYFUNCTION("""COMPUTED_VALUE"""),"ชั้นปีที่ 1")</f>
        <v>ชั้นปีที่ 1</v>
      </c>
      <c r="D558" s="3" t="str">
        <f>IFERROR(__xludf.DUMMYFUNCTION("""COMPUTED_VALUE"""),"6803883")</f>
        <v>6803883</v>
      </c>
      <c r="E558" s="3" t="str">
        <f>IFERROR(__xludf.DUMMYFUNCTION("""COMPUTED_VALUE"""),"2")</f>
        <v>2</v>
      </c>
      <c r="F558" s="3" t="str">
        <f>IFERROR(__xludf.DUMMYFUNCTION("""COMPUTED_VALUE"""),"นพอ.กรชนก หน่อทิม")</f>
        <v>นพอ.กรชนก หน่อทิม</v>
      </c>
      <c r="G558" s="3" t="str">
        <f>IFERROR(__xludf.DUMMYFUNCTION("""COMPUTED_VALUE"""),"ช่วยเหลืองานภายใน วพอ.")</f>
        <v>ช่วยเหลืองานภายใน วพอ.</v>
      </c>
      <c r="H558" s="3" t="str">
        <f>IFERROR(__xludf.DUMMYFUNCTION("""COMPUTED_VALUE"""),"เล่นดุริยางค์")</f>
        <v>เล่นดุริยางค์</v>
      </c>
      <c r="I558" s="3" t="str">
        <f>IFERROR(__xludf.DUMMYFUNCTION("""COMPUTED_VALUE"""),"วพอ.พอ.")</f>
        <v>วพอ.พอ.</v>
      </c>
      <c r="J558" s="12">
        <f>IFERROR(__xludf.DUMMYFUNCTION("""COMPUTED_VALUE"""),46147.0)</f>
        <v>46147</v>
      </c>
      <c r="K558" s="3" t="str">
        <f>IFERROR(__xludf.DUMMYFUNCTION("""COMPUTED_VALUE"""),"0700-0800")</f>
        <v>0700-0800</v>
      </c>
      <c r="L558" s="3">
        <f>IFERROR(__xludf.DUMMYFUNCTION("""COMPUTED_VALUE"""),1.0)</f>
        <v>1</v>
      </c>
      <c r="M558" s="3" t="str">
        <f>IFERROR(__xludf.DUMMYFUNCTION("""COMPUTED_VALUE"""),"ร.อ.อนุชิต ทำจะดี")</f>
        <v>ร.อ.อนุชิต ทำจะดี</v>
      </c>
      <c r="N558" s="14" t="str">
        <f>IFERROR(__xludf.DUMMYFUNCTION("""COMPUTED_VALUE"""),"https://lh5.googleusercontent.com/d/1JfJflMLW3L6xBHKib0aD51zt4jWSqZ4X")</f>
        <v>https://lh5.googleusercontent.com/d/1JfJflMLW3L6xBHKib0aD51zt4jWSqZ4X</v>
      </c>
      <c r="O558" s="14" t="str">
        <f>IFERROR(__xludf.DUMMYFUNCTION("""COMPUTED_VALUE"""),"https://drive.google.com/file/d/11InRCLrn72v8RQNFBmbpG920rnuiNWSH/view?usp=drivesdk")</f>
        <v>https://drive.google.com/file/d/11InRCLrn72v8RQNFBmbpG920rnuiNWSH/view?usp=drivesdk</v>
      </c>
    </row>
    <row r="559">
      <c r="A559" s="3">
        <f>IFERROR(__xludf.DUMMYFUNCTION("""COMPUTED_VALUE"""),2403.0)</f>
        <v>2403</v>
      </c>
      <c r="B559" s="11">
        <f>IFERROR(__xludf.DUMMYFUNCTION("""COMPUTED_VALUE"""),46170.5771790162)</f>
        <v>46170.57718</v>
      </c>
      <c r="C559" s="3" t="str">
        <f>IFERROR(__xludf.DUMMYFUNCTION("""COMPUTED_VALUE"""),"ชั้นปีที่ 1")</f>
        <v>ชั้นปีที่ 1</v>
      </c>
      <c r="D559" s="3" t="str">
        <f>IFERROR(__xludf.DUMMYFUNCTION("""COMPUTED_VALUE"""),"6803938")</f>
        <v>6803938</v>
      </c>
      <c r="E559" s="3" t="str">
        <f>IFERROR(__xludf.DUMMYFUNCTION("""COMPUTED_VALUE"""),"57")</f>
        <v>57</v>
      </c>
      <c r="F559" s="3" t="str">
        <f>IFERROR(__xludf.DUMMYFUNCTION("""COMPUTED_VALUE"""),"นพอ.สุพิชชา เชื้อชาติ")</f>
        <v>นพอ.สุพิชชา เชื้อชาติ</v>
      </c>
      <c r="G5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59" s="3" t="str">
        <f>IFERROR(__xludf.DUMMYFUNCTION("""COMPUTED_VALUE"""),"ซ้อมเดินแบบงานวันกองทัพอากาศ 2569")</f>
        <v>ซ้อมเดินแบบงานวันกองทัพอากาศ 2569</v>
      </c>
      <c r="I559" s="3" t="str">
        <f>IFERROR(__xludf.DUMMYFUNCTION("""COMPUTED_VALUE"""),"อาคารรณนภากาศ")</f>
        <v>อาคารรณนภากาศ</v>
      </c>
      <c r="J559" s="12">
        <f>IFERROR(__xludf.DUMMYFUNCTION("""COMPUTED_VALUE"""),46119.0)</f>
        <v>46119</v>
      </c>
      <c r="K559" s="3" t="str">
        <f>IFERROR(__xludf.DUMMYFUNCTION("""COMPUTED_VALUE"""),"1500-2000")</f>
        <v>1500-2000</v>
      </c>
      <c r="L559" s="3">
        <f>IFERROR(__xludf.DUMMYFUNCTION("""COMPUTED_VALUE"""),6.0)</f>
        <v>6</v>
      </c>
      <c r="M559" s="3" t="str">
        <f>IFERROR(__xludf.DUMMYFUNCTION("""COMPUTED_VALUE"""),"ร.อ.หญิง ขนัฏฐา นาดี")</f>
        <v>ร.อ.หญิง ขนัฏฐา นาดี</v>
      </c>
      <c r="N559" s="14" t="str">
        <f>IFERROR(__xludf.DUMMYFUNCTION("""COMPUTED_VALUE"""),"https://lh5.googleusercontent.com/d/1wsATfFhtVSdGZeh9av34yfOR5TXd0lLB")</f>
        <v>https://lh5.googleusercontent.com/d/1wsATfFhtVSdGZeh9av34yfOR5TXd0lLB</v>
      </c>
      <c r="O559" s="14" t="str">
        <f>IFERROR(__xludf.DUMMYFUNCTION("""COMPUTED_VALUE"""),"https://drive.google.com/file/d/1rk_x9IgewEpDjRr4qrBhPej73WucUMuM/view?usp=drivesdk")</f>
        <v>https://drive.google.com/file/d/1rk_x9IgewEpDjRr4qrBhPej73WucUMuM/view?usp=drivesdk</v>
      </c>
    </row>
    <row r="560">
      <c r="A560" s="3">
        <f>IFERROR(__xludf.DUMMYFUNCTION("""COMPUTED_VALUE"""),2404.0)</f>
        <v>2404</v>
      </c>
      <c r="B560" s="11">
        <f>IFERROR(__xludf.DUMMYFUNCTION("""COMPUTED_VALUE"""),46170.57726277778)</f>
        <v>46170.57726</v>
      </c>
      <c r="C560" s="3" t="str">
        <f>IFERROR(__xludf.DUMMYFUNCTION("""COMPUTED_VALUE"""),"ชั้นปีที่ 1")</f>
        <v>ชั้นปีที่ 1</v>
      </c>
      <c r="D560" s="3" t="str">
        <f>IFERROR(__xludf.DUMMYFUNCTION("""COMPUTED_VALUE"""),"6803925")</f>
        <v>6803925</v>
      </c>
      <c r="E560" s="3" t="str">
        <f>IFERROR(__xludf.DUMMYFUNCTION("""COMPUTED_VALUE"""),"44")</f>
        <v>44</v>
      </c>
      <c r="F560" s="3" t="str">
        <f>IFERROR(__xludf.DUMMYFUNCTION("""COMPUTED_VALUE"""),"นพอ.ภัทรพร ม่วงแคล้ว")</f>
        <v>นพอ.ภัทรพร ม่วงแคล้ว</v>
      </c>
      <c r="G56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0" s="3" t="str">
        <f>IFERROR(__xludf.DUMMYFUNCTION("""COMPUTED_VALUE"""),"Green Markets")</f>
        <v>Green Markets</v>
      </c>
      <c r="I560" s="3" t="str">
        <f>IFERROR(__xludf.DUMMYFUNCTION("""COMPUTED_VALUE"""),"สโมสรนายทหารชั้นประทวน")</f>
        <v>สโมสรนายทหารชั้นประทวน</v>
      </c>
      <c r="J560" s="12">
        <f>IFERROR(__xludf.DUMMYFUNCTION("""COMPUTED_VALUE"""),46134.0)</f>
        <v>46134</v>
      </c>
      <c r="K560" s="3" t="str">
        <f>IFERROR(__xludf.DUMMYFUNCTION("""COMPUTED_VALUE"""),"0800-1600")</f>
        <v>0800-1600</v>
      </c>
      <c r="L560" s="3">
        <f>IFERROR(__xludf.DUMMYFUNCTION("""COMPUTED_VALUE"""),8.0)</f>
        <v>8</v>
      </c>
      <c r="M560" s="3" t="str">
        <f>IFERROR(__xludf.DUMMYFUNCTION("""COMPUTED_VALUE"""),"ร.อ.ฤทธิพล อ้วนสิงห์")</f>
        <v>ร.อ.ฤทธิพล อ้วนสิงห์</v>
      </c>
      <c r="N560" s="14" t="str">
        <f>IFERROR(__xludf.DUMMYFUNCTION("""COMPUTED_VALUE"""),"https://lh5.googleusercontent.com/d/1VIzivBG1oZt1gr04SxodTKTITd6xyoTQ")</f>
        <v>https://lh5.googleusercontent.com/d/1VIzivBG1oZt1gr04SxodTKTITd6xyoTQ</v>
      </c>
      <c r="O560" s="14" t="str">
        <f>IFERROR(__xludf.DUMMYFUNCTION("""COMPUTED_VALUE"""),"https://drive.google.com/file/d/1DK1ZRr1_VWeN1wcQobVuVNWech_PV-C-/view?usp=drivesdk")</f>
        <v>https://drive.google.com/file/d/1DK1ZRr1_VWeN1wcQobVuVNWech_PV-C-/view?usp=drivesdk</v>
      </c>
    </row>
    <row r="561">
      <c r="A561" s="3">
        <f>IFERROR(__xludf.DUMMYFUNCTION("""COMPUTED_VALUE"""),2405.0)</f>
        <v>2405</v>
      </c>
      <c r="B561" s="11">
        <f>IFERROR(__xludf.DUMMYFUNCTION("""COMPUTED_VALUE"""),46170.57726935185)</f>
        <v>46170.57727</v>
      </c>
      <c r="C561" s="3" t="str">
        <f>IFERROR(__xludf.DUMMYFUNCTION("""COMPUTED_VALUE"""),"ชั้นปีที่ 1")</f>
        <v>ชั้นปีที่ 1</v>
      </c>
      <c r="D561" s="3" t="str">
        <f>IFERROR(__xludf.DUMMYFUNCTION("""COMPUTED_VALUE"""),"6803884")</f>
        <v>6803884</v>
      </c>
      <c r="E561" s="3" t="str">
        <f>IFERROR(__xludf.DUMMYFUNCTION("""COMPUTED_VALUE"""),"3")</f>
        <v>3</v>
      </c>
      <c r="F561" s="3" t="str">
        <f>IFERROR(__xludf.DUMMYFUNCTION("""COMPUTED_VALUE"""),"นพอ.กรองทอง กันฟัก")</f>
        <v>นพอ.กรองทอง กันฟัก</v>
      </c>
      <c r="G561" s="3" t="str">
        <f>IFERROR(__xludf.DUMMYFUNCTION("""COMPUTED_VALUE"""),"ช่วยเหลืองานภายใน วพอ.")</f>
        <v>ช่วยเหลืองานภายใน วพอ.</v>
      </c>
      <c r="H561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61" s="3" t="str">
        <f>IFERROR(__xludf.DUMMYFUNCTION("""COMPUTED_VALUE"""),"ลานข้างหอพัก")</f>
        <v>ลานข้างหอพัก</v>
      </c>
      <c r="J561" s="12">
        <f>IFERROR(__xludf.DUMMYFUNCTION("""COMPUTED_VALUE"""),46164.0)</f>
        <v>46164</v>
      </c>
      <c r="K561" s="3" t="str">
        <f>IFERROR(__xludf.DUMMYFUNCTION("""COMPUTED_VALUE"""),"15-1700")</f>
        <v>15-1700</v>
      </c>
      <c r="L561" s="3">
        <f>IFERROR(__xludf.DUMMYFUNCTION("""COMPUTED_VALUE"""),2.0)</f>
        <v>2</v>
      </c>
      <c r="M561" s="3" t="str">
        <f>IFERROR(__xludf.DUMMYFUNCTION("""COMPUTED_VALUE"""),"น.อ.หญิง นิตยา สุขแสน")</f>
        <v>น.อ.หญิง นิตยา สุขแสน</v>
      </c>
      <c r="N561" s="14" t="str">
        <f>IFERROR(__xludf.DUMMYFUNCTION("""COMPUTED_VALUE"""),"https://lh5.googleusercontent.com/d/1ZqZdlQsrfXJshzIhf2JO_BdJt-X_SbVI")</f>
        <v>https://lh5.googleusercontent.com/d/1ZqZdlQsrfXJshzIhf2JO_BdJt-X_SbVI</v>
      </c>
      <c r="O561" s="14" t="str">
        <f>IFERROR(__xludf.DUMMYFUNCTION("""COMPUTED_VALUE"""),"https://drive.google.com/file/d/10Y-EjgJGiNjztLm1yvGIxmTJmc8olHLL/view?usp=drivesdk")</f>
        <v>https://drive.google.com/file/d/10Y-EjgJGiNjztLm1yvGIxmTJmc8olHLL/view?usp=drivesdk</v>
      </c>
    </row>
    <row r="562">
      <c r="A562" s="3">
        <f>IFERROR(__xludf.DUMMYFUNCTION("""COMPUTED_VALUE"""),2406.0)</f>
        <v>2406</v>
      </c>
      <c r="B562" s="11">
        <f>IFERROR(__xludf.DUMMYFUNCTION("""COMPUTED_VALUE"""),46170.577310775465)</f>
        <v>46170.57731</v>
      </c>
      <c r="C562" s="3" t="str">
        <f>IFERROR(__xludf.DUMMYFUNCTION("""COMPUTED_VALUE"""),"ชั้นปีที่ 1")</f>
        <v>ชั้นปีที่ 1</v>
      </c>
      <c r="D562" s="3" t="str">
        <f>IFERROR(__xludf.DUMMYFUNCTION("""COMPUTED_VALUE"""),"6803906")</f>
        <v>6803906</v>
      </c>
      <c r="E562" s="3" t="str">
        <f>IFERROR(__xludf.DUMMYFUNCTION("""COMPUTED_VALUE"""),"25")</f>
        <v>25</v>
      </c>
      <c r="F562" s="3" t="str">
        <f>IFERROR(__xludf.DUMMYFUNCTION("""COMPUTED_VALUE"""),"นพอ.ธัญวรัตน์ ยงคะวิสัย")</f>
        <v>นพอ.ธัญวรัตน์ ยงคะวิสัย</v>
      </c>
      <c r="G562" s="3" t="str">
        <f>IFERROR(__xludf.DUMMYFUNCTION("""COMPUTED_VALUE"""),"ช่วยเหลืองานภายใน วพอ.")</f>
        <v>ช่วยเหลืองานภายใน วพอ.</v>
      </c>
      <c r="H562" s="3" t="str">
        <f>IFERROR(__xludf.DUMMYFUNCTION("""COMPUTED_VALUE"""),"เล่นดุริยางค์")</f>
        <v>เล่นดุริยางค์</v>
      </c>
      <c r="I562" s="3" t="str">
        <f>IFERROR(__xludf.DUMMYFUNCTION("""COMPUTED_VALUE"""),"วพอ.พอ.")</f>
        <v>วพอ.พอ.</v>
      </c>
      <c r="J562" s="12">
        <f>IFERROR(__xludf.DUMMYFUNCTION("""COMPUTED_VALUE"""),46107.0)</f>
        <v>46107</v>
      </c>
      <c r="K562" s="3" t="str">
        <f>IFERROR(__xludf.DUMMYFUNCTION("""COMPUTED_VALUE"""),"0700-0800")</f>
        <v>0700-0800</v>
      </c>
      <c r="L562" s="3">
        <f>IFERROR(__xludf.DUMMYFUNCTION("""COMPUTED_VALUE"""),1.0)</f>
        <v>1</v>
      </c>
      <c r="M562" s="3" t="str">
        <f>IFERROR(__xludf.DUMMYFUNCTION("""COMPUTED_VALUE"""),"ร.อ.อนุชิต ทำจะดี")</f>
        <v>ร.อ.อนุชิต ทำจะดี</v>
      </c>
      <c r="N562" s="14" t="str">
        <f>IFERROR(__xludf.DUMMYFUNCTION("""COMPUTED_VALUE"""),"https://lh5.googleusercontent.com/d/1K9MgyV8AwZSEn4uEBN-hC8IrnaAu_jRi")</f>
        <v>https://lh5.googleusercontent.com/d/1K9MgyV8AwZSEn4uEBN-hC8IrnaAu_jRi</v>
      </c>
      <c r="O562" s="14" t="str">
        <f>IFERROR(__xludf.DUMMYFUNCTION("""COMPUTED_VALUE"""),"https://drive.google.com/file/d/1EhVoofQwlLjH765EBJ0cthhOx_IlZtx_/view?usp=drivesdk")</f>
        <v>https://drive.google.com/file/d/1EhVoofQwlLjH765EBJ0cthhOx_IlZtx_/view?usp=drivesdk</v>
      </c>
    </row>
    <row r="563">
      <c r="A563" s="3">
        <f>IFERROR(__xludf.DUMMYFUNCTION("""COMPUTED_VALUE"""),2407.0)</f>
        <v>2407</v>
      </c>
      <c r="B563" s="11">
        <f>IFERROR(__xludf.DUMMYFUNCTION("""COMPUTED_VALUE"""),46170.57758806713)</f>
        <v>46170.57759</v>
      </c>
      <c r="C563" s="3" t="str">
        <f>IFERROR(__xludf.DUMMYFUNCTION("""COMPUTED_VALUE"""),"ชั้นปีที่ 1")</f>
        <v>ชั้นปีที่ 1</v>
      </c>
      <c r="D563" s="3" t="str">
        <f>IFERROR(__xludf.DUMMYFUNCTION("""COMPUTED_VALUE"""),"6803905")</f>
        <v>6803905</v>
      </c>
      <c r="E563" s="3" t="str">
        <f>IFERROR(__xludf.DUMMYFUNCTION("""COMPUTED_VALUE"""),"24")</f>
        <v>24</v>
      </c>
      <c r="F563" s="3" t="str">
        <f>IFERROR(__xludf.DUMMYFUNCTION("""COMPUTED_VALUE"""),"นพอ.ธนพล เสือน้อย")</f>
        <v>นพอ.ธนพล เสือน้อย</v>
      </c>
      <c r="G5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3" s="3" t="str">
        <f>IFERROR(__xludf.DUMMYFUNCTION("""COMPUTED_VALUE"""),"งาน Green market ")</f>
        <v>งาน Green market </v>
      </c>
      <c r="I563" s="3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563" s="12">
        <f>IFERROR(__xludf.DUMMYFUNCTION("""COMPUTED_VALUE"""),46134.0)</f>
        <v>46134</v>
      </c>
      <c r="K563" s="3" t="str">
        <f>IFERROR(__xludf.DUMMYFUNCTION("""COMPUTED_VALUE"""),"0800-1600")</f>
        <v>0800-1600</v>
      </c>
      <c r="L563" s="3">
        <f>IFERROR(__xludf.DUMMYFUNCTION("""COMPUTED_VALUE"""),8.0)</f>
        <v>8</v>
      </c>
      <c r="M563" s="3" t="str">
        <f>IFERROR(__xludf.DUMMYFUNCTION("""COMPUTED_VALUE"""),"ร.อ. ฤทธิพล อ้วนสิงห์")</f>
        <v>ร.อ. ฤทธิพล อ้วนสิงห์</v>
      </c>
      <c r="N563" s="14" t="str">
        <f>IFERROR(__xludf.DUMMYFUNCTION("""COMPUTED_VALUE"""),"https://lh5.googleusercontent.com/d/1KDsvAJ-5MIG_iahU-5Sj7QJAHFEGxUxd")</f>
        <v>https://lh5.googleusercontent.com/d/1KDsvAJ-5MIG_iahU-5Sj7QJAHFEGxUxd</v>
      </c>
      <c r="O563" s="14" t="str">
        <f>IFERROR(__xludf.DUMMYFUNCTION("""COMPUTED_VALUE"""),"https://drive.google.com/file/d/1aWLEbTY74J0G2j20cozg-YTPRqjSOHhY/view?usp=drivesdk")</f>
        <v>https://drive.google.com/file/d/1aWLEbTY74J0G2j20cozg-YTPRqjSOHhY/view?usp=drivesdk</v>
      </c>
    </row>
    <row r="564">
      <c r="A564" s="3">
        <f>IFERROR(__xludf.DUMMYFUNCTION("""COMPUTED_VALUE"""),2408.0)</f>
        <v>2408</v>
      </c>
      <c r="B564" s="11">
        <f>IFERROR(__xludf.DUMMYFUNCTION("""COMPUTED_VALUE"""),46170.57833986112)</f>
        <v>46170.57834</v>
      </c>
      <c r="C564" s="3" t="str">
        <f>IFERROR(__xludf.DUMMYFUNCTION("""COMPUTED_VALUE"""),"ชั้นปีที่ 1")</f>
        <v>ชั้นปีที่ 1</v>
      </c>
      <c r="D564" s="3" t="str">
        <f>IFERROR(__xludf.DUMMYFUNCTION("""COMPUTED_VALUE"""),"6803906")</f>
        <v>6803906</v>
      </c>
      <c r="E564" s="3" t="str">
        <f>IFERROR(__xludf.DUMMYFUNCTION("""COMPUTED_VALUE"""),"25")</f>
        <v>25</v>
      </c>
      <c r="F564" s="3" t="str">
        <f>IFERROR(__xludf.DUMMYFUNCTION("""COMPUTED_VALUE"""),"นพอ.ธัญวรัตน์ ยงคะวิสัย")</f>
        <v>นพอ.ธัญวรัตน์ ยงคะวิสัย</v>
      </c>
      <c r="G564" s="3" t="str">
        <f>IFERROR(__xludf.DUMMYFUNCTION("""COMPUTED_VALUE"""),"ช่วยเหลืองานภายใน วพอ.")</f>
        <v>ช่วยเหลืองานภายใน วพอ.</v>
      </c>
      <c r="H564" s="3" t="str">
        <f>IFERROR(__xludf.DUMMYFUNCTION("""COMPUTED_VALUE"""),"เล่นดุริยางค์")</f>
        <v>เล่นดุริยางค์</v>
      </c>
      <c r="I564" s="3" t="str">
        <f>IFERROR(__xludf.DUMMYFUNCTION("""COMPUTED_VALUE"""),"วพอ.พอ.")</f>
        <v>วพอ.พอ.</v>
      </c>
      <c r="J564" s="12">
        <f>IFERROR(__xludf.DUMMYFUNCTION("""COMPUTED_VALUE"""),46108.0)</f>
        <v>46108</v>
      </c>
      <c r="K564" s="3" t="str">
        <f>IFERROR(__xludf.DUMMYFUNCTION("""COMPUTED_VALUE"""),"0700-0800")</f>
        <v>0700-0800</v>
      </c>
      <c r="L564" s="3">
        <f>IFERROR(__xludf.DUMMYFUNCTION("""COMPUTED_VALUE"""),1.0)</f>
        <v>1</v>
      </c>
      <c r="M564" s="3" t="str">
        <f>IFERROR(__xludf.DUMMYFUNCTION("""COMPUTED_VALUE"""),"ร.อ.อนุชิต ทำจะดี")</f>
        <v>ร.อ.อนุชิต ทำจะดี</v>
      </c>
      <c r="N564" s="14" t="str">
        <f>IFERROR(__xludf.DUMMYFUNCTION("""COMPUTED_VALUE"""),"https://lh5.googleusercontent.com/d/1N6Tv57aLlNUY-iYPHSizbyDI95pz_L56")</f>
        <v>https://lh5.googleusercontent.com/d/1N6Tv57aLlNUY-iYPHSizbyDI95pz_L56</v>
      </c>
      <c r="O564" s="14" t="str">
        <f>IFERROR(__xludf.DUMMYFUNCTION("""COMPUTED_VALUE"""),"https://drive.google.com/file/d/1sE3Vr2O3MxZFFhPqVQ5MR5fkbq5NhnED/view?usp=drivesdk")</f>
        <v>https://drive.google.com/file/d/1sE3Vr2O3MxZFFhPqVQ5MR5fkbq5NhnED/view?usp=drivesdk</v>
      </c>
    </row>
    <row r="565">
      <c r="A565" s="3">
        <f>IFERROR(__xludf.DUMMYFUNCTION("""COMPUTED_VALUE"""),2409.0)</f>
        <v>2409</v>
      </c>
      <c r="B565" s="11">
        <f>IFERROR(__xludf.DUMMYFUNCTION("""COMPUTED_VALUE"""),46170.578427465276)</f>
        <v>46170.57843</v>
      </c>
      <c r="C565" s="3" t="str">
        <f>IFERROR(__xludf.DUMMYFUNCTION("""COMPUTED_VALUE"""),"ชั้นปีที่ 1")</f>
        <v>ชั้นปีที่ 1</v>
      </c>
      <c r="D565" s="3" t="str">
        <f>IFERROR(__xludf.DUMMYFUNCTION("""COMPUTED_VALUE"""),"6803920")</f>
        <v>6803920</v>
      </c>
      <c r="E565" s="3" t="str">
        <f>IFERROR(__xludf.DUMMYFUNCTION("""COMPUTED_VALUE"""),"39")</f>
        <v>39</v>
      </c>
      <c r="F565" s="3" t="str">
        <f>IFERROR(__xludf.DUMMYFUNCTION("""COMPUTED_VALUE"""),"นพอ.พัทธ์ธีรา สมานมาก")</f>
        <v>นพอ.พัทธ์ธีรา สมานมาก</v>
      </c>
      <c r="G565" s="3" t="str">
        <f>IFERROR(__xludf.DUMMYFUNCTION("""COMPUTED_VALUE"""),"ช่วยเหลืองานภายใน วพอ.")</f>
        <v>ช่วยเหลืองานภายใน วพอ.</v>
      </c>
      <c r="H56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65" s="3" t="str">
        <f>IFERROR(__xludf.DUMMYFUNCTION("""COMPUTED_VALUE"""),"วพอ.พอ.")</f>
        <v>วพอ.พอ.</v>
      </c>
      <c r="J565" s="12">
        <f>IFERROR(__xludf.DUMMYFUNCTION("""COMPUTED_VALUE"""),46135.0)</f>
        <v>46135</v>
      </c>
      <c r="K565" s="3" t="str">
        <f>IFERROR(__xludf.DUMMYFUNCTION("""COMPUTED_VALUE"""),"1700 - 2100")</f>
        <v>1700 - 2100</v>
      </c>
      <c r="L565" s="3">
        <f>IFERROR(__xludf.DUMMYFUNCTION("""COMPUTED_VALUE"""),4.0)</f>
        <v>4</v>
      </c>
      <c r="M565" s="3" t="str">
        <f>IFERROR(__xludf.DUMMYFUNCTION("""COMPUTED_VALUE"""),"ร.อ.อนุชิต ทำจะดี")</f>
        <v>ร.อ.อนุชิต ทำจะดี</v>
      </c>
      <c r="N565" s="14" t="str">
        <f>IFERROR(__xludf.DUMMYFUNCTION("""COMPUTED_VALUE"""),"https://lh5.googleusercontent.com/d/1uWiMObObhNTmilHFISLFYshvwHkzoKVn")</f>
        <v>https://lh5.googleusercontent.com/d/1uWiMObObhNTmilHFISLFYshvwHkzoKVn</v>
      </c>
      <c r="O565" s="14" t="str">
        <f>IFERROR(__xludf.DUMMYFUNCTION("""COMPUTED_VALUE"""),"https://drive.google.com/file/d/1PQZTvwlp9zSC0dEL6rckNZbol21dxSSF/view?usp=drivesdk")</f>
        <v>https://drive.google.com/file/d/1PQZTvwlp9zSC0dEL6rckNZbol21dxSSF/view?usp=drivesdk</v>
      </c>
    </row>
    <row r="566">
      <c r="A566" s="3">
        <f>IFERROR(__xludf.DUMMYFUNCTION("""COMPUTED_VALUE"""),2410.0)</f>
        <v>2410</v>
      </c>
      <c r="B566" s="11">
        <f>IFERROR(__xludf.DUMMYFUNCTION("""COMPUTED_VALUE"""),46170.578960231476)</f>
        <v>46170.57896</v>
      </c>
      <c r="C566" s="3" t="str">
        <f>IFERROR(__xludf.DUMMYFUNCTION("""COMPUTED_VALUE"""),"ชั้นปีที่ 1")</f>
        <v>ชั้นปีที่ 1</v>
      </c>
      <c r="D566" s="3" t="str">
        <f>IFERROR(__xludf.DUMMYFUNCTION("""COMPUTED_VALUE"""),"6903938")</f>
        <v>6903938</v>
      </c>
      <c r="E566" s="3" t="str">
        <f>IFERROR(__xludf.DUMMYFUNCTION("""COMPUTED_VALUE"""),"57")</f>
        <v>57</v>
      </c>
      <c r="F566" s="3" t="str">
        <f>IFERROR(__xludf.DUMMYFUNCTION("""COMPUTED_VALUE"""),"นพอ.สุพิชชา เชื้อชาติ")</f>
        <v>นพอ.สุพิชชา เชื้อชาติ</v>
      </c>
      <c r="G5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66" s="3" t="str">
        <f>IFERROR(__xludf.DUMMYFUNCTION("""COMPUTED_VALUE"""),"งานวันเด็กแห่งชาติ 2569")</f>
        <v>งานวันเด็กแห่งชาติ 2569</v>
      </c>
      <c r="I566" s="3" t="str">
        <f>IFERROR(__xludf.DUMMYFUNCTION("""COMPUTED_VALUE"""),"กองบิน 6")</f>
        <v>กองบิน 6</v>
      </c>
      <c r="J566" s="12">
        <f>IFERROR(__xludf.DUMMYFUNCTION("""COMPUTED_VALUE"""),46032.0)</f>
        <v>46032</v>
      </c>
      <c r="K566" s="3" t="str">
        <f>IFERROR(__xludf.DUMMYFUNCTION("""COMPUTED_VALUE"""),"0600-1400")</f>
        <v>0600-1400</v>
      </c>
      <c r="L566" s="3">
        <f>IFERROR(__xludf.DUMMYFUNCTION("""COMPUTED_VALUE"""),8.0)</f>
        <v>8</v>
      </c>
      <c r="M56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66" s="14" t="str">
        <f>IFERROR(__xludf.DUMMYFUNCTION("""COMPUTED_VALUE"""),"https://lh5.googleusercontent.com/d/19ULgwfKjnScDvCp8Phs4iOfcu5W7XxaX")</f>
        <v>https://lh5.googleusercontent.com/d/19ULgwfKjnScDvCp8Phs4iOfcu5W7XxaX</v>
      </c>
      <c r="O566" s="14" t="str">
        <f>IFERROR(__xludf.DUMMYFUNCTION("""COMPUTED_VALUE"""),"https://drive.google.com/file/d/1lsV0Pjd0be3ABWgOEwH0Bu5gpY8SItYX/view?usp=drivesdk")</f>
        <v>https://drive.google.com/file/d/1lsV0Pjd0be3ABWgOEwH0Bu5gpY8SItYX/view?usp=drivesdk</v>
      </c>
    </row>
    <row r="567">
      <c r="A567" s="3">
        <f>IFERROR(__xludf.DUMMYFUNCTION("""COMPUTED_VALUE"""),2411.0)</f>
        <v>2411</v>
      </c>
      <c r="B567" s="11">
        <f>IFERROR(__xludf.DUMMYFUNCTION("""COMPUTED_VALUE"""),46174.38976633102)</f>
        <v>46174.38977</v>
      </c>
      <c r="C567" s="3" t="str">
        <f>IFERROR(__xludf.DUMMYFUNCTION("""COMPUTED_VALUE"""),"ชั้นปีที่ 1")</f>
        <v>ชั้นปีที่ 1</v>
      </c>
      <c r="D567" s="3" t="str">
        <f>IFERROR(__xludf.DUMMYFUNCTION("""COMPUTED_VALUE"""),"6803899")</f>
        <v>6803899</v>
      </c>
      <c r="E567" s="3" t="str">
        <f>IFERROR(__xludf.DUMMYFUNCTION("""COMPUTED_VALUE"""),"18")</f>
        <v>18</v>
      </c>
      <c r="F567" s="3" t="str">
        <f>IFERROR(__xludf.DUMMYFUNCTION("""COMPUTED_VALUE"""),"นพอ.ณัฐณิชา มีปา")</f>
        <v>นพอ.ณัฐณิชา มีปา</v>
      </c>
      <c r="G567" s="3" t="str">
        <f>IFERROR(__xludf.DUMMYFUNCTION("""COMPUTED_VALUE"""),"ช่วยเหลืองานภายใน วพอ.")</f>
        <v>ช่วยเหลืองานภายใน วพอ.</v>
      </c>
      <c r="H567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67" s="3" t="str">
        <f>IFERROR(__xludf.DUMMYFUNCTION("""COMPUTED_VALUE"""),"วพอ.พอ.")</f>
        <v>วพอ.พอ.</v>
      </c>
      <c r="J567" s="12">
        <f>IFERROR(__xludf.DUMMYFUNCTION("""COMPUTED_VALUE"""),46164.0)</f>
        <v>46164</v>
      </c>
      <c r="K567" s="3" t="str">
        <f>IFERROR(__xludf.DUMMYFUNCTION("""COMPUTED_VALUE"""),"น.อ.หญิง นิตยา สุขแสน")</f>
        <v>น.อ.หญิง นิตยา สุขแสน</v>
      </c>
      <c r="L567" s="3"/>
      <c r="M567" s="3" t="str">
        <f>IFERROR(__xludf.DUMMYFUNCTION("""COMPUTED_VALUE"""),"น.อ.หญิง นิตยา สุขแสน")</f>
        <v>น.อ.หญิง นิตยา สุขแสน</v>
      </c>
      <c r="N567" s="14" t="str">
        <f>IFERROR(__xludf.DUMMYFUNCTION("""COMPUTED_VALUE"""),"https://lh5.googleusercontent.com/d/1P4NG2mQH4CJ2nWOX8T2xeaEmbqT91XS-")</f>
        <v>https://lh5.googleusercontent.com/d/1P4NG2mQH4CJ2nWOX8T2xeaEmbqT91XS-</v>
      </c>
      <c r="O567" s="14" t="str">
        <f>IFERROR(__xludf.DUMMYFUNCTION("""COMPUTED_VALUE"""),"https://drive.google.com/file/d/1idaHHxI6kjVPvh-wQNXW09Vvg3Fm3A0m/view?usp=drivesdk")</f>
        <v>https://drive.google.com/file/d/1idaHHxI6kjVPvh-wQNXW09Vvg3Fm3A0m/view?usp=drivesdk</v>
      </c>
    </row>
    <row r="568">
      <c r="A568" s="3">
        <f>IFERROR(__xludf.DUMMYFUNCTION("""COMPUTED_VALUE"""),2412.0)</f>
        <v>2412</v>
      </c>
      <c r="B568" s="11">
        <f>IFERROR(__xludf.DUMMYFUNCTION("""COMPUTED_VALUE"""),46170.57996581019)</f>
        <v>46170.57997</v>
      </c>
      <c r="C568" s="3" t="str">
        <f>IFERROR(__xludf.DUMMYFUNCTION("""COMPUTED_VALUE"""),"ชั้นปีที่ 1")</f>
        <v>ชั้นปีที่ 1</v>
      </c>
      <c r="D568" s="3" t="str">
        <f>IFERROR(__xludf.DUMMYFUNCTION("""COMPUTED_VALUE"""),"6803906")</f>
        <v>6803906</v>
      </c>
      <c r="E568" s="3" t="str">
        <f>IFERROR(__xludf.DUMMYFUNCTION("""COMPUTED_VALUE"""),"25")</f>
        <v>25</v>
      </c>
      <c r="F568" s="3" t="str">
        <f>IFERROR(__xludf.DUMMYFUNCTION("""COMPUTED_VALUE"""),"นพอ.ธัญวรัตน์ ยงคะวิสัย")</f>
        <v>นพอ.ธัญวรัตน์ ยงคะวิสัย</v>
      </c>
      <c r="G568" s="3" t="str">
        <f>IFERROR(__xludf.DUMMYFUNCTION("""COMPUTED_VALUE"""),"ช่วยเหลืองานภายใน วพอ.")</f>
        <v>ช่วยเหลืองานภายใน วพอ.</v>
      </c>
      <c r="H568" s="3" t="str">
        <f>IFERROR(__xludf.DUMMYFUNCTION("""COMPUTED_VALUE"""),"เล่นดุริยางค์")</f>
        <v>เล่นดุริยางค์</v>
      </c>
      <c r="I568" s="3" t="str">
        <f>IFERROR(__xludf.DUMMYFUNCTION("""COMPUTED_VALUE"""),"วพอ.พอ.")</f>
        <v>วพอ.พอ.</v>
      </c>
      <c r="J568" s="12">
        <f>IFERROR(__xludf.DUMMYFUNCTION("""COMPUTED_VALUE"""),46154.0)</f>
        <v>46154</v>
      </c>
      <c r="K568" s="3" t="str">
        <f>IFERROR(__xludf.DUMMYFUNCTION("""COMPUTED_VALUE"""),"0700-0800")</f>
        <v>0700-0800</v>
      </c>
      <c r="L568" s="3">
        <f>IFERROR(__xludf.DUMMYFUNCTION("""COMPUTED_VALUE"""),1.0)</f>
        <v>1</v>
      </c>
      <c r="M568" s="3" t="str">
        <f>IFERROR(__xludf.DUMMYFUNCTION("""COMPUTED_VALUE"""),"ร.อ.อนุชิต ทำจะดี")</f>
        <v>ร.อ.อนุชิต ทำจะดี</v>
      </c>
      <c r="N568" s="14" t="str">
        <f>IFERROR(__xludf.DUMMYFUNCTION("""COMPUTED_VALUE"""),"https://lh5.googleusercontent.com/d/16Pvd-qmX353-DZVFIhBBN-kMJvoeTVd8")</f>
        <v>https://lh5.googleusercontent.com/d/16Pvd-qmX353-DZVFIhBBN-kMJvoeTVd8</v>
      </c>
      <c r="O568" s="14" t="str">
        <f>IFERROR(__xludf.DUMMYFUNCTION("""COMPUTED_VALUE"""),"https://drive.google.com/file/d/1x4IrJng-M0nTKi8xOQxCVmBD_7gcW_e9/view?usp=drivesdk")</f>
        <v>https://drive.google.com/file/d/1x4IrJng-M0nTKi8xOQxCVmBD_7gcW_e9/view?usp=drivesdk</v>
      </c>
    </row>
    <row r="569">
      <c r="A569" s="3">
        <f>IFERROR(__xludf.DUMMYFUNCTION("""COMPUTED_VALUE"""),2413.0)</f>
        <v>2413</v>
      </c>
      <c r="B569" s="11">
        <f>IFERROR(__xludf.DUMMYFUNCTION("""COMPUTED_VALUE"""),46177.9209793287)</f>
        <v>46177.92098</v>
      </c>
      <c r="C569" s="3" t="str">
        <f>IFERROR(__xludf.DUMMYFUNCTION("""COMPUTED_VALUE"""),"ชั้นปีที่ 1")</f>
        <v>ชั้นปีที่ 1</v>
      </c>
      <c r="D569" s="3" t="str">
        <f>IFERROR(__xludf.DUMMYFUNCTION("""COMPUTED_VALUE"""),"6803896")</f>
        <v>6803896</v>
      </c>
      <c r="E569" s="3" t="str">
        <f>IFERROR(__xludf.DUMMYFUNCTION("""COMPUTED_VALUE"""),"15")</f>
        <v>15</v>
      </c>
      <c r="F569" s="3" t="str">
        <f>IFERROR(__xludf.DUMMYFUNCTION("""COMPUTED_VALUE"""),"นพอ.ณัชปวีย์ เยาวภา")</f>
        <v>นพอ.ณัชปวีย์ เยาวภา</v>
      </c>
      <c r="G569" s="3" t="str">
        <f>IFERROR(__xludf.DUMMYFUNCTION("""COMPUTED_VALUE"""),"ช่วยเหลืองานภายใน วพอ.")</f>
        <v>ช่วยเหลืองานภายใน วพอ.</v>
      </c>
      <c r="H569" s="3" t="str">
        <f>IFERROR(__xludf.DUMMYFUNCTION("""COMPUTED_VALUE"""),"เล่นดุริยางค์")</f>
        <v>เล่นดุริยางค์</v>
      </c>
      <c r="I569" s="3" t="str">
        <f>IFERROR(__xludf.DUMMYFUNCTION("""COMPUTED_VALUE"""),"วพอ.พอ.")</f>
        <v>วพอ.พอ.</v>
      </c>
      <c r="J569" s="12">
        <f>IFERROR(__xludf.DUMMYFUNCTION("""COMPUTED_VALUE"""),46079.0)</f>
        <v>46079</v>
      </c>
      <c r="K569" s="3" t="str">
        <f>IFERROR(__xludf.DUMMYFUNCTION("""COMPUTED_VALUE"""),"ร.อ.อนุชิต ทำจะดี")</f>
        <v>ร.อ.อนุชิต ทำจะดี</v>
      </c>
      <c r="L569" s="3"/>
      <c r="M569" s="3" t="str">
        <f>IFERROR(__xludf.DUMMYFUNCTION("""COMPUTED_VALUE"""),"ร.อ.อนุชิต ทำจะดี")</f>
        <v>ร.อ.อนุชิต ทำจะดี</v>
      </c>
      <c r="N569" s="14" t="str">
        <f>IFERROR(__xludf.DUMMYFUNCTION("""COMPUTED_VALUE"""),"https://lh5.googleusercontent.com/d/1qM8CPbTRcVKOTE78KD7Kr5LBlfqJ2kRM")</f>
        <v>https://lh5.googleusercontent.com/d/1qM8CPbTRcVKOTE78KD7Kr5LBlfqJ2kRM</v>
      </c>
      <c r="O569" s="14" t="str">
        <f>IFERROR(__xludf.DUMMYFUNCTION("""COMPUTED_VALUE"""),"https://drive.google.com/file/d/1DV2aSXkeMdihYN5iQ-pqsFvaxUH39gzw/view?usp=drivesdk")</f>
        <v>https://drive.google.com/file/d/1DV2aSXkeMdihYN5iQ-pqsFvaxUH39gzw/view?usp=drivesdk</v>
      </c>
    </row>
    <row r="570">
      <c r="A570" s="3">
        <f>IFERROR(__xludf.DUMMYFUNCTION("""COMPUTED_VALUE"""),2414.0)</f>
        <v>2414</v>
      </c>
      <c r="B570" s="11">
        <f>IFERROR(__xludf.DUMMYFUNCTION("""COMPUTED_VALUE"""),46170.580514652785)</f>
        <v>46170.58051</v>
      </c>
      <c r="C570" s="3" t="str">
        <f>IFERROR(__xludf.DUMMYFUNCTION("""COMPUTED_VALUE"""),"ชั้นปีที่ 1")</f>
        <v>ชั้นปีที่ 1</v>
      </c>
      <c r="D570" s="3" t="str">
        <f>IFERROR(__xludf.DUMMYFUNCTION("""COMPUTED_VALUE"""),"6803920")</f>
        <v>6803920</v>
      </c>
      <c r="E570" s="3" t="str">
        <f>IFERROR(__xludf.DUMMYFUNCTION("""COMPUTED_VALUE"""),"39")</f>
        <v>39</v>
      </c>
      <c r="F570" s="3" t="str">
        <f>IFERROR(__xludf.DUMMYFUNCTION("""COMPUTED_VALUE"""),"นพอ.พัทธ์ธีรา สมานมาก")</f>
        <v>นพอ.พัทธ์ธีรา สมานมาก</v>
      </c>
      <c r="G570" s="3" t="str">
        <f>IFERROR(__xludf.DUMMYFUNCTION("""COMPUTED_VALUE"""),"ช่วยเหลืองานภายใน วพอ.")</f>
        <v>ช่วยเหลืองานภายใน วพอ.</v>
      </c>
      <c r="H57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0" s="3" t="str">
        <f>IFERROR(__xludf.DUMMYFUNCTION("""COMPUTED_VALUE"""),"วพอ.พอ.")</f>
        <v>วพอ.พอ.</v>
      </c>
      <c r="J570" s="12">
        <f>IFERROR(__xludf.DUMMYFUNCTION("""COMPUTED_VALUE"""),46138.0)</f>
        <v>46138</v>
      </c>
      <c r="K570" s="3" t="str">
        <f>IFERROR(__xludf.DUMMYFUNCTION("""COMPUTED_VALUE"""),"1500 - 2100")</f>
        <v>1500 - 2100</v>
      </c>
      <c r="L570" s="3">
        <f>IFERROR(__xludf.DUMMYFUNCTION("""COMPUTED_VALUE"""),6.0)</f>
        <v>6</v>
      </c>
      <c r="M570" s="3" t="str">
        <f>IFERROR(__xludf.DUMMYFUNCTION("""COMPUTED_VALUE"""),"ร.อ.อนุชิต ทำจะดี")</f>
        <v>ร.อ.อนุชิต ทำจะดี</v>
      </c>
      <c r="N570" s="14" t="str">
        <f>IFERROR(__xludf.DUMMYFUNCTION("""COMPUTED_VALUE"""),"https://lh5.googleusercontent.com/d/1wRzqhgH0Zvl9UryE1YRDR0hDHEvWZzFX")</f>
        <v>https://lh5.googleusercontent.com/d/1wRzqhgH0Zvl9UryE1YRDR0hDHEvWZzFX</v>
      </c>
      <c r="O570" s="14" t="str">
        <f>IFERROR(__xludf.DUMMYFUNCTION("""COMPUTED_VALUE"""),"https://drive.google.com/file/d/1m7Zip2iqzKohcp8upZfgVP3Ml1_A0DsW/view?usp=drivesdk")</f>
        <v>https://drive.google.com/file/d/1m7Zip2iqzKohcp8upZfgVP3Ml1_A0DsW/view?usp=drivesdk</v>
      </c>
    </row>
    <row r="571">
      <c r="A571" s="3">
        <f>IFERROR(__xludf.DUMMYFUNCTION("""COMPUTED_VALUE"""),2415.0)</f>
        <v>2415</v>
      </c>
      <c r="B571" s="11">
        <f>IFERROR(__xludf.DUMMYFUNCTION("""COMPUTED_VALUE"""),46170.58095148149)</f>
        <v>46170.58095</v>
      </c>
      <c r="C571" s="3" t="str">
        <f>IFERROR(__xludf.DUMMYFUNCTION("""COMPUTED_VALUE"""),"ชั้นปีที่ 1")</f>
        <v>ชั้นปีที่ 1</v>
      </c>
      <c r="D571" s="3" t="str">
        <f>IFERROR(__xludf.DUMMYFUNCTION("""COMPUTED_VALUE"""),"6803906")</f>
        <v>6803906</v>
      </c>
      <c r="E571" s="3" t="str">
        <f>IFERROR(__xludf.DUMMYFUNCTION("""COMPUTED_VALUE"""),"25")</f>
        <v>25</v>
      </c>
      <c r="F571" s="3" t="str">
        <f>IFERROR(__xludf.DUMMYFUNCTION("""COMPUTED_VALUE"""),"นพอ.ธัญวรัตน์ ยงคะวิสัย")</f>
        <v>นพอ.ธัญวรัตน์ ยงคะวิสัย</v>
      </c>
      <c r="G571" s="3" t="str">
        <f>IFERROR(__xludf.DUMMYFUNCTION("""COMPUTED_VALUE"""),"ช่วยเหลืองานภายใน วพอ.")</f>
        <v>ช่วยเหลืองานภายใน วพอ.</v>
      </c>
      <c r="H571" s="3" t="str">
        <f>IFERROR(__xludf.DUMMYFUNCTION("""COMPUTED_VALUE"""),"เล่นดุริยางค์")</f>
        <v>เล่นดุริยางค์</v>
      </c>
      <c r="I571" s="3" t="str">
        <f>IFERROR(__xludf.DUMMYFUNCTION("""COMPUTED_VALUE"""),"วพอ.พอ")</f>
        <v>วพอ.พอ</v>
      </c>
      <c r="J571" s="12">
        <f>IFERROR(__xludf.DUMMYFUNCTION("""COMPUTED_VALUE"""),46148.0)</f>
        <v>46148</v>
      </c>
      <c r="K571" s="3" t="str">
        <f>IFERROR(__xludf.DUMMYFUNCTION("""COMPUTED_VALUE"""),"0700-0800")</f>
        <v>0700-0800</v>
      </c>
      <c r="L571" s="3">
        <f>IFERROR(__xludf.DUMMYFUNCTION("""COMPUTED_VALUE"""),1.0)</f>
        <v>1</v>
      </c>
      <c r="M571" s="3" t="str">
        <f>IFERROR(__xludf.DUMMYFUNCTION("""COMPUTED_VALUE"""),"ร.อ.อนุชิต ทำจะดี")</f>
        <v>ร.อ.อนุชิต ทำจะดี</v>
      </c>
      <c r="N571" s="14" t="str">
        <f>IFERROR(__xludf.DUMMYFUNCTION("""COMPUTED_VALUE"""),"https://lh5.googleusercontent.com/d/1vo54lsnYlOmQcmifK8ts6frVASSOyL9Q")</f>
        <v>https://lh5.googleusercontent.com/d/1vo54lsnYlOmQcmifK8ts6frVASSOyL9Q</v>
      </c>
      <c r="O571" s="14" t="str">
        <f>IFERROR(__xludf.DUMMYFUNCTION("""COMPUTED_VALUE"""),"https://drive.google.com/file/d/1aOAVoO2RbDH-mngk6uyY70Z5-mXgrUX0/view?usp=drivesdk")</f>
        <v>https://drive.google.com/file/d/1aOAVoO2RbDH-mngk6uyY70Z5-mXgrUX0/view?usp=drivesdk</v>
      </c>
    </row>
    <row r="572">
      <c r="A572" s="3">
        <f>IFERROR(__xludf.DUMMYFUNCTION("""COMPUTED_VALUE"""),2416.0)</f>
        <v>2416</v>
      </c>
      <c r="B572" s="11">
        <f>IFERROR(__xludf.DUMMYFUNCTION("""COMPUTED_VALUE"""),46170.58106376157)</f>
        <v>46170.58106</v>
      </c>
      <c r="C572" s="3" t="str">
        <f>IFERROR(__xludf.DUMMYFUNCTION("""COMPUTED_VALUE"""),"ชั้นปีที่ 1")</f>
        <v>ชั้นปีที่ 1</v>
      </c>
      <c r="D572" s="3" t="str">
        <f>IFERROR(__xludf.DUMMYFUNCTION("""COMPUTED_VALUE"""),"6803910")</f>
        <v>6803910</v>
      </c>
      <c r="E572" s="3" t="str">
        <f>IFERROR(__xludf.DUMMYFUNCTION("""COMPUTED_VALUE"""),"29")</f>
        <v>29</v>
      </c>
      <c r="F572" s="3" t="str">
        <f>IFERROR(__xludf.DUMMYFUNCTION("""COMPUTED_VALUE"""),"นพอ.นวพร โอรัตนสถาพร")</f>
        <v>นพอ.นวพร โอรัตนสถาพร</v>
      </c>
      <c r="G572" s="3" t="str">
        <f>IFERROR(__xludf.DUMMYFUNCTION("""COMPUTED_VALUE"""),"ช่วยเหลืองานภายใน วพอ.")</f>
        <v>ช่วยเหลืองานภายใน วพอ.</v>
      </c>
      <c r="H57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2" s="3" t="str">
        <f>IFERROR(__xludf.DUMMYFUNCTION("""COMPUTED_VALUE"""),"วพอ.พอ.")</f>
        <v>วพอ.พอ.</v>
      </c>
      <c r="J572" s="12">
        <f>IFERROR(__xludf.DUMMYFUNCTION("""COMPUTED_VALUE"""),46133.0)</f>
        <v>46133</v>
      </c>
      <c r="K572" s="3" t="str">
        <f>IFERROR(__xludf.DUMMYFUNCTION("""COMPUTED_VALUE"""),"1700-2100")</f>
        <v>1700-2100</v>
      </c>
      <c r="L572" s="3">
        <f>IFERROR(__xludf.DUMMYFUNCTION("""COMPUTED_VALUE"""),4.0)</f>
        <v>4</v>
      </c>
      <c r="M572" s="3" t="str">
        <f>IFERROR(__xludf.DUMMYFUNCTION("""COMPUTED_VALUE"""),"ร.อ.อนุชิต ทำจะดี")</f>
        <v>ร.อ.อนุชิต ทำจะดี</v>
      </c>
      <c r="N572" s="14" t="str">
        <f>IFERROR(__xludf.DUMMYFUNCTION("""COMPUTED_VALUE"""),"https://lh5.googleusercontent.com/d/1b0QL97yg168bgftohS4erMvp71NS82Rz")</f>
        <v>https://lh5.googleusercontent.com/d/1b0QL97yg168bgftohS4erMvp71NS82Rz</v>
      </c>
      <c r="O572" s="14" t="str">
        <f>IFERROR(__xludf.DUMMYFUNCTION("""COMPUTED_VALUE"""),"https://drive.google.com/file/d/1jhWA9Sl6WvgsnRuEwU243DT-Agp5sZnh/view?usp=drivesdk")</f>
        <v>https://drive.google.com/file/d/1jhWA9Sl6WvgsnRuEwU243DT-Agp5sZnh/view?usp=drivesdk</v>
      </c>
    </row>
    <row r="573">
      <c r="A573" s="3">
        <f>IFERROR(__xludf.DUMMYFUNCTION("""COMPUTED_VALUE"""),2417.0)</f>
        <v>2417</v>
      </c>
      <c r="B573" s="11">
        <f>IFERROR(__xludf.DUMMYFUNCTION("""COMPUTED_VALUE"""),46177.92208059027)</f>
        <v>46177.92208</v>
      </c>
      <c r="C573" s="3" t="str">
        <f>IFERROR(__xludf.DUMMYFUNCTION("""COMPUTED_VALUE"""),"ชั้นปีที่ 1")</f>
        <v>ชั้นปีที่ 1</v>
      </c>
      <c r="D573" s="3" t="str">
        <f>IFERROR(__xludf.DUMMYFUNCTION("""COMPUTED_VALUE"""),"6803896")</f>
        <v>6803896</v>
      </c>
      <c r="E573" s="3" t="str">
        <f>IFERROR(__xludf.DUMMYFUNCTION("""COMPUTED_VALUE"""),"15")</f>
        <v>15</v>
      </c>
      <c r="F573" s="3" t="str">
        <f>IFERROR(__xludf.DUMMYFUNCTION("""COMPUTED_VALUE"""),"นพอ.ณัชปวีย์ เยาวภา")</f>
        <v>นพอ.ณัชปวีย์ เยาวภา</v>
      </c>
      <c r="G573" s="3" t="str">
        <f>IFERROR(__xludf.DUMMYFUNCTION("""COMPUTED_VALUE"""),"ช่วยเหลืองานภายใน วพอ.")</f>
        <v>ช่วยเหลืองานภายใน วพอ.</v>
      </c>
      <c r="H573" s="3" t="str">
        <f>IFERROR(__xludf.DUMMYFUNCTION("""COMPUTED_VALUE"""),"เล่นดุริยางค์")</f>
        <v>เล่นดุริยางค์</v>
      </c>
      <c r="I573" s="3" t="str">
        <f>IFERROR(__xludf.DUMMYFUNCTION("""COMPUTED_VALUE"""),"วพอ.พอ.")</f>
        <v>วพอ.พอ.</v>
      </c>
      <c r="J573" s="12">
        <f>IFERROR(__xludf.DUMMYFUNCTION("""COMPUTED_VALUE"""),46106.0)</f>
        <v>46106</v>
      </c>
      <c r="K573" s="3" t="str">
        <f>IFERROR(__xludf.DUMMYFUNCTION("""COMPUTED_VALUE"""),"ร.อ.อนุชิต ทำจะดี")</f>
        <v>ร.อ.อนุชิต ทำจะดี</v>
      </c>
      <c r="L573" s="3"/>
      <c r="M573" s="3" t="str">
        <f>IFERROR(__xludf.DUMMYFUNCTION("""COMPUTED_VALUE"""),"ร.อ.อนุชิต ทำจะดี")</f>
        <v>ร.อ.อนุชิต ทำจะดี</v>
      </c>
      <c r="N573" s="14" t="str">
        <f>IFERROR(__xludf.DUMMYFUNCTION("""COMPUTED_VALUE"""),"https://lh5.googleusercontent.com/d/1m5igMs2hc6iIqXYLeGpCpP5uabc_9qLN")</f>
        <v>https://lh5.googleusercontent.com/d/1m5igMs2hc6iIqXYLeGpCpP5uabc_9qLN</v>
      </c>
      <c r="O573" s="14" t="str">
        <f>IFERROR(__xludf.DUMMYFUNCTION("""COMPUTED_VALUE"""),"https://drive.google.com/file/d/1fZ97MzQXRyqeCYNLV1cB6577t4SSEruE/view?usp=drivesdk")</f>
        <v>https://drive.google.com/file/d/1fZ97MzQXRyqeCYNLV1cB6577t4SSEruE/view?usp=drivesdk</v>
      </c>
    </row>
    <row r="574">
      <c r="A574" s="3">
        <f>IFERROR(__xludf.DUMMYFUNCTION("""COMPUTED_VALUE"""),2418.0)</f>
        <v>2418</v>
      </c>
      <c r="B574" s="11">
        <f>IFERROR(__xludf.DUMMYFUNCTION("""COMPUTED_VALUE"""),46170.581704930555)</f>
        <v>46170.5817</v>
      </c>
      <c r="C574" s="3" t="str">
        <f>IFERROR(__xludf.DUMMYFUNCTION("""COMPUTED_VALUE"""),"ชั้นปีที่ 1")</f>
        <v>ชั้นปีที่ 1</v>
      </c>
      <c r="D574" s="3" t="str">
        <f>IFERROR(__xludf.DUMMYFUNCTION("""COMPUTED_VALUE"""),"6803884")</f>
        <v>6803884</v>
      </c>
      <c r="E574" s="3" t="str">
        <f>IFERROR(__xludf.DUMMYFUNCTION("""COMPUTED_VALUE"""),"3")</f>
        <v>3</v>
      </c>
      <c r="F574" s="3" t="str">
        <f>IFERROR(__xludf.DUMMYFUNCTION("""COMPUTED_VALUE"""),"นพอ.กรองทอง กันฟัก")</f>
        <v>นพอ.กรองทอง กันฟัก</v>
      </c>
      <c r="G574" s="3" t="str">
        <f>IFERROR(__xludf.DUMMYFUNCTION("""COMPUTED_VALUE"""),"งานฟรีทั่วไป")</f>
        <v>งานฟรีทั่วไป</v>
      </c>
      <c r="H574" s="3" t="str">
        <f>IFERROR(__xludf.DUMMYFUNCTION("""COMPUTED_VALUE"""),"เก็บขวดของเก่าภายในบ้าน")</f>
        <v>เก็บขวดของเก่าภายในบ้าน</v>
      </c>
      <c r="I574" s="3" t="str">
        <f>IFERROR(__xludf.DUMMYFUNCTION("""COMPUTED_VALUE"""),"บ้าน")</f>
        <v>บ้าน</v>
      </c>
      <c r="J574" s="12">
        <f>IFERROR(__xludf.DUMMYFUNCTION("""COMPUTED_VALUE"""),46123.0)</f>
        <v>46123</v>
      </c>
      <c r="K574" s="3" t="str">
        <f>IFERROR(__xludf.DUMMYFUNCTION("""COMPUTED_VALUE"""),"1500-1700")</f>
        <v>1500-1700</v>
      </c>
      <c r="L574" s="3">
        <f>IFERROR(__xludf.DUMMYFUNCTION("""COMPUTED_VALUE"""),2.0)</f>
        <v>2</v>
      </c>
      <c r="M574" s="3" t="str">
        <f>IFERROR(__xludf.DUMMYFUNCTION("""COMPUTED_VALUE"""),"นางดาวรุ่ง กันฟัก")</f>
        <v>นางดาวรุ่ง กันฟัก</v>
      </c>
      <c r="N574" s="14" t="str">
        <f>IFERROR(__xludf.DUMMYFUNCTION("""COMPUTED_VALUE"""),"https://lh5.googleusercontent.com/d/1VEPoFxHGcrR3QQupKhTO-e9TINW6WXRC")</f>
        <v>https://lh5.googleusercontent.com/d/1VEPoFxHGcrR3QQupKhTO-e9TINW6WXRC</v>
      </c>
      <c r="O574" s="14" t="str">
        <f>IFERROR(__xludf.DUMMYFUNCTION("""COMPUTED_VALUE"""),"https://drive.google.com/file/d/15-nHOhRoJnTF8F50CFWVGyLY95F1Bo3c/view?usp=drivesdk")</f>
        <v>https://drive.google.com/file/d/15-nHOhRoJnTF8F50CFWVGyLY95F1Bo3c/view?usp=drivesdk</v>
      </c>
    </row>
    <row r="575">
      <c r="A575" s="3">
        <f>IFERROR(__xludf.DUMMYFUNCTION("""COMPUTED_VALUE"""),2419.0)</f>
        <v>2419</v>
      </c>
      <c r="B575" s="11">
        <f>IFERROR(__xludf.DUMMYFUNCTION("""COMPUTED_VALUE"""),46170.58196636574)</f>
        <v>46170.58197</v>
      </c>
      <c r="C575" s="3" t="str">
        <f>IFERROR(__xludf.DUMMYFUNCTION("""COMPUTED_VALUE"""),"ชั้นปีที่ 1")</f>
        <v>ชั้นปีที่ 1</v>
      </c>
      <c r="D575" s="3" t="str">
        <f>IFERROR(__xludf.DUMMYFUNCTION("""COMPUTED_VALUE"""),"6803906")</f>
        <v>6803906</v>
      </c>
      <c r="E575" s="3" t="str">
        <f>IFERROR(__xludf.DUMMYFUNCTION("""COMPUTED_VALUE"""),"25")</f>
        <v>25</v>
      </c>
      <c r="F575" s="3" t="str">
        <f>IFERROR(__xludf.DUMMYFUNCTION("""COMPUTED_VALUE"""),"นพอ.ธัญวรัตน์ ยงคะวิสัย")</f>
        <v>นพอ.ธัญวรัตน์ ยงคะวิสัย</v>
      </c>
      <c r="G575" s="3" t="str">
        <f>IFERROR(__xludf.DUMMYFUNCTION("""COMPUTED_VALUE"""),"ช่วยเหลืองานภายใน วพอ.")</f>
        <v>ช่วยเหลืองานภายใน วพอ.</v>
      </c>
      <c r="H575" s="3" t="str">
        <f>IFERROR(__xludf.DUMMYFUNCTION("""COMPUTED_VALUE"""),"เล่นดุริยางค์")</f>
        <v>เล่นดุริยางค์</v>
      </c>
      <c r="I575" s="3" t="str">
        <f>IFERROR(__xludf.DUMMYFUNCTION("""COMPUTED_VALUE"""),"วพอ.พอ.")</f>
        <v>วพอ.พอ.</v>
      </c>
      <c r="J575" s="12">
        <f>IFERROR(__xludf.DUMMYFUNCTION("""COMPUTED_VALUE"""),46157.0)</f>
        <v>46157</v>
      </c>
      <c r="K575" s="3" t="str">
        <f>IFERROR(__xludf.DUMMYFUNCTION("""COMPUTED_VALUE"""),"0700-0800")</f>
        <v>0700-0800</v>
      </c>
      <c r="L575" s="3">
        <f>IFERROR(__xludf.DUMMYFUNCTION("""COMPUTED_VALUE"""),1.0)</f>
        <v>1</v>
      </c>
      <c r="M575" s="3" t="str">
        <f>IFERROR(__xludf.DUMMYFUNCTION("""COMPUTED_VALUE"""),"ร.อ.อนุชิต ทำจะดี")</f>
        <v>ร.อ.อนุชิต ทำจะดี</v>
      </c>
      <c r="N575" s="14" t="str">
        <f>IFERROR(__xludf.DUMMYFUNCTION("""COMPUTED_VALUE"""),"https://lh5.googleusercontent.com/d/1LwejdbacH_vlnYCUms1nI1WVty4VhCXU")</f>
        <v>https://lh5.googleusercontent.com/d/1LwejdbacH_vlnYCUms1nI1WVty4VhCXU</v>
      </c>
      <c r="O575" s="14" t="str">
        <f>IFERROR(__xludf.DUMMYFUNCTION("""COMPUTED_VALUE"""),"https://drive.google.com/file/d/1mz8EKZin4m3DbioY-WLrwUPAe3gd1DQw/view?usp=drivesdk")</f>
        <v>https://drive.google.com/file/d/1mz8EKZin4m3DbioY-WLrwUPAe3gd1DQw/view?usp=drivesdk</v>
      </c>
    </row>
    <row r="576">
      <c r="A576" s="3">
        <f>IFERROR(__xludf.DUMMYFUNCTION("""COMPUTED_VALUE"""),2420.0)</f>
        <v>2420</v>
      </c>
      <c r="B576" s="11">
        <f>IFERROR(__xludf.DUMMYFUNCTION("""COMPUTED_VALUE"""),46170.58282689815)</f>
        <v>46170.58283</v>
      </c>
      <c r="C576" s="3" t="str">
        <f>IFERROR(__xludf.DUMMYFUNCTION("""COMPUTED_VALUE"""),"ชั้นปีที่ 1")</f>
        <v>ชั้นปีที่ 1</v>
      </c>
      <c r="D576" s="3" t="str">
        <f>IFERROR(__xludf.DUMMYFUNCTION("""COMPUTED_VALUE"""),"6803920")</f>
        <v>6803920</v>
      </c>
      <c r="E576" s="3" t="str">
        <f>IFERROR(__xludf.DUMMYFUNCTION("""COMPUTED_VALUE"""),"39")</f>
        <v>39</v>
      </c>
      <c r="F576" s="3" t="str">
        <f>IFERROR(__xludf.DUMMYFUNCTION("""COMPUTED_VALUE"""),"นพอ.พัทธ์ธีรา สมานมาก")</f>
        <v>นพอ.พัทธ์ธีรา สมานมาก</v>
      </c>
      <c r="G576" s="3" t="str">
        <f>IFERROR(__xludf.DUMMYFUNCTION("""COMPUTED_VALUE"""),"ช่วยเหลืองานภายใน วพอ.")</f>
        <v>ช่วยเหลืองานภายใน วพอ.</v>
      </c>
      <c r="H57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76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576" s="12">
        <f>IFERROR(__xludf.DUMMYFUNCTION("""COMPUTED_VALUE"""),46139.0)</f>
        <v>46139</v>
      </c>
      <c r="K576" s="3" t="str">
        <f>IFERROR(__xludf.DUMMYFUNCTION("""COMPUTED_VALUE"""),"1700 - 2100")</f>
        <v>1700 - 2100</v>
      </c>
      <c r="L576" s="3">
        <f>IFERROR(__xludf.DUMMYFUNCTION("""COMPUTED_VALUE"""),4.0)</f>
        <v>4</v>
      </c>
      <c r="M576" s="3" t="str">
        <f>IFERROR(__xludf.DUMMYFUNCTION("""COMPUTED_VALUE"""),"ร.อ.อนุชิต ทำจะดี")</f>
        <v>ร.อ.อนุชิต ทำจะดี</v>
      </c>
      <c r="N576" s="14" t="str">
        <f>IFERROR(__xludf.DUMMYFUNCTION("""COMPUTED_VALUE"""),"https://lh5.googleusercontent.com/d/1iAwCSwwT1_iYroowa97qP6AKAV97pYmO")</f>
        <v>https://lh5.googleusercontent.com/d/1iAwCSwwT1_iYroowa97qP6AKAV97pYmO</v>
      </c>
      <c r="O576" s="14" t="str">
        <f>IFERROR(__xludf.DUMMYFUNCTION("""COMPUTED_VALUE"""),"https://drive.google.com/file/d/1aankexZaXeFX_6q9u7x7NQD5MGM5boIv/view?usp=drivesdk")</f>
        <v>https://drive.google.com/file/d/1aankexZaXeFX_6q9u7x7NQD5MGM5boIv/view?usp=drivesdk</v>
      </c>
    </row>
    <row r="577">
      <c r="A577" s="3">
        <f>IFERROR(__xludf.DUMMYFUNCTION("""COMPUTED_VALUE"""),2421.0)</f>
        <v>2421</v>
      </c>
      <c r="B577" s="11">
        <f>IFERROR(__xludf.DUMMYFUNCTION("""COMPUTED_VALUE"""),46177.923010474544)</f>
        <v>46177.92301</v>
      </c>
      <c r="C577" s="3" t="str">
        <f>IFERROR(__xludf.DUMMYFUNCTION("""COMPUTED_VALUE"""),"ชั้นปีที่ 1")</f>
        <v>ชั้นปีที่ 1</v>
      </c>
      <c r="D577" s="3" t="str">
        <f>IFERROR(__xludf.DUMMYFUNCTION("""COMPUTED_VALUE"""),"6803896")</f>
        <v>6803896</v>
      </c>
      <c r="E577" s="3" t="str">
        <f>IFERROR(__xludf.DUMMYFUNCTION("""COMPUTED_VALUE"""),"15")</f>
        <v>15</v>
      </c>
      <c r="F577" s="3" t="str">
        <f>IFERROR(__xludf.DUMMYFUNCTION("""COMPUTED_VALUE"""),"นพอ.ณัชปวีย์ เยาวภา")</f>
        <v>นพอ.ณัชปวีย์ เยาวภา</v>
      </c>
      <c r="G577" s="3" t="str">
        <f>IFERROR(__xludf.DUMMYFUNCTION("""COMPUTED_VALUE"""),"ช่วยเหลืองานภายใน วพอ.")</f>
        <v>ช่วยเหลืองานภายใน วพอ.</v>
      </c>
      <c r="H577" s="3" t="str">
        <f>IFERROR(__xludf.DUMMYFUNCTION("""COMPUTED_VALUE"""),"เล่นดุริยางค์")</f>
        <v>เล่นดุริยางค์</v>
      </c>
      <c r="I577" s="3" t="str">
        <f>IFERROR(__xludf.DUMMYFUNCTION("""COMPUTED_VALUE"""),"วพอ.พอ.")</f>
        <v>วพอ.พอ.</v>
      </c>
      <c r="J577" s="12">
        <f>IFERROR(__xludf.DUMMYFUNCTION("""COMPUTED_VALUE"""),46107.0)</f>
        <v>46107</v>
      </c>
      <c r="K577" s="3" t="str">
        <f>IFERROR(__xludf.DUMMYFUNCTION("""COMPUTED_VALUE"""),"ร.อ.อนุชิต ทำจะดี")</f>
        <v>ร.อ.อนุชิต ทำจะดี</v>
      </c>
      <c r="L577" s="3"/>
      <c r="M577" s="3" t="str">
        <f>IFERROR(__xludf.DUMMYFUNCTION("""COMPUTED_VALUE"""),"ร.อ.อนุชิต ทำจะดี")</f>
        <v>ร.อ.อนุชิต ทำจะดี</v>
      </c>
      <c r="N577" s="14" t="str">
        <f>IFERROR(__xludf.DUMMYFUNCTION("""COMPUTED_VALUE"""),"https://lh5.googleusercontent.com/d/1YuA933-fvEe4YC7geuXA7YGxAct5J9s3")</f>
        <v>https://lh5.googleusercontent.com/d/1YuA933-fvEe4YC7geuXA7YGxAct5J9s3</v>
      </c>
      <c r="O577" s="14" t="str">
        <f>IFERROR(__xludf.DUMMYFUNCTION("""COMPUTED_VALUE"""),"https://drive.google.com/file/d/19im_0VsqTyV0wVcXG8p7zMjhFqTKvYQp/view?usp=drivesdk")</f>
        <v>https://drive.google.com/file/d/19im_0VsqTyV0wVcXG8p7zMjhFqTKvYQp/view?usp=drivesdk</v>
      </c>
    </row>
    <row r="578">
      <c r="A578" s="3">
        <f>IFERROR(__xludf.DUMMYFUNCTION("""COMPUTED_VALUE"""),2423.0)</f>
        <v>2423</v>
      </c>
      <c r="B578" s="11">
        <f>IFERROR(__xludf.DUMMYFUNCTION("""COMPUTED_VALUE"""),46170.58373212963)</f>
        <v>46170.58373</v>
      </c>
      <c r="C578" s="3" t="str">
        <f>IFERROR(__xludf.DUMMYFUNCTION("""COMPUTED_VALUE"""),"ชั้นปีที่ 1")</f>
        <v>ชั้นปีที่ 1</v>
      </c>
      <c r="D578" s="3" t="str">
        <f>IFERROR(__xludf.DUMMYFUNCTION("""COMPUTED_VALUE"""),"6803908")</f>
        <v>6803908</v>
      </c>
      <c r="E578" s="3" t="str">
        <f>IFERROR(__xludf.DUMMYFUNCTION("""COMPUTED_VALUE"""),"27")</f>
        <v>27</v>
      </c>
      <c r="F578" s="3" t="str">
        <f>IFERROR(__xludf.DUMMYFUNCTION("""COMPUTED_VALUE"""),"นพอ.นภัสสร บุญรัตน์")</f>
        <v>นพอ.นภัสสร บุญรัตน์</v>
      </c>
      <c r="G578" s="3" t="str">
        <f>IFERROR(__xludf.DUMMYFUNCTION("""COMPUTED_VALUE"""),"ช่วยเหลืองานภายใน วพอ.")</f>
        <v>ช่วยเหลืองานภายใน วพอ.</v>
      </c>
      <c r="H578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78" s="3" t="str">
        <f>IFERROR(__xludf.DUMMYFUNCTION("""COMPUTED_VALUE"""),"ลานข้างหอพัก")</f>
        <v>ลานข้างหอพัก</v>
      </c>
      <c r="J578" s="12">
        <f>IFERROR(__xludf.DUMMYFUNCTION("""COMPUTED_VALUE"""),46164.0)</f>
        <v>46164</v>
      </c>
      <c r="K578" s="3" t="str">
        <f>IFERROR(__xludf.DUMMYFUNCTION("""COMPUTED_VALUE"""),"1500-1700")</f>
        <v>1500-1700</v>
      </c>
      <c r="L578" s="3">
        <f>IFERROR(__xludf.DUMMYFUNCTION("""COMPUTED_VALUE"""),2.0)</f>
        <v>2</v>
      </c>
      <c r="M578" s="3" t="str">
        <f>IFERROR(__xludf.DUMMYFUNCTION("""COMPUTED_VALUE"""),"น.อ.หญิง นิตยา สุขแสน")</f>
        <v>น.อ.หญิง นิตยา สุขแสน</v>
      </c>
      <c r="N578" s="14" t="str">
        <f>IFERROR(__xludf.DUMMYFUNCTION("""COMPUTED_VALUE"""),"https://lh5.googleusercontent.com/d/14Ob0QE3NwPvXKo6pw5k-71NxfpHiHJAD")</f>
        <v>https://lh5.googleusercontent.com/d/14Ob0QE3NwPvXKo6pw5k-71NxfpHiHJAD</v>
      </c>
      <c r="O578" s="14" t="str">
        <f>IFERROR(__xludf.DUMMYFUNCTION("""COMPUTED_VALUE"""),"https://drive.google.com/file/d/1aEG8zpb5zWIP-TLOEd2sF6lG2PbdxqCU/view?usp=drivesdk")</f>
        <v>https://drive.google.com/file/d/1aEG8zpb5zWIP-TLOEd2sF6lG2PbdxqCU/view?usp=drivesdk</v>
      </c>
    </row>
    <row r="579">
      <c r="A579" s="3">
        <f>IFERROR(__xludf.DUMMYFUNCTION("""COMPUTED_VALUE"""),2424.0)</f>
        <v>2424</v>
      </c>
      <c r="B579" s="11">
        <f>IFERROR(__xludf.DUMMYFUNCTION("""COMPUTED_VALUE"""),46170.58403478009)</f>
        <v>46170.58403</v>
      </c>
      <c r="C579" s="3" t="str">
        <f>IFERROR(__xludf.DUMMYFUNCTION("""COMPUTED_VALUE"""),"ชั้นปีที่ 1")</f>
        <v>ชั้นปีที่ 1</v>
      </c>
      <c r="D579" s="3" t="str">
        <f>IFERROR(__xludf.DUMMYFUNCTION("""COMPUTED_VALUE"""),"6803938")</f>
        <v>6803938</v>
      </c>
      <c r="E579" s="3" t="str">
        <f>IFERROR(__xludf.DUMMYFUNCTION("""COMPUTED_VALUE"""),"57")</f>
        <v>57</v>
      </c>
      <c r="F579" s="3" t="str">
        <f>IFERROR(__xludf.DUMMYFUNCTION("""COMPUTED_VALUE"""),"นพอ.สุพิชชา เชื้อชาติ")</f>
        <v>นพอ.สุพิชชา เชื้อชาติ</v>
      </c>
      <c r="G5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79" s="3" t="str">
        <f>IFERROR(__xludf.DUMMYFUNCTION("""COMPUTED_VALUE"""),"เดินแบบงานวันกองทัพอากาศ 2569")</f>
        <v>เดินแบบงานวันกองทัพอากาศ 2569</v>
      </c>
      <c r="I579" s="3" t="str">
        <f>IFERROR(__xludf.DUMMYFUNCTION("""COMPUTED_VALUE"""),"อาคารรณนภากาศ")</f>
        <v>อาคารรณนภากาศ</v>
      </c>
      <c r="J579" s="12">
        <f>IFERROR(__xludf.DUMMYFUNCTION("""COMPUTED_VALUE"""),46121.0)</f>
        <v>46121</v>
      </c>
      <c r="K579" s="3" t="str">
        <f>IFERROR(__xludf.DUMMYFUNCTION("""COMPUTED_VALUE"""),"1300-2000")</f>
        <v>1300-2000</v>
      </c>
      <c r="L579" s="3">
        <f>IFERROR(__xludf.DUMMYFUNCTION("""COMPUTED_VALUE"""),8.0)</f>
        <v>8</v>
      </c>
      <c r="M579" s="3" t="str">
        <f>IFERROR(__xludf.DUMMYFUNCTION("""COMPUTED_VALUE"""),"ร.อ.หญิง ขนัฏฐา นาดี")</f>
        <v>ร.อ.หญิง ขนัฏฐา นาดี</v>
      </c>
      <c r="N579" s="14" t="str">
        <f>IFERROR(__xludf.DUMMYFUNCTION("""COMPUTED_VALUE"""),"https://lh5.googleusercontent.com/d/1Q3VnQLNWx6vcPTHZgdSHekffS3VW2mFu")</f>
        <v>https://lh5.googleusercontent.com/d/1Q3VnQLNWx6vcPTHZgdSHekffS3VW2mFu</v>
      </c>
      <c r="O579" s="14" t="str">
        <f>IFERROR(__xludf.DUMMYFUNCTION("""COMPUTED_VALUE"""),"https://drive.google.com/file/d/1P69qxKzFa_eajFx6yk7hoxsp5VNT3dg_/view?usp=drivesdk")</f>
        <v>https://drive.google.com/file/d/1P69qxKzFa_eajFx6yk7hoxsp5VNT3dg_/view?usp=drivesdk</v>
      </c>
    </row>
    <row r="580">
      <c r="A580" s="3">
        <f>IFERROR(__xludf.DUMMYFUNCTION("""COMPUTED_VALUE"""),2425.0)</f>
        <v>2425</v>
      </c>
      <c r="B580" s="11">
        <f>IFERROR(__xludf.DUMMYFUNCTION("""COMPUTED_VALUE"""),46170.58438824074)</f>
        <v>46170.58439</v>
      </c>
      <c r="C580" s="3" t="str">
        <f>IFERROR(__xludf.DUMMYFUNCTION("""COMPUTED_VALUE"""),"ชั้นปีที่ 1")</f>
        <v>ชั้นปีที่ 1</v>
      </c>
      <c r="D580" s="3" t="str">
        <f>IFERROR(__xludf.DUMMYFUNCTION("""COMPUTED_VALUE"""),"6803884")</f>
        <v>6803884</v>
      </c>
      <c r="E580" s="3" t="str">
        <f>IFERROR(__xludf.DUMMYFUNCTION("""COMPUTED_VALUE"""),"3")</f>
        <v>3</v>
      </c>
      <c r="F580" s="3" t="str">
        <f>IFERROR(__xludf.DUMMYFUNCTION("""COMPUTED_VALUE"""),"นพอ.กรองทอง กันฟัก")</f>
        <v>นพอ.กรองทอง กันฟัก</v>
      </c>
      <c r="G580" s="3" t="str">
        <f>IFERROR(__xludf.DUMMYFUNCTION("""COMPUTED_VALUE"""),"ทำนุบำรุงศาสนสถาน")</f>
        <v>ทำนุบำรุงศาสนสถาน</v>
      </c>
      <c r="H580" s="3" t="str">
        <f>IFERROR(__xludf.DUMMYFUNCTION("""COMPUTED_VALUE"""),"กวาดศาลาวัดคลองคะเชนทร์")</f>
        <v>กวาดศาลาวัดคลองคะเชนทร์</v>
      </c>
      <c r="I580" s="3" t="str">
        <f>IFERROR(__xludf.DUMMYFUNCTION("""COMPUTED_VALUE"""),"วัดคลองคะเชนทร์ จ.พิจิตร")</f>
        <v>วัดคลองคะเชนทร์ จ.พิจิตร</v>
      </c>
      <c r="J580" s="12">
        <f>IFERROR(__xludf.DUMMYFUNCTION("""COMPUTED_VALUE"""),46067.0)</f>
        <v>46067</v>
      </c>
      <c r="K580" s="3" t="str">
        <f>IFERROR(__xludf.DUMMYFUNCTION("""COMPUTED_VALUE"""),"0800-1000")</f>
        <v>0800-1000</v>
      </c>
      <c r="L580" s="3">
        <f>IFERROR(__xludf.DUMMYFUNCTION("""COMPUTED_VALUE"""),2.0)</f>
        <v>2</v>
      </c>
      <c r="M580" s="3" t="str">
        <f>IFERROR(__xludf.DUMMYFUNCTION("""COMPUTED_VALUE"""),"นางดาวรุ่ง กันฟัก")</f>
        <v>นางดาวรุ่ง กันฟัก</v>
      </c>
      <c r="N580" s="14" t="str">
        <f>IFERROR(__xludf.DUMMYFUNCTION("""COMPUTED_VALUE"""),"https://lh5.googleusercontent.com/d/1GrGTvcZQQa46VI2CSi6c7WsNL6D4_lDH")</f>
        <v>https://lh5.googleusercontent.com/d/1GrGTvcZQQa46VI2CSi6c7WsNL6D4_lDH</v>
      </c>
      <c r="O580" s="14" t="str">
        <f>IFERROR(__xludf.DUMMYFUNCTION("""COMPUTED_VALUE"""),"https://drive.google.com/file/d/1idgrsw2dKzXbmGLSwMguW3ypCxPIfBgF/view?usp=drivesdk")</f>
        <v>https://drive.google.com/file/d/1idgrsw2dKzXbmGLSwMguW3ypCxPIfBgF/view?usp=drivesdk</v>
      </c>
    </row>
    <row r="581">
      <c r="A581" s="3">
        <f>IFERROR(__xludf.DUMMYFUNCTION("""COMPUTED_VALUE"""),2426.0)</f>
        <v>2426</v>
      </c>
      <c r="B581" s="11">
        <f>IFERROR(__xludf.DUMMYFUNCTION("""COMPUTED_VALUE"""),46177.924080393524)</f>
        <v>46177.92408</v>
      </c>
      <c r="C581" s="3" t="str">
        <f>IFERROR(__xludf.DUMMYFUNCTION("""COMPUTED_VALUE"""),"ชั้นปีที่ 1")</f>
        <v>ชั้นปีที่ 1</v>
      </c>
      <c r="D581" s="3" t="str">
        <f>IFERROR(__xludf.DUMMYFUNCTION("""COMPUTED_VALUE"""),"6803896")</f>
        <v>6803896</v>
      </c>
      <c r="E581" s="3" t="str">
        <f>IFERROR(__xludf.DUMMYFUNCTION("""COMPUTED_VALUE"""),"15")</f>
        <v>15</v>
      </c>
      <c r="F581" s="3" t="str">
        <f>IFERROR(__xludf.DUMMYFUNCTION("""COMPUTED_VALUE"""),"นพอ.ณัชปวีย์ เยาวภา")</f>
        <v>นพอ.ณัชปวีย์ เยาวภา</v>
      </c>
      <c r="G581" s="3" t="str">
        <f>IFERROR(__xludf.DUMMYFUNCTION("""COMPUTED_VALUE"""),"ช่วยเหลืองานภายใน วพอ.")</f>
        <v>ช่วยเหลืองานภายใน วพอ.</v>
      </c>
      <c r="H581" s="3" t="str">
        <f>IFERROR(__xludf.DUMMYFUNCTION("""COMPUTED_VALUE"""),"เล่นดุริยางค์")</f>
        <v>เล่นดุริยางค์</v>
      </c>
      <c r="I581" s="3" t="str">
        <f>IFERROR(__xludf.DUMMYFUNCTION("""COMPUTED_VALUE"""),"วพอ.พอ.")</f>
        <v>วพอ.พอ.</v>
      </c>
      <c r="J581" s="12">
        <f>IFERROR(__xludf.DUMMYFUNCTION("""COMPUTED_VALUE"""),46111.0)</f>
        <v>46111</v>
      </c>
      <c r="K581" s="3" t="str">
        <f>IFERROR(__xludf.DUMMYFUNCTION("""COMPUTED_VALUE"""),"ร.อ.อนุชิต ทำจะดี")</f>
        <v>ร.อ.อนุชิต ทำจะดี</v>
      </c>
      <c r="L581" s="3"/>
      <c r="M581" s="3" t="str">
        <f>IFERROR(__xludf.DUMMYFUNCTION("""COMPUTED_VALUE"""),"ร.อ.อนุชิต ทำจะดี")</f>
        <v>ร.อ.อนุชิต ทำจะดี</v>
      </c>
      <c r="N581" s="14" t="str">
        <f>IFERROR(__xludf.DUMMYFUNCTION("""COMPUTED_VALUE"""),"https://lh5.googleusercontent.com/d/1bmrm05gDCmfB-gV904RMXqqADatAfwRT")</f>
        <v>https://lh5.googleusercontent.com/d/1bmrm05gDCmfB-gV904RMXqqADatAfwRT</v>
      </c>
      <c r="O581" s="14" t="str">
        <f>IFERROR(__xludf.DUMMYFUNCTION("""COMPUTED_VALUE"""),"https://drive.google.com/file/d/1a2jzkMzRBAKbHrGnhWWMGr0oG6XLD5BY/view?usp=drivesdk")</f>
        <v>https://drive.google.com/file/d/1a2jzkMzRBAKbHrGnhWWMGr0oG6XLD5BY/view?usp=drivesdk</v>
      </c>
    </row>
    <row r="582">
      <c r="A582" s="3">
        <f>IFERROR(__xludf.DUMMYFUNCTION("""COMPUTED_VALUE"""),2428.0)</f>
        <v>2428</v>
      </c>
      <c r="B582" s="11">
        <f>IFERROR(__xludf.DUMMYFUNCTION("""COMPUTED_VALUE"""),46177.92478366898)</f>
        <v>46177.92478</v>
      </c>
      <c r="C582" s="3" t="str">
        <f>IFERROR(__xludf.DUMMYFUNCTION("""COMPUTED_VALUE"""),"ชั้นปีที่ 1")</f>
        <v>ชั้นปีที่ 1</v>
      </c>
      <c r="D582" s="3" t="str">
        <f>IFERROR(__xludf.DUMMYFUNCTION("""COMPUTED_VALUE"""),"6803896")</f>
        <v>6803896</v>
      </c>
      <c r="E582" s="3" t="str">
        <f>IFERROR(__xludf.DUMMYFUNCTION("""COMPUTED_VALUE"""),"15")</f>
        <v>15</v>
      </c>
      <c r="F582" s="3" t="str">
        <f>IFERROR(__xludf.DUMMYFUNCTION("""COMPUTED_VALUE"""),"นพอ.ณัชปวีย์ เยาวภา")</f>
        <v>นพอ.ณัชปวีย์ เยาวภา</v>
      </c>
      <c r="G582" s="3" t="str">
        <f>IFERROR(__xludf.DUMMYFUNCTION("""COMPUTED_VALUE"""),"ช่วยเหลืองานภายใน วพอ.")</f>
        <v>ช่วยเหลืองานภายใน วพอ.</v>
      </c>
      <c r="H582" s="3" t="str">
        <f>IFERROR(__xludf.DUMMYFUNCTION("""COMPUTED_VALUE"""),"เล่นดุริยางค์")</f>
        <v>เล่นดุริยางค์</v>
      </c>
      <c r="I582" s="3" t="str">
        <f>IFERROR(__xludf.DUMMYFUNCTION("""COMPUTED_VALUE"""),"วพอ.พอ.")</f>
        <v>วพอ.พอ.</v>
      </c>
      <c r="J582" s="12">
        <f>IFERROR(__xludf.DUMMYFUNCTION("""COMPUTED_VALUE"""),46057.0)</f>
        <v>46057</v>
      </c>
      <c r="K582" s="3" t="str">
        <f>IFERROR(__xludf.DUMMYFUNCTION("""COMPUTED_VALUE"""),"ร.อ.อนุชิต ทำจะดี")</f>
        <v>ร.อ.อนุชิต ทำจะดี</v>
      </c>
      <c r="L582" s="3"/>
      <c r="M582" s="3" t="str">
        <f>IFERROR(__xludf.DUMMYFUNCTION("""COMPUTED_VALUE"""),"ร.อ.อนุชิต ทำจะดี")</f>
        <v>ร.อ.อนุชิต ทำจะดี</v>
      </c>
      <c r="N582" s="14" t="str">
        <f>IFERROR(__xludf.DUMMYFUNCTION("""COMPUTED_VALUE"""),"https://lh5.googleusercontent.com/d/10rpenbfhP2lEK7yjFzJUiHSekBMZtFYM")</f>
        <v>https://lh5.googleusercontent.com/d/10rpenbfhP2lEK7yjFzJUiHSekBMZtFYM</v>
      </c>
      <c r="O582" s="14" t="str">
        <f>IFERROR(__xludf.DUMMYFUNCTION("""COMPUTED_VALUE"""),"https://drive.google.com/file/d/13WiTIMhD1JtWZE_I8L-t2vmVJPXT5eC6/view?usp=drivesdk")</f>
        <v>https://drive.google.com/file/d/13WiTIMhD1JtWZE_I8L-t2vmVJPXT5eC6/view?usp=drivesdk</v>
      </c>
    </row>
    <row r="583">
      <c r="A583" s="3">
        <f>IFERROR(__xludf.DUMMYFUNCTION("""COMPUTED_VALUE"""),2429.0)</f>
        <v>2429</v>
      </c>
      <c r="B583" s="11">
        <f>IFERROR(__xludf.DUMMYFUNCTION("""COMPUTED_VALUE"""),46170.58684790509)</f>
        <v>46170.58685</v>
      </c>
      <c r="C583" s="3" t="str">
        <f>IFERROR(__xludf.DUMMYFUNCTION("""COMPUTED_VALUE"""),"ชั้นปีที่ 1")</f>
        <v>ชั้นปีที่ 1</v>
      </c>
      <c r="D583" s="3" t="str">
        <f>IFERROR(__xludf.DUMMYFUNCTION("""COMPUTED_VALUE"""),"6803938")</f>
        <v>6803938</v>
      </c>
      <c r="E583" s="3" t="str">
        <f>IFERROR(__xludf.DUMMYFUNCTION("""COMPUTED_VALUE"""),"57")</f>
        <v>57</v>
      </c>
      <c r="F583" s="3" t="str">
        <f>IFERROR(__xludf.DUMMYFUNCTION("""COMPUTED_VALUE"""),"นพอ.สุพิชชา เชื้อชาติ")</f>
        <v>นพอ.สุพิชชา เชื้อชาติ</v>
      </c>
      <c r="G58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83" s="3" t="str">
        <f>IFERROR(__xludf.DUMMYFUNCTION("""COMPUTED_VALUE"""),"งานวันเด็กแห่งชาติ 2569")</f>
        <v>งานวันเด็กแห่งชาติ 2569</v>
      </c>
      <c r="I583" s="3" t="str">
        <f>IFERROR(__xludf.DUMMYFUNCTION("""COMPUTED_VALUE"""),"กองบิน 6 ")</f>
        <v>กองบิน 6 </v>
      </c>
      <c r="J583" s="12">
        <f>IFERROR(__xludf.DUMMYFUNCTION("""COMPUTED_VALUE"""),46032.0)</f>
        <v>46032</v>
      </c>
      <c r="K583" s="3" t="str">
        <f>IFERROR(__xludf.DUMMYFUNCTION("""COMPUTED_VALUE"""),"0600-1400")</f>
        <v>0600-1400</v>
      </c>
      <c r="L583" s="3">
        <f>IFERROR(__xludf.DUMMYFUNCTION("""COMPUTED_VALUE"""),8.0)</f>
        <v>8</v>
      </c>
      <c r="M58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583" s="14" t="str">
        <f>IFERROR(__xludf.DUMMYFUNCTION("""COMPUTED_VALUE"""),"https://lh5.googleusercontent.com/d/1rAYwZurVYtcRXlw7T6yBR8FYDmD81UXI")</f>
        <v>https://lh5.googleusercontent.com/d/1rAYwZurVYtcRXlw7T6yBR8FYDmD81UXI</v>
      </c>
      <c r="O583" s="14" t="str">
        <f>IFERROR(__xludf.DUMMYFUNCTION("""COMPUTED_VALUE"""),"https://drive.google.com/file/d/1bbHgReJGaIA5Kptf02t1jgAmONiwNZ7Z/view?usp=drivesdk")</f>
        <v>https://drive.google.com/file/d/1bbHgReJGaIA5Kptf02t1jgAmONiwNZ7Z/view?usp=drivesdk</v>
      </c>
    </row>
    <row r="584">
      <c r="A584" s="3">
        <f>IFERROR(__xludf.DUMMYFUNCTION("""COMPUTED_VALUE"""),2430.0)</f>
        <v>2430</v>
      </c>
      <c r="B584" s="11">
        <f>IFERROR(__xludf.DUMMYFUNCTION("""COMPUTED_VALUE"""),46177.92584465278)</f>
        <v>46177.92584</v>
      </c>
      <c r="C584" s="3" t="str">
        <f>IFERROR(__xludf.DUMMYFUNCTION("""COMPUTED_VALUE"""),"ชั้นปีที่ 1")</f>
        <v>ชั้นปีที่ 1</v>
      </c>
      <c r="D584" s="3" t="str">
        <f>IFERROR(__xludf.DUMMYFUNCTION("""COMPUTED_VALUE"""),"6803896")</f>
        <v>6803896</v>
      </c>
      <c r="E584" s="3" t="str">
        <f>IFERROR(__xludf.DUMMYFUNCTION("""COMPUTED_VALUE"""),"15")</f>
        <v>15</v>
      </c>
      <c r="F584" s="3" t="str">
        <f>IFERROR(__xludf.DUMMYFUNCTION("""COMPUTED_VALUE"""),"นพอ.ณัชปวีย์ เยาวภา")</f>
        <v>นพอ.ณัชปวีย์ เยาวภา</v>
      </c>
      <c r="G584" s="3" t="str">
        <f>IFERROR(__xludf.DUMMYFUNCTION("""COMPUTED_VALUE"""),"ช่วยเหลืองานภายใน วพอ.")</f>
        <v>ช่วยเหลืองานภายใน วพอ.</v>
      </c>
      <c r="H584" s="3" t="str">
        <f>IFERROR(__xludf.DUMMYFUNCTION("""COMPUTED_VALUE"""),"เล่นดุริยางค์")</f>
        <v>เล่นดุริยางค์</v>
      </c>
      <c r="I584" s="3" t="str">
        <f>IFERROR(__xludf.DUMMYFUNCTION("""COMPUTED_VALUE"""),"วพอ.พอ.")</f>
        <v>วพอ.พอ.</v>
      </c>
      <c r="J584" s="12">
        <f>IFERROR(__xludf.DUMMYFUNCTION("""COMPUTED_VALUE"""),46114.0)</f>
        <v>46114</v>
      </c>
      <c r="K584" s="3" t="str">
        <f>IFERROR(__xludf.DUMMYFUNCTION("""COMPUTED_VALUE"""),"ร.อ.อนุชิต ทำจะดี")</f>
        <v>ร.อ.อนุชิต ทำจะดี</v>
      </c>
      <c r="L584" s="3"/>
      <c r="M584" s="3" t="str">
        <f>IFERROR(__xludf.DUMMYFUNCTION("""COMPUTED_VALUE"""),"ร.อ.อนุชิต ทำจะดี")</f>
        <v>ร.อ.อนุชิต ทำจะดี</v>
      </c>
      <c r="N584" s="14" t="str">
        <f>IFERROR(__xludf.DUMMYFUNCTION("""COMPUTED_VALUE"""),"https://lh5.googleusercontent.com/d/1NjqGsldiaALLVfknAiaMmO1t6isi_QUX")</f>
        <v>https://lh5.googleusercontent.com/d/1NjqGsldiaALLVfknAiaMmO1t6isi_QUX</v>
      </c>
      <c r="O584" s="14" t="str">
        <f>IFERROR(__xludf.DUMMYFUNCTION("""COMPUTED_VALUE"""),"https://drive.google.com/file/d/1pqtABuI6qaJnVoLbkfIvYT4oc7ClzpiX/view?usp=drivesdk")</f>
        <v>https://drive.google.com/file/d/1pqtABuI6qaJnVoLbkfIvYT4oc7ClzpiX/view?usp=drivesdk</v>
      </c>
    </row>
    <row r="585">
      <c r="A585" s="3">
        <f>IFERROR(__xludf.DUMMYFUNCTION("""COMPUTED_VALUE"""),2431.0)</f>
        <v>2431</v>
      </c>
      <c r="B585" s="11">
        <f>IFERROR(__xludf.DUMMYFUNCTION("""COMPUTED_VALUE"""),46170.58740898148)</f>
        <v>46170.58741</v>
      </c>
      <c r="C585" s="3" t="str">
        <f>IFERROR(__xludf.DUMMYFUNCTION("""COMPUTED_VALUE"""),"ชั้นปีที่ 1")</f>
        <v>ชั้นปีที่ 1</v>
      </c>
      <c r="D585" s="3" t="str">
        <f>IFERROR(__xludf.DUMMYFUNCTION("""COMPUTED_VALUE"""),"6803906")</f>
        <v>6803906</v>
      </c>
      <c r="E585" s="3" t="str">
        <f>IFERROR(__xludf.DUMMYFUNCTION("""COMPUTED_VALUE"""),"25")</f>
        <v>25</v>
      </c>
      <c r="F585" s="3" t="str">
        <f>IFERROR(__xludf.DUMMYFUNCTION("""COMPUTED_VALUE"""),"นพอ.ธัญวรัตน์ ยงคะวิสัย")</f>
        <v>นพอ.ธัญวรัตน์ ยงคะวิสัย</v>
      </c>
      <c r="G585" s="3" t="str">
        <f>IFERROR(__xludf.DUMMYFUNCTION("""COMPUTED_VALUE"""),"ช่วยเหลืองานภายใน วพอ.")</f>
        <v>ช่วยเหลืองานภายใน วพอ.</v>
      </c>
      <c r="H585" s="3" t="str">
        <f>IFERROR(__xludf.DUMMYFUNCTION("""COMPUTED_VALUE"""),"เล่นดุริยางค์")</f>
        <v>เล่นดุริยางค์</v>
      </c>
      <c r="I585" s="3" t="str">
        <f>IFERROR(__xludf.DUMMYFUNCTION("""COMPUTED_VALUE"""),"วพอ.พอ.")</f>
        <v>วพอ.พอ.</v>
      </c>
      <c r="J585" s="12">
        <f>IFERROR(__xludf.DUMMYFUNCTION("""COMPUTED_VALUE"""),46035.0)</f>
        <v>46035</v>
      </c>
      <c r="K585" s="3" t="str">
        <f>IFERROR(__xludf.DUMMYFUNCTION("""COMPUTED_VALUE"""),"0700-0800")</f>
        <v>0700-0800</v>
      </c>
      <c r="L585" s="3">
        <f>IFERROR(__xludf.DUMMYFUNCTION("""COMPUTED_VALUE"""),1.0)</f>
        <v>1</v>
      </c>
      <c r="M585" s="3" t="str">
        <f>IFERROR(__xludf.DUMMYFUNCTION("""COMPUTED_VALUE"""),"ร.อ.อนุชิต ทำจะดี")</f>
        <v>ร.อ.อนุชิต ทำจะดี</v>
      </c>
      <c r="N585" s="14" t="str">
        <f>IFERROR(__xludf.DUMMYFUNCTION("""COMPUTED_VALUE"""),"https://lh5.googleusercontent.com/d/10CjYOK4Mny64kdgcGRGzcTNRLTr1woMs")</f>
        <v>https://lh5.googleusercontent.com/d/10CjYOK4Mny64kdgcGRGzcTNRLTr1woMs</v>
      </c>
      <c r="O585" s="3"/>
    </row>
    <row r="586">
      <c r="A586" s="3">
        <f>IFERROR(__xludf.DUMMYFUNCTION("""COMPUTED_VALUE"""),2432.0)</f>
        <v>2432</v>
      </c>
      <c r="B586" s="11">
        <f>IFERROR(__xludf.DUMMYFUNCTION("""COMPUTED_VALUE"""),46177.92680726852)</f>
        <v>46177.92681</v>
      </c>
      <c r="C586" s="3" t="str">
        <f>IFERROR(__xludf.DUMMYFUNCTION("""COMPUTED_VALUE"""),"ชั้นปีที่ 1")</f>
        <v>ชั้นปีที่ 1</v>
      </c>
      <c r="D586" s="3" t="str">
        <f>IFERROR(__xludf.DUMMYFUNCTION("""COMPUTED_VALUE"""),"6803896")</f>
        <v>6803896</v>
      </c>
      <c r="E586" s="3" t="str">
        <f>IFERROR(__xludf.DUMMYFUNCTION("""COMPUTED_VALUE"""),"15")</f>
        <v>15</v>
      </c>
      <c r="F586" s="3" t="str">
        <f>IFERROR(__xludf.DUMMYFUNCTION("""COMPUTED_VALUE"""),"นพอ.ณัชปวีย์ เยาวภา")</f>
        <v>นพอ.ณัชปวีย์ เยาวภา</v>
      </c>
      <c r="G586" s="3" t="str">
        <f>IFERROR(__xludf.DUMMYFUNCTION("""COMPUTED_VALUE"""),"ช่วยเหลืองานภายใน วพอ.")</f>
        <v>ช่วยเหลืองานภายใน วพอ.</v>
      </c>
      <c r="H586" s="3" t="str">
        <f>IFERROR(__xludf.DUMMYFUNCTION("""COMPUTED_VALUE"""),"เล่นดุริยางค์")</f>
        <v>เล่นดุริยางค์</v>
      </c>
      <c r="I586" s="3" t="str">
        <f>IFERROR(__xludf.DUMMYFUNCTION("""COMPUTED_VALUE"""),"วพอ.พอ.")</f>
        <v>วพอ.พอ.</v>
      </c>
      <c r="J586" s="12">
        <f>IFERROR(__xludf.DUMMYFUNCTION("""COMPUTED_VALUE"""),46143.0)</f>
        <v>46143</v>
      </c>
      <c r="K586" s="3" t="str">
        <f>IFERROR(__xludf.DUMMYFUNCTION("""COMPUTED_VALUE"""),"ร.อ.อนุชิต ทำจะดี")</f>
        <v>ร.อ.อนุชิต ทำจะดี</v>
      </c>
      <c r="L586" s="3"/>
      <c r="M586" s="3" t="str">
        <f>IFERROR(__xludf.DUMMYFUNCTION("""COMPUTED_VALUE"""),"ร.อ.อนุชิต ทำจะดี")</f>
        <v>ร.อ.อนุชิต ทำจะดี</v>
      </c>
      <c r="N586" s="14" t="str">
        <f>IFERROR(__xludf.DUMMYFUNCTION("""COMPUTED_VALUE"""),"https://lh5.googleusercontent.com/d/1pCGgZD_9OBhnhJpmSRQ7IXFlvB-JlHPL")</f>
        <v>https://lh5.googleusercontent.com/d/1pCGgZD_9OBhnhJpmSRQ7IXFlvB-JlHPL</v>
      </c>
      <c r="O586" s="14" t="str">
        <f>IFERROR(__xludf.DUMMYFUNCTION("""COMPUTED_VALUE"""),"https://drive.google.com/file/d/1Bd_H27mqp9Wox_QqNcgzJQadbJqPGy91/view?usp=drivesdk")</f>
        <v>https://drive.google.com/file/d/1Bd_H27mqp9Wox_QqNcgzJQadbJqPGy91/view?usp=drivesdk</v>
      </c>
    </row>
    <row r="587">
      <c r="A587" s="3">
        <f>IFERROR(__xludf.DUMMYFUNCTION("""COMPUTED_VALUE"""),2433.0)</f>
        <v>2433</v>
      </c>
      <c r="B587" s="11">
        <f>IFERROR(__xludf.DUMMYFUNCTION("""COMPUTED_VALUE"""),46170.59055908564)</f>
        <v>46170.59056</v>
      </c>
      <c r="C587" s="3" t="str">
        <f>IFERROR(__xludf.DUMMYFUNCTION("""COMPUTED_VALUE"""),"ชั้นปีที่ 1")</f>
        <v>ชั้นปีที่ 1</v>
      </c>
      <c r="D587" s="3" t="str">
        <f>IFERROR(__xludf.DUMMYFUNCTION("""COMPUTED_VALUE"""),"6803907")</f>
        <v>6803907</v>
      </c>
      <c r="E587" s="3" t="str">
        <f>IFERROR(__xludf.DUMMYFUNCTION("""COMPUTED_VALUE"""),"26")</f>
        <v>26</v>
      </c>
      <c r="F587" s="3" t="str">
        <f>IFERROR(__xludf.DUMMYFUNCTION("""COMPUTED_VALUE"""),"นพอ.ธีราพร  ประสิทธิภาพ")</f>
        <v>นพอ.ธีราพร  ประสิทธิภาพ</v>
      </c>
      <c r="G587" s="3" t="str">
        <f>IFERROR(__xludf.DUMMYFUNCTION("""COMPUTED_VALUE"""),"ช่วยเหลืองานภายใน วพอ.")</f>
        <v>ช่วยเหลืองานภายใน วพอ.</v>
      </c>
      <c r="H587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87" s="3" t="str">
        <f>IFERROR(__xludf.DUMMYFUNCTION("""COMPUTED_VALUE"""),"วพอ.พอ.")</f>
        <v>วพอ.พอ.</v>
      </c>
      <c r="J587" s="12">
        <f>IFERROR(__xludf.DUMMYFUNCTION("""COMPUTED_VALUE"""),46164.0)</f>
        <v>46164</v>
      </c>
      <c r="K587" s="3" t="str">
        <f>IFERROR(__xludf.DUMMYFUNCTION("""COMPUTED_VALUE"""),"15:00-17:00")</f>
        <v>15:00-17:00</v>
      </c>
      <c r="L587" s="3">
        <f>IFERROR(__xludf.DUMMYFUNCTION("""COMPUTED_VALUE"""),2.0)</f>
        <v>2</v>
      </c>
      <c r="M587" s="3" t="str">
        <f>IFERROR(__xludf.DUMMYFUNCTION("""COMPUTED_VALUE"""),"น.อ. หญิง นิตยา สุขแสน")</f>
        <v>น.อ. หญิง นิตยา สุขแสน</v>
      </c>
      <c r="N587" s="14" t="str">
        <f>IFERROR(__xludf.DUMMYFUNCTION("""COMPUTED_VALUE"""),"https://lh5.googleusercontent.com/d/1MqHLfjGLi9kbQpXWsuRdj3S9zUvFrZEN")</f>
        <v>https://lh5.googleusercontent.com/d/1MqHLfjGLi9kbQpXWsuRdj3S9zUvFrZEN</v>
      </c>
      <c r="O587" s="14" t="str">
        <f>IFERROR(__xludf.DUMMYFUNCTION("""COMPUTED_VALUE"""),"https://drive.google.com/file/d/1wIqntjOzGU7z9xTCftgBGU_Er1BRlIKe/view?usp=drivesdk")</f>
        <v>https://drive.google.com/file/d/1wIqntjOzGU7z9xTCftgBGU_Er1BRlIKe/view?usp=drivesdk</v>
      </c>
    </row>
    <row r="588">
      <c r="A588" s="3">
        <f>IFERROR(__xludf.DUMMYFUNCTION("""COMPUTED_VALUE"""),2434.0)</f>
        <v>2434</v>
      </c>
      <c r="B588" s="11">
        <f>IFERROR(__xludf.DUMMYFUNCTION("""COMPUTED_VALUE"""),46170.591903865745)</f>
        <v>46170.5919</v>
      </c>
      <c r="C588" s="3" t="str">
        <f>IFERROR(__xludf.DUMMYFUNCTION("""COMPUTED_VALUE"""),"ชั้นปีที่ 1")</f>
        <v>ชั้นปีที่ 1</v>
      </c>
      <c r="D588" s="3" t="str">
        <f>IFERROR(__xludf.DUMMYFUNCTION("""COMPUTED_VALUE"""),"6803910")</f>
        <v>6803910</v>
      </c>
      <c r="E588" s="3" t="str">
        <f>IFERROR(__xludf.DUMMYFUNCTION("""COMPUTED_VALUE"""),"29")</f>
        <v>29</v>
      </c>
      <c r="F588" s="3" t="str">
        <f>IFERROR(__xludf.DUMMYFUNCTION("""COMPUTED_VALUE"""),"นพอ.นวพร โอรัตนสถาพร")</f>
        <v>นพอ.นวพร โอรัตนสถาพร</v>
      </c>
      <c r="G588" s="3" t="str">
        <f>IFERROR(__xludf.DUMMYFUNCTION("""COMPUTED_VALUE"""),"ช่วยเหลืองานภายใน วพอ.")</f>
        <v>ช่วยเหลืองานภายใน วพอ.</v>
      </c>
      <c r="H58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8" s="3" t="str">
        <f>IFERROR(__xludf.DUMMYFUNCTION("""COMPUTED_VALUE"""),"วพอ.พอ.")</f>
        <v>วพอ.พอ.</v>
      </c>
      <c r="J588" s="12">
        <f>IFERROR(__xludf.DUMMYFUNCTION("""COMPUTED_VALUE"""),46138.0)</f>
        <v>46138</v>
      </c>
      <c r="K588" s="3" t="str">
        <f>IFERROR(__xludf.DUMMYFUNCTION("""COMPUTED_VALUE"""),"1300-2100")</f>
        <v>1300-2100</v>
      </c>
      <c r="L588" s="3">
        <f>IFERROR(__xludf.DUMMYFUNCTION("""COMPUTED_VALUE"""),8.0)</f>
        <v>8</v>
      </c>
      <c r="M588" s="3" t="str">
        <f>IFERROR(__xludf.DUMMYFUNCTION("""COMPUTED_VALUE"""),"ร.อ.อนุชิต ทำจะดี")</f>
        <v>ร.อ.อนุชิต ทำจะดี</v>
      </c>
      <c r="N588" s="14" t="str">
        <f>IFERROR(__xludf.DUMMYFUNCTION("""COMPUTED_VALUE"""),"https://lh5.googleusercontent.com/d/1qj5JAjB8GyPx-lYUZxsIGUwEdwFoiMTG")</f>
        <v>https://lh5.googleusercontent.com/d/1qj5JAjB8GyPx-lYUZxsIGUwEdwFoiMTG</v>
      </c>
      <c r="O588" s="14" t="str">
        <f>IFERROR(__xludf.DUMMYFUNCTION("""COMPUTED_VALUE"""),"https://drive.google.com/file/d/1PEDiuM7lUbtKiCfVWnofJfGv3DZSGe2b/view?usp=drivesdk")</f>
        <v>https://drive.google.com/file/d/1PEDiuM7lUbtKiCfVWnofJfGv3DZSGe2b/view?usp=drivesdk</v>
      </c>
    </row>
    <row r="589">
      <c r="A589" s="3">
        <f>IFERROR(__xludf.DUMMYFUNCTION("""COMPUTED_VALUE"""),2435.0)</f>
        <v>2435</v>
      </c>
      <c r="B589" s="11">
        <f>IFERROR(__xludf.DUMMYFUNCTION("""COMPUTED_VALUE"""),46170.59403150463)</f>
        <v>46170.59403</v>
      </c>
      <c r="C589" s="3" t="str">
        <f>IFERROR(__xludf.DUMMYFUNCTION("""COMPUTED_VALUE"""),"ชั้นปีที่ 1")</f>
        <v>ชั้นปีที่ 1</v>
      </c>
      <c r="D589" s="3" t="str">
        <f>IFERROR(__xludf.DUMMYFUNCTION("""COMPUTED_VALUE"""),"6803910")</f>
        <v>6803910</v>
      </c>
      <c r="E589" s="3" t="str">
        <f>IFERROR(__xludf.DUMMYFUNCTION("""COMPUTED_VALUE"""),"29")</f>
        <v>29</v>
      </c>
      <c r="F589" s="3" t="str">
        <f>IFERROR(__xludf.DUMMYFUNCTION("""COMPUTED_VALUE"""),"นพอ.นวพร โอรัตนสถาพร")</f>
        <v>นพอ.นวพร โอรัตนสถาพร</v>
      </c>
      <c r="G589" s="3" t="str">
        <f>IFERROR(__xludf.DUMMYFUNCTION("""COMPUTED_VALUE"""),"ช่วยเหลืองานภายใน วพอ.")</f>
        <v>ช่วยเหลืองานภายใน วพอ.</v>
      </c>
      <c r="H58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589" s="3" t="str">
        <f>IFERROR(__xludf.DUMMYFUNCTION("""COMPUTED_VALUE"""),"วพอ.พอ.")</f>
        <v>วพอ.พอ.</v>
      </c>
      <c r="J589" s="12">
        <f>IFERROR(__xludf.DUMMYFUNCTION("""COMPUTED_VALUE"""),46139.0)</f>
        <v>46139</v>
      </c>
      <c r="K589" s="3" t="str">
        <f>IFERROR(__xludf.DUMMYFUNCTION("""COMPUTED_VALUE"""),"1700-2100")</f>
        <v>1700-2100</v>
      </c>
      <c r="L589" s="3">
        <f>IFERROR(__xludf.DUMMYFUNCTION("""COMPUTED_VALUE"""),4.0)</f>
        <v>4</v>
      </c>
      <c r="M589" s="3" t="str">
        <f>IFERROR(__xludf.DUMMYFUNCTION("""COMPUTED_VALUE"""),"ร.อ.อนุชิต ทำจะดี")</f>
        <v>ร.อ.อนุชิต ทำจะดี</v>
      </c>
      <c r="N589" s="14" t="str">
        <f>IFERROR(__xludf.DUMMYFUNCTION("""COMPUTED_VALUE"""),"https://lh5.googleusercontent.com/d/1vKfqVg0fhrrAz9XvmsrsmFEhylanRQjN")</f>
        <v>https://lh5.googleusercontent.com/d/1vKfqVg0fhrrAz9XvmsrsmFEhylanRQjN</v>
      </c>
      <c r="O589" s="14" t="str">
        <f>IFERROR(__xludf.DUMMYFUNCTION("""COMPUTED_VALUE"""),"https://drive.google.com/file/d/1nSmJ6uSWnOQhyLOIhABI_aa1gXd6wPTY/view?usp=drivesdk")</f>
        <v>https://drive.google.com/file/d/1nSmJ6uSWnOQhyLOIhABI_aa1gXd6wPTY/view?usp=drivesdk</v>
      </c>
    </row>
    <row r="590">
      <c r="A590" s="3">
        <f>IFERROR(__xludf.DUMMYFUNCTION("""COMPUTED_VALUE"""),2437.0)</f>
        <v>2437</v>
      </c>
      <c r="B590" s="11">
        <f>IFERROR(__xludf.DUMMYFUNCTION("""COMPUTED_VALUE"""),46170.599385879636)</f>
        <v>46170.59939</v>
      </c>
      <c r="C590" s="3" t="str">
        <f>IFERROR(__xludf.DUMMYFUNCTION("""COMPUTED_VALUE"""),"ชั้นปีที่ 1")</f>
        <v>ชั้นปีที่ 1</v>
      </c>
      <c r="D590" s="3" t="str">
        <f>IFERROR(__xludf.DUMMYFUNCTION("""COMPUTED_VALUE"""),"6803908")</f>
        <v>6803908</v>
      </c>
      <c r="E590" s="3" t="str">
        <f>IFERROR(__xludf.DUMMYFUNCTION("""COMPUTED_VALUE"""),"27")</f>
        <v>27</v>
      </c>
      <c r="F590" s="3" t="str">
        <f>IFERROR(__xludf.DUMMYFUNCTION("""COMPUTED_VALUE"""),"นพอ.นภัสสร บุญรัตน์")</f>
        <v>นพอ.นภัสสร บุญรัตน์</v>
      </c>
      <c r="G590" s="3" t="str">
        <f>IFERROR(__xludf.DUMMYFUNCTION("""COMPUTED_VALUE"""),"ทำนุบำรุงศาสนสถาน")</f>
        <v>ทำนุบำรุงศาสนสถาน</v>
      </c>
      <c r="H590" s="3" t="str">
        <f>IFERROR(__xludf.DUMMYFUNCTION("""COMPUTED_VALUE"""),"กวาดอุโบสถ")</f>
        <v>กวาดอุโบสถ</v>
      </c>
      <c r="I590" s="3" t="str">
        <f>IFERROR(__xludf.DUMMYFUNCTION("""COMPUTED_VALUE"""),"วัดสุบรรณนิมิตร")</f>
        <v>วัดสุบรรณนิมิตร</v>
      </c>
      <c r="J590" s="12">
        <f>IFERROR(__xludf.DUMMYFUNCTION("""COMPUTED_VALUE"""),45879.0)</f>
        <v>45879</v>
      </c>
      <c r="K590" s="3" t="str">
        <f>IFERROR(__xludf.DUMMYFUNCTION("""COMPUTED_VALUE"""),"1500-1700")</f>
        <v>1500-1700</v>
      </c>
      <c r="L590" s="3">
        <f>IFERROR(__xludf.DUMMYFUNCTION("""COMPUTED_VALUE"""),2.0)</f>
        <v>2</v>
      </c>
      <c r="M590" s="3" t="str">
        <f>IFERROR(__xludf.DUMMYFUNCTION("""COMPUTED_VALUE"""),"นางสุพิศ บุญรัตน์")</f>
        <v>นางสุพิศ บุญรัตน์</v>
      </c>
      <c r="N590" s="14" t="str">
        <f>IFERROR(__xludf.DUMMYFUNCTION("""COMPUTED_VALUE"""),"https://lh5.googleusercontent.com/d/1rU3faAT9NYNUUomawTFw7eT5jb5P0IzV")</f>
        <v>https://lh5.googleusercontent.com/d/1rU3faAT9NYNUUomawTFw7eT5jb5P0IzV</v>
      </c>
      <c r="O590" s="14" t="str">
        <f>IFERROR(__xludf.DUMMYFUNCTION("""COMPUTED_VALUE"""),"https://drive.google.com/file/d/1r-4f8N98EINxml3X3bgyWzcL_3lWETe_/view?usp=drivesdk")</f>
        <v>https://drive.google.com/file/d/1r-4f8N98EINxml3X3bgyWzcL_3lWETe_/view?usp=drivesdk</v>
      </c>
    </row>
    <row r="591">
      <c r="A591" s="3">
        <f>IFERROR(__xludf.DUMMYFUNCTION("""COMPUTED_VALUE"""),2440.0)</f>
        <v>2440</v>
      </c>
      <c r="B591" s="11">
        <f>IFERROR(__xludf.DUMMYFUNCTION("""COMPUTED_VALUE"""),46170.61002756944)</f>
        <v>46170.61003</v>
      </c>
      <c r="C591" s="3" t="str">
        <f>IFERROR(__xludf.DUMMYFUNCTION("""COMPUTED_VALUE"""),"ชั้นปีที่ 1")</f>
        <v>ชั้นปีที่ 1</v>
      </c>
      <c r="D591" s="3" t="str">
        <f>IFERROR(__xludf.DUMMYFUNCTION("""COMPUTED_VALUE"""),"6803910")</f>
        <v>6803910</v>
      </c>
      <c r="E591" s="3" t="str">
        <f>IFERROR(__xludf.DUMMYFUNCTION("""COMPUTED_VALUE"""),"29")</f>
        <v>29</v>
      </c>
      <c r="F591" s="3" t="str">
        <f>IFERROR(__xludf.DUMMYFUNCTION("""COMPUTED_VALUE"""),"นพอ.นวพร โอรัตนสถาพร")</f>
        <v>นพอ.นวพร โอรัตนสถาพร</v>
      </c>
      <c r="G591" s="3" t="str">
        <f>IFERROR(__xludf.DUMMYFUNCTION("""COMPUTED_VALUE"""),"ช่วยเหลืองานภายใน วพอ.")</f>
        <v>ช่วยเหลืองานภายใน วพอ.</v>
      </c>
      <c r="H591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591" s="3" t="str">
        <f>IFERROR(__xludf.DUMMYFUNCTION("""COMPUTED_VALUE"""),"ลานข้างหอพัก")</f>
        <v>ลานข้างหอพัก</v>
      </c>
      <c r="J591" s="12">
        <f>IFERROR(__xludf.DUMMYFUNCTION("""COMPUTED_VALUE"""),46164.0)</f>
        <v>46164</v>
      </c>
      <c r="K591" s="3" t="str">
        <f>IFERROR(__xludf.DUMMYFUNCTION("""COMPUTED_VALUE"""),"1500-1700")</f>
        <v>1500-1700</v>
      </c>
      <c r="L591" s="3">
        <f>IFERROR(__xludf.DUMMYFUNCTION("""COMPUTED_VALUE"""),2.0)</f>
        <v>2</v>
      </c>
      <c r="M591" s="3" t="str">
        <f>IFERROR(__xludf.DUMMYFUNCTION("""COMPUTED_VALUE"""),"น.อ.หญิง นิตยา สุขแสน")</f>
        <v>น.อ.หญิง นิตยา สุขแสน</v>
      </c>
      <c r="N591" s="14" t="str">
        <f>IFERROR(__xludf.DUMMYFUNCTION("""COMPUTED_VALUE"""),"https://lh5.googleusercontent.com/d/14qH1H3KlOxf1wfTFtXRQRpTvmse9sPt0")</f>
        <v>https://lh5.googleusercontent.com/d/14qH1H3KlOxf1wfTFtXRQRpTvmse9sPt0</v>
      </c>
      <c r="O591" s="14" t="str">
        <f>IFERROR(__xludf.DUMMYFUNCTION("""COMPUTED_VALUE"""),"https://drive.google.com/file/d/1IUwGx-LlrklW_gLjle9GZBIes9xs-P9c/view?usp=drivesdk")</f>
        <v>https://drive.google.com/file/d/1IUwGx-LlrklW_gLjle9GZBIes9xs-P9c/view?usp=drivesdk</v>
      </c>
    </row>
    <row r="592">
      <c r="A592" s="3">
        <f>IFERROR(__xludf.DUMMYFUNCTION("""COMPUTED_VALUE"""),2442.0)</f>
        <v>2442</v>
      </c>
      <c r="B592" s="11">
        <f>IFERROR(__xludf.DUMMYFUNCTION("""COMPUTED_VALUE"""),46170.61489239583)</f>
        <v>46170.61489</v>
      </c>
      <c r="C592" s="3" t="str">
        <f>IFERROR(__xludf.DUMMYFUNCTION("""COMPUTED_VALUE"""),"ชั้นปีที่ 1")</f>
        <v>ชั้นปีที่ 1</v>
      </c>
      <c r="D592" s="3" t="str">
        <f>IFERROR(__xludf.DUMMYFUNCTION("""COMPUTED_VALUE"""),"6803910")</f>
        <v>6803910</v>
      </c>
      <c r="E592" s="3" t="str">
        <f>IFERROR(__xludf.DUMMYFUNCTION("""COMPUTED_VALUE"""),"29")</f>
        <v>29</v>
      </c>
      <c r="F592" s="3" t="str">
        <f>IFERROR(__xludf.DUMMYFUNCTION("""COMPUTED_VALUE"""),"นพอ.นวพร โอรัตนสถาพร")</f>
        <v>นพอ.นวพร โอรัตนสถาพร</v>
      </c>
      <c r="G59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2" s="3" t="str">
        <f>IFERROR(__xludf.DUMMYFUNCTION("""COMPUTED_VALUE"""),"เล่นดนตรี งานGreen market")</f>
        <v>เล่นดนตรี งานGreen market</v>
      </c>
      <c r="I592" s="3" t="str">
        <f>IFERROR(__xludf.DUMMYFUNCTION("""COMPUTED_VALUE"""),"หอประชุมสโมสรนายทหารชั้นประทวน")</f>
        <v>หอประชุมสโมสรนายทหารชั้นประทวน</v>
      </c>
      <c r="J592" s="12">
        <f>IFERROR(__xludf.DUMMYFUNCTION("""COMPUTED_VALUE"""),46135.0)</f>
        <v>46135</v>
      </c>
      <c r="K592" s="3" t="str">
        <f>IFERROR(__xludf.DUMMYFUNCTION("""COMPUTED_VALUE"""),"0800-1500")</f>
        <v>0800-1500</v>
      </c>
      <c r="L592" s="3">
        <f>IFERROR(__xludf.DUMMYFUNCTION("""COMPUTED_VALUE"""),8.0)</f>
        <v>8</v>
      </c>
      <c r="M592" s="3" t="str">
        <f>IFERROR(__xludf.DUMMYFUNCTION("""COMPUTED_VALUE"""),"ร.อ.ฤทธิพล อ้วนสิงห์")</f>
        <v>ร.อ.ฤทธิพล อ้วนสิงห์</v>
      </c>
      <c r="N592" s="14" t="str">
        <f>IFERROR(__xludf.DUMMYFUNCTION("""COMPUTED_VALUE"""),"https://lh5.googleusercontent.com/d/1nIfo2FiVHxgV6VjOSImz-Xt8wpRaBoTY")</f>
        <v>https://lh5.googleusercontent.com/d/1nIfo2FiVHxgV6VjOSImz-Xt8wpRaBoTY</v>
      </c>
      <c r="O592" s="14" t="str">
        <f>IFERROR(__xludf.DUMMYFUNCTION("""COMPUTED_VALUE"""),"https://drive.google.com/file/d/1d4Kz8mbk7pzwNpCy9fTRgv0SUHuJ1idA/view?usp=drivesdk")</f>
        <v>https://drive.google.com/file/d/1d4Kz8mbk7pzwNpCy9fTRgv0SUHuJ1idA/view?usp=drivesdk</v>
      </c>
    </row>
    <row r="593">
      <c r="A593" s="3">
        <f>IFERROR(__xludf.DUMMYFUNCTION("""COMPUTED_VALUE"""),2443.0)</f>
        <v>2443</v>
      </c>
      <c r="B593" s="11">
        <f>IFERROR(__xludf.DUMMYFUNCTION("""COMPUTED_VALUE"""),46170.61531978009)</f>
        <v>46170.61532</v>
      </c>
      <c r="C593" s="3" t="str">
        <f>IFERROR(__xludf.DUMMYFUNCTION("""COMPUTED_VALUE"""),"ชั้นปีที่ 1")</f>
        <v>ชั้นปีที่ 1</v>
      </c>
      <c r="D593" s="3" t="str">
        <f>IFERROR(__xludf.DUMMYFUNCTION("""COMPUTED_VALUE"""),"6803906")</f>
        <v>6803906</v>
      </c>
      <c r="E593" s="3" t="str">
        <f>IFERROR(__xludf.DUMMYFUNCTION("""COMPUTED_VALUE"""),"25")</f>
        <v>25</v>
      </c>
      <c r="F593" s="3" t="str">
        <f>IFERROR(__xludf.DUMMYFUNCTION("""COMPUTED_VALUE"""),"นพอ.ธัญวรัตน์ ยงคะวิสัย")</f>
        <v>นพอ.ธัญวรัตน์ ยงคะวิสัย</v>
      </c>
      <c r="G593" s="3" t="str">
        <f>IFERROR(__xludf.DUMMYFUNCTION("""COMPUTED_VALUE"""),"ช่วยเหลืองานภายใน วพอ.")</f>
        <v>ช่วยเหลืองานภายใน วพอ.</v>
      </c>
      <c r="H593" s="3" t="str">
        <f>IFERROR(__xludf.DUMMYFUNCTION("""COMPUTED_VALUE"""),"เล่นดุริยางค์")</f>
        <v>เล่นดุริยางค์</v>
      </c>
      <c r="I593" s="3" t="str">
        <f>IFERROR(__xludf.DUMMYFUNCTION("""COMPUTED_VALUE"""),"วพอ.พอ.")</f>
        <v>วพอ.พอ.</v>
      </c>
      <c r="J593" s="12">
        <f>IFERROR(__xludf.DUMMYFUNCTION("""COMPUTED_VALUE"""),46143.0)</f>
        <v>46143</v>
      </c>
      <c r="K593" s="3" t="str">
        <f>IFERROR(__xludf.DUMMYFUNCTION("""COMPUTED_VALUE"""),"0700-0800")</f>
        <v>0700-0800</v>
      </c>
      <c r="L593" s="3">
        <f>IFERROR(__xludf.DUMMYFUNCTION("""COMPUTED_VALUE"""),1.0)</f>
        <v>1</v>
      </c>
      <c r="M593" s="3" t="str">
        <f>IFERROR(__xludf.DUMMYFUNCTION("""COMPUTED_VALUE"""),"ร.อ.อนุชิต ทำจะดี")</f>
        <v>ร.อ.อนุชิต ทำจะดี</v>
      </c>
      <c r="N593" s="14" t="str">
        <f>IFERROR(__xludf.DUMMYFUNCTION("""COMPUTED_VALUE"""),"https://lh5.googleusercontent.com/d/1T27IpLGDUTPweArfA8aaXxTc4dohZKcR")</f>
        <v>https://lh5.googleusercontent.com/d/1T27IpLGDUTPweArfA8aaXxTc4dohZKcR</v>
      </c>
      <c r="O593" s="14" t="str">
        <f>IFERROR(__xludf.DUMMYFUNCTION("""COMPUTED_VALUE"""),"https://drive.google.com/file/d/16VhCbzmquux9-rSYX-GxxfjxIhIjAegQ/view?usp=drivesdk")</f>
        <v>https://drive.google.com/file/d/16VhCbzmquux9-rSYX-GxxfjxIhIjAegQ/view?usp=drivesdk</v>
      </c>
    </row>
    <row r="594">
      <c r="A594" s="3">
        <f>IFERROR(__xludf.DUMMYFUNCTION("""COMPUTED_VALUE"""),2444.0)</f>
        <v>2444</v>
      </c>
      <c r="B594" s="11">
        <f>IFERROR(__xludf.DUMMYFUNCTION("""COMPUTED_VALUE"""),46170.615499363426)</f>
        <v>46170.6155</v>
      </c>
      <c r="C594" s="3" t="str">
        <f>IFERROR(__xludf.DUMMYFUNCTION("""COMPUTED_VALUE"""),"ชั้นปีที่ 1")</f>
        <v>ชั้นปีที่ 1</v>
      </c>
      <c r="D594" s="3" t="str">
        <f>IFERROR(__xludf.DUMMYFUNCTION("""COMPUTED_VALUE"""),"6803943")</f>
        <v>6803943</v>
      </c>
      <c r="E594" s="3" t="str">
        <f>IFERROR(__xludf.DUMMYFUNCTION("""COMPUTED_VALUE"""),"62")</f>
        <v>62</v>
      </c>
      <c r="F594" s="3" t="str">
        <f>IFERROR(__xludf.DUMMYFUNCTION("""COMPUTED_VALUE"""),"นพอ.อภิสรา บุญเกื้อ")</f>
        <v>นพอ.อภิสรา บุญเกื้อ</v>
      </c>
      <c r="G5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4" s="3" t="str">
        <f>IFERROR(__xludf.DUMMYFUNCTION("""COMPUTED_VALUE"""),"เดินแบบงานวันกองทัพอากาศ 2569")</f>
        <v>เดินแบบงานวันกองทัพอากาศ 2569</v>
      </c>
      <c r="I594" s="3" t="str">
        <f>IFERROR(__xludf.DUMMYFUNCTION("""COMPUTED_VALUE"""),"อาคารรณนภากาศ")</f>
        <v>อาคารรณนภากาศ</v>
      </c>
      <c r="J594" s="12">
        <f>IFERROR(__xludf.DUMMYFUNCTION("""COMPUTED_VALUE"""),46119.0)</f>
        <v>46119</v>
      </c>
      <c r="K594" s="3" t="str">
        <f>IFERROR(__xludf.DUMMYFUNCTION("""COMPUTED_VALUE"""),"1500-2000")</f>
        <v>1500-2000</v>
      </c>
      <c r="L594" s="3">
        <f>IFERROR(__xludf.DUMMYFUNCTION("""COMPUTED_VALUE"""),6.0)</f>
        <v>6</v>
      </c>
      <c r="M594" s="3" t="str">
        <f>IFERROR(__xludf.DUMMYFUNCTION("""COMPUTED_VALUE"""),"ร.อ.หญิง ขนัฏฐา นาดี")</f>
        <v>ร.อ.หญิง ขนัฏฐา นาดี</v>
      </c>
      <c r="N594" s="14" t="str">
        <f>IFERROR(__xludf.DUMMYFUNCTION("""COMPUTED_VALUE"""),"https://lh5.googleusercontent.com/d/13XKFjNc9MeRhoQ-cZEYdAqdvwEW50IGd")</f>
        <v>https://lh5.googleusercontent.com/d/13XKFjNc9MeRhoQ-cZEYdAqdvwEW50IGd</v>
      </c>
      <c r="O594" s="14" t="str">
        <f>IFERROR(__xludf.DUMMYFUNCTION("""COMPUTED_VALUE"""),"https://drive.google.com/file/d/1Y-35lKoKHLNuJ5BBvUag0uovPKFcdDVl/view?usp=drivesdk")</f>
        <v>https://drive.google.com/file/d/1Y-35lKoKHLNuJ5BBvUag0uovPKFcdDVl/view?usp=drivesdk</v>
      </c>
    </row>
    <row r="595">
      <c r="A595" s="3">
        <f>IFERROR(__xludf.DUMMYFUNCTION("""COMPUTED_VALUE"""),2445.0)</f>
        <v>2445</v>
      </c>
      <c r="B595" s="11">
        <f>IFERROR(__xludf.DUMMYFUNCTION("""COMPUTED_VALUE"""),46170.61620128472)</f>
        <v>46170.6162</v>
      </c>
      <c r="C595" s="3" t="str">
        <f>IFERROR(__xludf.DUMMYFUNCTION("""COMPUTED_VALUE"""),"ชั้นปีที่ 1")</f>
        <v>ชั้นปีที่ 1</v>
      </c>
      <c r="D595" s="3" t="str">
        <f>IFERROR(__xludf.DUMMYFUNCTION("""COMPUTED_VALUE"""),"6803906")</f>
        <v>6803906</v>
      </c>
      <c r="E595" s="3" t="str">
        <f>IFERROR(__xludf.DUMMYFUNCTION("""COMPUTED_VALUE"""),"25")</f>
        <v>25</v>
      </c>
      <c r="F595" s="3" t="str">
        <f>IFERROR(__xludf.DUMMYFUNCTION("""COMPUTED_VALUE"""),"นพอ.ธัญวรัตน์ ยงคะวิสัย")</f>
        <v>นพอ.ธัญวรัตน์ ยงคะวิสัย</v>
      </c>
      <c r="G595" s="3" t="str">
        <f>IFERROR(__xludf.DUMMYFUNCTION("""COMPUTED_VALUE"""),"ช่วยเหลืองานภายใน วพอ.")</f>
        <v>ช่วยเหลืองานภายใน วพอ.</v>
      </c>
      <c r="H595" s="3" t="str">
        <f>IFERROR(__xludf.DUMMYFUNCTION("""COMPUTED_VALUE"""),"เล่นดุริยางค์")</f>
        <v>เล่นดุริยางค์</v>
      </c>
      <c r="I595" s="3" t="str">
        <f>IFERROR(__xludf.DUMMYFUNCTION("""COMPUTED_VALUE"""),"วพอ.พอ.")</f>
        <v>วพอ.พอ.</v>
      </c>
      <c r="J595" s="12">
        <f>IFERROR(__xludf.DUMMYFUNCTION("""COMPUTED_VALUE"""),46107.0)</f>
        <v>46107</v>
      </c>
      <c r="K595" s="3" t="str">
        <f>IFERROR(__xludf.DUMMYFUNCTION("""COMPUTED_VALUE"""),"0700-0800")</f>
        <v>0700-0800</v>
      </c>
      <c r="L595" s="3">
        <f>IFERROR(__xludf.DUMMYFUNCTION("""COMPUTED_VALUE"""),1.0)</f>
        <v>1</v>
      </c>
      <c r="M595" s="3" t="str">
        <f>IFERROR(__xludf.DUMMYFUNCTION("""COMPUTED_VALUE"""),"ร.อ.อนุชิต ทำจะดี")</f>
        <v>ร.อ.อนุชิต ทำจะดี</v>
      </c>
      <c r="N595" s="14" t="str">
        <f>IFERROR(__xludf.DUMMYFUNCTION("""COMPUTED_VALUE"""),"https://lh5.googleusercontent.com/d/17tktujrzSVoxkOsEjYJzoESQuvFSSayE")</f>
        <v>https://lh5.googleusercontent.com/d/17tktujrzSVoxkOsEjYJzoESQuvFSSayE</v>
      </c>
      <c r="O595" s="14" t="str">
        <f>IFERROR(__xludf.DUMMYFUNCTION("""COMPUTED_VALUE"""),"https://drive.google.com/file/d/1Oe3Nomi1YIz9225G5PJbgya0Nc6yGMHI/view?usp=drivesdk")</f>
        <v>https://drive.google.com/file/d/1Oe3Nomi1YIz9225G5PJbgya0Nc6yGMHI/view?usp=drivesdk</v>
      </c>
    </row>
    <row r="596">
      <c r="A596" s="3">
        <f>IFERROR(__xludf.DUMMYFUNCTION("""COMPUTED_VALUE"""),2446.0)</f>
        <v>2446</v>
      </c>
      <c r="B596" s="11">
        <f>IFERROR(__xludf.DUMMYFUNCTION("""COMPUTED_VALUE"""),46170.617042847225)</f>
        <v>46170.61704</v>
      </c>
      <c r="C596" s="3" t="str">
        <f>IFERROR(__xludf.DUMMYFUNCTION("""COMPUTED_VALUE"""),"ชั้นปีที่ 1")</f>
        <v>ชั้นปีที่ 1</v>
      </c>
      <c r="D596" s="3" t="str">
        <f>IFERROR(__xludf.DUMMYFUNCTION("""COMPUTED_VALUE"""),"6803943")</f>
        <v>6803943</v>
      </c>
      <c r="E596" s="3" t="str">
        <f>IFERROR(__xludf.DUMMYFUNCTION("""COMPUTED_VALUE"""),"62")</f>
        <v>62</v>
      </c>
      <c r="F596" s="3" t="str">
        <f>IFERROR(__xludf.DUMMYFUNCTION("""COMPUTED_VALUE"""),"นพอ.อภิสรา บุญเกื้อ")</f>
        <v>นพอ.อภิสรา บุญเกื้อ</v>
      </c>
      <c r="G59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6" s="3" t="str">
        <f>IFERROR(__xludf.DUMMYFUNCTION("""COMPUTED_VALUE"""),"ซ้อมเดินแบบงานวันกองทัพอากาศ 2569")</f>
        <v>ซ้อมเดินแบบงานวันกองทัพอากาศ 2569</v>
      </c>
      <c r="I596" s="3" t="str">
        <f>IFERROR(__xludf.DUMMYFUNCTION("""COMPUTED_VALUE"""),"อาคารรณนภากาศ")</f>
        <v>อาคารรณนภากาศ</v>
      </c>
      <c r="J596" s="12">
        <f>IFERROR(__xludf.DUMMYFUNCTION("""COMPUTED_VALUE"""),46120.0)</f>
        <v>46120</v>
      </c>
      <c r="K596" s="3" t="str">
        <f>IFERROR(__xludf.DUMMYFUNCTION("""COMPUTED_VALUE"""),"1300-1800")</f>
        <v>1300-1800</v>
      </c>
      <c r="L596" s="3">
        <f>IFERROR(__xludf.DUMMYFUNCTION("""COMPUTED_VALUE"""),6.0)</f>
        <v>6</v>
      </c>
      <c r="M596" s="3" t="str">
        <f>IFERROR(__xludf.DUMMYFUNCTION("""COMPUTED_VALUE"""),"ร.อ.หญิง ขนัฏฐา นาดี")</f>
        <v>ร.อ.หญิง ขนัฏฐา นาดี</v>
      </c>
      <c r="N596" s="14" t="str">
        <f>IFERROR(__xludf.DUMMYFUNCTION("""COMPUTED_VALUE"""),"https://lh5.googleusercontent.com/d/19Wipll4TDb093Q-xGtKCmCB2wTR-Y-GC")</f>
        <v>https://lh5.googleusercontent.com/d/19Wipll4TDb093Q-xGtKCmCB2wTR-Y-GC</v>
      </c>
      <c r="O596" s="14" t="str">
        <f>IFERROR(__xludf.DUMMYFUNCTION("""COMPUTED_VALUE"""),"https://drive.google.com/file/d/1AAs55PpcBFydGUa3MPZDMYWg8eoP0MVJ/view?usp=drivesdk")</f>
        <v>https://drive.google.com/file/d/1AAs55PpcBFydGUa3MPZDMYWg8eoP0MVJ/view?usp=drivesdk</v>
      </c>
    </row>
    <row r="597">
      <c r="A597" s="3">
        <f>IFERROR(__xludf.DUMMYFUNCTION("""COMPUTED_VALUE"""),2447.0)</f>
        <v>2447</v>
      </c>
      <c r="B597" s="11">
        <f>IFERROR(__xludf.DUMMYFUNCTION("""COMPUTED_VALUE"""),46170.61713644676)</f>
        <v>46170.61714</v>
      </c>
      <c r="C597" s="3" t="str">
        <f>IFERROR(__xludf.DUMMYFUNCTION("""COMPUTED_VALUE"""),"ชั้นปีที่ 1")</f>
        <v>ชั้นปีที่ 1</v>
      </c>
      <c r="D597" s="3" t="str">
        <f>IFERROR(__xludf.DUMMYFUNCTION("""COMPUTED_VALUE"""),"6803906")</f>
        <v>6803906</v>
      </c>
      <c r="E597" s="3" t="str">
        <f>IFERROR(__xludf.DUMMYFUNCTION("""COMPUTED_VALUE"""),"25")</f>
        <v>25</v>
      </c>
      <c r="F597" s="3" t="str">
        <f>IFERROR(__xludf.DUMMYFUNCTION("""COMPUTED_VALUE"""),"นพอ.ธัญวรัตน์ ยงคะวิสัย")</f>
        <v>นพอ.ธัญวรัตน์ ยงคะวิสัย</v>
      </c>
      <c r="G597" s="3" t="str">
        <f>IFERROR(__xludf.DUMMYFUNCTION("""COMPUTED_VALUE"""),"ช่วยเหลืองานภายใน วพอ.")</f>
        <v>ช่วยเหลืองานภายใน วพอ.</v>
      </c>
      <c r="H597" s="3" t="str">
        <f>IFERROR(__xludf.DUMMYFUNCTION("""COMPUTED_VALUE"""),"เล่นดุริยางค์")</f>
        <v>เล่นดุริยางค์</v>
      </c>
      <c r="I597" s="3" t="str">
        <f>IFERROR(__xludf.DUMMYFUNCTION("""COMPUTED_VALUE"""),"วพอ.พอ")</f>
        <v>วพอ.พอ</v>
      </c>
      <c r="J597" s="12">
        <f>IFERROR(__xludf.DUMMYFUNCTION("""COMPUTED_VALUE"""),46085.0)</f>
        <v>46085</v>
      </c>
      <c r="K597" s="3" t="str">
        <f>IFERROR(__xludf.DUMMYFUNCTION("""COMPUTED_VALUE"""),"0700-0800")</f>
        <v>0700-0800</v>
      </c>
      <c r="L597" s="3">
        <f>IFERROR(__xludf.DUMMYFUNCTION("""COMPUTED_VALUE"""),1.0)</f>
        <v>1</v>
      </c>
      <c r="M597" s="3" t="str">
        <f>IFERROR(__xludf.DUMMYFUNCTION("""COMPUTED_VALUE"""),"ร.อ.อนุชิต ทำจะดี")</f>
        <v>ร.อ.อนุชิต ทำจะดี</v>
      </c>
      <c r="N597" s="14" t="str">
        <f>IFERROR(__xludf.DUMMYFUNCTION("""COMPUTED_VALUE"""),"https://lh5.googleusercontent.com/d/1CUqEfA5hSVbQ7Nm0zm6I_5r7V0X2sEVg")</f>
        <v>https://lh5.googleusercontent.com/d/1CUqEfA5hSVbQ7Nm0zm6I_5r7V0X2sEVg</v>
      </c>
      <c r="O597" s="14" t="str">
        <f>IFERROR(__xludf.DUMMYFUNCTION("""COMPUTED_VALUE"""),"https://drive.google.com/file/d/1_JMIXnxxPfbymOXVtqvjoguFtA0wLlJs/view?usp=drivesdk")</f>
        <v>https://drive.google.com/file/d/1_JMIXnxxPfbymOXVtqvjoguFtA0wLlJs/view?usp=drivesdk</v>
      </c>
    </row>
    <row r="598">
      <c r="A598" s="3">
        <f>IFERROR(__xludf.DUMMYFUNCTION("""COMPUTED_VALUE"""),2448.0)</f>
        <v>2448</v>
      </c>
      <c r="B598" s="11">
        <f>IFERROR(__xludf.DUMMYFUNCTION("""COMPUTED_VALUE"""),46170.617167638884)</f>
        <v>46170.61717</v>
      </c>
      <c r="C598" s="3" t="str">
        <f>IFERROR(__xludf.DUMMYFUNCTION("""COMPUTED_VALUE"""),"ชั้นปีที่ 1")</f>
        <v>ชั้นปีที่ 1</v>
      </c>
      <c r="D598" s="3" t="str">
        <f>IFERROR(__xludf.DUMMYFUNCTION("""COMPUTED_VALUE"""),"6803908")</f>
        <v>6803908</v>
      </c>
      <c r="E598" s="3" t="str">
        <f>IFERROR(__xludf.DUMMYFUNCTION("""COMPUTED_VALUE"""),"27")</f>
        <v>27</v>
      </c>
      <c r="F598" s="3" t="str">
        <f>IFERROR(__xludf.DUMMYFUNCTION("""COMPUTED_VALUE"""),"นพอ.นภัสสร บุญรัตน์")</f>
        <v>นพอ.นภัสสร บุญรัตน์</v>
      </c>
      <c r="G598" s="3" t="str">
        <f>IFERROR(__xludf.DUMMYFUNCTION("""COMPUTED_VALUE"""),"ช่วยเหลืองานภายใน วพอ.")</f>
        <v>ช่วยเหลืองานภายใน วพอ.</v>
      </c>
      <c r="H598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598" s="3" t="str">
        <f>IFERROR(__xludf.DUMMYFUNCTION("""COMPUTED_VALUE"""),"อาคารสำนักงานชั้น 4")</f>
        <v>อาคารสำนักงานชั้น 4</v>
      </c>
      <c r="J598" s="12">
        <f>IFERROR(__xludf.DUMMYFUNCTION("""COMPUTED_VALUE"""),46147.0)</f>
        <v>46147</v>
      </c>
      <c r="K598" s="3" t="str">
        <f>IFERROR(__xludf.DUMMYFUNCTION("""COMPUTED_VALUE"""),"1500-1800")</f>
        <v>1500-1800</v>
      </c>
      <c r="L598" s="3">
        <f>IFERROR(__xludf.DUMMYFUNCTION("""COMPUTED_VALUE"""),3.0)</f>
        <v>3</v>
      </c>
      <c r="M598" s="3" t="str">
        <f>IFERROR(__xludf.DUMMYFUNCTION("""COMPUTED_VALUE"""),"น.ต.ศักชัย บุญประสิทธิ์")</f>
        <v>น.ต.ศักชัย บุญประสิทธิ์</v>
      </c>
      <c r="N598" s="14" t="str">
        <f>IFERROR(__xludf.DUMMYFUNCTION("""COMPUTED_VALUE"""),"https://lh5.googleusercontent.com/d/1KvOAo6FWoS0-wede8vekakwfPxvbZQRp")</f>
        <v>https://lh5.googleusercontent.com/d/1KvOAo6FWoS0-wede8vekakwfPxvbZQRp</v>
      </c>
      <c r="O598" s="14" t="str">
        <f>IFERROR(__xludf.DUMMYFUNCTION("""COMPUTED_VALUE"""),"https://drive.google.com/file/d/1qWHP2GFRB468kBpbqbbp_EMoms_Z2c4V/view?usp=drivesdk")</f>
        <v>https://drive.google.com/file/d/1qWHP2GFRB468kBpbqbbp_EMoms_Z2c4V/view?usp=drivesdk</v>
      </c>
    </row>
    <row r="599">
      <c r="A599" s="3">
        <f>IFERROR(__xludf.DUMMYFUNCTION("""COMPUTED_VALUE"""),2451.0)</f>
        <v>2451</v>
      </c>
      <c r="B599" s="11">
        <f>IFERROR(__xludf.DUMMYFUNCTION("""COMPUTED_VALUE"""),46170.61850240741)</f>
        <v>46170.6185</v>
      </c>
      <c r="C599" s="3" t="str">
        <f>IFERROR(__xludf.DUMMYFUNCTION("""COMPUTED_VALUE"""),"ชั้นปีที่ 1")</f>
        <v>ชั้นปีที่ 1</v>
      </c>
      <c r="D599" s="3" t="str">
        <f>IFERROR(__xludf.DUMMYFUNCTION("""COMPUTED_VALUE"""),"6803943")</f>
        <v>6803943</v>
      </c>
      <c r="E599" s="3" t="str">
        <f>IFERROR(__xludf.DUMMYFUNCTION("""COMPUTED_VALUE"""),"62")</f>
        <v>62</v>
      </c>
      <c r="F599" s="3" t="str">
        <f>IFERROR(__xludf.DUMMYFUNCTION("""COMPUTED_VALUE"""),"นพอ.อภิสรา บุญเกื้อ")</f>
        <v>นพอ.อภิสรา บุญเกื้อ</v>
      </c>
      <c r="G59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599" s="3" t="str">
        <f>IFERROR(__xludf.DUMMYFUNCTION("""COMPUTED_VALUE"""),"เดินแบบงานวันกองทัพอากาศ 2569")</f>
        <v>เดินแบบงานวันกองทัพอากาศ 2569</v>
      </c>
      <c r="I599" s="3" t="str">
        <f>IFERROR(__xludf.DUMMYFUNCTION("""COMPUTED_VALUE"""),"อาคารรณนภากาศ")</f>
        <v>อาคารรณนภากาศ</v>
      </c>
      <c r="J599" s="12">
        <f>IFERROR(__xludf.DUMMYFUNCTION("""COMPUTED_VALUE"""),46121.0)</f>
        <v>46121</v>
      </c>
      <c r="K599" s="3" t="str">
        <f>IFERROR(__xludf.DUMMYFUNCTION("""COMPUTED_VALUE"""),"1300-2000")</f>
        <v>1300-2000</v>
      </c>
      <c r="L599" s="3">
        <f>IFERROR(__xludf.DUMMYFUNCTION("""COMPUTED_VALUE"""),8.0)</f>
        <v>8</v>
      </c>
      <c r="M599" s="3" t="str">
        <f>IFERROR(__xludf.DUMMYFUNCTION("""COMPUTED_VALUE"""),"ร.อ.หญิง ขนัฏฐา นาดี")</f>
        <v>ร.อ.หญิง ขนัฏฐา นาดี</v>
      </c>
      <c r="N599" s="14" t="str">
        <f>IFERROR(__xludf.DUMMYFUNCTION("""COMPUTED_VALUE"""),"https://lh5.googleusercontent.com/d/1p5YKLagmS7tijmUqKLj4aSQmRxPcQWCk")</f>
        <v>https://lh5.googleusercontent.com/d/1p5YKLagmS7tijmUqKLj4aSQmRxPcQWCk</v>
      </c>
      <c r="O599" s="14" t="str">
        <f>IFERROR(__xludf.DUMMYFUNCTION("""COMPUTED_VALUE"""),"https://drive.google.com/file/d/1WlTL4u5XGybAJvAtTjyPM0t4xyfFCdet/view?usp=drivesdk")</f>
        <v>https://drive.google.com/file/d/1WlTL4u5XGybAJvAtTjyPM0t4xyfFCdet/view?usp=drivesdk</v>
      </c>
    </row>
    <row r="600">
      <c r="A600" s="3">
        <f>IFERROR(__xludf.DUMMYFUNCTION("""COMPUTED_VALUE"""),2452.0)</f>
        <v>2452</v>
      </c>
      <c r="B600" s="11">
        <f>IFERROR(__xludf.DUMMYFUNCTION("""COMPUTED_VALUE"""),46170.61954168982)</f>
        <v>46170.61954</v>
      </c>
      <c r="C600" s="3" t="str">
        <f>IFERROR(__xludf.DUMMYFUNCTION("""COMPUTED_VALUE"""),"ชั้นปีที่ 1")</f>
        <v>ชั้นปีที่ 1</v>
      </c>
      <c r="D600" s="3" t="str">
        <f>IFERROR(__xludf.DUMMYFUNCTION("""COMPUTED_VALUE"""),"6803906")</f>
        <v>6803906</v>
      </c>
      <c r="E600" s="3" t="str">
        <f>IFERROR(__xludf.DUMMYFUNCTION("""COMPUTED_VALUE"""),"25")</f>
        <v>25</v>
      </c>
      <c r="F600" s="3" t="str">
        <f>IFERROR(__xludf.DUMMYFUNCTION("""COMPUTED_VALUE"""),"นพอ.ธัญวรัตน์ ยงคะวิสัย")</f>
        <v>นพอ.ธัญวรัตน์ ยงคะวิสัย</v>
      </c>
      <c r="G600" s="3" t="str">
        <f>IFERROR(__xludf.DUMMYFUNCTION("""COMPUTED_VALUE"""),"ช่วยเหลืองานภายใน วพอ.")</f>
        <v>ช่วยเหลืองานภายใน วพอ.</v>
      </c>
      <c r="H600" s="3" t="str">
        <f>IFERROR(__xludf.DUMMYFUNCTION("""COMPUTED_VALUE"""),"เล่นดุริยางค์")</f>
        <v>เล่นดุริยางค์</v>
      </c>
      <c r="I600" s="3" t="str">
        <f>IFERROR(__xludf.DUMMYFUNCTION("""COMPUTED_VALUE"""),"วพอ.พอ.")</f>
        <v>วพอ.พอ.</v>
      </c>
      <c r="J600" s="12">
        <f>IFERROR(__xludf.DUMMYFUNCTION("""COMPUTED_VALUE"""),46149.0)</f>
        <v>46149</v>
      </c>
      <c r="K600" s="3" t="str">
        <f>IFERROR(__xludf.DUMMYFUNCTION("""COMPUTED_VALUE"""),"0700-0800")</f>
        <v>0700-0800</v>
      </c>
      <c r="L600" s="3">
        <f>IFERROR(__xludf.DUMMYFUNCTION("""COMPUTED_VALUE"""),1.0)</f>
        <v>1</v>
      </c>
      <c r="M600" s="3" t="str">
        <f>IFERROR(__xludf.DUMMYFUNCTION("""COMPUTED_VALUE"""),"ร.อ.อนุชิต ทำจะดี")</f>
        <v>ร.อ.อนุชิต ทำจะดี</v>
      </c>
      <c r="N600" s="14" t="str">
        <f>IFERROR(__xludf.DUMMYFUNCTION("""COMPUTED_VALUE"""),"https://lh5.googleusercontent.com/d/1zJIuB9TbxDq9LwCkn-Qh3NzIze4IrZO0")</f>
        <v>https://lh5.googleusercontent.com/d/1zJIuB9TbxDq9LwCkn-Qh3NzIze4IrZO0</v>
      </c>
      <c r="O600" s="14" t="str">
        <f>IFERROR(__xludf.DUMMYFUNCTION("""COMPUTED_VALUE"""),"https://drive.google.com/file/d/1TOGbciHaaxLfiClivT4DzeD1OzBBKMVV/view?usp=drivesdk")</f>
        <v>https://drive.google.com/file/d/1TOGbciHaaxLfiClivT4DzeD1OzBBKMVV/view?usp=drivesdk</v>
      </c>
    </row>
    <row r="601">
      <c r="A601" s="3">
        <f>IFERROR(__xludf.DUMMYFUNCTION("""COMPUTED_VALUE"""),2453.0)</f>
        <v>2453</v>
      </c>
      <c r="B601" s="11">
        <f>IFERROR(__xludf.DUMMYFUNCTION("""COMPUTED_VALUE"""),46170.62044688657)</f>
        <v>46170.62045</v>
      </c>
      <c r="C601" s="3" t="str">
        <f>IFERROR(__xludf.DUMMYFUNCTION("""COMPUTED_VALUE"""),"ชั้นปีที่ 1")</f>
        <v>ชั้นปีที่ 1</v>
      </c>
      <c r="D601" s="3" t="str">
        <f>IFERROR(__xludf.DUMMYFUNCTION("""COMPUTED_VALUE"""),"6803906")</f>
        <v>6803906</v>
      </c>
      <c r="E601" s="3" t="str">
        <f>IFERROR(__xludf.DUMMYFUNCTION("""COMPUTED_VALUE"""),"25")</f>
        <v>25</v>
      </c>
      <c r="F601" s="3" t="str">
        <f>IFERROR(__xludf.DUMMYFUNCTION("""COMPUTED_VALUE"""),"นพอ.ธัญวรัตน์ ยงคะวิสัย")</f>
        <v>นพอ.ธัญวรัตน์ ยงคะวิสัย</v>
      </c>
      <c r="G601" s="3" t="str">
        <f>IFERROR(__xludf.DUMMYFUNCTION("""COMPUTED_VALUE"""),"ช่วยเหลืองานภายใน วพอ.")</f>
        <v>ช่วยเหลืองานภายใน วพอ.</v>
      </c>
      <c r="H601" s="3" t="str">
        <f>IFERROR(__xludf.DUMMYFUNCTION("""COMPUTED_VALUE"""),"เล่นดุริยางค์")</f>
        <v>เล่นดุริยางค์</v>
      </c>
      <c r="I601" s="3" t="str">
        <f>IFERROR(__xludf.DUMMYFUNCTION("""COMPUTED_VALUE"""),"วพอ.พอ.")</f>
        <v>วพอ.พอ.</v>
      </c>
      <c r="J601" s="12">
        <f>IFERROR(__xludf.DUMMYFUNCTION("""COMPUTED_VALUE"""),46156.0)</f>
        <v>46156</v>
      </c>
      <c r="K601" s="3" t="str">
        <f>IFERROR(__xludf.DUMMYFUNCTION("""COMPUTED_VALUE"""),"0700-0800")</f>
        <v>0700-0800</v>
      </c>
      <c r="L601" s="3">
        <f>IFERROR(__xludf.DUMMYFUNCTION("""COMPUTED_VALUE"""),1.0)</f>
        <v>1</v>
      </c>
      <c r="M601" s="3" t="str">
        <f>IFERROR(__xludf.DUMMYFUNCTION("""COMPUTED_VALUE"""),"ร.อ.อนุชิต ทำจะดี")</f>
        <v>ร.อ.อนุชิต ทำจะดี</v>
      </c>
      <c r="N601" s="14" t="str">
        <f>IFERROR(__xludf.DUMMYFUNCTION("""COMPUTED_VALUE"""),"https://lh5.googleusercontent.com/d/1ow85lzaYyDv_6ez3lptBoueWOhd3yBiB")</f>
        <v>https://lh5.googleusercontent.com/d/1ow85lzaYyDv_6ez3lptBoueWOhd3yBiB</v>
      </c>
      <c r="O601" s="14" t="str">
        <f>IFERROR(__xludf.DUMMYFUNCTION("""COMPUTED_VALUE"""),"https://drive.google.com/file/d/1RgCdhSWx9mC1pkKvjcM9QM8vq0QNrT_F/view?usp=drivesdk")</f>
        <v>https://drive.google.com/file/d/1RgCdhSWx9mC1pkKvjcM9QM8vq0QNrT_F/view?usp=drivesdk</v>
      </c>
    </row>
    <row r="602">
      <c r="A602" s="3">
        <f>IFERROR(__xludf.DUMMYFUNCTION("""COMPUTED_VALUE"""),2454.0)</f>
        <v>2454</v>
      </c>
      <c r="B602" s="11">
        <f>IFERROR(__xludf.DUMMYFUNCTION("""COMPUTED_VALUE"""),46170.62130395833)</f>
        <v>46170.6213</v>
      </c>
      <c r="C602" s="3" t="str">
        <f>IFERROR(__xludf.DUMMYFUNCTION("""COMPUTED_VALUE"""),"ชั้นปีที่ 1")</f>
        <v>ชั้นปีที่ 1</v>
      </c>
      <c r="D602" s="3" t="str">
        <f>IFERROR(__xludf.DUMMYFUNCTION("""COMPUTED_VALUE"""),"6803897")</f>
        <v>6803897</v>
      </c>
      <c r="E602" s="3" t="str">
        <f>IFERROR(__xludf.DUMMYFUNCTION("""COMPUTED_VALUE"""),"16")</f>
        <v>16</v>
      </c>
      <c r="F602" s="3" t="str">
        <f>IFERROR(__xludf.DUMMYFUNCTION("""COMPUTED_VALUE"""),"นพอ.ณัฐญา ชลอปัญจศิลป์")</f>
        <v>นพอ.ณัฐญา ชลอปัญจศิลป์</v>
      </c>
      <c r="G60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02" s="3" t="str">
        <f>IFERROR(__xludf.DUMMYFUNCTION("""COMPUTED_VALUE"""),"Green market")</f>
        <v>Green market</v>
      </c>
      <c r="I602" s="3" t="str">
        <f>IFERROR(__xludf.DUMMYFUNCTION("""COMPUTED_VALUE"""),"หอประชุมสโมสรนายทหารชั้นประทวน")</f>
        <v>หอประชุมสโมสรนายทหารชั้นประทวน</v>
      </c>
      <c r="J602" s="12">
        <f>IFERROR(__xludf.DUMMYFUNCTION("""COMPUTED_VALUE"""),46135.0)</f>
        <v>46135</v>
      </c>
      <c r="K602" s="3" t="str">
        <f>IFERROR(__xludf.DUMMYFUNCTION("""COMPUTED_VALUE"""),"0800-1500")</f>
        <v>0800-1500</v>
      </c>
      <c r="L602" s="3">
        <f>IFERROR(__xludf.DUMMYFUNCTION("""COMPUTED_VALUE"""),8.0)</f>
        <v>8</v>
      </c>
      <c r="M602" s="3" t="str">
        <f>IFERROR(__xludf.DUMMYFUNCTION("""COMPUTED_VALUE"""),"ร.อ.ฤทธิพล อ้วนสิงห์")</f>
        <v>ร.อ.ฤทธิพล อ้วนสิงห์</v>
      </c>
      <c r="N602" s="14" t="str">
        <f>IFERROR(__xludf.DUMMYFUNCTION("""COMPUTED_VALUE"""),"https://lh5.googleusercontent.com/d/1V73eCsHniyY38NJ4IhYvtSdUHeRfgKT2")</f>
        <v>https://lh5.googleusercontent.com/d/1V73eCsHniyY38NJ4IhYvtSdUHeRfgKT2</v>
      </c>
      <c r="O602" s="14" t="str">
        <f>IFERROR(__xludf.DUMMYFUNCTION("""COMPUTED_VALUE"""),"https://drive.google.com/file/d/1Kq05i2uNMjClaB38OFHguRNiiboL7kWf/view?usp=drivesdk")</f>
        <v>https://drive.google.com/file/d/1Kq05i2uNMjClaB38OFHguRNiiboL7kWf/view?usp=drivesdk</v>
      </c>
    </row>
    <row r="603">
      <c r="A603" s="3">
        <f>IFERROR(__xludf.DUMMYFUNCTION("""COMPUTED_VALUE"""),2455.0)</f>
        <v>2455</v>
      </c>
      <c r="B603" s="11">
        <f>IFERROR(__xludf.DUMMYFUNCTION("""COMPUTED_VALUE"""),46170.62229905093)</f>
        <v>46170.6223</v>
      </c>
      <c r="C603" s="3" t="str">
        <f>IFERROR(__xludf.DUMMYFUNCTION("""COMPUTED_VALUE"""),"ชั้นปีที่ 1")</f>
        <v>ชั้นปีที่ 1</v>
      </c>
      <c r="D603" s="3" t="str">
        <f>IFERROR(__xludf.DUMMYFUNCTION("""COMPUTED_VALUE"""),"6803897")</f>
        <v>6803897</v>
      </c>
      <c r="E603" s="3" t="str">
        <f>IFERROR(__xludf.DUMMYFUNCTION("""COMPUTED_VALUE"""),"16")</f>
        <v>16</v>
      </c>
      <c r="F603" s="3" t="str">
        <f>IFERROR(__xludf.DUMMYFUNCTION("""COMPUTED_VALUE"""),"นพอ.ณัฐญา ชลอปัญจศิลป์")</f>
        <v>นพอ.ณัฐญา ชลอปัญจศิลป์</v>
      </c>
      <c r="G603" s="3" t="str">
        <f>IFERROR(__xludf.DUMMYFUNCTION("""COMPUTED_VALUE"""),"ช่วยเหลืองานภายใน วพอ.")</f>
        <v>ช่วยเหลืองานภายใน วพอ.</v>
      </c>
      <c r="H60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3" s="3" t="str">
        <f>IFERROR(__xludf.DUMMYFUNCTION("""COMPUTED_VALUE"""),"วพอ.พอ.")</f>
        <v>วพอ.พอ.</v>
      </c>
      <c r="J603" s="12">
        <f>IFERROR(__xludf.DUMMYFUNCTION("""COMPUTED_VALUE"""),46133.0)</f>
        <v>46133</v>
      </c>
      <c r="K603" s="3" t="str">
        <f>IFERROR(__xludf.DUMMYFUNCTION("""COMPUTED_VALUE"""),"1700-2100")</f>
        <v>1700-2100</v>
      </c>
      <c r="L603" s="3">
        <f>IFERROR(__xludf.DUMMYFUNCTION("""COMPUTED_VALUE"""),4.0)</f>
        <v>4</v>
      </c>
      <c r="M603" s="3" t="str">
        <f>IFERROR(__xludf.DUMMYFUNCTION("""COMPUTED_VALUE"""),"ร.อ.อนุชิต ทำจะดี")</f>
        <v>ร.อ.อนุชิต ทำจะดี</v>
      </c>
      <c r="N603" s="14" t="str">
        <f>IFERROR(__xludf.DUMMYFUNCTION("""COMPUTED_VALUE"""),"https://lh5.googleusercontent.com/d/16JGBjtipAfpCRsC8xrDvOtURZUjlNKX-")</f>
        <v>https://lh5.googleusercontent.com/d/16JGBjtipAfpCRsC8xrDvOtURZUjlNKX-</v>
      </c>
      <c r="O603" s="14" t="str">
        <f>IFERROR(__xludf.DUMMYFUNCTION("""COMPUTED_VALUE"""),"https://drive.google.com/file/d/1CvHIAkQzQ8AyS0T5V6bE54UeOqxHFfXW/view?usp=drivesdk")</f>
        <v>https://drive.google.com/file/d/1CvHIAkQzQ8AyS0T5V6bE54UeOqxHFfXW/view?usp=drivesdk</v>
      </c>
    </row>
    <row r="604">
      <c r="A604" s="3">
        <f>IFERROR(__xludf.DUMMYFUNCTION("""COMPUTED_VALUE"""),2456.0)</f>
        <v>2456</v>
      </c>
      <c r="B604" s="11">
        <f>IFERROR(__xludf.DUMMYFUNCTION("""COMPUTED_VALUE"""),46170.62361337963)</f>
        <v>46170.62361</v>
      </c>
      <c r="C604" s="3" t="str">
        <f>IFERROR(__xludf.DUMMYFUNCTION("""COMPUTED_VALUE"""),"ชั้นปีที่ 1")</f>
        <v>ชั้นปีที่ 1</v>
      </c>
      <c r="D604" s="3" t="str">
        <f>IFERROR(__xludf.DUMMYFUNCTION("""COMPUTED_VALUE"""),"6803897")</f>
        <v>6803897</v>
      </c>
      <c r="E604" s="3" t="str">
        <f>IFERROR(__xludf.DUMMYFUNCTION("""COMPUTED_VALUE"""),"16")</f>
        <v>16</v>
      </c>
      <c r="F604" s="3" t="str">
        <f>IFERROR(__xludf.DUMMYFUNCTION("""COMPUTED_VALUE"""),"นพอ.ณัฐญา ชลอปัญจศิลป์")</f>
        <v>นพอ.ณัฐญา ชลอปัญจศิลป์</v>
      </c>
      <c r="G604" s="3" t="str">
        <f>IFERROR(__xludf.DUMMYFUNCTION("""COMPUTED_VALUE"""),"ช่วยเหลืองานภายใน วพอ.")</f>
        <v>ช่วยเหลืองานภายใน วพอ.</v>
      </c>
      <c r="H60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4" s="3" t="str">
        <f>IFERROR(__xludf.DUMMYFUNCTION("""COMPUTED_VALUE"""),"วพอ.พอ.")</f>
        <v>วพอ.พอ.</v>
      </c>
      <c r="J604" s="12">
        <f>IFERROR(__xludf.DUMMYFUNCTION("""COMPUTED_VALUE"""),46134.0)</f>
        <v>46134</v>
      </c>
      <c r="K604" s="3" t="str">
        <f>IFERROR(__xludf.DUMMYFUNCTION("""COMPUTED_VALUE"""),"1700-2100")</f>
        <v>1700-2100</v>
      </c>
      <c r="L604" s="3">
        <f>IFERROR(__xludf.DUMMYFUNCTION("""COMPUTED_VALUE"""),4.0)</f>
        <v>4</v>
      </c>
      <c r="M604" s="3" t="str">
        <f>IFERROR(__xludf.DUMMYFUNCTION("""COMPUTED_VALUE"""),"ร.อ.อนุชิต ทำจะดี")</f>
        <v>ร.อ.อนุชิต ทำจะดี</v>
      </c>
      <c r="N604" s="14" t="str">
        <f>IFERROR(__xludf.DUMMYFUNCTION("""COMPUTED_VALUE"""),"https://lh5.googleusercontent.com/d/1OcW33k8ZxG7NDcmnSSOrptcuKKNlkTIj")</f>
        <v>https://lh5.googleusercontent.com/d/1OcW33k8ZxG7NDcmnSSOrptcuKKNlkTIj</v>
      </c>
      <c r="O604" s="14" t="str">
        <f>IFERROR(__xludf.DUMMYFUNCTION("""COMPUTED_VALUE"""),"https://drive.google.com/file/d/1WH7xImY4aB1pLCEtyIf2ZmQhZsyS8XNR/view?usp=drivesdk")</f>
        <v>https://drive.google.com/file/d/1WH7xImY4aB1pLCEtyIf2ZmQhZsyS8XNR/view?usp=drivesdk</v>
      </c>
    </row>
    <row r="605">
      <c r="A605" s="3">
        <f>IFERROR(__xludf.DUMMYFUNCTION("""COMPUTED_VALUE"""),2459.0)</f>
        <v>2459</v>
      </c>
      <c r="B605" s="11">
        <f>IFERROR(__xludf.DUMMYFUNCTION("""COMPUTED_VALUE"""),46170.62498694444)</f>
        <v>46170.62499</v>
      </c>
      <c r="C605" s="3" t="str">
        <f>IFERROR(__xludf.DUMMYFUNCTION("""COMPUTED_VALUE"""),"ชั้นปีที่ 1")</f>
        <v>ชั้นปีที่ 1</v>
      </c>
      <c r="D605" s="3" t="str">
        <f>IFERROR(__xludf.DUMMYFUNCTION("""COMPUTED_VALUE"""),"6803882")</f>
        <v>6803882</v>
      </c>
      <c r="E605" s="3" t="str">
        <f>IFERROR(__xludf.DUMMYFUNCTION("""COMPUTED_VALUE"""),"1")</f>
        <v>1</v>
      </c>
      <c r="F605" s="3" t="str">
        <f>IFERROR(__xludf.DUMMYFUNCTION("""COMPUTED_VALUE"""),"นพอ.กมลฉัตร ชาสุรีย์")</f>
        <v>นพอ.กมลฉัตร ชาสุรีย์</v>
      </c>
      <c r="G60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05" s="3" t="str">
        <f>IFERROR(__xludf.DUMMYFUNCTION("""COMPUTED_VALUE"""),"บริจาคโลหิต")</f>
        <v>บริจาคโลหิต</v>
      </c>
      <c r="I605" s="3" t="str">
        <f>IFERROR(__xludf.DUMMYFUNCTION("""COMPUTED_VALUE"""),"โรงพยาบาลจุฬาลงกรณ์ สภากาชาดไทย")</f>
        <v>โรงพยาบาลจุฬาลงกรณ์ สภากาชาดไทย</v>
      </c>
      <c r="J605" s="12">
        <f>IFERROR(__xludf.DUMMYFUNCTION("""COMPUTED_VALUE"""),46102.0)</f>
        <v>46102</v>
      </c>
      <c r="K605" s="3" t="str">
        <f>IFERROR(__xludf.DUMMYFUNCTION("""COMPUTED_VALUE"""),"1000")</f>
        <v>1000</v>
      </c>
      <c r="L605" s="3">
        <f>IFERROR(__xludf.DUMMYFUNCTION("""COMPUTED_VALUE"""),8.0)</f>
        <v>8</v>
      </c>
      <c r="M605" s="3" t="str">
        <f>IFERROR(__xludf.DUMMYFUNCTION("""COMPUTED_VALUE"""),"นพอ.กมลฉัตร ชาสุรีย์")</f>
        <v>นพอ.กมลฉัตร ชาสุรีย์</v>
      </c>
      <c r="N605" s="14" t="str">
        <f>IFERROR(__xludf.DUMMYFUNCTION("""COMPUTED_VALUE"""),"https://lh5.googleusercontent.com/d/1VdhaN16_kmWNPby1xuc0Z4HFDyopGHyF")</f>
        <v>https://lh5.googleusercontent.com/d/1VdhaN16_kmWNPby1xuc0Z4HFDyopGHyF</v>
      </c>
      <c r="O605" s="14" t="str">
        <f>IFERROR(__xludf.DUMMYFUNCTION("""COMPUTED_VALUE"""),"https://drive.google.com/file/d/1BMnRHetrnb4KQ0EmXR6Bs7b56dvs7TR_/view?usp=drivesdk")</f>
        <v>https://drive.google.com/file/d/1BMnRHetrnb4KQ0EmXR6Bs7b56dvs7TR_/view?usp=drivesdk</v>
      </c>
    </row>
    <row r="606">
      <c r="A606" s="3">
        <f>IFERROR(__xludf.DUMMYFUNCTION("""COMPUTED_VALUE"""),2460.0)</f>
        <v>2460</v>
      </c>
      <c r="B606" s="11">
        <f>IFERROR(__xludf.DUMMYFUNCTION("""COMPUTED_VALUE"""),46170.6320853588)</f>
        <v>46170.63209</v>
      </c>
      <c r="C606" s="3" t="str">
        <f>IFERROR(__xludf.DUMMYFUNCTION("""COMPUTED_VALUE"""),"ชั้นปีที่ 1")</f>
        <v>ชั้นปีที่ 1</v>
      </c>
      <c r="D606" s="3" t="str">
        <f>IFERROR(__xludf.DUMMYFUNCTION("""COMPUTED_VALUE"""),"6803897")</f>
        <v>6803897</v>
      </c>
      <c r="E606" s="3" t="str">
        <f>IFERROR(__xludf.DUMMYFUNCTION("""COMPUTED_VALUE"""),"16")</f>
        <v>16</v>
      </c>
      <c r="F606" s="3" t="str">
        <f>IFERROR(__xludf.DUMMYFUNCTION("""COMPUTED_VALUE"""),"นพอ.ณัฐญา ชลอปัญจศิลป์")</f>
        <v>นพอ.ณัฐญา ชลอปัญจศิลป์</v>
      </c>
      <c r="G606" s="3" t="str">
        <f>IFERROR(__xludf.DUMMYFUNCTION("""COMPUTED_VALUE"""),"ช่วยเหลืองานภายใน วพอ.")</f>
        <v>ช่วยเหลืองานภายใน วพอ.</v>
      </c>
      <c r="H60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6" s="3" t="str">
        <f>IFERROR(__xludf.DUMMYFUNCTION("""COMPUTED_VALUE"""),"วพอ.พอ.")</f>
        <v>วพอ.พอ.</v>
      </c>
      <c r="J606" s="12">
        <f>IFERROR(__xludf.DUMMYFUNCTION("""COMPUTED_VALUE"""),46135.0)</f>
        <v>46135</v>
      </c>
      <c r="K606" s="3" t="str">
        <f>IFERROR(__xludf.DUMMYFUNCTION("""COMPUTED_VALUE"""),"1700-2100")</f>
        <v>1700-2100</v>
      </c>
      <c r="L606" s="3">
        <f>IFERROR(__xludf.DUMMYFUNCTION("""COMPUTED_VALUE"""),4.0)</f>
        <v>4</v>
      </c>
      <c r="M606" s="3" t="str">
        <f>IFERROR(__xludf.DUMMYFUNCTION("""COMPUTED_VALUE"""),"ร.อ.อนุชิต ทำจะดี")</f>
        <v>ร.อ.อนุชิต ทำจะดี</v>
      </c>
      <c r="N606" s="14" t="str">
        <f>IFERROR(__xludf.DUMMYFUNCTION("""COMPUTED_VALUE"""),"https://lh5.googleusercontent.com/d/1eQpfXmODwY04XDeLMX9PyxnoG9J9ZSyt")</f>
        <v>https://lh5.googleusercontent.com/d/1eQpfXmODwY04XDeLMX9PyxnoG9J9ZSyt</v>
      </c>
      <c r="O606" s="14" t="str">
        <f>IFERROR(__xludf.DUMMYFUNCTION("""COMPUTED_VALUE"""),"https://drive.google.com/file/d/180LLEXqE0C3WcPNXhZS-P51XzKzSCB_y/view?usp=drivesdk")</f>
        <v>https://drive.google.com/file/d/180LLEXqE0C3WcPNXhZS-P51XzKzSCB_y/view?usp=drivesdk</v>
      </c>
    </row>
    <row r="607">
      <c r="A607" s="3">
        <f>IFERROR(__xludf.DUMMYFUNCTION("""COMPUTED_VALUE"""),2461.0)</f>
        <v>2461</v>
      </c>
      <c r="B607" s="11">
        <f>IFERROR(__xludf.DUMMYFUNCTION("""COMPUTED_VALUE"""),46170.643689780096)</f>
        <v>46170.64369</v>
      </c>
      <c r="C607" s="3" t="str">
        <f>IFERROR(__xludf.DUMMYFUNCTION("""COMPUTED_VALUE"""),"ชั้นปีที่ 1")</f>
        <v>ชั้นปีที่ 1</v>
      </c>
      <c r="D607" s="3" t="str">
        <f>IFERROR(__xludf.DUMMYFUNCTION("""COMPUTED_VALUE"""),"6803910")</f>
        <v>6803910</v>
      </c>
      <c r="E607" s="3" t="str">
        <f>IFERROR(__xludf.DUMMYFUNCTION("""COMPUTED_VALUE"""),"29")</f>
        <v>29</v>
      </c>
      <c r="F607" s="3" t="str">
        <f>IFERROR(__xludf.DUMMYFUNCTION("""COMPUTED_VALUE"""),"นพอ.นวพร โอรัตนสถาพร")</f>
        <v>นพอ.นวพร โอรัตนสถาพร</v>
      </c>
      <c r="G607" s="3" t="str">
        <f>IFERROR(__xludf.DUMMYFUNCTION("""COMPUTED_VALUE"""),"ช่วยเหลืองานภายใน วพอ.")</f>
        <v>ช่วยเหลืองานภายใน วพอ.</v>
      </c>
      <c r="H60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7" s="3" t="str">
        <f>IFERROR(__xludf.DUMMYFUNCTION("""COMPUTED_VALUE"""),"วพอ.พอ.")</f>
        <v>วพอ.พอ.</v>
      </c>
      <c r="J607" s="12">
        <f>IFERROR(__xludf.DUMMYFUNCTION("""COMPUTED_VALUE"""),46134.0)</f>
        <v>46134</v>
      </c>
      <c r="K607" s="3" t="str">
        <f>IFERROR(__xludf.DUMMYFUNCTION("""COMPUTED_VALUE"""),"1700-2100")</f>
        <v>1700-2100</v>
      </c>
      <c r="L607" s="3">
        <f>IFERROR(__xludf.DUMMYFUNCTION("""COMPUTED_VALUE"""),4.0)</f>
        <v>4</v>
      </c>
      <c r="M607" s="3" t="str">
        <f>IFERROR(__xludf.DUMMYFUNCTION("""COMPUTED_VALUE"""),"ร.อ.อนุชิต ทำจะดี")</f>
        <v>ร.อ.อนุชิต ทำจะดี</v>
      </c>
      <c r="N607" s="14" t="str">
        <f>IFERROR(__xludf.DUMMYFUNCTION("""COMPUTED_VALUE"""),"https://lh5.googleusercontent.com/d/1KbPUpyDNYeA6_A8KgjgIxEM0uWJwb54v")</f>
        <v>https://lh5.googleusercontent.com/d/1KbPUpyDNYeA6_A8KgjgIxEM0uWJwb54v</v>
      </c>
      <c r="O607" s="14" t="str">
        <f>IFERROR(__xludf.DUMMYFUNCTION("""COMPUTED_VALUE"""),"https://drive.google.com/file/d/18TU9BZWn5vu7R3O3qC9ipAup3fkqqXuE/view?usp=drivesdk")</f>
        <v>https://drive.google.com/file/d/18TU9BZWn5vu7R3O3qC9ipAup3fkqqXuE/view?usp=drivesdk</v>
      </c>
    </row>
    <row r="608">
      <c r="A608" s="3">
        <f>IFERROR(__xludf.DUMMYFUNCTION("""COMPUTED_VALUE"""),2462.0)</f>
        <v>2462</v>
      </c>
      <c r="B608" s="11">
        <f>IFERROR(__xludf.DUMMYFUNCTION("""COMPUTED_VALUE"""),46170.645105717595)</f>
        <v>46170.64511</v>
      </c>
      <c r="C608" s="3" t="str">
        <f>IFERROR(__xludf.DUMMYFUNCTION("""COMPUTED_VALUE"""),"ชั้นปีที่ 1")</f>
        <v>ชั้นปีที่ 1</v>
      </c>
      <c r="D608" s="3" t="str">
        <f>IFERROR(__xludf.DUMMYFUNCTION("""COMPUTED_VALUE"""),"6803910")</f>
        <v>6803910</v>
      </c>
      <c r="E608" s="3" t="str">
        <f>IFERROR(__xludf.DUMMYFUNCTION("""COMPUTED_VALUE"""),"29")</f>
        <v>29</v>
      </c>
      <c r="F608" s="3" t="str">
        <f>IFERROR(__xludf.DUMMYFUNCTION("""COMPUTED_VALUE"""),"นพอ.นวพร โอรัตนสถาพร")</f>
        <v>นพอ.นวพร โอรัตนสถาพร</v>
      </c>
      <c r="G608" s="3" t="str">
        <f>IFERROR(__xludf.DUMMYFUNCTION("""COMPUTED_VALUE"""),"ช่วยเหลืองานภายใน วพอ.")</f>
        <v>ช่วยเหลืองานภายใน วพอ.</v>
      </c>
      <c r="H60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08" s="3" t="str">
        <f>IFERROR(__xludf.DUMMYFUNCTION("""COMPUTED_VALUE"""),"วพอ.พอ.")</f>
        <v>วพอ.พอ.</v>
      </c>
      <c r="J608" s="12">
        <f>IFERROR(__xludf.DUMMYFUNCTION("""COMPUTED_VALUE"""),46135.0)</f>
        <v>46135</v>
      </c>
      <c r="K608" s="3" t="str">
        <f>IFERROR(__xludf.DUMMYFUNCTION("""COMPUTED_VALUE"""),"1700-2100")</f>
        <v>1700-2100</v>
      </c>
      <c r="L608" s="3">
        <f>IFERROR(__xludf.DUMMYFUNCTION("""COMPUTED_VALUE"""),4.0)</f>
        <v>4</v>
      </c>
      <c r="M608" s="3" t="str">
        <f>IFERROR(__xludf.DUMMYFUNCTION("""COMPUTED_VALUE"""),"ร.อ.อนุชิต ทำจะดี")</f>
        <v>ร.อ.อนุชิต ทำจะดี</v>
      </c>
      <c r="N608" s="14" t="str">
        <f>IFERROR(__xludf.DUMMYFUNCTION("""COMPUTED_VALUE"""),"https://lh5.googleusercontent.com/d/17hfZ5PkdJu_40sZSB_baskW_wHeVRkjn")</f>
        <v>https://lh5.googleusercontent.com/d/17hfZ5PkdJu_40sZSB_baskW_wHeVRkjn</v>
      </c>
      <c r="O608" s="14" t="str">
        <f>IFERROR(__xludf.DUMMYFUNCTION("""COMPUTED_VALUE"""),"https://drive.google.com/file/d/1lUEwKn0u81j8xtQZZNHJKNgvH-YT6Jtt/view?usp=drivesdk")</f>
        <v>https://drive.google.com/file/d/1lUEwKn0u81j8xtQZZNHJKNgvH-YT6Jtt/view?usp=drivesdk</v>
      </c>
    </row>
    <row r="609">
      <c r="A609" s="3">
        <f>IFERROR(__xludf.DUMMYFUNCTION("""COMPUTED_VALUE"""),2463.0)</f>
        <v>2463</v>
      </c>
      <c r="B609" s="11">
        <f>IFERROR(__xludf.DUMMYFUNCTION("""COMPUTED_VALUE"""),46170.64594456018)</f>
        <v>46170.64594</v>
      </c>
      <c r="C609" s="3" t="str">
        <f>IFERROR(__xludf.DUMMYFUNCTION("""COMPUTED_VALUE"""),"ชั้นปีที่ 1")</f>
        <v>ชั้นปีที่ 1</v>
      </c>
      <c r="D609" s="3" t="str">
        <f>IFERROR(__xludf.DUMMYFUNCTION("""COMPUTED_VALUE"""),"6803921")</f>
        <v>6803921</v>
      </c>
      <c r="E609" s="3" t="str">
        <f>IFERROR(__xludf.DUMMYFUNCTION("""COMPUTED_VALUE"""),"40")</f>
        <v>40</v>
      </c>
      <c r="F609" s="3" t="str">
        <f>IFERROR(__xludf.DUMMYFUNCTION("""COMPUTED_VALUE"""),"นพอ.พิชญาภรณ์ บุตรวัง")</f>
        <v>นพอ.พิชญาภรณ์ บุตรวัง</v>
      </c>
      <c r="G609" s="3" t="str">
        <f>IFERROR(__xludf.DUMMYFUNCTION("""COMPUTED_VALUE"""),"ช่วยเหลืองานภายใน วพอ.")</f>
        <v>ช่วยเหลืองานภายใน วพอ.</v>
      </c>
      <c r="H609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609" s="3" t="str">
        <f>IFERROR(__xludf.DUMMYFUNCTION("""COMPUTED_VALUE"""),"อาคารสำนักงานชั้น4")</f>
        <v>อาคารสำนักงานชั้น4</v>
      </c>
      <c r="J609" s="12">
        <f>IFERROR(__xludf.DUMMYFUNCTION("""COMPUTED_VALUE"""),46147.0)</f>
        <v>46147</v>
      </c>
      <c r="K609" s="3" t="str">
        <f>IFERROR(__xludf.DUMMYFUNCTION("""COMPUTED_VALUE"""),"1500-1800")</f>
        <v>1500-1800</v>
      </c>
      <c r="L609" s="3">
        <f>IFERROR(__xludf.DUMMYFUNCTION("""COMPUTED_VALUE"""),3.0)</f>
        <v>3</v>
      </c>
      <c r="M609" s="3" t="str">
        <f>IFERROR(__xludf.DUMMYFUNCTION("""COMPUTED_VALUE"""),"น.ต.ศักชัย บุญประสิทธิ์")</f>
        <v>น.ต.ศักชัย บุญประสิทธิ์</v>
      </c>
      <c r="N609" s="14" t="str">
        <f>IFERROR(__xludf.DUMMYFUNCTION("""COMPUTED_VALUE"""),"https://lh5.googleusercontent.com/d/16uSTgTdlvzTI0Ca5UAyQs0x-2u70BUWz")</f>
        <v>https://lh5.googleusercontent.com/d/16uSTgTdlvzTI0Ca5UAyQs0x-2u70BUWz</v>
      </c>
      <c r="O609" s="14" t="str">
        <f>IFERROR(__xludf.DUMMYFUNCTION("""COMPUTED_VALUE"""),"https://drive.google.com/file/d/1g443WE-GCO7sdCNObf4fhJ2eJDZhTFMX/view?usp=drivesdk")</f>
        <v>https://drive.google.com/file/d/1g443WE-GCO7sdCNObf4fhJ2eJDZhTFMX/view?usp=drivesdk</v>
      </c>
    </row>
    <row r="610">
      <c r="A610" s="3">
        <f>IFERROR(__xludf.DUMMYFUNCTION("""COMPUTED_VALUE"""),2464.0)</f>
        <v>2464</v>
      </c>
      <c r="B610" s="11">
        <f>IFERROR(__xludf.DUMMYFUNCTION("""COMPUTED_VALUE"""),46170.64976959491)</f>
        <v>46170.64977</v>
      </c>
      <c r="C610" s="3" t="str">
        <f>IFERROR(__xludf.DUMMYFUNCTION("""COMPUTED_VALUE"""),"ชั้นปีที่ 1")</f>
        <v>ชั้นปีที่ 1</v>
      </c>
      <c r="D610" s="3" t="str">
        <f>IFERROR(__xludf.DUMMYFUNCTION("""COMPUTED_VALUE"""),"6803897")</f>
        <v>6803897</v>
      </c>
      <c r="E610" s="3" t="str">
        <f>IFERROR(__xludf.DUMMYFUNCTION("""COMPUTED_VALUE"""),"16")</f>
        <v>16</v>
      </c>
      <c r="F610" s="3" t="str">
        <f>IFERROR(__xludf.DUMMYFUNCTION("""COMPUTED_VALUE"""),"นพอ.ณัฐญา ชลอปัญจศิลป์")</f>
        <v>นพอ.ณัฐญา ชลอปัญจศิลป์</v>
      </c>
      <c r="G610" s="3" t="str">
        <f>IFERROR(__xludf.DUMMYFUNCTION("""COMPUTED_VALUE"""),"ช่วยเหลืองานภายใน วพอ.")</f>
        <v>ช่วยเหลืองานภายใน วพอ.</v>
      </c>
      <c r="H61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0" s="3" t="str">
        <f>IFERROR(__xludf.DUMMYFUNCTION("""COMPUTED_VALUE"""),"วพอ.พอ.")</f>
        <v>วพอ.พอ.</v>
      </c>
      <c r="J610" s="12">
        <f>IFERROR(__xludf.DUMMYFUNCTION("""COMPUTED_VALUE"""),46138.0)</f>
        <v>46138</v>
      </c>
      <c r="K610" s="3" t="str">
        <f>IFERROR(__xludf.DUMMYFUNCTION("""COMPUTED_VALUE"""),"ร.อ.อนุชิต ทำจะดี")</f>
        <v>ร.อ.อนุชิต ทำจะดี</v>
      </c>
      <c r="L610" s="3"/>
      <c r="M610" s="3" t="str">
        <f>IFERROR(__xludf.DUMMYFUNCTION("""COMPUTED_VALUE"""),"ร.อ.อนุชิต ทำจะดี")</f>
        <v>ร.อ.อนุชิต ทำจะดี</v>
      </c>
      <c r="N610" s="14" t="str">
        <f>IFERROR(__xludf.DUMMYFUNCTION("""COMPUTED_VALUE"""),"https://lh5.googleusercontent.com/d/1g4BAzY6MliJiAecUNJ9Rx6GoZ8-SUXX4")</f>
        <v>https://lh5.googleusercontent.com/d/1g4BAzY6MliJiAecUNJ9Rx6GoZ8-SUXX4</v>
      </c>
      <c r="O610" s="14" t="str">
        <f>IFERROR(__xludf.DUMMYFUNCTION("""COMPUTED_VALUE"""),"https://drive.google.com/file/d/1rQ4urrT_Q-beh1m9OcXh1QLza9q--znJ/view?usp=drivesdk")</f>
        <v>https://drive.google.com/file/d/1rQ4urrT_Q-beh1m9OcXh1QLza9q--znJ/view?usp=drivesdk</v>
      </c>
    </row>
    <row r="611">
      <c r="A611" s="3">
        <f>IFERROR(__xludf.DUMMYFUNCTION("""COMPUTED_VALUE"""),2465.0)</f>
        <v>2465</v>
      </c>
      <c r="B611" s="11">
        <f>IFERROR(__xludf.DUMMYFUNCTION("""COMPUTED_VALUE"""),46170.64880402778)</f>
        <v>46170.6488</v>
      </c>
      <c r="C611" s="3" t="str">
        <f>IFERROR(__xludf.DUMMYFUNCTION("""COMPUTED_VALUE"""),"ชั้นปีที่ 1")</f>
        <v>ชั้นปีที่ 1</v>
      </c>
      <c r="D611" s="3" t="str">
        <f>IFERROR(__xludf.DUMMYFUNCTION("""COMPUTED_VALUE"""),"6803897")</f>
        <v>6803897</v>
      </c>
      <c r="E611" s="3" t="str">
        <f>IFERROR(__xludf.DUMMYFUNCTION("""COMPUTED_VALUE"""),"16")</f>
        <v>16</v>
      </c>
      <c r="F611" s="3" t="str">
        <f>IFERROR(__xludf.DUMMYFUNCTION("""COMPUTED_VALUE"""),"นพอ.ณัฐญา ชลอปัญจศิลป์")</f>
        <v>นพอ.ณัฐญา ชลอปัญจศิลป์</v>
      </c>
      <c r="G611" s="3" t="str">
        <f>IFERROR(__xludf.DUMMYFUNCTION("""COMPUTED_VALUE"""),"ช่วยเหลืองานภายใน วพอ.")</f>
        <v>ช่วยเหลืองานภายใน วพอ.</v>
      </c>
      <c r="H61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11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11" s="12">
        <f>IFERROR(__xludf.DUMMYFUNCTION("""COMPUTED_VALUE"""),46169.0)</f>
        <v>46169</v>
      </c>
      <c r="K611" s="3" t="str">
        <f>IFERROR(__xludf.DUMMYFUNCTION("""COMPUTED_VALUE"""),"1700-2100")</f>
        <v>1700-2100</v>
      </c>
      <c r="L611" s="3">
        <f>IFERROR(__xludf.DUMMYFUNCTION("""COMPUTED_VALUE"""),4.0)</f>
        <v>4</v>
      </c>
      <c r="M611" s="3" t="str">
        <f>IFERROR(__xludf.DUMMYFUNCTION("""COMPUTED_VALUE"""),"ร.อ.อนุชิต ทำจะดี")</f>
        <v>ร.อ.อนุชิต ทำจะดี</v>
      </c>
      <c r="N611" s="14" t="str">
        <f>IFERROR(__xludf.DUMMYFUNCTION("""COMPUTED_VALUE"""),"https://lh5.googleusercontent.com/d/1C5RVnWVELFSfVZPcD732-rFp3KHTEWmF")</f>
        <v>https://lh5.googleusercontent.com/d/1C5RVnWVELFSfVZPcD732-rFp3KHTEWmF</v>
      </c>
      <c r="O611" s="14" t="str">
        <f>IFERROR(__xludf.DUMMYFUNCTION("""COMPUTED_VALUE"""),"https://drive.google.com/file/d/1o5LO45HA51tAldRA5QSIOA5JC_N4r7HW/view?usp=drivesdk")</f>
        <v>https://drive.google.com/file/d/1o5LO45HA51tAldRA5QSIOA5JC_N4r7HW/view?usp=drivesdk</v>
      </c>
    </row>
    <row r="612">
      <c r="A612" s="3">
        <f>IFERROR(__xludf.DUMMYFUNCTION("""COMPUTED_VALUE"""),2466.0)</f>
        <v>2466</v>
      </c>
      <c r="B612" s="11">
        <f>IFERROR(__xludf.DUMMYFUNCTION("""COMPUTED_VALUE"""),46176.3402602662)</f>
        <v>46176.34026</v>
      </c>
      <c r="C612" s="3" t="str">
        <f>IFERROR(__xludf.DUMMYFUNCTION("""COMPUTED_VALUE"""),"ชั้นปีที่ 1")</f>
        <v>ชั้นปีที่ 1</v>
      </c>
      <c r="D612" s="3" t="str">
        <f>IFERROR(__xludf.DUMMYFUNCTION("""COMPUTED_VALUE"""),"6803897")</f>
        <v>6803897</v>
      </c>
      <c r="E612" s="3" t="str">
        <f>IFERROR(__xludf.DUMMYFUNCTION("""COMPUTED_VALUE"""),"16")</f>
        <v>16</v>
      </c>
      <c r="F612" s="3" t="str">
        <f>IFERROR(__xludf.DUMMYFUNCTION("""COMPUTED_VALUE"""),"นพอ.ณัฐญา ชลอปัญจศิลป์")</f>
        <v>นพอ.ณัฐญา ชลอปัญจศิลป์</v>
      </c>
      <c r="G612" s="3" t="str">
        <f>IFERROR(__xludf.DUMMYFUNCTION("""COMPUTED_VALUE"""),"ช่วยเหลืองานภายใน วพอ.")</f>
        <v>ช่วยเหลืองานภายใน วพอ.</v>
      </c>
      <c r="H612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12" s="3" t="str">
        <f>IFERROR(__xludf.DUMMYFUNCTION("""COMPUTED_VALUE"""),"วพอ.พอ.")</f>
        <v>วพอ.พอ.</v>
      </c>
      <c r="J612" s="12">
        <f>IFERROR(__xludf.DUMMYFUNCTION("""COMPUTED_VALUE"""),46164.0)</f>
        <v>46164</v>
      </c>
      <c r="K612" s="3" t="str">
        <f>IFERROR(__xludf.DUMMYFUNCTION("""COMPUTED_VALUE"""),"น.อ.หญิง นิตยา สุขแสน")</f>
        <v>น.อ.หญิง นิตยา สุขแสน</v>
      </c>
      <c r="L612" s="3"/>
      <c r="M612" s="3" t="str">
        <f>IFERROR(__xludf.DUMMYFUNCTION("""COMPUTED_VALUE"""),"น.อ.หญิง นิตยา สุขแสน")</f>
        <v>น.อ.หญิง นิตยา สุขแสน</v>
      </c>
      <c r="N612" s="14" t="str">
        <f>IFERROR(__xludf.DUMMYFUNCTION("""COMPUTED_VALUE"""),"https://lh5.googleusercontent.com/d/1edctAb6-hNmTdlbhBIII69dZsDKXxH_H")</f>
        <v>https://lh5.googleusercontent.com/d/1edctAb6-hNmTdlbhBIII69dZsDKXxH_H</v>
      </c>
      <c r="O612" s="14" t="str">
        <f>IFERROR(__xludf.DUMMYFUNCTION("""COMPUTED_VALUE"""),"https://drive.google.com/file/d/1ELH9a8lkdQjcrgnuiuSFQAY1DM3q-pcg/view?usp=drivesdk")</f>
        <v>https://drive.google.com/file/d/1ELH9a8lkdQjcrgnuiuSFQAY1DM3q-pcg/view?usp=drivesdk</v>
      </c>
    </row>
    <row r="613">
      <c r="A613" s="3">
        <f>IFERROR(__xludf.DUMMYFUNCTION("""COMPUTED_VALUE"""),2470.0)</f>
        <v>2470</v>
      </c>
      <c r="B613" s="11">
        <f>IFERROR(__xludf.DUMMYFUNCTION("""COMPUTED_VALUE"""),46170.6787768287)</f>
        <v>46170.67878</v>
      </c>
      <c r="C613" s="3" t="str">
        <f>IFERROR(__xludf.DUMMYFUNCTION("""COMPUTED_VALUE"""),"ชั้นปีที่ 1")</f>
        <v>ชั้นปีที่ 1</v>
      </c>
      <c r="D613" s="3" t="str">
        <f>IFERROR(__xludf.DUMMYFUNCTION("""COMPUTED_VALUE"""),"6803931")</f>
        <v>6803931</v>
      </c>
      <c r="E613" s="3" t="str">
        <f>IFERROR(__xludf.DUMMYFUNCTION("""COMPUTED_VALUE"""),"50")</f>
        <v>50</v>
      </c>
      <c r="F613" s="3" t="str">
        <f>IFERROR(__xludf.DUMMYFUNCTION("""COMPUTED_VALUE"""),"นพอ.โยษิตา ลากุล")</f>
        <v>นพอ.โยษิตา ลากุล</v>
      </c>
      <c r="G61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3" s="3" t="str">
        <f>IFERROR(__xludf.DUMMYFUNCTION("""COMPUTED_VALUE"""),"Green Markets")</f>
        <v>Green Markets</v>
      </c>
      <c r="I613" s="3" t="str">
        <f>IFERROR(__xludf.DUMMYFUNCTION("""COMPUTED_VALUE""")," ณ อาคารอเนกประสงค์ชาวฟ้า สโมสรทหารอากาศชั้นประทวน")</f>
        <v> ณ อาคารอเนกประสงค์ชาวฟ้า สโมสรทหารอากาศชั้นประทวน</v>
      </c>
      <c r="J613" s="12">
        <f>IFERROR(__xludf.DUMMYFUNCTION("""COMPUTED_VALUE"""),46134.0)</f>
        <v>46134</v>
      </c>
      <c r="K613" s="3" t="str">
        <f>IFERROR(__xludf.DUMMYFUNCTION("""COMPUTED_VALUE"""),"0800-1600")</f>
        <v>0800-1600</v>
      </c>
      <c r="L613" s="3">
        <f>IFERROR(__xludf.DUMMYFUNCTION("""COMPUTED_VALUE"""),8.0)</f>
        <v>8</v>
      </c>
      <c r="M613" s="3" t="str">
        <f>IFERROR(__xludf.DUMMYFUNCTION("""COMPUTED_VALUE"""),"ร.อ.ฤทธิพล อ้วนสิงห์")</f>
        <v>ร.อ.ฤทธิพล อ้วนสิงห์</v>
      </c>
      <c r="N613" s="14" t="str">
        <f>IFERROR(__xludf.DUMMYFUNCTION("""COMPUTED_VALUE"""),"https://lh5.googleusercontent.com/d/1i9Eq-R7V8Ygmd-EgtsYF94cYyinfe6YQ")</f>
        <v>https://lh5.googleusercontent.com/d/1i9Eq-R7V8Ygmd-EgtsYF94cYyinfe6YQ</v>
      </c>
      <c r="O613" s="14" t="str">
        <f>IFERROR(__xludf.DUMMYFUNCTION("""COMPUTED_VALUE"""),"https://drive.google.com/file/d/10TzAIB5JwxIX5pOaxvqvquY_AuFCGEHW/view?usp=drivesdk")</f>
        <v>https://drive.google.com/file/d/10TzAIB5JwxIX5pOaxvqvquY_AuFCGEHW/view?usp=drivesdk</v>
      </c>
    </row>
    <row r="614">
      <c r="A614" s="3">
        <f>IFERROR(__xludf.DUMMYFUNCTION("""COMPUTED_VALUE"""),2471.0)</f>
        <v>2471</v>
      </c>
      <c r="B614" s="11">
        <f>IFERROR(__xludf.DUMMYFUNCTION("""COMPUTED_VALUE"""),46170.794588703706)</f>
        <v>46170.79459</v>
      </c>
      <c r="C614" s="3" t="str">
        <f>IFERROR(__xludf.DUMMYFUNCTION("""COMPUTED_VALUE"""),"ชั้นปีที่ 1")</f>
        <v>ชั้นปีที่ 1</v>
      </c>
      <c r="D614" s="3" t="str">
        <f>IFERROR(__xludf.DUMMYFUNCTION("""COMPUTED_VALUE"""),"6803908")</f>
        <v>6803908</v>
      </c>
      <c r="E614" s="3" t="str">
        <f>IFERROR(__xludf.DUMMYFUNCTION("""COMPUTED_VALUE"""),"27")</f>
        <v>27</v>
      </c>
      <c r="F614" s="3" t="str">
        <f>IFERROR(__xludf.DUMMYFUNCTION("""COMPUTED_VALUE"""),"นพอ.นภัสสร บุญรัตน์")</f>
        <v>นพอ.นภัสสร บุญรัตน์</v>
      </c>
      <c r="G614" s="3" t="str">
        <f>IFERROR(__xludf.DUMMYFUNCTION("""COMPUTED_VALUE"""),"ทำนุบำรุงศาสนสถาน")</f>
        <v>ทำนุบำรุงศาสนสถาน</v>
      </c>
      <c r="H614" s="3" t="str">
        <f>IFERROR(__xludf.DUMMYFUNCTION("""COMPUTED_VALUE"""),"ทำบุญไหว้พระ")</f>
        <v>ทำบุญไหว้พระ</v>
      </c>
      <c r="I614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614" s="12">
        <f>IFERROR(__xludf.DUMMYFUNCTION("""COMPUTED_VALUE"""),45899.0)</f>
        <v>45899</v>
      </c>
      <c r="K614" s="3" t="str">
        <f>IFERROR(__xludf.DUMMYFUNCTION("""COMPUTED_VALUE"""),"1100-1300")</f>
        <v>1100-1300</v>
      </c>
      <c r="L614" s="3">
        <f>IFERROR(__xludf.DUMMYFUNCTION("""COMPUTED_VALUE"""),2.0)</f>
        <v>2</v>
      </c>
      <c r="M614" s="3" t="str">
        <f>IFERROR(__xludf.DUMMYFUNCTION("""COMPUTED_VALUE"""),"นางสุวรรณี วงษ์ศรีสังข์")</f>
        <v>นางสุวรรณี วงษ์ศรีสังข์</v>
      </c>
      <c r="N614" s="14" t="str">
        <f>IFERROR(__xludf.DUMMYFUNCTION("""COMPUTED_VALUE"""),"https://lh5.googleusercontent.com/d/1V6RqE4lRA75_SPmPGC_0R1HhLi6fa--O")</f>
        <v>https://lh5.googleusercontent.com/d/1V6RqE4lRA75_SPmPGC_0R1HhLi6fa--O</v>
      </c>
      <c r="O614" s="14" t="str">
        <f>IFERROR(__xludf.DUMMYFUNCTION("""COMPUTED_VALUE"""),"https://drive.google.com/file/d/1Yp6whLvVhmUZmbyJ7d5H3XrszqPacGFR/view?usp=drivesdk")</f>
        <v>https://drive.google.com/file/d/1Yp6whLvVhmUZmbyJ7d5H3XrszqPacGFR/view?usp=drivesdk</v>
      </c>
    </row>
    <row r="615">
      <c r="A615" s="3">
        <f>IFERROR(__xludf.DUMMYFUNCTION("""COMPUTED_VALUE"""),2473.0)</f>
        <v>2473</v>
      </c>
      <c r="B615" s="11">
        <f>IFERROR(__xludf.DUMMYFUNCTION("""COMPUTED_VALUE"""),46170.81156318287)</f>
        <v>46170.81156</v>
      </c>
      <c r="C615" s="3" t="str">
        <f>IFERROR(__xludf.DUMMYFUNCTION("""COMPUTED_VALUE"""),"ชั้นปีที่ 1")</f>
        <v>ชั้นปีที่ 1</v>
      </c>
      <c r="D615" s="3" t="str">
        <f>IFERROR(__xludf.DUMMYFUNCTION("""COMPUTED_VALUE"""),"6803908")</f>
        <v>6803908</v>
      </c>
      <c r="E615" s="3" t="str">
        <f>IFERROR(__xludf.DUMMYFUNCTION("""COMPUTED_VALUE"""),"27")</f>
        <v>27</v>
      </c>
      <c r="F615" s="3" t="str">
        <f>IFERROR(__xludf.DUMMYFUNCTION("""COMPUTED_VALUE"""),"นภัสสร บุญรัตน์")</f>
        <v>นภัสสร บุญรัตน์</v>
      </c>
      <c r="G615" s="3" t="str">
        <f>IFERROR(__xludf.DUMMYFUNCTION("""COMPUTED_VALUE"""),"ทำนุบำรุงศาสนสถาน")</f>
        <v>ทำนุบำรุงศาสนสถาน</v>
      </c>
      <c r="H615" s="3" t="str">
        <f>IFERROR(__xludf.DUMMYFUNCTION("""COMPUTED_VALUE"""),"กวาดศาลาพระ")</f>
        <v>กวาดศาลาพระ</v>
      </c>
      <c r="I615" s="3" t="str">
        <f>IFERROR(__xludf.DUMMYFUNCTION("""COMPUTED_VALUE"""),"วัดสุบรรณนิมิตร")</f>
        <v>วัดสุบรรณนิมิตร</v>
      </c>
      <c r="J615" s="12">
        <f>IFERROR(__xludf.DUMMYFUNCTION("""COMPUTED_VALUE"""),45941.0)</f>
        <v>45941</v>
      </c>
      <c r="K615" s="3" t="str">
        <f>IFERROR(__xludf.DUMMYFUNCTION("""COMPUTED_VALUE"""),"1400-1600")</f>
        <v>1400-1600</v>
      </c>
      <c r="L615" s="3">
        <f>IFERROR(__xludf.DUMMYFUNCTION("""COMPUTED_VALUE"""),2.0)</f>
        <v>2</v>
      </c>
      <c r="M615" s="3" t="str">
        <f>IFERROR(__xludf.DUMMYFUNCTION("""COMPUTED_VALUE"""),"นางสุพิศ บุญรัตน์")</f>
        <v>นางสุพิศ บุญรัตน์</v>
      </c>
      <c r="N615" s="14" t="str">
        <f>IFERROR(__xludf.DUMMYFUNCTION("""COMPUTED_VALUE"""),"https://lh5.googleusercontent.com/d/1qKa4aDQFNzzh9Q-JfPLZbCY84yLNUX35")</f>
        <v>https://lh5.googleusercontent.com/d/1qKa4aDQFNzzh9Q-JfPLZbCY84yLNUX35</v>
      </c>
      <c r="O615" s="14" t="str">
        <f>IFERROR(__xludf.DUMMYFUNCTION("""COMPUTED_VALUE"""),"https://drive.google.com/file/d/18ZWKGDQYdfOuu1ZbRViPAeRFs_oLtjpC/view?usp=drivesdk")</f>
        <v>https://drive.google.com/file/d/18ZWKGDQYdfOuu1ZbRViPAeRFs_oLtjpC/view?usp=drivesdk</v>
      </c>
    </row>
    <row r="616">
      <c r="A616" s="3">
        <f>IFERROR(__xludf.DUMMYFUNCTION("""COMPUTED_VALUE"""),2474.0)</f>
        <v>2474</v>
      </c>
      <c r="B616" s="11">
        <f>IFERROR(__xludf.DUMMYFUNCTION("""COMPUTED_VALUE"""),46170.940064490744)</f>
        <v>46170.94006</v>
      </c>
      <c r="C616" s="3" t="str">
        <f>IFERROR(__xludf.DUMMYFUNCTION("""COMPUTED_VALUE"""),"ชั้นปีที่ 1")</f>
        <v>ชั้นปีที่ 1</v>
      </c>
      <c r="D616" s="3" t="str">
        <f>IFERROR(__xludf.DUMMYFUNCTION("""COMPUTED_VALUE"""),"6803941")</f>
        <v>6803941</v>
      </c>
      <c r="E616" s="3" t="str">
        <f>IFERROR(__xludf.DUMMYFUNCTION("""COMPUTED_VALUE"""),"60")</f>
        <v>60</v>
      </c>
      <c r="F616" s="3" t="str">
        <f>IFERROR(__xludf.DUMMYFUNCTION("""COMPUTED_VALUE"""),"นพอ.(ช)อครา คำท้วม")</f>
        <v>นพอ.(ช)อครา คำท้วม</v>
      </c>
      <c r="G61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1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16" s="3" t="str">
        <f>IFERROR(__xludf.DUMMYFUNCTION("""COMPUTED_VALUE"""),"สนามกีฬาธูปะเตมีย์")</f>
        <v>สนามกีฬาธูปะเตมีย์</v>
      </c>
      <c r="J616" s="12">
        <f>IFERROR(__xludf.DUMMYFUNCTION("""COMPUTED_VALUE"""),46078.0)</f>
        <v>46078</v>
      </c>
      <c r="K616" s="3" t="str">
        <f>IFERROR(__xludf.DUMMYFUNCTION("""COMPUTED_VALUE"""),"1200-2000")</f>
        <v>1200-2000</v>
      </c>
      <c r="L616" s="3">
        <f>IFERROR(__xludf.DUMMYFUNCTION("""COMPUTED_VALUE"""),8.0)</f>
        <v>8</v>
      </c>
      <c r="M616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16" s="14" t="str">
        <f>IFERROR(__xludf.DUMMYFUNCTION("""COMPUTED_VALUE"""),"https://lh5.googleusercontent.com/d/1mkUrW-MGHj-smz_2jTRri_hUGJxdp4GL")</f>
        <v>https://lh5.googleusercontent.com/d/1mkUrW-MGHj-smz_2jTRri_hUGJxdp4GL</v>
      </c>
      <c r="O616" s="14" t="str">
        <f>IFERROR(__xludf.DUMMYFUNCTION("""COMPUTED_VALUE"""),"https://drive.google.com/file/d/1A4zKC8T_UbOTUJEwaLrxCwOsHavq81i1/view?usp=drivesdk")</f>
        <v>https://drive.google.com/file/d/1A4zKC8T_UbOTUJEwaLrxCwOsHavq81i1/view?usp=drivesdk</v>
      </c>
    </row>
    <row r="617">
      <c r="A617" s="3">
        <f>IFERROR(__xludf.DUMMYFUNCTION("""COMPUTED_VALUE"""),2480.0)</f>
        <v>2480</v>
      </c>
      <c r="B617" s="11">
        <f>IFERROR(__xludf.DUMMYFUNCTION("""COMPUTED_VALUE"""),46171.65714225694)</f>
        <v>46171.65714</v>
      </c>
      <c r="C617" s="3" t="str">
        <f>IFERROR(__xludf.DUMMYFUNCTION("""COMPUTED_VALUE"""),"ชั้นปีที่ 1")</f>
        <v>ชั้นปีที่ 1</v>
      </c>
      <c r="D617" s="3" t="str">
        <f>IFERROR(__xludf.DUMMYFUNCTION("""COMPUTED_VALUE"""),"6803022")</f>
        <v>6803022</v>
      </c>
      <c r="E617" s="3" t="str">
        <f>IFERROR(__xludf.DUMMYFUNCTION("""COMPUTED_VALUE"""),"41")</f>
        <v>41</v>
      </c>
      <c r="F617" s="3" t="str">
        <f>IFERROR(__xludf.DUMMYFUNCTION("""COMPUTED_VALUE"""),"นพอ.พินิษา อินทร์ศวร")</f>
        <v>นพอ.พินิษา อินทร์ศวร</v>
      </c>
      <c r="G617" s="3" t="str">
        <f>IFERROR(__xludf.DUMMYFUNCTION("""COMPUTED_VALUE"""),"ช่วยเหลืองานภายใน วพอ.")</f>
        <v>ช่วยเหลืองานภายใน วพอ.</v>
      </c>
      <c r="H617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17" s="3" t="str">
        <f>IFERROR(__xludf.DUMMYFUNCTION("""COMPUTED_VALUE"""),"วพอ.พอ.")</f>
        <v>วพอ.พอ.</v>
      </c>
      <c r="J617" s="12">
        <f>IFERROR(__xludf.DUMMYFUNCTION("""COMPUTED_VALUE"""),46031.0)</f>
        <v>46031</v>
      </c>
      <c r="K617" s="3" t="str">
        <f>IFERROR(__xludf.DUMMYFUNCTION("""COMPUTED_VALUE"""),"11.00-12.00")</f>
        <v>11.00-12.00</v>
      </c>
      <c r="L617" s="3">
        <f>IFERROR(__xludf.DUMMYFUNCTION("""COMPUTED_VALUE"""),4.0)</f>
        <v>4</v>
      </c>
      <c r="M617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617" s="14" t="str">
        <f>IFERROR(__xludf.DUMMYFUNCTION("""COMPUTED_VALUE"""),"https://lh5.googleusercontent.com/d/1f1UBUmLveMpWNFBQ4L3cz1isLFKUTQMO")</f>
        <v>https://lh5.googleusercontent.com/d/1f1UBUmLveMpWNFBQ4L3cz1isLFKUTQMO</v>
      </c>
      <c r="O617" s="14" t="str">
        <f>IFERROR(__xludf.DUMMYFUNCTION("""COMPUTED_VALUE"""),"https://drive.google.com/file/d/1x82SFaE3IaOiFSIu4uX30slIT7m2RzJ2/view?usp=drivesdk")</f>
        <v>https://drive.google.com/file/d/1x82SFaE3IaOiFSIu4uX30slIT7m2RzJ2/view?usp=drivesdk</v>
      </c>
    </row>
    <row r="618">
      <c r="A618" s="3">
        <f>IFERROR(__xludf.DUMMYFUNCTION("""COMPUTED_VALUE"""),2482.0)</f>
        <v>2482</v>
      </c>
      <c r="B618" s="11">
        <f>IFERROR(__xludf.DUMMYFUNCTION("""COMPUTED_VALUE"""),46171.69424021991)</f>
        <v>46171.69424</v>
      </c>
      <c r="C618" s="3" t="str">
        <f>IFERROR(__xludf.DUMMYFUNCTION("""COMPUTED_VALUE"""),"ชั้นปีที่ 1")</f>
        <v>ชั้นปีที่ 1</v>
      </c>
      <c r="D618" s="3" t="str">
        <f>IFERROR(__xludf.DUMMYFUNCTION("""COMPUTED_VALUE"""),"6803923")</f>
        <v>6803923</v>
      </c>
      <c r="E618" s="3" t="str">
        <f>IFERROR(__xludf.DUMMYFUNCTION("""COMPUTED_VALUE"""),"42")</f>
        <v>42</v>
      </c>
      <c r="F618" s="3" t="str">
        <f>IFERROR(__xludf.DUMMYFUNCTION("""COMPUTED_VALUE"""),"นพอ.พิมพ์ณัฐชยา มนนามอญ")</f>
        <v>นพอ.พิมพ์ณัฐชยา มนนามอญ</v>
      </c>
      <c r="G618" s="3" t="str">
        <f>IFERROR(__xludf.DUMMYFUNCTION("""COMPUTED_VALUE"""),"ช่วยเหลืองานภายใน วพอ.")</f>
        <v>ช่วยเหลืองานภายใน วพอ.</v>
      </c>
      <c r="H618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18" s="3" t="str">
        <f>IFERROR(__xludf.DUMMYFUNCTION("""COMPUTED_VALUE"""),"วพอ.พอ.")</f>
        <v>วพอ.พอ.</v>
      </c>
      <c r="J618" s="12">
        <f>IFERROR(__xludf.DUMMYFUNCTION("""COMPUTED_VALUE"""),46031.0)</f>
        <v>46031</v>
      </c>
      <c r="K618" s="3" t="str">
        <f>IFERROR(__xludf.DUMMYFUNCTION("""COMPUTED_VALUE"""),"1100-1200")</f>
        <v>1100-1200</v>
      </c>
      <c r="L618" s="3">
        <f>IFERROR(__xludf.DUMMYFUNCTION("""COMPUTED_VALUE"""),4.0)</f>
        <v>4</v>
      </c>
      <c r="M61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18" s="14" t="str">
        <f>IFERROR(__xludf.DUMMYFUNCTION("""COMPUTED_VALUE"""),"https://lh5.googleusercontent.com/d/1NO3uUpf9gdsowfv5Z3gAiWls5nBQy1H_")</f>
        <v>https://lh5.googleusercontent.com/d/1NO3uUpf9gdsowfv5Z3gAiWls5nBQy1H_</v>
      </c>
      <c r="O618" s="14" t="str">
        <f>IFERROR(__xludf.DUMMYFUNCTION("""COMPUTED_VALUE"""),"https://drive.google.com/file/d/1HolFD1zhiAm-IQ5oCTHxO_s1l2GhgITD/view?usp=drivesdk")</f>
        <v>https://drive.google.com/file/d/1HolFD1zhiAm-IQ5oCTHxO_s1l2GhgITD/view?usp=drivesdk</v>
      </c>
    </row>
    <row r="619">
      <c r="A619" s="3">
        <f>IFERROR(__xludf.DUMMYFUNCTION("""COMPUTED_VALUE"""),2486.0)</f>
        <v>2486</v>
      </c>
      <c r="B619" s="11">
        <f>IFERROR(__xludf.DUMMYFUNCTION("""COMPUTED_VALUE"""),46172.47234567129)</f>
        <v>46172.47235</v>
      </c>
      <c r="C619" s="3" t="str">
        <f>IFERROR(__xludf.DUMMYFUNCTION("""COMPUTED_VALUE"""),"ชั้นปีที่ 1")</f>
        <v>ชั้นปีที่ 1</v>
      </c>
      <c r="D619" s="3" t="str">
        <f>IFERROR(__xludf.DUMMYFUNCTION("""COMPUTED_VALUE"""),"6803883")</f>
        <v>6803883</v>
      </c>
      <c r="E619" s="3" t="str">
        <f>IFERROR(__xludf.DUMMYFUNCTION("""COMPUTED_VALUE"""),"2")</f>
        <v>2</v>
      </c>
      <c r="F619" s="3" t="str">
        <f>IFERROR(__xludf.DUMMYFUNCTION("""COMPUTED_VALUE"""),"นพอ.กรชนก หน่อทิม")</f>
        <v>นพอ.กรชนก หน่อทิม</v>
      </c>
      <c r="G61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619" s="3" t="str">
        <f>IFERROR(__xludf.DUMMYFUNCTION("""COMPUTED_VALUE"""),"เสาร์ประทีบ")</f>
        <v>เสาร์ประทีบ</v>
      </c>
      <c r="I619" s="3" t="str">
        <f>IFERROR(__xludf.DUMMYFUNCTION("""COMPUTED_VALUE"""),"โรงเรียนนายร้อยจปร.")</f>
        <v>โรงเรียนนายร้อยจปร.</v>
      </c>
      <c r="J619" s="12">
        <f>IFERROR(__xludf.DUMMYFUNCTION("""COMPUTED_VALUE"""),46158.0)</f>
        <v>46158</v>
      </c>
      <c r="K619" s="3" t="str">
        <f>IFERROR(__xludf.DUMMYFUNCTION("""COMPUTED_VALUE"""),"0800-1200")</f>
        <v>0800-1200</v>
      </c>
      <c r="L619" s="3">
        <f>IFERROR(__xludf.DUMMYFUNCTION("""COMPUTED_VALUE"""),4.0)</f>
        <v>4</v>
      </c>
      <c r="M61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19" s="14" t="str">
        <f>IFERROR(__xludf.DUMMYFUNCTION("""COMPUTED_VALUE"""),"https://lh5.googleusercontent.com/d/1vCJjOYwZ4LeFLMrFNhdY6LwVmAwF1TiG")</f>
        <v>https://lh5.googleusercontent.com/d/1vCJjOYwZ4LeFLMrFNhdY6LwVmAwF1TiG</v>
      </c>
      <c r="O619" s="14" t="str">
        <f>IFERROR(__xludf.DUMMYFUNCTION("""COMPUTED_VALUE"""),"https://drive.google.com/file/d/19Ft1vzQtztPt7QQvBbs_mTUEGxAQBu2V/view?usp=drivesdk")</f>
        <v>https://drive.google.com/file/d/19Ft1vzQtztPt7QQvBbs_mTUEGxAQBu2V/view?usp=drivesdk</v>
      </c>
    </row>
    <row r="620">
      <c r="A620" s="3">
        <f>IFERROR(__xludf.DUMMYFUNCTION("""COMPUTED_VALUE"""),2488.0)</f>
        <v>2488</v>
      </c>
      <c r="B620" s="11">
        <f>IFERROR(__xludf.DUMMYFUNCTION("""COMPUTED_VALUE"""),46172.53596173611)</f>
        <v>46172.53596</v>
      </c>
      <c r="C620" s="3" t="str">
        <f>IFERROR(__xludf.DUMMYFUNCTION("""COMPUTED_VALUE"""),"ชั้นปีที่ 1")</f>
        <v>ชั้นปีที่ 1</v>
      </c>
      <c r="D620" s="3" t="str">
        <f>IFERROR(__xludf.DUMMYFUNCTION("""COMPUTED_VALUE"""),"6803935")</f>
        <v>6803935</v>
      </c>
      <c r="E620" s="3" t="str">
        <f>IFERROR(__xludf.DUMMYFUNCTION("""COMPUTED_VALUE"""),"54")</f>
        <v>54</v>
      </c>
      <c r="F620" s="3" t="str">
        <f>IFERROR(__xludf.DUMMYFUNCTION("""COMPUTED_VALUE"""),"วีรวัฒน์ ทัศน์จันดา ")</f>
        <v>วีรวัฒน์ ทัศน์จันดา </v>
      </c>
      <c r="G620" s="3" t="str">
        <f>IFERROR(__xludf.DUMMYFUNCTION("""COMPUTED_VALUE"""),"ช่วยเหลืองานภายใน วพอ.")</f>
        <v>ช่วยเหลืองานภายใน วพอ.</v>
      </c>
      <c r="H620" s="3" t="str">
        <f>IFERROR(__xludf.DUMMYFUNCTION("""COMPUTED_VALUE"""),"ดุริยางค์")</f>
        <v>ดุริยางค์</v>
      </c>
      <c r="I620" s="3" t="str">
        <f>IFERROR(__xludf.DUMMYFUNCTION("""COMPUTED_VALUE"""),"วพอ.พอ.")</f>
        <v>วพอ.พอ.</v>
      </c>
      <c r="J620" s="12">
        <f>IFERROR(__xludf.DUMMYFUNCTION("""COMPUTED_VALUE"""),46157.0)</f>
        <v>46157</v>
      </c>
      <c r="K620" s="3" t="str">
        <f>IFERROR(__xludf.DUMMYFUNCTION("""COMPUTED_VALUE"""),"0800")</f>
        <v>0800</v>
      </c>
      <c r="L620" s="3">
        <f>IFERROR(__xludf.DUMMYFUNCTION("""COMPUTED_VALUE"""),1.0)</f>
        <v>1</v>
      </c>
      <c r="M620" s="3" t="str">
        <f>IFERROR(__xludf.DUMMYFUNCTION("""COMPUTED_VALUE"""),"ร.อ.อนุชิต ทำจะดี")</f>
        <v>ร.อ.อนุชิต ทำจะดี</v>
      </c>
      <c r="N620" s="14" t="str">
        <f>IFERROR(__xludf.DUMMYFUNCTION("""COMPUTED_VALUE"""),"https://lh5.googleusercontent.com/d/1QTKbnp8qHhEmQGpbpHo5Wmp_FsffnHD-")</f>
        <v>https://lh5.googleusercontent.com/d/1QTKbnp8qHhEmQGpbpHo5Wmp_FsffnHD-</v>
      </c>
      <c r="O620" s="14" t="str">
        <f>IFERROR(__xludf.DUMMYFUNCTION("""COMPUTED_VALUE"""),"https://drive.google.com/file/d/1-Eudx4Vr1K66--bHrgVslO7RRWPe8wqm/view?usp=drivesdk")</f>
        <v>https://drive.google.com/file/d/1-Eudx4Vr1K66--bHrgVslO7RRWPe8wqm/view?usp=drivesdk</v>
      </c>
    </row>
    <row r="621">
      <c r="A621" s="3">
        <f>IFERROR(__xludf.DUMMYFUNCTION("""COMPUTED_VALUE"""),2489.0)</f>
        <v>2489</v>
      </c>
      <c r="B621" s="11">
        <f>IFERROR(__xludf.DUMMYFUNCTION("""COMPUTED_VALUE"""),46172.550996377315)</f>
        <v>46172.551</v>
      </c>
      <c r="C621" s="3" t="str">
        <f>IFERROR(__xludf.DUMMYFUNCTION("""COMPUTED_VALUE"""),"ชั้นปีที่ 1")</f>
        <v>ชั้นปีที่ 1</v>
      </c>
      <c r="D621" s="3" t="str">
        <f>IFERROR(__xludf.DUMMYFUNCTION("""COMPUTED_VALUE"""),"6803935")</f>
        <v>6803935</v>
      </c>
      <c r="E621" s="3" t="str">
        <f>IFERROR(__xludf.DUMMYFUNCTION("""COMPUTED_VALUE"""),"54")</f>
        <v>54</v>
      </c>
      <c r="F621" s="3" t="str">
        <f>IFERROR(__xludf.DUMMYFUNCTION("""COMPUTED_VALUE"""),"วีรวัฒน์ ทัศน์จันดา")</f>
        <v>วีรวัฒน์ ทัศน์จันดา</v>
      </c>
      <c r="G621" s="3" t="str">
        <f>IFERROR(__xludf.DUMMYFUNCTION("""COMPUTED_VALUE"""),"ช่วยเหลืองานภายใน วพอ.")</f>
        <v>ช่วยเหลืองานภายใน วพอ.</v>
      </c>
      <c r="H621" s="3" t="str">
        <f>IFERROR(__xludf.DUMMYFUNCTION("""COMPUTED_VALUE"""),"ดุริยางค์")</f>
        <v>ดุริยางค์</v>
      </c>
      <c r="I621" s="3" t="str">
        <f>IFERROR(__xludf.DUMMYFUNCTION("""COMPUTED_VALUE"""),"วพอ.พอ.")</f>
        <v>วพอ.พอ.</v>
      </c>
      <c r="J621" s="12">
        <f>IFERROR(__xludf.DUMMYFUNCTION("""COMPUTED_VALUE"""),46143.0)</f>
        <v>46143</v>
      </c>
      <c r="K621" s="3" t="str">
        <f>IFERROR(__xludf.DUMMYFUNCTION("""COMPUTED_VALUE"""),"0800")</f>
        <v>0800</v>
      </c>
      <c r="L621" s="3">
        <f>IFERROR(__xludf.DUMMYFUNCTION("""COMPUTED_VALUE"""),1.0)</f>
        <v>1</v>
      </c>
      <c r="M621" s="3" t="str">
        <f>IFERROR(__xludf.DUMMYFUNCTION("""COMPUTED_VALUE"""),"ร.อ.อนุชิต ทำจะดี")</f>
        <v>ร.อ.อนุชิต ทำจะดี</v>
      </c>
      <c r="N621" s="14" t="str">
        <f>IFERROR(__xludf.DUMMYFUNCTION("""COMPUTED_VALUE"""),"https://lh5.googleusercontent.com/d/1rjjxlCMihWC5P0VflY3Q5FVghaSgSLuN")</f>
        <v>https://lh5.googleusercontent.com/d/1rjjxlCMihWC5P0VflY3Q5FVghaSgSLuN</v>
      </c>
      <c r="O621" s="14" t="str">
        <f>IFERROR(__xludf.DUMMYFUNCTION("""COMPUTED_VALUE"""),"https://drive.google.com/file/d/1vuaF5O0WsCQ2ft0C6R2Ig-OYYUNbegwI/view?usp=drivesdk")</f>
        <v>https://drive.google.com/file/d/1vuaF5O0WsCQ2ft0C6R2Ig-OYYUNbegwI/view?usp=drivesdk</v>
      </c>
    </row>
    <row r="622">
      <c r="A622" s="3">
        <f>IFERROR(__xludf.DUMMYFUNCTION("""COMPUTED_VALUE"""),2490.0)</f>
        <v>2490</v>
      </c>
      <c r="B622" s="11">
        <f>IFERROR(__xludf.DUMMYFUNCTION("""COMPUTED_VALUE"""),46172.55307297454)</f>
        <v>46172.55307</v>
      </c>
      <c r="C622" s="3" t="str">
        <f>IFERROR(__xludf.DUMMYFUNCTION("""COMPUTED_VALUE"""),"ชั้นปีที่ 1")</f>
        <v>ชั้นปีที่ 1</v>
      </c>
      <c r="D622" s="3" t="str">
        <f>IFERROR(__xludf.DUMMYFUNCTION("""COMPUTED_VALUE"""),"6803935")</f>
        <v>6803935</v>
      </c>
      <c r="E622" s="3" t="str">
        <f>IFERROR(__xludf.DUMMYFUNCTION("""COMPUTED_VALUE"""),"54")</f>
        <v>54</v>
      </c>
      <c r="F622" s="3" t="str">
        <f>IFERROR(__xludf.DUMMYFUNCTION("""COMPUTED_VALUE"""),"วีรวัฒน์ ทัศน์จันดา")</f>
        <v>วีรวัฒน์ ทัศน์จันดา</v>
      </c>
      <c r="G622" s="3" t="str">
        <f>IFERROR(__xludf.DUMMYFUNCTION("""COMPUTED_VALUE"""),"ช่วยเหลืองานภายใน วพอ.")</f>
        <v>ช่วยเหลืองานภายใน วพอ.</v>
      </c>
      <c r="H622" s="3" t="str">
        <f>IFERROR(__xludf.DUMMYFUNCTION("""COMPUTED_VALUE"""),"ดุริยางค์")</f>
        <v>ดุริยางค์</v>
      </c>
      <c r="I622" s="3" t="str">
        <f>IFERROR(__xludf.DUMMYFUNCTION("""COMPUTED_VALUE"""),"วพอ.พอ.")</f>
        <v>วพอ.พอ.</v>
      </c>
      <c r="J622" s="12">
        <f>IFERROR(__xludf.DUMMYFUNCTION("""COMPUTED_VALUE"""),46112.0)</f>
        <v>46112</v>
      </c>
      <c r="K622" s="3" t="str">
        <f>IFERROR(__xludf.DUMMYFUNCTION("""COMPUTED_VALUE"""),"0800")</f>
        <v>0800</v>
      </c>
      <c r="L622" s="3">
        <f>IFERROR(__xludf.DUMMYFUNCTION("""COMPUTED_VALUE"""),1.0)</f>
        <v>1</v>
      </c>
      <c r="M622" s="3" t="str">
        <f>IFERROR(__xludf.DUMMYFUNCTION("""COMPUTED_VALUE"""),"ร.อ.อนุชิต ทำจะดี")</f>
        <v>ร.อ.อนุชิต ทำจะดี</v>
      </c>
      <c r="N622" s="14" t="str">
        <f>IFERROR(__xludf.DUMMYFUNCTION("""COMPUTED_VALUE"""),"https://lh5.googleusercontent.com/d/1Zos12RK_3Rw_NOS5RncvXZLIiu1JEmLh")</f>
        <v>https://lh5.googleusercontent.com/d/1Zos12RK_3Rw_NOS5RncvXZLIiu1JEmLh</v>
      </c>
      <c r="O622" s="14" t="str">
        <f>IFERROR(__xludf.DUMMYFUNCTION("""COMPUTED_VALUE"""),"https://drive.google.com/file/d/18QhkiK54vndkgCDepqG3Igj8nnEkCHi2/view?usp=drivesdk")</f>
        <v>https://drive.google.com/file/d/18QhkiK54vndkgCDepqG3Igj8nnEkCHi2/view?usp=drivesdk</v>
      </c>
    </row>
    <row r="623">
      <c r="A623" s="3">
        <f>IFERROR(__xludf.DUMMYFUNCTION("""COMPUTED_VALUE"""),2491.0)</f>
        <v>2491</v>
      </c>
      <c r="B623" s="11">
        <f>IFERROR(__xludf.DUMMYFUNCTION("""COMPUTED_VALUE"""),46172.55544976852)</f>
        <v>46172.55545</v>
      </c>
      <c r="C623" s="3" t="str">
        <f>IFERROR(__xludf.DUMMYFUNCTION("""COMPUTED_VALUE"""),"ชั้นปีที่ 1")</f>
        <v>ชั้นปีที่ 1</v>
      </c>
      <c r="D623" s="3" t="str">
        <f>IFERROR(__xludf.DUMMYFUNCTION("""COMPUTED_VALUE"""),"6803935")</f>
        <v>6803935</v>
      </c>
      <c r="E623" s="3" t="str">
        <f>IFERROR(__xludf.DUMMYFUNCTION("""COMPUTED_VALUE"""),"54")</f>
        <v>54</v>
      </c>
      <c r="F623" s="3" t="str">
        <f>IFERROR(__xludf.DUMMYFUNCTION("""COMPUTED_VALUE"""),"วีรวัฒน์ ทัศน์จันดา")</f>
        <v>วีรวัฒน์ ทัศน์จันดา</v>
      </c>
      <c r="G623" s="3" t="str">
        <f>IFERROR(__xludf.DUMMYFUNCTION("""COMPUTED_VALUE"""),"ช่วยเหลืองานภายใน วพอ.")</f>
        <v>ช่วยเหลืองานภายใน วพอ.</v>
      </c>
      <c r="H623" s="3" t="str">
        <f>IFERROR(__xludf.DUMMYFUNCTION("""COMPUTED_VALUE"""),"ดุริยางค์")</f>
        <v>ดุริยางค์</v>
      </c>
      <c r="I623" s="3" t="str">
        <f>IFERROR(__xludf.DUMMYFUNCTION("""COMPUTED_VALUE"""),"วพอ.พอ")</f>
        <v>วพอ.พอ</v>
      </c>
      <c r="J623" s="12">
        <f>IFERROR(__xludf.DUMMYFUNCTION("""COMPUTED_VALUE"""),46107.0)</f>
        <v>46107</v>
      </c>
      <c r="K623" s="3" t="str">
        <f>IFERROR(__xludf.DUMMYFUNCTION("""COMPUTED_VALUE"""),"0800")</f>
        <v>0800</v>
      </c>
      <c r="L623" s="3">
        <f>IFERROR(__xludf.DUMMYFUNCTION("""COMPUTED_VALUE"""),1.0)</f>
        <v>1</v>
      </c>
      <c r="M623" s="3" t="str">
        <f>IFERROR(__xludf.DUMMYFUNCTION("""COMPUTED_VALUE"""),"ร.อ.อนุชิต ทำจะดี")</f>
        <v>ร.อ.อนุชิต ทำจะดี</v>
      </c>
      <c r="N623" s="14" t="str">
        <f>IFERROR(__xludf.DUMMYFUNCTION("""COMPUTED_VALUE"""),"https://lh5.googleusercontent.com/d/1G5ncu98oN4c9XI_WL8ScuyXt0ynHh-Xi")</f>
        <v>https://lh5.googleusercontent.com/d/1G5ncu98oN4c9XI_WL8ScuyXt0ynHh-Xi</v>
      </c>
      <c r="O623" s="14" t="str">
        <f>IFERROR(__xludf.DUMMYFUNCTION("""COMPUTED_VALUE"""),"https://drive.google.com/file/d/1KYowGAxMWDXFwUvRf-kC94Y87fz6y7Ce/view?usp=drivesdk")</f>
        <v>https://drive.google.com/file/d/1KYowGAxMWDXFwUvRf-kC94Y87fz6y7Ce/view?usp=drivesdk</v>
      </c>
    </row>
    <row r="624">
      <c r="A624" s="3">
        <f>IFERROR(__xludf.DUMMYFUNCTION("""COMPUTED_VALUE"""),2492.0)</f>
        <v>2492</v>
      </c>
      <c r="B624" s="11">
        <f>IFERROR(__xludf.DUMMYFUNCTION("""COMPUTED_VALUE"""),46172.55709836805)</f>
        <v>46172.5571</v>
      </c>
      <c r="C624" s="3" t="str">
        <f>IFERROR(__xludf.DUMMYFUNCTION("""COMPUTED_VALUE"""),"ชั้นปีที่ 1")</f>
        <v>ชั้นปีที่ 1</v>
      </c>
      <c r="D624" s="3" t="str">
        <f>IFERROR(__xludf.DUMMYFUNCTION("""COMPUTED_VALUE"""),"6803935")</f>
        <v>6803935</v>
      </c>
      <c r="E624" s="3" t="str">
        <f>IFERROR(__xludf.DUMMYFUNCTION("""COMPUTED_VALUE"""),"54")</f>
        <v>54</v>
      </c>
      <c r="F624" s="3" t="str">
        <f>IFERROR(__xludf.DUMMYFUNCTION("""COMPUTED_VALUE"""),"วีรวัฒน์ ทัศน์จันดา")</f>
        <v>วีรวัฒน์ ทัศน์จันดา</v>
      </c>
      <c r="G624" s="3" t="str">
        <f>IFERROR(__xludf.DUMMYFUNCTION("""COMPUTED_VALUE"""),"ช่วยเหลืองานภายใน วพอ.")</f>
        <v>ช่วยเหลืองานภายใน วพอ.</v>
      </c>
      <c r="H624" s="3" t="str">
        <f>IFERROR(__xludf.DUMMYFUNCTION("""COMPUTED_VALUE"""),"ดุริยางค์")</f>
        <v>ดุริยางค์</v>
      </c>
      <c r="I624" s="3" t="str">
        <f>IFERROR(__xludf.DUMMYFUNCTION("""COMPUTED_VALUE"""),"วพอ.พอ.")</f>
        <v>วพอ.พอ.</v>
      </c>
      <c r="J624" s="12">
        <f>IFERROR(__xludf.DUMMYFUNCTION("""COMPUTED_VALUE"""),46142.0)</f>
        <v>46142</v>
      </c>
      <c r="K624" s="3" t="str">
        <f>IFERROR(__xludf.DUMMYFUNCTION("""COMPUTED_VALUE"""),"0800")</f>
        <v>0800</v>
      </c>
      <c r="L624" s="3">
        <f>IFERROR(__xludf.DUMMYFUNCTION("""COMPUTED_VALUE"""),1.0)</f>
        <v>1</v>
      </c>
      <c r="M624" s="3" t="str">
        <f>IFERROR(__xludf.DUMMYFUNCTION("""COMPUTED_VALUE"""),"ร.อ.อนุชิต ทำจะดี")</f>
        <v>ร.อ.อนุชิต ทำจะดี</v>
      </c>
      <c r="N624" s="14" t="str">
        <f>IFERROR(__xludf.DUMMYFUNCTION("""COMPUTED_VALUE"""),"https://lh5.googleusercontent.com/d/1-YyE3zxns5bOb9uf1_IrIhCYU6ChR58b")</f>
        <v>https://lh5.googleusercontent.com/d/1-YyE3zxns5bOb9uf1_IrIhCYU6ChR58b</v>
      </c>
      <c r="O624" s="14" t="str">
        <f>IFERROR(__xludf.DUMMYFUNCTION("""COMPUTED_VALUE"""),"https://drive.google.com/file/d/1ACd2uUp2Zmr16WsTF6rhuI6eOQxxoe7l/view?usp=drivesdk")</f>
        <v>https://drive.google.com/file/d/1ACd2uUp2Zmr16WsTF6rhuI6eOQxxoe7l/view?usp=drivesdk</v>
      </c>
    </row>
    <row r="625">
      <c r="A625" s="3">
        <f>IFERROR(__xludf.DUMMYFUNCTION("""COMPUTED_VALUE"""),2493.0)</f>
        <v>2493</v>
      </c>
      <c r="B625" s="11">
        <f>IFERROR(__xludf.DUMMYFUNCTION("""COMPUTED_VALUE"""),46172.558972754625)</f>
        <v>46172.55897</v>
      </c>
      <c r="C625" s="3" t="str">
        <f>IFERROR(__xludf.DUMMYFUNCTION("""COMPUTED_VALUE"""),"ชั้นปีที่ 1")</f>
        <v>ชั้นปีที่ 1</v>
      </c>
      <c r="D625" s="3" t="str">
        <f>IFERROR(__xludf.DUMMYFUNCTION("""COMPUTED_VALUE"""),"6803935")</f>
        <v>6803935</v>
      </c>
      <c r="E625" s="3" t="str">
        <f>IFERROR(__xludf.DUMMYFUNCTION("""COMPUTED_VALUE"""),"54")</f>
        <v>54</v>
      </c>
      <c r="F625" s="3" t="str">
        <f>IFERROR(__xludf.DUMMYFUNCTION("""COMPUTED_VALUE"""),"วีรวัฒน์ ทัศน์จันดา")</f>
        <v>วีรวัฒน์ ทัศน์จันดา</v>
      </c>
      <c r="G625" s="3" t="str">
        <f>IFERROR(__xludf.DUMMYFUNCTION("""COMPUTED_VALUE"""),"ช่วยเหลืองานภายใน วพอ.")</f>
        <v>ช่วยเหลืองานภายใน วพอ.</v>
      </c>
      <c r="H625" s="3" t="str">
        <f>IFERROR(__xludf.DUMMYFUNCTION("""COMPUTED_VALUE"""),"ดุริยางค์")</f>
        <v>ดุริยางค์</v>
      </c>
      <c r="I625" s="3" t="str">
        <f>IFERROR(__xludf.DUMMYFUNCTION("""COMPUTED_VALUE"""),"วพอ.พอ.")</f>
        <v>วพอ.พอ.</v>
      </c>
      <c r="J625" s="12">
        <f>IFERROR(__xludf.DUMMYFUNCTION("""COMPUTED_VALUE"""),46106.0)</f>
        <v>46106</v>
      </c>
      <c r="K625" s="3" t="str">
        <f>IFERROR(__xludf.DUMMYFUNCTION("""COMPUTED_VALUE"""),"0800")</f>
        <v>0800</v>
      </c>
      <c r="L625" s="3">
        <f>IFERROR(__xludf.DUMMYFUNCTION("""COMPUTED_VALUE"""),1.0)</f>
        <v>1</v>
      </c>
      <c r="M625" s="3" t="str">
        <f>IFERROR(__xludf.DUMMYFUNCTION("""COMPUTED_VALUE"""),"ร.อ.อนุชิต ทำจะดี")</f>
        <v>ร.อ.อนุชิต ทำจะดี</v>
      </c>
      <c r="N625" s="14" t="str">
        <f>IFERROR(__xludf.DUMMYFUNCTION("""COMPUTED_VALUE"""),"https://lh5.googleusercontent.com/d/1pgtXiMPYOVOS4LEZQY0MvOglXpdV-92f")</f>
        <v>https://lh5.googleusercontent.com/d/1pgtXiMPYOVOS4LEZQY0MvOglXpdV-92f</v>
      </c>
      <c r="O625" s="14" t="str">
        <f>IFERROR(__xludf.DUMMYFUNCTION("""COMPUTED_VALUE"""),"https://drive.google.com/file/d/1iUTMug6lLELg5QPeWydH8wtGt-AeCala/view?usp=drivesdk")</f>
        <v>https://drive.google.com/file/d/1iUTMug6lLELg5QPeWydH8wtGt-AeCala/view?usp=drivesdk</v>
      </c>
    </row>
    <row r="626">
      <c r="A626" s="3">
        <f>IFERROR(__xludf.DUMMYFUNCTION("""COMPUTED_VALUE"""),2494.0)</f>
        <v>2494</v>
      </c>
      <c r="B626" s="11">
        <f>IFERROR(__xludf.DUMMYFUNCTION("""COMPUTED_VALUE"""),46172.56623921297)</f>
        <v>46172.56624</v>
      </c>
      <c r="C626" s="3" t="str">
        <f>IFERROR(__xludf.DUMMYFUNCTION("""COMPUTED_VALUE"""),"ชั้นปีที่ 1")</f>
        <v>ชั้นปีที่ 1</v>
      </c>
      <c r="D626" s="3" t="str">
        <f>IFERROR(__xludf.DUMMYFUNCTION("""COMPUTED_VALUE"""),"6803935")</f>
        <v>6803935</v>
      </c>
      <c r="E626" s="3" t="str">
        <f>IFERROR(__xludf.DUMMYFUNCTION("""COMPUTED_VALUE"""),"54")</f>
        <v>54</v>
      </c>
      <c r="F626" s="3" t="str">
        <f>IFERROR(__xludf.DUMMYFUNCTION("""COMPUTED_VALUE"""),"วีรวัฒน์ ทัศน์จันดา")</f>
        <v>วีรวัฒน์ ทัศน์จันดา</v>
      </c>
      <c r="G626" s="3" t="str">
        <f>IFERROR(__xludf.DUMMYFUNCTION("""COMPUTED_VALUE"""),"ช่วยเหลืองานภายใน วพอ.")</f>
        <v>ช่วยเหลืองานภายใน วพอ.</v>
      </c>
      <c r="H626" s="3" t="str">
        <f>IFERROR(__xludf.DUMMYFUNCTION("""COMPUTED_VALUE"""),"ดุริยางค์")</f>
        <v>ดุริยางค์</v>
      </c>
      <c r="I626" s="3" t="str">
        <f>IFERROR(__xludf.DUMMYFUNCTION("""COMPUTED_VALUE"""),"วพอ.พอ.")</f>
        <v>วพอ.พอ.</v>
      </c>
      <c r="J626" s="12">
        <f>IFERROR(__xludf.DUMMYFUNCTION("""COMPUTED_VALUE"""),46079.0)</f>
        <v>46079</v>
      </c>
      <c r="K626" s="3" t="str">
        <f>IFERROR(__xludf.DUMMYFUNCTION("""COMPUTED_VALUE"""),"0800")</f>
        <v>0800</v>
      </c>
      <c r="L626" s="3">
        <f>IFERROR(__xludf.DUMMYFUNCTION("""COMPUTED_VALUE"""),1.0)</f>
        <v>1</v>
      </c>
      <c r="M626" s="3" t="str">
        <f>IFERROR(__xludf.DUMMYFUNCTION("""COMPUTED_VALUE"""),"ร.อ.อนุชิต ทำจะดี")</f>
        <v>ร.อ.อนุชิต ทำจะดี</v>
      </c>
      <c r="N626" s="14" t="str">
        <f>IFERROR(__xludf.DUMMYFUNCTION("""COMPUTED_VALUE"""),"https://lh5.googleusercontent.com/d/1Bt26tyh-KrQmrOHNk9GMUcorP5lOtkPa")</f>
        <v>https://lh5.googleusercontent.com/d/1Bt26tyh-KrQmrOHNk9GMUcorP5lOtkPa</v>
      </c>
      <c r="O626" s="14" t="str">
        <f>IFERROR(__xludf.DUMMYFUNCTION("""COMPUTED_VALUE"""),"https://drive.google.com/file/d/19-7uW9_ig_Yv1GQDIeo3s8b7AL0mT1xw/view?usp=drivesdk")</f>
        <v>https://drive.google.com/file/d/19-7uW9_ig_Yv1GQDIeo3s8b7AL0mT1xw/view?usp=drivesdk</v>
      </c>
    </row>
    <row r="627">
      <c r="A627" s="3">
        <f>IFERROR(__xludf.DUMMYFUNCTION("""COMPUTED_VALUE"""),2495.0)</f>
        <v>2495</v>
      </c>
      <c r="B627" s="11">
        <f>IFERROR(__xludf.DUMMYFUNCTION("""COMPUTED_VALUE"""),46172.56816326389)</f>
        <v>46172.56816</v>
      </c>
      <c r="C627" s="3" t="str">
        <f>IFERROR(__xludf.DUMMYFUNCTION("""COMPUTED_VALUE"""),"ชั้นปีที่ 1")</f>
        <v>ชั้นปีที่ 1</v>
      </c>
      <c r="D627" s="3" t="str">
        <f>IFERROR(__xludf.DUMMYFUNCTION("""COMPUTED_VALUE"""),"6803935")</f>
        <v>6803935</v>
      </c>
      <c r="E627" s="3" t="str">
        <f>IFERROR(__xludf.DUMMYFUNCTION("""COMPUTED_VALUE"""),"54")</f>
        <v>54</v>
      </c>
      <c r="F627" s="3" t="str">
        <f>IFERROR(__xludf.DUMMYFUNCTION("""COMPUTED_VALUE"""),"วีรวัฒน์ ทัศน์จันดา")</f>
        <v>วีรวัฒน์ ทัศน์จันดา</v>
      </c>
      <c r="G627" s="3" t="str">
        <f>IFERROR(__xludf.DUMMYFUNCTION("""COMPUTED_VALUE"""),"ช่วยเหลืองานภายใน วพอ.")</f>
        <v>ช่วยเหลืองานภายใน วพอ.</v>
      </c>
      <c r="H627" s="3" t="str">
        <f>IFERROR(__xludf.DUMMYFUNCTION("""COMPUTED_VALUE"""),"ดุริยางค์")</f>
        <v>ดุริยางค์</v>
      </c>
      <c r="I627" s="3" t="str">
        <f>IFERROR(__xludf.DUMMYFUNCTION("""COMPUTED_VALUE"""),"วพอ.พอ.")</f>
        <v>วพอ.พอ.</v>
      </c>
      <c r="J627" s="12">
        <f>IFERROR(__xludf.DUMMYFUNCTION("""COMPUTED_VALUE"""),46035.0)</f>
        <v>46035</v>
      </c>
      <c r="K627" s="3" t="str">
        <f>IFERROR(__xludf.DUMMYFUNCTION("""COMPUTED_VALUE"""),"0800")</f>
        <v>0800</v>
      </c>
      <c r="L627" s="3">
        <f>IFERROR(__xludf.DUMMYFUNCTION("""COMPUTED_VALUE"""),1.0)</f>
        <v>1</v>
      </c>
      <c r="M627" s="3" t="str">
        <f>IFERROR(__xludf.DUMMYFUNCTION("""COMPUTED_VALUE"""),"ร.อ.อนุชิต ทำจะดี")</f>
        <v>ร.อ.อนุชิต ทำจะดี</v>
      </c>
      <c r="N627" s="14" t="str">
        <f>IFERROR(__xludf.DUMMYFUNCTION("""COMPUTED_VALUE"""),"https://lh5.googleusercontent.com/d/1DBxJkh_4NrTsD7bG9ND7S6HQ7jN7Zo7-")</f>
        <v>https://lh5.googleusercontent.com/d/1DBxJkh_4NrTsD7bG9ND7S6HQ7jN7Zo7-</v>
      </c>
      <c r="O627" s="14" t="str">
        <f>IFERROR(__xludf.DUMMYFUNCTION("""COMPUTED_VALUE"""),"https://drive.google.com/file/d/1alprVD2L0RZg2fX4XxBcAREIgRFVBe-u/view?usp=drivesdk")</f>
        <v>https://drive.google.com/file/d/1alprVD2L0RZg2fX4XxBcAREIgRFVBe-u/view?usp=drivesdk</v>
      </c>
    </row>
    <row r="628">
      <c r="A628" s="3">
        <f>IFERROR(__xludf.DUMMYFUNCTION("""COMPUTED_VALUE"""),2497.0)</f>
        <v>2497</v>
      </c>
      <c r="B628" s="11">
        <f>IFERROR(__xludf.DUMMYFUNCTION("""COMPUTED_VALUE"""),46172.60767251157)</f>
        <v>46172.60767</v>
      </c>
      <c r="C628" s="3" t="str">
        <f>IFERROR(__xludf.DUMMYFUNCTION("""COMPUTED_VALUE"""),"ชั้นปีที่ 1")</f>
        <v>ชั้นปีที่ 1</v>
      </c>
      <c r="D628" s="3" t="str">
        <f>IFERROR(__xludf.DUMMYFUNCTION("""COMPUTED_VALUE"""),"6803935")</f>
        <v>6803935</v>
      </c>
      <c r="E628" s="3" t="str">
        <f>IFERROR(__xludf.DUMMYFUNCTION("""COMPUTED_VALUE"""),"54")</f>
        <v>54</v>
      </c>
      <c r="F628" s="3" t="str">
        <f>IFERROR(__xludf.DUMMYFUNCTION("""COMPUTED_VALUE"""),"วีรวัฒน์ ทัศน์จันดา")</f>
        <v>วีรวัฒน์ ทัศน์จันดา</v>
      </c>
      <c r="G628" s="3" t="str">
        <f>IFERROR(__xludf.DUMMYFUNCTION("""COMPUTED_VALUE"""),"ช่วยเหลืองานภายใน วพอ.")</f>
        <v>ช่วยเหลืองานภายใน วพอ.</v>
      </c>
      <c r="H628" s="3" t="str">
        <f>IFERROR(__xludf.DUMMYFUNCTION("""COMPUTED_VALUE"""),"ดุริยางค์")</f>
        <v>ดุริยางค์</v>
      </c>
      <c r="I628" s="3" t="str">
        <f>IFERROR(__xludf.DUMMYFUNCTION("""COMPUTED_VALUE"""),"วพอ.พอ.")</f>
        <v>วพอ.พอ.</v>
      </c>
      <c r="J628" s="12">
        <f>IFERROR(__xludf.DUMMYFUNCTION("""COMPUTED_VALUE"""),46028.0)</f>
        <v>46028</v>
      </c>
      <c r="K628" s="3" t="str">
        <f>IFERROR(__xludf.DUMMYFUNCTION("""COMPUTED_VALUE"""),"0800")</f>
        <v>0800</v>
      </c>
      <c r="L628" s="3">
        <f>IFERROR(__xludf.DUMMYFUNCTION("""COMPUTED_VALUE"""),1.0)</f>
        <v>1</v>
      </c>
      <c r="M628" s="3" t="str">
        <f>IFERROR(__xludf.DUMMYFUNCTION("""COMPUTED_VALUE"""),"ร.อ.อนุชิต ทำจะดี")</f>
        <v>ร.อ.อนุชิต ทำจะดี</v>
      </c>
      <c r="N628" s="14" t="str">
        <f>IFERROR(__xludf.DUMMYFUNCTION("""COMPUTED_VALUE"""),"https://lh5.googleusercontent.com/d/1kucYZwcAeJXwRbHFE0HBPaPkn8b6gxXn")</f>
        <v>https://lh5.googleusercontent.com/d/1kucYZwcAeJXwRbHFE0HBPaPkn8b6gxXn</v>
      </c>
      <c r="O628" s="14" t="str">
        <f>IFERROR(__xludf.DUMMYFUNCTION("""COMPUTED_VALUE"""),"https://drive.google.com/file/d/1HQxapq_7GidVrRYFIzy3ugwlRlOSzB0D/view?usp=drivesdk")</f>
        <v>https://drive.google.com/file/d/1HQxapq_7GidVrRYFIzy3ugwlRlOSzB0D/view?usp=drivesdk</v>
      </c>
    </row>
    <row r="629">
      <c r="A629" s="3">
        <f>IFERROR(__xludf.DUMMYFUNCTION("""COMPUTED_VALUE"""),2498.0)</f>
        <v>2498</v>
      </c>
      <c r="B629" s="11">
        <f>IFERROR(__xludf.DUMMYFUNCTION("""COMPUTED_VALUE"""),46172.60894619213)</f>
        <v>46172.60895</v>
      </c>
      <c r="C629" s="3" t="str">
        <f>IFERROR(__xludf.DUMMYFUNCTION("""COMPUTED_VALUE"""),"ชั้นปีที่ 1")</f>
        <v>ชั้นปีที่ 1</v>
      </c>
      <c r="D629" s="3" t="str">
        <f>IFERROR(__xludf.DUMMYFUNCTION("""COMPUTED_VALUE"""),"6803935")</f>
        <v>6803935</v>
      </c>
      <c r="E629" s="3" t="str">
        <f>IFERROR(__xludf.DUMMYFUNCTION("""COMPUTED_VALUE"""),"54")</f>
        <v>54</v>
      </c>
      <c r="F629" s="3" t="str">
        <f>IFERROR(__xludf.DUMMYFUNCTION("""COMPUTED_VALUE"""),"วีรวัฒน์ ทัศน์จันดา")</f>
        <v>วีรวัฒน์ ทัศน์จันดา</v>
      </c>
      <c r="G629" s="3" t="str">
        <f>IFERROR(__xludf.DUMMYFUNCTION("""COMPUTED_VALUE"""),"ช่วยเหลืองานภายใน วพอ.")</f>
        <v>ช่วยเหลืองานภายใน วพอ.</v>
      </c>
      <c r="H629" s="3" t="str">
        <f>IFERROR(__xludf.DUMMYFUNCTION("""COMPUTED_VALUE"""),"ดุริยางค์")</f>
        <v>ดุริยางค์</v>
      </c>
      <c r="I629" s="3" t="str">
        <f>IFERROR(__xludf.DUMMYFUNCTION("""COMPUTED_VALUE"""),"วพอ.พอ.")</f>
        <v>วพอ.พอ.</v>
      </c>
      <c r="J629" s="12">
        <f>IFERROR(__xludf.DUMMYFUNCTION("""COMPUTED_VALUE"""),46114.0)</f>
        <v>46114</v>
      </c>
      <c r="K629" s="3" t="str">
        <f>IFERROR(__xludf.DUMMYFUNCTION("""COMPUTED_VALUE"""),"0800")</f>
        <v>0800</v>
      </c>
      <c r="L629" s="3">
        <f>IFERROR(__xludf.DUMMYFUNCTION("""COMPUTED_VALUE"""),1.0)</f>
        <v>1</v>
      </c>
      <c r="M629" s="3" t="str">
        <f>IFERROR(__xludf.DUMMYFUNCTION("""COMPUTED_VALUE"""),"ร.อ.อนุชิต ทำจะดี")</f>
        <v>ร.อ.อนุชิต ทำจะดี</v>
      </c>
      <c r="N629" s="14" t="str">
        <f>IFERROR(__xludf.DUMMYFUNCTION("""COMPUTED_VALUE"""),"https://lh5.googleusercontent.com/d/1lhtq1CLTDWg1N2Dnr5_5ailcyw_UYF66")</f>
        <v>https://lh5.googleusercontent.com/d/1lhtq1CLTDWg1N2Dnr5_5ailcyw_UYF66</v>
      </c>
      <c r="O629" s="14" t="str">
        <f>IFERROR(__xludf.DUMMYFUNCTION("""COMPUTED_VALUE"""),"https://drive.google.com/file/d/1IZW38ByAdDl-FX2A58oty4UzFxthVMhh/view?usp=drivesdk")</f>
        <v>https://drive.google.com/file/d/1IZW38ByAdDl-FX2A58oty4UzFxthVMhh/view?usp=drivesdk</v>
      </c>
    </row>
    <row r="630">
      <c r="A630" s="3">
        <f>IFERROR(__xludf.DUMMYFUNCTION("""COMPUTED_VALUE"""),2499.0)</f>
        <v>2499</v>
      </c>
      <c r="B630" s="11">
        <f>IFERROR(__xludf.DUMMYFUNCTION("""COMPUTED_VALUE"""),46172.61045097222)</f>
        <v>46172.61045</v>
      </c>
      <c r="C630" s="3" t="str">
        <f>IFERROR(__xludf.DUMMYFUNCTION("""COMPUTED_VALUE"""),"ชั้นปีที่ 1")</f>
        <v>ชั้นปีที่ 1</v>
      </c>
      <c r="D630" s="3" t="str">
        <f>IFERROR(__xludf.DUMMYFUNCTION("""COMPUTED_VALUE"""),"6803935")</f>
        <v>6803935</v>
      </c>
      <c r="E630" s="3" t="str">
        <f>IFERROR(__xludf.DUMMYFUNCTION("""COMPUTED_VALUE"""),"54")</f>
        <v>54</v>
      </c>
      <c r="F630" s="3" t="str">
        <f>IFERROR(__xludf.DUMMYFUNCTION("""COMPUTED_VALUE"""),"วีรวัฒน์ ทัศน์จันดา")</f>
        <v>วีรวัฒน์ ทัศน์จันดา</v>
      </c>
      <c r="G630" s="3" t="str">
        <f>IFERROR(__xludf.DUMMYFUNCTION("""COMPUTED_VALUE"""),"ช่วยเหลืองานภายใน วพอ.")</f>
        <v>ช่วยเหลืองานภายใน วพอ.</v>
      </c>
      <c r="H630" s="3" t="str">
        <f>IFERROR(__xludf.DUMMYFUNCTION("""COMPUTED_VALUE"""),"ดุริยางค์")</f>
        <v>ดุริยางค์</v>
      </c>
      <c r="I630" s="3" t="str">
        <f>IFERROR(__xludf.DUMMYFUNCTION("""COMPUTED_VALUE"""),"วพอ.พอ.")</f>
        <v>วพอ.พอ.</v>
      </c>
      <c r="J630" s="12">
        <f>IFERROR(__xludf.DUMMYFUNCTION("""COMPUTED_VALUE"""),46121.0)</f>
        <v>46121</v>
      </c>
      <c r="K630" s="3" t="str">
        <f>IFERROR(__xludf.DUMMYFUNCTION("""COMPUTED_VALUE"""),"0800")</f>
        <v>0800</v>
      </c>
      <c r="L630" s="3">
        <f>IFERROR(__xludf.DUMMYFUNCTION("""COMPUTED_VALUE"""),1.0)</f>
        <v>1</v>
      </c>
      <c r="M630" s="3" t="str">
        <f>IFERROR(__xludf.DUMMYFUNCTION("""COMPUTED_VALUE"""),"ร.อ.อนุชิต ทำจะดี")</f>
        <v>ร.อ.อนุชิต ทำจะดี</v>
      </c>
      <c r="N630" s="14" t="str">
        <f>IFERROR(__xludf.DUMMYFUNCTION("""COMPUTED_VALUE"""),"https://lh5.googleusercontent.com/d/1FQPsGHFZeHgg4ajfk-bWcToMNjUzL4IM")</f>
        <v>https://lh5.googleusercontent.com/d/1FQPsGHFZeHgg4ajfk-bWcToMNjUzL4IM</v>
      </c>
      <c r="O630" s="14" t="str">
        <f>IFERROR(__xludf.DUMMYFUNCTION("""COMPUTED_VALUE"""),"https://drive.google.com/file/d/1we0fYCZcwEiRejskll03cfxMD0iwKDLB/view?usp=drivesdk")</f>
        <v>https://drive.google.com/file/d/1we0fYCZcwEiRejskll03cfxMD0iwKDLB/view?usp=drivesdk</v>
      </c>
    </row>
    <row r="631">
      <c r="A631" s="3">
        <f>IFERROR(__xludf.DUMMYFUNCTION("""COMPUTED_VALUE"""),2500.0)</f>
        <v>2500</v>
      </c>
      <c r="B631" s="11">
        <f>IFERROR(__xludf.DUMMYFUNCTION("""COMPUTED_VALUE"""),46172.61300540509)</f>
        <v>46172.61301</v>
      </c>
      <c r="C631" s="3" t="str">
        <f>IFERROR(__xludf.DUMMYFUNCTION("""COMPUTED_VALUE"""),"ชั้นปีที่ 1")</f>
        <v>ชั้นปีที่ 1</v>
      </c>
      <c r="D631" s="3" t="str">
        <f>IFERROR(__xludf.DUMMYFUNCTION("""COMPUTED_VALUE"""),"6803935")</f>
        <v>6803935</v>
      </c>
      <c r="E631" s="3" t="str">
        <f>IFERROR(__xludf.DUMMYFUNCTION("""COMPUTED_VALUE"""),"54")</f>
        <v>54</v>
      </c>
      <c r="F631" s="3" t="str">
        <f>IFERROR(__xludf.DUMMYFUNCTION("""COMPUTED_VALUE"""),"วีรวัฒน์ ทัศน์จันดา")</f>
        <v>วีรวัฒน์ ทัศน์จันดา</v>
      </c>
      <c r="G631" s="3" t="str">
        <f>IFERROR(__xludf.DUMMYFUNCTION("""COMPUTED_VALUE"""),"ช่วยเหลืองานภายใน วพอ.")</f>
        <v>ช่วยเหลืองานภายใน วพอ.</v>
      </c>
      <c r="H631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31" s="3" t="str">
        <f>IFERROR(__xludf.DUMMYFUNCTION("""COMPUTED_VALUE"""),"วพอ.พอ.")</f>
        <v>วพอ.พอ.</v>
      </c>
      <c r="J631" s="12">
        <f>IFERROR(__xludf.DUMMYFUNCTION("""COMPUTED_VALUE"""),46164.0)</f>
        <v>46164</v>
      </c>
      <c r="K631" s="3" t="str">
        <f>IFERROR(__xludf.DUMMYFUNCTION("""COMPUTED_VALUE"""),"1500-1700")</f>
        <v>1500-1700</v>
      </c>
      <c r="L631" s="3">
        <f>IFERROR(__xludf.DUMMYFUNCTION("""COMPUTED_VALUE"""),2.0)</f>
        <v>2</v>
      </c>
      <c r="M631" s="3" t="str">
        <f>IFERROR(__xludf.DUMMYFUNCTION("""COMPUTED_VALUE"""),"น.อ.หญิง นิตยา สุขแสน")</f>
        <v>น.อ.หญิง นิตยา สุขแสน</v>
      </c>
      <c r="N631" s="14" t="str">
        <f>IFERROR(__xludf.DUMMYFUNCTION("""COMPUTED_VALUE"""),"https://lh5.googleusercontent.com/d/1HpvlxjX3mX50Mwgs0QEaShP-lbkQPL1a")</f>
        <v>https://lh5.googleusercontent.com/d/1HpvlxjX3mX50Mwgs0QEaShP-lbkQPL1a</v>
      </c>
      <c r="O631" s="14" t="str">
        <f>IFERROR(__xludf.DUMMYFUNCTION("""COMPUTED_VALUE"""),"https://drive.google.com/file/d/1kSWxE86Z2qSgSCmCRNnsX0_BiXB7MX8j/view?usp=drivesdk")</f>
        <v>https://drive.google.com/file/d/1kSWxE86Z2qSgSCmCRNnsX0_BiXB7MX8j/view?usp=drivesdk</v>
      </c>
    </row>
    <row r="632">
      <c r="A632" s="3">
        <f>IFERROR(__xludf.DUMMYFUNCTION("""COMPUTED_VALUE"""),2501.0)</f>
        <v>2501</v>
      </c>
      <c r="B632" s="11">
        <f>IFERROR(__xludf.DUMMYFUNCTION("""COMPUTED_VALUE"""),46172.641037800924)</f>
        <v>46172.64104</v>
      </c>
      <c r="C632" s="3" t="str">
        <f>IFERROR(__xludf.DUMMYFUNCTION("""COMPUTED_VALUE"""),"ชั้นปีที่ 1")</f>
        <v>ชั้นปีที่ 1</v>
      </c>
      <c r="D632" s="3" t="str">
        <f>IFERROR(__xludf.DUMMYFUNCTION("""COMPUTED_VALUE"""),"6803935")</f>
        <v>6803935</v>
      </c>
      <c r="E632" s="3" t="str">
        <f>IFERROR(__xludf.DUMMYFUNCTION("""COMPUTED_VALUE"""),"54")</f>
        <v>54</v>
      </c>
      <c r="F632" s="3" t="str">
        <f>IFERROR(__xludf.DUMMYFUNCTION("""COMPUTED_VALUE"""),"วีรวัฒน์ ทัศน์จันดา")</f>
        <v>วีรวัฒน์ ทัศน์จันดา</v>
      </c>
      <c r="G63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2" s="3" t="str">
        <f>IFERROR(__xludf.DUMMYFUNCTION("""COMPUTED_VALUE"""),"เล่นดนตรี Green market")</f>
        <v>เล่นดนตรี Green market</v>
      </c>
      <c r="I632" s="3" t="str">
        <f>IFERROR(__xludf.DUMMYFUNCTION("""COMPUTED_VALUE"""),"สโมสรนายทหารประทวน")</f>
        <v>สโมสรนายทหารประทวน</v>
      </c>
      <c r="J632" s="12">
        <f>IFERROR(__xludf.DUMMYFUNCTION("""COMPUTED_VALUE"""),46135.0)</f>
        <v>46135</v>
      </c>
      <c r="K632" s="3" t="str">
        <f>IFERROR(__xludf.DUMMYFUNCTION("""COMPUTED_VALUE"""),"0800-1600")</f>
        <v>0800-1600</v>
      </c>
      <c r="L632" s="3">
        <f>IFERROR(__xludf.DUMMYFUNCTION("""COMPUTED_VALUE"""),8.0)</f>
        <v>8</v>
      </c>
      <c r="M632" s="3" t="str">
        <f>IFERROR(__xludf.DUMMYFUNCTION("""COMPUTED_VALUE"""),"ร.อ.ฤทธิพล อ้วนสิงห์")</f>
        <v>ร.อ.ฤทธิพล อ้วนสิงห์</v>
      </c>
      <c r="N632" s="14" t="str">
        <f>IFERROR(__xludf.DUMMYFUNCTION("""COMPUTED_VALUE"""),"https://lh5.googleusercontent.com/d/1XHKqSezDX0cjkd3mUoY_JOlCP-f0pvqq")</f>
        <v>https://lh5.googleusercontent.com/d/1XHKqSezDX0cjkd3mUoY_JOlCP-f0pvqq</v>
      </c>
      <c r="O632" s="14" t="str">
        <f>IFERROR(__xludf.DUMMYFUNCTION("""COMPUTED_VALUE"""),"https://drive.google.com/file/d/1Ezhl9tHrcG6Uxyb1p9Y6TlrMR7SJ_UsY/view?usp=drivesdk")</f>
        <v>https://drive.google.com/file/d/1Ezhl9tHrcG6Uxyb1p9Y6TlrMR7SJ_UsY/view?usp=drivesdk</v>
      </c>
    </row>
    <row r="633">
      <c r="A633" s="3">
        <f>IFERROR(__xludf.DUMMYFUNCTION("""COMPUTED_VALUE"""),2507.0)</f>
        <v>2507</v>
      </c>
      <c r="B633" s="11">
        <f>IFERROR(__xludf.DUMMYFUNCTION("""COMPUTED_VALUE"""),46172.68694225694)</f>
        <v>46172.68694</v>
      </c>
      <c r="C633" s="3" t="str">
        <f>IFERROR(__xludf.DUMMYFUNCTION("""COMPUTED_VALUE"""),"ชั้นปีที่ 1")</f>
        <v>ชั้นปีที่ 1</v>
      </c>
      <c r="D633" s="3" t="str">
        <f>IFERROR(__xludf.DUMMYFUNCTION("""COMPUTED_VALUE"""),"6803935")</f>
        <v>6803935</v>
      </c>
      <c r="E633" s="3" t="str">
        <f>IFERROR(__xludf.DUMMYFUNCTION("""COMPUTED_VALUE"""),"54")</f>
        <v>54</v>
      </c>
      <c r="F633" s="3" t="str">
        <f>IFERROR(__xludf.DUMMYFUNCTION("""COMPUTED_VALUE"""),"วีรวัฒน์ ทัศน์จันดา")</f>
        <v>วีรวัฒน์ ทัศน์จันดา</v>
      </c>
      <c r="G633" s="3" t="str">
        <f>IFERROR(__xludf.DUMMYFUNCTION("""COMPUTED_VALUE"""),"งานฟรีทั่วไป")</f>
        <v>งานฟรีทั่วไป</v>
      </c>
      <c r="H633" s="3" t="str">
        <f>IFERROR(__xludf.DUMMYFUNCTION("""COMPUTED_VALUE"""),"กวาดบ้าน")</f>
        <v>กวาดบ้าน</v>
      </c>
      <c r="I633" s="3" t="str">
        <f>IFERROR(__xludf.DUMMYFUNCTION("""COMPUTED_VALUE"""),"455 ม.17 ต.แม่สิน อ.ศรีสัชนาลัย จ.สุโขทัย")</f>
        <v>455 ม.17 ต.แม่สิน อ.ศรีสัชนาลัย จ.สุโขทัย</v>
      </c>
      <c r="J633" s="12">
        <f>IFERROR(__xludf.DUMMYFUNCTION("""COMPUTED_VALUE"""),46172.0)</f>
        <v>46172</v>
      </c>
      <c r="K633" s="3" t="str">
        <f>IFERROR(__xludf.DUMMYFUNCTION("""COMPUTED_VALUE"""),"1200")</f>
        <v>1200</v>
      </c>
      <c r="L633" s="3">
        <f>IFERROR(__xludf.DUMMYFUNCTION("""COMPUTED_VALUE"""),4.0)</f>
        <v>4</v>
      </c>
      <c r="M633" s="3" t="str">
        <f>IFERROR(__xludf.DUMMYFUNCTION("""COMPUTED_VALUE"""),"นางมาลี ไฉนนุช")</f>
        <v>นางมาลี ไฉนนุช</v>
      </c>
      <c r="N633" s="14" t="str">
        <f>IFERROR(__xludf.DUMMYFUNCTION("""COMPUTED_VALUE"""),"https://lh5.googleusercontent.com/d/1K14lJPiU8_15hEbYtnaamQypm0C___It")</f>
        <v>https://lh5.googleusercontent.com/d/1K14lJPiU8_15hEbYtnaamQypm0C___It</v>
      </c>
      <c r="O633" s="14" t="str">
        <f>IFERROR(__xludf.DUMMYFUNCTION("""COMPUTED_VALUE"""),"https://drive.google.com/file/d/1bC4QDE3rIyj5Br3yoJwE2rDbo51mYdGI/view?usp=drivesdk")</f>
        <v>https://drive.google.com/file/d/1bC4QDE3rIyj5Br3yoJwE2rDbo51mYdGI/view?usp=drivesdk</v>
      </c>
    </row>
    <row r="634">
      <c r="A634" s="3">
        <f>IFERROR(__xludf.DUMMYFUNCTION("""COMPUTED_VALUE"""),2512.0)</f>
        <v>2512</v>
      </c>
      <c r="B634" s="11">
        <f>IFERROR(__xludf.DUMMYFUNCTION("""COMPUTED_VALUE"""),46172.95684865741)</f>
        <v>46172.95685</v>
      </c>
      <c r="C634" s="3" t="str">
        <f>IFERROR(__xludf.DUMMYFUNCTION("""COMPUTED_VALUE"""),"ชั้นปีที่ 1")</f>
        <v>ชั้นปีที่ 1</v>
      </c>
      <c r="D634" s="3" t="str">
        <f>IFERROR(__xludf.DUMMYFUNCTION("""COMPUTED_VALUE"""),"6803882")</f>
        <v>6803882</v>
      </c>
      <c r="E634" s="3" t="str">
        <f>IFERROR(__xludf.DUMMYFUNCTION("""COMPUTED_VALUE"""),"1")</f>
        <v>1</v>
      </c>
      <c r="F634" s="3" t="str">
        <f>IFERROR(__xludf.DUMMYFUNCTION("""COMPUTED_VALUE"""),"นพอ.กมลฉัตร ชาสุรีย์")</f>
        <v>นพอ.กมลฉัตร ชาสุรีย์</v>
      </c>
      <c r="G634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634" s="3" t="str">
        <f>IFERROR(__xludf.DUMMYFUNCTION("""COMPUTED_VALUE"""),"ทำความสะอาดบ้าน")</f>
        <v>ทำความสะอาดบ้าน</v>
      </c>
      <c r="I634" s="3" t="str">
        <f>IFERROR(__xludf.DUMMYFUNCTION("""COMPUTED_VALUE"""),"บ้าน")</f>
        <v>บ้าน</v>
      </c>
      <c r="J634" s="12">
        <f>IFERROR(__xludf.DUMMYFUNCTION("""COMPUTED_VALUE"""),46123.0)</f>
        <v>46123</v>
      </c>
      <c r="K634" s="3" t="str">
        <f>IFERROR(__xludf.DUMMYFUNCTION("""COMPUTED_VALUE"""),"1800")</f>
        <v>1800</v>
      </c>
      <c r="L634" s="3">
        <f>IFERROR(__xludf.DUMMYFUNCTION("""COMPUTED_VALUE"""),2.0)</f>
        <v>2</v>
      </c>
      <c r="M634" s="3" t="str">
        <f>IFERROR(__xludf.DUMMYFUNCTION("""COMPUTED_VALUE"""),"นางอภิชญา ชาสุรีย์")</f>
        <v>นางอภิชญา ชาสุรีย์</v>
      </c>
      <c r="N634" s="14" t="str">
        <f>IFERROR(__xludf.DUMMYFUNCTION("""COMPUTED_VALUE"""),"https://lh5.googleusercontent.com/d/1IWHX3MJU6NS_L6H2JMFqROtbjt_xCFVm")</f>
        <v>https://lh5.googleusercontent.com/d/1IWHX3MJU6NS_L6H2JMFqROtbjt_xCFVm</v>
      </c>
      <c r="O634" s="14" t="str">
        <f>IFERROR(__xludf.DUMMYFUNCTION("""COMPUTED_VALUE"""),"https://drive.google.com/file/d/16T8JFsFOJ9oFj1_cFEACWBHC5Cf4TTkQ/view?usp=drivesdk")</f>
        <v>https://drive.google.com/file/d/16T8JFsFOJ9oFj1_cFEACWBHC5Cf4TTkQ/view?usp=drivesdk</v>
      </c>
    </row>
    <row r="635">
      <c r="A635" s="3">
        <f>IFERROR(__xludf.DUMMYFUNCTION("""COMPUTED_VALUE"""),2513.0)</f>
        <v>2513</v>
      </c>
      <c r="B635" s="11">
        <f>IFERROR(__xludf.DUMMYFUNCTION("""COMPUTED_VALUE"""),46172.96870991898)</f>
        <v>46172.96871</v>
      </c>
      <c r="C635" s="3" t="str">
        <f>IFERROR(__xludf.DUMMYFUNCTION("""COMPUTED_VALUE"""),"ชั้นปีที่ 1")</f>
        <v>ชั้นปีที่ 1</v>
      </c>
      <c r="D635" s="3" t="str">
        <f>IFERROR(__xludf.DUMMYFUNCTION("""COMPUTED_VALUE"""),"6803882")</f>
        <v>6803882</v>
      </c>
      <c r="E635" s="3" t="str">
        <f>IFERROR(__xludf.DUMMYFUNCTION("""COMPUTED_VALUE"""),"1")</f>
        <v>1</v>
      </c>
      <c r="F635" s="3" t="str">
        <f>IFERROR(__xludf.DUMMYFUNCTION("""COMPUTED_VALUE"""),"นพอ.กมลฉัตร ชาสุรีย์")</f>
        <v>นพอ.กมลฉัตร ชาสุรีย์</v>
      </c>
      <c r="G635" s="3" t="str">
        <f>IFERROR(__xludf.DUMMYFUNCTION("""COMPUTED_VALUE"""),"ทำนุบำรุงศาสนสถาน")</f>
        <v>ทำนุบำรุงศาสนสถาน</v>
      </c>
      <c r="H635" s="3" t="str">
        <f>IFERROR(__xludf.DUMMYFUNCTION("""COMPUTED_VALUE"""),"ปล่อยปลา")</f>
        <v>ปล่อยปลา</v>
      </c>
      <c r="I635" s="3" t="str">
        <f>IFERROR(__xludf.DUMMYFUNCTION("""COMPUTED_VALUE"""),"วัดพระเจ้าใหญ่องค์ตื้อ")</f>
        <v>วัดพระเจ้าใหญ่องค์ตื้อ</v>
      </c>
      <c r="J635" s="12">
        <f>IFERROR(__xludf.DUMMYFUNCTION("""COMPUTED_VALUE"""),46125.0)</f>
        <v>46125</v>
      </c>
      <c r="K635" s="3" t="str">
        <f>IFERROR(__xludf.DUMMYFUNCTION("""COMPUTED_VALUE"""),"1300")</f>
        <v>1300</v>
      </c>
      <c r="L635" s="3">
        <f>IFERROR(__xludf.DUMMYFUNCTION("""COMPUTED_VALUE"""),2.0)</f>
        <v>2</v>
      </c>
      <c r="M635" s="3" t="str">
        <f>IFERROR(__xludf.DUMMYFUNCTION("""COMPUTED_VALUE"""),"นางอภิชญา ชาสุรีย์")</f>
        <v>นางอภิชญา ชาสุรีย์</v>
      </c>
      <c r="N635" s="14" t="str">
        <f>IFERROR(__xludf.DUMMYFUNCTION("""COMPUTED_VALUE"""),"https://lh5.googleusercontent.com/d/1zTLJwZuFT2jGjV1g6whx3skKZarURvRf")</f>
        <v>https://lh5.googleusercontent.com/d/1zTLJwZuFT2jGjV1g6whx3skKZarURvRf</v>
      </c>
      <c r="O635" s="14" t="str">
        <f>IFERROR(__xludf.DUMMYFUNCTION("""COMPUTED_VALUE"""),"https://drive.google.com/file/d/1J6EM5yRMHCsDQ0jeuhvdHntRg1qQSNIX/view?usp=drivesdk")</f>
        <v>https://drive.google.com/file/d/1J6EM5yRMHCsDQ0jeuhvdHntRg1qQSNIX/view?usp=drivesdk</v>
      </c>
    </row>
    <row r="636">
      <c r="A636" s="3">
        <f>IFERROR(__xludf.DUMMYFUNCTION("""COMPUTED_VALUE"""),2514.0)</f>
        <v>2514</v>
      </c>
      <c r="B636" s="11">
        <f>IFERROR(__xludf.DUMMYFUNCTION("""COMPUTED_VALUE"""),46172.97343737269)</f>
        <v>46172.97344</v>
      </c>
      <c r="C636" s="3" t="str">
        <f>IFERROR(__xludf.DUMMYFUNCTION("""COMPUTED_VALUE"""),"ชั้นปีที่ 1")</f>
        <v>ชั้นปีที่ 1</v>
      </c>
      <c r="D636" s="3" t="str">
        <f>IFERROR(__xludf.DUMMYFUNCTION("""COMPUTED_VALUE"""),"6803899")</f>
        <v>6803899</v>
      </c>
      <c r="E636" s="3" t="str">
        <f>IFERROR(__xludf.DUMMYFUNCTION("""COMPUTED_VALUE"""),"18")</f>
        <v>18</v>
      </c>
      <c r="F636" s="3" t="str">
        <f>IFERROR(__xludf.DUMMYFUNCTION("""COMPUTED_VALUE"""),"นพอ.ณัฐณิชา มีปา")</f>
        <v>นพอ.ณัฐณิชา มีปา</v>
      </c>
      <c r="G63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6" s="3" t="str">
        <f>IFERROR(__xludf.DUMMYFUNCTION("""COMPUTED_VALUE"""),"เสาร์ประทีบ")</f>
        <v>เสาร์ประทีบ</v>
      </c>
      <c r="I636" s="3" t="str">
        <f>IFERROR(__xludf.DUMMYFUNCTION("""COMPUTED_VALUE"""),"โรงเรียนนายร้อยพระจุลจอมเกล้า")</f>
        <v>โรงเรียนนายร้อยพระจุลจอมเกล้า</v>
      </c>
      <c r="J636" s="12">
        <f>IFERROR(__xludf.DUMMYFUNCTION("""COMPUTED_VALUE"""),46158.0)</f>
        <v>46158</v>
      </c>
      <c r="K636" s="3" t="str">
        <f>IFERROR(__xludf.DUMMYFUNCTION("""COMPUTED_VALUE"""),"0800-1200")</f>
        <v>0800-1200</v>
      </c>
      <c r="L636" s="3">
        <f>IFERROR(__xludf.DUMMYFUNCTION("""COMPUTED_VALUE"""),4.0)</f>
        <v>4</v>
      </c>
      <c r="M63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6" s="14" t="str">
        <f>IFERROR(__xludf.DUMMYFUNCTION("""COMPUTED_VALUE"""),"https://lh5.googleusercontent.com/d/13JDwn0spOWGGAxiTJJBYPeh2lVjaoFN_")</f>
        <v>https://lh5.googleusercontent.com/d/13JDwn0spOWGGAxiTJJBYPeh2lVjaoFN_</v>
      </c>
      <c r="O636" s="14" t="str">
        <f>IFERROR(__xludf.DUMMYFUNCTION("""COMPUTED_VALUE"""),"https://drive.google.com/file/d/1zl9SCnBViNoDcSRQWzxIKtJqsqFcGdj5/view?usp=drivesdk")</f>
        <v>https://drive.google.com/file/d/1zl9SCnBViNoDcSRQWzxIKtJqsqFcGdj5/view?usp=drivesdk</v>
      </c>
    </row>
    <row r="637">
      <c r="A637" s="3">
        <f>IFERROR(__xludf.DUMMYFUNCTION("""COMPUTED_VALUE"""),2515.0)</f>
        <v>2515</v>
      </c>
      <c r="B637" s="11">
        <f>IFERROR(__xludf.DUMMYFUNCTION("""COMPUTED_VALUE"""),46172.97492929398)</f>
        <v>46172.97493</v>
      </c>
      <c r="C637" s="3" t="str">
        <f>IFERROR(__xludf.DUMMYFUNCTION("""COMPUTED_VALUE"""),"ชั้นปีที่ 1")</f>
        <v>ชั้นปีที่ 1</v>
      </c>
      <c r="D637" s="3" t="str">
        <f>IFERROR(__xludf.DUMMYFUNCTION("""COMPUTED_VALUE"""),"6803899")</f>
        <v>6803899</v>
      </c>
      <c r="E637" s="3" t="str">
        <f>IFERROR(__xludf.DUMMYFUNCTION("""COMPUTED_VALUE"""),"18")</f>
        <v>18</v>
      </c>
      <c r="F637" s="3" t="str">
        <f>IFERROR(__xludf.DUMMYFUNCTION("""COMPUTED_VALUE"""),"นพอ.ณัฐณิชา มีปา")</f>
        <v>นพอ.ณัฐณิชา มีปา</v>
      </c>
      <c r="G6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37" s="3" t="str">
        <f>IFERROR(__xludf.DUMMYFUNCTION("""COMPUTED_VALUE"""),"เสาร์ประทีบ")</f>
        <v>เสาร์ประทีบ</v>
      </c>
      <c r="I637" s="3" t="str">
        <f>IFERROR(__xludf.DUMMYFUNCTION("""COMPUTED_VALUE"""),"โรงเรียนนายร้อยพระจุลจอมเกล้า")</f>
        <v>โรงเรียนนายร้อยพระจุลจอมเกล้า</v>
      </c>
      <c r="J637" s="12">
        <f>IFERROR(__xludf.DUMMYFUNCTION("""COMPUTED_VALUE"""),46172.0)</f>
        <v>46172</v>
      </c>
      <c r="K637" s="3" t="str">
        <f>IFERROR(__xludf.DUMMYFUNCTION("""COMPUTED_VALUE"""),"0800-1200")</f>
        <v>0800-1200</v>
      </c>
      <c r="L637" s="3">
        <f>IFERROR(__xludf.DUMMYFUNCTION("""COMPUTED_VALUE"""),4.0)</f>
        <v>4</v>
      </c>
      <c r="M63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37" s="14" t="str">
        <f>IFERROR(__xludf.DUMMYFUNCTION("""COMPUTED_VALUE"""),"https://lh5.googleusercontent.com/d/1_qGJEaWHBC-6ybh-gcWNllX4rE22fyyK")</f>
        <v>https://lh5.googleusercontent.com/d/1_qGJEaWHBC-6ybh-gcWNllX4rE22fyyK</v>
      </c>
      <c r="O637" s="14" t="str">
        <f>IFERROR(__xludf.DUMMYFUNCTION("""COMPUTED_VALUE"""),"https://drive.google.com/file/d/1Ji3yLrCe8yeyCyROcf9_ugQEofjiam-m/view?usp=drivesdk")</f>
        <v>https://drive.google.com/file/d/1Ji3yLrCe8yeyCyROcf9_ugQEofjiam-m/view?usp=drivesdk</v>
      </c>
    </row>
    <row r="638">
      <c r="A638" s="3">
        <f>IFERROR(__xludf.DUMMYFUNCTION("""COMPUTED_VALUE"""),2517.0)</f>
        <v>2517</v>
      </c>
      <c r="B638" s="11">
        <f>IFERROR(__xludf.DUMMYFUNCTION("""COMPUTED_VALUE"""),46172.9972606713)</f>
        <v>46172.99726</v>
      </c>
      <c r="C638" s="3" t="str">
        <f>IFERROR(__xludf.DUMMYFUNCTION("""COMPUTED_VALUE"""),"ชั้นปีที่ 1")</f>
        <v>ชั้นปีที่ 1</v>
      </c>
      <c r="D638" s="3" t="str">
        <f>IFERROR(__xludf.DUMMYFUNCTION("""COMPUTED_VALUE"""),"6803945")</f>
        <v>6803945</v>
      </c>
      <c r="E638" s="3" t="str">
        <f>IFERROR(__xludf.DUMMYFUNCTION("""COMPUTED_VALUE"""),"64")</f>
        <v>64</v>
      </c>
      <c r="F638" s="3" t="str">
        <f>IFERROR(__xludf.DUMMYFUNCTION("""COMPUTED_VALUE"""),"นพอ.ไอลดา ศาลากิจ")</f>
        <v>นพอ.ไอลดา ศาลากิจ</v>
      </c>
      <c r="G638" s="3" t="str">
        <f>IFERROR(__xludf.DUMMYFUNCTION("""COMPUTED_VALUE"""),"ทำนุบำรุงศาสนสถาน")</f>
        <v>ทำนุบำรุงศาสนสถาน</v>
      </c>
      <c r="H638" s="3" t="str">
        <f>IFERROR(__xludf.DUMMYFUNCTION("""COMPUTED_VALUE"""),"กวาดลานวัด")</f>
        <v>กวาดลานวัด</v>
      </c>
      <c r="I638" s="3" t="str">
        <f>IFERROR(__xludf.DUMMYFUNCTION("""COMPUTED_VALUE"""),"วัดศรีสุทธาราม")</f>
        <v>วัดศรีสุทธาราม</v>
      </c>
      <c r="J638" s="12">
        <f>IFERROR(__xludf.DUMMYFUNCTION("""COMPUTED_VALUE"""),45990.0)</f>
        <v>45990</v>
      </c>
      <c r="K638" s="3" t="str">
        <f>IFERROR(__xludf.DUMMYFUNCTION("""COMPUTED_VALUE"""),"1500")</f>
        <v>1500</v>
      </c>
      <c r="L638" s="3">
        <f>IFERROR(__xludf.DUMMYFUNCTION("""COMPUTED_VALUE"""),2.0)</f>
        <v>2</v>
      </c>
      <c r="M638" s="3" t="str">
        <f>IFERROR(__xludf.DUMMYFUNCTION("""COMPUTED_VALUE"""),"พระครูสาครกิจจาภรณ์")</f>
        <v>พระครูสาครกิจจาภรณ์</v>
      </c>
      <c r="N638" s="14" t="str">
        <f>IFERROR(__xludf.DUMMYFUNCTION("""COMPUTED_VALUE"""),"https://lh5.googleusercontent.com/d/1sDs8jYFq2J6WW4VUpqjc__UmP2dHWAyZ")</f>
        <v>https://lh5.googleusercontent.com/d/1sDs8jYFq2J6WW4VUpqjc__UmP2dHWAyZ</v>
      </c>
      <c r="O638" s="14" t="str">
        <f>IFERROR(__xludf.DUMMYFUNCTION("""COMPUTED_VALUE"""),"https://drive.google.com/file/d/1RwV9HsLB8ycuNRRAOXR-Q0JZZdIX-8KE/view?usp=drivesdk")</f>
        <v>https://drive.google.com/file/d/1RwV9HsLB8ycuNRRAOXR-Q0JZZdIX-8KE/view?usp=drivesdk</v>
      </c>
    </row>
    <row r="639">
      <c r="A639" s="3">
        <f>IFERROR(__xludf.DUMMYFUNCTION("""COMPUTED_VALUE"""),2518.0)</f>
        <v>2518</v>
      </c>
      <c r="B639" s="11">
        <f>IFERROR(__xludf.DUMMYFUNCTION("""COMPUTED_VALUE"""),46172.99984304398)</f>
        <v>46172.99984</v>
      </c>
      <c r="C639" s="3" t="str">
        <f>IFERROR(__xludf.DUMMYFUNCTION("""COMPUTED_VALUE"""),"ชั้นปีที่ 1")</f>
        <v>ชั้นปีที่ 1</v>
      </c>
      <c r="D639" s="3" t="str">
        <f>IFERROR(__xludf.DUMMYFUNCTION("""COMPUTED_VALUE"""),"6803945")</f>
        <v>6803945</v>
      </c>
      <c r="E639" s="3" t="str">
        <f>IFERROR(__xludf.DUMMYFUNCTION("""COMPUTED_VALUE"""),"64")</f>
        <v>64</v>
      </c>
      <c r="F639" s="3" t="str">
        <f>IFERROR(__xludf.DUMMYFUNCTION("""COMPUTED_VALUE"""),"นพอ.ไอลดา ศาลากิจ")</f>
        <v>นพอ.ไอลดา ศาลากิจ</v>
      </c>
      <c r="G639" s="3" t="str">
        <f>IFERROR(__xludf.DUMMYFUNCTION("""COMPUTED_VALUE"""),"ทำนุบำรุงศาสนสถาน")</f>
        <v>ทำนุบำรุงศาสนสถาน</v>
      </c>
      <c r="H639" s="3" t="str">
        <f>IFERROR(__xludf.DUMMYFUNCTION("""COMPUTED_VALUE"""),"ช่วยแจกธูปเทียน")</f>
        <v>ช่วยแจกธูปเทียน</v>
      </c>
      <c r="I639" s="3" t="str">
        <f>IFERROR(__xludf.DUMMYFUNCTION("""COMPUTED_VALUE"""),"วัดป้อมวิเชียรโชติการาม")</f>
        <v>วัดป้อมวิเชียรโชติการาม</v>
      </c>
      <c r="J639" s="12">
        <f>IFERROR(__xludf.DUMMYFUNCTION("""COMPUTED_VALUE"""),45920.0)</f>
        <v>45920</v>
      </c>
      <c r="K639" s="3" t="str">
        <f>IFERROR(__xludf.DUMMYFUNCTION("""COMPUTED_VALUE"""),"0800")</f>
        <v>0800</v>
      </c>
      <c r="L639" s="3">
        <f>IFERROR(__xludf.DUMMYFUNCTION("""COMPUTED_VALUE"""),4.0)</f>
        <v>4</v>
      </c>
      <c r="M639" s="3" t="str">
        <f>IFERROR(__xludf.DUMMYFUNCTION("""COMPUTED_VALUE"""),"พระครูสาครสีลโสภณ")</f>
        <v>พระครูสาครสีลโสภณ</v>
      </c>
      <c r="N639" s="14" t="str">
        <f>IFERROR(__xludf.DUMMYFUNCTION("""COMPUTED_VALUE"""),"https://lh5.googleusercontent.com/d/1rpF9HbnOgjFmqh0o-eH2DBj0yrO2HbuH")</f>
        <v>https://lh5.googleusercontent.com/d/1rpF9HbnOgjFmqh0o-eH2DBj0yrO2HbuH</v>
      </c>
      <c r="O639" s="14" t="str">
        <f>IFERROR(__xludf.DUMMYFUNCTION("""COMPUTED_VALUE"""),"https://drive.google.com/file/d/11MEb_y2Vx82l0SX4bkSyKdNZaWBsCko8/view?usp=drivesdk")</f>
        <v>https://drive.google.com/file/d/11MEb_y2Vx82l0SX4bkSyKdNZaWBsCko8/view?usp=drivesdk</v>
      </c>
    </row>
    <row r="640">
      <c r="A640" s="3">
        <f>IFERROR(__xludf.DUMMYFUNCTION("""COMPUTED_VALUE"""),2519.0)</f>
        <v>2519</v>
      </c>
      <c r="B640" s="11">
        <f>IFERROR(__xludf.DUMMYFUNCTION("""COMPUTED_VALUE"""),46173.002832129634)</f>
        <v>46173.00283</v>
      </c>
      <c r="C640" s="3" t="str">
        <f>IFERROR(__xludf.DUMMYFUNCTION("""COMPUTED_VALUE"""),"ชั้นปีที่ 1")</f>
        <v>ชั้นปีที่ 1</v>
      </c>
      <c r="D640" s="3" t="str">
        <f>IFERROR(__xludf.DUMMYFUNCTION("""COMPUTED_VALUE"""),"6803945")</f>
        <v>6803945</v>
      </c>
      <c r="E640" s="3" t="str">
        <f>IFERROR(__xludf.DUMMYFUNCTION("""COMPUTED_VALUE"""),"64")</f>
        <v>64</v>
      </c>
      <c r="F640" s="3" t="str">
        <f>IFERROR(__xludf.DUMMYFUNCTION("""COMPUTED_VALUE"""),"นพอ.ไอลดา ศาลากิจ")</f>
        <v>นพอ.ไอลดา ศาลากิจ</v>
      </c>
      <c r="G640" s="3" t="str">
        <f>IFERROR(__xludf.DUMMYFUNCTION("""COMPUTED_VALUE"""),"งานฟรีทั่วไป")</f>
        <v>งานฟรีทั่วไป</v>
      </c>
      <c r="H640" s="3" t="str">
        <f>IFERROR(__xludf.DUMMYFUNCTION("""COMPUTED_VALUE"""),"เก็บขยะซอยหมู่บ้าน")</f>
        <v>เก็บขยะซอยหมู่บ้าน</v>
      </c>
      <c r="I640" s="3" t="str">
        <f>IFERROR(__xludf.DUMMYFUNCTION("""COMPUTED_VALUE"""),"259ง ต.โกรกกราก อ.เมือง จ.สมุทรสาคร")</f>
        <v>259ง ต.โกรกกราก อ.เมือง จ.สมุทรสาคร</v>
      </c>
      <c r="J640" s="12">
        <f>IFERROR(__xludf.DUMMYFUNCTION("""COMPUTED_VALUE"""),45941.0)</f>
        <v>45941</v>
      </c>
      <c r="K640" s="3" t="str">
        <f>IFERROR(__xludf.DUMMYFUNCTION("""COMPUTED_VALUE"""),"1300")</f>
        <v>1300</v>
      </c>
      <c r="L640" s="3">
        <f>IFERROR(__xludf.DUMMYFUNCTION("""COMPUTED_VALUE"""),2.0)</f>
        <v>2</v>
      </c>
      <c r="M640" s="3" t="str">
        <f>IFERROR(__xludf.DUMMYFUNCTION("""COMPUTED_VALUE"""),"นางสาวมาลัยทิพย์ ทองใบ")</f>
        <v>นางสาวมาลัยทิพย์ ทองใบ</v>
      </c>
      <c r="N640" s="14" t="str">
        <f>IFERROR(__xludf.DUMMYFUNCTION("""COMPUTED_VALUE"""),"https://lh5.googleusercontent.com/d/12imeSC-mi0EcogvyKlUIRmp6qSsp4rZq")</f>
        <v>https://lh5.googleusercontent.com/d/12imeSC-mi0EcogvyKlUIRmp6qSsp4rZq</v>
      </c>
      <c r="O640" s="14" t="str">
        <f>IFERROR(__xludf.DUMMYFUNCTION("""COMPUTED_VALUE"""),"https://drive.google.com/file/d/1LL8cmDZ6GeTy2DjtScXpGMhBtznXCjG5/view?usp=drivesdk")</f>
        <v>https://drive.google.com/file/d/1LL8cmDZ6GeTy2DjtScXpGMhBtznXCjG5/view?usp=drivesdk</v>
      </c>
    </row>
    <row r="641">
      <c r="A641" s="3">
        <f>IFERROR(__xludf.DUMMYFUNCTION("""COMPUTED_VALUE"""),2520.0)</f>
        <v>2520</v>
      </c>
      <c r="B641" s="11">
        <f>IFERROR(__xludf.DUMMYFUNCTION("""COMPUTED_VALUE"""),46173.004983321756)</f>
        <v>46173.00498</v>
      </c>
      <c r="C641" s="3" t="str">
        <f>IFERROR(__xludf.DUMMYFUNCTION("""COMPUTED_VALUE"""),"ชั้นปีที่ 1")</f>
        <v>ชั้นปีที่ 1</v>
      </c>
      <c r="D641" s="3" t="str">
        <f>IFERROR(__xludf.DUMMYFUNCTION("""COMPUTED_VALUE"""),"6803945")</f>
        <v>6803945</v>
      </c>
      <c r="E641" s="3" t="str">
        <f>IFERROR(__xludf.DUMMYFUNCTION("""COMPUTED_VALUE"""),"64")</f>
        <v>64</v>
      </c>
      <c r="F641" s="3" t="str">
        <f>IFERROR(__xludf.DUMMYFUNCTION("""COMPUTED_VALUE"""),"นพอ.ไอลดา ศาลากิจ")</f>
        <v>นพอ.ไอลดา ศาลากิจ</v>
      </c>
      <c r="G641" s="3" t="str">
        <f>IFERROR(__xludf.DUMMYFUNCTION("""COMPUTED_VALUE"""),"งานฟรีทั่วไป")</f>
        <v>งานฟรีทั่วไป</v>
      </c>
      <c r="H641" s="3" t="str">
        <f>IFERROR(__xludf.DUMMYFUNCTION("""COMPUTED_VALUE"""),"ทำความสะอาดบ้าน")</f>
        <v>ทำความสะอาดบ้าน</v>
      </c>
      <c r="I641" s="3" t="str">
        <f>IFERROR(__xludf.DUMMYFUNCTION("""COMPUTED_VALUE"""),"259ง ต.โกรกกราก อ.เมือง จ.สมุทรสาคร")</f>
        <v>259ง ต.โกรกกราก อ.เมือง จ.สมุทรสาคร</v>
      </c>
      <c r="J641" s="12">
        <f>IFERROR(__xludf.DUMMYFUNCTION("""COMPUTED_VALUE"""),45906.0)</f>
        <v>45906</v>
      </c>
      <c r="K641" s="3" t="str">
        <f>IFERROR(__xludf.DUMMYFUNCTION("""COMPUTED_VALUE"""),"1200")</f>
        <v>1200</v>
      </c>
      <c r="L641" s="3">
        <f>IFERROR(__xludf.DUMMYFUNCTION("""COMPUTED_VALUE"""),2.0)</f>
        <v>2</v>
      </c>
      <c r="M641" s="3" t="str">
        <f>IFERROR(__xludf.DUMMYFUNCTION("""COMPUTED_VALUE"""),"นางสาวมาลัยทิพย์ ทองใบ")</f>
        <v>นางสาวมาลัยทิพย์ ทองใบ</v>
      </c>
      <c r="N641" s="14" t="str">
        <f>IFERROR(__xludf.DUMMYFUNCTION("""COMPUTED_VALUE"""),"https://lh5.googleusercontent.com/d/1od_eT-C2K7ayjP2ufjHFCg3ODuQiSW-e")</f>
        <v>https://lh5.googleusercontent.com/d/1od_eT-C2K7ayjP2ufjHFCg3ODuQiSW-e</v>
      </c>
      <c r="O641" s="14" t="str">
        <f>IFERROR(__xludf.DUMMYFUNCTION("""COMPUTED_VALUE"""),"https://drive.google.com/file/d/1VtYhmuMQoWUgi-m-ANHtyHrUS0B126_t/view?usp=drivesdk")</f>
        <v>https://drive.google.com/file/d/1VtYhmuMQoWUgi-m-ANHtyHrUS0B126_t/view?usp=drivesdk</v>
      </c>
    </row>
    <row r="642">
      <c r="A642" s="3">
        <f>IFERROR(__xludf.DUMMYFUNCTION("""COMPUTED_VALUE"""),2523.0)</f>
        <v>2523</v>
      </c>
      <c r="B642" s="11">
        <f>IFERROR(__xludf.DUMMYFUNCTION("""COMPUTED_VALUE"""),46173.01074914352)</f>
        <v>46173.01075</v>
      </c>
      <c r="C642" s="3" t="str">
        <f>IFERROR(__xludf.DUMMYFUNCTION("""COMPUTED_VALUE"""),"ชั้นปีที่ 1")</f>
        <v>ชั้นปีที่ 1</v>
      </c>
      <c r="D642" s="3" t="str">
        <f>IFERROR(__xludf.DUMMYFUNCTION("""COMPUTED_VALUE"""),"6803945")</f>
        <v>6803945</v>
      </c>
      <c r="E642" s="3" t="str">
        <f>IFERROR(__xludf.DUMMYFUNCTION("""COMPUTED_VALUE"""),"64")</f>
        <v>64</v>
      </c>
      <c r="F642" s="3" t="str">
        <f>IFERROR(__xludf.DUMMYFUNCTION("""COMPUTED_VALUE"""),"นพอ.ไอลดา ศาลากิจ")</f>
        <v>นพอ.ไอลดา ศาลากิจ</v>
      </c>
      <c r="G642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642" s="3" t="str">
        <f>IFERROR(__xludf.DUMMYFUNCTION("""COMPUTED_VALUE"""),"ทาสีบ้านเด็กกำพร้า")</f>
        <v>ทาสีบ้านเด็กกำพร้า</v>
      </c>
      <c r="I642" s="3" t="str">
        <f>IFERROR(__xludf.DUMMYFUNCTION("""COMPUTED_VALUE"""),"บ้านพักเด็กและครอบครัวจังหวัดสมุทรสาคร")</f>
        <v>บ้านพักเด็กและครอบครัวจังหวัดสมุทรสาคร</v>
      </c>
      <c r="J642" s="12">
        <f>IFERROR(__xludf.DUMMYFUNCTION("""COMPUTED_VALUE"""),45899.0)</f>
        <v>45899</v>
      </c>
      <c r="K642" s="3" t="str">
        <f>IFERROR(__xludf.DUMMYFUNCTION("""COMPUTED_VALUE"""),"0930")</f>
        <v>0930</v>
      </c>
      <c r="L642" s="3">
        <f>IFERROR(__xludf.DUMMYFUNCTION("""COMPUTED_VALUE"""),4.0)</f>
        <v>4</v>
      </c>
      <c r="M642" s="3" t="str">
        <f>IFERROR(__xludf.DUMMYFUNCTION("""COMPUTED_VALUE"""),"นางสาวกนิษฐา บุญยัง")</f>
        <v>นางสาวกนิษฐา บุญยัง</v>
      </c>
      <c r="N642" s="14" t="str">
        <f>IFERROR(__xludf.DUMMYFUNCTION("""COMPUTED_VALUE"""),"https://lh5.googleusercontent.com/d/1eYI7qj-FnxmPuWIyOFry3ZxJZBfjd853")</f>
        <v>https://lh5.googleusercontent.com/d/1eYI7qj-FnxmPuWIyOFry3ZxJZBfjd853</v>
      </c>
      <c r="O642" s="14" t="str">
        <f>IFERROR(__xludf.DUMMYFUNCTION("""COMPUTED_VALUE"""),"https://drive.google.com/file/d/1rWMfUuhiVyZm9LFQIFRkEHlfIv_9v_bg/view?usp=drivesdk")</f>
        <v>https://drive.google.com/file/d/1rWMfUuhiVyZm9LFQIFRkEHlfIv_9v_bg/view?usp=drivesdk</v>
      </c>
    </row>
    <row r="643">
      <c r="A643" s="3">
        <f>IFERROR(__xludf.DUMMYFUNCTION("""COMPUTED_VALUE"""),2524.0)</f>
        <v>2524</v>
      </c>
      <c r="B643" s="11">
        <f>IFERROR(__xludf.DUMMYFUNCTION("""COMPUTED_VALUE"""),46173.01486824074)</f>
        <v>46173.01487</v>
      </c>
      <c r="C643" s="3" t="str">
        <f>IFERROR(__xludf.DUMMYFUNCTION("""COMPUTED_VALUE"""),"ชั้นปีที่ 1")</f>
        <v>ชั้นปีที่ 1</v>
      </c>
      <c r="D643" s="3" t="str">
        <f>IFERROR(__xludf.DUMMYFUNCTION("""COMPUTED_VALUE"""),"6903945")</f>
        <v>6903945</v>
      </c>
      <c r="E643" s="3" t="str">
        <f>IFERROR(__xludf.DUMMYFUNCTION("""COMPUTED_VALUE"""),"64")</f>
        <v>64</v>
      </c>
      <c r="F643" s="3" t="str">
        <f>IFERROR(__xludf.DUMMYFUNCTION("""COMPUTED_VALUE"""),"นพอ.ไอลดา ศาลากิจ")</f>
        <v>นพอ.ไอลดา ศาลากิจ</v>
      </c>
      <c r="G643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643" s="3" t="str">
        <f>IFERROR(__xludf.DUMMYFUNCTION("""COMPUTED_VALUE"""),"ทาสีบ้านเด็กกำพร้า")</f>
        <v>ทาสีบ้านเด็กกำพร้า</v>
      </c>
      <c r="I643" s="3" t="str">
        <f>IFERROR(__xludf.DUMMYFUNCTION("""COMPUTED_VALUE"""),"บ้านพักเด็กและครอบครัวจังหวัดสมุทรสาคร")</f>
        <v>บ้านพักเด็กและครอบครัวจังหวัดสมุทรสาคร</v>
      </c>
      <c r="J643" s="12">
        <f>IFERROR(__xludf.DUMMYFUNCTION("""COMPUTED_VALUE"""),45899.0)</f>
        <v>45899</v>
      </c>
      <c r="K643" s="3" t="str">
        <f>IFERROR(__xludf.DUMMYFUNCTION("""COMPUTED_VALUE"""),"1300")</f>
        <v>1300</v>
      </c>
      <c r="L643" s="3">
        <f>IFERROR(__xludf.DUMMYFUNCTION("""COMPUTED_VALUE"""),4.0)</f>
        <v>4</v>
      </c>
      <c r="M643" s="3" t="str">
        <f>IFERROR(__xludf.DUMMYFUNCTION("""COMPUTED_VALUE"""),"นางสาวกนิษฐา บุญยัง")</f>
        <v>นางสาวกนิษฐา บุญยัง</v>
      </c>
      <c r="N643" s="14" t="str">
        <f>IFERROR(__xludf.DUMMYFUNCTION("""COMPUTED_VALUE"""),"https://lh5.googleusercontent.com/d/1ilo2lEbgwta_hH-0x9oBobhRs4vQXtp1")</f>
        <v>https://lh5.googleusercontent.com/d/1ilo2lEbgwta_hH-0x9oBobhRs4vQXtp1</v>
      </c>
      <c r="O643" s="14" t="str">
        <f>IFERROR(__xludf.DUMMYFUNCTION("""COMPUTED_VALUE"""),"https://drive.google.com/file/d/1w2IIz_b_NwdvcWzSGY6UDRlx8OoyQy8R/view?usp=drivesdk")</f>
        <v>https://drive.google.com/file/d/1w2IIz_b_NwdvcWzSGY6UDRlx8OoyQy8R/view?usp=drivesdk</v>
      </c>
    </row>
    <row r="644">
      <c r="A644" s="3">
        <f>IFERROR(__xludf.DUMMYFUNCTION("""COMPUTED_VALUE"""),2525.0)</f>
        <v>2525</v>
      </c>
      <c r="B644" s="11">
        <f>IFERROR(__xludf.DUMMYFUNCTION("""COMPUTED_VALUE"""),46173.063036354164)</f>
        <v>46173.06304</v>
      </c>
      <c r="C644" s="3" t="str">
        <f>IFERROR(__xludf.DUMMYFUNCTION("""COMPUTED_VALUE"""),"ชั้นปีที่ 1")</f>
        <v>ชั้นปีที่ 1</v>
      </c>
      <c r="D644" s="3" t="str">
        <f>IFERROR(__xludf.DUMMYFUNCTION("""COMPUTED_VALUE"""),"6803945")</f>
        <v>6803945</v>
      </c>
      <c r="E644" s="3" t="str">
        <f>IFERROR(__xludf.DUMMYFUNCTION("""COMPUTED_VALUE"""),"64")</f>
        <v>64</v>
      </c>
      <c r="F644" s="3" t="str">
        <f>IFERROR(__xludf.DUMMYFUNCTION("""COMPUTED_VALUE"""),"นพอ.ไอลดา ศาลากิจ")</f>
        <v>นพอ.ไอลดา ศาลากิจ</v>
      </c>
      <c r="G644" s="3" t="str">
        <f>IFERROR(__xludf.DUMMYFUNCTION("""COMPUTED_VALUE"""),"ช่วยเหลืองานภายใน วพอ.")</f>
        <v>ช่วยเหลืองานภายใน วพอ.</v>
      </c>
      <c r="H644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44" s="3" t="str">
        <f>IFERROR(__xludf.DUMMYFUNCTION("""COMPUTED_VALUE"""),"วิทยาลัยพยาบาลทหารอากาศ")</f>
        <v>วิทยาลัยพยาบาลทหารอากาศ</v>
      </c>
      <c r="J644" s="12">
        <f>IFERROR(__xludf.DUMMYFUNCTION("""COMPUTED_VALUE"""),46031.0)</f>
        <v>46031</v>
      </c>
      <c r="K644" s="3" t="str">
        <f>IFERROR(__xludf.DUMMYFUNCTION("""COMPUTED_VALUE"""),"1100-1200")</f>
        <v>1100-1200</v>
      </c>
      <c r="L644" s="3">
        <f>IFERROR(__xludf.DUMMYFUNCTION("""COMPUTED_VALUE"""),4.0)</f>
        <v>4</v>
      </c>
      <c r="M64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44" s="14" t="str">
        <f>IFERROR(__xludf.DUMMYFUNCTION("""COMPUTED_VALUE"""),"https://lh5.googleusercontent.com/d/1LMOW8SedSx-OZ3BlDK2nBtuQRzgO4dDY")</f>
        <v>https://lh5.googleusercontent.com/d/1LMOW8SedSx-OZ3BlDK2nBtuQRzgO4dDY</v>
      </c>
      <c r="O644" s="14" t="str">
        <f>IFERROR(__xludf.DUMMYFUNCTION("""COMPUTED_VALUE"""),"https://drive.google.com/file/d/1dc5MHNsPXo2pXYZIq3kflnjmFV9WOK3M/view?usp=drivesdk")</f>
        <v>https://drive.google.com/file/d/1dc5MHNsPXo2pXYZIq3kflnjmFV9WOK3M/view?usp=drivesdk</v>
      </c>
    </row>
    <row r="645">
      <c r="A645" s="3">
        <f>IFERROR(__xludf.DUMMYFUNCTION("""COMPUTED_VALUE"""),2526.0)</f>
        <v>2526</v>
      </c>
      <c r="B645" s="11">
        <f>IFERROR(__xludf.DUMMYFUNCTION("""COMPUTED_VALUE"""),46173.48464471065)</f>
        <v>46173.48464</v>
      </c>
      <c r="C645" s="3" t="str">
        <f>IFERROR(__xludf.DUMMYFUNCTION("""COMPUTED_VALUE"""),"ชั้นปีที่ 1")</f>
        <v>ชั้นปีที่ 1</v>
      </c>
      <c r="D645" s="3" t="str">
        <f>IFERROR(__xludf.DUMMYFUNCTION("""COMPUTED_VALUE"""),"6803929")</f>
        <v>6803929</v>
      </c>
      <c r="E645" s="3" t="str">
        <f>IFERROR(__xludf.DUMMYFUNCTION("""COMPUTED_VALUE"""),"48")</f>
        <v>48</v>
      </c>
      <c r="F645" s="3" t="str">
        <f>IFERROR(__xludf.DUMMYFUNCTION("""COMPUTED_VALUE"""),"นพอ.ยลภาม ลำดับวงพุฒิปาณ")</f>
        <v>นพอ.ยลภาม ลำดับวงพุฒิปาณ</v>
      </c>
      <c r="G645" s="3" t="str">
        <f>IFERROR(__xludf.DUMMYFUNCTION("""COMPUTED_VALUE"""),"งานฟรีทั่วไป")</f>
        <v>งานฟรีทั่วไป</v>
      </c>
      <c r="H645" s="3" t="str">
        <f>IFERROR(__xludf.DUMMYFUNCTION("""COMPUTED_VALUE"""),"ช่วยแม่ล้างจาน")</f>
        <v>ช่วยแม่ล้างจาน</v>
      </c>
      <c r="I645" s="3" t="str">
        <f>IFERROR(__xludf.DUMMYFUNCTION("""COMPUTED_VALUE"""),"บ้าน")</f>
        <v>บ้าน</v>
      </c>
      <c r="J645" s="12">
        <f>IFERROR(__xludf.DUMMYFUNCTION("""COMPUTED_VALUE"""),46172.0)</f>
        <v>46172</v>
      </c>
      <c r="K645" s="3" t="str">
        <f>IFERROR(__xludf.DUMMYFUNCTION("""COMPUTED_VALUE"""),"0900-1000")</f>
        <v>0900-1000</v>
      </c>
      <c r="L645" s="3">
        <f>IFERROR(__xludf.DUMMYFUNCTION("""COMPUTED_VALUE"""),1.0)</f>
        <v>1</v>
      </c>
      <c r="M645" s="3" t="str">
        <f>IFERROR(__xludf.DUMMYFUNCTION("""COMPUTED_VALUE"""),"นางธัญจิรา มินศิริ")</f>
        <v>นางธัญจิรา มินศิริ</v>
      </c>
      <c r="N645" s="14" t="str">
        <f>IFERROR(__xludf.DUMMYFUNCTION("""COMPUTED_VALUE"""),"https://lh5.googleusercontent.com/d/1MCTATd1BhNm6oUFGQbOxHVhg8YdI_2KL")</f>
        <v>https://lh5.googleusercontent.com/d/1MCTATd1BhNm6oUFGQbOxHVhg8YdI_2KL</v>
      </c>
      <c r="O645" s="14" t="str">
        <f>IFERROR(__xludf.DUMMYFUNCTION("""COMPUTED_VALUE"""),"https://drive.google.com/file/d/1wPc3MC6ZO0LaNfChQ9_UW-QtcCRDbK7F/view?usp=drivesdk")</f>
        <v>https://drive.google.com/file/d/1wPc3MC6ZO0LaNfChQ9_UW-QtcCRDbK7F/view?usp=drivesdk</v>
      </c>
    </row>
    <row r="646">
      <c r="A646" s="3">
        <f>IFERROR(__xludf.DUMMYFUNCTION("""COMPUTED_VALUE"""),2527.0)</f>
        <v>2527</v>
      </c>
      <c r="B646" s="11">
        <f>IFERROR(__xludf.DUMMYFUNCTION("""COMPUTED_VALUE"""),46173.48575181713)</f>
        <v>46173.48575</v>
      </c>
      <c r="C646" s="3" t="str">
        <f>IFERROR(__xludf.DUMMYFUNCTION("""COMPUTED_VALUE"""),"ชั้นปีที่ 1")</f>
        <v>ชั้นปีที่ 1</v>
      </c>
      <c r="D646" s="3" t="str">
        <f>IFERROR(__xludf.DUMMYFUNCTION("""COMPUTED_VALUE"""),"6803929")</f>
        <v>6803929</v>
      </c>
      <c r="E646" s="3" t="str">
        <f>IFERROR(__xludf.DUMMYFUNCTION("""COMPUTED_VALUE"""),"48")</f>
        <v>48</v>
      </c>
      <c r="F646" s="3" t="str">
        <f>IFERROR(__xludf.DUMMYFUNCTION("""COMPUTED_VALUE"""),"นพอ.ยลภาม ลำดับวงพุฒิปาณ")</f>
        <v>นพอ.ยลภาม ลำดับวงพุฒิปาณ</v>
      </c>
      <c r="G646" s="3" t="str">
        <f>IFERROR(__xludf.DUMMYFUNCTION("""COMPUTED_VALUE"""),"งานฟรีทั่วไป")</f>
        <v>งานฟรีทั่วไป</v>
      </c>
      <c r="H646" s="3" t="str">
        <f>IFERROR(__xludf.DUMMYFUNCTION("""COMPUTED_VALUE"""),"ช่วยแม่ให้อาหารแมว")</f>
        <v>ช่วยแม่ให้อาหารแมว</v>
      </c>
      <c r="I646" s="3" t="str">
        <f>IFERROR(__xludf.DUMMYFUNCTION("""COMPUTED_VALUE"""),"บ้าน")</f>
        <v>บ้าน</v>
      </c>
      <c r="J646" s="12">
        <f>IFERROR(__xludf.DUMMYFUNCTION("""COMPUTED_VALUE"""),46172.0)</f>
        <v>46172</v>
      </c>
      <c r="K646" s="3" t="str">
        <f>IFERROR(__xludf.DUMMYFUNCTION("""COMPUTED_VALUE"""),"0800-0900")</f>
        <v>0800-0900</v>
      </c>
      <c r="L646" s="3">
        <f>IFERROR(__xludf.DUMMYFUNCTION("""COMPUTED_VALUE"""),1.0)</f>
        <v>1</v>
      </c>
      <c r="M646" s="3" t="str">
        <f>IFERROR(__xludf.DUMMYFUNCTION("""COMPUTED_VALUE"""),"นางธัญจิรา มินศิริ")</f>
        <v>นางธัญจิรา มินศิริ</v>
      </c>
      <c r="N646" s="14" t="str">
        <f>IFERROR(__xludf.DUMMYFUNCTION("""COMPUTED_VALUE"""),"https://lh5.googleusercontent.com/d/13tTeWS7e6X-obD1igkzpGvqI8AvD0NsT")</f>
        <v>https://lh5.googleusercontent.com/d/13tTeWS7e6X-obD1igkzpGvqI8AvD0NsT</v>
      </c>
      <c r="O646" s="14" t="str">
        <f>IFERROR(__xludf.DUMMYFUNCTION("""COMPUTED_VALUE"""),"https://drive.google.com/file/d/1vtvrOFOuaakyjPpWMZhP89K8Wi8P5_cA/view?usp=drivesdk")</f>
        <v>https://drive.google.com/file/d/1vtvrOFOuaakyjPpWMZhP89K8Wi8P5_cA/view?usp=drivesdk</v>
      </c>
    </row>
    <row r="647">
      <c r="A647" s="3">
        <f>IFERROR(__xludf.DUMMYFUNCTION("""COMPUTED_VALUE"""),2528.0)</f>
        <v>2528</v>
      </c>
      <c r="B647" s="11">
        <f>IFERROR(__xludf.DUMMYFUNCTION("""COMPUTED_VALUE"""),46173.48881407407)</f>
        <v>46173.48881</v>
      </c>
      <c r="C647" s="3" t="str">
        <f>IFERROR(__xludf.DUMMYFUNCTION("""COMPUTED_VALUE"""),"ชั้นปีที่ 1")</f>
        <v>ชั้นปีที่ 1</v>
      </c>
      <c r="D647" s="3" t="str">
        <f>IFERROR(__xludf.DUMMYFUNCTION("""COMPUTED_VALUE"""),"6803929")</f>
        <v>6803929</v>
      </c>
      <c r="E647" s="3" t="str">
        <f>IFERROR(__xludf.DUMMYFUNCTION("""COMPUTED_VALUE"""),"48")</f>
        <v>48</v>
      </c>
      <c r="F647" s="3" t="str">
        <f>IFERROR(__xludf.DUMMYFUNCTION("""COMPUTED_VALUE"""),"นพอ.ยลภาม ลำดับวงพุฒิปาณ")</f>
        <v>นพอ.ยลภาม ลำดับวงพุฒิปาณ</v>
      </c>
      <c r="G647" s="3" t="str">
        <f>IFERROR(__xludf.DUMMYFUNCTION("""COMPUTED_VALUE"""),"ช่วยเหลืองานภายใน วพอ.")</f>
        <v>ช่วยเหลืองานภายใน วพอ.</v>
      </c>
      <c r="H647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647" s="3" t="str">
        <f>IFERROR(__xludf.DUMMYFUNCTION("""COMPUTED_VALUE"""),"อาคารสำนักงานชั้น4")</f>
        <v>อาคารสำนักงานชั้น4</v>
      </c>
      <c r="J647" s="12">
        <f>IFERROR(__xludf.DUMMYFUNCTION("""COMPUTED_VALUE"""),46147.0)</f>
        <v>46147</v>
      </c>
      <c r="K647" s="3" t="str">
        <f>IFERROR(__xludf.DUMMYFUNCTION("""COMPUTED_VALUE"""),"1500-1800")</f>
        <v>1500-1800</v>
      </c>
      <c r="L647" s="3">
        <f>IFERROR(__xludf.DUMMYFUNCTION("""COMPUTED_VALUE"""),3.0)</f>
        <v>3</v>
      </c>
      <c r="M647" s="3" t="str">
        <f>IFERROR(__xludf.DUMMYFUNCTION("""COMPUTED_VALUE"""),"น.ต.ศักชัย บุญประสิทธิ์")</f>
        <v>น.ต.ศักชัย บุญประสิทธิ์</v>
      </c>
      <c r="N647" s="14" t="str">
        <f>IFERROR(__xludf.DUMMYFUNCTION("""COMPUTED_VALUE"""),"https://lh5.googleusercontent.com/d/1jTOcc5sPghj_YcCYWn86eQ9YicsZpUay")</f>
        <v>https://lh5.googleusercontent.com/d/1jTOcc5sPghj_YcCYWn86eQ9YicsZpUay</v>
      </c>
      <c r="O647" s="14" t="str">
        <f>IFERROR(__xludf.DUMMYFUNCTION("""COMPUTED_VALUE"""),"https://drive.google.com/file/d/1S1IznFWYIJZRAsOFrpwQeDAijcy8Tde6/view?usp=drivesdk")</f>
        <v>https://drive.google.com/file/d/1S1IznFWYIJZRAsOFrpwQeDAijcy8Tde6/view?usp=drivesdk</v>
      </c>
    </row>
    <row r="648">
      <c r="A648" s="3">
        <f>IFERROR(__xludf.DUMMYFUNCTION("""COMPUTED_VALUE"""),2529.0)</f>
        <v>2529</v>
      </c>
      <c r="B648" s="11">
        <f>IFERROR(__xludf.DUMMYFUNCTION("""COMPUTED_VALUE"""),46173.49071820602)</f>
        <v>46173.49072</v>
      </c>
      <c r="C648" s="3" t="str">
        <f>IFERROR(__xludf.DUMMYFUNCTION("""COMPUTED_VALUE"""),"ชั้นปีที่ 1")</f>
        <v>ชั้นปีที่ 1</v>
      </c>
      <c r="D648" s="3" t="str">
        <f>IFERROR(__xludf.DUMMYFUNCTION("""COMPUTED_VALUE"""),"6803929")</f>
        <v>6803929</v>
      </c>
      <c r="E648" s="3" t="str">
        <f>IFERROR(__xludf.DUMMYFUNCTION("""COMPUTED_VALUE"""),"48")</f>
        <v>48</v>
      </c>
      <c r="F648" s="3" t="str">
        <f>IFERROR(__xludf.DUMMYFUNCTION("""COMPUTED_VALUE"""),"นพอ.ยลภาม ลำดับวงพุฒิปาณ")</f>
        <v>นพอ.ยลภาม ลำดับวงพุฒิปาณ</v>
      </c>
      <c r="G648" s="3" t="str">
        <f>IFERROR(__xludf.DUMMYFUNCTION("""COMPUTED_VALUE"""),"ช่วยเหลืองานภายใน วพอ.")</f>
        <v>ช่วยเหลืองานภายใน วพอ.</v>
      </c>
      <c r="H648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48" s="3" t="str">
        <f>IFERROR(__xludf.DUMMYFUNCTION("""COMPUTED_VALUE"""),"ลานข้างหอพัก")</f>
        <v>ลานข้างหอพัก</v>
      </c>
      <c r="J648" s="12">
        <f>IFERROR(__xludf.DUMMYFUNCTION("""COMPUTED_VALUE"""),46164.0)</f>
        <v>46164</v>
      </c>
      <c r="K648" s="3" t="str">
        <f>IFERROR(__xludf.DUMMYFUNCTION("""COMPUTED_VALUE"""),"1500-1700")</f>
        <v>1500-1700</v>
      </c>
      <c r="L648" s="3">
        <f>IFERROR(__xludf.DUMMYFUNCTION("""COMPUTED_VALUE"""),2.0)</f>
        <v>2</v>
      </c>
      <c r="M648" s="3" t="str">
        <f>IFERROR(__xludf.DUMMYFUNCTION("""COMPUTED_VALUE"""),"น.อ.หญิง นิตยา สุขแสน")</f>
        <v>น.อ.หญิง นิตยา สุขแสน</v>
      </c>
      <c r="N648" s="14" t="str">
        <f>IFERROR(__xludf.DUMMYFUNCTION("""COMPUTED_VALUE"""),"https://lh5.googleusercontent.com/d/16-NuhY3kNnhRTYiY588OMb23-HN1M7YD")</f>
        <v>https://lh5.googleusercontent.com/d/16-NuhY3kNnhRTYiY588OMb23-HN1M7YD</v>
      </c>
      <c r="O648" s="14" t="str">
        <f>IFERROR(__xludf.DUMMYFUNCTION("""COMPUTED_VALUE"""),"https://drive.google.com/file/d/1mdpyzCfFLNlOhPLi6_T9hQ-75b64XK0B/view?usp=drivesdk")</f>
        <v>https://drive.google.com/file/d/1mdpyzCfFLNlOhPLi6_T9hQ-75b64XK0B/view?usp=drivesdk</v>
      </c>
    </row>
    <row r="649">
      <c r="A649" s="3">
        <f>IFERROR(__xludf.DUMMYFUNCTION("""COMPUTED_VALUE"""),2530.0)</f>
        <v>2530</v>
      </c>
      <c r="B649" s="11">
        <f>IFERROR(__xludf.DUMMYFUNCTION("""COMPUTED_VALUE"""),46173.50531107639)</f>
        <v>46173.50531</v>
      </c>
      <c r="C649" s="3" t="str">
        <f>IFERROR(__xludf.DUMMYFUNCTION("""COMPUTED_VALUE"""),"ชั้นปีที่ 1")</f>
        <v>ชั้นปีที่ 1</v>
      </c>
      <c r="D649" s="3" t="str">
        <f>IFERROR(__xludf.DUMMYFUNCTION("""COMPUTED_VALUE"""),"6803929")</f>
        <v>6803929</v>
      </c>
      <c r="E649" s="3" t="str">
        <f>IFERROR(__xludf.DUMMYFUNCTION("""COMPUTED_VALUE"""),"48")</f>
        <v>48</v>
      </c>
      <c r="F649" s="3" t="str">
        <f>IFERROR(__xludf.DUMMYFUNCTION("""COMPUTED_VALUE"""),"นพอ.ยลภาม ลำดับวงพุฒิปาณ")</f>
        <v>นพอ.ยลภาม ลำดับวงพุฒิปาณ</v>
      </c>
      <c r="G649" s="3" t="str">
        <f>IFERROR(__xludf.DUMMYFUNCTION("""COMPUTED_VALUE"""),"ช่วยเหลืองานภายใน วพอ.")</f>
        <v>ช่วยเหลืองานภายใน วพอ.</v>
      </c>
      <c r="H649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49" s="3" t="str">
        <f>IFERROR(__xludf.DUMMYFUNCTION("""COMPUTED_VALUE"""),"ลานข้างหอพัก")</f>
        <v>ลานข้างหอพัก</v>
      </c>
      <c r="J649" s="12">
        <f>IFERROR(__xludf.DUMMYFUNCTION("""COMPUTED_VALUE"""),46164.0)</f>
        <v>46164</v>
      </c>
      <c r="K649" s="3" t="str">
        <f>IFERROR(__xludf.DUMMYFUNCTION("""COMPUTED_VALUE"""),"1500-1700")</f>
        <v>1500-1700</v>
      </c>
      <c r="L649" s="3">
        <f>IFERROR(__xludf.DUMMYFUNCTION("""COMPUTED_VALUE"""),2.0)</f>
        <v>2</v>
      </c>
      <c r="M649" s="3" t="str">
        <f>IFERROR(__xludf.DUMMYFUNCTION("""COMPUTED_VALUE"""),"น.อ.หญิง นิตยา สุขแสน")</f>
        <v>น.อ.หญิง นิตยา สุขแสน</v>
      </c>
      <c r="N649" s="14" t="str">
        <f>IFERROR(__xludf.DUMMYFUNCTION("""COMPUTED_VALUE"""),"https://lh5.googleusercontent.com/d/1zmCvbCSKltybFJliWJYDUtPuTjndwvlB")</f>
        <v>https://lh5.googleusercontent.com/d/1zmCvbCSKltybFJliWJYDUtPuTjndwvlB</v>
      </c>
      <c r="O649" s="14" t="str">
        <f>IFERROR(__xludf.DUMMYFUNCTION("""COMPUTED_VALUE"""),"https://drive.google.com/file/d/1kBUq8qXGNzaAA-X1fxg_vyeJhzklJkzJ/view?usp=drivesdk")</f>
        <v>https://drive.google.com/file/d/1kBUq8qXGNzaAA-X1fxg_vyeJhzklJkzJ/view?usp=drivesdk</v>
      </c>
    </row>
    <row r="650">
      <c r="A650" s="3">
        <f>IFERROR(__xludf.DUMMYFUNCTION("""COMPUTED_VALUE"""),2531.0)</f>
        <v>2531</v>
      </c>
      <c r="B650" s="11">
        <f>IFERROR(__xludf.DUMMYFUNCTION("""COMPUTED_VALUE"""),46173.56492815973)</f>
        <v>46173.56493</v>
      </c>
      <c r="C650" s="3" t="str">
        <f>IFERROR(__xludf.DUMMYFUNCTION("""COMPUTED_VALUE"""),"ชั้นปีที่ 1")</f>
        <v>ชั้นปีที่ 1</v>
      </c>
      <c r="D650" s="3" t="str">
        <f>IFERROR(__xludf.DUMMYFUNCTION("""COMPUTED_VALUE"""),"6803942")</f>
        <v>6803942</v>
      </c>
      <c r="E650" s="3" t="str">
        <f>IFERROR(__xludf.DUMMYFUNCTION("""COMPUTED_VALUE"""),"61")</f>
        <v>61</v>
      </c>
      <c r="F650" s="3" t="str">
        <f>IFERROR(__xludf.DUMMYFUNCTION("""COMPUTED_VALUE"""),"นพอ.อชิรญา อ่อนเปรี้ยว")</f>
        <v>นพอ.อชิรญา อ่อนเปรี้ยว</v>
      </c>
      <c r="G650" s="3" t="str">
        <f>IFERROR(__xludf.DUMMYFUNCTION("""COMPUTED_VALUE"""),"ช่วยเหลืองานภายใน วพอ.")</f>
        <v>ช่วยเหลืองานภายใน วพอ.</v>
      </c>
      <c r="H650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50" s="3" t="str">
        <f>IFERROR(__xludf.DUMMYFUNCTION("""COMPUTED_VALUE"""),"วพอ.พอ.")</f>
        <v>วพอ.พอ.</v>
      </c>
      <c r="J650" s="12">
        <f>IFERROR(__xludf.DUMMYFUNCTION("""COMPUTED_VALUE"""),46031.0)</f>
        <v>46031</v>
      </c>
      <c r="K650" s="3" t="str">
        <f>IFERROR(__xludf.DUMMYFUNCTION("""COMPUTED_VALUE"""),"1100-1200")</f>
        <v>1100-1200</v>
      </c>
      <c r="L650" s="3">
        <f>IFERROR(__xludf.DUMMYFUNCTION("""COMPUTED_VALUE"""),4.0)</f>
        <v>4</v>
      </c>
      <c r="M65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50" s="14" t="str">
        <f>IFERROR(__xludf.DUMMYFUNCTION("""COMPUTED_VALUE"""),"https://lh5.googleusercontent.com/d/1hz9yoQfdixLvUfh9C_-Y0jAMEMZmQUQ2")</f>
        <v>https://lh5.googleusercontent.com/d/1hz9yoQfdixLvUfh9C_-Y0jAMEMZmQUQ2</v>
      </c>
      <c r="O650" s="14" t="str">
        <f>IFERROR(__xludf.DUMMYFUNCTION("""COMPUTED_VALUE"""),"https://drive.google.com/file/d/1Z14gMGeFypeLoS73st3e68oN5ifMRWKs/view?usp=drivesdk")</f>
        <v>https://drive.google.com/file/d/1Z14gMGeFypeLoS73st3e68oN5ifMRWKs/view?usp=drivesdk</v>
      </c>
    </row>
    <row r="651">
      <c r="A651" s="3">
        <f>IFERROR(__xludf.DUMMYFUNCTION("""COMPUTED_VALUE"""),2532.0)</f>
        <v>2532</v>
      </c>
      <c r="B651" s="11">
        <f>IFERROR(__xludf.DUMMYFUNCTION("""COMPUTED_VALUE"""),46173.56856)</f>
        <v>46173.56856</v>
      </c>
      <c r="C651" s="3" t="str">
        <f>IFERROR(__xludf.DUMMYFUNCTION("""COMPUTED_VALUE"""),"ชั้นปีที่ 1")</f>
        <v>ชั้นปีที่ 1</v>
      </c>
      <c r="D651" s="3" t="str">
        <f>IFERROR(__xludf.DUMMYFUNCTION("""COMPUTED_VALUE"""),"6803942")</f>
        <v>6803942</v>
      </c>
      <c r="E651" s="3" t="str">
        <f>IFERROR(__xludf.DUMMYFUNCTION("""COMPUTED_VALUE"""),"61")</f>
        <v>61</v>
      </c>
      <c r="F651" s="3" t="str">
        <f>IFERROR(__xludf.DUMMYFUNCTION("""COMPUTED_VALUE"""),"นพอ.อชิรญา อ่อนเปรี้ยว")</f>
        <v>นพอ.อชิรญา อ่อนเปรี้ยว</v>
      </c>
      <c r="G651" s="3" t="str">
        <f>IFERROR(__xludf.DUMMYFUNCTION("""COMPUTED_VALUE"""),"ช่วยเหลืองานภายใน วพอ.")</f>
        <v>ช่วยเหลืองานภายใน วพอ.</v>
      </c>
      <c r="H651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651" s="3" t="str">
        <f>IFERROR(__xludf.DUMMYFUNCTION("""COMPUTED_VALUE"""),"อาคารสำนักงานชั้น 4")</f>
        <v>อาคารสำนักงานชั้น 4</v>
      </c>
      <c r="J651" s="12">
        <f>IFERROR(__xludf.DUMMYFUNCTION("""COMPUTED_VALUE"""),46147.0)</f>
        <v>46147</v>
      </c>
      <c r="K651" s="3" t="str">
        <f>IFERROR(__xludf.DUMMYFUNCTION("""COMPUTED_VALUE"""),"1500-1800")</f>
        <v>1500-1800</v>
      </c>
      <c r="L651" s="3">
        <f>IFERROR(__xludf.DUMMYFUNCTION("""COMPUTED_VALUE"""),3.0)</f>
        <v>3</v>
      </c>
      <c r="M651" s="3" t="str">
        <f>IFERROR(__xludf.DUMMYFUNCTION("""COMPUTED_VALUE"""),"น.ต.ศักชัย บุญประสิทธิ์")</f>
        <v>น.ต.ศักชัย บุญประสิทธิ์</v>
      </c>
      <c r="N651" s="14" t="str">
        <f>IFERROR(__xludf.DUMMYFUNCTION("""COMPUTED_VALUE"""),"https://lh5.googleusercontent.com/d/1PHut-9rG2UUg3HBU2oyyYXapAgTA6kky")</f>
        <v>https://lh5.googleusercontent.com/d/1PHut-9rG2UUg3HBU2oyyYXapAgTA6kky</v>
      </c>
      <c r="O651" s="14" t="str">
        <f>IFERROR(__xludf.DUMMYFUNCTION("""COMPUTED_VALUE"""),"https://drive.google.com/file/d/1ADEjcKRDSYS96Tc3GCr7rf38TRrlRquP/view?usp=drivesdk")</f>
        <v>https://drive.google.com/file/d/1ADEjcKRDSYS96Tc3GCr7rf38TRrlRquP/view?usp=drivesdk</v>
      </c>
    </row>
    <row r="652">
      <c r="A652" s="3">
        <f>IFERROR(__xludf.DUMMYFUNCTION("""COMPUTED_VALUE"""),2533.0)</f>
        <v>2533</v>
      </c>
      <c r="B652" s="11">
        <f>IFERROR(__xludf.DUMMYFUNCTION("""COMPUTED_VALUE"""),46173.57231506944)</f>
        <v>46173.57232</v>
      </c>
      <c r="C652" s="3" t="str">
        <f>IFERROR(__xludf.DUMMYFUNCTION("""COMPUTED_VALUE"""),"ชั้นปีที่ 1")</f>
        <v>ชั้นปีที่ 1</v>
      </c>
      <c r="D652" s="3" t="str">
        <f>IFERROR(__xludf.DUMMYFUNCTION("""COMPUTED_VALUE"""),"6803942")</f>
        <v>6803942</v>
      </c>
      <c r="E652" s="3" t="str">
        <f>IFERROR(__xludf.DUMMYFUNCTION("""COMPUTED_VALUE"""),"61")</f>
        <v>61</v>
      </c>
      <c r="F652" s="3" t="str">
        <f>IFERROR(__xludf.DUMMYFUNCTION("""COMPUTED_VALUE"""),"นพอ.อชิรญา อ่อนเปรี้ยว")</f>
        <v>นพอ.อชิรญา อ่อนเปรี้ยว</v>
      </c>
      <c r="G65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2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652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652" s="12">
        <f>IFERROR(__xludf.DUMMYFUNCTION("""COMPUTED_VALUE"""),46078.0)</f>
        <v>46078</v>
      </c>
      <c r="K652" s="3" t="str">
        <f>IFERROR(__xludf.DUMMYFUNCTION("""COMPUTED_VALUE"""),"1200-2000")</f>
        <v>1200-2000</v>
      </c>
      <c r="L652" s="3">
        <f>IFERROR(__xludf.DUMMYFUNCTION("""COMPUTED_VALUE"""),8.0)</f>
        <v>8</v>
      </c>
      <c r="M652" s="3" t="str">
        <f>IFERROR(__xludf.DUMMYFUNCTION("""COMPUTED_VALUE"""),"น.ต. หญิง ขวัญชนก พ่วงนาคพันธุ์ ")</f>
        <v>น.ต. หญิง ขวัญชนก พ่วงนาคพันธุ์ </v>
      </c>
      <c r="N652" s="14" t="str">
        <f>IFERROR(__xludf.DUMMYFUNCTION("""COMPUTED_VALUE"""),"https://lh5.googleusercontent.com/d/1N5AX1Z5XnfCvYkjVet20fAhASidnJJ6i")</f>
        <v>https://lh5.googleusercontent.com/d/1N5AX1Z5XnfCvYkjVet20fAhASidnJJ6i</v>
      </c>
      <c r="O652" s="14" t="str">
        <f>IFERROR(__xludf.DUMMYFUNCTION("""COMPUTED_VALUE"""),"https://drive.google.com/file/d/1qUKvGpDxhMm4zSaKzZUU-7423JO3U2fa/view?usp=drivesdk")</f>
        <v>https://drive.google.com/file/d/1qUKvGpDxhMm4zSaKzZUU-7423JO3U2fa/view?usp=drivesdk</v>
      </c>
    </row>
    <row r="653">
      <c r="A653" s="3">
        <f>IFERROR(__xludf.DUMMYFUNCTION("""COMPUTED_VALUE"""),2534.0)</f>
        <v>2534</v>
      </c>
      <c r="B653" s="11">
        <f>IFERROR(__xludf.DUMMYFUNCTION("""COMPUTED_VALUE"""),46173.77165263888)</f>
        <v>46173.77165</v>
      </c>
      <c r="C653" s="3" t="str">
        <f>IFERROR(__xludf.DUMMYFUNCTION("""COMPUTED_VALUE"""),"ชั้นปีที่ 1")</f>
        <v>ชั้นปีที่ 1</v>
      </c>
      <c r="D653" s="3" t="str">
        <f>IFERROR(__xludf.DUMMYFUNCTION("""COMPUTED_VALUE"""),"6803945")</f>
        <v>6803945</v>
      </c>
      <c r="E653" s="3" t="str">
        <f>IFERROR(__xludf.DUMMYFUNCTION("""COMPUTED_VALUE"""),"64")</f>
        <v>64</v>
      </c>
      <c r="F653" s="3" t="str">
        <f>IFERROR(__xludf.DUMMYFUNCTION("""COMPUTED_VALUE"""),"นพอ.ไอลดา ศาลากิจ")</f>
        <v>นพอ.ไอลดา ศาลากิจ</v>
      </c>
      <c r="G653" s="3" t="str">
        <f>IFERROR(__xludf.DUMMYFUNCTION("""COMPUTED_VALUE"""),"ช่วยเหลืองานภายใน วพอ.")</f>
        <v>ช่วยเหลืองานภายใน วพอ.</v>
      </c>
      <c r="H653" s="3" t="str">
        <f>IFERROR(__xludf.DUMMYFUNCTION("""COMPUTED_VALUE"""),"เก็บหินขาวข้างรั้วหอพัก")</f>
        <v>เก็บหินขาวข้างรั้วหอพัก</v>
      </c>
      <c r="I653" s="3" t="str">
        <f>IFERROR(__xludf.DUMMYFUNCTION("""COMPUTED_VALUE"""),"ลานข้างหอพัก")</f>
        <v>ลานข้างหอพัก</v>
      </c>
      <c r="J653" s="12">
        <f>IFERROR(__xludf.DUMMYFUNCTION("""COMPUTED_VALUE"""),46164.0)</f>
        <v>46164</v>
      </c>
      <c r="K653" s="3" t="str">
        <f>IFERROR(__xludf.DUMMYFUNCTION("""COMPUTED_VALUE"""),"1500-1700")</f>
        <v>1500-1700</v>
      </c>
      <c r="L653" s="3">
        <f>IFERROR(__xludf.DUMMYFUNCTION("""COMPUTED_VALUE"""),2.0)</f>
        <v>2</v>
      </c>
      <c r="M653" s="3" t="str">
        <f>IFERROR(__xludf.DUMMYFUNCTION("""COMPUTED_VALUE"""),"น.อ.หญิง นิตยา สุขแสน")</f>
        <v>น.อ.หญิง นิตยา สุขแสน</v>
      </c>
      <c r="N653" s="14" t="str">
        <f>IFERROR(__xludf.DUMMYFUNCTION("""COMPUTED_VALUE"""),"https://lh5.googleusercontent.com/d/1kd_LEGoa8xgpNRc2EJho5v386EX6aTRn")</f>
        <v>https://lh5.googleusercontent.com/d/1kd_LEGoa8xgpNRc2EJho5v386EX6aTRn</v>
      </c>
      <c r="O653" s="14" t="str">
        <f>IFERROR(__xludf.DUMMYFUNCTION("""COMPUTED_VALUE"""),"https://drive.google.com/file/d/1Qqq-Pg-7UG1zoMFwVjaCZKYUvOcSB5fw/view?usp=drivesdk")</f>
        <v>https://drive.google.com/file/d/1Qqq-Pg-7UG1zoMFwVjaCZKYUvOcSB5fw/view?usp=drivesdk</v>
      </c>
    </row>
    <row r="654">
      <c r="A654" s="3">
        <f>IFERROR(__xludf.DUMMYFUNCTION("""COMPUTED_VALUE"""),2535.0)</f>
        <v>2535</v>
      </c>
      <c r="B654" s="11">
        <f>IFERROR(__xludf.DUMMYFUNCTION("""COMPUTED_VALUE"""),46173.77469900463)</f>
        <v>46173.7747</v>
      </c>
      <c r="C654" s="3" t="str">
        <f>IFERROR(__xludf.DUMMYFUNCTION("""COMPUTED_VALUE"""),"ชั้นปีที่ 1")</f>
        <v>ชั้นปีที่ 1</v>
      </c>
      <c r="D654" s="3" t="str">
        <f>IFERROR(__xludf.DUMMYFUNCTION("""COMPUTED_VALUE"""),"6803945")</f>
        <v>6803945</v>
      </c>
      <c r="E654" s="3" t="str">
        <f>IFERROR(__xludf.DUMMYFUNCTION("""COMPUTED_VALUE"""),"64")</f>
        <v>64</v>
      </c>
      <c r="F654" s="3" t="str">
        <f>IFERROR(__xludf.DUMMYFUNCTION("""COMPUTED_VALUE"""),"นพอ.ไอลดา ศาลากิจ")</f>
        <v>นพอ.ไอลดา ศาลากิจ</v>
      </c>
      <c r="G654" s="3" t="str">
        <f>IFERROR(__xludf.DUMMYFUNCTION("""COMPUTED_VALUE"""),"ช่วยเหลืองานภายใน วพอ.")</f>
        <v>ช่วยเหลืองานภายใน วพอ.</v>
      </c>
      <c r="H654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654" s="3" t="str">
        <f>IFERROR(__xludf.DUMMYFUNCTION("""COMPUTED_VALUE"""),"อาคารสำนักงานชั้น4")</f>
        <v>อาคารสำนักงานชั้น4</v>
      </c>
      <c r="J654" s="12">
        <f>IFERROR(__xludf.DUMMYFUNCTION("""COMPUTED_VALUE"""),46147.0)</f>
        <v>46147</v>
      </c>
      <c r="K654" s="3" t="str">
        <f>IFERROR(__xludf.DUMMYFUNCTION("""COMPUTED_VALUE"""),"1700")</f>
        <v>1700</v>
      </c>
      <c r="L654" s="3">
        <f>IFERROR(__xludf.DUMMYFUNCTION("""COMPUTED_VALUE"""),3.0)</f>
        <v>3</v>
      </c>
      <c r="M654" s="3" t="str">
        <f>IFERROR(__xludf.DUMMYFUNCTION("""COMPUTED_VALUE"""),"น.ต.ศักชัย บุญประสิทธิ์")</f>
        <v>น.ต.ศักชัย บุญประสิทธิ์</v>
      </c>
      <c r="N654" s="14" t="str">
        <f>IFERROR(__xludf.DUMMYFUNCTION("""COMPUTED_VALUE"""),"https://lh5.googleusercontent.com/d/1fwQPTLFmdS2i-VZAJqA9okX1oXLhOtN9")</f>
        <v>https://lh5.googleusercontent.com/d/1fwQPTLFmdS2i-VZAJqA9okX1oXLhOtN9</v>
      </c>
      <c r="O654" s="14" t="str">
        <f>IFERROR(__xludf.DUMMYFUNCTION("""COMPUTED_VALUE"""),"https://drive.google.com/file/d/14o-BImYmGXGYBesAZU7TAoBNpVmmrOZR/view?usp=drivesdk")</f>
        <v>https://drive.google.com/file/d/14o-BImYmGXGYBesAZU7TAoBNpVmmrOZR/view?usp=drivesdk</v>
      </c>
    </row>
    <row r="655">
      <c r="A655" s="3">
        <f>IFERROR(__xludf.DUMMYFUNCTION("""COMPUTED_VALUE"""),2536.0)</f>
        <v>2536</v>
      </c>
      <c r="B655" s="11">
        <f>IFERROR(__xludf.DUMMYFUNCTION("""COMPUTED_VALUE"""),46173.781722210646)</f>
        <v>46173.78172</v>
      </c>
      <c r="C655" s="3" t="str">
        <f>IFERROR(__xludf.DUMMYFUNCTION("""COMPUTED_VALUE"""),"ชั้นปีที่ 1")</f>
        <v>ชั้นปีที่ 1</v>
      </c>
      <c r="D655" s="3" t="str">
        <f>IFERROR(__xludf.DUMMYFUNCTION("""COMPUTED_VALUE"""),"6803945")</f>
        <v>6803945</v>
      </c>
      <c r="E655" s="3" t="str">
        <f>IFERROR(__xludf.DUMMYFUNCTION("""COMPUTED_VALUE"""),"64")</f>
        <v>64</v>
      </c>
      <c r="F655" s="3" t="str">
        <f>IFERROR(__xludf.DUMMYFUNCTION("""COMPUTED_VALUE"""),"นพอ.ไอลดา ศาลากิจ")</f>
        <v>นพอ.ไอลดา ศาลากิจ</v>
      </c>
      <c r="G655" s="3" t="str">
        <f>IFERROR(__xludf.DUMMYFUNCTION("""COMPUTED_VALUE"""),"ทำนุบำรุงศาสนสถาน")</f>
        <v>ทำนุบำรุงศาสนสถาน</v>
      </c>
      <c r="H655" s="3" t="str">
        <f>IFERROR(__xludf.DUMMYFUNCTION("""COMPUTED_VALUE"""),"ช่วยงานและทำความสะอาดรอบโบสถ์วัด")</f>
        <v>ช่วยงานและทำความสะอาดรอบโบสถ์วัด</v>
      </c>
      <c r="I655" s="3" t="str">
        <f>IFERROR(__xludf.DUMMYFUNCTION("""COMPUTED_VALUE"""),"วัดโกรกกราก")</f>
        <v>วัดโกรกกราก</v>
      </c>
      <c r="J655" s="12">
        <f>IFERROR(__xludf.DUMMYFUNCTION("""COMPUTED_VALUE"""),46130.0)</f>
        <v>46130</v>
      </c>
      <c r="K655" s="3" t="str">
        <f>IFERROR(__xludf.DUMMYFUNCTION("""COMPUTED_VALUE"""),"0800")</f>
        <v>0800</v>
      </c>
      <c r="L655" s="3">
        <f>IFERROR(__xludf.DUMMYFUNCTION("""COMPUTED_VALUE"""),2.0)</f>
        <v>2</v>
      </c>
      <c r="M655" s="3" t="str">
        <f>IFERROR(__xludf.DUMMYFUNCTION("""COMPUTED_VALUE"""),"พระครูวิสุทธิ์สิทธิคุณ")</f>
        <v>พระครูวิสุทธิ์สิทธิคุณ</v>
      </c>
      <c r="N655" s="14" t="str">
        <f>IFERROR(__xludf.DUMMYFUNCTION("""COMPUTED_VALUE"""),"https://lh5.googleusercontent.com/d/1XZxn0uv_t3ULARSSEDTpKnJrmUxzu08m")</f>
        <v>https://lh5.googleusercontent.com/d/1XZxn0uv_t3ULARSSEDTpKnJrmUxzu08m</v>
      </c>
      <c r="O655" s="14" t="str">
        <f>IFERROR(__xludf.DUMMYFUNCTION("""COMPUTED_VALUE"""),"https://drive.google.com/file/d/1V6Cu_1U4lWvVLqiD7szGJfTPq7WdF5cF/view?usp=drivesdk")</f>
        <v>https://drive.google.com/file/d/1V6Cu_1U4lWvVLqiD7szGJfTPq7WdF5cF/view?usp=drivesdk</v>
      </c>
    </row>
    <row r="656">
      <c r="A656" s="3">
        <f>IFERROR(__xludf.DUMMYFUNCTION("""COMPUTED_VALUE"""),2537.0)</f>
        <v>2537</v>
      </c>
      <c r="B656" s="11">
        <f>IFERROR(__xludf.DUMMYFUNCTION("""COMPUTED_VALUE"""),46173.7843614699)</f>
        <v>46173.78436</v>
      </c>
      <c r="C656" s="3" t="str">
        <f>IFERROR(__xludf.DUMMYFUNCTION("""COMPUTED_VALUE"""),"ชั้นปีที่ 1")</f>
        <v>ชั้นปีที่ 1</v>
      </c>
      <c r="D656" s="3" t="str">
        <f>IFERROR(__xludf.DUMMYFUNCTION("""COMPUTED_VALUE"""),"6803945")</f>
        <v>6803945</v>
      </c>
      <c r="E656" s="3" t="str">
        <f>IFERROR(__xludf.DUMMYFUNCTION("""COMPUTED_VALUE"""),"64")</f>
        <v>64</v>
      </c>
      <c r="F656" s="3" t="str">
        <f>IFERROR(__xludf.DUMMYFUNCTION("""COMPUTED_VALUE"""),"นพอ.ไอลดา ศาลากิจ")</f>
        <v>นพอ.ไอลดา ศาลากิจ</v>
      </c>
      <c r="G656" s="3" t="str">
        <f>IFERROR(__xludf.DUMMYFUNCTION("""COMPUTED_VALUE"""),"ทำนุบำรุงศาสนสถาน")</f>
        <v>ทำนุบำรุงศาสนสถาน</v>
      </c>
      <c r="H656" s="3" t="str">
        <f>IFERROR(__xludf.DUMMYFUNCTION("""COMPUTED_VALUE"""),"ทำความสะอาดโบสถ์")</f>
        <v>ทำความสะอาดโบสถ์</v>
      </c>
      <c r="I656" s="3" t="str">
        <f>IFERROR(__xludf.DUMMYFUNCTION("""COMPUTED_VALUE"""),"วัดตึกมหาชยาราม")</f>
        <v>วัดตึกมหาชยาราม</v>
      </c>
      <c r="J656" s="12">
        <f>IFERROR(__xludf.DUMMYFUNCTION("""COMPUTED_VALUE"""),46088.0)</f>
        <v>46088</v>
      </c>
      <c r="K656" s="3" t="str">
        <f>IFERROR(__xludf.DUMMYFUNCTION("""COMPUTED_VALUE"""),"1400")</f>
        <v>1400</v>
      </c>
      <c r="L656" s="3">
        <f>IFERROR(__xludf.DUMMYFUNCTION("""COMPUTED_VALUE"""),2.0)</f>
        <v>2</v>
      </c>
      <c r="M656" s="3" t="str">
        <f>IFERROR(__xludf.DUMMYFUNCTION("""COMPUTED_VALUE"""),"พระอธิการชำนาญ กนตวณโณ")</f>
        <v>พระอธิการชำนาญ กนตวณโณ</v>
      </c>
      <c r="N656" s="14" t="str">
        <f>IFERROR(__xludf.DUMMYFUNCTION("""COMPUTED_VALUE"""),"https://lh5.googleusercontent.com/d/1j6LT1iBKy8v962Ts71itPuxuzs0Pm9pb")</f>
        <v>https://lh5.googleusercontent.com/d/1j6LT1iBKy8v962Ts71itPuxuzs0Pm9pb</v>
      </c>
      <c r="O656" s="14" t="str">
        <f>IFERROR(__xludf.DUMMYFUNCTION("""COMPUTED_VALUE"""),"https://drive.google.com/file/d/1IGW8iF3sybqTyNN5OCREasxXsHfbAxyC/view?usp=drivesdk")</f>
        <v>https://drive.google.com/file/d/1IGW8iF3sybqTyNN5OCREasxXsHfbAxyC/view?usp=drivesdk</v>
      </c>
    </row>
    <row r="657">
      <c r="A657" s="3">
        <f>IFERROR(__xludf.DUMMYFUNCTION("""COMPUTED_VALUE"""),2538.0)</f>
        <v>2538</v>
      </c>
      <c r="B657" s="11">
        <f>IFERROR(__xludf.DUMMYFUNCTION("""COMPUTED_VALUE"""),46173.791250393515)</f>
        <v>46173.79125</v>
      </c>
      <c r="C657" s="3" t="str">
        <f>IFERROR(__xludf.DUMMYFUNCTION("""COMPUTED_VALUE"""),"ชั้นปีที่ 1")</f>
        <v>ชั้นปีที่ 1</v>
      </c>
      <c r="D657" s="3" t="str">
        <f>IFERROR(__xludf.DUMMYFUNCTION("""COMPUTED_VALUE"""),"6803945")</f>
        <v>6803945</v>
      </c>
      <c r="E657" s="3" t="str">
        <f>IFERROR(__xludf.DUMMYFUNCTION("""COMPUTED_VALUE"""),"64")</f>
        <v>64</v>
      </c>
      <c r="F657" s="3" t="str">
        <f>IFERROR(__xludf.DUMMYFUNCTION("""COMPUTED_VALUE"""),"นพอ.ไอลดา ศาลากิจ")</f>
        <v>นพอ.ไอลดา ศาลากิจ</v>
      </c>
      <c r="G657" s="3" t="str">
        <f>IFERROR(__xludf.DUMMYFUNCTION("""COMPUTED_VALUE"""),"งานฟรีทั่วไป")</f>
        <v>งานฟรีทั่วไป</v>
      </c>
      <c r="H657" s="3" t="str">
        <f>IFERROR(__xludf.DUMMYFUNCTION("""COMPUTED_VALUE"""),"รดน้ำต้นไม้จัดสวน")</f>
        <v>รดน้ำต้นไม้จัดสวน</v>
      </c>
      <c r="I657" s="3" t="str">
        <f>IFERROR(__xludf.DUMMYFUNCTION("""COMPUTED_VALUE"""),"259ง ต.โกรกกราก อ.เมือง จ.สมุทรสาคร")</f>
        <v>259ง ต.โกรกกราก อ.เมือง จ.สมุทรสาคร</v>
      </c>
      <c r="J657" s="12">
        <f>IFERROR(__xludf.DUMMYFUNCTION("""COMPUTED_VALUE"""),46102.0)</f>
        <v>46102</v>
      </c>
      <c r="K657" s="3" t="str">
        <f>IFERROR(__xludf.DUMMYFUNCTION("""COMPUTED_VALUE"""),"1500")</f>
        <v>1500</v>
      </c>
      <c r="L657" s="3">
        <f>IFERROR(__xludf.DUMMYFUNCTION("""COMPUTED_VALUE"""),2.0)</f>
        <v>2</v>
      </c>
      <c r="M657" s="3" t="str">
        <f>IFERROR(__xludf.DUMMYFUNCTION("""COMPUTED_VALUE"""),"นางสาวมาลัยทิพย์ ทองใบ")</f>
        <v>นางสาวมาลัยทิพย์ ทองใบ</v>
      </c>
      <c r="N657" s="14" t="str">
        <f>IFERROR(__xludf.DUMMYFUNCTION("""COMPUTED_VALUE"""),"https://lh5.googleusercontent.com/d/1jEV1zn_w5vJo3H1XkIvu0FSUrbM55Idz")</f>
        <v>https://lh5.googleusercontent.com/d/1jEV1zn_w5vJo3H1XkIvu0FSUrbM55Idz</v>
      </c>
      <c r="O657" s="14" t="str">
        <f>IFERROR(__xludf.DUMMYFUNCTION("""COMPUTED_VALUE"""),"https://drive.google.com/file/d/18jCNvy4qo3fgs3V5yRZV4j4Hckvvk8BS/view?usp=drivesdk")</f>
        <v>https://drive.google.com/file/d/18jCNvy4qo3fgs3V5yRZV4j4Hckvvk8BS/view?usp=drivesdk</v>
      </c>
    </row>
    <row r="658">
      <c r="A658" s="3">
        <f>IFERROR(__xludf.DUMMYFUNCTION("""COMPUTED_VALUE"""),2539.0)</f>
        <v>2539</v>
      </c>
      <c r="B658" s="11">
        <f>IFERROR(__xludf.DUMMYFUNCTION("""COMPUTED_VALUE"""),46173.79342486111)</f>
        <v>46173.79342</v>
      </c>
      <c r="C658" s="3" t="str">
        <f>IFERROR(__xludf.DUMMYFUNCTION("""COMPUTED_VALUE"""),"ชั้นปีที่ 1")</f>
        <v>ชั้นปีที่ 1</v>
      </c>
      <c r="D658" s="3" t="str">
        <f>IFERROR(__xludf.DUMMYFUNCTION("""COMPUTED_VALUE"""),"6803945")</f>
        <v>6803945</v>
      </c>
      <c r="E658" s="3" t="str">
        <f>IFERROR(__xludf.DUMMYFUNCTION("""COMPUTED_VALUE"""),"64")</f>
        <v>64</v>
      </c>
      <c r="F658" s="3" t="str">
        <f>IFERROR(__xludf.DUMMYFUNCTION("""COMPUTED_VALUE"""),"นพอ.ไอลดา ศาลากิจ")</f>
        <v>นพอ.ไอลดา ศาลากิจ</v>
      </c>
      <c r="G658" s="3" t="str">
        <f>IFERROR(__xludf.DUMMYFUNCTION("""COMPUTED_VALUE"""),"งานฟรีทั่วไป")</f>
        <v>งานฟรีทั่วไป</v>
      </c>
      <c r="H658" s="3" t="str">
        <f>IFERROR(__xludf.DUMMYFUNCTION("""COMPUTED_VALUE"""),"ทำความสะอาดบ้าน")</f>
        <v>ทำความสะอาดบ้าน</v>
      </c>
      <c r="I658" s="3" t="str">
        <f>IFERROR(__xludf.DUMMYFUNCTION("""COMPUTED_VALUE"""),"259ง ต.โกรกกราก อ.เมือง จ.สมุทรสาคร")</f>
        <v>259ง ต.โกรกกราก อ.เมือง จ.สมุทรสาคร</v>
      </c>
      <c r="J658" s="12">
        <f>IFERROR(__xludf.DUMMYFUNCTION("""COMPUTED_VALUE"""),46172.0)</f>
        <v>46172</v>
      </c>
      <c r="K658" s="3" t="str">
        <f>IFERROR(__xludf.DUMMYFUNCTION("""COMPUTED_VALUE"""),"1130")</f>
        <v>1130</v>
      </c>
      <c r="L658" s="3">
        <f>IFERROR(__xludf.DUMMYFUNCTION("""COMPUTED_VALUE"""),2.0)</f>
        <v>2</v>
      </c>
      <c r="M658" s="3" t="str">
        <f>IFERROR(__xludf.DUMMYFUNCTION("""COMPUTED_VALUE"""),"นางสาวมาลัยทิพย์ ทองใบ")</f>
        <v>นางสาวมาลัยทิพย์ ทองใบ</v>
      </c>
      <c r="N658" s="14" t="str">
        <f>IFERROR(__xludf.DUMMYFUNCTION("""COMPUTED_VALUE"""),"https://lh5.googleusercontent.com/d/1k7-by9mUojKk9EdcXB_xFaMlLGq2UJCL")</f>
        <v>https://lh5.googleusercontent.com/d/1k7-by9mUojKk9EdcXB_xFaMlLGq2UJCL</v>
      </c>
      <c r="O658" s="14" t="str">
        <f>IFERROR(__xludf.DUMMYFUNCTION("""COMPUTED_VALUE"""),"https://drive.google.com/file/d/1dqeekviR4_xS4KIgbc3uh7gs2b2XvGIw/view?usp=drivesdk")</f>
        <v>https://drive.google.com/file/d/1dqeekviR4_xS4KIgbc3uh7gs2b2XvGIw/view?usp=drivesdk</v>
      </c>
    </row>
    <row r="659">
      <c r="A659" s="3">
        <f>IFERROR(__xludf.DUMMYFUNCTION("""COMPUTED_VALUE"""),2540.0)</f>
        <v>2540</v>
      </c>
      <c r="B659" s="11">
        <f>IFERROR(__xludf.DUMMYFUNCTION("""COMPUTED_VALUE"""),46173.79695498843)</f>
        <v>46173.79695</v>
      </c>
      <c r="C659" s="3" t="str">
        <f>IFERROR(__xludf.DUMMYFUNCTION("""COMPUTED_VALUE"""),"ชั้นปีที่ 1")</f>
        <v>ชั้นปีที่ 1</v>
      </c>
      <c r="D659" s="3" t="str">
        <f>IFERROR(__xludf.DUMMYFUNCTION("""COMPUTED_VALUE"""),"6803945")</f>
        <v>6803945</v>
      </c>
      <c r="E659" s="3" t="str">
        <f>IFERROR(__xludf.DUMMYFUNCTION("""COMPUTED_VALUE"""),"64")</f>
        <v>64</v>
      </c>
      <c r="F659" s="3" t="str">
        <f>IFERROR(__xludf.DUMMYFUNCTION("""COMPUTED_VALUE"""),"นพอ.ไอลดา ศาลากิจ")</f>
        <v>นพอ.ไอลดา ศาลากิจ</v>
      </c>
      <c r="G65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59" s="3" t="str">
        <f>IFERROR(__xludf.DUMMYFUNCTION("""COMPUTED_VALUE"""),"be Green Market ประจำปี2569")</f>
        <v>be Green Market ประจำปี2569</v>
      </c>
      <c r="I659" s="3" t="str">
        <f>IFERROR(__xludf.DUMMYFUNCTION("""COMPUTED_VALUE"""),"อาคารอเนกประสงค์ สโมสรทหารอากาศชั้นประทวน")</f>
        <v>อาคารอเนกประสงค์ สโมสรทหารอากาศชั้นประทวน</v>
      </c>
      <c r="J659" s="12">
        <f>IFERROR(__xludf.DUMMYFUNCTION("""COMPUTED_VALUE"""),46134.0)</f>
        <v>46134</v>
      </c>
      <c r="K659" s="3" t="str">
        <f>IFERROR(__xludf.DUMMYFUNCTION("""COMPUTED_VALUE"""),"0800")</f>
        <v>0800</v>
      </c>
      <c r="L659" s="3">
        <f>IFERROR(__xludf.DUMMYFUNCTION("""COMPUTED_VALUE"""),8.0)</f>
        <v>8</v>
      </c>
      <c r="M659" s="3" t="str">
        <f>IFERROR(__xludf.DUMMYFUNCTION("""COMPUTED_VALUE"""),"น.ต.ศักชัย บุญประสิทธิ์")</f>
        <v>น.ต.ศักชัย บุญประสิทธิ์</v>
      </c>
      <c r="N659" s="14" t="str">
        <f>IFERROR(__xludf.DUMMYFUNCTION("""COMPUTED_VALUE"""),"https://lh5.googleusercontent.com/d/1rPeTkO7Fl4-t83-9kVtoW4Cx1uM-YFe-")</f>
        <v>https://lh5.googleusercontent.com/d/1rPeTkO7Fl4-t83-9kVtoW4Cx1uM-YFe-</v>
      </c>
      <c r="O659" s="14" t="str">
        <f>IFERROR(__xludf.DUMMYFUNCTION("""COMPUTED_VALUE"""),"https://drive.google.com/file/d/1X_JGLNlXi4McGPXgQ8Q21zSqdXgBhYiL/view?usp=drivesdk")</f>
        <v>https://drive.google.com/file/d/1X_JGLNlXi4McGPXgQ8Q21zSqdXgBhYiL/view?usp=drivesdk</v>
      </c>
    </row>
    <row r="660">
      <c r="A660" s="3">
        <f>IFERROR(__xludf.DUMMYFUNCTION("""COMPUTED_VALUE"""),2541.0)</f>
        <v>2541</v>
      </c>
      <c r="B660" s="11">
        <f>IFERROR(__xludf.DUMMYFUNCTION("""COMPUTED_VALUE"""),46173.8535287037)</f>
        <v>46173.85353</v>
      </c>
      <c r="C660" s="3" t="str">
        <f>IFERROR(__xludf.DUMMYFUNCTION("""COMPUTED_VALUE"""),"ชั้นปีที่ 1")</f>
        <v>ชั้นปีที่ 1</v>
      </c>
      <c r="D660" s="3" t="str">
        <f>IFERROR(__xludf.DUMMYFUNCTION("""COMPUTED_VALUE"""),"6803884")</f>
        <v>6803884</v>
      </c>
      <c r="E660" s="3" t="str">
        <f>IFERROR(__xludf.DUMMYFUNCTION("""COMPUTED_VALUE"""),"3")</f>
        <v>3</v>
      </c>
      <c r="F660" s="3" t="str">
        <f>IFERROR(__xludf.DUMMYFUNCTION("""COMPUTED_VALUE"""),"นพอ.กรองทอง กันฟัก")</f>
        <v>นพอ.กรองทอง กันฟัก</v>
      </c>
      <c r="G660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660" s="3" t="str">
        <f>IFERROR(__xludf.DUMMYFUNCTION("""COMPUTED_VALUE"""),"โครงการ SMART ELDERLY ")</f>
        <v>โครงการ SMART ELDERLY </v>
      </c>
      <c r="I660" s="3" t="str">
        <f>IFERROR(__xludf.DUMMYFUNCTION("""COMPUTED_VALUE"""),"ชุมชนศาลเจ้าพ่อหลวง จังหวัดพิจิตร")</f>
        <v>ชุมชนศาลเจ้าพ่อหลวง จังหวัดพิจิตร</v>
      </c>
      <c r="J660" s="12">
        <f>IFERROR(__xludf.DUMMYFUNCTION("""COMPUTED_VALUE"""),46172.0)</f>
        <v>46172</v>
      </c>
      <c r="K660" s="3" t="str">
        <f>IFERROR(__xludf.DUMMYFUNCTION("""COMPUTED_VALUE"""),"0900-1300")</f>
        <v>0900-1300</v>
      </c>
      <c r="L660" s="3">
        <f>IFERROR(__xludf.DUMMYFUNCTION("""COMPUTED_VALUE"""),4.0)</f>
        <v>4</v>
      </c>
      <c r="M660" s="3" t="str">
        <f>IFERROR(__xludf.DUMMYFUNCTION("""COMPUTED_VALUE"""),"นางสาวชุติมา กันฟัก")</f>
        <v>นางสาวชุติมา กันฟัก</v>
      </c>
      <c r="N660" s="14" t="str">
        <f>IFERROR(__xludf.DUMMYFUNCTION("""COMPUTED_VALUE"""),"https://lh5.googleusercontent.com/d/1vYf-B4zfY4FYwMDFBQ2V5wOKhZdcI5PL")</f>
        <v>https://lh5.googleusercontent.com/d/1vYf-B4zfY4FYwMDFBQ2V5wOKhZdcI5PL</v>
      </c>
      <c r="O660" s="14" t="str">
        <f>IFERROR(__xludf.DUMMYFUNCTION("""COMPUTED_VALUE"""),"https://drive.google.com/file/d/1dC8P_Ot976iq7mKojz8hAzFMUsvENzsJ/view?usp=drivesdk")</f>
        <v>https://drive.google.com/file/d/1dC8P_Ot976iq7mKojz8hAzFMUsvENzsJ/view?usp=drivesdk</v>
      </c>
    </row>
    <row r="661">
      <c r="A661" s="3">
        <f>IFERROR(__xludf.DUMMYFUNCTION("""COMPUTED_VALUE"""),2542.0)</f>
        <v>2542</v>
      </c>
      <c r="B661" s="11">
        <f>IFERROR(__xludf.DUMMYFUNCTION("""COMPUTED_VALUE"""),46173.94253383102)</f>
        <v>46173.94253</v>
      </c>
      <c r="C661" s="3" t="str">
        <f>IFERROR(__xludf.DUMMYFUNCTION("""COMPUTED_VALUE"""),"ชั้นปีที่ 1")</f>
        <v>ชั้นปีที่ 1</v>
      </c>
      <c r="D661" s="3" t="str">
        <f>IFERROR(__xludf.DUMMYFUNCTION("""COMPUTED_VALUE"""),"6803929")</f>
        <v>6803929</v>
      </c>
      <c r="E661" s="3" t="str">
        <f>IFERROR(__xludf.DUMMYFUNCTION("""COMPUTED_VALUE"""),"48")</f>
        <v>48</v>
      </c>
      <c r="F661" s="3" t="str">
        <f>IFERROR(__xludf.DUMMYFUNCTION("""COMPUTED_VALUE"""),"นพอ.ยลภาม ลำดับวงพุฒิปาณ")</f>
        <v>นพอ.ยลภาม ลำดับวงพุฒิปาณ</v>
      </c>
      <c r="G661" s="3" t="str">
        <f>IFERROR(__xludf.DUMMYFUNCTION("""COMPUTED_VALUE"""),"งานฟรีทั่วไป")</f>
        <v>งานฟรีทั่วไป</v>
      </c>
      <c r="H661" s="3" t="str">
        <f>IFERROR(__xludf.DUMMYFUNCTION("""COMPUTED_VALUE"""),"ช่วยให้อาหารหมาข้างบ้าน")</f>
        <v>ช่วยให้อาหารหมาข้างบ้าน</v>
      </c>
      <c r="I661" s="3" t="str">
        <f>IFERROR(__xludf.DUMMYFUNCTION("""COMPUTED_VALUE"""),"ข้างบ้าน")</f>
        <v>ข้างบ้าน</v>
      </c>
      <c r="J661" s="12">
        <f>IFERROR(__xludf.DUMMYFUNCTION("""COMPUTED_VALUE"""),46173.0)</f>
        <v>46173</v>
      </c>
      <c r="K661" s="3" t="str">
        <f>IFERROR(__xludf.DUMMYFUNCTION("""COMPUTED_VALUE"""),"1600-1700")</f>
        <v>1600-1700</v>
      </c>
      <c r="L661" s="3">
        <f>IFERROR(__xludf.DUMMYFUNCTION("""COMPUTED_VALUE"""),1.0)</f>
        <v>1</v>
      </c>
      <c r="M661" s="3" t="str">
        <f>IFERROR(__xludf.DUMMYFUNCTION("""COMPUTED_VALUE"""),"นางธัญจิรา มินศิริ")</f>
        <v>นางธัญจิรา มินศิริ</v>
      </c>
      <c r="N661" s="14" t="str">
        <f>IFERROR(__xludf.DUMMYFUNCTION("""COMPUTED_VALUE"""),"https://lh5.googleusercontent.com/d/1NWbl-wZqPk-4YoSKeivILE1G6h0OWRW8")</f>
        <v>https://lh5.googleusercontent.com/d/1NWbl-wZqPk-4YoSKeivILE1G6h0OWRW8</v>
      </c>
      <c r="O661" s="14" t="str">
        <f>IFERROR(__xludf.DUMMYFUNCTION("""COMPUTED_VALUE"""),"https://drive.google.com/file/d/1kgBJRiOvQle3c-qAOwT18CLWh4Ek7t3d/view?usp=drivesdk")</f>
        <v>https://drive.google.com/file/d/1kgBJRiOvQle3c-qAOwT18CLWh4Ek7t3d/view?usp=drivesdk</v>
      </c>
    </row>
    <row r="662">
      <c r="A662" s="3">
        <f>IFERROR(__xludf.DUMMYFUNCTION("""COMPUTED_VALUE"""),2543.0)</f>
        <v>2543</v>
      </c>
      <c r="B662" s="11">
        <f>IFERROR(__xludf.DUMMYFUNCTION("""COMPUTED_VALUE"""),46174.041371782405)</f>
        <v>46174.04137</v>
      </c>
      <c r="C662" s="3" t="str">
        <f>IFERROR(__xludf.DUMMYFUNCTION("""COMPUTED_VALUE"""),"ชั้นปีที่ 1")</f>
        <v>ชั้นปีที่ 1</v>
      </c>
      <c r="D662" s="3" t="str">
        <f>IFERROR(__xludf.DUMMYFUNCTION("""COMPUTED_VALUE"""),"6803942")</f>
        <v>6803942</v>
      </c>
      <c r="E662" s="3" t="str">
        <f>IFERROR(__xludf.DUMMYFUNCTION("""COMPUTED_VALUE"""),"61")</f>
        <v>61</v>
      </c>
      <c r="F662" s="3" t="str">
        <f>IFERROR(__xludf.DUMMYFUNCTION("""COMPUTED_VALUE"""),"นพอ.อชิรญา อ่อนเปรี้ยว")</f>
        <v>นพอ.อชิรญา อ่อนเปรี้ยว</v>
      </c>
      <c r="G662" s="3" t="str">
        <f>IFERROR(__xludf.DUMMYFUNCTION("""COMPUTED_VALUE"""),"ช่วยเหลืองานภายใน วพอ.")</f>
        <v>ช่วยเหลืองานภายใน วพอ.</v>
      </c>
      <c r="H662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62" s="3" t="str">
        <f>IFERROR(__xludf.DUMMYFUNCTION("""COMPUTED_VALUE"""),"ลานข้างหอพัก")</f>
        <v>ลานข้างหอพัก</v>
      </c>
      <c r="J662" s="12">
        <f>IFERROR(__xludf.DUMMYFUNCTION("""COMPUTED_VALUE"""),46164.0)</f>
        <v>46164</v>
      </c>
      <c r="K662" s="3" t="str">
        <f>IFERROR(__xludf.DUMMYFUNCTION("""COMPUTED_VALUE"""),"1500-1700")</f>
        <v>1500-1700</v>
      </c>
      <c r="L662" s="3">
        <f>IFERROR(__xludf.DUMMYFUNCTION("""COMPUTED_VALUE"""),2.0)</f>
        <v>2</v>
      </c>
      <c r="M662" s="3" t="str">
        <f>IFERROR(__xludf.DUMMYFUNCTION("""COMPUTED_VALUE"""),"น.อ.หญิง นิตยา สุขแสน")</f>
        <v>น.อ.หญิง นิตยา สุขแสน</v>
      </c>
      <c r="N662" s="14" t="str">
        <f>IFERROR(__xludf.DUMMYFUNCTION("""COMPUTED_VALUE"""),"https://lh5.googleusercontent.com/d/1jKF79xOWAJnLZOxh52jJ00Zffu1f2AnB")</f>
        <v>https://lh5.googleusercontent.com/d/1jKF79xOWAJnLZOxh52jJ00Zffu1f2AnB</v>
      </c>
      <c r="O662" s="14" t="str">
        <f>IFERROR(__xludf.DUMMYFUNCTION("""COMPUTED_VALUE"""),"https://drive.google.com/file/d/1KbB0XtyqajRJyeO-d9bo32PMrv6HtmaH/view?usp=drivesdk")</f>
        <v>https://drive.google.com/file/d/1KbB0XtyqajRJyeO-d9bo32PMrv6HtmaH/view?usp=drivesdk</v>
      </c>
    </row>
    <row r="663">
      <c r="A663" s="3">
        <f>IFERROR(__xludf.DUMMYFUNCTION("""COMPUTED_VALUE"""),2544.0)</f>
        <v>2544</v>
      </c>
      <c r="B663" s="11">
        <f>IFERROR(__xludf.DUMMYFUNCTION("""COMPUTED_VALUE"""),46174.39464157407)</f>
        <v>46174.39464</v>
      </c>
      <c r="C663" s="3" t="str">
        <f>IFERROR(__xludf.DUMMYFUNCTION("""COMPUTED_VALUE"""),"ชั้นปีที่ 1")</f>
        <v>ชั้นปีที่ 1</v>
      </c>
      <c r="D663" s="3" t="str">
        <f>IFERROR(__xludf.DUMMYFUNCTION("""COMPUTED_VALUE"""),"6803899")</f>
        <v>6803899</v>
      </c>
      <c r="E663" s="3" t="str">
        <f>IFERROR(__xludf.DUMMYFUNCTION("""COMPUTED_VALUE"""),"18")</f>
        <v>18</v>
      </c>
      <c r="F663" s="3" t="str">
        <f>IFERROR(__xludf.DUMMYFUNCTION("""COMPUTED_VALUE"""),"นพอ.ณัฐณิชา มีปา")</f>
        <v>นพอ.ณัฐณิชา มีปา</v>
      </c>
      <c r="G6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3" s="3" t="str">
        <f>IFERROR(__xludf.DUMMYFUNCTION("""COMPUTED_VALUE"""),"Be Green Markets")</f>
        <v>Be Green Markets</v>
      </c>
      <c r="I663" s="3" t="str">
        <f>IFERROR(__xludf.DUMMYFUNCTION("""COMPUTED_VALUE"""),"อาคารอเนกประสงค์ชาวฟ้า สโมสรทหารอากาศชั้นประทวน")</f>
        <v>อาคารอเนกประสงค์ชาวฟ้า สโมสรทหารอากาศชั้นประทวน</v>
      </c>
      <c r="J663" s="12">
        <f>IFERROR(__xludf.DUMMYFUNCTION("""COMPUTED_VALUE"""),46134.0)</f>
        <v>46134</v>
      </c>
      <c r="K663" s="3" t="str">
        <f>IFERROR(__xludf.DUMMYFUNCTION("""COMPUTED_VALUE"""),"0800-1500")</f>
        <v>0800-1500</v>
      </c>
      <c r="L663" s="3">
        <f>IFERROR(__xludf.DUMMYFUNCTION("""COMPUTED_VALUE"""),8.0)</f>
        <v>8</v>
      </c>
      <c r="M663" s="3" t="str">
        <f>IFERROR(__xludf.DUMMYFUNCTION("""COMPUTED_VALUE"""),"ร.อ.ฤทธิพล อ้วนสิงห์")</f>
        <v>ร.อ.ฤทธิพล อ้วนสิงห์</v>
      </c>
      <c r="N663" s="14" t="str">
        <f>IFERROR(__xludf.DUMMYFUNCTION("""COMPUTED_VALUE"""),"https://lh5.googleusercontent.com/d/16E6hEDg95lEO_PfIscGPb_xxBkUPN5RP")</f>
        <v>https://lh5.googleusercontent.com/d/16E6hEDg95lEO_PfIscGPb_xxBkUPN5RP</v>
      </c>
      <c r="O663" s="14" t="str">
        <f>IFERROR(__xludf.DUMMYFUNCTION("""COMPUTED_VALUE"""),"https://drive.google.com/file/d/1bwZv-4t_L2upUXFt4k5piE-JQBxO6BRW/view?usp=drivesdk")</f>
        <v>https://drive.google.com/file/d/1bwZv-4t_L2upUXFt4k5piE-JQBxO6BRW/view?usp=drivesdk</v>
      </c>
    </row>
    <row r="664">
      <c r="A664" s="3">
        <f>IFERROR(__xludf.DUMMYFUNCTION("""COMPUTED_VALUE"""),2545.0)</f>
        <v>2545</v>
      </c>
      <c r="B664" s="11">
        <f>IFERROR(__xludf.DUMMYFUNCTION("""COMPUTED_VALUE"""),46174.40359927084)</f>
        <v>46174.4036</v>
      </c>
      <c r="C664" s="3" t="str">
        <f>IFERROR(__xludf.DUMMYFUNCTION("""COMPUTED_VALUE"""),"ชั้นปีที่ 1")</f>
        <v>ชั้นปีที่ 1</v>
      </c>
      <c r="D664" s="3" t="str">
        <f>IFERROR(__xludf.DUMMYFUNCTION("""COMPUTED_VALUE"""),"6803901")</f>
        <v>6803901</v>
      </c>
      <c r="E664" s="3" t="str">
        <f>IFERROR(__xludf.DUMMYFUNCTION("""COMPUTED_VALUE"""),"20")</f>
        <v>20</v>
      </c>
      <c r="F664" s="3" t="str">
        <f>IFERROR(__xludf.DUMMYFUNCTION("""COMPUTED_VALUE"""),"นพอ.ณัฐริกา วัฒนสมบัติ")</f>
        <v>นพอ.ณัฐริกา วัฒนสมบัติ</v>
      </c>
      <c r="G66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64" s="3" t="str">
        <f>IFERROR(__xludf.DUMMYFUNCTION("""COMPUTED_VALUE"""),"เสาร์ประทีป")</f>
        <v>เสาร์ประทีป</v>
      </c>
      <c r="I664" s="3" t="str">
        <f>IFERROR(__xludf.DUMMYFUNCTION("""COMPUTED_VALUE"""),"โรงเรียนนายร้อยพระจุลจอมเกล้า")</f>
        <v>โรงเรียนนายร้อยพระจุลจอมเกล้า</v>
      </c>
      <c r="J664" s="12">
        <f>IFERROR(__xludf.DUMMYFUNCTION("""COMPUTED_VALUE"""),46172.0)</f>
        <v>46172</v>
      </c>
      <c r="K664" s="3" t="str">
        <f>IFERROR(__xludf.DUMMYFUNCTION("""COMPUTED_VALUE"""),"0800-1200")</f>
        <v>0800-1200</v>
      </c>
      <c r="L664" s="3">
        <f>IFERROR(__xludf.DUMMYFUNCTION("""COMPUTED_VALUE"""),4.0)</f>
        <v>4</v>
      </c>
      <c r="M66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64" s="14" t="str">
        <f>IFERROR(__xludf.DUMMYFUNCTION("""COMPUTED_VALUE"""),"https://lh5.googleusercontent.com/d/153HXDRnpllrCUUJno9cUrHSKIG6QtFfY")</f>
        <v>https://lh5.googleusercontent.com/d/153HXDRnpllrCUUJno9cUrHSKIG6QtFfY</v>
      </c>
      <c r="O664" s="14" t="str">
        <f>IFERROR(__xludf.DUMMYFUNCTION("""COMPUTED_VALUE"""),"https://drive.google.com/file/d/1MbVPIqASTFM2b7e8qkGYfuemxCN_UgNA/view?usp=drivesdk")</f>
        <v>https://drive.google.com/file/d/1MbVPIqASTFM2b7e8qkGYfuemxCN_UgNA/view?usp=drivesdk</v>
      </c>
    </row>
    <row r="665">
      <c r="A665" s="3">
        <f>IFERROR(__xludf.DUMMYFUNCTION("""COMPUTED_VALUE"""),2550.0)</f>
        <v>2550</v>
      </c>
      <c r="B665" s="11">
        <f>IFERROR(__xludf.DUMMYFUNCTION("""COMPUTED_VALUE"""),46174.49285436343)</f>
        <v>46174.49285</v>
      </c>
      <c r="C665" s="3" t="str">
        <f>IFERROR(__xludf.DUMMYFUNCTION("""COMPUTED_VALUE"""),"ชั้นปีที่ 1")</f>
        <v>ชั้นปีที่ 1</v>
      </c>
      <c r="D665" s="3" t="str">
        <f>IFERROR(__xludf.DUMMYFUNCTION("""COMPUTED_VALUE"""),"6803890")</f>
        <v>6803890</v>
      </c>
      <c r="E665" s="3" t="str">
        <f>IFERROR(__xludf.DUMMYFUNCTION("""COMPUTED_VALUE"""),"9")</f>
        <v>9</v>
      </c>
      <c r="F665" s="3" t="str">
        <f>IFERROR(__xludf.DUMMYFUNCTION("""COMPUTED_VALUE"""),"นพอ.จักรพงศ์ ปรีชาคม")</f>
        <v>นพอ.จักรพงศ์ ปรีชาคม</v>
      </c>
      <c r="G665" s="3" t="str">
        <f>IFERROR(__xludf.DUMMYFUNCTION("""COMPUTED_VALUE"""),"งานฟรีทั่วไป")</f>
        <v>งานฟรีทั่วไป</v>
      </c>
      <c r="H665" s="3" t="str">
        <f>IFERROR(__xludf.DUMMYFUNCTION("""COMPUTED_VALUE"""),"กวาดบ้าน")</f>
        <v>กวาดบ้าน</v>
      </c>
      <c r="I665" s="3" t="str">
        <f>IFERROR(__xludf.DUMMYFUNCTION("""COMPUTED_VALUE"""),"บ้าน")</f>
        <v>บ้าน</v>
      </c>
      <c r="J665" s="12">
        <f>IFERROR(__xludf.DUMMYFUNCTION("""COMPUTED_VALUE"""),46151.0)</f>
        <v>46151</v>
      </c>
      <c r="K665" s="3" t="str">
        <f>IFERROR(__xludf.DUMMYFUNCTION("""COMPUTED_VALUE"""),"0800-0900")</f>
        <v>0800-0900</v>
      </c>
      <c r="L665" s="3">
        <f>IFERROR(__xludf.DUMMYFUNCTION("""COMPUTED_VALUE"""),1.0)</f>
        <v>1</v>
      </c>
      <c r="M665" s="3" t="str">
        <f>IFERROR(__xludf.DUMMYFUNCTION("""COMPUTED_VALUE"""),"นายชำนาญ ปรีชาคม")</f>
        <v>นายชำนาญ ปรีชาคม</v>
      </c>
      <c r="N665" s="14" t="str">
        <f>IFERROR(__xludf.DUMMYFUNCTION("""COMPUTED_VALUE"""),"https://lh5.googleusercontent.com/d/1HvPH90hl4He2dq2GyTlJK_HnK4Zx8ush")</f>
        <v>https://lh5.googleusercontent.com/d/1HvPH90hl4He2dq2GyTlJK_HnK4Zx8ush</v>
      </c>
      <c r="O665" s="14" t="str">
        <f>IFERROR(__xludf.DUMMYFUNCTION("""COMPUTED_VALUE"""),"https://drive.google.com/file/d/1XzCc5UgUSl8wC0EFBWtHzSU0cL8_78oR/view?usp=drivesdk")</f>
        <v>https://drive.google.com/file/d/1XzCc5UgUSl8wC0EFBWtHzSU0cL8_78oR/view?usp=drivesdk</v>
      </c>
    </row>
    <row r="666">
      <c r="A666" s="3">
        <f>IFERROR(__xludf.DUMMYFUNCTION("""COMPUTED_VALUE"""),2551.0)</f>
        <v>2551</v>
      </c>
      <c r="B666" s="11">
        <f>IFERROR(__xludf.DUMMYFUNCTION("""COMPUTED_VALUE"""),46174.49430943287)</f>
        <v>46174.49431</v>
      </c>
      <c r="C666" s="3" t="str">
        <f>IFERROR(__xludf.DUMMYFUNCTION("""COMPUTED_VALUE"""),"ชั้นปีที่ 1")</f>
        <v>ชั้นปีที่ 1</v>
      </c>
      <c r="D666" s="3" t="str">
        <f>IFERROR(__xludf.DUMMYFUNCTION("""COMPUTED_VALUE"""),"6803890")</f>
        <v>6803890</v>
      </c>
      <c r="E666" s="3" t="str">
        <f>IFERROR(__xludf.DUMMYFUNCTION("""COMPUTED_VALUE"""),"9")</f>
        <v>9</v>
      </c>
      <c r="F666" s="3" t="str">
        <f>IFERROR(__xludf.DUMMYFUNCTION("""COMPUTED_VALUE"""),"นพอ.จักรพงศ์ ปรีชาคม")</f>
        <v>นพอ.จักรพงศ์ ปรีชาคม</v>
      </c>
      <c r="G666" s="3" t="str">
        <f>IFERROR(__xludf.DUMMYFUNCTION("""COMPUTED_VALUE"""),"งานฟรีทั่วไป")</f>
        <v>งานฟรีทั่วไป</v>
      </c>
      <c r="H666" s="3" t="str">
        <f>IFERROR(__xludf.DUMMYFUNCTION("""COMPUTED_VALUE"""),"ถูบ้าน")</f>
        <v>ถูบ้าน</v>
      </c>
      <c r="I666" s="3" t="str">
        <f>IFERROR(__xludf.DUMMYFUNCTION("""COMPUTED_VALUE"""),"บ้าน")</f>
        <v>บ้าน</v>
      </c>
      <c r="J666" s="12">
        <f>IFERROR(__xludf.DUMMYFUNCTION("""COMPUTED_VALUE"""),46173.0)</f>
        <v>46173</v>
      </c>
      <c r="K666" s="3" t="str">
        <f>IFERROR(__xludf.DUMMYFUNCTION("""COMPUTED_VALUE"""),"0900-1000")</f>
        <v>0900-1000</v>
      </c>
      <c r="L666" s="3">
        <f>IFERROR(__xludf.DUMMYFUNCTION("""COMPUTED_VALUE"""),1.0)</f>
        <v>1</v>
      </c>
      <c r="M666" s="3" t="str">
        <f>IFERROR(__xludf.DUMMYFUNCTION("""COMPUTED_VALUE"""),"นายชำนาญ ปรีชาคม")</f>
        <v>นายชำนาญ ปรีชาคม</v>
      </c>
      <c r="N666" s="14" t="str">
        <f>IFERROR(__xludf.DUMMYFUNCTION("""COMPUTED_VALUE"""),"https://lh5.googleusercontent.com/d/1nFS_ogeZFqEyUZE5vSq2uJfLmDMLLZRJ")</f>
        <v>https://lh5.googleusercontent.com/d/1nFS_ogeZFqEyUZE5vSq2uJfLmDMLLZRJ</v>
      </c>
      <c r="O666" s="14" t="str">
        <f>IFERROR(__xludf.DUMMYFUNCTION("""COMPUTED_VALUE"""),"https://drive.google.com/file/d/1UUVYk-CegwyGuIfL3LTEfj0gIPl9X26W/view?usp=drivesdk")</f>
        <v>https://drive.google.com/file/d/1UUVYk-CegwyGuIfL3LTEfj0gIPl9X26W/view?usp=drivesdk</v>
      </c>
    </row>
    <row r="667">
      <c r="A667" s="3">
        <f>IFERROR(__xludf.DUMMYFUNCTION("""COMPUTED_VALUE"""),2552.0)</f>
        <v>2552</v>
      </c>
      <c r="B667" s="11">
        <f>IFERROR(__xludf.DUMMYFUNCTION("""COMPUTED_VALUE"""),46174.49577158565)</f>
        <v>46174.49577</v>
      </c>
      <c r="C667" s="3" t="str">
        <f>IFERROR(__xludf.DUMMYFUNCTION("""COMPUTED_VALUE"""),"ชั้นปีที่ 1")</f>
        <v>ชั้นปีที่ 1</v>
      </c>
      <c r="D667" s="3" t="str">
        <f>IFERROR(__xludf.DUMMYFUNCTION("""COMPUTED_VALUE"""),"6803890")</f>
        <v>6803890</v>
      </c>
      <c r="E667" s="3" t="str">
        <f>IFERROR(__xludf.DUMMYFUNCTION("""COMPUTED_VALUE"""),"9")</f>
        <v>9</v>
      </c>
      <c r="F667" s="3" t="str">
        <f>IFERROR(__xludf.DUMMYFUNCTION("""COMPUTED_VALUE"""),"นพอ.จักรพงศ์ ปรีชาคม")</f>
        <v>นพอ.จักรพงศ์ ปรีชาคม</v>
      </c>
      <c r="G667" s="3" t="str">
        <f>IFERROR(__xludf.DUMMYFUNCTION("""COMPUTED_VALUE"""),"งานฟรีทั่วไป")</f>
        <v>งานฟรีทั่วไป</v>
      </c>
      <c r="H667" s="3" t="str">
        <f>IFERROR(__xludf.DUMMYFUNCTION("""COMPUTED_VALUE"""),"ล้างจาน")</f>
        <v>ล้างจาน</v>
      </c>
      <c r="I667" s="3" t="str">
        <f>IFERROR(__xludf.DUMMYFUNCTION("""COMPUTED_VALUE"""),"บ้าน")</f>
        <v>บ้าน</v>
      </c>
      <c r="J667" s="12">
        <f>IFERROR(__xludf.DUMMYFUNCTION("""COMPUTED_VALUE"""),46172.0)</f>
        <v>46172</v>
      </c>
      <c r="K667" s="3" t="str">
        <f>IFERROR(__xludf.DUMMYFUNCTION("""COMPUTED_VALUE"""),"1100-1200")</f>
        <v>1100-1200</v>
      </c>
      <c r="L667" s="3">
        <f>IFERROR(__xludf.DUMMYFUNCTION("""COMPUTED_VALUE"""),1.0)</f>
        <v>1</v>
      </c>
      <c r="M667" s="3" t="str">
        <f>IFERROR(__xludf.DUMMYFUNCTION("""COMPUTED_VALUE"""),"นายชำนาญ ปรีชาคม")</f>
        <v>นายชำนาญ ปรีชาคม</v>
      </c>
      <c r="N667" s="14" t="str">
        <f>IFERROR(__xludf.DUMMYFUNCTION("""COMPUTED_VALUE"""),"https://lh5.googleusercontent.com/d/1gbXFToQzTnuzACxlKN1I8UKLryWoixUI")</f>
        <v>https://lh5.googleusercontent.com/d/1gbXFToQzTnuzACxlKN1I8UKLryWoixUI</v>
      </c>
      <c r="O667" s="14" t="str">
        <f>IFERROR(__xludf.DUMMYFUNCTION("""COMPUTED_VALUE"""),"https://drive.google.com/file/d/1N9xwBCFLLgSroBKsj0IFNHbk6NYH7t3a/view?usp=drivesdk")</f>
        <v>https://drive.google.com/file/d/1N9xwBCFLLgSroBKsj0IFNHbk6NYH7t3a/view?usp=drivesdk</v>
      </c>
    </row>
    <row r="668">
      <c r="A668" s="3">
        <f>IFERROR(__xludf.DUMMYFUNCTION("""COMPUTED_VALUE"""),2553.0)</f>
        <v>2553</v>
      </c>
      <c r="B668" s="11">
        <f>IFERROR(__xludf.DUMMYFUNCTION("""COMPUTED_VALUE"""),46174.4971541088)</f>
        <v>46174.49715</v>
      </c>
      <c r="C668" s="3" t="str">
        <f>IFERROR(__xludf.DUMMYFUNCTION("""COMPUTED_VALUE"""),"ชั้นปีที่ 1")</f>
        <v>ชั้นปีที่ 1</v>
      </c>
      <c r="D668" s="3" t="str">
        <f>IFERROR(__xludf.DUMMYFUNCTION("""COMPUTED_VALUE"""),"6803890")</f>
        <v>6803890</v>
      </c>
      <c r="E668" s="3" t="str">
        <f>IFERROR(__xludf.DUMMYFUNCTION("""COMPUTED_VALUE"""),"9")</f>
        <v>9</v>
      </c>
      <c r="F668" s="3" t="str">
        <f>IFERROR(__xludf.DUMMYFUNCTION("""COMPUTED_VALUE"""),"นพอ.จักรพงศ์ ปรีชาคม")</f>
        <v>นพอ.จักรพงศ์ ปรีชาคม</v>
      </c>
      <c r="G668" s="3" t="str">
        <f>IFERROR(__xludf.DUMMYFUNCTION("""COMPUTED_VALUE"""),"งานฟรีทั่วไป")</f>
        <v>งานฟรีทั่วไป</v>
      </c>
      <c r="H668" s="3" t="str">
        <f>IFERROR(__xludf.DUMMYFUNCTION("""COMPUTED_VALUE"""),"กรอกน้ำ")</f>
        <v>กรอกน้ำ</v>
      </c>
      <c r="I668" s="3" t="str">
        <f>IFERROR(__xludf.DUMMYFUNCTION("""COMPUTED_VALUE"""),"บ้าน")</f>
        <v>บ้าน</v>
      </c>
      <c r="J668" s="12">
        <f>IFERROR(__xludf.DUMMYFUNCTION("""COMPUTED_VALUE"""),46173.0)</f>
        <v>46173</v>
      </c>
      <c r="K668" s="3" t="str">
        <f>IFERROR(__xludf.DUMMYFUNCTION("""COMPUTED_VALUE"""),"2000-2100")</f>
        <v>2000-2100</v>
      </c>
      <c r="L668" s="3">
        <f>IFERROR(__xludf.DUMMYFUNCTION("""COMPUTED_VALUE"""),1.0)</f>
        <v>1</v>
      </c>
      <c r="M668" s="3" t="str">
        <f>IFERROR(__xludf.DUMMYFUNCTION("""COMPUTED_VALUE"""),"นายชำนาญ ปรีชาคม")</f>
        <v>นายชำนาญ ปรีชาคม</v>
      </c>
      <c r="N668" s="14" t="str">
        <f>IFERROR(__xludf.DUMMYFUNCTION("""COMPUTED_VALUE"""),"https://lh5.googleusercontent.com/d/1tCoQJEGamPKlmo2QU7cbsWIYOdMsDOVR")</f>
        <v>https://lh5.googleusercontent.com/d/1tCoQJEGamPKlmo2QU7cbsWIYOdMsDOVR</v>
      </c>
      <c r="O668" s="14" t="str">
        <f>IFERROR(__xludf.DUMMYFUNCTION("""COMPUTED_VALUE"""),"https://drive.google.com/file/d/1oLGW6ljHykpOu9s4p-Ru2v2Zyg9eXk4t/view?usp=drivesdk")</f>
        <v>https://drive.google.com/file/d/1oLGW6ljHykpOu9s4p-Ru2v2Zyg9eXk4t/view?usp=drivesdk</v>
      </c>
    </row>
    <row r="669">
      <c r="A669" s="3">
        <f>IFERROR(__xludf.DUMMYFUNCTION("""COMPUTED_VALUE"""),2554.0)</f>
        <v>2554</v>
      </c>
      <c r="B669" s="11">
        <f>IFERROR(__xludf.DUMMYFUNCTION("""COMPUTED_VALUE"""),46174.536346759254)</f>
        <v>46174.53635</v>
      </c>
      <c r="C669" s="3" t="str">
        <f>IFERROR(__xludf.DUMMYFUNCTION("""COMPUTED_VALUE"""),"ชั้นปีที่ 1")</f>
        <v>ชั้นปีที่ 1</v>
      </c>
      <c r="D669" s="3" t="str">
        <f>IFERROR(__xludf.DUMMYFUNCTION("""COMPUTED_VALUE"""),"6803940")</f>
        <v>6803940</v>
      </c>
      <c r="E669" s="3" t="str">
        <f>IFERROR(__xludf.DUMMYFUNCTION("""COMPUTED_VALUE"""),"59")</f>
        <v>59</v>
      </c>
      <c r="F669" s="3" t="str">
        <f>IFERROR(__xludf.DUMMYFUNCTION("""COMPUTED_VALUE"""),"นพอ.หฤทชนัน อุทกัง")</f>
        <v>นพอ.หฤทชนัน อุทกัง</v>
      </c>
      <c r="G669" s="3" t="str">
        <f>IFERROR(__xludf.DUMMYFUNCTION("""COMPUTED_VALUE"""),"งานฟรีทั่วไป")</f>
        <v>งานฟรีทั่วไป</v>
      </c>
      <c r="H669" s="3" t="str">
        <f>IFERROR(__xludf.DUMMYFUNCTION("""COMPUTED_VALUE"""),"ย้อมผมให้พ่อ")</f>
        <v>ย้อมผมให้พ่อ</v>
      </c>
      <c r="I669" s="3" t="str">
        <f>IFERROR(__xludf.DUMMYFUNCTION("""COMPUTED_VALUE"""),"บ้าน")</f>
        <v>บ้าน</v>
      </c>
      <c r="J669" s="12">
        <f>IFERROR(__xludf.DUMMYFUNCTION("""COMPUTED_VALUE"""),46174.0)</f>
        <v>46174</v>
      </c>
      <c r="K669" s="3" t="str">
        <f>IFERROR(__xludf.DUMMYFUNCTION("""COMPUTED_VALUE"""),"0800 - 1000")</f>
        <v>0800 - 1000</v>
      </c>
      <c r="L669" s="3">
        <f>IFERROR(__xludf.DUMMYFUNCTION("""COMPUTED_VALUE"""),2.0)</f>
        <v>2</v>
      </c>
      <c r="M669" s="3" t="str">
        <f>IFERROR(__xludf.DUMMYFUNCTION("""COMPUTED_VALUE"""),"นายพิศณุ อุทกัง")</f>
        <v>นายพิศณุ อุทกัง</v>
      </c>
      <c r="N669" s="14" t="str">
        <f>IFERROR(__xludf.DUMMYFUNCTION("""COMPUTED_VALUE"""),"https://lh5.googleusercontent.com/d/1FPAO0fwF8He3c9FYB6P1RSFuFtBpjPhy")</f>
        <v>https://lh5.googleusercontent.com/d/1FPAO0fwF8He3c9FYB6P1RSFuFtBpjPhy</v>
      </c>
      <c r="O669" s="14" t="str">
        <f>IFERROR(__xludf.DUMMYFUNCTION("""COMPUTED_VALUE"""),"https://drive.google.com/file/d/1-zW2-dFQGQtQiV9ACQmyob7TYQIC-2HU/view?usp=drivesdk")</f>
        <v>https://drive.google.com/file/d/1-zW2-dFQGQtQiV9ACQmyob7TYQIC-2HU/view?usp=drivesdk</v>
      </c>
    </row>
    <row r="670">
      <c r="A670" s="3">
        <f>IFERROR(__xludf.DUMMYFUNCTION("""COMPUTED_VALUE"""),2556.0)</f>
        <v>2556</v>
      </c>
      <c r="B670" s="11">
        <f>IFERROR(__xludf.DUMMYFUNCTION("""COMPUTED_VALUE"""),46174.54238486111)</f>
        <v>46174.54238</v>
      </c>
      <c r="C670" s="3" t="str">
        <f>IFERROR(__xludf.DUMMYFUNCTION("""COMPUTED_VALUE"""),"ชั้นปีที่ 1")</f>
        <v>ชั้นปีที่ 1</v>
      </c>
      <c r="D670" s="3" t="str">
        <f>IFERROR(__xludf.DUMMYFUNCTION("""COMPUTED_VALUE"""),"6803940")</f>
        <v>6803940</v>
      </c>
      <c r="E670" s="3" t="str">
        <f>IFERROR(__xludf.DUMMYFUNCTION("""COMPUTED_VALUE"""),"59")</f>
        <v>59</v>
      </c>
      <c r="F670" s="3" t="str">
        <f>IFERROR(__xludf.DUMMYFUNCTION("""COMPUTED_VALUE"""),"นพอ.หฤทชนัน อุทกัง")</f>
        <v>นพอ.หฤทชนัน อุทกัง</v>
      </c>
      <c r="G670" s="3" t="str">
        <f>IFERROR(__xludf.DUMMYFUNCTION("""COMPUTED_VALUE"""),"งานฟรีทั่วไป")</f>
        <v>งานฟรีทั่วไป</v>
      </c>
      <c r="H670" s="3" t="str">
        <f>IFERROR(__xludf.DUMMYFUNCTION("""COMPUTED_VALUE"""),"กวาดบ้าน")</f>
        <v>กวาดบ้าน</v>
      </c>
      <c r="I670" s="3" t="str">
        <f>IFERROR(__xludf.DUMMYFUNCTION("""COMPUTED_VALUE"""),"บ้าน")</f>
        <v>บ้าน</v>
      </c>
      <c r="J670" s="12">
        <f>IFERROR(__xludf.DUMMYFUNCTION("""COMPUTED_VALUE"""),46174.0)</f>
        <v>46174</v>
      </c>
      <c r="K670" s="3" t="str">
        <f>IFERROR(__xludf.DUMMYFUNCTION("""COMPUTED_VALUE"""),"1030 - 1230")</f>
        <v>1030 - 1230</v>
      </c>
      <c r="L670" s="3">
        <f>IFERROR(__xludf.DUMMYFUNCTION("""COMPUTED_VALUE"""),2.0)</f>
        <v>2</v>
      </c>
      <c r="M670" s="3" t="str">
        <f>IFERROR(__xludf.DUMMYFUNCTION("""COMPUTED_VALUE"""),"นางจารุวรรณ อุทกัง")</f>
        <v>นางจารุวรรณ อุทกัง</v>
      </c>
      <c r="N670" s="14" t="str">
        <f>IFERROR(__xludf.DUMMYFUNCTION("""COMPUTED_VALUE"""),"https://lh5.googleusercontent.com/d/1mSVSWmrXzjlNhaL-R8xTOsMAcXO51rKJ")</f>
        <v>https://lh5.googleusercontent.com/d/1mSVSWmrXzjlNhaL-R8xTOsMAcXO51rKJ</v>
      </c>
      <c r="O670" s="14" t="str">
        <f>IFERROR(__xludf.DUMMYFUNCTION("""COMPUTED_VALUE"""),"https://drive.google.com/file/d/1On5Px61ALLDu4KYK0oJRD3UeMk3KRSt9/view?usp=drivesdk")</f>
        <v>https://drive.google.com/file/d/1On5Px61ALLDu4KYK0oJRD3UeMk3KRSt9/view?usp=drivesdk</v>
      </c>
    </row>
    <row r="671">
      <c r="A671" s="3">
        <f>IFERROR(__xludf.DUMMYFUNCTION("""COMPUTED_VALUE"""),2557.0)</f>
        <v>2557</v>
      </c>
      <c r="B671" s="11">
        <f>IFERROR(__xludf.DUMMYFUNCTION("""COMPUTED_VALUE"""),46174.59364728009)</f>
        <v>46174.59365</v>
      </c>
      <c r="C671" s="3" t="str">
        <f>IFERROR(__xludf.DUMMYFUNCTION("""COMPUTED_VALUE"""),"ชั้นปีที่ 1")</f>
        <v>ชั้นปีที่ 1</v>
      </c>
      <c r="D671" s="3" t="str">
        <f>IFERROR(__xludf.DUMMYFUNCTION("""COMPUTED_VALUE"""),"6803898")</f>
        <v>6803898</v>
      </c>
      <c r="E671" s="3" t="str">
        <f>IFERROR(__xludf.DUMMYFUNCTION("""COMPUTED_VALUE"""),"17")</f>
        <v>17</v>
      </c>
      <c r="F671" s="3" t="str">
        <f>IFERROR(__xludf.DUMMYFUNCTION("""COMPUTED_VALUE"""),"นพอ.ณัฐณิชา ทิพย์โอสถ")</f>
        <v>นพอ.ณัฐณิชา ทิพย์โอสถ</v>
      </c>
      <c r="G67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1" s="3" t="str">
        <f>IFERROR(__xludf.DUMMYFUNCTION("""COMPUTED_VALUE"""),"เสาร์ประทีบ")</f>
        <v>เสาร์ประทีบ</v>
      </c>
      <c r="I671" s="3" t="str">
        <f>IFERROR(__xludf.DUMMYFUNCTION("""COMPUTED_VALUE"""),"โรงเรียนนายร้อยพระพระจุลจอมเกล้า")</f>
        <v>โรงเรียนนายร้อยพระพระจุลจอมเกล้า</v>
      </c>
      <c r="J671" s="12">
        <f>IFERROR(__xludf.DUMMYFUNCTION("""COMPUTED_VALUE"""),46172.0)</f>
        <v>46172</v>
      </c>
      <c r="K671" s="3" t="str">
        <f>IFERROR(__xludf.DUMMYFUNCTION("""COMPUTED_VALUE"""),"0800-1200")</f>
        <v>0800-1200</v>
      </c>
      <c r="L671" s="3">
        <f>IFERROR(__xludf.DUMMYFUNCTION("""COMPUTED_VALUE"""),4.0)</f>
        <v>4</v>
      </c>
      <c r="M67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1" s="14" t="str">
        <f>IFERROR(__xludf.DUMMYFUNCTION("""COMPUTED_VALUE"""),"https://lh5.googleusercontent.com/d/14PqarxJQjRd0ONcNKHKt7uTvza23Uxi3")</f>
        <v>https://lh5.googleusercontent.com/d/14PqarxJQjRd0ONcNKHKt7uTvza23Uxi3</v>
      </c>
      <c r="O671" s="14" t="str">
        <f>IFERROR(__xludf.DUMMYFUNCTION("""COMPUTED_VALUE"""),"https://drive.google.com/file/d/1uZX9_AXvPrOOVZ-UZVGBlgnbpC9aGNT3/view?usp=drivesdk")</f>
        <v>https://drive.google.com/file/d/1uZX9_AXvPrOOVZ-UZVGBlgnbpC9aGNT3/view?usp=drivesdk</v>
      </c>
    </row>
    <row r="672">
      <c r="A672" s="3">
        <f>IFERROR(__xludf.DUMMYFUNCTION("""COMPUTED_VALUE"""),2558.0)</f>
        <v>2558</v>
      </c>
      <c r="B672" s="11">
        <f>IFERROR(__xludf.DUMMYFUNCTION("""COMPUTED_VALUE"""),46174.67092428241)</f>
        <v>46174.67092</v>
      </c>
      <c r="C672" s="3" t="str">
        <f>IFERROR(__xludf.DUMMYFUNCTION("""COMPUTED_VALUE"""),"ชั้นปีที่ 1")</f>
        <v>ชั้นปีที่ 1</v>
      </c>
      <c r="D672" s="3" t="str">
        <f>IFERROR(__xludf.DUMMYFUNCTION("""COMPUTED_VALUE"""),"6803923")</f>
        <v>6803923</v>
      </c>
      <c r="E672" s="3" t="str">
        <f>IFERROR(__xludf.DUMMYFUNCTION("""COMPUTED_VALUE"""),"42")</f>
        <v>42</v>
      </c>
      <c r="F672" s="3" t="str">
        <f>IFERROR(__xludf.DUMMYFUNCTION("""COMPUTED_VALUE"""),"นพอ.พิมพ์ณัฐชยา มนนามอญ")</f>
        <v>นพอ.พิมพ์ณัฐชยา มนนามอญ</v>
      </c>
      <c r="G672" s="3" t="str">
        <f>IFERROR(__xludf.DUMMYFUNCTION("""COMPUTED_VALUE"""),"ช่วยเหลืองานภายใน วพอ.")</f>
        <v>ช่วยเหลืองานภายใน วพอ.</v>
      </c>
      <c r="H672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72" s="3" t="str">
        <f>IFERROR(__xludf.DUMMYFUNCTION("""COMPUTED_VALUE"""),"ลานข้างหอพัก")</f>
        <v>ลานข้างหอพัก</v>
      </c>
      <c r="J672" s="12">
        <f>IFERROR(__xludf.DUMMYFUNCTION("""COMPUTED_VALUE"""),46164.0)</f>
        <v>46164</v>
      </c>
      <c r="K672" s="3" t="str">
        <f>IFERROR(__xludf.DUMMYFUNCTION("""COMPUTED_VALUE"""),"1500-1700")</f>
        <v>1500-1700</v>
      </c>
      <c r="L672" s="3">
        <f>IFERROR(__xludf.DUMMYFUNCTION("""COMPUTED_VALUE"""),2.0)</f>
        <v>2</v>
      </c>
      <c r="M672" s="3" t="str">
        <f>IFERROR(__xludf.DUMMYFUNCTION("""COMPUTED_VALUE"""),"น.อ.หญิง นิตยา สุขแสน")</f>
        <v>น.อ.หญิง นิตยา สุขแสน</v>
      </c>
      <c r="N672" s="14" t="str">
        <f>IFERROR(__xludf.DUMMYFUNCTION("""COMPUTED_VALUE"""),"https://lh5.googleusercontent.com/d/1wlF-juwpoSa-_QJgg__QOzvxb9zP2-i_")</f>
        <v>https://lh5.googleusercontent.com/d/1wlF-juwpoSa-_QJgg__QOzvxb9zP2-i_</v>
      </c>
      <c r="O672" s="14" t="str">
        <f>IFERROR(__xludf.DUMMYFUNCTION("""COMPUTED_VALUE"""),"https://drive.google.com/file/d/1tfvwSCGpDRwxWZJN-OtH_K_-g2_BjIFh/view?usp=drivesdk")</f>
        <v>https://drive.google.com/file/d/1tfvwSCGpDRwxWZJN-OtH_K_-g2_BjIFh/view?usp=drivesdk</v>
      </c>
    </row>
    <row r="673">
      <c r="A673" s="3">
        <f>IFERROR(__xludf.DUMMYFUNCTION("""COMPUTED_VALUE"""),2559.0)</f>
        <v>2559</v>
      </c>
      <c r="B673" s="11">
        <f>IFERROR(__xludf.DUMMYFUNCTION("""COMPUTED_VALUE"""),46174.67262979167)</f>
        <v>46174.67263</v>
      </c>
      <c r="C673" s="3" t="str">
        <f>IFERROR(__xludf.DUMMYFUNCTION("""COMPUTED_VALUE"""),"ชั้นปีที่ 1")</f>
        <v>ชั้นปีที่ 1</v>
      </c>
      <c r="D673" s="3" t="str">
        <f>IFERROR(__xludf.DUMMYFUNCTION("""COMPUTED_VALUE"""),"6803923")</f>
        <v>6803923</v>
      </c>
      <c r="E673" s="3" t="str">
        <f>IFERROR(__xludf.DUMMYFUNCTION("""COMPUTED_VALUE"""),"42")</f>
        <v>42</v>
      </c>
      <c r="F673" s="3" t="str">
        <f>IFERROR(__xludf.DUMMYFUNCTION("""COMPUTED_VALUE"""),"นพอ.พิมพ์ณัฐชยา มนนามอญ")</f>
        <v>นพอ.พิมพ์ณัฐชยา มนนามอญ</v>
      </c>
      <c r="G673" s="3" t="str">
        <f>IFERROR(__xludf.DUMMYFUNCTION("""COMPUTED_VALUE"""),"ช่วยเหลืองานภายใน วพอ.")</f>
        <v>ช่วยเหลืองานภายใน วพอ.</v>
      </c>
      <c r="H673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73" s="3" t="str">
        <f>IFERROR(__xludf.DUMMYFUNCTION("""COMPUTED_VALUE"""),"วพอ.พอ.")</f>
        <v>วพอ.พอ.</v>
      </c>
      <c r="J673" s="12">
        <f>IFERROR(__xludf.DUMMYFUNCTION("""COMPUTED_VALUE"""),46031.0)</f>
        <v>46031</v>
      </c>
      <c r="K673" s="3" t="str">
        <f>IFERROR(__xludf.DUMMYFUNCTION("""COMPUTED_VALUE"""),"1100-1200")</f>
        <v>1100-1200</v>
      </c>
      <c r="L673" s="3">
        <f>IFERROR(__xludf.DUMMYFUNCTION("""COMPUTED_VALUE"""),4.0)</f>
        <v>4</v>
      </c>
      <c r="M67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3" s="14" t="str">
        <f>IFERROR(__xludf.DUMMYFUNCTION("""COMPUTED_VALUE"""),"https://lh5.googleusercontent.com/d/1mLIrwg4-3Xnig7S_nFZ2g8EqIcOJaYod")</f>
        <v>https://lh5.googleusercontent.com/d/1mLIrwg4-3Xnig7S_nFZ2g8EqIcOJaYod</v>
      </c>
      <c r="O673" s="14" t="str">
        <f>IFERROR(__xludf.DUMMYFUNCTION("""COMPUTED_VALUE"""),"https://drive.google.com/file/d/1VEcm7I0RYeCUzp3LLB1KtpvEGAmhDeAc/view?usp=drivesdk")</f>
        <v>https://drive.google.com/file/d/1VEcm7I0RYeCUzp3LLB1KtpvEGAmhDeAc/view?usp=drivesdk</v>
      </c>
    </row>
    <row r="674">
      <c r="A674" s="3">
        <f>IFERROR(__xludf.DUMMYFUNCTION("""COMPUTED_VALUE"""),2560.0)</f>
        <v>2560</v>
      </c>
      <c r="B674" s="11">
        <f>IFERROR(__xludf.DUMMYFUNCTION("""COMPUTED_VALUE"""),46174.83812090278)</f>
        <v>46174.83812</v>
      </c>
      <c r="C674" s="3" t="str">
        <f>IFERROR(__xludf.DUMMYFUNCTION("""COMPUTED_VALUE"""),"ชั้นปีที่ 1")</f>
        <v>ชั้นปีที่ 1</v>
      </c>
      <c r="D674" s="3" t="str">
        <f>IFERROR(__xludf.DUMMYFUNCTION("""COMPUTED_VALUE"""),"6803905")</f>
        <v>6803905</v>
      </c>
      <c r="E674" s="3" t="str">
        <f>IFERROR(__xludf.DUMMYFUNCTION("""COMPUTED_VALUE"""),"24")</f>
        <v>24</v>
      </c>
      <c r="F674" s="3" t="str">
        <f>IFERROR(__xludf.DUMMYFUNCTION("""COMPUTED_VALUE"""),"นพอ.ธนพล เสือน้อย")</f>
        <v>นพอ.ธนพล เสือน้อย</v>
      </c>
      <c r="G674" s="3" t="str">
        <f>IFERROR(__xludf.DUMMYFUNCTION("""COMPUTED_VALUE"""),"ช่วยเหลืองานภายใน วพอ.")</f>
        <v>ช่วยเหลืองานภายใน วพอ.</v>
      </c>
      <c r="H674" s="3" t="str">
        <f>IFERROR(__xludf.DUMMYFUNCTION("""COMPUTED_VALUE"""),"เก็บหินข้างลานหอพัก")</f>
        <v>เก็บหินข้างลานหอพัก</v>
      </c>
      <c r="I674" s="3" t="str">
        <f>IFERROR(__xludf.DUMMYFUNCTION("""COMPUTED_VALUE"""),"ลานข้างหอพัก")</f>
        <v>ลานข้างหอพัก</v>
      </c>
      <c r="J674" s="12">
        <f>IFERROR(__xludf.DUMMYFUNCTION("""COMPUTED_VALUE"""),46171.0)</f>
        <v>46171</v>
      </c>
      <c r="K674" s="3" t="str">
        <f>IFERROR(__xludf.DUMMYFUNCTION("""COMPUTED_VALUE"""),"1400-1700")</f>
        <v>1400-1700</v>
      </c>
      <c r="L674" s="3">
        <f>IFERROR(__xludf.DUMMYFUNCTION("""COMPUTED_VALUE"""),3.0)</f>
        <v>3</v>
      </c>
      <c r="M674" s="3" t="str">
        <f>IFERROR(__xludf.DUMMYFUNCTION("""COMPUTED_VALUE"""),"น.อ.หญิง นิตยา สุขแสน")</f>
        <v>น.อ.หญิง นิตยา สุขแสน</v>
      </c>
      <c r="N674" s="14" t="str">
        <f>IFERROR(__xludf.DUMMYFUNCTION("""COMPUTED_VALUE"""),"https://lh5.googleusercontent.com/d/1N7JXLBuGZAgdCSA4MHqw-CEImfOyYWl_")</f>
        <v>https://lh5.googleusercontent.com/d/1N7JXLBuGZAgdCSA4MHqw-CEImfOyYWl_</v>
      </c>
      <c r="O674" s="14" t="str">
        <f>IFERROR(__xludf.DUMMYFUNCTION("""COMPUTED_VALUE"""),"https://drive.google.com/file/d/1EVYrO7sE-udZWUFJqL-1_jSpeU9UzgrR/view?usp=drivesdk")</f>
        <v>https://drive.google.com/file/d/1EVYrO7sE-udZWUFJqL-1_jSpeU9UzgrR/view?usp=drivesdk</v>
      </c>
    </row>
    <row r="675">
      <c r="A675" s="3">
        <f>IFERROR(__xludf.DUMMYFUNCTION("""COMPUTED_VALUE"""),2561.0)</f>
        <v>2561</v>
      </c>
      <c r="B675" s="11">
        <f>IFERROR(__xludf.DUMMYFUNCTION("""COMPUTED_VALUE"""),46174.898005752315)</f>
        <v>46174.89801</v>
      </c>
      <c r="C675" s="3" t="str">
        <f>IFERROR(__xludf.DUMMYFUNCTION("""COMPUTED_VALUE"""),"ชั้นปีที่ 1")</f>
        <v>ชั้นปีที่ 1</v>
      </c>
      <c r="D675" s="3" t="str">
        <f>IFERROR(__xludf.DUMMYFUNCTION("""COMPUTED_VALUE"""),"6803895")</f>
        <v>6803895</v>
      </c>
      <c r="E675" s="3" t="str">
        <f>IFERROR(__xludf.DUMMYFUNCTION("""COMPUTED_VALUE"""),"14")</f>
        <v>14</v>
      </c>
      <c r="F675" s="3" t="str">
        <f>IFERROR(__xludf.DUMMYFUNCTION("""COMPUTED_VALUE"""),"นพอ.ณัชชา ยอดรัตน์")</f>
        <v>นพอ.ณัชชา ยอดรัตน์</v>
      </c>
      <c r="G675" s="3" t="str">
        <f>IFERROR(__xludf.DUMMYFUNCTION("""COMPUTED_VALUE"""),"ช่วยเหลืองานภายใน วพอ.")</f>
        <v>ช่วยเหลืองานภายใน วพอ.</v>
      </c>
      <c r="H675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75" s="3" t="str">
        <f>IFERROR(__xludf.DUMMYFUNCTION("""COMPUTED_VALUE"""),"ลานข้างหอพัก")</f>
        <v>ลานข้างหอพัก</v>
      </c>
      <c r="J675" s="12">
        <f>IFERROR(__xludf.DUMMYFUNCTION("""COMPUTED_VALUE"""),46164.0)</f>
        <v>46164</v>
      </c>
      <c r="K675" s="3" t="str">
        <f>IFERROR(__xludf.DUMMYFUNCTION("""COMPUTED_VALUE"""),"1500-1700")</f>
        <v>1500-1700</v>
      </c>
      <c r="L675" s="3">
        <f>IFERROR(__xludf.DUMMYFUNCTION("""COMPUTED_VALUE"""),2.0)</f>
        <v>2</v>
      </c>
      <c r="M675" s="3" t="str">
        <f>IFERROR(__xludf.DUMMYFUNCTION("""COMPUTED_VALUE"""),"น.อ.หญิง นิตยา สุขแสน")</f>
        <v>น.อ.หญิง นิตยา สุขแสน</v>
      </c>
      <c r="N675" s="14" t="str">
        <f>IFERROR(__xludf.DUMMYFUNCTION("""COMPUTED_VALUE"""),"https://lh5.googleusercontent.com/d/1JvDrY9RQ7u-luqEisd19XWvKcP1VJ8LG")</f>
        <v>https://lh5.googleusercontent.com/d/1JvDrY9RQ7u-luqEisd19XWvKcP1VJ8LG</v>
      </c>
      <c r="O675" s="14" t="str">
        <f>IFERROR(__xludf.DUMMYFUNCTION("""COMPUTED_VALUE"""),"https://drive.google.com/file/d/1zdXSpPf2nf7CGtT10EE42zfXKe519Hob/view?usp=drivesdk")</f>
        <v>https://drive.google.com/file/d/1zdXSpPf2nf7CGtT10EE42zfXKe519Hob/view?usp=drivesdk</v>
      </c>
    </row>
    <row r="676">
      <c r="A676" s="3">
        <f>IFERROR(__xludf.DUMMYFUNCTION("""COMPUTED_VALUE"""),2716.0)</f>
        <v>2716</v>
      </c>
      <c r="B676" s="11">
        <f>IFERROR(__xludf.DUMMYFUNCTION("""COMPUTED_VALUE"""),46175.76582840277)</f>
        <v>46175.76583</v>
      </c>
      <c r="C676" s="3" t="str">
        <f>IFERROR(__xludf.DUMMYFUNCTION("""COMPUTED_VALUE"""),"ชั้นปีที่ 1")</f>
        <v>ชั้นปีที่ 1</v>
      </c>
      <c r="D676" s="3" t="str">
        <f>IFERROR(__xludf.DUMMYFUNCTION("""COMPUTED_VALUE"""),"6803922")</f>
        <v>6803922</v>
      </c>
      <c r="E676" s="3" t="str">
        <f>IFERROR(__xludf.DUMMYFUNCTION("""COMPUTED_VALUE"""),"41")</f>
        <v>41</v>
      </c>
      <c r="F676" s="3" t="str">
        <f>IFERROR(__xludf.DUMMYFUNCTION("""COMPUTED_VALUE"""),"นพอ.พินิษา อินทร์ศวร")</f>
        <v>นพอ.พินิษา อินทร์ศวร</v>
      </c>
      <c r="G676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676" s="3" t="str">
        <f>IFERROR(__xludf.DUMMYFUNCTION("""COMPUTED_VALUE"""),"บริจาคเลือด")</f>
        <v>บริจาคเลือด</v>
      </c>
      <c r="I676" s="3" t="str">
        <f>IFERROR(__xludf.DUMMYFUNCTION("""COMPUTED_VALUE"""),"ศูนย์การแพทย์สมเด็จพระเทพรัตนราชสุดาฯ สยามบรมราชกุมารี")</f>
        <v>ศูนย์การแพทย์สมเด็จพระเทพรัตนราชสุดาฯ สยามบรมราชกุมารี</v>
      </c>
      <c r="J676" s="12">
        <f>IFERROR(__xludf.DUMMYFUNCTION("""COMPUTED_VALUE"""),46102.0)</f>
        <v>46102</v>
      </c>
      <c r="K676" s="3" t="str">
        <f>IFERROR(__xludf.DUMMYFUNCTION("""COMPUTED_VALUE"""),"08.00-12.00")</f>
        <v>08.00-12.00</v>
      </c>
      <c r="L676" s="3">
        <f>IFERROR(__xludf.DUMMYFUNCTION("""COMPUTED_VALUE"""),8.0)</f>
        <v>8</v>
      </c>
      <c r="M676" s="3" t="str">
        <f>IFERROR(__xludf.DUMMYFUNCTION("""COMPUTED_VALUE"""),"นพอ.พินิษา อินทร์ศวร")</f>
        <v>นพอ.พินิษา อินทร์ศวร</v>
      </c>
      <c r="N676" s="14" t="str">
        <f>IFERROR(__xludf.DUMMYFUNCTION("""COMPUTED_VALUE"""),"https://lh5.googleusercontent.com/d/1aDz16DC5eoF8BLD76P0ULYaTXC1K7CeW")</f>
        <v>https://lh5.googleusercontent.com/d/1aDz16DC5eoF8BLD76P0ULYaTXC1K7CeW</v>
      </c>
      <c r="O676" s="14" t="str">
        <f>IFERROR(__xludf.DUMMYFUNCTION("""COMPUTED_VALUE"""),"https://drive.google.com/file/d/1VcAtXdxWNf6Fo1OooefyhyM_HobfiQg6/view?usp=drivesdk")</f>
        <v>https://drive.google.com/file/d/1VcAtXdxWNf6Fo1OooefyhyM_HobfiQg6/view?usp=drivesdk</v>
      </c>
    </row>
    <row r="677">
      <c r="A677" s="3">
        <f>IFERROR(__xludf.DUMMYFUNCTION("""COMPUTED_VALUE"""),2718.0)</f>
        <v>2718</v>
      </c>
      <c r="B677" s="11">
        <f>IFERROR(__xludf.DUMMYFUNCTION("""COMPUTED_VALUE"""),46175.76878465278)</f>
        <v>46175.76878</v>
      </c>
      <c r="C677" s="3" t="str">
        <f>IFERROR(__xludf.DUMMYFUNCTION("""COMPUTED_VALUE"""),"ชั้นปีที่ 1")</f>
        <v>ชั้นปีที่ 1</v>
      </c>
      <c r="D677" s="3" t="str">
        <f>IFERROR(__xludf.DUMMYFUNCTION("""COMPUTED_VALUE"""),"6803922")</f>
        <v>6803922</v>
      </c>
      <c r="E677" s="3" t="str">
        <f>IFERROR(__xludf.DUMMYFUNCTION("""COMPUTED_VALUE"""),"41")</f>
        <v>41</v>
      </c>
      <c r="F677" s="3" t="str">
        <f>IFERROR(__xludf.DUMMYFUNCTION("""COMPUTED_VALUE"""),"นพอ.พินิษา อินทร์ศวร")</f>
        <v>นพอ.พินิษา อินทร์ศวร</v>
      </c>
      <c r="G677" s="3" t="str">
        <f>IFERROR(__xludf.DUMMYFUNCTION("""COMPUTED_VALUE"""),"ช่วยเหลืองานภายใน วพอ.")</f>
        <v>ช่วยเหลืองานภายใน วพอ.</v>
      </c>
      <c r="H677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77" s="3" t="str">
        <f>IFERROR(__xludf.DUMMYFUNCTION("""COMPUTED_VALUE"""),"วพอ.พอ.")</f>
        <v>วพอ.พอ.</v>
      </c>
      <c r="J677" s="12">
        <f>IFERROR(__xludf.DUMMYFUNCTION("""COMPUTED_VALUE"""),46164.0)</f>
        <v>46164</v>
      </c>
      <c r="K677" s="3" t="str">
        <f>IFERROR(__xludf.DUMMYFUNCTION("""COMPUTED_VALUE"""),"1500-1700")</f>
        <v>1500-1700</v>
      </c>
      <c r="L677" s="3">
        <f>IFERROR(__xludf.DUMMYFUNCTION("""COMPUTED_VALUE"""),2.0)</f>
        <v>2</v>
      </c>
      <c r="M677" s="3" t="str">
        <f>IFERROR(__xludf.DUMMYFUNCTION("""COMPUTED_VALUE"""),"น.อ.หญิงนิตยา สุขแสน")</f>
        <v>น.อ.หญิงนิตยา สุขแสน</v>
      </c>
      <c r="N677" s="14" t="str">
        <f>IFERROR(__xludf.DUMMYFUNCTION("""COMPUTED_VALUE"""),"https://lh5.googleusercontent.com/d/1rkpzd3P0QMlRyHhgmM-VT4wkXRUyQ83A")</f>
        <v>https://lh5.googleusercontent.com/d/1rkpzd3P0QMlRyHhgmM-VT4wkXRUyQ83A</v>
      </c>
      <c r="O677" s="14" t="str">
        <f>IFERROR(__xludf.DUMMYFUNCTION("""COMPUTED_VALUE"""),"https://drive.google.com/file/d/1LMTgE9mUvaVwwQmXbo9kd1XgxdHXIhw1/view?usp=drivesdk")</f>
        <v>https://drive.google.com/file/d/1LMTgE9mUvaVwwQmXbo9kd1XgxdHXIhw1/view?usp=drivesdk</v>
      </c>
    </row>
    <row r="678">
      <c r="A678" s="3">
        <f>IFERROR(__xludf.DUMMYFUNCTION("""COMPUTED_VALUE"""),2725.0)</f>
        <v>2725</v>
      </c>
      <c r="B678" s="11">
        <f>IFERROR(__xludf.DUMMYFUNCTION("""COMPUTED_VALUE"""),46175.84471842593)</f>
        <v>46175.84472</v>
      </c>
      <c r="C678" s="3" t="str">
        <f>IFERROR(__xludf.DUMMYFUNCTION("""COMPUTED_VALUE"""),"ชั้นปีที่ 1")</f>
        <v>ชั้นปีที่ 1</v>
      </c>
      <c r="D678" s="3" t="str">
        <f>IFERROR(__xludf.DUMMYFUNCTION("""COMPUTED_VALUE"""),"6803909")</f>
        <v>6803909</v>
      </c>
      <c r="E678" s="3" t="str">
        <f>IFERROR(__xludf.DUMMYFUNCTION("""COMPUTED_VALUE"""),"28")</f>
        <v>28</v>
      </c>
      <c r="F678" s="3" t="str">
        <f>IFERROR(__xludf.DUMMYFUNCTION("""COMPUTED_VALUE"""),"นวพร แซ่ห้าว")</f>
        <v>นวพร แซ่ห้าว</v>
      </c>
      <c r="G67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8" s="3" t="str">
        <f>IFERROR(__xludf.DUMMYFUNCTION("""COMPUTED_VALUE"""),"เสาร์ประทีป")</f>
        <v>เสาร์ประทีป</v>
      </c>
      <c r="I678" s="3" t="str">
        <f>IFERROR(__xludf.DUMMYFUNCTION("""COMPUTED_VALUE"""),"โรงเรียนนายร้อยพระจุลจอมเกล้า")</f>
        <v>โรงเรียนนายร้อยพระจุลจอมเกล้า</v>
      </c>
      <c r="J678" s="12">
        <f>IFERROR(__xludf.DUMMYFUNCTION("""COMPUTED_VALUE"""),46158.0)</f>
        <v>46158</v>
      </c>
      <c r="K678" s="3" t="str">
        <f>IFERROR(__xludf.DUMMYFUNCTION("""COMPUTED_VALUE"""),"0800-1200")</f>
        <v>0800-1200</v>
      </c>
      <c r="L678" s="3">
        <f>IFERROR(__xludf.DUMMYFUNCTION("""COMPUTED_VALUE"""),4.0)</f>
        <v>4</v>
      </c>
      <c r="M67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8" s="14" t="str">
        <f>IFERROR(__xludf.DUMMYFUNCTION("""COMPUTED_VALUE"""),"https://lh5.googleusercontent.com/d/1e5Sn_a21OuyQVRJKic10lnCJc7dVe19p")</f>
        <v>https://lh5.googleusercontent.com/d/1e5Sn_a21OuyQVRJKic10lnCJc7dVe19p</v>
      </c>
      <c r="O678" s="14" t="str">
        <f>IFERROR(__xludf.DUMMYFUNCTION("""COMPUTED_VALUE"""),"https://drive.google.com/file/d/1CxAqRUQWIJGQL84W8WsJgQIRU2wUMaNO/view?usp=drivesdk")</f>
        <v>https://drive.google.com/file/d/1CxAqRUQWIJGQL84W8WsJgQIRU2wUMaNO/view?usp=drivesdk</v>
      </c>
    </row>
    <row r="679">
      <c r="A679" s="3">
        <f>IFERROR(__xludf.DUMMYFUNCTION("""COMPUTED_VALUE"""),2726.0)</f>
        <v>2726</v>
      </c>
      <c r="B679" s="11">
        <f>IFERROR(__xludf.DUMMYFUNCTION("""COMPUTED_VALUE"""),46175.85180791667)</f>
        <v>46175.85181</v>
      </c>
      <c r="C679" s="3" t="str">
        <f>IFERROR(__xludf.DUMMYFUNCTION("""COMPUTED_VALUE"""),"ชั้นปีที่ 1")</f>
        <v>ชั้นปีที่ 1</v>
      </c>
      <c r="D679" s="3" t="str">
        <f>IFERROR(__xludf.DUMMYFUNCTION("""COMPUTED_VALUE"""),"6803909")</f>
        <v>6803909</v>
      </c>
      <c r="E679" s="3" t="str">
        <f>IFERROR(__xludf.DUMMYFUNCTION("""COMPUTED_VALUE"""),"28")</f>
        <v>28</v>
      </c>
      <c r="F679" s="3" t="str">
        <f>IFERROR(__xludf.DUMMYFUNCTION("""COMPUTED_VALUE"""),"นวพร แซ่ห้าว")</f>
        <v>นวพร แซ่ห้าว</v>
      </c>
      <c r="G67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79" s="3" t="str">
        <f>IFERROR(__xludf.DUMMYFUNCTION("""COMPUTED_VALUE"""),"ค่ายยุวชนพัฒนาครั้งที่ 215")</f>
        <v>ค่ายยุวชนพัฒนาครั้งที่ 215</v>
      </c>
      <c r="I679" s="3" t="str">
        <f>IFERROR(__xludf.DUMMYFUNCTION("""COMPUTED_VALUE"""),"วัดสามบัณฑิต จ.อยุธยส")</f>
        <v>วัดสามบัณฑิต จ.อยุธยส</v>
      </c>
      <c r="J679" s="12">
        <f>IFERROR(__xludf.DUMMYFUNCTION("""COMPUTED_VALUE"""),46136.0)</f>
        <v>46136</v>
      </c>
      <c r="K679" s="3" t="str">
        <f>IFERROR(__xludf.DUMMYFUNCTION("""COMPUTED_VALUE"""),"1600-2400")</f>
        <v>1600-2400</v>
      </c>
      <c r="L679" s="3">
        <f>IFERROR(__xludf.DUMMYFUNCTION("""COMPUTED_VALUE"""),8.0)</f>
        <v>8</v>
      </c>
      <c r="M67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79" s="14" t="str">
        <f>IFERROR(__xludf.DUMMYFUNCTION("""COMPUTED_VALUE"""),"https://lh5.googleusercontent.com/d/1NWJXWLreU3mJ-2TTC4fJfOa1fj1qrtCX")</f>
        <v>https://lh5.googleusercontent.com/d/1NWJXWLreU3mJ-2TTC4fJfOa1fj1qrtCX</v>
      </c>
      <c r="O679" s="14" t="str">
        <f>IFERROR(__xludf.DUMMYFUNCTION("""COMPUTED_VALUE"""),"https://drive.google.com/file/d/1dIiwNdtV3y_gTLEg54NdAqhCmawx19_l/view?usp=drivesdk")</f>
        <v>https://drive.google.com/file/d/1dIiwNdtV3y_gTLEg54NdAqhCmawx19_l/view?usp=drivesdk</v>
      </c>
    </row>
    <row r="680">
      <c r="A680" s="3">
        <f>IFERROR(__xludf.DUMMYFUNCTION("""COMPUTED_VALUE"""),2727.0)</f>
        <v>2727</v>
      </c>
      <c r="B680" s="11">
        <f>IFERROR(__xludf.DUMMYFUNCTION("""COMPUTED_VALUE"""),46175.85354950232)</f>
        <v>46175.85355</v>
      </c>
      <c r="C680" s="3" t="str">
        <f>IFERROR(__xludf.DUMMYFUNCTION("""COMPUTED_VALUE"""),"ชั้นปีที่ 1")</f>
        <v>ชั้นปีที่ 1</v>
      </c>
      <c r="D680" s="3" t="str">
        <f>IFERROR(__xludf.DUMMYFUNCTION("""COMPUTED_VALUE"""),"6803909")</f>
        <v>6803909</v>
      </c>
      <c r="E680" s="3" t="str">
        <f>IFERROR(__xludf.DUMMYFUNCTION("""COMPUTED_VALUE"""),"28")</f>
        <v>28</v>
      </c>
      <c r="F680" s="3" t="str">
        <f>IFERROR(__xludf.DUMMYFUNCTION("""COMPUTED_VALUE"""),"นวพร แซ่ห้าว")</f>
        <v>นวพร แซ่ห้าว</v>
      </c>
      <c r="G680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0" s="3" t="str">
        <f>IFERROR(__xludf.DUMMYFUNCTION("""COMPUTED_VALUE"""),"ค่ายยุวชนพัฒนาครั้งที่ 215")</f>
        <v>ค่ายยุวชนพัฒนาครั้งที่ 215</v>
      </c>
      <c r="I680" s="3" t="str">
        <f>IFERROR(__xludf.DUMMYFUNCTION("""COMPUTED_VALUE"""),"วัดสามบัณฑิต จ.อยุธยา")</f>
        <v>วัดสามบัณฑิต จ.อยุธยา</v>
      </c>
      <c r="J680" s="12">
        <f>IFERROR(__xludf.DUMMYFUNCTION("""COMPUTED_VALUE"""),46137.0)</f>
        <v>46137</v>
      </c>
      <c r="K680" s="3" t="str">
        <f>IFERROR(__xludf.DUMMYFUNCTION("""COMPUTED_VALUE"""),"0800-1600")</f>
        <v>0800-1600</v>
      </c>
      <c r="L680" s="3">
        <f>IFERROR(__xludf.DUMMYFUNCTION("""COMPUTED_VALUE"""),8.0)</f>
        <v>8</v>
      </c>
      <c r="M68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0" s="14" t="str">
        <f>IFERROR(__xludf.DUMMYFUNCTION("""COMPUTED_VALUE"""),"https://lh5.googleusercontent.com/d/1MvMsggv4jNLx1Dq_ap1q1Q0KS37ngDN0")</f>
        <v>https://lh5.googleusercontent.com/d/1MvMsggv4jNLx1Dq_ap1q1Q0KS37ngDN0</v>
      </c>
      <c r="O680" s="14" t="str">
        <f>IFERROR(__xludf.DUMMYFUNCTION("""COMPUTED_VALUE"""),"https://drive.google.com/file/d/1iCqqenW_ZWBL1XT55mn2tiPCb7EmdFe3/view?usp=drivesdk")</f>
        <v>https://drive.google.com/file/d/1iCqqenW_ZWBL1XT55mn2tiPCb7EmdFe3/view?usp=drivesdk</v>
      </c>
    </row>
    <row r="681">
      <c r="A681" s="3">
        <f>IFERROR(__xludf.DUMMYFUNCTION("""COMPUTED_VALUE"""),2729.0)</f>
        <v>2729</v>
      </c>
      <c r="B681" s="11">
        <f>IFERROR(__xludf.DUMMYFUNCTION("""COMPUTED_VALUE"""),46175.857533692135)</f>
        <v>46175.85753</v>
      </c>
      <c r="C681" s="3" t="str">
        <f>IFERROR(__xludf.DUMMYFUNCTION("""COMPUTED_VALUE"""),"ชั้นปีที่ 1")</f>
        <v>ชั้นปีที่ 1</v>
      </c>
      <c r="D681" s="3" t="str">
        <f>IFERROR(__xludf.DUMMYFUNCTION("""COMPUTED_VALUE"""),"6803909")</f>
        <v>6803909</v>
      </c>
      <c r="E681" s="3" t="str">
        <f>IFERROR(__xludf.DUMMYFUNCTION("""COMPUTED_VALUE"""),"28")</f>
        <v>28</v>
      </c>
      <c r="F681" s="3" t="str">
        <f>IFERROR(__xludf.DUMMYFUNCTION("""COMPUTED_VALUE"""),"นวพร แซ่ห้าว")</f>
        <v>นวพร แซ่ห้าว</v>
      </c>
      <c r="G681" s="3" t="str">
        <f>IFERROR(__xludf.DUMMYFUNCTION("""COMPUTED_VALUE"""),"ช่วยเหลืองานภายใน วพอ.")</f>
        <v>ช่วยเหลืองานภายใน วพอ.</v>
      </c>
      <c r="H68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81" s="3" t="str">
        <f>IFERROR(__xludf.DUMMYFUNCTION("""COMPUTED_VALUE"""),"วพอ.พอ.")</f>
        <v>วพอ.พอ.</v>
      </c>
      <c r="J681" s="12">
        <f>IFERROR(__xludf.DUMMYFUNCTION("""COMPUTED_VALUE"""),46133.0)</f>
        <v>46133</v>
      </c>
      <c r="K681" s="3" t="str">
        <f>IFERROR(__xludf.DUMMYFUNCTION("""COMPUTED_VALUE"""),"1700-2100")</f>
        <v>1700-2100</v>
      </c>
      <c r="L681" s="3">
        <f>IFERROR(__xludf.DUMMYFUNCTION("""COMPUTED_VALUE"""),4.0)</f>
        <v>4</v>
      </c>
      <c r="M681" s="3" t="str">
        <f>IFERROR(__xludf.DUMMYFUNCTION("""COMPUTED_VALUE"""),"ร.อ.อนุชิต ทำจะดี")</f>
        <v>ร.อ.อนุชิต ทำจะดี</v>
      </c>
      <c r="N681" s="14" t="str">
        <f>IFERROR(__xludf.DUMMYFUNCTION("""COMPUTED_VALUE"""),"https://lh5.googleusercontent.com/d/1aAhixaARuSNY_Fg-10y6UfJuTJlYotD8")</f>
        <v>https://lh5.googleusercontent.com/d/1aAhixaARuSNY_Fg-10y6UfJuTJlYotD8</v>
      </c>
      <c r="O681" s="14" t="str">
        <f>IFERROR(__xludf.DUMMYFUNCTION("""COMPUTED_VALUE"""),"https://drive.google.com/file/d/1j24Guvul8sRmXU6Fz_8GkOlSDwAsPRQv/view?usp=drivesdk")</f>
        <v>https://drive.google.com/file/d/1j24Guvul8sRmXU6Fz_8GkOlSDwAsPRQv/view?usp=drivesdk</v>
      </c>
    </row>
    <row r="682">
      <c r="A682" s="3">
        <f>IFERROR(__xludf.DUMMYFUNCTION("""COMPUTED_VALUE"""),2730.0)</f>
        <v>2730</v>
      </c>
      <c r="B682" s="11">
        <f>IFERROR(__xludf.DUMMYFUNCTION("""COMPUTED_VALUE"""),46175.85879983796)</f>
        <v>46175.8588</v>
      </c>
      <c r="C682" s="3" t="str">
        <f>IFERROR(__xludf.DUMMYFUNCTION("""COMPUTED_VALUE"""),"ชั้นปีที่ 1")</f>
        <v>ชั้นปีที่ 1</v>
      </c>
      <c r="D682" s="3" t="str">
        <f>IFERROR(__xludf.DUMMYFUNCTION("""COMPUTED_VALUE"""),"6803909")</f>
        <v>6803909</v>
      </c>
      <c r="E682" s="3" t="str">
        <f>IFERROR(__xludf.DUMMYFUNCTION("""COMPUTED_VALUE"""),"28")</f>
        <v>28</v>
      </c>
      <c r="F682" s="3" t="str">
        <f>IFERROR(__xludf.DUMMYFUNCTION("""COMPUTED_VALUE"""),"นวพร แซ่ห้าว")</f>
        <v>นวพร แซ่ห้าว</v>
      </c>
      <c r="G682" s="3" t="str">
        <f>IFERROR(__xludf.DUMMYFUNCTION("""COMPUTED_VALUE"""),"ช่วยเหลืองานภายใน วพอ.")</f>
        <v>ช่วยเหลืองานภายใน วพอ.</v>
      </c>
      <c r="H68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82" s="3" t="str">
        <f>IFERROR(__xludf.DUMMYFUNCTION("""COMPUTED_VALUE"""),"วพอ.พอ.")</f>
        <v>วพอ.พอ.</v>
      </c>
      <c r="J682" s="12">
        <f>IFERROR(__xludf.DUMMYFUNCTION("""COMPUTED_VALUE"""),46134.0)</f>
        <v>46134</v>
      </c>
      <c r="K682" s="3" t="str">
        <f>IFERROR(__xludf.DUMMYFUNCTION("""COMPUTED_VALUE"""),"1700-2100")</f>
        <v>1700-2100</v>
      </c>
      <c r="L682" s="3">
        <f>IFERROR(__xludf.DUMMYFUNCTION("""COMPUTED_VALUE"""),4.0)</f>
        <v>4</v>
      </c>
      <c r="M682" s="3" t="str">
        <f>IFERROR(__xludf.DUMMYFUNCTION("""COMPUTED_VALUE"""),"ร.อ.อนุชิต ทำจะดี")</f>
        <v>ร.อ.อนุชิต ทำจะดี</v>
      </c>
      <c r="N682" s="14" t="str">
        <f>IFERROR(__xludf.DUMMYFUNCTION("""COMPUTED_VALUE"""),"https://lh5.googleusercontent.com/d/1VeZn7Q1guXOHS948wlVFZe0u4oDiCTGh")</f>
        <v>https://lh5.googleusercontent.com/d/1VeZn7Q1guXOHS948wlVFZe0u4oDiCTGh</v>
      </c>
      <c r="O682" s="14" t="str">
        <f>IFERROR(__xludf.DUMMYFUNCTION("""COMPUTED_VALUE"""),"https://drive.google.com/file/d/1bP2m4S2FuYluXTf29gL1WmMiOWgunlgI/view?usp=drivesdk")</f>
        <v>https://drive.google.com/file/d/1bP2m4S2FuYluXTf29gL1WmMiOWgunlgI/view?usp=drivesdk</v>
      </c>
    </row>
    <row r="683">
      <c r="A683" s="3">
        <f>IFERROR(__xludf.DUMMYFUNCTION("""COMPUTED_VALUE"""),2731.0)</f>
        <v>2731</v>
      </c>
      <c r="B683" s="11">
        <f>IFERROR(__xludf.DUMMYFUNCTION("""COMPUTED_VALUE"""),46175.86285754629)</f>
        <v>46175.86286</v>
      </c>
      <c r="C683" s="3" t="str">
        <f>IFERROR(__xludf.DUMMYFUNCTION("""COMPUTED_VALUE"""),"ชั้นปีที่ 1")</f>
        <v>ชั้นปีที่ 1</v>
      </c>
      <c r="D683" s="3" t="str">
        <f>IFERROR(__xludf.DUMMYFUNCTION("""COMPUTED_VALUE"""),"6803909")</f>
        <v>6803909</v>
      </c>
      <c r="E683" s="3" t="str">
        <f>IFERROR(__xludf.DUMMYFUNCTION("""COMPUTED_VALUE"""),"28")</f>
        <v>28</v>
      </c>
      <c r="F683" s="3" t="str">
        <f>IFERROR(__xludf.DUMMYFUNCTION("""COMPUTED_VALUE"""),"นวพร แซ่ห้าว")</f>
        <v>นวพร แซ่ห้าว</v>
      </c>
      <c r="G683" s="3" t="str">
        <f>IFERROR(__xludf.DUMMYFUNCTION("""COMPUTED_VALUE"""),"ช่วยเหลืองานภายใน วพอ.")</f>
        <v>ช่วยเหลืองานภายใน วพอ.</v>
      </c>
      <c r="H68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83" s="3" t="str">
        <f>IFERROR(__xludf.DUMMYFUNCTION("""COMPUTED_VALUE"""),"วพอ.พอ.")</f>
        <v>วพอ.พอ.</v>
      </c>
      <c r="J683" s="12">
        <f>IFERROR(__xludf.DUMMYFUNCTION("""COMPUTED_VALUE"""),46135.0)</f>
        <v>46135</v>
      </c>
      <c r="K683" s="3" t="str">
        <f>IFERROR(__xludf.DUMMYFUNCTION("""COMPUTED_VALUE"""),"1700-2100")</f>
        <v>1700-2100</v>
      </c>
      <c r="L683" s="3">
        <f>IFERROR(__xludf.DUMMYFUNCTION("""COMPUTED_VALUE"""),4.0)</f>
        <v>4</v>
      </c>
      <c r="M683" s="3" t="str">
        <f>IFERROR(__xludf.DUMMYFUNCTION("""COMPUTED_VALUE"""),"ร.อ.อนุชิต ทำจะดี")</f>
        <v>ร.อ.อนุชิต ทำจะดี</v>
      </c>
      <c r="N683" s="14" t="str">
        <f>IFERROR(__xludf.DUMMYFUNCTION("""COMPUTED_VALUE"""),"https://lh5.googleusercontent.com/d/151ZcwxyaXMbiiseyyonos4b0rNkum7Ju")</f>
        <v>https://lh5.googleusercontent.com/d/151ZcwxyaXMbiiseyyonos4b0rNkum7Ju</v>
      </c>
      <c r="O683" s="14" t="str">
        <f>IFERROR(__xludf.DUMMYFUNCTION("""COMPUTED_VALUE"""),"https://drive.google.com/file/d/1q5f4YZlIAu94Z3rK6uwUxWDCRabbdmpD/view?usp=drivesdk")</f>
        <v>https://drive.google.com/file/d/1q5f4YZlIAu94Z3rK6uwUxWDCRabbdmpD/view?usp=drivesdk</v>
      </c>
    </row>
    <row r="684">
      <c r="A684" s="3">
        <f>IFERROR(__xludf.DUMMYFUNCTION("""COMPUTED_VALUE"""),2733.0)</f>
        <v>2733</v>
      </c>
      <c r="B684" s="11">
        <f>IFERROR(__xludf.DUMMYFUNCTION("""COMPUTED_VALUE"""),46175.86634508102)</f>
        <v>46175.86635</v>
      </c>
      <c r="C684" s="3" t="str">
        <f>IFERROR(__xludf.DUMMYFUNCTION("""COMPUTED_VALUE"""),"ชั้นปีที่ 1")</f>
        <v>ชั้นปีที่ 1</v>
      </c>
      <c r="D684" s="3" t="str">
        <f>IFERROR(__xludf.DUMMYFUNCTION("""COMPUTED_VALUE"""),"6803909")</f>
        <v>6803909</v>
      </c>
      <c r="E684" s="3" t="str">
        <f>IFERROR(__xludf.DUMMYFUNCTION("""COMPUTED_VALUE"""),"28")</f>
        <v>28</v>
      </c>
      <c r="F684" s="3" t="str">
        <f>IFERROR(__xludf.DUMMYFUNCTION("""COMPUTED_VALUE"""),"นวพร แซ่ห้าว")</f>
        <v>นวพร แซ่ห้าว</v>
      </c>
      <c r="G68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4" s="3" t="str">
        <f>IFERROR(__xludf.DUMMYFUNCTION("""COMPUTED_VALUE"""),"ค่ายยุวชนพัฒนาครั้งที่ 215")</f>
        <v>ค่ายยุวชนพัฒนาครั้งที่ 215</v>
      </c>
      <c r="I684" s="3" t="str">
        <f>IFERROR(__xludf.DUMMYFUNCTION("""COMPUTED_VALUE"""),"วัดสามบัณฑิต จ.อยุธยา")</f>
        <v>วัดสามบัณฑิต จ.อยุธยา</v>
      </c>
      <c r="J684" s="12">
        <f>IFERROR(__xludf.DUMMYFUNCTION("""COMPUTED_VALUE"""),46138.0)</f>
        <v>46138</v>
      </c>
      <c r="K684" s="3" t="str">
        <f>IFERROR(__xludf.DUMMYFUNCTION("""COMPUTED_VALUE"""),"0800-1600")</f>
        <v>0800-1600</v>
      </c>
      <c r="L684" s="3">
        <f>IFERROR(__xludf.DUMMYFUNCTION("""COMPUTED_VALUE"""),8.0)</f>
        <v>8</v>
      </c>
      <c r="M68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4" s="14" t="str">
        <f>IFERROR(__xludf.DUMMYFUNCTION("""COMPUTED_VALUE"""),"https://lh5.googleusercontent.com/d/1kTMqUx7FPHVi3o9cMkgk2uFQUjByOiyR")</f>
        <v>https://lh5.googleusercontent.com/d/1kTMqUx7FPHVi3o9cMkgk2uFQUjByOiyR</v>
      </c>
      <c r="O684" s="14" t="str">
        <f>IFERROR(__xludf.DUMMYFUNCTION("""COMPUTED_VALUE"""),"https://drive.google.com/file/d/14xIMmaCWLNTesIvKyOZcolzauJU1VvpP/view?usp=drivesdk")</f>
        <v>https://drive.google.com/file/d/14xIMmaCWLNTesIvKyOZcolzauJU1VvpP/view?usp=drivesdk</v>
      </c>
    </row>
    <row r="685">
      <c r="A685" s="3">
        <f>IFERROR(__xludf.DUMMYFUNCTION("""COMPUTED_VALUE"""),2734.0)</f>
        <v>2734</v>
      </c>
      <c r="B685" s="11">
        <f>IFERROR(__xludf.DUMMYFUNCTION("""COMPUTED_VALUE"""),46175.870408344905)</f>
        <v>46175.87041</v>
      </c>
      <c r="C685" s="3" t="str">
        <f>IFERROR(__xludf.DUMMYFUNCTION("""COMPUTED_VALUE"""),"ชั้นปีที่ 1")</f>
        <v>ชั้นปีที่ 1</v>
      </c>
      <c r="D685" s="3" t="str">
        <f>IFERROR(__xludf.DUMMYFUNCTION("""COMPUTED_VALUE"""),"6803909")</f>
        <v>6803909</v>
      </c>
      <c r="E685" s="3" t="str">
        <f>IFERROR(__xludf.DUMMYFUNCTION("""COMPUTED_VALUE"""),"28")</f>
        <v>28</v>
      </c>
      <c r="F685" s="3" t="str">
        <f>IFERROR(__xludf.DUMMYFUNCTION("""COMPUTED_VALUE"""),"นวพร แซ่ห้าว")</f>
        <v>นวพร แซ่ห้าว</v>
      </c>
      <c r="G68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85" s="3" t="str">
        <f>IFERROR(__xludf.DUMMYFUNCTION("""COMPUTED_VALUE"""),"พิธีเปิด-ปิดกีฬาภายในกองทัพ")</f>
        <v>พิธีเปิด-ปิดกีฬาภายในกองทัพ</v>
      </c>
      <c r="I685" s="3" t="str">
        <f>IFERROR(__xludf.DUMMYFUNCTION("""COMPUTED_VALUE"""),"สนามกีฬาธูปเตมีย์")</f>
        <v>สนามกีฬาธูปเตมีย์</v>
      </c>
      <c r="J685" s="12">
        <f>IFERROR(__xludf.DUMMYFUNCTION("""COMPUTED_VALUE"""),46078.0)</f>
        <v>46078</v>
      </c>
      <c r="K685" s="3" t="str">
        <f>IFERROR(__xludf.DUMMYFUNCTION("""COMPUTED_VALUE"""),"1200-2000")</f>
        <v>1200-2000</v>
      </c>
      <c r="L685" s="3">
        <f>IFERROR(__xludf.DUMMYFUNCTION("""COMPUTED_VALUE"""),8.0)</f>
        <v>8</v>
      </c>
      <c r="M68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85" s="14" t="str">
        <f>IFERROR(__xludf.DUMMYFUNCTION("""COMPUTED_VALUE"""),"https://lh5.googleusercontent.com/d/1EmI2hvZox-ckxqlzUl4X3rhVMdkyo6Me")</f>
        <v>https://lh5.googleusercontent.com/d/1EmI2hvZox-ckxqlzUl4X3rhVMdkyo6Me</v>
      </c>
      <c r="O685" s="14" t="str">
        <f>IFERROR(__xludf.DUMMYFUNCTION("""COMPUTED_VALUE"""),"https://drive.google.com/file/d/1RcExzVjFPWi754dCrQwGTTY5NiaTqWv-/view?usp=drivesdk")</f>
        <v>https://drive.google.com/file/d/1RcExzVjFPWi754dCrQwGTTY5NiaTqWv-/view?usp=drivesdk</v>
      </c>
    </row>
    <row r="686">
      <c r="A686" s="3">
        <f>IFERROR(__xludf.DUMMYFUNCTION("""COMPUTED_VALUE"""),2735.0)</f>
        <v>2735</v>
      </c>
      <c r="B686" s="11">
        <f>IFERROR(__xludf.DUMMYFUNCTION("""COMPUTED_VALUE"""),46175.87345516204)</f>
        <v>46175.87346</v>
      </c>
      <c r="C686" s="3" t="str">
        <f>IFERROR(__xludf.DUMMYFUNCTION("""COMPUTED_VALUE"""),"ชั้นปีที่ 1")</f>
        <v>ชั้นปีที่ 1</v>
      </c>
      <c r="D686" s="3" t="str">
        <f>IFERROR(__xludf.DUMMYFUNCTION("""COMPUTED_VALUE"""),"680399")</f>
        <v>680399</v>
      </c>
      <c r="E686" s="3" t="str">
        <f>IFERROR(__xludf.DUMMYFUNCTION("""COMPUTED_VALUE"""),"28")</f>
        <v>28</v>
      </c>
      <c r="F686" s="3" t="str">
        <f>IFERROR(__xludf.DUMMYFUNCTION("""COMPUTED_VALUE"""),"นวพร แซ่ห้าว")</f>
        <v>นวพร แซ่ห้าว</v>
      </c>
      <c r="G686" s="3" t="str">
        <f>IFERROR(__xludf.DUMMYFUNCTION("""COMPUTED_VALUE"""),"ช่วยเหลืองานภายใน วพอ.")</f>
        <v>ช่วยเหลืองานภายใน วพอ.</v>
      </c>
      <c r="H686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686" s="3" t="str">
        <f>IFERROR(__xludf.DUMMYFUNCTION("""COMPUTED_VALUE"""),"อาคารสำนักงานชั้น 4")</f>
        <v>อาคารสำนักงานชั้น 4</v>
      </c>
      <c r="J686" s="12">
        <f>IFERROR(__xludf.DUMMYFUNCTION("""COMPUTED_VALUE"""),46147.0)</f>
        <v>46147</v>
      </c>
      <c r="K686" s="3" t="str">
        <f>IFERROR(__xludf.DUMMYFUNCTION("""COMPUTED_VALUE"""),"1500-1800")</f>
        <v>1500-1800</v>
      </c>
      <c r="L686" s="3">
        <f>IFERROR(__xludf.DUMMYFUNCTION("""COMPUTED_VALUE"""),3.0)</f>
        <v>3</v>
      </c>
      <c r="M686" s="3" t="str">
        <f>IFERROR(__xludf.DUMMYFUNCTION("""COMPUTED_VALUE"""),"น.ต.ศักชัย บุญประสิทธิ์")</f>
        <v>น.ต.ศักชัย บุญประสิทธิ์</v>
      </c>
      <c r="N686" s="14" t="str">
        <f>IFERROR(__xludf.DUMMYFUNCTION("""COMPUTED_VALUE"""),"https://lh5.googleusercontent.com/d/18mdChjZhpZLKGQ_falnjDSsQaeHRqelD")</f>
        <v>https://lh5.googleusercontent.com/d/18mdChjZhpZLKGQ_falnjDSsQaeHRqelD</v>
      </c>
      <c r="O686" s="14" t="str">
        <f>IFERROR(__xludf.DUMMYFUNCTION("""COMPUTED_VALUE"""),"https://drive.google.com/file/d/1enZIDAY-1I1hN9AYo4Gi64JJPRqyJX81/view?usp=drivesdk")</f>
        <v>https://drive.google.com/file/d/1enZIDAY-1I1hN9AYo4Gi64JJPRqyJX81/view?usp=drivesdk</v>
      </c>
    </row>
    <row r="687">
      <c r="A687" s="3">
        <f>IFERROR(__xludf.DUMMYFUNCTION("""COMPUTED_VALUE"""),2736.0)</f>
        <v>2736</v>
      </c>
      <c r="B687" s="11">
        <f>IFERROR(__xludf.DUMMYFUNCTION("""COMPUTED_VALUE"""),46175.875351284725)</f>
        <v>46175.87535</v>
      </c>
      <c r="C687" s="3" t="str">
        <f>IFERROR(__xludf.DUMMYFUNCTION("""COMPUTED_VALUE"""),"ชั้นปีที่ 1")</f>
        <v>ชั้นปีที่ 1</v>
      </c>
      <c r="D687" s="3" t="str">
        <f>IFERROR(__xludf.DUMMYFUNCTION("""COMPUTED_VALUE"""),"6803909")</f>
        <v>6803909</v>
      </c>
      <c r="E687" s="3" t="str">
        <f>IFERROR(__xludf.DUMMYFUNCTION("""COMPUTED_VALUE"""),"28")</f>
        <v>28</v>
      </c>
      <c r="F687" s="3" t="str">
        <f>IFERROR(__xludf.DUMMYFUNCTION("""COMPUTED_VALUE"""),"นวพร แซ่ห้าว")</f>
        <v>นวพร แซ่ห้าว</v>
      </c>
      <c r="G687" s="3" t="str">
        <f>IFERROR(__xludf.DUMMYFUNCTION("""COMPUTED_VALUE"""),"ช่วยเหลืองานภายใน วพอ.")</f>
        <v>ช่วยเหลืองานภายใน วพอ.</v>
      </c>
      <c r="H687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87" s="3" t="str">
        <f>IFERROR(__xludf.DUMMYFUNCTION("""COMPUTED_VALUE"""),"หอประชุมธูปเตมีย์ รพ.ภูมิพล")</f>
        <v>หอประชุมธูปเตมีย์ รพ.ภูมิพล</v>
      </c>
      <c r="J687" s="12">
        <f>IFERROR(__xludf.DUMMYFUNCTION("""COMPUTED_VALUE"""),46139.0)</f>
        <v>46139</v>
      </c>
      <c r="K687" s="3" t="str">
        <f>IFERROR(__xludf.DUMMYFUNCTION("""COMPUTED_VALUE"""),"1700-2100")</f>
        <v>1700-2100</v>
      </c>
      <c r="L687" s="3">
        <f>IFERROR(__xludf.DUMMYFUNCTION("""COMPUTED_VALUE"""),4.0)</f>
        <v>4</v>
      </c>
      <c r="M687" s="3" t="str">
        <f>IFERROR(__xludf.DUMMYFUNCTION("""COMPUTED_VALUE"""),"ร.อ.อนุชิต ทำจะดี")</f>
        <v>ร.อ.อนุชิต ทำจะดี</v>
      </c>
      <c r="N687" s="14" t="str">
        <f>IFERROR(__xludf.DUMMYFUNCTION("""COMPUTED_VALUE"""),"https://lh5.googleusercontent.com/d/1mhSSVb60xMQRYkd8tQh_orqRq0FpcNVl")</f>
        <v>https://lh5.googleusercontent.com/d/1mhSSVb60xMQRYkd8tQh_orqRq0FpcNVl</v>
      </c>
      <c r="O687" s="14" t="str">
        <f>IFERROR(__xludf.DUMMYFUNCTION("""COMPUTED_VALUE"""),"https://drive.google.com/file/d/115jFhq_i7L-0uKXUquA6zotmtGq2wG42/view?usp=drivesdk")</f>
        <v>https://drive.google.com/file/d/115jFhq_i7L-0uKXUquA6zotmtGq2wG42/view?usp=drivesdk</v>
      </c>
    </row>
    <row r="688">
      <c r="A688" s="3">
        <f>IFERROR(__xludf.DUMMYFUNCTION("""COMPUTED_VALUE"""),2737.0)</f>
        <v>2737</v>
      </c>
      <c r="B688" s="11">
        <f>IFERROR(__xludf.DUMMYFUNCTION("""COMPUTED_VALUE"""),46175.88513333334)</f>
        <v>46175.88513</v>
      </c>
      <c r="C688" s="3" t="str">
        <f>IFERROR(__xludf.DUMMYFUNCTION("""COMPUTED_VALUE"""),"ชั้นปีที่ 1")</f>
        <v>ชั้นปีที่ 1</v>
      </c>
      <c r="D688" s="3" t="str">
        <f>IFERROR(__xludf.DUMMYFUNCTION("""COMPUTED_VALUE"""),"6803909")</f>
        <v>6803909</v>
      </c>
      <c r="E688" s="3" t="str">
        <f>IFERROR(__xludf.DUMMYFUNCTION("""COMPUTED_VALUE"""),"28")</f>
        <v>28</v>
      </c>
      <c r="F688" s="3" t="str">
        <f>IFERROR(__xludf.DUMMYFUNCTION("""COMPUTED_VALUE"""),"นวพร แซ่ห้าว")</f>
        <v>นวพร แซ่ห้าว</v>
      </c>
      <c r="G688" s="3" t="str">
        <f>IFERROR(__xludf.DUMMYFUNCTION("""COMPUTED_VALUE"""),"ช่วยเหลืองานภายใน วพอ.")</f>
        <v>ช่วยเหลืองานภายใน วพอ.</v>
      </c>
      <c r="H688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88" s="3" t="str">
        <f>IFERROR(__xludf.DUMMYFUNCTION("""COMPUTED_VALUE"""),"วพอ.พอ.")</f>
        <v>วพอ.พอ.</v>
      </c>
      <c r="J688" s="12">
        <f>IFERROR(__xludf.DUMMYFUNCTION("""COMPUTED_VALUE"""),46195.0)</f>
        <v>46195</v>
      </c>
      <c r="K688" s="3" t="str">
        <f>IFERROR(__xludf.DUMMYFUNCTION("""COMPUTED_VALUE"""),"1500-1700")</f>
        <v>1500-1700</v>
      </c>
      <c r="L688" s="3">
        <f>IFERROR(__xludf.DUMMYFUNCTION("""COMPUTED_VALUE"""),2.0)</f>
        <v>2</v>
      </c>
      <c r="M688" s="3" t="str">
        <f>IFERROR(__xludf.DUMMYFUNCTION("""COMPUTED_VALUE"""),"น.อ.หญิง นิตยา สุขแสน")</f>
        <v>น.อ.หญิง นิตยา สุขแสน</v>
      </c>
      <c r="N688" s="14" t="str">
        <f>IFERROR(__xludf.DUMMYFUNCTION("""COMPUTED_VALUE"""),"https://lh5.googleusercontent.com/d/1LCrEz8UmbcgX_8-9xI1CeGcXkOf61BBo")</f>
        <v>https://lh5.googleusercontent.com/d/1LCrEz8UmbcgX_8-9xI1CeGcXkOf61BBo</v>
      </c>
      <c r="O688" s="14" t="str">
        <f>IFERROR(__xludf.DUMMYFUNCTION("""COMPUTED_VALUE"""),"https://drive.google.com/file/d/1zq7nlyYK-T2yM_8td9vS7iA6HiKBJz8x/view?usp=drivesdk")</f>
        <v>https://drive.google.com/file/d/1zq7nlyYK-T2yM_8td9vS7iA6HiKBJz8x/view?usp=drivesdk</v>
      </c>
    </row>
    <row r="689">
      <c r="A689" s="3">
        <f>IFERROR(__xludf.DUMMYFUNCTION("""COMPUTED_VALUE"""),2739.0)</f>
        <v>2739</v>
      </c>
      <c r="B689" s="11">
        <f>IFERROR(__xludf.DUMMYFUNCTION("""COMPUTED_VALUE"""),46175.88983047453)</f>
        <v>46175.88983</v>
      </c>
      <c r="C689" s="3" t="str">
        <f>IFERROR(__xludf.DUMMYFUNCTION("""COMPUTED_VALUE"""),"ชั้นปีที่ 1")</f>
        <v>ชั้นปีที่ 1</v>
      </c>
      <c r="D689" s="3" t="str">
        <f>IFERROR(__xludf.DUMMYFUNCTION("""COMPUTED_VALUE"""),"6803882")</f>
        <v>6803882</v>
      </c>
      <c r="E689" s="3" t="str">
        <f>IFERROR(__xludf.DUMMYFUNCTION("""COMPUTED_VALUE"""),"1")</f>
        <v>1</v>
      </c>
      <c r="F689" s="3" t="str">
        <f>IFERROR(__xludf.DUMMYFUNCTION("""COMPUTED_VALUE"""),"นพอ.กมลฉัตร ชาสุรีย์")</f>
        <v>นพอ.กมลฉัตร ชาสุรีย์</v>
      </c>
      <c r="G689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689" s="3" t="str">
        <f>IFERROR(__xludf.DUMMYFUNCTION("""COMPUTED_VALUE"""),"ปูเตียงให้คุณแม่")</f>
        <v>ปูเตียงให้คุณแม่</v>
      </c>
      <c r="I689" s="3" t="str">
        <f>IFERROR(__xludf.DUMMYFUNCTION("""COMPUTED_VALUE"""),"บ้าน")</f>
        <v>บ้าน</v>
      </c>
      <c r="J689" s="12">
        <f>IFERROR(__xludf.DUMMYFUNCTION("""COMPUTED_VALUE"""),46157.0)</f>
        <v>46157</v>
      </c>
      <c r="K689" s="3" t="str">
        <f>IFERROR(__xludf.DUMMYFUNCTION("""COMPUTED_VALUE"""),"1900")</f>
        <v>1900</v>
      </c>
      <c r="L689" s="3">
        <f>IFERROR(__xludf.DUMMYFUNCTION("""COMPUTED_VALUE"""),2.0)</f>
        <v>2</v>
      </c>
      <c r="M689" s="3" t="str">
        <f>IFERROR(__xludf.DUMMYFUNCTION("""COMPUTED_VALUE"""),"นางอภิชญา ชาสุรีย์")</f>
        <v>นางอภิชญา ชาสุรีย์</v>
      </c>
      <c r="N689" s="14" t="str">
        <f>IFERROR(__xludf.DUMMYFUNCTION("""COMPUTED_VALUE"""),"https://lh5.googleusercontent.com/d/1yWSGQpKhObw3nimMPltwTfJFjXteKaMw")</f>
        <v>https://lh5.googleusercontent.com/d/1yWSGQpKhObw3nimMPltwTfJFjXteKaMw</v>
      </c>
      <c r="O689" s="14" t="str">
        <f>IFERROR(__xludf.DUMMYFUNCTION("""COMPUTED_VALUE"""),"https://drive.google.com/file/d/1Ko1gCzz9ujvciZaeH_dxs2Vys5Olph6T/view?usp=drivesdk")</f>
        <v>https://drive.google.com/file/d/1Ko1gCzz9ujvciZaeH_dxs2Vys5Olph6T/view?usp=drivesdk</v>
      </c>
    </row>
    <row r="690">
      <c r="A690" s="3">
        <f>IFERROR(__xludf.DUMMYFUNCTION("""COMPUTED_VALUE"""),2741.0)</f>
        <v>2741</v>
      </c>
      <c r="B690" s="11">
        <f>IFERROR(__xludf.DUMMYFUNCTION("""COMPUTED_VALUE"""),46175.936810486106)</f>
        <v>46175.93681</v>
      </c>
      <c r="C690" s="3" t="str">
        <f>IFERROR(__xludf.DUMMYFUNCTION("""COMPUTED_VALUE"""),"ชั้นปีที่ 1")</f>
        <v>ชั้นปีที่ 1</v>
      </c>
      <c r="D690" s="3" t="str">
        <f>IFERROR(__xludf.DUMMYFUNCTION("""COMPUTED_VALUE"""),"6803900")</f>
        <v>6803900</v>
      </c>
      <c r="E690" s="3" t="str">
        <f>IFERROR(__xludf.DUMMYFUNCTION("""COMPUTED_VALUE"""),"19")</f>
        <v>19</v>
      </c>
      <c r="F690" s="3" t="str">
        <f>IFERROR(__xludf.DUMMYFUNCTION("""COMPUTED_VALUE"""),"นพอ.ณัฐพัชร์ กาฬพรรณลึก")</f>
        <v>นพอ.ณัฐพัชร์ กาฬพรรณลึก</v>
      </c>
      <c r="G690" s="3" t="str">
        <f>IFERROR(__xludf.DUMMYFUNCTION("""COMPUTED_VALUE"""),"ช่วยเหลืองานภายใน วพอ.")</f>
        <v>ช่วยเหลืองานภายใน วพอ.</v>
      </c>
      <c r="H69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90" s="3" t="str">
        <f>IFERROR(__xludf.DUMMYFUNCTION("""COMPUTED_VALUE"""),"วพอ.พอ.")</f>
        <v>วพอ.พอ.</v>
      </c>
      <c r="J690" s="12">
        <f>IFERROR(__xludf.DUMMYFUNCTION("""COMPUTED_VALUE"""),46138.0)</f>
        <v>46138</v>
      </c>
      <c r="K690" s="3" t="str">
        <f>IFERROR(__xludf.DUMMYFUNCTION("""COMPUTED_VALUE"""),"1300-2100")</f>
        <v>1300-2100</v>
      </c>
      <c r="L690" s="3">
        <f>IFERROR(__xludf.DUMMYFUNCTION("""COMPUTED_VALUE"""),8.0)</f>
        <v>8</v>
      </c>
      <c r="M690" s="3" t="str">
        <f>IFERROR(__xludf.DUMMYFUNCTION("""COMPUTED_VALUE"""),"ร.อ.อนุชิต ทำจะดี")</f>
        <v>ร.อ.อนุชิต ทำจะดี</v>
      </c>
      <c r="N690" s="14" t="str">
        <f>IFERROR(__xludf.DUMMYFUNCTION("""COMPUTED_VALUE"""),"https://lh5.googleusercontent.com/d/1hROMasR3Y-ZySChqQhkRHp0D2qWgmHSS")</f>
        <v>https://lh5.googleusercontent.com/d/1hROMasR3Y-ZySChqQhkRHp0D2qWgmHSS</v>
      </c>
      <c r="O690" s="14" t="str">
        <f>IFERROR(__xludf.DUMMYFUNCTION("""COMPUTED_VALUE"""),"https://drive.google.com/file/d/1WiSQWZuu6q-Mj6OzJZeRoDWPjEV8d24N/view?usp=drivesdk")</f>
        <v>https://drive.google.com/file/d/1WiSQWZuu6q-Mj6OzJZeRoDWPjEV8d24N/view?usp=drivesdk</v>
      </c>
    </row>
    <row r="691">
      <c r="A691" s="3">
        <f>IFERROR(__xludf.DUMMYFUNCTION("""COMPUTED_VALUE"""),2742.0)</f>
        <v>2742</v>
      </c>
      <c r="B691" s="11">
        <f>IFERROR(__xludf.DUMMYFUNCTION("""COMPUTED_VALUE"""),46175.93870069444)</f>
        <v>46175.9387</v>
      </c>
      <c r="C691" s="3" t="str">
        <f>IFERROR(__xludf.DUMMYFUNCTION("""COMPUTED_VALUE"""),"ชั้นปีที่ 1")</f>
        <v>ชั้นปีที่ 1</v>
      </c>
      <c r="D691" s="3" t="str">
        <f>IFERROR(__xludf.DUMMYFUNCTION("""COMPUTED_VALUE"""),"6803900")</f>
        <v>6803900</v>
      </c>
      <c r="E691" s="3" t="str">
        <f>IFERROR(__xludf.DUMMYFUNCTION("""COMPUTED_VALUE"""),"19")</f>
        <v>19</v>
      </c>
      <c r="F691" s="3" t="str">
        <f>IFERROR(__xludf.DUMMYFUNCTION("""COMPUTED_VALUE"""),"นพอ.ณัฐพัชร์ กาฬพรรณลึก")</f>
        <v>นพอ.ณัฐพัชร์ กาฬพรรณลึก</v>
      </c>
      <c r="G691" s="3" t="str">
        <f>IFERROR(__xludf.DUMMYFUNCTION("""COMPUTED_VALUE"""),"ช่วยเหลืองานภายใน วพอ.")</f>
        <v>ช่วยเหลืองานภายใน วพอ.</v>
      </c>
      <c r="H69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91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691" s="12">
        <f>IFERROR(__xludf.DUMMYFUNCTION("""COMPUTED_VALUE"""),46139.0)</f>
        <v>46139</v>
      </c>
      <c r="K691" s="3" t="str">
        <f>IFERROR(__xludf.DUMMYFUNCTION("""COMPUTED_VALUE"""),"1700-2100")</f>
        <v>1700-2100</v>
      </c>
      <c r="L691" s="3">
        <f>IFERROR(__xludf.DUMMYFUNCTION("""COMPUTED_VALUE"""),4.0)</f>
        <v>4</v>
      </c>
      <c r="M691" s="3" t="str">
        <f>IFERROR(__xludf.DUMMYFUNCTION("""COMPUTED_VALUE"""),"ร.อ.อนุชิต ทำจะดี")</f>
        <v>ร.อ.อนุชิต ทำจะดี</v>
      </c>
      <c r="N691" s="14" t="str">
        <f>IFERROR(__xludf.DUMMYFUNCTION("""COMPUTED_VALUE"""),"https://lh5.googleusercontent.com/d/1-loh9EFUEda6AfIwNZ_pLDPZuM8Do7Tb")</f>
        <v>https://lh5.googleusercontent.com/d/1-loh9EFUEda6AfIwNZ_pLDPZuM8Do7Tb</v>
      </c>
      <c r="O691" s="14" t="str">
        <f>IFERROR(__xludf.DUMMYFUNCTION("""COMPUTED_VALUE"""),"https://drive.google.com/file/d/142m7ImspUZbE4COlOHraVe0cGHh1hD7w/view?usp=drivesdk")</f>
        <v>https://drive.google.com/file/d/142m7ImspUZbE4COlOHraVe0cGHh1hD7w/view?usp=drivesdk</v>
      </c>
    </row>
    <row r="692">
      <c r="A692" s="3">
        <f>IFERROR(__xludf.DUMMYFUNCTION("""COMPUTED_VALUE"""),2743.0)</f>
        <v>2743</v>
      </c>
      <c r="B692" s="11">
        <f>IFERROR(__xludf.DUMMYFUNCTION("""COMPUTED_VALUE"""),46175.94189368055)</f>
        <v>46175.94189</v>
      </c>
      <c r="C692" s="3" t="str">
        <f>IFERROR(__xludf.DUMMYFUNCTION("""COMPUTED_VALUE"""),"ชั้นปีที่ 1")</f>
        <v>ชั้นปีที่ 1</v>
      </c>
      <c r="D692" s="3" t="str">
        <f>IFERROR(__xludf.DUMMYFUNCTION("""COMPUTED_VALUE"""),"6803900")</f>
        <v>6803900</v>
      </c>
      <c r="E692" s="3" t="str">
        <f>IFERROR(__xludf.DUMMYFUNCTION("""COMPUTED_VALUE"""),"19")</f>
        <v>19</v>
      </c>
      <c r="F692" s="3" t="str">
        <f>IFERROR(__xludf.DUMMYFUNCTION("""COMPUTED_VALUE"""),"นพอ.ณัฐพัชร์ กาฬพรรณลึก")</f>
        <v>นพอ.ณัฐพัชร์ กาฬพรรณลึก</v>
      </c>
      <c r="G692" s="3" t="str">
        <f>IFERROR(__xludf.DUMMYFUNCTION("""COMPUTED_VALUE"""),"ช่วยเหลืองานภายใน วพอ.")</f>
        <v>ช่วยเหลืองานภายใน วพอ.</v>
      </c>
      <c r="H692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692" s="3" t="str">
        <f>IFERROR(__xludf.DUMMYFUNCTION("""COMPUTED_VALUE"""),"ลานข้างหอพัก")</f>
        <v>ลานข้างหอพัก</v>
      </c>
      <c r="J692" s="12">
        <f>IFERROR(__xludf.DUMMYFUNCTION("""COMPUTED_VALUE"""),46164.0)</f>
        <v>46164</v>
      </c>
      <c r="K692" s="3" t="str">
        <f>IFERROR(__xludf.DUMMYFUNCTION("""COMPUTED_VALUE"""),"1500-1700")</f>
        <v>1500-1700</v>
      </c>
      <c r="L692" s="3">
        <f>IFERROR(__xludf.DUMMYFUNCTION("""COMPUTED_VALUE"""),2.0)</f>
        <v>2</v>
      </c>
      <c r="M692" s="3" t="str">
        <f>IFERROR(__xludf.DUMMYFUNCTION("""COMPUTED_VALUE"""),"น.อ.หญิง นิตยา สุขแสน")</f>
        <v>น.อ.หญิง นิตยา สุขแสน</v>
      </c>
      <c r="N692" s="14" t="str">
        <f>IFERROR(__xludf.DUMMYFUNCTION("""COMPUTED_VALUE"""),"https://lh5.googleusercontent.com/d/15OTjP6Vw2vnBn7uI8zeyLxgQFiSXERtR")</f>
        <v>https://lh5.googleusercontent.com/d/15OTjP6Vw2vnBn7uI8zeyLxgQFiSXERtR</v>
      </c>
      <c r="O692" s="14" t="str">
        <f>IFERROR(__xludf.DUMMYFUNCTION("""COMPUTED_VALUE"""),"https://drive.google.com/file/d/1kW4UpQJf2MawxhW83mKot81m6RzXSxjA/view?usp=drivesdk")</f>
        <v>https://drive.google.com/file/d/1kW4UpQJf2MawxhW83mKot81m6RzXSxjA/view?usp=drivesdk</v>
      </c>
    </row>
    <row r="693">
      <c r="A693" s="3">
        <f>IFERROR(__xludf.DUMMYFUNCTION("""COMPUTED_VALUE"""),2744.0)</f>
        <v>2744</v>
      </c>
      <c r="B693" s="11">
        <f>IFERROR(__xludf.DUMMYFUNCTION("""COMPUTED_VALUE"""),46175.943842395835)</f>
        <v>46175.94384</v>
      </c>
      <c r="C693" s="3" t="str">
        <f>IFERROR(__xludf.DUMMYFUNCTION("""COMPUTED_VALUE"""),"ชั้นปีที่ 1")</f>
        <v>ชั้นปีที่ 1</v>
      </c>
      <c r="D693" s="3" t="str">
        <f>IFERROR(__xludf.DUMMYFUNCTION("""COMPUTED_VALUE"""),"6803900")</f>
        <v>6803900</v>
      </c>
      <c r="E693" s="3" t="str">
        <f>IFERROR(__xludf.DUMMYFUNCTION("""COMPUTED_VALUE"""),"19")</f>
        <v>19</v>
      </c>
      <c r="F693" s="3" t="str">
        <f>IFERROR(__xludf.DUMMYFUNCTION("""COMPUTED_VALUE"""),"นพอ.ณัฐพัชร์ กาฬพรรณลึก")</f>
        <v>นพอ.ณัฐพัชร์ กาฬพรรณลึก</v>
      </c>
      <c r="G693" s="3" t="str">
        <f>IFERROR(__xludf.DUMMYFUNCTION("""COMPUTED_VALUE"""),"ช่วยเหลืองานภายใน วพอ.")</f>
        <v>ช่วยเหลืองานภายใน วพอ.</v>
      </c>
      <c r="H693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693" s="3" t="str">
        <f>IFERROR(__xludf.DUMMYFUNCTION("""COMPUTED_VALUE"""),"อาคารสำนักงานชั้น 4")</f>
        <v>อาคารสำนักงานชั้น 4</v>
      </c>
      <c r="J693" s="12">
        <f>IFERROR(__xludf.DUMMYFUNCTION("""COMPUTED_VALUE"""),46147.0)</f>
        <v>46147</v>
      </c>
      <c r="K693" s="3" t="str">
        <f>IFERROR(__xludf.DUMMYFUNCTION("""COMPUTED_VALUE"""),"1500-1800")</f>
        <v>1500-1800</v>
      </c>
      <c r="L693" s="3">
        <f>IFERROR(__xludf.DUMMYFUNCTION("""COMPUTED_VALUE"""),3.0)</f>
        <v>3</v>
      </c>
      <c r="M693" s="3" t="str">
        <f>IFERROR(__xludf.DUMMYFUNCTION("""COMPUTED_VALUE"""),"น.ต.ศักชัย บุญประสิทธิ์")</f>
        <v>น.ต.ศักชัย บุญประสิทธิ์</v>
      </c>
      <c r="N693" s="14" t="str">
        <f>IFERROR(__xludf.DUMMYFUNCTION("""COMPUTED_VALUE"""),"https://lh5.googleusercontent.com/d/1I4-MptEmkG1X-rHKHYGszFfjh2szZUL_")</f>
        <v>https://lh5.googleusercontent.com/d/1I4-MptEmkG1X-rHKHYGszFfjh2szZUL_</v>
      </c>
      <c r="O693" s="14" t="str">
        <f>IFERROR(__xludf.DUMMYFUNCTION("""COMPUTED_VALUE"""),"https://drive.google.com/file/d/19gBtHXUvtQbvh_tycMCcOQM41Ap7Tg3k/view?usp=drivesdk")</f>
        <v>https://drive.google.com/file/d/19gBtHXUvtQbvh_tycMCcOQM41Ap7Tg3k/view?usp=drivesdk</v>
      </c>
    </row>
    <row r="694">
      <c r="A694" s="3">
        <f>IFERROR(__xludf.DUMMYFUNCTION("""COMPUTED_VALUE"""),2745.0)</f>
        <v>2745</v>
      </c>
      <c r="B694" s="11">
        <f>IFERROR(__xludf.DUMMYFUNCTION("""COMPUTED_VALUE"""),46175.9466175)</f>
        <v>46175.94662</v>
      </c>
      <c r="C694" s="3" t="str">
        <f>IFERROR(__xludf.DUMMYFUNCTION("""COMPUTED_VALUE"""),"ชั้นปีที่ 1")</f>
        <v>ชั้นปีที่ 1</v>
      </c>
      <c r="D694" s="3" t="str">
        <f>IFERROR(__xludf.DUMMYFUNCTION("""COMPUTED_VALUE"""),"6803900")</f>
        <v>6803900</v>
      </c>
      <c r="E694" s="3" t="str">
        <f>IFERROR(__xludf.DUMMYFUNCTION("""COMPUTED_VALUE"""),"19")</f>
        <v>19</v>
      </c>
      <c r="F694" s="3" t="str">
        <f>IFERROR(__xludf.DUMMYFUNCTION("""COMPUTED_VALUE"""),"นพอ.ณัฐพัชร์ กาฬพรรณลึก")</f>
        <v>นพอ.ณัฐพัชร์ กาฬพรรณลึก</v>
      </c>
      <c r="G6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4" s="3" t="str">
        <f>IFERROR(__xludf.DUMMYFUNCTION("""COMPUTED_VALUE"""),"พิธีฟังสารผู้บัญชาการทหารอากาศเนื่องใน “วันกองทัพอากาศ” ประจำปี 2569")</f>
        <v>พิธีฟังสารผู้บัญชาการทหารอากาศเนื่องใน “วันกองทัพอากาศ” ประจำปี 2569</v>
      </c>
      <c r="I694" s="3" t="str">
        <f>IFERROR(__xludf.DUMMYFUNCTION("""COMPUTED_VALUE"""),"บก.ทอ.")</f>
        <v>บก.ทอ.</v>
      </c>
      <c r="J694" s="12">
        <f>IFERROR(__xludf.DUMMYFUNCTION("""COMPUTED_VALUE"""),46121.0)</f>
        <v>46121</v>
      </c>
      <c r="K694" s="3" t="str">
        <f>IFERROR(__xludf.DUMMYFUNCTION("""COMPUTED_VALUE"""),"0600-0800")</f>
        <v>0600-0800</v>
      </c>
      <c r="L694" s="3">
        <f>IFERROR(__xludf.DUMMYFUNCTION("""COMPUTED_VALUE"""),2.0)</f>
        <v>2</v>
      </c>
      <c r="M694" s="3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694" s="14" t="str">
        <f>IFERROR(__xludf.DUMMYFUNCTION("""COMPUTED_VALUE"""),"https://lh5.googleusercontent.com/d/1tS0Vvsw4RlKm4KwLHlLFds0M3Kbp3dYz")</f>
        <v>https://lh5.googleusercontent.com/d/1tS0Vvsw4RlKm4KwLHlLFds0M3Kbp3dYz</v>
      </c>
      <c r="O694" s="14" t="str">
        <f>IFERROR(__xludf.DUMMYFUNCTION("""COMPUTED_VALUE"""),"https://drive.google.com/file/d/1i0clJX-5E486wg0hSN0S0Ij7FCfOasms/view?usp=drivesdk")</f>
        <v>https://drive.google.com/file/d/1i0clJX-5E486wg0hSN0S0Ij7FCfOasms/view?usp=drivesdk</v>
      </c>
    </row>
    <row r="695">
      <c r="A695" s="3">
        <f>IFERROR(__xludf.DUMMYFUNCTION("""COMPUTED_VALUE"""),2746.0)</f>
        <v>2746</v>
      </c>
      <c r="B695" s="11">
        <f>IFERROR(__xludf.DUMMYFUNCTION("""COMPUTED_VALUE"""),46176.34873238426)</f>
        <v>46176.34873</v>
      </c>
      <c r="C695" s="3" t="str">
        <f>IFERROR(__xludf.DUMMYFUNCTION("""COMPUTED_VALUE"""),"ชั้นปีที่ 1")</f>
        <v>ชั้นปีที่ 1</v>
      </c>
      <c r="D695" s="3" t="str">
        <f>IFERROR(__xludf.DUMMYFUNCTION("""COMPUTED_VALUE"""),"6803901")</f>
        <v>6803901</v>
      </c>
      <c r="E695" s="3" t="str">
        <f>IFERROR(__xludf.DUMMYFUNCTION("""COMPUTED_VALUE"""),"20")</f>
        <v>20</v>
      </c>
      <c r="F695" s="3" t="str">
        <f>IFERROR(__xludf.DUMMYFUNCTION("""COMPUTED_VALUE"""),"นพอ.ณัฐริกา วัฒนสมบัติ")</f>
        <v>นพอ.ณัฐริกา วัฒนสมบัติ</v>
      </c>
      <c r="G6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5" s="3" t="str">
        <f>IFERROR(__xludf.DUMMYFUNCTION("""COMPUTED_VALUE"""),"พิธีฟังสารผู้บัญชาการทหารอากาศ ประจำปี 2569")</f>
        <v>พิธีฟังสารผู้บัญชาการทหารอากาศ ประจำปี 2569</v>
      </c>
      <c r="I695" s="3" t="str">
        <f>IFERROR(__xludf.DUMMYFUNCTION("""COMPUTED_VALUE"""),"บก.ทอ.")</f>
        <v>บก.ทอ.</v>
      </c>
      <c r="J695" s="12">
        <f>IFERROR(__xludf.DUMMYFUNCTION("""COMPUTED_VALUE"""),46121.0)</f>
        <v>46121</v>
      </c>
      <c r="K695" s="3" t="str">
        <f>IFERROR(__xludf.DUMMYFUNCTION("""COMPUTED_VALUE"""),"0600-1400")</f>
        <v>0600-1400</v>
      </c>
      <c r="L695" s="3">
        <f>IFERROR(__xludf.DUMMYFUNCTION("""COMPUTED_VALUE"""),8.0)</f>
        <v>8</v>
      </c>
      <c r="M695" s="3" t="str">
        <f>IFERROR(__xludf.DUMMYFUNCTION("""COMPUTED_VALUE"""),"น.ต.หญิง กิตติยา มหาวิริโยทัย")</f>
        <v>น.ต.หญิง กิตติยา มหาวิริโยทัย</v>
      </c>
      <c r="N695" s="14" t="str">
        <f>IFERROR(__xludf.DUMMYFUNCTION("""COMPUTED_VALUE"""),"https://lh5.googleusercontent.com/d/1BZvVjW2y0OgkNdfpjDGSVn6lCsjkP_3t")</f>
        <v>https://lh5.googleusercontent.com/d/1BZvVjW2y0OgkNdfpjDGSVn6lCsjkP_3t</v>
      </c>
      <c r="O695" s="14" t="str">
        <f>IFERROR(__xludf.DUMMYFUNCTION("""COMPUTED_VALUE"""),"https://drive.google.com/file/d/1W0xsmF0HWVJdtsa_6JOlkI3YIfQ7A18z/view?usp=drivesdk")</f>
        <v>https://drive.google.com/file/d/1W0xsmF0HWVJdtsa_6JOlkI3YIfQ7A18z/view?usp=drivesdk</v>
      </c>
    </row>
    <row r="696">
      <c r="A696" s="3">
        <f>IFERROR(__xludf.DUMMYFUNCTION("""COMPUTED_VALUE"""),2749.0)</f>
        <v>2749</v>
      </c>
      <c r="B696" s="11">
        <f>IFERROR(__xludf.DUMMYFUNCTION("""COMPUTED_VALUE"""),46176.3570133449)</f>
        <v>46176.35701</v>
      </c>
      <c r="C696" s="3" t="str">
        <f>IFERROR(__xludf.DUMMYFUNCTION("""COMPUTED_VALUE"""),"ชั้นปีที่ 1")</f>
        <v>ชั้นปีที่ 1</v>
      </c>
      <c r="D696" s="3" t="str">
        <f>IFERROR(__xludf.DUMMYFUNCTION("""COMPUTED_VALUE"""),"6803926")</f>
        <v>6803926</v>
      </c>
      <c r="E696" s="3" t="str">
        <f>IFERROR(__xludf.DUMMYFUNCTION("""COMPUTED_VALUE"""),"45")</f>
        <v>45</v>
      </c>
      <c r="F696" s="3" t="str">
        <f>IFERROR(__xludf.DUMMYFUNCTION("""COMPUTED_VALUE"""),"นพอ.ภัทราพร ถึงกัน")</f>
        <v>นพอ.ภัทราพร ถึงกัน</v>
      </c>
      <c r="G69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6" s="3" t="str">
        <f>IFERROR(__xludf.DUMMYFUNCTION("""COMPUTED_VALUE"""),"Women Thailand Cyber Top Talent 2025")</f>
        <v>Women Thailand Cyber Top Talent 2025</v>
      </c>
      <c r="I696" s="3" t="str">
        <f>IFERROR(__xludf.DUMMYFUNCTION("""COMPUTED_VALUE"""),"ออนไลน์")</f>
        <v>ออนไลน์</v>
      </c>
      <c r="J696" s="12">
        <f>IFERROR(__xludf.DUMMYFUNCTION("""COMPUTED_VALUE"""),46039.0)</f>
        <v>46039</v>
      </c>
      <c r="K696" s="3" t="str">
        <f>IFERROR(__xludf.DUMMYFUNCTION("""COMPUTED_VALUE"""),"0800-1600")</f>
        <v>0800-1600</v>
      </c>
      <c r="L696" s="3">
        <f>IFERROR(__xludf.DUMMYFUNCTION("""COMPUTED_VALUE"""),8.0)</f>
        <v>8</v>
      </c>
      <c r="M696" s="3" t="str">
        <f>IFERROR(__xludf.DUMMYFUNCTION("""COMPUTED_VALUE"""),"ร.อ.อนุชิต ทำจะดี")</f>
        <v>ร.อ.อนุชิต ทำจะดี</v>
      </c>
      <c r="N696" s="14" t="str">
        <f>IFERROR(__xludf.DUMMYFUNCTION("""COMPUTED_VALUE"""),"https://lh5.googleusercontent.com/d/1jSFiDcDevzmyhm6gimBagyE4-D5TFQNV")</f>
        <v>https://lh5.googleusercontent.com/d/1jSFiDcDevzmyhm6gimBagyE4-D5TFQNV</v>
      </c>
      <c r="O696" s="14" t="str">
        <f>IFERROR(__xludf.DUMMYFUNCTION("""COMPUTED_VALUE"""),"https://drive.google.com/file/d/1dR3MkKaAoTQ2gnZmItpWS9MD84vQ2Mj2/view?usp=drivesdk")</f>
        <v>https://drive.google.com/file/d/1dR3MkKaAoTQ2gnZmItpWS9MD84vQ2Mj2/view?usp=drivesdk</v>
      </c>
    </row>
    <row r="697">
      <c r="A697" s="3">
        <f>IFERROR(__xludf.DUMMYFUNCTION("""COMPUTED_VALUE"""),2751.0)</f>
        <v>2751</v>
      </c>
      <c r="B697" s="11">
        <f>IFERROR(__xludf.DUMMYFUNCTION("""COMPUTED_VALUE"""),46176.35969579861)</f>
        <v>46176.3597</v>
      </c>
      <c r="C697" s="3" t="str">
        <f>IFERROR(__xludf.DUMMYFUNCTION("""COMPUTED_VALUE"""),"ชั้นปีที่ 1")</f>
        <v>ชั้นปีที่ 1</v>
      </c>
      <c r="D697" s="3" t="str">
        <f>IFERROR(__xludf.DUMMYFUNCTION("""COMPUTED_VALUE"""),"6803926")</f>
        <v>6803926</v>
      </c>
      <c r="E697" s="3" t="str">
        <f>IFERROR(__xludf.DUMMYFUNCTION("""COMPUTED_VALUE"""),"45")</f>
        <v>45</v>
      </c>
      <c r="F697" s="3" t="str">
        <f>IFERROR(__xludf.DUMMYFUNCTION("""COMPUTED_VALUE"""),"นพอ.ภัทราพร ถึงกัน")</f>
        <v>นพอ.ภัทราพร ถึงกัน</v>
      </c>
      <c r="G697" s="3" t="str">
        <f>IFERROR(__xludf.DUMMYFUNCTION("""COMPUTED_VALUE"""),"ช่วยเหลืองานภายใน วพอ.")</f>
        <v>ช่วยเหลืองานภายใน วพอ.</v>
      </c>
      <c r="H697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697" s="3" t="str">
        <f>IFERROR(__xludf.DUMMYFUNCTION("""COMPUTED_VALUE"""),"วพอ.พอ.")</f>
        <v>วพอ.พอ.</v>
      </c>
      <c r="J697" s="12">
        <f>IFERROR(__xludf.DUMMYFUNCTION("""COMPUTED_VALUE"""),46031.0)</f>
        <v>46031</v>
      </c>
      <c r="K697" s="3" t="str">
        <f>IFERROR(__xludf.DUMMYFUNCTION("""COMPUTED_VALUE"""),"1100-1200")</f>
        <v>1100-1200</v>
      </c>
      <c r="L697" s="3">
        <f>IFERROR(__xludf.DUMMYFUNCTION("""COMPUTED_VALUE"""),4.0)</f>
        <v>4</v>
      </c>
      <c r="M69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97" s="14" t="str">
        <f>IFERROR(__xludf.DUMMYFUNCTION("""COMPUTED_VALUE"""),"https://lh5.googleusercontent.com/d/1N6qYgHfmEr8-BeDzFWgnkV4_ZqK35fch")</f>
        <v>https://lh5.googleusercontent.com/d/1N6qYgHfmEr8-BeDzFWgnkV4_ZqK35fch</v>
      </c>
      <c r="O697" s="14" t="str">
        <f>IFERROR(__xludf.DUMMYFUNCTION("""COMPUTED_VALUE"""),"https://drive.google.com/file/d/1doJovaoFwAmWUsx-RvmC1B0ExfLrEALz/view?usp=drivesdk")</f>
        <v>https://drive.google.com/file/d/1doJovaoFwAmWUsx-RvmC1B0ExfLrEALz/view?usp=drivesdk</v>
      </c>
    </row>
    <row r="698">
      <c r="A698" s="3">
        <f>IFERROR(__xludf.DUMMYFUNCTION("""COMPUTED_VALUE"""),2752.0)</f>
        <v>2752</v>
      </c>
      <c r="B698" s="11">
        <f>IFERROR(__xludf.DUMMYFUNCTION("""COMPUTED_VALUE"""),46176.361647418984)</f>
        <v>46176.36165</v>
      </c>
      <c r="C698" s="3" t="str">
        <f>IFERROR(__xludf.DUMMYFUNCTION("""COMPUTED_VALUE"""),"ชั้นปีที่ 1")</f>
        <v>ชั้นปีที่ 1</v>
      </c>
      <c r="D698" s="3" t="str">
        <f>IFERROR(__xludf.DUMMYFUNCTION("""COMPUTED_VALUE"""),"6803926")</f>
        <v>6803926</v>
      </c>
      <c r="E698" s="3" t="str">
        <f>IFERROR(__xludf.DUMMYFUNCTION("""COMPUTED_VALUE"""),"45")</f>
        <v>45</v>
      </c>
      <c r="F698" s="3" t="str">
        <f>IFERROR(__xludf.DUMMYFUNCTION("""COMPUTED_VALUE"""),"นพอ.ภัทราพร ถึงกัน")</f>
        <v>นพอ.ภัทราพร ถึงกัน</v>
      </c>
      <c r="G69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698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698" s="3" t="str">
        <f>IFERROR(__xludf.DUMMYFUNCTION("""COMPUTED_VALUE"""),"โรงเรียนการบิน กำแพงแสน")</f>
        <v>โรงเรียนการบิน กำแพงแสน</v>
      </c>
      <c r="J698" s="12">
        <f>IFERROR(__xludf.DUMMYFUNCTION("""COMPUTED_VALUE"""),46032.0)</f>
        <v>46032</v>
      </c>
      <c r="K698" s="3" t="str">
        <f>IFERROR(__xludf.DUMMYFUNCTION("""COMPUTED_VALUE"""),"0600-1400")</f>
        <v>0600-1400</v>
      </c>
      <c r="L698" s="3">
        <f>IFERROR(__xludf.DUMMYFUNCTION("""COMPUTED_VALUE"""),8.0)</f>
        <v>8</v>
      </c>
      <c r="M69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698" s="14" t="str">
        <f>IFERROR(__xludf.DUMMYFUNCTION("""COMPUTED_VALUE"""),"https://lh5.googleusercontent.com/d/1Lu106Bna1BVwYmUYW2Gi18aD8aC2lhw6")</f>
        <v>https://lh5.googleusercontent.com/d/1Lu106Bna1BVwYmUYW2Gi18aD8aC2lhw6</v>
      </c>
      <c r="O698" s="14" t="str">
        <f>IFERROR(__xludf.DUMMYFUNCTION("""COMPUTED_VALUE"""),"https://drive.google.com/file/d/1O6R95h4ezxyckjTew3LK_YHrHfAdJObA/view?usp=drivesdk")</f>
        <v>https://drive.google.com/file/d/1O6R95h4ezxyckjTew3LK_YHrHfAdJObA/view?usp=drivesdk</v>
      </c>
    </row>
    <row r="699">
      <c r="A699" s="3">
        <f>IFERROR(__xludf.DUMMYFUNCTION("""COMPUTED_VALUE"""),2753.0)</f>
        <v>2753</v>
      </c>
      <c r="B699" s="11">
        <f>IFERROR(__xludf.DUMMYFUNCTION("""COMPUTED_VALUE"""),46176.36290069445)</f>
        <v>46176.3629</v>
      </c>
      <c r="C699" s="3" t="str">
        <f>IFERROR(__xludf.DUMMYFUNCTION("""COMPUTED_VALUE"""),"ชั้นปีที่ 1")</f>
        <v>ชั้นปีที่ 1</v>
      </c>
      <c r="D699" s="3" t="str">
        <f>IFERROR(__xludf.DUMMYFUNCTION("""COMPUTED_VALUE"""),"6803932")</f>
        <v>6803932</v>
      </c>
      <c r="E699" s="3" t="str">
        <f>IFERROR(__xludf.DUMMYFUNCTION("""COMPUTED_VALUE"""),"51")</f>
        <v>51</v>
      </c>
      <c r="F699" s="3" t="str">
        <f>IFERROR(__xludf.DUMMYFUNCTION("""COMPUTED_VALUE"""),"รตนพร  สินทรัพย์")</f>
        <v>รตนพร  สินทรัพย์</v>
      </c>
      <c r="G699" s="3" t="str">
        <f>IFERROR(__xludf.DUMMYFUNCTION("""COMPUTED_VALUE"""),"ช่วยเหลืองานภายใน วพอ.")</f>
        <v>ช่วยเหลืองานภายใน วพอ.</v>
      </c>
      <c r="H69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699" s="3" t="str">
        <f>IFERROR(__xludf.DUMMYFUNCTION("""COMPUTED_VALUE"""),"วพอ.พอ.")</f>
        <v>วพอ.พอ.</v>
      </c>
      <c r="J699" s="12">
        <f>IFERROR(__xludf.DUMMYFUNCTION("""COMPUTED_VALUE"""),46133.0)</f>
        <v>46133</v>
      </c>
      <c r="K699" s="3" t="str">
        <f>IFERROR(__xludf.DUMMYFUNCTION("""COMPUTED_VALUE"""),"1700 - 2100")</f>
        <v>1700 - 2100</v>
      </c>
      <c r="L699" s="3">
        <f>IFERROR(__xludf.DUMMYFUNCTION("""COMPUTED_VALUE"""),4.0)</f>
        <v>4</v>
      </c>
      <c r="M699" s="3" t="str">
        <f>IFERROR(__xludf.DUMMYFUNCTION("""COMPUTED_VALUE"""),"ร.อ.อนุชิต ทำจะดี")</f>
        <v>ร.อ.อนุชิต ทำจะดี</v>
      </c>
      <c r="N699" s="14" t="str">
        <f>IFERROR(__xludf.DUMMYFUNCTION("""COMPUTED_VALUE"""),"https://lh5.googleusercontent.com/d/1TF8b_HWvIe_4YtzYTwELsmdGdRRVih4B")</f>
        <v>https://lh5.googleusercontent.com/d/1TF8b_HWvIe_4YtzYTwELsmdGdRRVih4B</v>
      </c>
      <c r="O699" s="14" t="str">
        <f>IFERROR(__xludf.DUMMYFUNCTION("""COMPUTED_VALUE"""),"https://drive.google.com/file/d/1nZecACM99dx1SgZmDEt3j8eCfLwBcWh4/view?usp=drivesdk")</f>
        <v>https://drive.google.com/file/d/1nZecACM99dx1SgZmDEt3j8eCfLwBcWh4/view?usp=drivesdk</v>
      </c>
    </row>
    <row r="700">
      <c r="A700" s="3">
        <f>IFERROR(__xludf.DUMMYFUNCTION("""COMPUTED_VALUE"""),2754.0)</f>
        <v>2754</v>
      </c>
      <c r="B700" s="11">
        <f>IFERROR(__xludf.DUMMYFUNCTION("""COMPUTED_VALUE"""),46176.36386967593)</f>
        <v>46176.36387</v>
      </c>
      <c r="C700" s="3" t="str">
        <f>IFERROR(__xludf.DUMMYFUNCTION("""COMPUTED_VALUE"""),"ชั้นปีที่ 1")</f>
        <v>ชั้นปีที่ 1</v>
      </c>
      <c r="D700" s="3" t="str">
        <f>IFERROR(__xludf.DUMMYFUNCTION("""COMPUTED_VALUE"""),"6803932")</f>
        <v>6803932</v>
      </c>
      <c r="E700" s="3" t="str">
        <f>IFERROR(__xludf.DUMMYFUNCTION("""COMPUTED_VALUE"""),"51")</f>
        <v>51</v>
      </c>
      <c r="F700" s="3" t="str">
        <f>IFERROR(__xludf.DUMMYFUNCTION("""COMPUTED_VALUE"""),"รตนพร สินทรัพย์")</f>
        <v>รตนพร สินทรัพย์</v>
      </c>
      <c r="G700" s="3" t="str">
        <f>IFERROR(__xludf.DUMMYFUNCTION("""COMPUTED_VALUE"""),"ช่วยเหลืองานภายใน วพอ.")</f>
        <v>ช่วยเหลืองานภายใน วพอ.</v>
      </c>
      <c r="H70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00" s="3" t="str">
        <f>IFERROR(__xludf.DUMMYFUNCTION("""COMPUTED_VALUE"""),"วพอ.พอ.")</f>
        <v>วพอ.พอ.</v>
      </c>
      <c r="J700" s="12">
        <f>IFERROR(__xludf.DUMMYFUNCTION("""COMPUTED_VALUE"""),46134.0)</f>
        <v>46134</v>
      </c>
      <c r="K700" s="3" t="str">
        <f>IFERROR(__xludf.DUMMYFUNCTION("""COMPUTED_VALUE"""),"1700 - 2100")</f>
        <v>1700 - 2100</v>
      </c>
      <c r="L700" s="3">
        <f>IFERROR(__xludf.DUMMYFUNCTION("""COMPUTED_VALUE"""),4.0)</f>
        <v>4</v>
      </c>
      <c r="M700" s="3" t="str">
        <f>IFERROR(__xludf.DUMMYFUNCTION("""COMPUTED_VALUE"""),"ร.อ.อนุชิต ทำจะดี")</f>
        <v>ร.อ.อนุชิต ทำจะดี</v>
      </c>
      <c r="N700" s="14" t="str">
        <f>IFERROR(__xludf.DUMMYFUNCTION("""COMPUTED_VALUE"""),"https://lh5.googleusercontent.com/d/1N2PBwBHCGBVN4VccbwjwyKc8M2aci1Yu")</f>
        <v>https://lh5.googleusercontent.com/d/1N2PBwBHCGBVN4VccbwjwyKc8M2aci1Yu</v>
      </c>
      <c r="O700" s="14" t="str">
        <f>IFERROR(__xludf.DUMMYFUNCTION("""COMPUTED_VALUE"""),"https://drive.google.com/file/d/1RP0ZzjvwjjwAw4FnrQXBiu8HuaXNvjew/view?usp=drivesdk")</f>
        <v>https://drive.google.com/file/d/1RP0ZzjvwjjwAw4FnrQXBiu8HuaXNvjew/view?usp=drivesdk</v>
      </c>
    </row>
    <row r="701">
      <c r="A701" s="3">
        <f>IFERROR(__xludf.DUMMYFUNCTION("""COMPUTED_VALUE"""),2755.0)</f>
        <v>2755</v>
      </c>
      <c r="B701" s="11">
        <f>IFERROR(__xludf.DUMMYFUNCTION("""COMPUTED_VALUE"""),46176.3650503125)</f>
        <v>46176.36505</v>
      </c>
      <c r="C701" s="3" t="str">
        <f>IFERROR(__xludf.DUMMYFUNCTION("""COMPUTED_VALUE"""),"ชั้นปีที่ 1")</f>
        <v>ชั้นปีที่ 1</v>
      </c>
      <c r="D701" s="3" t="str">
        <f>IFERROR(__xludf.DUMMYFUNCTION("""COMPUTED_VALUE"""),"6803932")</f>
        <v>6803932</v>
      </c>
      <c r="E701" s="3" t="str">
        <f>IFERROR(__xludf.DUMMYFUNCTION("""COMPUTED_VALUE"""),"51")</f>
        <v>51</v>
      </c>
      <c r="F701" s="3" t="str">
        <f>IFERROR(__xludf.DUMMYFUNCTION("""COMPUTED_VALUE"""),"รตนพร สินทรัพย์")</f>
        <v>รตนพร สินทรัพย์</v>
      </c>
      <c r="G701" s="3" t="str">
        <f>IFERROR(__xludf.DUMMYFUNCTION("""COMPUTED_VALUE"""),"ช่วยเหลืองานภายใน วพอ.")</f>
        <v>ช่วยเหลืองานภายใน วพอ.</v>
      </c>
      <c r="H70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01" s="3" t="str">
        <f>IFERROR(__xludf.DUMMYFUNCTION("""COMPUTED_VALUE"""),"วพอ.พอ.")</f>
        <v>วพอ.พอ.</v>
      </c>
      <c r="J701" s="12">
        <f>IFERROR(__xludf.DUMMYFUNCTION("""COMPUTED_VALUE"""),46135.0)</f>
        <v>46135</v>
      </c>
      <c r="K701" s="3" t="str">
        <f>IFERROR(__xludf.DUMMYFUNCTION("""COMPUTED_VALUE"""),"1700 - 2100")</f>
        <v>1700 - 2100</v>
      </c>
      <c r="L701" s="3">
        <f>IFERROR(__xludf.DUMMYFUNCTION("""COMPUTED_VALUE"""),4.0)</f>
        <v>4</v>
      </c>
      <c r="M701" s="3" t="str">
        <f>IFERROR(__xludf.DUMMYFUNCTION("""COMPUTED_VALUE"""),"ร.อ.อนุชิต ทำจะดี")</f>
        <v>ร.อ.อนุชิต ทำจะดี</v>
      </c>
      <c r="N701" s="14" t="str">
        <f>IFERROR(__xludf.DUMMYFUNCTION("""COMPUTED_VALUE"""),"https://lh5.googleusercontent.com/d/1HszYM3vzC-9I2XrP015W4nbsyAoC_s7E")</f>
        <v>https://lh5.googleusercontent.com/d/1HszYM3vzC-9I2XrP015W4nbsyAoC_s7E</v>
      </c>
      <c r="O701" s="14" t="str">
        <f>IFERROR(__xludf.DUMMYFUNCTION("""COMPUTED_VALUE"""),"https://drive.google.com/file/d/1rE7o9tcUE5_x2IAAujR3AbGxstKfmkVw/view?usp=drivesdk")</f>
        <v>https://drive.google.com/file/d/1rE7o9tcUE5_x2IAAujR3AbGxstKfmkVw/view?usp=drivesdk</v>
      </c>
    </row>
    <row r="702">
      <c r="A702" s="3">
        <f>IFERROR(__xludf.DUMMYFUNCTION("""COMPUTED_VALUE"""),2757.0)</f>
        <v>2757</v>
      </c>
      <c r="B702" s="11">
        <f>IFERROR(__xludf.DUMMYFUNCTION("""COMPUTED_VALUE"""),46176.369387928244)</f>
        <v>46176.36939</v>
      </c>
      <c r="C702" s="3" t="str">
        <f>IFERROR(__xludf.DUMMYFUNCTION("""COMPUTED_VALUE"""),"ชั้นปีที่ 1")</f>
        <v>ชั้นปีที่ 1</v>
      </c>
      <c r="D702" s="3" t="str">
        <f>IFERROR(__xludf.DUMMYFUNCTION("""COMPUTED_VALUE"""),"6803928")</f>
        <v>6803928</v>
      </c>
      <c r="E702" s="3" t="str">
        <f>IFERROR(__xludf.DUMMYFUNCTION("""COMPUTED_VALUE"""),"47")</f>
        <v>47</v>
      </c>
      <c r="F702" s="3" t="str">
        <f>IFERROR(__xludf.DUMMYFUNCTION("""COMPUTED_VALUE"""),"นพอ.มนัญชยา สุขพี้")</f>
        <v>นพอ.มนัญชยา สุขพี้</v>
      </c>
      <c r="G702" s="3" t="str">
        <f>IFERROR(__xludf.DUMMYFUNCTION("""COMPUTED_VALUE"""),"ช่วยเหลืองานภายใน วพอ.")</f>
        <v>ช่วยเหลืองานภายใน วพอ.</v>
      </c>
      <c r="H702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702" s="3" t="str">
        <f>IFERROR(__xludf.DUMMYFUNCTION("""COMPUTED_VALUE"""),"วพอ.พอ")</f>
        <v>วพอ.พอ</v>
      </c>
      <c r="J702" s="12">
        <f>IFERROR(__xludf.DUMMYFUNCTION("""COMPUTED_VALUE"""),46031.0)</f>
        <v>46031</v>
      </c>
      <c r="K702" s="3" t="str">
        <f>IFERROR(__xludf.DUMMYFUNCTION("""COMPUTED_VALUE"""),"1100-1200")</f>
        <v>1100-1200</v>
      </c>
      <c r="L702" s="3">
        <f>IFERROR(__xludf.DUMMYFUNCTION("""COMPUTED_VALUE"""),4.0)</f>
        <v>4</v>
      </c>
      <c r="M70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02" s="14" t="str">
        <f>IFERROR(__xludf.DUMMYFUNCTION("""COMPUTED_VALUE"""),"https://lh5.googleusercontent.com/d/1VIDG77lWrxDowQcRG-_P-EYIZCRaBJlH")</f>
        <v>https://lh5.googleusercontent.com/d/1VIDG77lWrxDowQcRG-_P-EYIZCRaBJlH</v>
      </c>
      <c r="O702" s="14" t="str">
        <f>IFERROR(__xludf.DUMMYFUNCTION("""COMPUTED_VALUE"""),"https://drive.google.com/file/d/1f9PXLDNk_fM_xwjJzEuNr7A2fSQ_F5YA/view?usp=drivesdk")</f>
        <v>https://drive.google.com/file/d/1f9PXLDNk_fM_xwjJzEuNr7A2fSQ_F5YA/view?usp=drivesdk</v>
      </c>
    </row>
    <row r="703">
      <c r="A703" s="3">
        <f>IFERROR(__xludf.DUMMYFUNCTION("""COMPUTED_VALUE"""),2758.0)</f>
        <v>2758</v>
      </c>
      <c r="B703" s="11">
        <f>IFERROR(__xludf.DUMMYFUNCTION("""COMPUTED_VALUE"""),46176.371468703706)</f>
        <v>46176.37147</v>
      </c>
      <c r="C703" s="3" t="str">
        <f>IFERROR(__xludf.DUMMYFUNCTION("""COMPUTED_VALUE"""),"ชั้นปีที่ 1")</f>
        <v>ชั้นปีที่ 1</v>
      </c>
      <c r="D703" s="3" t="str">
        <f>IFERROR(__xludf.DUMMYFUNCTION("""COMPUTED_VALUE"""),"6803926")</f>
        <v>6803926</v>
      </c>
      <c r="E703" s="3" t="str">
        <f>IFERROR(__xludf.DUMMYFUNCTION("""COMPUTED_VALUE"""),"45")</f>
        <v>45</v>
      </c>
      <c r="F703" s="3" t="str">
        <f>IFERROR(__xludf.DUMMYFUNCTION("""COMPUTED_VALUE"""),"นพอ.ภัทราพร ถึงกัน")</f>
        <v>นพอ.ภัทราพร ถึงกัน</v>
      </c>
      <c r="G703" s="3" t="str">
        <f>IFERROR(__xludf.DUMMYFUNCTION("""COMPUTED_VALUE"""),"ช่วยเหลืองานภายใน วพอ.")</f>
        <v>ช่วยเหลืองานภายใน วพอ.</v>
      </c>
      <c r="H703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03" s="3" t="str">
        <f>IFERROR(__xludf.DUMMYFUNCTION("""COMPUTED_VALUE"""),"วพอ.พอ.")</f>
        <v>วพอ.พอ.</v>
      </c>
      <c r="J703" s="12">
        <f>IFERROR(__xludf.DUMMYFUNCTION("""COMPUTED_VALUE"""),46133.0)</f>
        <v>46133</v>
      </c>
      <c r="K703" s="3" t="str">
        <f>IFERROR(__xludf.DUMMYFUNCTION("""COMPUTED_VALUE"""),"1700-2100")</f>
        <v>1700-2100</v>
      </c>
      <c r="L703" s="3">
        <f>IFERROR(__xludf.DUMMYFUNCTION("""COMPUTED_VALUE"""),4.0)</f>
        <v>4</v>
      </c>
      <c r="M703" s="3" t="str">
        <f>IFERROR(__xludf.DUMMYFUNCTION("""COMPUTED_VALUE"""),"ร.อ.อนุชิต ทำจะดี")</f>
        <v>ร.อ.อนุชิต ทำจะดี</v>
      </c>
      <c r="N703" s="14" t="str">
        <f>IFERROR(__xludf.DUMMYFUNCTION("""COMPUTED_VALUE"""),"https://lh5.googleusercontent.com/d/1AVO8APxUpRc04fda1qjN4sKzsQAtQP62")</f>
        <v>https://lh5.googleusercontent.com/d/1AVO8APxUpRc04fda1qjN4sKzsQAtQP62</v>
      </c>
      <c r="O703" s="14" t="str">
        <f>IFERROR(__xludf.DUMMYFUNCTION("""COMPUTED_VALUE"""),"https://drive.google.com/file/d/1B8JS7KPzIk22UsWmhT6_oimQGN9aws7f/view?usp=drivesdk")</f>
        <v>https://drive.google.com/file/d/1B8JS7KPzIk22UsWmhT6_oimQGN9aws7f/view?usp=drivesdk</v>
      </c>
    </row>
    <row r="704">
      <c r="A704" s="3">
        <f>IFERROR(__xludf.DUMMYFUNCTION("""COMPUTED_VALUE"""),2759.0)</f>
        <v>2759</v>
      </c>
      <c r="B704" s="11">
        <f>IFERROR(__xludf.DUMMYFUNCTION("""COMPUTED_VALUE"""),46176.37190824074)</f>
        <v>46176.37191</v>
      </c>
      <c r="C704" s="3" t="str">
        <f>IFERROR(__xludf.DUMMYFUNCTION("""COMPUTED_VALUE"""),"ชั้นปีที่ 1")</f>
        <v>ชั้นปีที่ 1</v>
      </c>
      <c r="D704" s="3" t="str">
        <f>IFERROR(__xludf.DUMMYFUNCTION("""COMPUTED_VALUE"""),"6803928")</f>
        <v>6803928</v>
      </c>
      <c r="E704" s="3" t="str">
        <f>IFERROR(__xludf.DUMMYFUNCTION("""COMPUTED_VALUE"""),"47")</f>
        <v>47</v>
      </c>
      <c r="F704" s="3" t="str">
        <f>IFERROR(__xludf.DUMMYFUNCTION("""COMPUTED_VALUE"""),"นพอ.มนัญชยา สุขพี้")</f>
        <v>นพอ.มนัญชยา สุขพี้</v>
      </c>
      <c r="G70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4" s="3" t="str">
        <f>IFERROR(__xludf.DUMMYFUNCTION("""COMPUTED_VALUE"""),"พิธีเปิด-ปิดกีฬาภายในกองทัพภายในกองทัพอากาศ")</f>
        <v>พิธีเปิด-ปิดกีฬาภายในกองทัพภายในกองทัพอากาศ</v>
      </c>
      <c r="I704" s="3" t="str">
        <f>IFERROR(__xludf.DUMMYFUNCTION("""COMPUTED_VALUE"""),"สนามกีฬาธูปะเตมีย์")</f>
        <v>สนามกีฬาธูปะเตมีย์</v>
      </c>
      <c r="J704" s="12">
        <f>IFERROR(__xludf.DUMMYFUNCTION("""COMPUTED_VALUE"""),46078.0)</f>
        <v>46078</v>
      </c>
      <c r="K704" s="3" t="str">
        <f>IFERROR(__xludf.DUMMYFUNCTION("""COMPUTED_VALUE"""),"1200-2000")</f>
        <v>1200-2000</v>
      </c>
      <c r="L704" s="3">
        <f>IFERROR(__xludf.DUMMYFUNCTION("""COMPUTED_VALUE"""),8.0)</f>
        <v>8</v>
      </c>
      <c r="M70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04" s="14" t="str">
        <f>IFERROR(__xludf.DUMMYFUNCTION("""COMPUTED_VALUE"""),"https://lh5.googleusercontent.com/d/1xiNXMgc56kapwjTwQmnIlmyN-_n6lsN2")</f>
        <v>https://lh5.googleusercontent.com/d/1xiNXMgc56kapwjTwQmnIlmyN-_n6lsN2</v>
      </c>
      <c r="O704" s="14" t="str">
        <f>IFERROR(__xludf.DUMMYFUNCTION("""COMPUTED_VALUE"""),"https://drive.google.com/file/d/1m2uP_4Zb-wcfKgFEi3qdcQIoiEntCc1G/view?usp=drivesdk")</f>
        <v>https://drive.google.com/file/d/1m2uP_4Zb-wcfKgFEi3qdcQIoiEntCc1G/view?usp=drivesdk</v>
      </c>
    </row>
    <row r="705">
      <c r="A705" s="3">
        <f>IFERROR(__xludf.DUMMYFUNCTION("""COMPUTED_VALUE"""),2760.0)</f>
        <v>2760</v>
      </c>
      <c r="B705" s="11">
        <f>IFERROR(__xludf.DUMMYFUNCTION("""COMPUTED_VALUE"""),46176.37569987269)</f>
        <v>46176.3757</v>
      </c>
      <c r="C705" s="3" t="str">
        <f>IFERROR(__xludf.DUMMYFUNCTION("""COMPUTED_VALUE"""),"ชั้นปีที่ 1")</f>
        <v>ชั้นปีที่ 1</v>
      </c>
      <c r="D705" s="3" t="str">
        <f>IFERROR(__xludf.DUMMYFUNCTION("""COMPUTED_VALUE"""),"6803932")</f>
        <v>6803932</v>
      </c>
      <c r="E705" s="3" t="str">
        <f>IFERROR(__xludf.DUMMYFUNCTION("""COMPUTED_VALUE"""),"51")</f>
        <v>51</v>
      </c>
      <c r="F705" s="3" t="str">
        <f>IFERROR(__xludf.DUMMYFUNCTION("""COMPUTED_VALUE"""),"รตนพร สินทรัพย์")</f>
        <v>รตนพร สินทรัพย์</v>
      </c>
      <c r="G705" s="3" t="str">
        <f>IFERROR(__xludf.DUMMYFUNCTION("""COMPUTED_VALUE"""),"ช่วยเหลืองานภายใน วพอ.")</f>
        <v>ช่วยเหลืองานภายใน วพอ.</v>
      </c>
      <c r="H705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705" s="3" t="str">
        <f>IFERROR(__xludf.DUMMYFUNCTION("""COMPUTED_VALUE"""),"วพอ.พอ")</f>
        <v>วพอ.พอ</v>
      </c>
      <c r="J705" s="12">
        <f>IFERROR(__xludf.DUMMYFUNCTION("""COMPUTED_VALUE"""),46138.0)</f>
        <v>46138</v>
      </c>
      <c r="K705" s="3" t="str">
        <f>IFERROR(__xludf.DUMMYFUNCTION("""COMPUTED_VALUE"""),"1500 - 2100")</f>
        <v>1500 - 2100</v>
      </c>
      <c r="L705" s="3">
        <f>IFERROR(__xludf.DUMMYFUNCTION("""COMPUTED_VALUE"""),6.0)</f>
        <v>6</v>
      </c>
      <c r="M705" s="3" t="str">
        <f>IFERROR(__xludf.DUMMYFUNCTION("""COMPUTED_VALUE"""),"ร.อ.อนุชิต ทำจะดี")</f>
        <v>ร.อ.อนุชิต ทำจะดี</v>
      </c>
      <c r="N705" s="14" t="str">
        <f>IFERROR(__xludf.DUMMYFUNCTION("""COMPUTED_VALUE"""),"https://lh5.googleusercontent.com/d/1_1O-RyzECyMdlvnjjo9qF62SIlgPtc3u")</f>
        <v>https://lh5.googleusercontent.com/d/1_1O-RyzECyMdlvnjjo9qF62SIlgPtc3u</v>
      </c>
      <c r="O705" s="14" t="str">
        <f>IFERROR(__xludf.DUMMYFUNCTION("""COMPUTED_VALUE"""),"https://drive.google.com/file/d/1ctTktaF-HZya-VSQDGydFCjQlIs4OJyw/view?usp=drivesdk")</f>
        <v>https://drive.google.com/file/d/1ctTktaF-HZya-VSQDGydFCjQlIs4OJyw/view?usp=drivesdk</v>
      </c>
    </row>
    <row r="706">
      <c r="A706" s="3">
        <f>IFERROR(__xludf.DUMMYFUNCTION("""COMPUTED_VALUE"""),2761.0)</f>
        <v>2761</v>
      </c>
      <c r="B706" s="11">
        <f>IFERROR(__xludf.DUMMYFUNCTION("""COMPUTED_VALUE"""),46176.37591836806)</f>
        <v>46176.37592</v>
      </c>
      <c r="C706" s="3" t="str">
        <f>IFERROR(__xludf.DUMMYFUNCTION("""COMPUTED_VALUE"""),"ชั้นปีที่ 1")</f>
        <v>ชั้นปีที่ 1</v>
      </c>
      <c r="D706" s="3" t="str">
        <f>IFERROR(__xludf.DUMMYFUNCTION("""COMPUTED_VALUE"""),"6803928")</f>
        <v>6803928</v>
      </c>
      <c r="E706" s="3" t="str">
        <f>IFERROR(__xludf.DUMMYFUNCTION("""COMPUTED_VALUE"""),"47")</f>
        <v>47</v>
      </c>
      <c r="F706" s="3" t="str">
        <f>IFERROR(__xludf.DUMMYFUNCTION("""COMPUTED_VALUE"""),"นพอ.มนัญชยา สุขพี้")</f>
        <v>นพอ.มนัญชยา สุขพี้</v>
      </c>
      <c r="G70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06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706" s="3" t="str">
        <f>IFERROR(__xludf.DUMMYFUNCTION("""COMPUTED_VALUE"""),"โรงเรียนการบิน กำแพงแสน")</f>
        <v>โรงเรียนการบิน กำแพงแสน</v>
      </c>
      <c r="J706" s="12">
        <f>IFERROR(__xludf.DUMMYFUNCTION("""COMPUTED_VALUE"""),46122.0)</f>
        <v>46122</v>
      </c>
      <c r="K706" s="3" t="str">
        <f>IFERROR(__xludf.DUMMYFUNCTION("""COMPUTED_VALUE"""),"0600-1400")</f>
        <v>0600-1400</v>
      </c>
      <c r="L706" s="3">
        <f>IFERROR(__xludf.DUMMYFUNCTION("""COMPUTED_VALUE"""),8.0)</f>
        <v>8</v>
      </c>
      <c r="M70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06" s="14" t="str">
        <f>IFERROR(__xludf.DUMMYFUNCTION("""COMPUTED_VALUE"""),"https://lh5.googleusercontent.com/d/1m01XKwDtWx3zA3lUmtXKpMmYLQmdvjim")</f>
        <v>https://lh5.googleusercontent.com/d/1m01XKwDtWx3zA3lUmtXKpMmYLQmdvjim</v>
      </c>
      <c r="O706" s="14" t="str">
        <f>IFERROR(__xludf.DUMMYFUNCTION("""COMPUTED_VALUE"""),"https://drive.google.com/file/d/1PeQeD_43ZM4rpD24rEUcV6KlGgYwYjYS/view?usp=drivesdk")</f>
        <v>https://drive.google.com/file/d/1PeQeD_43ZM4rpD24rEUcV6KlGgYwYjYS/view?usp=drivesdk</v>
      </c>
    </row>
    <row r="707">
      <c r="A707" s="3">
        <f>IFERROR(__xludf.DUMMYFUNCTION("""COMPUTED_VALUE"""),2762.0)</f>
        <v>2762</v>
      </c>
      <c r="B707" s="11">
        <f>IFERROR(__xludf.DUMMYFUNCTION("""COMPUTED_VALUE"""),46176.37615622685)</f>
        <v>46176.37616</v>
      </c>
      <c r="C707" s="3" t="str">
        <f>IFERROR(__xludf.DUMMYFUNCTION("""COMPUTED_VALUE"""),"ชั้นปีที่ 1")</f>
        <v>ชั้นปีที่ 1</v>
      </c>
      <c r="D707" s="3" t="str">
        <f>IFERROR(__xludf.DUMMYFUNCTION("""COMPUTED_VALUE"""),"6803926")</f>
        <v>6803926</v>
      </c>
      <c r="E707" s="3" t="str">
        <f>IFERROR(__xludf.DUMMYFUNCTION("""COMPUTED_VALUE"""),"45")</f>
        <v>45</v>
      </c>
      <c r="F707" s="3" t="str">
        <f>IFERROR(__xludf.DUMMYFUNCTION("""COMPUTED_VALUE"""),"นพอ.ภัทราพร ถึงกัน")</f>
        <v>นพอ.ภัทราพร ถึงกัน</v>
      </c>
      <c r="G707" s="3" t="str">
        <f>IFERROR(__xludf.DUMMYFUNCTION("""COMPUTED_VALUE"""),"ช่วยเหลืองานภายใน วพอ.")</f>
        <v>ช่วยเหลืองานภายใน วพอ.</v>
      </c>
      <c r="H707" s="3" t="str">
        <f>IFERROR(__xludf.DUMMYFUNCTION("""COMPUTED_VALUE"""),"ซ้องานพิธีมอบหมวกพยาบาลวิชาชีพ ปีการศึกษา 2568")</f>
        <v>ซ้องานพิธีมอบหมวกพยาบาลวิชาชีพ ปีการศึกษา 2568</v>
      </c>
      <c r="I707" s="3" t="str">
        <f>IFERROR(__xludf.DUMMYFUNCTION("""COMPUTED_VALUE"""),"วพอ.พอ.")</f>
        <v>วพอ.พอ.</v>
      </c>
      <c r="J707" s="12">
        <f>IFERROR(__xludf.DUMMYFUNCTION("""COMPUTED_VALUE"""),46134.0)</f>
        <v>46134</v>
      </c>
      <c r="K707" s="3" t="str">
        <f>IFERROR(__xludf.DUMMYFUNCTION("""COMPUTED_VALUE"""),"1700-2100")</f>
        <v>1700-2100</v>
      </c>
      <c r="L707" s="3">
        <f>IFERROR(__xludf.DUMMYFUNCTION("""COMPUTED_VALUE"""),4.0)</f>
        <v>4</v>
      </c>
      <c r="M707" s="3" t="str">
        <f>IFERROR(__xludf.DUMMYFUNCTION("""COMPUTED_VALUE"""),"ร.อ.อนุชิตทำจะดี")</f>
        <v>ร.อ.อนุชิตทำจะดี</v>
      </c>
      <c r="N707" s="14" t="str">
        <f>IFERROR(__xludf.DUMMYFUNCTION("""COMPUTED_VALUE"""),"https://lh5.googleusercontent.com/d/1NPYXfkFBAqs-7yDyX4ZfCGkX01Ea_33j")</f>
        <v>https://lh5.googleusercontent.com/d/1NPYXfkFBAqs-7yDyX4ZfCGkX01Ea_33j</v>
      </c>
      <c r="O707" s="14" t="str">
        <f>IFERROR(__xludf.DUMMYFUNCTION("""COMPUTED_VALUE"""),"https://drive.google.com/file/d/17XDrkXZ9jXMSkx40MCd7SqBhZo8FInv0/view?usp=drivesdk")</f>
        <v>https://drive.google.com/file/d/17XDrkXZ9jXMSkx40MCd7SqBhZo8FInv0/view?usp=drivesdk</v>
      </c>
    </row>
    <row r="708">
      <c r="A708" s="3">
        <f>IFERROR(__xludf.DUMMYFUNCTION("""COMPUTED_VALUE"""),2763.0)</f>
        <v>2763</v>
      </c>
      <c r="B708" s="11">
        <f>IFERROR(__xludf.DUMMYFUNCTION("""COMPUTED_VALUE"""),46176.37693658565)</f>
        <v>46176.37694</v>
      </c>
      <c r="C708" s="3" t="str">
        <f>IFERROR(__xludf.DUMMYFUNCTION("""COMPUTED_VALUE"""),"ชั้นปีที่ 1")</f>
        <v>ชั้นปีที่ 1</v>
      </c>
      <c r="D708" s="3" t="str">
        <f>IFERROR(__xludf.DUMMYFUNCTION("""COMPUTED_VALUE"""),"6803932")</f>
        <v>6803932</v>
      </c>
      <c r="E708" s="3" t="str">
        <f>IFERROR(__xludf.DUMMYFUNCTION("""COMPUTED_VALUE"""),"51")</f>
        <v>51</v>
      </c>
      <c r="F708" s="3" t="str">
        <f>IFERROR(__xludf.DUMMYFUNCTION("""COMPUTED_VALUE"""),"รตนพร สินทรัพย์")</f>
        <v>รตนพร สินทรัพย์</v>
      </c>
      <c r="G708" s="3" t="str">
        <f>IFERROR(__xludf.DUMMYFUNCTION("""COMPUTED_VALUE"""),"ช่วยเหลืองานภายใน วพอ.")</f>
        <v>ช่วยเหลืองานภายใน วพอ.</v>
      </c>
      <c r="H708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708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708" s="12">
        <f>IFERROR(__xludf.DUMMYFUNCTION("""COMPUTED_VALUE"""),46139.0)</f>
        <v>46139</v>
      </c>
      <c r="K708" s="3" t="str">
        <f>IFERROR(__xludf.DUMMYFUNCTION("""COMPUTED_VALUE"""),"1700 -2100")</f>
        <v>1700 -2100</v>
      </c>
      <c r="L708" s="3">
        <f>IFERROR(__xludf.DUMMYFUNCTION("""COMPUTED_VALUE"""),4.0)</f>
        <v>4</v>
      </c>
      <c r="M708" s="3" t="str">
        <f>IFERROR(__xludf.DUMMYFUNCTION("""COMPUTED_VALUE"""),"ร.อ.อนุชิต ทำจะดี")</f>
        <v>ร.อ.อนุชิต ทำจะดี</v>
      </c>
      <c r="N708" s="14" t="str">
        <f>IFERROR(__xludf.DUMMYFUNCTION("""COMPUTED_VALUE"""),"https://lh5.googleusercontent.com/d/1kw2rkhBh0I1qOS8Hoc0_7UwHRcF1Emm0")</f>
        <v>https://lh5.googleusercontent.com/d/1kw2rkhBh0I1qOS8Hoc0_7UwHRcF1Emm0</v>
      </c>
      <c r="O708" s="14" t="str">
        <f>IFERROR(__xludf.DUMMYFUNCTION("""COMPUTED_VALUE"""),"https://drive.google.com/file/d/1IaAWIjM_7y72Rjewnnmy_hsd_Bs-oZJz/view?usp=drivesdk")</f>
        <v>https://drive.google.com/file/d/1IaAWIjM_7y72Rjewnnmy_hsd_Bs-oZJz/view?usp=drivesdk</v>
      </c>
    </row>
    <row r="709">
      <c r="A709" s="3">
        <f>IFERROR(__xludf.DUMMYFUNCTION("""COMPUTED_VALUE"""),2764.0)</f>
        <v>2764</v>
      </c>
      <c r="B709" s="11">
        <f>IFERROR(__xludf.DUMMYFUNCTION("""COMPUTED_VALUE"""),46176.37746870371)</f>
        <v>46176.37747</v>
      </c>
      <c r="C709" s="3" t="str">
        <f>IFERROR(__xludf.DUMMYFUNCTION("""COMPUTED_VALUE"""),"ชั้นปีที่ 1")</f>
        <v>ชั้นปีที่ 1</v>
      </c>
      <c r="D709" s="3" t="str">
        <f>IFERROR(__xludf.DUMMYFUNCTION("""COMPUTED_VALUE"""),"6803928")</f>
        <v>6803928</v>
      </c>
      <c r="E709" s="3" t="str">
        <f>IFERROR(__xludf.DUMMYFUNCTION("""COMPUTED_VALUE"""),"47")</f>
        <v>47</v>
      </c>
      <c r="F709" s="3" t="str">
        <f>IFERROR(__xludf.DUMMYFUNCTION("""COMPUTED_VALUE"""),"นพอ.มนัญชยา สุขพี้")</f>
        <v>นพอ.มนัญชยา สุขพี้</v>
      </c>
      <c r="G709" s="3" t="str">
        <f>IFERROR(__xludf.DUMMYFUNCTION("""COMPUTED_VALUE"""),"ช่วยเหลืองานภายใน วพอ.")</f>
        <v>ช่วยเหลืองานภายใน วพอ.</v>
      </c>
      <c r="H709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709" s="3" t="str">
        <f>IFERROR(__xludf.DUMMYFUNCTION("""COMPUTED_VALUE"""),"อาคารสำนักงานชั้น 4")</f>
        <v>อาคารสำนักงานชั้น 4</v>
      </c>
      <c r="J709" s="12">
        <f>IFERROR(__xludf.DUMMYFUNCTION("""COMPUTED_VALUE"""),46147.0)</f>
        <v>46147</v>
      </c>
      <c r="K709" s="3" t="str">
        <f>IFERROR(__xludf.DUMMYFUNCTION("""COMPUTED_VALUE"""),"1500-1800")</f>
        <v>1500-1800</v>
      </c>
      <c r="L709" s="3">
        <f>IFERROR(__xludf.DUMMYFUNCTION("""COMPUTED_VALUE"""),3.0)</f>
        <v>3</v>
      </c>
      <c r="M709" s="3" t="str">
        <f>IFERROR(__xludf.DUMMYFUNCTION("""COMPUTED_VALUE"""),"น.ต.ศักชัย บุญประสิทธิ์")</f>
        <v>น.ต.ศักชัย บุญประสิทธิ์</v>
      </c>
      <c r="N709" s="14" t="str">
        <f>IFERROR(__xludf.DUMMYFUNCTION("""COMPUTED_VALUE"""),"https://lh5.googleusercontent.com/d/1qChOeXSPjXJhNJN_8gxXiZv14xUtKqSz")</f>
        <v>https://lh5.googleusercontent.com/d/1qChOeXSPjXJhNJN_8gxXiZv14xUtKqSz</v>
      </c>
      <c r="O709" s="14" t="str">
        <f>IFERROR(__xludf.DUMMYFUNCTION("""COMPUTED_VALUE"""),"https://drive.google.com/file/d/1zMczC8RMimbMoy_xqJr7TZs3YL2u61Li/view?usp=drivesdk")</f>
        <v>https://drive.google.com/file/d/1zMczC8RMimbMoy_xqJr7TZs3YL2u61Li/view?usp=drivesdk</v>
      </c>
    </row>
    <row r="710">
      <c r="A710" s="3">
        <f>IFERROR(__xludf.DUMMYFUNCTION("""COMPUTED_VALUE"""),2765.0)</f>
        <v>2765</v>
      </c>
      <c r="B710" s="11">
        <f>IFERROR(__xludf.DUMMYFUNCTION("""COMPUTED_VALUE"""),46176.37777803241)</f>
        <v>46176.37778</v>
      </c>
      <c r="C710" s="3" t="str">
        <f>IFERROR(__xludf.DUMMYFUNCTION("""COMPUTED_VALUE"""),"ชั้นปีที่ 1")</f>
        <v>ชั้นปีที่ 1</v>
      </c>
      <c r="D710" s="3" t="str">
        <f>IFERROR(__xludf.DUMMYFUNCTION("""COMPUTED_VALUE"""),"6803926")</f>
        <v>6803926</v>
      </c>
      <c r="E710" s="3" t="str">
        <f>IFERROR(__xludf.DUMMYFUNCTION("""COMPUTED_VALUE"""),"45")</f>
        <v>45</v>
      </c>
      <c r="F710" s="3" t="str">
        <f>IFERROR(__xludf.DUMMYFUNCTION("""COMPUTED_VALUE"""),"นพอ.ภัทราพร ถึงกัน")</f>
        <v>นพอ.ภัทราพร ถึงกัน</v>
      </c>
      <c r="G710" s="3" t="str">
        <f>IFERROR(__xludf.DUMMYFUNCTION("""COMPUTED_VALUE"""),"ช่วยเหลืองานภายใน วพอ.")</f>
        <v>ช่วยเหลืองานภายใน วพอ.</v>
      </c>
      <c r="H71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10" s="3" t="str">
        <f>IFERROR(__xludf.DUMMYFUNCTION("""COMPUTED_VALUE"""),"วพอ.พอ.")</f>
        <v>วพอ.พอ.</v>
      </c>
      <c r="J710" s="12">
        <f>IFERROR(__xludf.DUMMYFUNCTION("""COMPUTED_VALUE"""),46135.0)</f>
        <v>46135</v>
      </c>
      <c r="K710" s="3" t="str">
        <f>IFERROR(__xludf.DUMMYFUNCTION("""COMPUTED_VALUE"""),"1700-2100")</f>
        <v>1700-2100</v>
      </c>
      <c r="L710" s="3">
        <f>IFERROR(__xludf.DUMMYFUNCTION("""COMPUTED_VALUE"""),4.0)</f>
        <v>4</v>
      </c>
      <c r="M710" s="3" t="str">
        <f>IFERROR(__xludf.DUMMYFUNCTION("""COMPUTED_VALUE"""),"ร.อ.อนุชิต ทำจะดี")</f>
        <v>ร.อ.อนุชิต ทำจะดี</v>
      </c>
      <c r="N710" s="14" t="str">
        <f>IFERROR(__xludf.DUMMYFUNCTION("""COMPUTED_VALUE"""),"https://lh5.googleusercontent.com/d/1Qh9EYvUjBy8etGnzWiBzioQTCd05eXLo")</f>
        <v>https://lh5.googleusercontent.com/d/1Qh9EYvUjBy8etGnzWiBzioQTCd05eXLo</v>
      </c>
      <c r="O710" s="14" t="str">
        <f>IFERROR(__xludf.DUMMYFUNCTION("""COMPUTED_VALUE"""),"https://drive.google.com/file/d/1Bw2-dokchdcMXl77TMdfpn5dPOQGhgMT/view?usp=drivesdk")</f>
        <v>https://drive.google.com/file/d/1Bw2-dokchdcMXl77TMdfpn5dPOQGhgMT/view?usp=drivesdk</v>
      </c>
    </row>
    <row r="711">
      <c r="A711" s="3">
        <f>IFERROR(__xludf.DUMMYFUNCTION("""COMPUTED_VALUE"""),2766.0)</f>
        <v>2766</v>
      </c>
      <c r="B711" s="11">
        <f>IFERROR(__xludf.DUMMYFUNCTION("""COMPUTED_VALUE"""),46176.378777418984)</f>
        <v>46176.37878</v>
      </c>
      <c r="C711" s="3" t="str">
        <f>IFERROR(__xludf.DUMMYFUNCTION("""COMPUTED_VALUE"""),"ชั้นปีที่ 1")</f>
        <v>ชั้นปีที่ 1</v>
      </c>
      <c r="D711" s="3" t="str">
        <f>IFERROR(__xludf.DUMMYFUNCTION("""COMPUTED_VALUE"""),"6803928")</f>
        <v>6803928</v>
      </c>
      <c r="E711" s="3" t="str">
        <f>IFERROR(__xludf.DUMMYFUNCTION("""COMPUTED_VALUE"""),"47")</f>
        <v>47</v>
      </c>
      <c r="F711" s="3" t="str">
        <f>IFERROR(__xludf.DUMMYFUNCTION("""COMPUTED_VALUE"""),"นพอ.มนัญชยา สุขพี้")</f>
        <v>นพอ.มนัญชยา สุขพี้</v>
      </c>
      <c r="G711" s="3" t="str">
        <f>IFERROR(__xludf.DUMMYFUNCTION("""COMPUTED_VALUE"""),"ช่วยเหลืองานภายใน วพอ.")</f>
        <v>ช่วยเหลืองานภายใน วพอ.</v>
      </c>
      <c r="H711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711" s="3" t="str">
        <f>IFERROR(__xludf.DUMMYFUNCTION("""COMPUTED_VALUE"""),"ลานข้างหอพัก")</f>
        <v>ลานข้างหอพัก</v>
      </c>
      <c r="J711" s="12">
        <f>IFERROR(__xludf.DUMMYFUNCTION("""COMPUTED_VALUE"""),46164.0)</f>
        <v>46164</v>
      </c>
      <c r="K711" s="3" t="str">
        <f>IFERROR(__xludf.DUMMYFUNCTION("""COMPUTED_VALUE"""),"1500-1700")</f>
        <v>1500-1700</v>
      </c>
      <c r="L711" s="3">
        <f>IFERROR(__xludf.DUMMYFUNCTION("""COMPUTED_VALUE"""),2.0)</f>
        <v>2</v>
      </c>
      <c r="M711" s="3" t="str">
        <f>IFERROR(__xludf.DUMMYFUNCTION("""COMPUTED_VALUE"""),"น.อ.หญิง นิตยา สุขแสน")</f>
        <v>น.อ.หญิง นิตยา สุขแสน</v>
      </c>
      <c r="N711" s="14" t="str">
        <f>IFERROR(__xludf.DUMMYFUNCTION("""COMPUTED_VALUE"""),"https://lh5.googleusercontent.com/d/1q0iAUcFE4W6jI3QFfKvrXewwb6gxcpNp")</f>
        <v>https://lh5.googleusercontent.com/d/1q0iAUcFE4W6jI3QFfKvrXewwb6gxcpNp</v>
      </c>
      <c r="O711" s="14" t="str">
        <f>IFERROR(__xludf.DUMMYFUNCTION("""COMPUTED_VALUE"""),"https://drive.google.com/file/d/1Ye9RIG8dsxMA04LXOiWVefhBc9v-G2Kd/view?usp=drivesdk")</f>
        <v>https://drive.google.com/file/d/1Ye9RIG8dsxMA04LXOiWVefhBc9v-G2Kd/view?usp=drivesdk</v>
      </c>
    </row>
    <row r="712">
      <c r="A712" s="3">
        <f>IFERROR(__xludf.DUMMYFUNCTION("""COMPUTED_VALUE"""),2767.0)</f>
        <v>2767</v>
      </c>
      <c r="B712" s="11">
        <f>IFERROR(__xludf.DUMMYFUNCTION("""COMPUTED_VALUE"""),46176.379630057876)</f>
        <v>46176.37963</v>
      </c>
      <c r="C712" s="3" t="str">
        <f>IFERROR(__xludf.DUMMYFUNCTION("""COMPUTED_VALUE"""),"ชั้นปีที่ 1")</f>
        <v>ชั้นปีที่ 1</v>
      </c>
      <c r="D712" s="3" t="str">
        <f>IFERROR(__xludf.DUMMYFUNCTION("""COMPUTED_VALUE"""),"6803926")</f>
        <v>6803926</v>
      </c>
      <c r="E712" s="3" t="str">
        <f>IFERROR(__xludf.DUMMYFUNCTION("""COMPUTED_VALUE"""),"45")</f>
        <v>45</v>
      </c>
      <c r="F712" s="3" t="str">
        <f>IFERROR(__xludf.DUMMYFUNCTION("""COMPUTED_VALUE"""),"นพอ.ภัทราพร ถึงกัน")</f>
        <v>นพอ.ภัทราพร ถึงกัน</v>
      </c>
      <c r="G712" s="3" t="str">
        <f>IFERROR(__xludf.DUMMYFUNCTION("""COMPUTED_VALUE"""),"ช่วยเหลืองานภายใน วพอ.")</f>
        <v>ช่วยเหลืองานภายใน วพอ.</v>
      </c>
      <c r="H71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12" s="3" t="str">
        <f>IFERROR(__xludf.DUMMYFUNCTION("""COMPUTED_VALUE"""),"วพอ.พอ.")</f>
        <v>วพอ.พอ.</v>
      </c>
      <c r="J712" s="12">
        <f>IFERROR(__xludf.DUMMYFUNCTION("""COMPUTED_VALUE"""),46138.0)</f>
        <v>46138</v>
      </c>
      <c r="K712" s="3" t="str">
        <f>IFERROR(__xludf.DUMMYFUNCTION("""COMPUTED_VALUE"""),"1300-2100")</f>
        <v>1300-2100</v>
      </c>
      <c r="L712" s="3">
        <f>IFERROR(__xludf.DUMMYFUNCTION("""COMPUTED_VALUE"""),8.0)</f>
        <v>8</v>
      </c>
      <c r="M712" s="3" t="str">
        <f>IFERROR(__xludf.DUMMYFUNCTION("""COMPUTED_VALUE"""),"ร.อ.อนุชิต ทำจะดี")</f>
        <v>ร.อ.อนุชิต ทำจะดี</v>
      </c>
      <c r="N712" s="14" t="str">
        <f>IFERROR(__xludf.DUMMYFUNCTION("""COMPUTED_VALUE"""),"https://lh5.googleusercontent.com/d/17xd8pW0CJXzL9wN3EwbSxFBqRrqhD23z")</f>
        <v>https://lh5.googleusercontent.com/d/17xd8pW0CJXzL9wN3EwbSxFBqRrqhD23z</v>
      </c>
      <c r="O712" s="14" t="str">
        <f>IFERROR(__xludf.DUMMYFUNCTION("""COMPUTED_VALUE"""),"https://drive.google.com/file/d/1XCew-Njs5_QjIXsLR6cxn2vip1n2spQF/view?usp=drivesdk")</f>
        <v>https://drive.google.com/file/d/1XCew-Njs5_QjIXsLR6cxn2vip1n2spQF/view?usp=drivesdk</v>
      </c>
    </row>
    <row r="713">
      <c r="A713" s="3">
        <f>IFERROR(__xludf.DUMMYFUNCTION("""COMPUTED_VALUE"""),2768.0)</f>
        <v>2768</v>
      </c>
      <c r="B713" s="11">
        <f>IFERROR(__xludf.DUMMYFUNCTION("""COMPUTED_VALUE"""),46176.380738125)</f>
        <v>46176.38074</v>
      </c>
      <c r="C713" s="3" t="str">
        <f>IFERROR(__xludf.DUMMYFUNCTION("""COMPUTED_VALUE"""),"ชั้นปีที่ 1")</f>
        <v>ชั้นปีที่ 1</v>
      </c>
      <c r="D713" s="3" t="str">
        <f>IFERROR(__xludf.DUMMYFUNCTION("""COMPUTED_VALUE"""),"6803941")</f>
        <v>6803941</v>
      </c>
      <c r="E713" s="3" t="str">
        <f>IFERROR(__xludf.DUMMYFUNCTION("""COMPUTED_VALUE"""),"60")</f>
        <v>60</v>
      </c>
      <c r="F713" s="3" t="str">
        <f>IFERROR(__xludf.DUMMYFUNCTION("""COMPUTED_VALUE"""),"นพอ.(ช)อครา คำท้วม")</f>
        <v>นพอ.(ช)อครา คำท้วม</v>
      </c>
      <c r="G713" s="3" t="str">
        <f>IFERROR(__xludf.DUMMYFUNCTION("""COMPUTED_VALUE"""),"ช่วยเหลืองานภายใน วพอ.")</f>
        <v>ช่วยเหลืองานภายใน วพอ.</v>
      </c>
      <c r="H713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713" s="3" t="str">
        <f>IFERROR(__xludf.DUMMYFUNCTION("""COMPUTED_VALUE"""),"อาคารสำนักงานชั้น4")</f>
        <v>อาคารสำนักงานชั้น4</v>
      </c>
      <c r="J713" s="12">
        <f>IFERROR(__xludf.DUMMYFUNCTION("""COMPUTED_VALUE"""),46147.0)</f>
        <v>46147</v>
      </c>
      <c r="K713" s="3" t="str">
        <f>IFERROR(__xludf.DUMMYFUNCTION("""COMPUTED_VALUE"""),"1500-1800")</f>
        <v>1500-1800</v>
      </c>
      <c r="L713" s="3">
        <f>IFERROR(__xludf.DUMMYFUNCTION("""COMPUTED_VALUE"""),3.0)</f>
        <v>3</v>
      </c>
      <c r="M713" s="3" t="str">
        <f>IFERROR(__xludf.DUMMYFUNCTION("""COMPUTED_VALUE"""),"น.ต.ศักชัย บุญประสิทธิ์")</f>
        <v>น.ต.ศักชัย บุญประสิทธิ์</v>
      </c>
      <c r="N713" s="14" t="str">
        <f>IFERROR(__xludf.DUMMYFUNCTION("""COMPUTED_VALUE"""),"https://lh5.googleusercontent.com/d/1OTn5jSDMJEWU1GgjH3bXOYaDNeMAXD_h")</f>
        <v>https://lh5.googleusercontent.com/d/1OTn5jSDMJEWU1GgjH3bXOYaDNeMAXD_h</v>
      </c>
      <c r="O713" s="14" t="str">
        <f>IFERROR(__xludf.DUMMYFUNCTION("""COMPUTED_VALUE"""),"https://drive.google.com/file/d/12_2g8RoXbxzDIn11lWaRdzf6KG3Kq9TQ/view?usp=drivesdk")</f>
        <v>https://drive.google.com/file/d/12_2g8RoXbxzDIn11lWaRdzf6KG3Kq9TQ/view?usp=drivesdk</v>
      </c>
    </row>
    <row r="714">
      <c r="A714" s="3">
        <f>IFERROR(__xludf.DUMMYFUNCTION("""COMPUTED_VALUE"""),2769.0)</f>
        <v>2769</v>
      </c>
      <c r="B714" s="11">
        <f>IFERROR(__xludf.DUMMYFUNCTION("""COMPUTED_VALUE"""),46176.382593912036)</f>
        <v>46176.38259</v>
      </c>
      <c r="C714" s="3" t="str">
        <f>IFERROR(__xludf.DUMMYFUNCTION("""COMPUTED_VALUE"""),"ชั้นปีที่ 1")</f>
        <v>ชั้นปีที่ 1</v>
      </c>
      <c r="D714" s="3" t="str">
        <f>IFERROR(__xludf.DUMMYFUNCTION("""COMPUTED_VALUE"""),"6803929")</f>
        <v>6803929</v>
      </c>
      <c r="E714" s="3" t="str">
        <f>IFERROR(__xludf.DUMMYFUNCTION("""COMPUTED_VALUE"""),"48")</f>
        <v>48</v>
      </c>
      <c r="F714" s="3" t="str">
        <f>IFERROR(__xludf.DUMMYFUNCTION("""COMPUTED_VALUE"""),"นพอ.ยลภาม ลำดับวงพุฒิปาณ")</f>
        <v>นพอ.ยลภาม ลำดับวงพุฒิปาณ</v>
      </c>
      <c r="G714" s="3" t="str">
        <f>IFERROR(__xludf.DUMMYFUNCTION("""COMPUTED_VALUE"""),"งานฟรีทั่วไป")</f>
        <v>งานฟรีทั่วไป</v>
      </c>
      <c r="H714" s="3" t="str">
        <f>IFERROR(__xludf.DUMMYFUNCTION("""COMPUTED_VALUE"""),"ช่วยพ่อขัดระเบียง")</f>
        <v>ช่วยพ่อขัดระเบียง</v>
      </c>
      <c r="I714" s="3" t="str">
        <f>IFERROR(__xludf.DUMMYFUNCTION("""COMPUTED_VALUE"""),"บ้าน")</f>
        <v>บ้าน</v>
      </c>
      <c r="J714" s="12">
        <f>IFERROR(__xludf.DUMMYFUNCTION("""COMPUTED_VALUE"""),46145.0)</f>
        <v>46145</v>
      </c>
      <c r="K714" s="3" t="str">
        <f>IFERROR(__xludf.DUMMYFUNCTION("""COMPUTED_VALUE"""),"1700-1800")</f>
        <v>1700-1800</v>
      </c>
      <c r="L714" s="3">
        <f>IFERROR(__xludf.DUMMYFUNCTION("""COMPUTED_VALUE"""),1.0)</f>
        <v>1</v>
      </c>
      <c r="M714" s="3" t="str">
        <f>IFERROR(__xludf.DUMMYFUNCTION("""COMPUTED_VALUE"""),"นายชโยภณ ลำดับวงพุฒิปาณ")</f>
        <v>นายชโยภณ ลำดับวงพุฒิปาณ</v>
      </c>
      <c r="N714" s="14" t="str">
        <f>IFERROR(__xludf.DUMMYFUNCTION("""COMPUTED_VALUE"""),"https://lh5.googleusercontent.com/d/1LlJAU6eQdsA1l-eR4PrKj29Zn6r3-eIq")</f>
        <v>https://lh5.googleusercontent.com/d/1LlJAU6eQdsA1l-eR4PrKj29Zn6r3-eIq</v>
      </c>
      <c r="O714" s="14" t="str">
        <f>IFERROR(__xludf.DUMMYFUNCTION("""COMPUTED_VALUE"""),"https://drive.google.com/file/d/1QKWJdJj6_UxBkXwx7yJ2VEibbmBW7tJu/view?usp=drivesdk")</f>
        <v>https://drive.google.com/file/d/1QKWJdJj6_UxBkXwx7yJ2VEibbmBW7tJu/view?usp=drivesdk</v>
      </c>
    </row>
    <row r="715">
      <c r="A715" s="3">
        <f>IFERROR(__xludf.DUMMYFUNCTION("""COMPUTED_VALUE"""),2771.0)</f>
        <v>2771</v>
      </c>
      <c r="B715" s="11">
        <f>IFERROR(__xludf.DUMMYFUNCTION("""COMPUTED_VALUE"""),46176.40242481481)</f>
        <v>46176.40242</v>
      </c>
      <c r="C715" s="3" t="str">
        <f>IFERROR(__xludf.DUMMYFUNCTION("""COMPUTED_VALUE"""),"ชั้นปีที่ 1")</f>
        <v>ชั้นปีที่ 1</v>
      </c>
      <c r="D715" s="3" t="str">
        <f>IFERROR(__xludf.DUMMYFUNCTION("""COMPUTED_VALUE"""),"6803924")</f>
        <v>6803924</v>
      </c>
      <c r="E715" s="3" t="str">
        <f>IFERROR(__xludf.DUMMYFUNCTION("""COMPUTED_VALUE"""),"43")</f>
        <v>43</v>
      </c>
      <c r="F715" s="3" t="str">
        <f>IFERROR(__xludf.DUMMYFUNCTION("""COMPUTED_VALUE"""),"พีรชา แสงไทย")</f>
        <v>พีรชา แสงไทย</v>
      </c>
      <c r="G715" s="3" t="str">
        <f>IFERROR(__xludf.DUMMYFUNCTION("""COMPUTED_VALUE"""),"ช่วยเหลืองานภายใน วพอ.")</f>
        <v>ช่วยเหลืองานภายใน วพอ.</v>
      </c>
      <c r="H715" s="3" t="str">
        <f>IFERROR(__xludf.DUMMYFUNCTION("""COMPUTED_VALUE"""),"เก็บหิน")</f>
        <v>เก็บหิน</v>
      </c>
      <c r="I715" s="3" t="str">
        <f>IFERROR(__xludf.DUMMYFUNCTION("""COMPUTED_VALUE"""),"วพอ.")</f>
        <v>วพอ.</v>
      </c>
      <c r="J715" s="12">
        <f>IFERROR(__xludf.DUMMYFUNCTION("""COMPUTED_VALUE"""),46164.0)</f>
        <v>46164</v>
      </c>
      <c r="K715" s="3" t="str">
        <f>IFERROR(__xludf.DUMMYFUNCTION("""COMPUTED_VALUE"""),"1500-1700")</f>
        <v>1500-1700</v>
      </c>
      <c r="L715" s="3">
        <f>IFERROR(__xludf.DUMMYFUNCTION("""COMPUTED_VALUE"""),2.0)</f>
        <v>2</v>
      </c>
      <c r="M715" s="3" t="str">
        <f>IFERROR(__xludf.DUMMYFUNCTION("""COMPUTED_VALUE"""),"น.อ.หญิง นิตยา สุขแสน")</f>
        <v>น.อ.หญิง นิตยา สุขแสน</v>
      </c>
      <c r="N715" s="14" t="str">
        <f>IFERROR(__xludf.DUMMYFUNCTION("""COMPUTED_VALUE"""),"https://lh5.googleusercontent.com/d/10w-cmP5Gd2FUgQPki3vuDVLMm_-PgWql")</f>
        <v>https://lh5.googleusercontent.com/d/10w-cmP5Gd2FUgQPki3vuDVLMm_-PgWql</v>
      </c>
      <c r="O715" s="14" t="str">
        <f>IFERROR(__xludf.DUMMYFUNCTION("""COMPUTED_VALUE"""),"https://drive.google.com/file/d/1T1_Gskva-tUGGKNYDytezSvt9eYiQzPd/view?usp=drivesdk")</f>
        <v>https://drive.google.com/file/d/1T1_Gskva-tUGGKNYDytezSvt9eYiQzPd/view?usp=drivesdk</v>
      </c>
    </row>
    <row r="716">
      <c r="A716" s="3">
        <f>IFERROR(__xludf.DUMMYFUNCTION("""COMPUTED_VALUE"""),2773.0)</f>
        <v>2773</v>
      </c>
      <c r="B716" s="11">
        <f>IFERROR(__xludf.DUMMYFUNCTION("""COMPUTED_VALUE"""),46176.40845659723)</f>
        <v>46176.40846</v>
      </c>
      <c r="C716" s="3" t="str">
        <f>IFERROR(__xludf.DUMMYFUNCTION("""COMPUTED_VALUE"""),"ชั้นปีที่ 1")</f>
        <v>ชั้นปีที่ 1</v>
      </c>
      <c r="D716" s="3" t="str">
        <f>IFERROR(__xludf.DUMMYFUNCTION("""COMPUTED_VALUE"""),"6803883")</f>
        <v>6803883</v>
      </c>
      <c r="E716" s="3" t="str">
        <f>IFERROR(__xludf.DUMMYFUNCTION("""COMPUTED_VALUE"""),"2")</f>
        <v>2</v>
      </c>
      <c r="F716" s="3" t="str">
        <f>IFERROR(__xludf.DUMMYFUNCTION("""COMPUTED_VALUE"""),"นพอ.กรชนก หน่อทิม")</f>
        <v>นพอ.กรชนก หน่อทิม</v>
      </c>
      <c r="G716" s="3" t="str">
        <f>IFERROR(__xludf.DUMMYFUNCTION("""COMPUTED_VALUE"""),"งานฟรีทั่วไป")</f>
        <v>งานฟรีทั่วไป</v>
      </c>
      <c r="H716" s="3" t="str">
        <f>IFERROR(__xludf.DUMMYFUNCTION("""COMPUTED_VALUE"""),"ช่วยพ่อเอาเรือลง")</f>
        <v>ช่วยพ่อเอาเรือลง</v>
      </c>
      <c r="I716" s="3" t="str">
        <f>IFERROR(__xludf.DUMMYFUNCTION("""COMPUTED_VALUE"""),"กองบิน 5")</f>
        <v>กองบิน 5</v>
      </c>
      <c r="J716" s="12">
        <f>IFERROR(__xludf.DUMMYFUNCTION("""COMPUTED_VALUE"""),46124.0)</f>
        <v>46124</v>
      </c>
      <c r="K716" s="3" t="str">
        <f>IFERROR(__xludf.DUMMYFUNCTION("""COMPUTED_VALUE"""),"0600-0800")</f>
        <v>0600-0800</v>
      </c>
      <c r="L716" s="3">
        <f>IFERROR(__xludf.DUMMYFUNCTION("""COMPUTED_VALUE"""),2.0)</f>
        <v>2</v>
      </c>
      <c r="M716" s="3" t="str">
        <f>IFERROR(__xludf.DUMMYFUNCTION("""COMPUTED_VALUE"""),"น.ต.ปรีดา หน่อทิม")</f>
        <v>น.ต.ปรีดา หน่อทิม</v>
      </c>
      <c r="N716" s="14" t="str">
        <f>IFERROR(__xludf.DUMMYFUNCTION("""COMPUTED_VALUE"""),"https://lh5.googleusercontent.com/d/1zJ9A1dLh8docXpbkj2-Xla4qJVG8eSwP")</f>
        <v>https://lh5.googleusercontent.com/d/1zJ9A1dLh8docXpbkj2-Xla4qJVG8eSwP</v>
      </c>
      <c r="O716" s="14" t="str">
        <f>IFERROR(__xludf.DUMMYFUNCTION("""COMPUTED_VALUE"""),"https://drive.google.com/file/d/1IetE9tCR5JaWA1sJB-HREhbBIg-nDkPZ/view?usp=drivesdk")</f>
        <v>https://drive.google.com/file/d/1IetE9tCR5JaWA1sJB-HREhbBIg-nDkPZ/view?usp=drivesdk</v>
      </c>
    </row>
    <row r="717">
      <c r="A717" s="3">
        <f>IFERROR(__xludf.DUMMYFUNCTION("""COMPUTED_VALUE"""),2774.0)</f>
        <v>2774</v>
      </c>
      <c r="B717" s="11">
        <f>IFERROR(__xludf.DUMMYFUNCTION("""COMPUTED_VALUE"""),46176.40940322917)</f>
        <v>46176.4094</v>
      </c>
      <c r="C717" s="3" t="str">
        <f>IFERROR(__xludf.DUMMYFUNCTION("""COMPUTED_VALUE"""),"ชั้นปีที่ 1")</f>
        <v>ชั้นปีที่ 1</v>
      </c>
      <c r="D717" s="3" t="str">
        <f>IFERROR(__xludf.DUMMYFUNCTION("""COMPUTED_VALUE"""),"6803924")</f>
        <v>6803924</v>
      </c>
      <c r="E717" s="3" t="str">
        <f>IFERROR(__xludf.DUMMYFUNCTION("""COMPUTED_VALUE"""),"43")</f>
        <v>43</v>
      </c>
      <c r="F717" s="3" t="str">
        <f>IFERROR(__xludf.DUMMYFUNCTION("""COMPUTED_VALUE"""),"นพอ.พีรชา แสงไทย")</f>
        <v>นพอ.พีรชา แสงไทย</v>
      </c>
      <c r="G71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17" s="3" t="str">
        <f>IFERROR(__xludf.DUMMYFUNCTION("""COMPUTED_VALUE"""),"งานวันเด็กแห่งชาติ")</f>
        <v>งานวันเด็กแห่งชาติ</v>
      </c>
      <c r="I717" s="3" t="str">
        <f>IFERROR(__xludf.DUMMYFUNCTION("""COMPUTED_VALUE"""),"โรงเรียนการบินกำแพงแสน")</f>
        <v>โรงเรียนการบินกำแพงแสน</v>
      </c>
      <c r="J717" s="12">
        <f>IFERROR(__xludf.DUMMYFUNCTION("""COMPUTED_VALUE"""),46032.0)</f>
        <v>46032</v>
      </c>
      <c r="K717" s="3" t="str">
        <f>IFERROR(__xludf.DUMMYFUNCTION("""COMPUTED_VALUE"""),"0600-1400")</f>
        <v>0600-1400</v>
      </c>
      <c r="L717" s="3">
        <f>IFERROR(__xludf.DUMMYFUNCTION("""COMPUTED_VALUE"""),8.0)</f>
        <v>8</v>
      </c>
      <c r="M71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17" s="14" t="str">
        <f>IFERROR(__xludf.DUMMYFUNCTION("""COMPUTED_VALUE"""),"https://lh5.googleusercontent.com/d/1L_YjsEvjI5GurR-8wMkUj77Qlb2oXZ6Y")</f>
        <v>https://lh5.googleusercontent.com/d/1L_YjsEvjI5GurR-8wMkUj77Qlb2oXZ6Y</v>
      </c>
      <c r="O717" s="14" t="str">
        <f>IFERROR(__xludf.DUMMYFUNCTION("""COMPUTED_VALUE"""),"https://drive.google.com/file/d/1XsOC91jgla5TkpxAbewVnrX5w2nSMzTL/view?usp=drivesdk")</f>
        <v>https://drive.google.com/file/d/1XsOC91jgla5TkpxAbewVnrX5w2nSMzTL/view?usp=drivesdk</v>
      </c>
    </row>
    <row r="718">
      <c r="A718" s="3">
        <f>IFERROR(__xludf.DUMMYFUNCTION("""COMPUTED_VALUE"""),2775.0)</f>
        <v>2775</v>
      </c>
      <c r="B718" s="11">
        <f>IFERROR(__xludf.DUMMYFUNCTION("""COMPUTED_VALUE"""),46176.40947734953)</f>
        <v>46176.40948</v>
      </c>
      <c r="C718" s="3" t="str">
        <f>IFERROR(__xludf.DUMMYFUNCTION("""COMPUTED_VALUE"""),"ชั้นปีที่ 1")</f>
        <v>ชั้นปีที่ 1</v>
      </c>
      <c r="D718" s="3" t="str">
        <f>IFERROR(__xludf.DUMMYFUNCTION("""COMPUTED_VALUE"""),"6803903")</f>
        <v>6803903</v>
      </c>
      <c r="E718" s="3" t="str">
        <f>IFERROR(__xludf.DUMMYFUNCTION("""COMPUTED_VALUE"""),"22")</f>
        <v>22</v>
      </c>
      <c r="F718" s="3" t="str">
        <f>IFERROR(__xludf.DUMMYFUNCTION("""COMPUTED_VALUE"""),"นพอ.ดลณภา คล้ายสุวรรณ์")</f>
        <v>นพอ.ดลณภา คล้ายสุวรรณ์</v>
      </c>
      <c r="G71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18" s="3" t="str">
        <f>IFERROR(__xludf.DUMMYFUNCTION("""COMPUTED_VALUE"""),"พิธีเปิด-ปิดกีฬาภายในกองทัพ")</f>
        <v>พิธีเปิด-ปิดกีฬาภายในกองทัพ</v>
      </c>
      <c r="I718" s="3" t="str">
        <f>IFERROR(__xludf.DUMMYFUNCTION("""COMPUTED_VALUE"""),"สนามกีฬาธูปเตมีย์")</f>
        <v>สนามกีฬาธูปเตมีย์</v>
      </c>
      <c r="J718" s="12">
        <f>IFERROR(__xludf.DUMMYFUNCTION("""COMPUTED_VALUE"""),46078.0)</f>
        <v>46078</v>
      </c>
      <c r="K718" s="3" t="str">
        <f>IFERROR(__xludf.DUMMYFUNCTION("""COMPUTED_VALUE"""),"12:00-20:00")</f>
        <v>12:00-20:00</v>
      </c>
      <c r="L718" s="3">
        <f>IFERROR(__xludf.DUMMYFUNCTION("""COMPUTED_VALUE"""),8.0)</f>
        <v>8</v>
      </c>
      <c r="M71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18" s="14" t="str">
        <f>IFERROR(__xludf.DUMMYFUNCTION("""COMPUTED_VALUE"""),"https://lh5.googleusercontent.com/d/1V7KhHiaqmanESRA1QAO6p2YHTY4vOQeV")</f>
        <v>https://lh5.googleusercontent.com/d/1V7KhHiaqmanESRA1QAO6p2YHTY4vOQeV</v>
      </c>
      <c r="O718" s="14" t="str">
        <f>IFERROR(__xludf.DUMMYFUNCTION("""COMPUTED_VALUE"""),"https://drive.google.com/file/d/1-EvNCfp5_o3d5CMsHqVsFkyCyRACsI2Z/view?usp=drivesdk")</f>
        <v>https://drive.google.com/file/d/1-EvNCfp5_o3d5CMsHqVsFkyCyRACsI2Z/view?usp=drivesdk</v>
      </c>
    </row>
    <row r="719">
      <c r="A719" s="3">
        <f>IFERROR(__xludf.DUMMYFUNCTION("""COMPUTED_VALUE"""),2777.0)</f>
        <v>2777</v>
      </c>
      <c r="B719" s="11">
        <f>IFERROR(__xludf.DUMMYFUNCTION("""COMPUTED_VALUE"""),46176.41166289352)</f>
        <v>46176.41166</v>
      </c>
      <c r="C719" s="3" t="str">
        <f>IFERROR(__xludf.DUMMYFUNCTION("""COMPUTED_VALUE"""),"ชั้นปีที่ 1")</f>
        <v>ชั้นปีที่ 1</v>
      </c>
      <c r="D719" s="3" t="str">
        <f>IFERROR(__xludf.DUMMYFUNCTION("""COMPUTED_VALUE"""),"6803903")</f>
        <v>6803903</v>
      </c>
      <c r="E719" s="3" t="str">
        <f>IFERROR(__xludf.DUMMYFUNCTION("""COMPUTED_VALUE"""),"22")</f>
        <v>22</v>
      </c>
      <c r="F719" s="3" t="str">
        <f>IFERROR(__xludf.DUMMYFUNCTION("""COMPUTED_VALUE"""),"นพอ.ดลณภา คล้ายสุวรรณ์")</f>
        <v>นพอ.ดลณภา คล้ายสุวรรณ์</v>
      </c>
      <c r="G719" s="3" t="str">
        <f>IFERROR(__xludf.DUMMYFUNCTION("""COMPUTED_VALUE"""),"ช่วยเหลืองานภายใน วพอ.")</f>
        <v>ช่วยเหลืองานภายใน วพอ.</v>
      </c>
      <c r="H719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719" s="3" t="str">
        <f>IFERROR(__xludf.DUMMYFUNCTION("""COMPUTED_VALUE"""),"อาคารสำนักงานชั้น 4")</f>
        <v>อาคารสำนักงานชั้น 4</v>
      </c>
      <c r="J719" s="12">
        <f>IFERROR(__xludf.DUMMYFUNCTION("""COMPUTED_VALUE"""),46147.0)</f>
        <v>46147</v>
      </c>
      <c r="K719" s="3" t="str">
        <f>IFERROR(__xludf.DUMMYFUNCTION("""COMPUTED_VALUE"""),"15:00-18:00")</f>
        <v>15:00-18:00</v>
      </c>
      <c r="L719" s="3">
        <f>IFERROR(__xludf.DUMMYFUNCTION("""COMPUTED_VALUE"""),3.0)</f>
        <v>3</v>
      </c>
      <c r="M719" s="3" t="str">
        <f>IFERROR(__xludf.DUMMYFUNCTION("""COMPUTED_VALUE"""),"น.ต.ศักชัย บุญประสิทธิ์")</f>
        <v>น.ต.ศักชัย บุญประสิทธิ์</v>
      </c>
      <c r="N719" s="14" t="str">
        <f>IFERROR(__xludf.DUMMYFUNCTION("""COMPUTED_VALUE"""),"https://lh5.googleusercontent.com/d/1UVr1KBsfpBzXiIEr6xJRT1UFVAe1-3w2")</f>
        <v>https://lh5.googleusercontent.com/d/1UVr1KBsfpBzXiIEr6xJRT1UFVAe1-3w2</v>
      </c>
      <c r="O719" s="14" t="str">
        <f>IFERROR(__xludf.DUMMYFUNCTION("""COMPUTED_VALUE"""),"https://drive.google.com/file/d/1dJa23mYHqznGuqFb9cKg65BzKCtLMHDb/view?usp=drivesdk")</f>
        <v>https://drive.google.com/file/d/1dJa23mYHqznGuqFb9cKg65BzKCtLMHDb/view?usp=drivesdk</v>
      </c>
    </row>
    <row r="720">
      <c r="A720" s="3">
        <f>IFERROR(__xludf.DUMMYFUNCTION("""COMPUTED_VALUE"""),2778.0)</f>
        <v>2778</v>
      </c>
      <c r="B720" s="11">
        <f>IFERROR(__xludf.DUMMYFUNCTION("""COMPUTED_VALUE"""),46176.41198226852)</f>
        <v>46176.41198</v>
      </c>
      <c r="C720" s="3" t="str">
        <f>IFERROR(__xludf.DUMMYFUNCTION("""COMPUTED_VALUE"""),"ชั้นปีที่ 1")</f>
        <v>ชั้นปีที่ 1</v>
      </c>
      <c r="D720" s="3" t="str">
        <f>IFERROR(__xludf.DUMMYFUNCTION("""COMPUTED_VALUE"""),"6803908")</f>
        <v>6803908</v>
      </c>
      <c r="E720" s="3" t="str">
        <f>IFERROR(__xludf.DUMMYFUNCTION("""COMPUTED_VALUE"""),"27")</f>
        <v>27</v>
      </c>
      <c r="F720" s="3" t="str">
        <f>IFERROR(__xludf.DUMMYFUNCTION("""COMPUTED_VALUE"""),"นพอ.นภัสสร บุญรัตน์")</f>
        <v>นพอ.นภัสสร บุญรัตน์</v>
      </c>
      <c r="G720" s="3" t="str">
        <f>IFERROR(__xludf.DUMMYFUNCTION("""COMPUTED_VALUE"""),"ทำนุบำรุงศาสนสถาน")</f>
        <v>ทำนุบำรุงศาสนสถาน</v>
      </c>
      <c r="H720" s="3" t="str">
        <f>IFERROR(__xludf.DUMMYFUNCTION("""COMPUTED_VALUE"""),"ทำบุญวันวิสาขบูชา")</f>
        <v>ทำบุญวันวิสาขบูชา</v>
      </c>
      <c r="I720" s="3" t="str">
        <f>IFERROR(__xludf.DUMMYFUNCTION("""COMPUTED_VALUE"""),"วัดเทพหิรัณย์")</f>
        <v>วัดเทพหิรัณย์</v>
      </c>
      <c r="J720" s="12">
        <f>IFERROR(__xludf.DUMMYFUNCTION("""COMPUTED_VALUE"""),46173.0)</f>
        <v>46173</v>
      </c>
      <c r="K720" s="3" t="str">
        <f>IFERROR(__xludf.DUMMYFUNCTION("""COMPUTED_VALUE"""),"0900-1100")</f>
        <v>0900-1100</v>
      </c>
      <c r="L720" s="3">
        <f>IFERROR(__xludf.DUMMYFUNCTION("""COMPUTED_VALUE"""),2.0)</f>
        <v>2</v>
      </c>
      <c r="M720" s="3" t="str">
        <f>IFERROR(__xludf.DUMMYFUNCTION("""COMPUTED_VALUE"""),"นางสุวรรณี วงษ์ศรีสังข์")</f>
        <v>นางสุวรรณี วงษ์ศรีสังข์</v>
      </c>
      <c r="N720" s="14" t="str">
        <f>IFERROR(__xludf.DUMMYFUNCTION("""COMPUTED_VALUE"""),"https://lh5.googleusercontent.com/d/1c5ozbEpLmHWRoqIn0LTc0YbedfqTLeOH")</f>
        <v>https://lh5.googleusercontent.com/d/1c5ozbEpLmHWRoqIn0LTc0YbedfqTLeOH</v>
      </c>
      <c r="O720" s="14" t="str">
        <f>IFERROR(__xludf.DUMMYFUNCTION("""COMPUTED_VALUE"""),"https://drive.google.com/file/d/19E3Sd-sgOfNVo6iRcUlnXFgwCEDGzsQ0/view?usp=drivesdk")</f>
        <v>https://drive.google.com/file/d/19E3Sd-sgOfNVo6iRcUlnXFgwCEDGzsQ0/view?usp=drivesdk</v>
      </c>
    </row>
    <row r="721">
      <c r="A721" s="3">
        <f>IFERROR(__xludf.DUMMYFUNCTION("""COMPUTED_VALUE"""),2780.0)</f>
        <v>2780</v>
      </c>
      <c r="B721" s="11">
        <f>IFERROR(__xludf.DUMMYFUNCTION("""COMPUTED_VALUE"""),46176.415102280094)</f>
        <v>46176.4151</v>
      </c>
      <c r="C721" s="3" t="str">
        <f>IFERROR(__xludf.DUMMYFUNCTION("""COMPUTED_VALUE"""),"ชั้นปีที่ 1")</f>
        <v>ชั้นปีที่ 1</v>
      </c>
      <c r="D721" s="3" t="str">
        <f>IFERROR(__xludf.DUMMYFUNCTION("""COMPUTED_VALUE"""),"6803908")</f>
        <v>6803908</v>
      </c>
      <c r="E721" s="3" t="str">
        <f>IFERROR(__xludf.DUMMYFUNCTION("""COMPUTED_VALUE"""),"27")</f>
        <v>27</v>
      </c>
      <c r="F721" s="3" t="str">
        <f>IFERROR(__xludf.DUMMYFUNCTION("""COMPUTED_VALUE"""),"นพอ.นภัสสร บุญรัตน์")</f>
        <v>นพอ.นภัสสร บุญรัตน์</v>
      </c>
      <c r="G721" s="3" t="str">
        <f>IFERROR(__xludf.DUMMYFUNCTION("""COMPUTED_VALUE"""),"ทำนุบำรุงศาสนสถาน")</f>
        <v>ทำนุบำรุงศาสนสถาน</v>
      </c>
      <c r="H721" s="3" t="str">
        <f>IFERROR(__xludf.DUMMYFUNCTION("""COMPUTED_VALUE"""),"ทำบุญตักบาตรวันขึ้นปีใหม่")</f>
        <v>ทำบุญตักบาตรวันขึ้นปีใหม่</v>
      </c>
      <c r="I721" s="3" t="str">
        <f>IFERROR(__xludf.DUMMYFUNCTION("""COMPUTED_VALUE"""),"หน้าตลาดสดเทศบาลชุมพร")</f>
        <v>หน้าตลาดสดเทศบาลชุมพร</v>
      </c>
      <c r="J721" s="12">
        <f>IFERROR(__xludf.DUMMYFUNCTION("""COMPUTED_VALUE"""),46023.0)</f>
        <v>46023</v>
      </c>
      <c r="K721" s="3" t="str">
        <f>IFERROR(__xludf.DUMMYFUNCTION("""COMPUTED_VALUE"""),"0600-0800")</f>
        <v>0600-0800</v>
      </c>
      <c r="L721" s="3">
        <f>IFERROR(__xludf.DUMMYFUNCTION("""COMPUTED_VALUE"""),2.0)</f>
        <v>2</v>
      </c>
      <c r="M721" s="3" t="str">
        <f>IFERROR(__xludf.DUMMYFUNCTION("""COMPUTED_VALUE"""),"นางสุพิศ บุญรัตน์")</f>
        <v>นางสุพิศ บุญรัตน์</v>
      </c>
      <c r="N721" s="14" t="str">
        <f>IFERROR(__xludf.DUMMYFUNCTION("""COMPUTED_VALUE"""),"https://lh5.googleusercontent.com/d/1la_R8ZIH4Zasj1Dtkq5qJjyoJZJh0Yxa")</f>
        <v>https://lh5.googleusercontent.com/d/1la_R8ZIH4Zasj1Dtkq5qJjyoJZJh0Yxa</v>
      </c>
      <c r="O721" s="14" t="str">
        <f>IFERROR(__xludf.DUMMYFUNCTION("""COMPUTED_VALUE"""),"https://drive.google.com/file/d/1sQ5KLAG6hdpCaiN84-gK2F_6KiSnXikA/view?usp=drivesdk")</f>
        <v>https://drive.google.com/file/d/1sQ5KLAG6hdpCaiN84-gK2F_6KiSnXikA/view?usp=drivesdk</v>
      </c>
    </row>
    <row r="722">
      <c r="A722" s="3">
        <f>IFERROR(__xludf.DUMMYFUNCTION("""COMPUTED_VALUE"""),2782.0)</f>
        <v>2782</v>
      </c>
      <c r="B722" s="11">
        <f>IFERROR(__xludf.DUMMYFUNCTION("""COMPUTED_VALUE"""),46176.41663424769)</f>
        <v>46176.41663</v>
      </c>
      <c r="C722" s="3" t="str">
        <f>IFERROR(__xludf.DUMMYFUNCTION("""COMPUTED_VALUE"""),"ชั้นปีที่ 1")</f>
        <v>ชั้นปีที่ 1</v>
      </c>
      <c r="D722" s="3" t="str">
        <f>IFERROR(__xludf.DUMMYFUNCTION("""COMPUTED_VALUE"""),"6803903")</f>
        <v>6803903</v>
      </c>
      <c r="E722" s="3" t="str">
        <f>IFERROR(__xludf.DUMMYFUNCTION("""COMPUTED_VALUE"""),"22")</f>
        <v>22</v>
      </c>
      <c r="F722" s="3" t="str">
        <f>IFERROR(__xludf.DUMMYFUNCTION("""COMPUTED_VALUE"""),"นพอ.ดลณภา คล้ายสุวรรณ์")</f>
        <v>นพอ.ดลณภา คล้ายสุวรรณ์</v>
      </c>
      <c r="G722" s="3" t="str">
        <f>IFERROR(__xludf.DUMMYFUNCTION("""COMPUTED_VALUE"""),"ช่วยเหลืองานภายใน วพอ.")</f>
        <v>ช่วยเหลืองานภายใน วพอ.</v>
      </c>
      <c r="H722" s="3" t="str">
        <f>IFERROR(__xludf.DUMMYFUNCTION("""COMPUTED_VALUE"""),"ช่วยท่านอาจารย์ทำแผ่นป้ายฝึกนภาภิบาล")</f>
        <v>ช่วยท่านอาจารย์ทำแผ่นป้ายฝึกนภาภิบาล</v>
      </c>
      <c r="I722" s="3" t="str">
        <f>IFERROR(__xludf.DUMMYFUNCTION("""COMPUTED_VALUE"""),"ห้องปกครองวพอ.พอ.")</f>
        <v>ห้องปกครองวพอ.พอ.</v>
      </c>
      <c r="J722" s="12">
        <f>IFERROR(__xludf.DUMMYFUNCTION("""COMPUTED_VALUE"""),46131.0)</f>
        <v>46131</v>
      </c>
      <c r="K722" s="3" t="str">
        <f>IFERROR(__xludf.DUMMYFUNCTION("""COMPUTED_VALUE"""),"09:00-12:00")</f>
        <v>09:00-12:00</v>
      </c>
      <c r="L722" s="3">
        <f>IFERROR(__xludf.DUMMYFUNCTION("""COMPUTED_VALUE"""),3.0)</f>
        <v>3</v>
      </c>
      <c r="M722" s="3" t="str">
        <f>IFERROR(__xludf.DUMMYFUNCTION("""COMPUTED_VALUE"""),"ร.อ.อนุชิต ทำจะดี")</f>
        <v>ร.อ.อนุชิต ทำจะดี</v>
      </c>
      <c r="N722" s="14" t="str">
        <f>IFERROR(__xludf.DUMMYFUNCTION("""COMPUTED_VALUE"""),"https://lh5.googleusercontent.com/d/1O9Dg_AuQZWOLUyFVStMpEKJsEN6SIv50")</f>
        <v>https://lh5.googleusercontent.com/d/1O9Dg_AuQZWOLUyFVStMpEKJsEN6SIv50</v>
      </c>
      <c r="O722" s="14" t="str">
        <f>IFERROR(__xludf.DUMMYFUNCTION("""COMPUTED_VALUE"""),"https://drive.google.com/file/d/1XKSbGzGtuvDvIYC3RrA7DYDWAKFwJ9wE/view?usp=drivesdk")</f>
        <v>https://drive.google.com/file/d/1XKSbGzGtuvDvIYC3RrA7DYDWAKFwJ9wE/view?usp=drivesdk</v>
      </c>
    </row>
    <row r="723">
      <c r="A723" s="3">
        <f>IFERROR(__xludf.DUMMYFUNCTION("""COMPUTED_VALUE"""),2785.0)</f>
        <v>2785</v>
      </c>
      <c r="B723" s="11">
        <f>IFERROR(__xludf.DUMMYFUNCTION("""COMPUTED_VALUE"""),46176.42049284722)</f>
        <v>46176.42049</v>
      </c>
      <c r="C723" s="3" t="str">
        <f>IFERROR(__xludf.DUMMYFUNCTION("""COMPUTED_VALUE"""),"ชั้นปีที่ 1")</f>
        <v>ชั้นปีที่ 1</v>
      </c>
      <c r="D723" s="3" t="str">
        <f>IFERROR(__xludf.DUMMYFUNCTION("""COMPUTED_VALUE"""),"6803903")</f>
        <v>6803903</v>
      </c>
      <c r="E723" s="3" t="str">
        <f>IFERROR(__xludf.DUMMYFUNCTION("""COMPUTED_VALUE"""),"22")</f>
        <v>22</v>
      </c>
      <c r="F723" s="3" t="str">
        <f>IFERROR(__xludf.DUMMYFUNCTION("""COMPUTED_VALUE"""),"นพอ.ดลณภา คล้ายสุวรรณ์")</f>
        <v>นพอ.ดลณภา คล้ายสุวรรณ์</v>
      </c>
      <c r="G723" s="3" t="str">
        <f>IFERROR(__xludf.DUMMYFUNCTION("""COMPUTED_VALUE"""),"งานฟรีทั่วไป")</f>
        <v>งานฟรีทั่วไป</v>
      </c>
      <c r="H723" s="3" t="str">
        <f>IFERROR(__xludf.DUMMYFUNCTION("""COMPUTED_VALUE"""),"ถอนผมหงอกให้มารดา")</f>
        <v>ถอนผมหงอกให้มารดา</v>
      </c>
      <c r="I723" s="3" t="str">
        <f>IFERROR(__xludf.DUMMYFUNCTION("""COMPUTED_VALUE"""),"107 หมู่ 10 ต.มะขามสูง อ.เมือง จ.พิษณุโลก")</f>
        <v>107 หมู่ 10 ต.มะขามสูง อ.เมือง จ.พิษณุโลก</v>
      </c>
      <c r="J723" s="12">
        <f>IFERROR(__xludf.DUMMYFUNCTION("""COMPUTED_VALUE"""),46152.0)</f>
        <v>46152</v>
      </c>
      <c r="K723" s="3" t="str">
        <f>IFERROR(__xludf.DUMMYFUNCTION("""COMPUTED_VALUE"""),"18:00-20:00")</f>
        <v>18:00-20:00</v>
      </c>
      <c r="L723" s="3">
        <f>IFERROR(__xludf.DUMMYFUNCTION("""COMPUTED_VALUE"""),2.0)</f>
        <v>2</v>
      </c>
      <c r="M723" s="3" t="str">
        <f>IFERROR(__xludf.DUMMYFUNCTION("""COMPUTED_VALUE"""),"นางปรียาภรณ์ คล้ายสุวรรณ์")</f>
        <v>นางปรียาภรณ์ คล้ายสุวรรณ์</v>
      </c>
      <c r="N723" s="14" t="str">
        <f>IFERROR(__xludf.DUMMYFUNCTION("""COMPUTED_VALUE"""),"https://lh5.googleusercontent.com/d/1X5N3DMDM1myWrofz4tIUl4-_TMjpK6ku")</f>
        <v>https://lh5.googleusercontent.com/d/1X5N3DMDM1myWrofz4tIUl4-_TMjpK6ku</v>
      </c>
      <c r="O723" s="14" t="str">
        <f>IFERROR(__xludf.DUMMYFUNCTION("""COMPUTED_VALUE"""),"https://drive.google.com/file/d/1oEZ7bXhL-oKxz9c9EK8yFg7M0FW63bYz/view?usp=drivesdk")</f>
        <v>https://drive.google.com/file/d/1oEZ7bXhL-oKxz9c9EK8yFg7M0FW63bYz/view?usp=drivesdk</v>
      </c>
    </row>
    <row r="724">
      <c r="A724" s="3">
        <f>IFERROR(__xludf.DUMMYFUNCTION("""COMPUTED_VALUE"""),2787.0)</f>
        <v>2787</v>
      </c>
      <c r="B724" s="11">
        <f>IFERROR(__xludf.DUMMYFUNCTION("""COMPUTED_VALUE"""),46176.42398344907)</f>
        <v>46176.42398</v>
      </c>
      <c r="C724" s="3" t="str">
        <f>IFERROR(__xludf.DUMMYFUNCTION("""COMPUTED_VALUE"""),"ชั้นปีที่ 1")</f>
        <v>ชั้นปีที่ 1</v>
      </c>
      <c r="D724" s="3" t="str">
        <f>IFERROR(__xludf.DUMMYFUNCTION("""COMPUTED_VALUE"""),"6803903")</f>
        <v>6803903</v>
      </c>
      <c r="E724" s="3" t="str">
        <f>IFERROR(__xludf.DUMMYFUNCTION("""COMPUTED_VALUE"""),"22")</f>
        <v>22</v>
      </c>
      <c r="F724" s="3" t="str">
        <f>IFERROR(__xludf.DUMMYFUNCTION("""COMPUTED_VALUE"""),"นพอ.ดลณภา คล้ายสุวรรณ์")</f>
        <v>นพอ.ดลณภา คล้ายสุวรรณ์</v>
      </c>
      <c r="G724" s="3" t="str">
        <f>IFERROR(__xludf.DUMMYFUNCTION("""COMPUTED_VALUE"""),"งานฟรีทั่วไป")</f>
        <v>งานฟรีทั่วไป</v>
      </c>
      <c r="H724" s="3" t="str">
        <f>IFERROR(__xludf.DUMMYFUNCTION("""COMPUTED_VALUE"""),"ให้อาหารสุนัขจรจัด")</f>
        <v>ให้อาหารสุนัขจรจัด</v>
      </c>
      <c r="I724" s="3" t="str">
        <f>IFERROR(__xludf.DUMMYFUNCTION("""COMPUTED_VALUE"""),"วัดกระบังมังคลาราม")</f>
        <v>วัดกระบังมังคลาราม</v>
      </c>
      <c r="J724" s="12">
        <f>IFERROR(__xludf.DUMMYFUNCTION("""COMPUTED_VALUE"""),46125.0)</f>
        <v>46125</v>
      </c>
      <c r="K724" s="3" t="str">
        <f>IFERROR(__xludf.DUMMYFUNCTION("""COMPUTED_VALUE"""),"15:00-17:00")</f>
        <v>15:00-17:00</v>
      </c>
      <c r="L724" s="3">
        <f>IFERROR(__xludf.DUMMYFUNCTION("""COMPUTED_VALUE"""),2.0)</f>
        <v>2</v>
      </c>
      <c r="M724" s="3" t="str">
        <f>IFERROR(__xludf.DUMMYFUNCTION("""COMPUTED_VALUE"""),"นางปรียาภรณ์ คล้ายสุวรรณ์")</f>
        <v>นางปรียาภรณ์ คล้ายสุวรรณ์</v>
      </c>
      <c r="N724" s="14" t="str">
        <f>IFERROR(__xludf.DUMMYFUNCTION("""COMPUTED_VALUE"""),"https://lh5.googleusercontent.com/d/1w6yzoUE7hwGhO-0QcXPJOtsOEOLuxp7V")</f>
        <v>https://lh5.googleusercontent.com/d/1w6yzoUE7hwGhO-0QcXPJOtsOEOLuxp7V</v>
      </c>
      <c r="O724" s="14" t="str">
        <f>IFERROR(__xludf.DUMMYFUNCTION("""COMPUTED_VALUE"""),"https://drive.google.com/file/d/17ePVaXDUVOtLj8oCZmsRc3EcqociMYUu/view?usp=drivesdk")</f>
        <v>https://drive.google.com/file/d/17ePVaXDUVOtLj8oCZmsRc3EcqociMYUu/view?usp=drivesdk</v>
      </c>
    </row>
    <row r="725">
      <c r="A725" s="3">
        <f>IFERROR(__xludf.DUMMYFUNCTION("""COMPUTED_VALUE"""),2790.0)</f>
        <v>2790</v>
      </c>
      <c r="B725" s="11">
        <f>IFERROR(__xludf.DUMMYFUNCTION("""COMPUTED_VALUE"""),46176.42744167824)</f>
        <v>46176.42744</v>
      </c>
      <c r="C725" s="3" t="str">
        <f>IFERROR(__xludf.DUMMYFUNCTION("""COMPUTED_VALUE"""),"ชั้นปีที่ 1")</f>
        <v>ชั้นปีที่ 1</v>
      </c>
      <c r="D725" s="3" t="str">
        <f>IFERROR(__xludf.DUMMYFUNCTION("""COMPUTED_VALUE"""),"6803903")</f>
        <v>6803903</v>
      </c>
      <c r="E725" s="3" t="str">
        <f>IFERROR(__xludf.DUMMYFUNCTION("""COMPUTED_VALUE"""),"22")</f>
        <v>22</v>
      </c>
      <c r="F725" s="3" t="str">
        <f>IFERROR(__xludf.DUMMYFUNCTION("""COMPUTED_VALUE"""),"นพอ.ดลณภา คล้ายสุวรรณ์")</f>
        <v>นพอ.ดลณภา คล้ายสุวรรณ์</v>
      </c>
      <c r="G72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5" s="3" t="str">
        <f>IFERROR(__xludf.DUMMYFUNCTION("""COMPUTED_VALUE"""),"งานกาชาด")</f>
        <v>งานกาชาด</v>
      </c>
      <c r="I725" s="3" t="str">
        <f>IFERROR(__xludf.DUMMYFUNCTION("""COMPUTED_VALUE"""),"สวนลุมพินี")</f>
        <v>สวนลุมพินี</v>
      </c>
      <c r="J725" s="12">
        <f>IFERROR(__xludf.DUMMYFUNCTION("""COMPUTED_VALUE"""),46003.0)</f>
        <v>46003</v>
      </c>
      <c r="K725" s="3" t="str">
        <f>IFERROR(__xludf.DUMMYFUNCTION("""COMPUTED_VALUE"""),"15:00")</f>
        <v>15:00</v>
      </c>
      <c r="L725" s="3">
        <f>IFERROR(__xludf.DUMMYFUNCTION("""COMPUTED_VALUE"""),8.0)</f>
        <v>8</v>
      </c>
      <c r="M725" s="3" t="str">
        <f>IFERROR(__xludf.DUMMYFUNCTION("""COMPUTED_VALUE"""),"น.ต.ศักชัย บุญประสิทธิ์")</f>
        <v>น.ต.ศักชัย บุญประสิทธิ์</v>
      </c>
      <c r="N725" s="14" t="str">
        <f>IFERROR(__xludf.DUMMYFUNCTION("""COMPUTED_VALUE"""),"https://lh5.googleusercontent.com/d/12DO3RrwgWdjsDrTmhS34JCjMvX2KzzNl")</f>
        <v>https://lh5.googleusercontent.com/d/12DO3RrwgWdjsDrTmhS34JCjMvX2KzzNl</v>
      </c>
      <c r="O725" s="14" t="str">
        <f>IFERROR(__xludf.DUMMYFUNCTION("""COMPUTED_VALUE"""),"https://drive.google.com/file/d/1z2p4BfEhvS9x6U2LQQ_Sse9mpu4mNS7J/view?usp=drivesdk")</f>
        <v>https://drive.google.com/file/d/1z2p4BfEhvS9x6U2LQQ_Sse9mpu4mNS7J/view?usp=drivesdk</v>
      </c>
    </row>
    <row r="726">
      <c r="A726" s="3">
        <f>IFERROR(__xludf.DUMMYFUNCTION("""COMPUTED_VALUE"""),2792.0)</f>
        <v>2792</v>
      </c>
      <c r="B726" s="11">
        <f>IFERROR(__xludf.DUMMYFUNCTION("""COMPUTED_VALUE"""),46176.429952708335)</f>
        <v>46176.42995</v>
      </c>
      <c r="C726" s="3" t="str">
        <f>IFERROR(__xludf.DUMMYFUNCTION("""COMPUTED_VALUE"""),"ชั้นปีที่ 1")</f>
        <v>ชั้นปีที่ 1</v>
      </c>
      <c r="D726" s="3" t="str">
        <f>IFERROR(__xludf.DUMMYFUNCTION("""COMPUTED_VALUE"""),"6803903")</f>
        <v>6803903</v>
      </c>
      <c r="E726" s="3" t="str">
        <f>IFERROR(__xludf.DUMMYFUNCTION("""COMPUTED_VALUE"""),"22")</f>
        <v>22</v>
      </c>
      <c r="F726" s="3" t="str">
        <f>IFERROR(__xludf.DUMMYFUNCTION("""COMPUTED_VALUE"""),"นพอ.ดลณภา คล้ายสุวรรณ์")</f>
        <v>นพอ.ดลณภา คล้ายสุวรรณ์</v>
      </c>
      <c r="G726" s="3" t="str">
        <f>IFERROR(__xludf.DUMMYFUNCTION("""COMPUTED_VALUE"""),"ช่วยเหลืองานภายใน วพอ.")</f>
        <v>ช่วยเหลืองานภายใน วพอ.</v>
      </c>
      <c r="H726" s="3" t="str">
        <f>IFERROR(__xludf.DUMMYFUNCTION("""COMPUTED_VALUE"""),"เก็บหินบริเวณรั้วข้างหอพัก")</f>
        <v>เก็บหินบริเวณรั้วข้างหอพัก</v>
      </c>
      <c r="I726" s="3" t="str">
        <f>IFERROR(__xludf.DUMMYFUNCTION("""COMPUTED_VALUE"""),"วพอ.พอ.")</f>
        <v>วพอ.พอ.</v>
      </c>
      <c r="J726" s="12">
        <f>IFERROR(__xludf.DUMMYFUNCTION("""COMPUTED_VALUE"""),46164.0)</f>
        <v>46164</v>
      </c>
      <c r="K726" s="3" t="str">
        <f>IFERROR(__xludf.DUMMYFUNCTION("""COMPUTED_VALUE"""),"1500-1700")</f>
        <v>1500-1700</v>
      </c>
      <c r="L726" s="3">
        <f>IFERROR(__xludf.DUMMYFUNCTION("""COMPUTED_VALUE"""),2.0)</f>
        <v>2</v>
      </c>
      <c r="M726" s="3" t="str">
        <f>IFERROR(__xludf.DUMMYFUNCTION("""COMPUTED_VALUE"""),"น.อ.หญิง นิตยา สุขแสน")</f>
        <v>น.อ.หญิง นิตยา สุขแสน</v>
      </c>
      <c r="N726" s="14" t="str">
        <f>IFERROR(__xludf.DUMMYFUNCTION("""COMPUTED_VALUE"""),"https://lh5.googleusercontent.com/d/1-EvwgP3NR-ZxxmQf2ndStyxrzeEDFAbS")</f>
        <v>https://lh5.googleusercontent.com/d/1-EvwgP3NR-ZxxmQf2ndStyxrzeEDFAbS</v>
      </c>
      <c r="O726" s="14" t="str">
        <f>IFERROR(__xludf.DUMMYFUNCTION("""COMPUTED_VALUE"""),"https://drive.google.com/file/d/1h-WleQAdjEqp_t_ZW_i1xBpZaUcYWdtJ/view?usp=drivesdk")</f>
        <v>https://drive.google.com/file/d/1h-WleQAdjEqp_t_ZW_i1xBpZaUcYWdtJ/view?usp=drivesdk</v>
      </c>
    </row>
    <row r="727">
      <c r="A727" s="3">
        <f>IFERROR(__xludf.DUMMYFUNCTION("""COMPUTED_VALUE"""),2794.0)</f>
        <v>2794</v>
      </c>
      <c r="B727" s="11">
        <f>IFERROR(__xludf.DUMMYFUNCTION("""COMPUTED_VALUE"""),46176.43783068287)</f>
        <v>46176.43783</v>
      </c>
      <c r="C727" s="3" t="str">
        <f>IFERROR(__xludf.DUMMYFUNCTION("""COMPUTED_VALUE"""),"ชั้นปีที่ 1")</f>
        <v>ชั้นปีที่ 1</v>
      </c>
      <c r="D727" s="3" t="str">
        <f>IFERROR(__xludf.DUMMYFUNCTION("""COMPUTED_VALUE"""),"6803903")</f>
        <v>6803903</v>
      </c>
      <c r="E727" s="3" t="str">
        <f>IFERROR(__xludf.DUMMYFUNCTION("""COMPUTED_VALUE"""),"22")</f>
        <v>22</v>
      </c>
      <c r="F727" s="3" t="str">
        <f>IFERROR(__xludf.DUMMYFUNCTION("""COMPUTED_VALUE"""),"นพอ.ดลณภา คล้ายสุวรรณ์")</f>
        <v>นพอ.ดลณภา คล้ายสุวรรณ์</v>
      </c>
      <c r="G727" s="3" t="str">
        <f>IFERROR(__xludf.DUMMYFUNCTION("""COMPUTED_VALUE"""),"ทำนุบำรุงศาสนสถาน")</f>
        <v>ทำนุบำรุงศาสนสถาน</v>
      </c>
      <c r="H727" s="3" t="str">
        <f>IFERROR(__xludf.DUMMYFUNCTION("""COMPUTED_VALUE"""),"ทำบุญวันขึ้นปีใหม่ไทย(ช่วยตักน้ำรดพระพุทธรูป)")</f>
        <v>ทำบุญวันขึ้นปีใหม่ไทย(ช่วยตักน้ำรดพระพุทธรูป)</v>
      </c>
      <c r="I727" s="3" t="str">
        <f>IFERROR(__xludf.DUMMYFUNCTION("""COMPUTED_VALUE"""),"วัดพระศรีรัตนมหาธาตุวรมหาวิหาร")</f>
        <v>วัดพระศรีรัตนมหาธาตุวรมหาวิหาร</v>
      </c>
      <c r="J727" s="12">
        <f>IFERROR(__xludf.DUMMYFUNCTION("""COMPUTED_VALUE"""),46124.0)</f>
        <v>46124</v>
      </c>
      <c r="K727" s="3" t="str">
        <f>IFERROR(__xludf.DUMMYFUNCTION("""COMPUTED_VALUE"""),"0800-1200")</f>
        <v>0800-1200</v>
      </c>
      <c r="L727" s="3">
        <f>IFERROR(__xludf.DUMMYFUNCTION("""COMPUTED_VALUE"""),4.0)</f>
        <v>4</v>
      </c>
      <c r="M727" s="3" t="str">
        <f>IFERROR(__xludf.DUMMYFUNCTION("""COMPUTED_VALUE"""),"นางปรียาภรณ์ คล้ายสุวรรณ์")</f>
        <v>นางปรียาภรณ์ คล้ายสุวรรณ์</v>
      </c>
      <c r="N727" s="14" t="str">
        <f>IFERROR(__xludf.DUMMYFUNCTION("""COMPUTED_VALUE"""),"https://lh5.googleusercontent.com/d/1ti4pyiI8EAr6v5wNCWbfvyz4ncNypeq0")</f>
        <v>https://lh5.googleusercontent.com/d/1ti4pyiI8EAr6v5wNCWbfvyz4ncNypeq0</v>
      </c>
      <c r="O727" s="14" t="str">
        <f>IFERROR(__xludf.DUMMYFUNCTION("""COMPUTED_VALUE"""),"https://drive.google.com/file/d/1sD9sHtD3mnBFTQT196iSc2rZ3b5EMvbm/view?usp=drivesdk")</f>
        <v>https://drive.google.com/file/d/1sD9sHtD3mnBFTQT196iSc2rZ3b5EMvbm/view?usp=drivesdk</v>
      </c>
    </row>
    <row r="728">
      <c r="A728" s="3">
        <f>IFERROR(__xludf.DUMMYFUNCTION("""COMPUTED_VALUE"""),2795.0)</f>
        <v>2795</v>
      </c>
      <c r="B728" s="11">
        <f>IFERROR(__xludf.DUMMYFUNCTION("""COMPUTED_VALUE"""),46176.43819380787)</f>
        <v>46176.43819</v>
      </c>
      <c r="C728" s="3" t="str">
        <f>IFERROR(__xludf.DUMMYFUNCTION("""COMPUTED_VALUE"""),"ชั้นปีที่ 1")</f>
        <v>ชั้นปีที่ 1</v>
      </c>
      <c r="D728" s="3" t="str">
        <f>IFERROR(__xludf.DUMMYFUNCTION("""COMPUTED_VALUE"""),"6803912")</f>
        <v>6803912</v>
      </c>
      <c r="E728" s="3" t="str">
        <f>IFERROR(__xludf.DUMMYFUNCTION("""COMPUTED_VALUE"""),"31")</f>
        <v>31</v>
      </c>
      <c r="F728" s="3" t="str">
        <f>IFERROR(__xludf.DUMMYFUNCTION("""COMPUTED_VALUE"""),"นพอ.เบญจวรรณ มณีแนว")</f>
        <v>นพอ.เบญจวรรณ มณีแนว</v>
      </c>
      <c r="G7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28" s="3" t="str">
        <f>IFERROR(__xludf.DUMMYFUNCTION("""COMPUTED_VALUE"""),"Green Markets")</f>
        <v>Green Markets</v>
      </c>
      <c r="I728" s="3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728" s="12">
        <f>IFERROR(__xludf.DUMMYFUNCTION("""COMPUTED_VALUE"""),46135.0)</f>
        <v>46135</v>
      </c>
      <c r="K728" s="3" t="str">
        <f>IFERROR(__xludf.DUMMYFUNCTION("""COMPUTED_VALUE"""),"0800-1500")</f>
        <v>0800-1500</v>
      </c>
      <c r="L728" s="3">
        <f>IFERROR(__xludf.DUMMYFUNCTION("""COMPUTED_VALUE"""),8.0)</f>
        <v>8</v>
      </c>
      <c r="M728" s="3" t="str">
        <f>IFERROR(__xludf.DUMMYFUNCTION("""COMPUTED_VALUE"""),"ร.อ.ฤทธิพล อ้วนสิงห์")</f>
        <v>ร.อ.ฤทธิพล อ้วนสิงห์</v>
      </c>
      <c r="N728" s="14" t="str">
        <f>IFERROR(__xludf.DUMMYFUNCTION("""COMPUTED_VALUE"""),"https://lh5.googleusercontent.com/d/1GHOceqmJGVjfJdKKPcoH5cuU2otsD8wR")</f>
        <v>https://lh5.googleusercontent.com/d/1GHOceqmJGVjfJdKKPcoH5cuU2otsD8wR</v>
      </c>
      <c r="O728" s="14" t="str">
        <f>IFERROR(__xludf.DUMMYFUNCTION("""COMPUTED_VALUE"""),"https://drive.google.com/file/d/1P-7VhEpltuIMRQFhf5JX5ZTh1mrPhOCM/view?usp=drivesdk")</f>
        <v>https://drive.google.com/file/d/1P-7VhEpltuIMRQFhf5JX5ZTh1mrPhOCM/view?usp=drivesdk</v>
      </c>
    </row>
    <row r="729">
      <c r="A729" s="3">
        <f>IFERROR(__xludf.DUMMYFUNCTION("""COMPUTED_VALUE"""),2796.0)</f>
        <v>2796</v>
      </c>
      <c r="B729" s="11">
        <f>IFERROR(__xludf.DUMMYFUNCTION("""COMPUTED_VALUE"""),46176.442635277774)</f>
        <v>46176.44264</v>
      </c>
      <c r="C729" s="3" t="str">
        <f>IFERROR(__xludf.DUMMYFUNCTION("""COMPUTED_VALUE"""),"ชั้นปีที่ 1")</f>
        <v>ชั้นปีที่ 1</v>
      </c>
      <c r="D729" s="3" t="str">
        <f>IFERROR(__xludf.DUMMYFUNCTION("""COMPUTED_VALUE"""),"6803912")</f>
        <v>6803912</v>
      </c>
      <c r="E729" s="3" t="str">
        <f>IFERROR(__xludf.DUMMYFUNCTION("""COMPUTED_VALUE"""),"31")</f>
        <v>31</v>
      </c>
      <c r="F729" s="3" t="str">
        <f>IFERROR(__xludf.DUMMYFUNCTION("""COMPUTED_VALUE"""),"นพอ.เบญจวรรณ มณีแนว")</f>
        <v>นพอ.เบญจวรรณ มณีแนว</v>
      </c>
      <c r="G729" s="3" t="str">
        <f>IFERROR(__xludf.DUMMYFUNCTION("""COMPUTED_VALUE"""),"ช่วยเหลืองานภายใน วพอ.")</f>
        <v>ช่วยเหลืองานภายใน วพอ.</v>
      </c>
      <c r="H729" s="3" t="str">
        <f>IFERROR(__xludf.DUMMYFUNCTION("""COMPUTED_VALUE"""),"ซ้อมงานพิธีรับหมวกพยาบาลวิชาชีพ ปีการศึกษา 2568")</f>
        <v>ซ้อมงานพิธีรับหมวกพยาบาลวิชาชีพ ปีการศึกษา 2568</v>
      </c>
      <c r="I729" s="3" t="str">
        <f>IFERROR(__xludf.DUMMYFUNCTION("""COMPUTED_VALUE"""),"วพอ.พอ.")</f>
        <v>วพอ.พอ.</v>
      </c>
      <c r="J729" s="12">
        <f>IFERROR(__xludf.DUMMYFUNCTION("""COMPUTED_VALUE"""),46133.0)</f>
        <v>46133</v>
      </c>
      <c r="K729" s="3" t="str">
        <f>IFERROR(__xludf.DUMMYFUNCTION("""COMPUTED_VALUE"""),"1700-2100")</f>
        <v>1700-2100</v>
      </c>
      <c r="L729" s="3">
        <f>IFERROR(__xludf.DUMMYFUNCTION("""COMPUTED_VALUE"""),4.0)</f>
        <v>4</v>
      </c>
      <c r="M729" s="3" t="str">
        <f>IFERROR(__xludf.DUMMYFUNCTION("""COMPUTED_VALUE"""),"ร.อ.อนุชิต ทำจะดี")</f>
        <v>ร.อ.อนุชิต ทำจะดี</v>
      </c>
      <c r="N729" s="14" t="str">
        <f>IFERROR(__xludf.DUMMYFUNCTION("""COMPUTED_VALUE"""),"https://lh5.googleusercontent.com/d/1KB1y5GOEw0axbMxOV0ZmleKLlJndSSO0")</f>
        <v>https://lh5.googleusercontent.com/d/1KB1y5GOEw0axbMxOV0ZmleKLlJndSSO0</v>
      </c>
      <c r="O729" s="14" t="str">
        <f>IFERROR(__xludf.DUMMYFUNCTION("""COMPUTED_VALUE"""),"https://drive.google.com/file/d/1eHJpM_AA7fS7e5w-fvf4N7wsGfSwz9jY/view?usp=drivesdk")</f>
        <v>https://drive.google.com/file/d/1eHJpM_AA7fS7e5w-fvf4N7wsGfSwz9jY/view?usp=drivesdk</v>
      </c>
    </row>
    <row r="730">
      <c r="A730" s="3">
        <f>IFERROR(__xludf.DUMMYFUNCTION("""COMPUTED_VALUE"""),2797.0)</f>
        <v>2797</v>
      </c>
      <c r="B730" s="11">
        <f>IFERROR(__xludf.DUMMYFUNCTION("""COMPUTED_VALUE"""),46176.44394199074)</f>
        <v>46176.44394</v>
      </c>
      <c r="C730" s="3" t="str">
        <f>IFERROR(__xludf.DUMMYFUNCTION("""COMPUTED_VALUE"""),"ชั้นปีที่ 1")</f>
        <v>ชั้นปีที่ 1</v>
      </c>
      <c r="D730" s="3" t="str">
        <f>IFERROR(__xludf.DUMMYFUNCTION("""COMPUTED_VALUE"""),"6803912")</f>
        <v>6803912</v>
      </c>
      <c r="E730" s="3" t="str">
        <f>IFERROR(__xludf.DUMMYFUNCTION("""COMPUTED_VALUE"""),"31")</f>
        <v>31</v>
      </c>
      <c r="F730" s="3" t="str">
        <f>IFERROR(__xludf.DUMMYFUNCTION("""COMPUTED_VALUE"""),"นพอ.เบญจวรรณ มณีแนว")</f>
        <v>นพอ.เบญจวรรณ มณีแนว</v>
      </c>
      <c r="G730" s="3" t="str">
        <f>IFERROR(__xludf.DUMMYFUNCTION("""COMPUTED_VALUE"""),"ช่วยเหลืองานภายใน วพอ.")</f>
        <v>ช่วยเหลืองานภายใน วพอ.</v>
      </c>
      <c r="H73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30" s="3" t="str">
        <f>IFERROR(__xludf.DUMMYFUNCTION("""COMPUTED_VALUE"""),"วพอ.พอ.")</f>
        <v>วพอ.พอ.</v>
      </c>
      <c r="J730" s="12">
        <f>IFERROR(__xludf.DUMMYFUNCTION("""COMPUTED_VALUE"""),46134.0)</f>
        <v>46134</v>
      </c>
      <c r="K730" s="3" t="str">
        <f>IFERROR(__xludf.DUMMYFUNCTION("""COMPUTED_VALUE"""),"1700-2100")</f>
        <v>1700-2100</v>
      </c>
      <c r="L730" s="3">
        <f>IFERROR(__xludf.DUMMYFUNCTION("""COMPUTED_VALUE"""),4.0)</f>
        <v>4</v>
      </c>
      <c r="M730" s="3" t="str">
        <f>IFERROR(__xludf.DUMMYFUNCTION("""COMPUTED_VALUE"""),"ร.อ.อนุชิต ทำจะดี")</f>
        <v>ร.อ.อนุชิต ทำจะดี</v>
      </c>
      <c r="N730" s="14" t="str">
        <f>IFERROR(__xludf.DUMMYFUNCTION("""COMPUTED_VALUE"""),"https://lh5.googleusercontent.com/d/1sMAaFLiRC0rlYlcqJWsnM2zaaIt4cOu1")</f>
        <v>https://lh5.googleusercontent.com/d/1sMAaFLiRC0rlYlcqJWsnM2zaaIt4cOu1</v>
      </c>
      <c r="O730" s="14" t="str">
        <f>IFERROR(__xludf.DUMMYFUNCTION("""COMPUTED_VALUE"""),"https://drive.google.com/file/d/1k2G_zl3eMVL0JJ7CucIpqhjH-OTRe_KR/view?usp=drivesdk")</f>
        <v>https://drive.google.com/file/d/1k2G_zl3eMVL0JJ7CucIpqhjH-OTRe_KR/view?usp=drivesdk</v>
      </c>
    </row>
    <row r="731">
      <c r="A731" s="3">
        <f>IFERROR(__xludf.DUMMYFUNCTION("""COMPUTED_VALUE"""),2798.0)</f>
        <v>2798</v>
      </c>
      <c r="B731" s="11">
        <f>IFERROR(__xludf.DUMMYFUNCTION("""COMPUTED_VALUE"""),46176.444085613424)</f>
        <v>46176.44409</v>
      </c>
      <c r="C731" s="3" t="str">
        <f>IFERROR(__xludf.DUMMYFUNCTION("""COMPUTED_VALUE"""),"ชั้นปีที่ 1")</f>
        <v>ชั้นปีที่ 1</v>
      </c>
      <c r="D731" s="3" t="str">
        <f>IFERROR(__xludf.DUMMYFUNCTION("""COMPUTED_VALUE"""),"6803905")</f>
        <v>6803905</v>
      </c>
      <c r="E731" s="3" t="str">
        <f>IFERROR(__xludf.DUMMYFUNCTION("""COMPUTED_VALUE"""),"24")</f>
        <v>24</v>
      </c>
      <c r="F731" s="3" t="str">
        <f>IFERROR(__xludf.DUMMYFUNCTION("""COMPUTED_VALUE"""),"นพอ.ธนพล เสือน้อย")</f>
        <v>นพอ.ธนพล เสือน้อย</v>
      </c>
      <c r="G731" s="3" t="str">
        <f>IFERROR(__xludf.DUMMYFUNCTION("""COMPUTED_VALUE"""),"ทำนุบำรุงศาสนสถาน")</f>
        <v>ทำนุบำรุงศาสนสถาน</v>
      </c>
      <c r="H731" s="3" t="str">
        <f>IFERROR(__xludf.DUMMYFUNCTION("""COMPUTED_VALUE"""),"กวาดลานวัด")</f>
        <v>กวาดลานวัด</v>
      </c>
      <c r="I731" s="3" t="str">
        <f>IFERROR(__xludf.DUMMYFUNCTION("""COMPUTED_VALUE"""),"วัดนาวง")</f>
        <v>วัดนาวง</v>
      </c>
      <c r="J731" s="12">
        <f>IFERROR(__xludf.DUMMYFUNCTION("""COMPUTED_VALUE"""),46173.0)</f>
        <v>46173</v>
      </c>
      <c r="K731" s="3" t="str">
        <f>IFERROR(__xludf.DUMMYFUNCTION("""COMPUTED_VALUE"""),"1000-1200")</f>
        <v>1000-1200</v>
      </c>
      <c r="L731" s="3">
        <f>IFERROR(__xludf.DUMMYFUNCTION("""COMPUTED_VALUE"""),2.0)</f>
        <v>2</v>
      </c>
      <c r="M731" s="3" t="str">
        <f>IFERROR(__xludf.DUMMYFUNCTION("""COMPUTED_VALUE"""),"พระครูปทุมเขตวิกรม")</f>
        <v>พระครูปทุมเขตวิกรม</v>
      </c>
      <c r="N731" s="14" t="str">
        <f>IFERROR(__xludf.DUMMYFUNCTION("""COMPUTED_VALUE"""),"https://lh5.googleusercontent.com/d/1I22k38V9OhTdf7IKwUVj8yWwc7kx62RM")</f>
        <v>https://lh5.googleusercontent.com/d/1I22k38V9OhTdf7IKwUVj8yWwc7kx62RM</v>
      </c>
      <c r="O731" s="14" t="str">
        <f>IFERROR(__xludf.DUMMYFUNCTION("""COMPUTED_VALUE"""),"https://drive.google.com/file/d/1M_T6HoPZnZFY_6WRymIja_52V3dTaTlJ/view?usp=drivesdk")</f>
        <v>https://drive.google.com/file/d/1M_T6HoPZnZFY_6WRymIja_52V3dTaTlJ/view?usp=drivesdk</v>
      </c>
    </row>
    <row r="732">
      <c r="A732" s="3">
        <f>IFERROR(__xludf.DUMMYFUNCTION("""COMPUTED_VALUE"""),2799.0)</f>
        <v>2799</v>
      </c>
      <c r="B732" s="11">
        <f>IFERROR(__xludf.DUMMYFUNCTION("""COMPUTED_VALUE"""),46176.44506572917)</f>
        <v>46176.44507</v>
      </c>
      <c r="C732" s="3" t="str">
        <f>IFERROR(__xludf.DUMMYFUNCTION("""COMPUTED_VALUE"""),"ชั้นปีที่ 1")</f>
        <v>ชั้นปีที่ 1</v>
      </c>
      <c r="D732" s="3" t="str">
        <f>IFERROR(__xludf.DUMMYFUNCTION("""COMPUTED_VALUE"""),"6803912")</f>
        <v>6803912</v>
      </c>
      <c r="E732" s="3" t="str">
        <f>IFERROR(__xludf.DUMMYFUNCTION("""COMPUTED_VALUE"""),"31")</f>
        <v>31</v>
      </c>
      <c r="F732" s="3" t="str">
        <f>IFERROR(__xludf.DUMMYFUNCTION("""COMPUTED_VALUE"""),"นพอ.เบญจวรรณ มณีแนว")</f>
        <v>นพอ.เบญจวรรณ มณีแนว</v>
      </c>
      <c r="G732" s="3" t="str">
        <f>IFERROR(__xludf.DUMMYFUNCTION("""COMPUTED_VALUE"""),"ช่วยเหลืองานภายใน วพอ.")</f>
        <v>ช่วยเหลืองานภายใน วพอ.</v>
      </c>
      <c r="H73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32" s="3" t="str">
        <f>IFERROR(__xludf.DUMMYFUNCTION("""COMPUTED_VALUE"""),"วพอ.พอ.")</f>
        <v>วพอ.พอ.</v>
      </c>
      <c r="J732" s="12">
        <f>IFERROR(__xludf.DUMMYFUNCTION("""COMPUTED_VALUE"""),46135.0)</f>
        <v>46135</v>
      </c>
      <c r="K732" s="3" t="str">
        <f>IFERROR(__xludf.DUMMYFUNCTION("""COMPUTED_VALUE"""),"1700-2100")</f>
        <v>1700-2100</v>
      </c>
      <c r="L732" s="3">
        <f>IFERROR(__xludf.DUMMYFUNCTION("""COMPUTED_VALUE"""),4.0)</f>
        <v>4</v>
      </c>
      <c r="M732" s="3" t="str">
        <f>IFERROR(__xludf.DUMMYFUNCTION("""COMPUTED_VALUE"""),"ร.อ.อนุชิต ทำจะดี")</f>
        <v>ร.อ.อนุชิต ทำจะดี</v>
      </c>
      <c r="N732" s="14" t="str">
        <f>IFERROR(__xludf.DUMMYFUNCTION("""COMPUTED_VALUE"""),"https://lh5.googleusercontent.com/d/1P2RGMIGHQM_aRSLj1mD7vhQ7qh-pVcbd")</f>
        <v>https://lh5.googleusercontent.com/d/1P2RGMIGHQM_aRSLj1mD7vhQ7qh-pVcbd</v>
      </c>
      <c r="O732" s="14" t="str">
        <f>IFERROR(__xludf.DUMMYFUNCTION("""COMPUTED_VALUE"""),"https://drive.google.com/file/d/1EIlFUV0HRHRM_hw4B3gDPwzRBVT4cM7B/view?usp=drivesdk")</f>
        <v>https://drive.google.com/file/d/1EIlFUV0HRHRM_hw4B3gDPwzRBVT4cM7B/view?usp=drivesdk</v>
      </c>
    </row>
    <row r="733">
      <c r="A733" s="3">
        <f>IFERROR(__xludf.DUMMYFUNCTION("""COMPUTED_VALUE"""),2800.0)</f>
        <v>2800</v>
      </c>
      <c r="B733" s="11">
        <f>IFERROR(__xludf.DUMMYFUNCTION("""COMPUTED_VALUE"""),46176.44556994213)</f>
        <v>46176.44557</v>
      </c>
      <c r="C733" s="3" t="str">
        <f>IFERROR(__xludf.DUMMYFUNCTION("""COMPUTED_VALUE"""),"ชั้นปีที่ 1")</f>
        <v>ชั้นปีที่ 1</v>
      </c>
      <c r="D733" s="3" t="str">
        <f>IFERROR(__xludf.DUMMYFUNCTION("""COMPUTED_VALUE"""),"6803905")</f>
        <v>6803905</v>
      </c>
      <c r="E733" s="3" t="str">
        <f>IFERROR(__xludf.DUMMYFUNCTION("""COMPUTED_VALUE"""),"24")</f>
        <v>24</v>
      </c>
      <c r="F733" s="3" t="str">
        <f>IFERROR(__xludf.DUMMYFUNCTION("""COMPUTED_VALUE"""),"นพอ.ธนพล เสือน้อย")</f>
        <v>นพอ.ธนพล เสือน้อย</v>
      </c>
      <c r="G733" s="3" t="str">
        <f>IFERROR(__xludf.DUMMYFUNCTION("""COMPUTED_VALUE"""),"ทำนุบำรุงศาสนสถาน")</f>
        <v>ทำนุบำรุงศาสนสถาน</v>
      </c>
      <c r="H733" s="3" t="str">
        <f>IFERROR(__xludf.DUMMYFUNCTION("""COMPUTED_VALUE"""),"ล้างห้องน้ำวัด")</f>
        <v>ล้างห้องน้ำวัด</v>
      </c>
      <c r="I733" s="3" t="str">
        <f>IFERROR(__xludf.DUMMYFUNCTION("""COMPUTED_VALUE"""),"วัดนาวง")</f>
        <v>วัดนาวง</v>
      </c>
      <c r="J733" s="12">
        <f>IFERROR(__xludf.DUMMYFUNCTION("""COMPUTED_VALUE"""),46173.0)</f>
        <v>46173</v>
      </c>
      <c r="K733" s="3" t="str">
        <f>IFERROR(__xludf.DUMMYFUNCTION("""COMPUTED_VALUE"""),"0800-1000")</f>
        <v>0800-1000</v>
      </c>
      <c r="L733" s="3">
        <f>IFERROR(__xludf.DUMMYFUNCTION("""COMPUTED_VALUE"""),2.0)</f>
        <v>2</v>
      </c>
      <c r="M733" s="3" t="str">
        <f>IFERROR(__xludf.DUMMYFUNCTION("""COMPUTED_VALUE"""),"พระครูปทุมเขตวิกรม")</f>
        <v>พระครูปทุมเขตวิกรม</v>
      </c>
      <c r="N733" s="14" t="str">
        <f>IFERROR(__xludf.DUMMYFUNCTION("""COMPUTED_VALUE"""),"https://lh5.googleusercontent.com/d/1UqDk78gvQa1eTfOAJEGKgv5GT_FOcYwL")</f>
        <v>https://lh5.googleusercontent.com/d/1UqDk78gvQa1eTfOAJEGKgv5GT_FOcYwL</v>
      </c>
      <c r="O733" s="14" t="str">
        <f>IFERROR(__xludf.DUMMYFUNCTION("""COMPUTED_VALUE"""),"https://drive.google.com/file/d/1EpTZYBiLyna40uA5K3snwyQcDfYKo96z/view?usp=drivesdk")</f>
        <v>https://drive.google.com/file/d/1EpTZYBiLyna40uA5K3snwyQcDfYKo96z/view?usp=drivesdk</v>
      </c>
    </row>
    <row r="734">
      <c r="A734" s="3">
        <f>IFERROR(__xludf.DUMMYFUNCTION("""COMPUTED_VALUE"""),2801.0)</f>
        <v>2801</v>
      </c>
      <c r="B734" s="11">
        <f>IFERROR(__xludf.DUMMYFUNCTION("""COMPUTED_VALUE"""),46176.446013148154)</f>
        <v>46176.44601</v>
      </c>
      <c r="C734" s="3" t="str">
        <f>IFERROR(__xludf.DUMMYFUNCTION("""COMPUTED_VALUE"""),"ชั้นปีที่ 1")</f>
        <v>ชั้นปีที่ 1</v>
      </c>
      <c r="D734" s="3" t="str">
        <f>IFERROR(__xludf.DUMMYFUNCTION("""COMPUTED_VALUE"""),"6803912")</f>
        <v>6803912</v>
      </c>
      <c r="E734" s="3" t="str">
        <f>IFERROR(__xludf.DUMMYFUNCTION("""COMPUTED_VALUE"""),"31")</f>
        <v>31</v>
      </c>
      <c r="F734" s="3" t="str">
        <f>IFERROR(__xludf.DUMMYFUNCTION("""COMPUTED_VALUE"""),"นพอ.เบญจวรรณ มณีแนว")</f>
        <v>นพอ.เบญจวรรณ มณีแนว</v>
      </c>
      <c r="G734" s="3" t="str">
        <f>IFERROR(__xludf.DUMMYFUNCTION("""COMPUTED_VALUE"""),"ช่วยเหลืองานภายใน วพอ.")</f>
        <v>ช่วยเหลืองานภายใน วพอ.</v>
      </c>
      <c r="H73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34" s="3" t="str">
        <f>IFERROR(__xludf.DUMMYFUNCTION("""COMPUTED_VALUE"""),"วพอ.พอ.")</f>
        <v>วพอ.พอ.</v>
      </c>
      <c r="J734" s="12">
        <f>IFERROR(__xludf.DUMMYFUNCTION("""COMPUTED_VALUE"""),46138.0)</f>
        <v>46138</v>
      </c>
      <c r="K734" s="3" t="str">
        <f>IFERROR(__xludf.DUMMYFUNCTION("""COMPUTED_VALUE"""),"1300-2100")</f>
        <v>1300-2100</v>
      </c>
      <c r="L734" s="3">
        <f>IFERROR(__xludf.DUMMYFUNCTION("""COMPUTED_VALUE"""),8.0)</f>
        <v>8</v>
      </c>
      <c r="M734" s="3" t="str">
        <f>IFERROR(__xludf.DUMMYFUNCTION("""COMPUTED_VALUE"""),"ร.อ.อนุชิต ทำจะดี")</f>
        <v>ร.อ.อนุชิต ทำจะดี</v>
      </c>
      <c r="N734" s="14" t="str">
        <f>IFERROR(__xludf.DUMMYFUNCTION("""COMPUTED_VALUE"""),"https://lh5.googleusercontent.com/d/1z3MJhjfO02Ol5BEEY92PyQy51JTPx0c_")</f>
        <v>https://lh5.googleusercontent.com/d/1z3MJhjfO02Ol5BEEY92PyQy51JTPx0c_</v>
      </c>
      <c r="O734" s="14" t="str">
        <f>IFERROR(__xludf.DUMMYFUNCTION("""COMPUTED_VALUE"""),"https://drive.google.com/file/d/1KPJUs8QM1_jJIKcIPOCErZz_l02D-lFU/view?usp=drivesdk")</f>
        <v>https://drive.google.com/file/d/1KPJUs8QM1_jJIKcIPOCErZz_l02D-lFU/view?usp=drivesdk</v>
      </c>
    </row>
    <row r="735">
      <c r="A735" s="3">
        <f>IFERROR(__xludf.DUMMYFUNCTION("""COMPUTED_VALUE"""),2802.0)</f>
        <v>2802</v>
      </c>
      <c r="B735" s="11">
        <f>IFERROR(__xludf.DUMMYFUNCTION("""COMPUTED_VALUE"""),46176.44628563658)</f>
        <v>46176.44629</v>
      </c>
      <c r="C735" s="3" t="str">
        <f>IFERROR(__xludf.DUMMYFUNCTION("""COMPUTED_VALUE"""),"ชั้นปีที่ 1")</f>
        <v>ชั้นปีที่ 1</v>
      </c>
      <c r="D735" s="3" t="str">
        <f>IFERROR(__xludf.DUMMYFUNCTION("""COMPUTED_VALUE"""),"6803903")</f>
        <v>6803903</v>
      </c>
      <c r="E735" s="3" t="str">
        <f>IFERROR(__xludf.DUMMYFUNCTION("""COMPUTED_VALUE"""),"22")</f>
        <v>22</v>
      </c>
      <c r="F735" s="3" t="str">
        <f>IFERROR(__xludf.DUMMYFUNCTION("""COMPUTED_VALUE"""),"นพอ.ดลณภา คล้ายสุวรรณ์")</f>
        <v>นพอ.ดลณภา คล้ายสุวรรณ์</v>
      </c>
      <c r="G735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735" s="3" t="str">
        <f>IFERROR(__xludf.DUMMYFUNCTION("""COMPUTED_VALUE"""),"ไถ่ชีวิตโคกระบือ")</f>
        <v>ไถ่ชีวิตโคกระบือ</v>
      </c>
      <c r="I735" s="3" t="str">
        <f>IFERROR(__xludf.DUMMYFUNCTION("""COMPUTED_VALUE"""),"อำเภอวัดโบสถ์ จังหวัดพิษณุโลก")</f>
        <v>อำเภอวัดโบสถ์ จังหวัดพิษณุโลก</v>
      </c>
      <c r="J735" s="12">
        <f>IFERROR(__xludf.DUMMYFUNCTION("""COMPUTED_VALUE"""),46025.0)</f>
        <v>46025</v>
      </c>
      <c r="K735" s="3" t="str">
        <f>IFERROR(__xludf.DUMMYFUNCTION("""COMPUTED_VALUE"""),"1000-1600")</f>
        <v>1000-1600</v>
      </c>
      <c r="L735" s="3">
        <f>IFERROR(__xludf.DUMMYFUNCTION("""COMPUTED_VALUE"""),6.0)</f>
        <v>6</v>
      </c>
      <c r="M735" s="3" t="str">
        <f>IFERROR(__xludf.DUMMYFUNCTION("""COMPUTED_VALUE"""),"นางปรียาภรณ์ คล้ายสุวรรณ์")</f>
        <v>นางปรียาภรณ์ คล้ายสุวรรณ์</v>
      </c>
      <c r="N735" s="14" t="str">
        <f>IFERROR(__xludf.DUMMYFUNCTION("""COMPUTED_VALUE"""),"https://lh5.googleusercontent.com/d/1icKXzMsB0nBQGHM8J5n9RJhMgJRG2OLV")</f>
        <v>https://lh5.googleusercontent.com/d/1icKXzMsB0nBQGHM8J5n9RJhMgJRG2OLV</v>
      </c>
      <c r="O735" s="14" t="str">
        <f>IFERROR(__xludf.DUMMYFUNCTION("""COMPUTED_VALUE"""),"https://drive.google.com/file/d/1burWUcu8rqzWg6-MFaiN2d0dkc_awGoH/view?usp=drivesdk")</f>
        <v>https://drive.google.com/file/d/1burWUcu8rqzWg6-MFaiN2d0dkc_awGoH/view?usp=drivesdk</v>
      </c>
    </row>
    <row r="736">
      <c r="A736" s="3">
        <f>IFERROR(__xludf.DUMMYFUNCTION("""COMPUTED_VALUE"""),2803.0)</f>
        <v>2803</v>
      </c>
      <c r="B736" s="11">
        <f>IFERROR(__xludf.DUMMYFUNCTION("""COMPUTED_VALUE"""),46176.447761909716)</f>
        <v>46176.44776</v>
      </c>
      <c r="C736" s="3" t="str">
        <f>IFERROR(__xludf.DUMMYFUNCTION("""COMPUTED_VALUE"""),"ชั้นปีที่ 1")</f>
        <v>ชั้นปีที่ 1</v>
      </c>
      <c r="D736" s="3" t="str">
        <f>IFERROR(__xludf.DUMMYFUNCTION("""COMPUTED_VALUE"""),"6803912")</f>
        <v>6803912</v>
      </c>
      <c r="E736" s="3" t="str">
        <f>IFERROR(__xludf.DUMMYFUNCTION("""COMPUTED_VALUE"""),"31")</f>
        <v>31</v>
      </c>
      <c r="F736" s="3" t="str">
        <f>IFERROR(__xludf.DUMMYFUNCTION("""COMPUTED_VALUE"""),"นพอ.เบญจวรรณ มณีแนว")</f>
        <v>นพอ.เบญจวรรณ มณีแนว</v>
      </c>
      <c r="G736" s="3" t="str">
        <f>IFERROR(__xludf.DUMMYFUNCTION("""COMPUTED_VALUE"""),"ช่วยเหลืองานภายใน วพอ.")</f>
        <v>ช่วยเหลืองานภายใน วพอ.</v>
      </c>
      <c r="H73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36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736" s="12">
        <f>IFERROR(__xludf.DUMMYFUNCTION("""COMPUTED_VALUE"""),46139.0)</f>
        <v>46139</v>
      </c>
      <c r="K736" s="3" t="str">
        <f>IFERROR(__xludf.DUMMYFUNCTION("""COMPUTED_VALUE"""),"1700-2100")</f>
        <v>1700-2100</v>
      </c>
      <c r="L736" s="3">
        <f>IFERROR(__xludf.DUMMYFUNCTION("""COMPUTED_VALUE"""),4.0)</f>
        <v>4</v>
      </c>
      <c r="M736" s="3" t="str">
        <f>IFERROR(__xludf.DUMMYFUNCTION("""COMPUTED_VALUE"""),"ร.อ.อนุชิต ทำจะดี")</f>
        <v>ร.อ.อนุชิต ทำจะดี</v>
      </c>
      <c r="N736" s="14" t="str">
        <f>IFERROR(__xludf.DUMMYFUNCTION("""COMPUTED_VALUE"""),"https://lh5.googleusercontent.com/d/1j6eWvUc4Lml6FK0GFNu23LxIKxcACAV2")</f>
        <v>https://lh5.googleusercontent.com/d/1j6eWvUc4Lml6FK0GFNu23LxIKxcACAV2</v>
      </c>
      <c r="O736" s="14" t="str">
        <f>IFERROR(__xludf.DUMMYFUNCTION("""COMPUTED_VALUE"""),"https://drive.google.com/file/d/1dWc5y8ZNc00yBoWfLbOS6o0GnIr9HGca/view?usp=drivesdk")</f>
        <v>https://drive.google.com/file/d/1dWc5y8ZNc00yBoWfLbOS6o0GnIr9HGca/view?usp=drivesdk</v>
      </c>
    </row>
    <row r="737">
      <c r="A737" s="3">
        <f>IFERROR(__xludf.DUMMYFUNCTION("""COMPUTED_VALUE"""),2804.0)</f>
        <v>2804</v>
      </c>
      <c r="B737" s="11">
        <f>IFERROR(__xludf.DUMMYFUNCTION("""COMPUTED_VALUE"""),46176.450701875)</f>
        <v>46176.4507</v>
      </c>
      <c r="C737" s="3" t="str">
        <f>IFERROR(__xludf.DUMMYFUNCTION("""COMPUTED_VALUE"""),"ชั้นปีที่ 1")</f>
        <v>ชั้นปีที่ 1</v>
      </c>
      <c r="D737" s="3" t="str">
        <f>IFERROR(__xludf.DUMMYFUNCTION("""COMPUTED_VALUE"""),"6803912")</f>
        <v>6803912</v>
      </c>
      <c r="E737" s="3" t="str">
        <f>IFERROR(__xludf.DUMMYFUNCTION("""COMPUTED_VALUE"""),"31")</f>
        <v>31</v>
      </c>
      <c r="F737" s="3" t="str">
        <f>IFERROR(__xludf.DUMMYFUNCTION("""COMPUTED_VALUE"""),"นพอ.เบญจวรรณ มณีแนว")</f>
        <v>นพอ.เบญจวรรณ มณีแนว</v>
      </c>
      <c r="G73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37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37" s="3" t="str">
        <f>IFERROR(__xludf.DUMMYFUNCTION("""COMPUTED_VALUE"""),"สนามกีฬากองทัพอากาศ")</f>
        <v>สนามกีฬากองทัพอากาศ</v>
      </c>
      <c r="J737" s="12">
        <f>IFERROR(__xludf.DUMMYFUNCTION("""COMPUTED_VALUE"""),46078.0)</f>
        <v>46078</v>
      </c>
      <c r="K737" s="3" t="str">
        <f>IFERROR(__xludf.DUMMYFUNCTION("""COMPUTED_VALUE"""),"1200-2000")</f>
        <v>1200-2000</v>
      </c>
      <c r="L737" s="3">
        <f>IFERROR(__xludf.DUMMYFUNCTION("""COMPUTED_VALUE"""),8.0)</f>
        <v>8</v>
      </c>
      <c r="M73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37" s="14" t="str">
        <f>IFERROR(__xludf.DUMMYFUNCTION("""COMPUTED_VALUE"""),"https://lh5.googleusercontent.com/d/18DW-WcZc9mFomK3iZQW_-PoML0x_HP7p")</f>
        <v>https://lh5.googleusercontent.com/d/18DW-WcZc9mFomK3iZQW_-PoML0x_HP7p</v>
      </c>
      <c r="O737" s="14" t="str">
        <f>IFERROR(__xludf.DUMMYFUNCTION("""COMPUTED_VALUE"""),"https://drive.google.com/file/d/1nh3POfwEd2M08x0LspBhPMGRdi_K8qkA/view?usp=drivesdk")</f>
        <v>https://drive.google.com/file/d/1nh3POfwEd2M08x0LspBhPMGRdi_K8qkA/view?usp=drivesdk</v>
      </c>
    </row>
    <row r="738">
      <c r="A738" s="3">
        <f>IFERROR(__xludf.DUMMYFUNCTION("""COMPUTED_VALUE"""),2805.0)</f>
        <v>2805</v>
      </c>
      <c r="B738" s="11">
        <f>IFERROR(__xludf.DUMMYFUNCTION("""COMPUTED_VALUE"""),46176.45216462963)</f>
        <v>46176.45216</v>
      </c>
      <c r="C738" s="3" t="str">
        <f>IFERROR(__xludf.DUMMYFUNCTION("""COMPUTED_VALUE"""),"ชั้นปีที่ 1")</f>
        <v>ชั้นปีที่ 1</v>
      </c>
      <c r="D738" s="3" t="str">
        <f>IFERROR(__xludf.DUMMYFUNCTION("""COMPUTED_VALUE"""),"6803903")</f>
        <v>6803903</v>
      </c>
      <c r="E738" s="3" t="str">
        <f>IFERROR(__xludf.DUMMYFUNCTION("""COMPUTED_VALUE"""),"22")</f>
        <v>22</v>
      </c>
      <c r="F738" s="3" t="str">
        <f>IFERROR(__xludf.DUMMYFUNCTION("""COMPUTED_VALUE"""),"นพอ.ดลณภา คล้ายสุวรรณ์")</f>
        <v>นพอ.ดลณภา คล้ายสุวรรณ์</v>
      </c>
      <c r="G738" s="3" t="str">
        <f>IFERROR(__xludf.DUMMYFUNCTION("""COMPUTED_VALUE"""),"ทำนุบำรุงศาสนสถาน")</f>
        <v>ทำนุบำรุงศาสนสถาน</v>
      </c>
      <c r="H738" s="3" t="str">
        <f>IFERROR(__xludf.DUMMYFUNCTION("""COMPUTED_VALUE"""),"ทำความสะอาด(เก็บดอกไม้)ภายในอุโมงค์พระธาตุ")</f>
        <v>ทำความสะอาด(เก็บดอกไม้)ภายในอุโมงค์พระธาตุ</v>
      </c>
      <c r="I738" s="3" t="str">
        <f>IFERROR(__xludf.DUMMYFUNCTION("""COMPUTED_VALUE"""),"วัดพระศรีรัตนมหาธาตุวรมหาวิหาร")</f>
        <v>วัดพระศรีรัตนมหาธาตุวรมหาวิหาร</v>
      </c>
      <c r="J738" s="12">
        <f>IFERROR(__xludf.DUMMYFUNCTION("""COMPUTED_VALUE"""),46187.0)</f>
        <v>46187</v>
      </c>
      <c r="K738" s="3" t="str">
        <f>IFERROR(__xludf.DUMMYFUNCTION("""COMPUTED_VALUE"""),"0800-1200")</f>
        <v>0800-1200</v>
      </c>
      <c r="L738" s="3">
        <f>IFERROR(__xludf.DUMMYFUNCTION("""COMPUTED_VALUE"""),4.0)</f>
        <v>4</v>
      </c>
      <c r="M738" s="3" t="str">
        <f>IFERROR(__xludf.DUMMYFUNCTION("""COMPUTED_VALUE"""),"นางปรียาภรณ์ คล้ายสุวรรณ์")</f>
        <v>นางปรียาภรณ์ คล้ายสุวรรณ์</v>
      </c>
      <c r="N738" s="14" t="str">
        <f>IFERROR(__xludf.DUMMYFUNCTION("""COMPUTED_VALUE"""),"https://lh5.googleusercontent.com/d/1V8QzXHgN64xtX5ZGVR1DDLUViYikh-Y3")</f>
        <v>https://lh5.googleusercontent.com/d/1V8QzXHgN64xtX5ZGVR1DDLUViYikh-Y3</v>
      </c>
      <c r="O738" s="14" t="str">
        <f>IFERROR(__xludf.DUMMYFUNCTION("""COMPUTED_VALUE"""),"https://drive.google.com/file/d/1hDk8sZvNopPqlMOc7gjOGruuH8Pzwyxh/view?usp=drivesdk")</f>
        <v>https://drive.google.com/file/d/1hDk8sZvNopPqlMOc7gjOGruuH8Pzwyxh/view?usp=drivesdk</v>
      </c>
    </row>
    <row r="739">
      <c r="A739" s="3">
        <f>IFERROR(__xludf.DUMMYFUNCTION("""COMPUTED_VALUE"""),2806.0)</f>
        <v>2806</v>
      </c>
      <c r="B739" s="11">
        <f>IFERROR(__xludf.DUMMYFUNCTION("""COMPUTED_VALUE"""),46176.45401523148)</f>
        <v>46176.45402</v>
      </c>
      <c r="C739" s="3" t="str">
        <f>IFERROR(__xludf.DUMMYFUNCTION("""COMPUTED_VALUE"""),"ชั้นปีที่ 1")</f>
        <v>ชั้นปีที่ 1</v>
      </c>
      <c r="D739" s="3" t="str">
        <f>IFERROR(__xludf.DUMMYFUNCTION("""COMPUTED_VALUE"""),"6803912")</f>
        <v>6803912</v>
      </c>
      <c r="E739" s="3" t="str">
        <f>IFERROR(__xludf.DUMMYFUNCTION("""COMPUTED_VALUE"""),"31")</f>
        <v>31</v>
      </c>
      <c r="F739" s="3" t="str">
        <f>IFERROR(__xludf.DUMMYFUNCTION("""COMPUTED_VALUE"""),"นพอ.เบญจวรรณ มณีแนว")</f>
        <v>นพอ.เบญจวรรณ มณีแนว</v>
      </c>
      <c r="G739" s="3" t="str">
        <f>IFERROR(__xludf.DUMMYFUNCTION("""COMPUTED_VALUE"""),"ช่วยเหลืองานภายใน วพอ.")</f>
        <v>ช่วยเหลืองานภายใน วพอ.</v>
      </c>
      <c r="H739" s="3" t="str">
        <f>IFERROR(__xludf.DUMMYFUNCTION("""COMPUTED_VALUE"""),"ดุริยางค์")</f>
        <v>ดุริยางค์</v>
      </c>
      <c r="I739" s="3" t="str">
        <f>IFERROR(__xludf.DUMMYFUNCTION("""COMPUTED_VALUE"""),"ลานหน้าคุณพ่อ")</f>
        <v>ลานหน้าคุณพ่อ</v>
      </c>
      <c r="J739" s="12">
        <f>IFERROR(__xludf.DUMMYFUNCTION("""COMPUTED_VALUE"""),46128.0)</f>
        <v>46128</v>
      </c>
      <c r="K739" s="3" t="str">
        <f>IFERROR(__xludf.DUMMYFUNCTION("""COMPUTED_VALUE"""),"0700-0735")</f>
        <v>0700-0735</v>
      </c>
      <c r="L739" s="3">
        <f>IFERROR(__xludf.DUMMYFUNCTION("""COMPUTED_VALUE"""),1.0)</f>
        <v>1</v>
      </c>
      <c r="M739" s="3" t="str">
        <f>IFERROR(__xludf.DUMMYFUNCTION("""COMPUTED_VALUE"""),"ร.อ.อนุชิต ทำจะดี")</f>
        <v>ร.อ.อนุชิต ทำจะดี</v>
      </c>
      <c r="N739" s="14" t="str">
        <f>IFERROR(__xludf.DUMMYFUNCTION("""COMPUTED_VALUE"""),"https://lh5.googleusercontent.com/d/1ZMJsp2E7vIE46Leizl3FMzuT7wAjrA7B")</f>
        <v>https://lh5.googleusercontent.com/d/1ZMJsp2E7vIE46Leizl3FMzuT7wAjrA7B</v>
      </c>
      <c r="O739" s="14" t="str">
        <f>IFERROR(__xludf.DUMMYFUNCTION("""COMPUTED_VALUE"""),"https://drive.google.com/file/d/1HqtNsm-NpBRVKCjUasyWtGr9eWFcTwoY/view?usp=drivesdk")</f>
        <v>https://drive.google.com/file/d/1HqtNsm-NpBRVKCjUasyWtGr9eWFcTwoY/view?usp=drivesdk</v>
      </c>
    </row>
    <row r="740">
      <c r="A740" s="3">
        <f>IFERROR(__xludf.DUMMYFUNCTION("""COMPUTED_VALUE"""),2807.0)</f>
        <v>2807</v>
      </c>
      <c r="B740" s="11">
        <f>IFERROR(__xludf.DUMMYFUNCTION("""COMPUTED_VALUE"""),46176.455706458335)</f>
        <v>46176.45571</v>
      </c>
      <c r="C740" s="3" t="str">
        <f>IFERROR(__xludf.DUMMYFUNCTION("""COMPUTED_VALUE"""),"ชั้นปีที่ 1")</f>
        <v>ชั้นปีที่ 1</v>
      </c>
      <c r="D740" s="3" t="str">
        <f>IFERROR(__xludf.DUMMYFUNCTION("""COMPUTED_VALUE"""),"6803912")</f>
        <v>6803912</v>
      </c>
      <c r="E740" s="3" t="str">
        <f>IFERROR(__xludf.DUMMYFUNCTION("""COMPUTED_VALUE"""),"31")</f>
        <v>31</v>
      </c>
      <c r="F740" s="3" t="str">
        <f>IFERROR(__xludf.DUMMYFUNCTION("""COMPUTED_VALUE"""),"นพอ.เบญจวรรณ มณีแนว")</f>
        <v>นพอ.เบญจวรรณ มณีแนว</v>
      </c>
      <c r="G740" s="3" t="str">
        <f>IFERROR(__xludf.DUMMYFUNCTION("""COMPUTED_VALUE"""),"ช่วยเหลืองานภายใน วพอ.")</f>
        <v>ช่วยเหลืองานภายใน วพอ.</v>
      </c>
      <c r="H740" s="3" t="str">
        <f>IFERROR(__xludf.DUMMYFUNCTION("""COMPUTED_VALUE"""),"ดุริยางค์")</f>
        <v>ดุริยางค์</v>
      </c>
      <c r="I740" s="3" t="str">
        <f>IFERROR(__xludf.DUMMYFUNCTION("""COMPUTED_VALUE"""),"ลานหน้าคุณพ่อ")</f>
        <v>ลานหน้าคุณพ่อ</v>
      </c>
      <c r="J740" s="12">
        <f>IFERROR(__xludf.DUMMYFUNCTION("""COMPUTED_VALUE"""),46129.0)</f>
        <v>46129</v>
      </c>
      <c r="K740" s="3" t="str">
        <f>IFERROR(__xludf.DUMMYFUNCTION("""COMPUTED_VALUE"""),"0700-0735")</f>
        <v>0700-0735</v>
      </c>
      <c r="L740" s="3">
        <f>IFERROR(__xludf.DUMMYFUNCTION("""COMPUTED_VALUE"""),1.0)</f>
        <v>1</v>
      </c>
      <c r="M740" s="3" t="str">
        <f>IFERROR(__xludf.DUMMYFUNCTION("""COMPUTED_VALUE"""),"ร.อ.อนุชิต ทำจะดี")</f>
        <v>ร.อ.อนุชิต ทำจะดี</v>
      </c>
      <c r="N740" s="14" t="str">
        <f>IFERROR(__xludf.DUMMYFUNCTION("""COMPUTED_VALUE"""),"https://lh5.googleusercontent.com/d/1sfmzRyNfcE9uEqNfpobqNMgQBs2smFhR")</f>
        <v>https://lh5.googleusercontent.com/d/1sfmzRyNfcE9uEqNfpobqNMgQBs2smFhR</v>
      </c>
      <c r="O740" s="14" t="str">
        <f>IFERROR(__xludf.DUMMYFUNCTION("""COMPUTED_VALUE"""),"https://drive.google.com/file/d/1ltDQAK5eO2C7mRxHjVa-rLcuxsxCE5u7/view?usp=drivesdk")</f>
        <v>https://drive.google.com/file/d/1ltDQAK5eO2C7mRxHjVa-rLcuxsxCE5u7/view?usp=drivesdk</v>
      </c>
    </row>
    <row r="741">
      <c r="A741" s="3">
        <f>IFERROR(__xludf.DUMMYFUNCTION("""COMPUTED_VALUE"""),2808.0)</f>
        <v>2808</v>
      </c>
      <c r="B741" s="11">
        <f>IFERROR(__xludf.DUMMYFUNCTION("""COMPUTED_VALUE"""),46176.45685337963)</f>
        <v>46176.45685</v>
      </c>
      <c r="C741" s="3" t="str">
        <f>IFERROR(__xludf.DUMMYFUNCTION("""COMPUTED_VALUE"""),"ชั้นปีที่ 1")</f>
        <v>ชั้นปีที่ 1</v>
      </c>
      <c r="D741" s="3" t="str">
        <f>IFERROR(__xludf.DUMMYFUNCTION("""COMPUTED_VALUE"""),"6803912")</f>
        <v>6803912</v>
      </c>
      <c r="E741" s="3" t="str">
        <f>IFERROR(__xludf.DUMMYFUNCTION("""COMPUTED_VALUE"""),"31")</f>
        <v>31</v>
      </c>
      <c r="F741" s="3" t="str">
        <f>IFERROR(__xludf.DUMMYFUNCTION("""COMPUTED_VALUE"""),"นพอ.เบญจวรรณ มณีแนว")</f>
        <v>นพอ.เบญจวรรณ มณีแนว</v>
      </c>
      <c r="G741" s="3" t="str">
        <f>IFERROR(__xludf.DUMMYFUNCTION("""COMPUTED_VALUE"""),"ช่วยเหลืองานภายใน วพอ.")</f>
        <v>ช่วยเหลืองานภายใน วพอ.</v>
      </c>
      <c r="H741" s="3" t="str">
        <f>IFERROR(__xludf.DUMMYFUNCTION("""COMPUTED_VALUE"""),"ดุริยางค์")</f>
        <v>ดุริยางค์</v>
      </c>
      <c r="I741" s="3" t="str">
        <f>IFERROR(__xludf.DUMMYFUNCTION("""COMPUTED_VALUE"""),"ลานหน้าคุณพ่อ")</f>
        <v>ลานหน้าคุณพ่อ</v>
      </c>
      <c r="J741" s="12">
        <f>IFERROR(__xludf.DUMMYFUNCTION("""COMPUTED_VALUE"""),46142.0)</f>
        <v>46142</v>
      </c>
      <c r="K741" s="3" t="str">
        <f>IFERROR(__xludf.DUMMYFUNCTION("""COMPUTED_VALUE"""),"0700-0735")</f>
        <v>0700-0735</v>
      </c>
      <c r="L741" s="3">
        <f>IFERROR(__xludf.DUMMYFUNCTION("""COMPUTED_VALUE"""),1.0)</f>
        <v>1</v>
      </c>
      <c r="M741" s="3" t="str">
        <f>IFERROR(__xludf.DUMMYFUNCTION("""COMPUTED_VALUE"""),"ร.อ.อนุชิต ทำจะดี")</f>
        <v>ร.อ.อนุชิต ทำจะดี</v>
      </c>
      <c r="N741" s="14" t="str">
        <f>IFERROR(__xludf.DUMMYFUNCTION("""COMPUTED_VALUE"""),"https://lh5.googleusercontent.com/d/1D7Yvd_3FjjzaGauEEKOlbioyZMFaAYJZ")</f>
        <v>https://lh5.googleusercontent.com/d/1D7Yvd_3FjjzaGauEEKOlbioyZMFaAYJZ</v>
      </c>
      <c r="O741" s="14" t="str">
        <f>IFERROR(__xludf.DUMMYFUNCTION("""COMPUTED_VALUE"""),"https://drive.google.com/file/d/1mIpowgKAvqtqfF1bP9SWwJbD7urK6OoY/view?usp=drivesdk")</f>
        <v>https://drive.google.com/file/d/1mIpowgKAvqtqfF1bP9SWwJbD7urK6OoY/view?usp=drivesdk</v>
      </c>
    </row>
    <row r="742">
      <c r="A742" s="3">
        <f>IFERROR(__xludf.DUMMYFUNCTION("""COMPUTED_VALUE"""),2809.0)</f>
        <v>2809</v>
      </c>
      <c r="B742" s="11">
        <f>IFERROR(__xludf.DUMMYFUNCTION("""COMPUTED_VALUE"""),46176.45748734954)</f>
        <v>46176.45749</v>
      </c>
      <c r="C742" s="3" t="str">
        <f>IFERROR(__xludf.DUMMYFUNCTION("""COMPUTED_VALUE"""),"ชั้นปีที่ 1")</f>
        <v>ชั้นปีที่ 1</v>
      </c>
      <c r="D742" s="3" t="str">
        <f>IFERROR(__xludf.DUMMYFUNCTION("""COMPUTED_VALUE"""),"6803884")</f>
        <v>6803884</v>
      </c>
      <c r="E742" s="3" t="str">
        <f>IFERROR(__xludf.DUMMYFUNCTION("""COMPUTED_VALUE"""),"3")</f>
        <v>3</v>
      </c>
      <c r="F742" s="3" t="str">
        <f>IFERROR(__xludf.DUMMYFUNCTION("""COMPUTED_VALUE"""),"นพอ.กรองทอง กันฟัก")</f>
        <v>นพอ.กรองทอง กันฟัก</v>
      </c>
      <c r="G742" s="3" t="str">
        <f>IFERROR(__xludf.DUMMYFUNCTION("""COMPUTED_VALUE"""),"งานฟรีทั่วไป")</f>
        <v>งานฟรีทั่วไป</v>
      </c>
      <c r="H742" s="3" t="str">
        <f>IFERROR(__xludf.DUMMYFUNCTION("""COMPUTED_VALUE"""),"กวาดบ้าน")</f>
        <v>กวาดบ้าน</v>
      </c>
      <c r="I742" s="3" t="str">
        <f>IFERROR(__xludf.DUMMYFUNCTION("""COMPUTED_VALUE"""),"บ้าน")</f>
        <v>บ้าน</v>
      </c>
      <c r="J742" s="12">
        <f>IFERROR(__xludf.DUMMYFUNCTION("""COMPUTED_VALUE"""),46173.0)</f>
        <v>46173</v>
      </c>
      <c r="K742" s="3" t="str">
        <f>IFERROR(__xludf.DUMMYFUNCTION("""COMPUTED_VALUE"""),"0800-1000")</f>
        <v>0800-1000</v>
      </c>
      <c r="L742" s="3">
        <f>IFERROR(__xludf.DUMMYFUNCTION("""COMPUTED_VALUE"""),2.0)</f>
        <v>2</v>
      </c>
      <c r="M742" s="3" t="str">
        <f>IFERROR(__xludf.DUMMYFUNCTION("""COMPUTED_VALUE"""),"นางสาวชุติมา กันฟัก")</f>
        <v>นางสาวชุติมา กันฟัก</v>
      </c>
      <c r="N742" s="14" t="str">
        <f>IFERROR(__xludf.DUMMYFUNCTION("""COMPUTED_VALUE"""),"https://lh5.googleusercontent.com/d/1TWzjKAcEYSbPRD-JP_B9TIV0Yb8KO_eK")</f>
        <v>https://lh5.googleusercontent.com/d/1TWzjKAcEYSbPRD-JP_B9TIV0Yb8KO_eK</v>
      </c>
      <c r="O742" s="14" t="str">
        <f>IFERROR(__xludf.DUMMYFUNCTION("""COMPUTED_VALUE"""),"https://drive.google.com/file/d/12yUdweoZSNY55pPW_TUYRcAQqbSNe-mw/view?usp=drivesdk")</f>
        <v>https://drive.google.com/file/d/12yUdweoZSNY55pPW_TUYRcAQqbSNe-mw/view?usp=drivesdk</v>
      </c>
    </row>
    <row r="743">
      <c r="A743" s="3">
        <f>IFERROR(__xludf.DUMMYFUNCTION("""COMPUTED_VALUE"""),2810.0)</f>
        <v>2810</v>
      </c>
      <c r="B743" s="11">
        <f>IFERROR(__xludf.DUMMYFUNCTION("""COMPUTED_VALUE"""),46176.45800061342)</f>
        <v>46176.458</v>
      </c>
      <c r="C743" s="3" t="str">
        <f>IFERROR(__xludf.DUMMYFUNCTION("""COMPUTED_VALUE"""),"ชั้นปีที่ 1")</f>
        <v>ชั้นปีที่ 1</v>
      </c>
      <c r="D743" s="3" t="str">
        <f>IFERROR(__xludf.DUMMYFUNCTION("""COMPUTED_VALUE"""),"6803922")</f>
        <v>6803922</v>
      </c>
      <c r="E743" s="3" t="str">
        <f>IFERROR(__xludf.DUMMYFUNCTION("""COMPUTED_VALUE"""),"41")</f>
        <v>41</v>
      </c>
      <c r="F743" s="3" t="str">
        <f>IFERROR(__xludf.DUMMYFUNCTION("""COMPUTED_VALUE"""),"นพอ.พินิษา อินทร์ศวร")</f>
        <v>นพอ.พินิษา อินทร์ศวร</v>
      </c>
      <c r="G743" s="3" t="str">
        <f>IFERROR(__xludf.DUMMYFUNCTION("""COMPUTED_VALUE"""),"ช่วยเหลืองานภายใน วพอ.")</f>
        <v>ช่วยเหลืองานภายใน วพอ.</v>
      </c>
      <c r="H743" s="3" t="str">
        <f>IFERROR(__xludf.DUMMYFUNCTION("""COMPUTED_VALUE"""),"ช่วยพับหมวกและทำของขวัญวันเด็ก")</f>
        <v>ช่วยพับหมวกและทำของขวัญวันเด็ก</v>
      </c>
      <c r="I743" s="3" t="str">
        <f>IFERROR(__xludf.DUMMYFUNCTION("""COMPUTED_VALUE"""),"วพอ.พอ.")</f>
        <v>วพอ.พอ.</v>
      </c>
      <c r="J743" s="12">
        <f>IFERROR(__xludf.DUMMYFUNCTION("""COMPUTED_VALUE"""),46031.0)</f>
        <v>46031</v>
      </c>
      <c r="K743" s="3" t="str">
        <f>IFERROR(__xludf.DUMMYFUNCTION("""COMPUTED_VALUE"""),"1100-1200")</f>
        <v>1100-1200</v>
      </c>
      <c r="L743" s="3">
        <f>IFERROR(__xludf.DUMMYFUNCTION("""COMPUTED_VALUE"""),4.0)</f>
        <v>4</v>
      </c>
      <c r="M743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743" s="14" t="str">
        <f>IFERROR(__xludf.DUMMYFUNCTION("""COMPUTED_VALUE"""),"https://lh5.googleusercontent.com/d/1kMVZQFvNyj-Q4PESBnsBZPqyVQ0IOFcT")</f>
        <v>https://lh5.googleusercontent.com/d/1kMVZQFvNyj-Q4PESBnsBZPqyVQ0IOFcT</v>
      </c>
      <c r="O743" s="14" t="str">
        <f>IFERROR(__xludf.DUMMYFUNCTION("""COMPUTED_VALUE"""),"https://drive.google.com/file/d/1Y8NocDeHnzGeIynl8k9f2DLnZZnp1X7H/view?usp=drivesdk")</f>
        <v>https://drive.google.com/file/d/1Y8NocDeHnzGeIynl8k9f2DLnZZnp1X7H/view?usp=drivesdk</v>
      </c>
    </row>
    <row r="744">
      <c r="A744" s="3">
        <f>IFERROR(__xludf.DUMMYFUNCTION("""COMPUTED_VALUE"""),2811.0)</f>
        <v>2811</v>
      </c>
      <c r="B744" s="11">
        <f>IFERROR(__xludf.DUMMYFUNCTION("""COMPUTED_VALUE"""),46176.458083240745)</f>
        <v>46176.45808</v>
      </c>
      <c r="C744" s="3" t="str">
        <f>IFERROR(__xludf.DUMMYFUNCTION("""COMPUTED_VALUE"""),"ชั้นปีที่ 1")</f>
        <v>ชั้นปีที่ 1</v>
      </c>
      <c r="D744" s="3" t="str">
        <f>IFERROR(__xludf.DUMMYFUNCTION("""COMPUTED_VALUE"""),"6803912")</f>
        <v>6803912</v>
      </c>
      <c r="E744" s="3" t="str">
        <f>IFERROR(__xludf.DUMMYFUNCTION("""COMPUTED_VALUE"""),"31")</f>
        <v>31</v>
      </c>
      <c r="F744" s="3" t="str">
        <f>IFERROR(__xludf.DUMMYFUNCTION("""COMPUTED_VALUE"""),"นพอ.เบญจวรรณ มณีแนว")</f>
        <v>นพอ.เบญจวรรณ มณีแนว</v>
      </c>
      <c r="G744" s="3" t="str">
        <f>IFERROR(__xludf.DUMMYFUNCTION("""COMPUTED_VALUE"""),"ช่วยเหลืองานภายใน วพอ.")</f>
        <v>ช่วยเหลืองานภายใน วพอ.</v>
      </c>
      <c r="H744" s="3" t="str">
        <f>IFERROR(__xludf.DUMMYFUNCTION("""COMPUTED_VALUE"""),"ดุริยางค์")</f>
        <v>ดุริยางค์</v>
      </c>
      <c r="I744" s="3" t="str">
        <f>IFERROR(__xludf.DUMMYFUNCTION("""COMPUTED_VALUE"""),"ลานหน้าคุณพ่อ")</f>
        <v>ลานหน้าคุณพ่อ</v>
      </c>
      <c r="J744" s="12">
        <f>IFERROR(__xludf.DUMMYFUNCTION("""COMPUTED_VALUE"""),46116.0)</f>
        <v>46116</v>
      </c>
      <c r="K744" s="3" t="str">
        <f>IFERROR(__xludf.DUMMYFUNCTION("""COMPUTED_VALUE"""),"0700-0735")</f>
        <v>0700-0735</v>
      </c>
      <c r="L744" s="3">
        <f>IFERROR(__xludf.DUMMYFUNCTION("""COMPUTED_VALUE"""),1.0)</f>
        <v>1</v>
      </c>
      <c r="M744" s="3" t="str">
        <f>IFERROR(__xludf.DUMMYFUNCTION("""COMPUTED_VALUE"""),"ร.อ.อนุชิต ทำจะดี")</f>
        <v>ร.อ.อนุชิต ทำจะดี</v>
      </c>
      <c r="N744" s="14" t="str">
        <f>IFERROR(__xludf.DUMMYFUNCTION("""COMPUTED_VALUE"""),"https://lh5.googleusercontent.com/d/1qZKWrQmRY23fWw_Ynvdk06VeCnbiuN4v")</f>
        <v>https://lh5.googleusercontent.com/d/1qZKWrQmRY23fWw_Ynvdk06VeCnbiuN4v</v>
      </c>
      <c r="O744" s="14" t="str">
        <f>IFERROR(__xludf.DUMMYFUNCTION("""COMPUTED_VALUE"""),"https://drive.google.com/file/d/1PsYpj9CptSKqHZRxeoSqUWITOPImy5sg/view?usp=drivesdk")</f>
        <v>https://drive.google.com/file/d/1PsYpj9CptSKqHZRxeoSqUWITOPImy5sg/view?usp=drivesdk</v>
      </c>
    </row>
    <row r="745">
      <c r="A745" s="3">
        <f>IFERROR(__xludf.DUMMYFUNCTION("""COMPUTED_VALUE"""),2812.0)</f>
        <v>2812</v>
      </c>
      <c r="B745" s="11">
        <f>IFERROR(__xludf.DUMMYFUNCTION("""COMPUTED_VALUE"""),46176.458380081014)</f>
        <v>46176.45838</v>
      </c>
      <c r="C745" s="3" t="str">
        <f>IFERROR(__xludf.DUMMYFUNCTION("""COMPUTED_VALUE"""),"ชั้นปีที่ 1")</f>
        <v>ชั้นปีที่ 1</v>
      </c>
      <c r="D745" s="3" t="str">
        <f>IFERROR(__xludf.DUMMYFUNCTION("""COMPUTED_VALUE"""),"6803884")</f>
        <v>6803884</v>
      </c>
      <c r="E745" s="3" t="str">
        <f>IFERROR(__xludf.DUMMYFUNCTION("""COMPUTED_VALUE"""),"3")</f>
        <v>3</v>
      </c>
      <c r="F745" s="3" t="str">
        <f>IFERROR(__xludf.DUMMYFUNCTION("""COMPUTED_VALUE"""),"นพอ.กรองทอง กันฟัก")</f>
        <v>นพอ.กรองทอง กันฟัก</v>
      </c>
      <c r="G745" s="3" t="str">
        <f>IFERROR(__xludf.DUMMYFUNCTION("""COMPUTED_VALUE"""),"งานฟรีทั่วไป")</f>
        <v>งานฟรีทั่วไป</v>
      </c>
      <c r="H745" s="3" t="str">
        <f>IFERROR(__xludf.DUMMYFUNCTION("""COMPUTED_VALUE"""),"ถูพื้นบ้าน")</f>
        <v>ถูพื้นบ้าน</v>
      </c>
      <c r="I745" s="3" t="str">
        <f>IFERROR(__xludf.DUMMYFUNCTION("""COMPUTED_VALUE"""),"บ้าน")</f>
        <v>บ้าน</v>
      </c>
      <c r="J745" s="12">
        <f>IFERROR(__xludf.DUMMYFUNCTION("""COMPUTED_VALUE"""),46173.0)</f>
        <v>46173</v>
      </c>
      <c r="K745" s="3" t="str">
        <f>IFERROR(__xludf.DUMMYFUNCTION("""COMPUTED_VALUE"""),"1200-1300")</f>
        <v>1200-1300</v>
      </c>
      <c r="L745" s="3">
        <f>IFERROR(__xludf.DUMMYFUNCTION("""COMPUTED_VALUE"""),1.0)</f>
        <v>1</v>
      </c>
      <c r="M745" s="3" t="str">
        <f>IFERROR(__xludf.DUMMYFUNCTION("""COMPUTED_VALUE"""),"นางดาวรุ่ง กันฟัก")</f>
        <v>นางดาวรุ่ง กันฟัก</v>
      </c>
      <c r="N745" s="14" t="str">
        <f>IFERROR(__xludf.DUMMYFUNCTION("""COMPUTED_VALUE"""),"https://lh5.googleusercontent.com/d/1phBjyrAa29JEE2DbPzmpNSnCT4fy3RFA")</f>
        <v>https://lh5.googleusercontent.com/d/1phBjyrAa29JEE2DbPzmpNSnCT4fy3RFA</v>
      </c>
      <c r="O745" s="14" t="str">
        <f>IFERROR(__xludf.DUMMYFUNCTION("""COMPUTED_VALUE"""),"https://drive.google.com/file/d/1LBQi5XM3IsB79j_uBnkOmPFrt4k-z0a1/view?usp=drivesdk")</f>
        <v>https://drive.google.com/file/d/1LBQi5XM3IsB79j_uBnkOmPFrt4k-z0a1/view?usp=drivesdk</v>
      </c>
    </row>
    <row r="746">
      <c r="A746" s="3">
        <f>IFERROR(__xludf.DUMMYFUNCTION("""COMPUTED_VALUE"""),2813.0)</f>
        <v>2813</v>
      </c>
      <c r="B746" s="11">
        <f>IFERROR(__xludf.DUMMYFUNCTION("""COMPUTED_VALUE"""),46176.46075758102)</f>
        <v>46176.46076</v>
      </c>
      <c r="C746" s="3" t="str">
        <f>IFERROR(__xludf.DUMMYFUNCTION("""COMPUTED_VALUE"""),"ชั้นปีที่ 1")</f>
        <v>ชั้นปีที่ 1</v>
      </c>
      <c r="D746" s="3" t="str">
        <f>IFERROR(__xludf.DUMMYFUNCTION("""COMPUTED_VALUE"""),"6803912")</f>
        <v>6803912</v>
      </c>
      <c r="E746" s="3" t="str">
        <f>IFERROR(__xludf.DUMMYFUNCTION("""COMPUTED_VALUE"""),"31")</f>
        <v>31</v>
      </c>
      <c r="F746" s="3" t="str">
        <f>IFERROR(__xludf.DUMMYFUNCTION("""COMPUTED_VALUE"""),"นพอ.เบญจวรรณ มณีแนว")</f>
        <v>นพอ.เบญจวรรณ มณีแนว</v>
      </c>
      <c r="G746" s="3" t="str">
        <f>IFERROR(__xludf.DUMMYFUNCTION("""COMPUTED_VALUE"""),"ช่วยเหลืองานภายใน วพอ.")</f>
        <v>ช่วยเหลืองานภายใน วพอ.</v>
      </c>
      <c r="H746" s="3" t="str">
        <f>IFERROR(__xludf.DUMMYFUNCTION("""COMPUTED_VALUE"""),"ดุริยางค์")</f>
        <v>ดุริยางค์</v>
      </c>
      <c r="I746" s="3" t="str">
        <f>IFERROR(__xludf.DUMMYFUNCTION("""COMPUTED_VALUE"""),"หน้าลานคุณพ่อ")</f>
        <v>หน้าลานคุณพ่อ</v>
      </c>
      <c r="J746" s="12">
        <f>IFERROR(__xludf.DUMMYFUNCTION("""COMPUTED_VALUE"""),46170.0)</f>
        <v>46170</v>
      </c>
      <c r="K746" s="3" t="str">
        <f>IFERROR(__xludf.DUMMYFUNCTION("""COMPUTED_VALUE"""),"0700-0735")</f>
        <v>0700-0735</v>
      </c>
      <c r="L746" s="3">
        <f>IFERROR(__xludf.DUMMYFUNCTION("""COMPUTED_VALUE"""),1.0)</f>
        <v>1</v>
      </c>
      <c r="M746" s="3" t="str">
        <f>IFERROR(__xludf.DUMMYFUNCTION("""COMPUTED_VALUE"""),"ร.อ.อนุชิต ทำจะดี")</f>
        <v>ร.อ.อนุชิต ทำจะดี</v>
      </c>
      <c r="N746" s="14" t="str">
        <f>IFERROR(__xludf.DUMMYFUNCTION("""COMPUTED_VALUE"""),"https://lh5.googleusercontent.com/d/1CyQWVYB4jVhhQkp-KHllvZFaE41OpPqH")</f>
        <v>https://lh5.googleusercontent.com/d/1CyQWVYB4jVhhQkp-KHllvZFaE41OpPqH</v>
      </c>
      <c r="O746" s="14" t="str">
        <f>IFERROR(__xludf.DUMMYFUNCTION("""COMPUTED_VALUE"""),"https://drive.google.com/file/d/1fN9BmZaXT-ql5PHYJPs-3V_Inqkn1W0F/view?usp=drivesdk")</f>
        <v>https://drive.google.com/file/d/1fN9BmZaXT-ql5PHYJPs-3V_Inqkn1W0F/view?usp=drivesdk</v>
      </c>
    </row>
    <row r="747">
      <c r="A747" s="3">
        <f>IFERROR(__xludf.DUMMYFUNCTION("""COMPUTED_VALUE"""),2814.0)</f>
        <v>2814</v>
      </c>
      <c r="B747" s="11">
        <f>IFERROR(__xludf.DUMMYFUNCTION("""COMPUTED_VALUE"""),46176.4618191551)</f>
        <v>46176.46182</v>
      </c>
      <c r="C747" s="3" t="str">
        <f>IFERROR(__xludf.DUMMYFUNCTION("""COMPUTED_VALUE"""),"ชั้นปีที่ 1")</f>
        <v>ชั้นปีที่ 1</v>
      </c>
      <c r="D747" s="3" t="str">
        <f>IFERROR(__xludf.DUMMYFUNCTION("""COMPUTED_VALUE"""),"6803905")</f>
        <v>6803905</v>
      </c>
      <c r="E747" s="3" t="str">
        <f>IFERROR(__xludf.DUMMYFUNCTION("""COMPUTED_VALUE"""),"24")</f>
        <v>24</v>
      </c>
      <c r="F747" s="3" t="str">
        <f>IFERROR(__xludf.DUMMYFUNCTION("""COMPUTED_VALUE"""),"นพอ.ธนพล เสือน้อย")</f>
        <v>นพอ.ธนพล เสือน้อย</v>
      </c>
      <c r="G747" s="3" t="str">
        <f>IFERROR(__xludf.DUMMYFUNCTION("""COMPUTED_VALUE"""),"ช่วยเหลืองานภายใน วพอ.")</f>
        <v>ช่วยเหลืองานภายใน วพอ.</v>
      </c>
      <c r="H747" s="3" t="str">
        <f>IFERROR(__xludf.DUMMYFUNCTION("""COMPUTED_VALUE"""),"ดุริยางค์")</f>
        <v>ดุริยางค์</v>
      </c>
      <c r="I747" s="3" t="str">
        <f>IFERROR(__xludf.DUMMYFUNCTION("""COMPUTED_VALUE"""),"วพอ.พอ.")</f>
        <v>วพอ.พอ.</v>
      </c>
      <c r="J747" s="12">
        <f>IFERROR(__xludf.DUMMYFUNCTION("""COMPUTED_VALUE"""),46031.0)</f>
        <v>46031</v>
      </c>
      <c r="K747" s="3" t="str">
        <f>IFERROR(__xludf.DUMMYFUNCTION("""COMPUTED_VALUE"""),"0700-0800")</f>
        <v>0700-0800</v>
      </c>
      <c r="L747" s="3">
        <f>IFERROR(__xludf.DUMMYFUNCTION("""COMPUTED_VALUE"""),1.0)</f>
        <v>1</v>
      </c>
      <c r="M747" s="3" t="str">
        <f>IFERROR(__xludf.DUMMYFUNCTION("""COMPUTED_VALUE"""),"ร.อ.อนุชิต ทำจะดี")</f>
        <v>ร.อ.อนุชิต ทำจะดี</v>
      </c>
      <c r="N747" s="14" t="str">
        <f>IFERROR(__xludf.DUMMYFUNCTION("""COMPUTED_VALUE"""),"https://lh5.googleusercontent.com/d/14kF9wNKAGaOmIEdGY4NMawOt-ef_S8dj")</f>
        <v>https://lh5.googleusercontent.com/d/14kF9wNKAGaOmIEdGY4NMawOt-ef_S8dj</v>
      </c>
      <c r="O747" s="14" t="str">
        <f>IFERROR(__xludf.DUMMYFUNCTION("""COMPUTED_VALUE"""),"https://drive.google.com/file/d/1S3rBOECDSKeU80CjPX_45TIOR9BvJPAP/view?usp=drivesdk")</f>
        <v>https://drive.google.com/file/d/1S3rBOECDSKeU80CjPX_45TIOR9BvJPAP/view?usp=drivesdk</v>
      </c>
    </row>
    <row r="748">
      <c r="A748" s="3">
        <f>IFERROR(__xludf.DUMMYFUNCTION("""COMPUTED_VALUE"""),2815.0)</f>
        <v>2815</v>
      </c>
      <c r="B748" s="11">
        <f>IFERROR(__xludf.DUMMYFUNCTION("""COMPUTED_VALUE"""),46176.46225321759)</f>
        <v>46176.46225</v>
      </c>
      <c r="C748" s="3" t="str">
        <f>IFERROR(__xludf.DUMMYFUNCTION("""COMPUTED_VALUE"""),"ชั้นปีที่ 1")</f>
        <v>ชั้นปีที่ 1</v>
      </c>
      <c r="D748" s="3" t="str">
        <f>IFERROR(__xludf.DUMMYFUNCTION("""COMPUTED_VALUE"""),"6803912")</f>
        <v>6803912</v>
      </c>
      <c r="E748" s="3" t="str">
        <f>IFERROR(__xludf.DUMMYFUNCTION("""COMPUTED_VALUE"""),"31")</f>
        <v>31</v>
      </c>
      <c r="F748" s="3" t="str">
        <f>IFERROR(__xludf.DUMMYFUNCTION("""COMPUTED_VALUE"""),"นพอ.เบญจวรรณ มณีแนว")</f>
        <v>นพอ.เบญจวรรณ มณีแนว</v>
      </c>
      <c r="G748" s="3" t="str">
        <f>IFERROR(__xludf.DUMMYFUNCTION("""COMPUTED_VALUE"""),"ช่วยเหลืองานภายใน วพอ.")</f>
        <v>ช่วยเหลืองานภายใน วพอ.</v>
      </c>
      <c r="H748" s="3" t="str">
        <f>IFERROR(__xludf.DUMMYFUNCTION("""COMPUTED_VALUE"""),"ดุริยางค์")</f>
        <v>ดุริยางค์</v>
      </c>
      <c r="I748" s="3" t="str">
        <f>IFERROR(__xludf.DUMMYFUNCTION("""COMPUTED_VALUE"""),"ลานหน้าคุณพ่อ")</f>
        <v>ลานหน้าคุณพ่อ</v>
      </c>
      <c r="J748" s="12">
        <f>IFERROR(__xludf.DUMMYFUNCTION("""COMPUTED_VALUE"""),46107.0)</f>
        <v>46107</v>
      </c>
      <c r="K748" s="3" t="str">
        <f>IFERROR(__xludf.DUMMYFUNCTION("""COMPUTED_VALUE"""),"0700-0735")</f>
        <v>0700-0735</v>
      </c>
      <c r="L748" s="3">
        <f>IFERROR(__xludf.DUMMYFUNCTION("""COMPUTED_VALUE"""),1.0)</f>
        <v>1</v>
      </c>
      <c r="M748" s="3" t="str">
        <f>IFERROR(__xludf.DUMMYFUNCTION("""COMPUTED_VALUE"""),"ร.อ.อนุชิต ทำจะดี")</f>
        <v>ร.อ.อนุชิต ทำจะดี</v>
      </c>
      <c r="N748" s="14" t="str">
        <f>IFERROR(__xludf.DUMMYFUNCTION("""COMPUTED_VALUE"""),"https://lh5.googleusercontent.com/d/1O8bHuiHnBV5HrcQ_0b1pbSLJcBFdam_-")</f>
        <v>https://lh5.googleusercontent.com/d/1O8bHuiHnBV5HrcQ_0b1pbSLJcBFdam_-</v>
      </c>
      <c r="O748" s="14" t="str">
        <f>IFERROR(__xludf.DUMMYFUNCTION("""COMPUTED_VALUE"""),"https://drive.google.com/file/d/1Afl0N4Fn3iWe_yC6_eC-4B4myt2DsVOo/view?usp=drivesdk")</f>
        <v>https://drive.google.com/file/d/1Afl0N4Fn3iWe_yC6_eC-4B4myt2DsVOo/view?usp=drivesdk</v>
      </c>
    </row>
    <row r="749">
      <c r="A749" s="3">
        <f>IFERROR(__xludf.DUMMYFUNCTION("""COMPUTED_VALUE"""),2816.0)</f>
        <v>2816</v>
      </c>
      <c r="B749" s="11">
        <f>IFERROR(__xludf.DUMMYFUNCTION("""COMPUTED_VALUE"""),46176.46301782407)</f>
        <v>46176.46302</v>
      </c>
      <c r="C749" s="3" t="str">
        <f>IFERROR(__xludf.DUMMYFUNCTION("""COMPUTED_VALUE"""),"ชั้นปีที่ 1")</f>
        <v>ชั้นปีที่ 1</v>
      </c>
      <c r="D749" s="3" t="str">
        <f>IFERROR(__xludf.DUMMYFUNCTION("""COMPUTED_VALUE"""),"6803905")</f>
        <v>6803905</v>
      </c>
      <c r="E749" s="3" t="str">
        <f>IFERROR(__xludf.DUMMYFUNCTION("""COMPUTED_VALUE"""),"24")</f>
        <v>24</v>
      </c>
      <c r="F749" s="3" t="str">
        <f>IFERROR(__xludf.DUMMYFUNCTION("""COMPUTED_VALUE"""),"นพอ.ธนพล เสือน้อย")</f>
        <v>นพอ.ธนพล เสือน้อย</v>
      </c>
      <c r="G749" s="3" t="str">
        <f>IFERROR(__xludf.DUMMYFUNCTION("""COMPUTED_VALUE"""),"ช่วยเหลืองานภายใน วพอ.")</f>
        <v>ช่วยเหลืองานภายใน วพอ.</v>
      </c>
      <c r="H749" s="3" t="str">
        <f>IFERROR(__xludf.DUMMYFUNCTION("""COMPUTED_VALUE"""),"ดุริยางค์")</f>
        <v>ดุริยางค์</v>
      </c>
      <c r="I749" s="3" t="str">
        <f>IFERROR(__xludf.DUMMYFUNCTION("""COMPUTED_VALUE"""),"วพอ.พอ.")</f>
        <v>วพอ.พอ.</v>
      </c>
      <c r="J749" s="12">
        <f>IFERROR(__xludf.DUMMYFUNCTION("""COMPUTED_VALUE"""),46092.0)</f>
        <v>46092</v>
      </c>
      <c r="K749" s="3" t="str">
        <f>IFERROR(__xludf.DUMMYFUNCTION("""COMPUTED_VALUE"""),"0700-0800")</f>
        <v>0700-0800</v>
      </c>
      <c r="L749" s="3">
        <f>IFERROR(__xludf.DUMMYFUNCTION("""COMPUTED_VALUE"""),1.0)</f>
        <v>1</v>
      </c>
      <c r="M749" s="3" t="str">
        <f>IFERROR(__xludf.DUMMYFUNCTION("""COMPUTED_VALUE"""),"ร.อ.อนุชิต ทำจะดี")</f>
        <v>ร.อ.อนุชิต ทำจะดี</v>
      </c>
      <c r="N749" s="14" t="str">
        <f>IFERROR(__xludf.DUMMYFUNCTION("""COMPUTED_VALUE"""),"https://lh5.googleusercontent.com/d/1j779cw08quK1D4Zw0XRuI9u_Em-ZorqZ")</f>
        <v>https://lh5.googleusercontent.com/d/1j779cw08quK1D4Zw0XRuI9u_Em-ZorqZ</v>
      </c>
      <c r="O749" s="14" t="str">
        <f>IFERROR(__xludf.DUMMYFUNCTION("""COMPUTED_VALUE"""),"https://drive.google.com/file/d/1MzpbiE10IxBbP1aIDHqJLYUKsDSF5l1W/view?usp=drivesdk")</f>
        <v>https://drive.google.com/file/d/1MzpbiE10IxBbP1aIDHqJLYUKsDSF5l1W/view?usp=drivesdk</v>
      </c>
    </row>
    <row r="750">
      <c r="A750" s="3">
        <f>IFERROR(__xludf.DUMMYFUNCTION("""COMPUTED_VALUE"""),2817.0)</f>
        <v>2817</v>
      </c>
      <c r="B750" s="11">
        <f>IFERROR(__xludf.DUMMYFUNCTION("""COMPUTED_VALUE"""),46176.46498780092)</f>
        <v>46176.46499</v>
      </c>
      <c r="C750" s="3" t="str">
        <f>IFERROR(__xludf.DUMMYFUNCTION("""COMPUTED_VALUE"""),"ชั้นปีที่ 1")</f>
        <v>ชั้นปีที่ 1</v>
      </c>
      <c r="D750" s="3" t="str">
        <f>IFERROR(__xludf.DUMMYFUNCTION("""COMPUTED_VALUE"""),"6803884")</f>
        <v>6803884</v>
      </c>
      <c r="E750" s="3" t="str">
        <f>IFERROR(__xludf.DUMMYFUNCTION("""COMPUTED_VALUE"""),"3")</f>
        <v>3</v>
      </c>
      <c r="F750" s="3" t="str">
        <f>IFERROR(__xludf.DUMMYFUNCTION("""COMPUTED_VALUE"""),"นพอ.กรองทอง กันฟัก")</f>
        <v>นพอ.กรองทอง กันฟัก</v>
      </c>
      <c r="G750" s="3" t="str">
        <f>IFERROR(__xludf.DUMMYFUNCTION("""COMPUTED_VALUE"""),"ทำนุบำรุงศาสนสถาน")</f>
        <v>ทำนุบำรุงศาสนสถาน</v>
      </c>
      <c r="H750" s="3" t="str">
        <f>IFERROR(__xludf.DUMMYFUNCTION("""COMPUTED_VALUE"""),"กวาดวัด")</f>
        <v>กวาดวัด</v>
      </c>
      <c r="I750" s="3" t="str">
        <f>IFERROR(__xludf.DUMMYFUNCTION("""COMPUTED_VALUE"""),"วัดท่าหลง จังหวัดพิจิตร")</f>
        <v>วัดท่าหลง จังหวัดพิจิตร</v>
      </c>
      <c r="J750" s="12">
        <f>IFERROR(__xludf.DUMMYFUNCTION("""COMPUTED_VALUE"""),46022.0)</f>
        <v>46022</v>
      </c>
      <c r="K750" s="3" t="str">
        <f>IFERROR(__xludf.DUMMYFUNCTION("""COMPUTED_VALUE"""),"1000-1100")</f>
        <v>1000-1100</v>
      </c>
      <c r="L750" s="3">
        <f>IFERROR(__xludf.DUMMYFUNCTION("""COMPUTED_VALUE"""),1.0)</f>
        <v>1</v>
      </c>
      <c r="M750" s="3" t="str">
        <f>IFERROR(__xludf.DUMMYFUNCTION("""COMPUTED_VALUE"""),"นางดาวรุ่ง กันฟัก")</f>
        <v>นางดาวรุ่ง กันฟัก</v>
      </c>
      <c r="N750" s="14" t="str">
        <f>IFERROR(__xludf.DUMMYFUNCTION("""COMPUTED_VALUE"""),"https://lh5.googleusercontent.com/d/1g9H8i8gg_xTGMNl0lStP5AskHe545eK7")</f>
        <v>https://lh5.googleusercontent.com/d/1g9H8i8gg_xTGMNl0lStP5AskHe545eK7</v>
      </c>
      <c r="O750" s="14" t="str">
        <f>IFERROR(__xludf.DUMMYFUNCTION("""COMPUTED_VALUE"""),"https://drive.google.com/file/d/12Ocz9RKZjhtM4HD6tfvhnj_NTb7OrY0p/view?usp=drivesdk")</f>
        <v>https://drive.google.com/file/d/12Ocz9RKZjhtM4HD6tfvhnj_NTb7OrY0p/view?usp=drivesdk</v>
      </c>
    </row>
    <row r="751">
      <c r="A751" s="3">
        <f>IFERROR(__xludf.DUMMYFUNCTION("""COMPUTED_VALUE"""),2818.0)</f>
        <v>2818</v>
      </c>
      <c r="B751" s="11">
        <f>IFERROR(__xludf.DUMMYFUNCTION("""COMPUTED_VALUE"""),46176.46742055556)</f>
        <v>46176.46742</v>
      </c>
      <c r="C751" s="3" t="str">
        <f>IFERROR(__xludf.DUMMYFUNCTION("""COMPUTED_VALUE"""),"ชั้นปีที่ 1")</f>
        <v>ชั้นปีที่ 1</v>
      </c>
      <c r="D751" s="3" t="str">
        <f>IFERROR(__xludf.DUMMYFUNCTION("""COMPUTED_VALUE"""),"6803883")</f>
        <v>6803883</v>
      </c>
      <c r="E751" s="3" t="str">
        <f>IFERROR(__xludf.DUMMYFUNCTION("""COMPUTED_VALUE"""),"2")</f>
        <v>2</v>
      </c>
      <c r="F751" s="3" t="str">
        <f>IFERROR(__xludf.DUMMYFUNCTION("""COMPUTED_VALUE"""),"นพอ.กรชนก หน่อทิม")</f>
        <v>นพอ.กรชนก หน่อทิม</v>
      </c>
      <c r="G7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1" s="3" t="str">
        <f>IFERROR(__xludf.DUMMYFUNCTION("""COMPUTED_VALUE"""),"Be Green  Market ประจำปี2569")</f>
        <v>Be Green  Market ประจำปี2569</v>
      </c>
      <c r="I751" s="3" t="str">
        <f>IFERROR(__xludf.DUMMYFUNCTION("""COMPUTED_VALUE"""),"อาคารอเนกประสงค์ สโมสรทหารอากาศชั้นประทวน")</f>
        <v>อาคารอเนกประสงค์ สโมสรทหารอากาศชั้นประทวน</v>
      </c>
      <c r="J751" s="12">
        <f>IFERROR(__xludf.DUMMYFUNCTION("""COMPUTED_VALUE"""),46134.0)</f>
        <v>46134</v>
      </c>
      <c r="K751" s="3" t="str">
        <f>IFERROR(__xludf.DUMMYFUNCTION("""COMPUTED_VALUE"""),"0800-1600")</f>
        <v>0800-1600</v>
      </c>
      <c r="L751" s="3">
        <f>IFERROR(__xludf.DUMMYFUNCTION("""COMPUTED_VALUE"""),8.0)</f>
        <v>8</v>
      </c>
      <c r="M751" s="3" t="str">
        <f>IFERROR(__xludf.DUMMYFUNCTION("""COMPUTED_VALUE"""),"น.ต.ศักชัย บุญประสิทธิ์")</f>
        <v>น.ต.ศักชัย บุญประสิทธิ์</v>
      </c>
      <c r="N751" s="14" t="str">
        <f>IFERROR(__xludf.DUMMYFUNCTION("""COMPUTED_VALUE"""),"https://lh5.googleusercontent.com/d/1eX-xptn2rXozkL5Ug9Gn1XHw5fwxXvs9")</f>
        <v>https://lh5.googleusercontent.com/d/1eX-xptn2rXozkL5Ug9Gn1XHw5fwxXvs9</v>
      </c>
      <c r="O751" s="14" t="str">
        <f>IFERROR(__xludf.DUMMYFUNCTION("""COMPUTED_VALUE"""),"https://drive.google.com/file/d/1MrpOnUV-WOmwv_-ErqDGqBvUCU3y_vOX/view?usp=drivesdk")</f>
        <v>https://drive.google.com/file/d/1MrpOnUV-WOmwv_-ErqDGqBvUCU3y_vOX/view?usp=drivesdk</v>
      </c>
    </row>
    <row r="752">
      <c r="A752" s="3">
        <f>IFERROR(__xludf.DUMMYFUNCTION("""COMPUTED_VALUE"""),2819.0)</f>
        <v>2819</v>
      </c>
      <c r="B752" s="11">
        <f>IFERROR(__xludf.DUMMYFUNCTION("""COMPUTED_VALUE"""),46176.47970565972)</f>
        <v>46176.47971</v>
      </c>
      <c r="C752" s="3" t="str">
        <f>IFERROR(__xludf.DUMMYFUNCTION("""COMPUTED_VALUE"""),"ชั้นปีที่ 1")</f>
        <v>ชั้นปีที่ 1</v>
      </c>
      <c r="D752" s="3" t="str">
        <f>IFERROR(__xludf.DUMMYFUNCTION("""COMPUTED_VALUE"""),"6803905")</f>
        <v>6803905</v>
      </c>
      <c r="E752" s="3" t="str">
        <f>IFERROR(__xludf.DUMMYFUNCTION("""COMPUTED_VALUE"""),"24")</f>
        <v>24</v>
      </c>
      <c r="F752" s="3" t="str">
        <f>IFERROR(__xludf.DUMMYFUNCTION("""COMPUTED_VALUE"""),"นพอ.ธนพล เสือน้อย")</f>
        <v>นพอ.ธนพล เสือน้อย</v>
      </c>
      <c r="G752" s="3" t="str">
        <f>IFERROR(__xludf.DUMMYFUNCTION("""COMPUTED_VALUE"""),"งานฟรีทั่วไป")</f>
        <v>งานฟรีทั่วไป</v>
      </c>
      <c r="H752" s="3" t="str">
        <f>IFERROR(__xludf.DUMMYFUNCTION("""COMPUTED_VALUE"""),"ล้างจาน")</f>
        <v>ล้างจาน</v>
      </c>
      <c r="I752" s="3" t="str">
        <f>IFERROR(__xludf.DUMMYFUNCTION("""COMPUTED_VALUE"""),"บ้าน")</f>
        <v>บ้าน</v>
      </c>
      <c r="J752" s="12">
        <f>IFERROR(__xludf.DUMMYFUNCTION("""COMPUTED_VALUE"""),46172.0)</f>
        <v>46172</v>
      </c>
      <c r="K752" s="3" t="str">
        <f>IFERROR(__xludf.DUMMYFUNCTION("""COMPUTED_VALUE"""),"1200-1300")</f>
        <v>1200-1300</v>
      </c>
      <c r="L752" s="3">
        <f>IFERROR(__xludf.DUMMYFUNCTION("""COMPUTED_VALUE"""),1.0)</f>
        <v>1</v>
      </c>
      <c r="M752" s="3" t="str">
        <f>IFERROR(__xludf.DUMMYFUNCTION("""COMPUTED_VALUE"""),"นายสัญญา เสือน้อย")</f>
        <v>นายสัญญา เสือน้อย</v>
      </c>
      <c r="N752" s="14" t="str">
        <f>IFERROR(__xludf.DUMMYFUNCTION("""COMPUTED_VALUE"""),"https://lh5.googleusercontent.com/d/1ZwFMsKaxiAgO3UCMatGq7dU6OegKeRJ2")</f>
        <v>https://lh5.googleusercontent.com/d/1ZwFMsKaxiAgO3UCMatGq7dU6OegKeRJ2</v>
      </c>
      <c r="O752" s="14" t="str">
        <f>IFERROR(__xludf.DUMMYFUNCTION("""COMPUTED_VALUE"""),"https://drive.google.com/file/d/1JHWcv73oynA2eGTR3MzJljVPWbC4sDo4/view?usp=drivesdk")</f>
        <v>https://drive.google.com/file/d/1JHWcv73oynA2eGTR3MzJljVPWbC4sDo4/view?usp=drivesdk</v>
      </c>
    </row>
    <row r="753">
      <c r="A753" s="3">
        <f>IFERROR(__xludf.DUMMYFUNCTION("""COMPUTED_VALUE"""),2820.0)</f>
        <v>2820</v>
      </c>
      <c r="B753" s="11">
        <f>IFERROR(__xludf.DUMMYFUNCTION("""COMPUTED_VALUE"""),46176.519331435185)</f>
        <v>46176.51933</v>
      </c>
      <c r="C753" s="3" t="str">
        <f>IFERROR(__xludf.DUMMYFUNCTION("""COMPUTED_VALUE"""),"ชั้นปีที่ 1")</f>
        <v>ชั้นปีที่ 1</v>
      </c>
      <c r="D753" s="3" t="str">
        <f>IFERROR(__xludf.DUMMYFUNCTION("""COMPUTED_VALUE"""),"6803932")</f>
        <v>6803932</v>
      </c>
      <c r="E753" s="3" t="str">
        <f>IFERROR(__xludf.DUMMYFUNCTION("""COMPUTED_VALUE"""),"51")</f>
        <v>51</v>
      </c>
      <c r="F753" s="3" t="str">
        <f>IFERROR(__xludf.DUMMYFUNCTION("""COMPUTED_VALUE"""),"รตนพร สินทรัพย์")</f>
        <v>รตนพร สินทรัพย์</v>
      </c>
      <c r="G753" s="3" t="str">
        <f>IFERROR(__xludf.DUMMYFUNCTION("""COMPUTED_VALUE"""),"ช่วยเหลืองานภายใน วพอ.")</f>
        <v>ช่วยเหลืองานภายใน วพอ.</v>
      </c>
      <c r="H753" s="3" t="str">
        <f>IFERROR(__xludf.DUMMYFUNCTION("""COMPUTED_VALUE"""),"เก็บหินขาวบริเวณร้้วข้างหอพัก")</f>
        <v>เก็บหินขาวบริเวณร้้วข้างหอพัก</v>
      </c>
      <c r="I753" s="3" t="str">
        <f>IFERROR(__xludf.DUMMYFUNCTION("""COMPUTED_VALUE"""),"ลานข้างหอพัก")</f>
        <v>ลานข้างหอพัก</v>
      </c>
      <c r="J753" s="12">
        <f>IFERROR(__xludf.DUMMYFUNCTION("""COMPUTED_VALUE"""),46164.0)</f>
        <v>46164</v>
      </c>
      <c r="K753" s="3" t="str">
        <f>IFERROR(__xludf.DUMMYFUNCTION("""COMPUTED_VALUE"""),"1500 - 1700 ")</f>
        <v>1500 - 1700 </v>
      </c>
      <c r="L753" s="3">
        <f>IFERROR(__xludf.DUMMYFUNCTION("""COMPUTED_VALUE"""),2.0)</f>
        <v>2</v>
      </c>
      <c r="M753" s="3" t="str">
        <f>IFERROR(__xludf.DUMMYFUNCTION("""COMPUTED_VALUE"""),"น.อ.หญิง นิตยา สุขแสน")</f>
        <v>น.อ.หญิง นิตยา สุขแสน</v>
      </c>
      <c r="N753" s="14" t="str">
        <f>IFERROR(__xludf.DUMMYFUNCTION("""COMPUTED_VALUE"""),"https://lh5.googleusercontent.com/d/1lhrBzD0CZh7qvPY_WjZ443R11GZt24cb")</f>
        <v>https://lh5.googleusercontent.com/d/1lhrBzD0CZh7qvPY_WjZ443R11GZt24cb</v>
      </c>
      <c r="O753" s="14" t="str">
        <f>IFERROR(__xludf.DUMMYFUNCTION("""COMPUTED_VALUE"""),"https://drive.google.com/file/d/17Fc6-AfrySE0biNqH8pwY250UcHswaDb/view?usp=drivesdk")</f>
        <v>https://drive.google.com/file/d/17Fc6-AfrySE0biNqH8pwY250UcHswaDb/view?usp=drivesdk</v>
      </c>
    </row>
    <row r="754">
      <c r="A754" s="3">
        <f>IFERROR(__xludf.DUMMYFUNCTION("""COMPUTED_VALUE"""),2821.0)</f>
        <v>2821</v>
      </c>
      <c r="B754" s="11">
        <f>IFERROR(__xludf.DUMMYFUNCTION("""COMPUTED_VALUE"""),46176.52124971064)</f>
        <v>46176.52125</v>
      </c>
      <c r="C754" s="3" t="str">
        <f>IFERROR(__xludf.DUMMYFUNCTION("""COMPUTED_VALUE"""),"ชั้นปีที่ 1")</f>
        <v>ชั้นปีที่ 1</v>
      </c>
      <c r="D754" s="3" t="str">
        <f>IFERROR(__xludf.DUMMYFUNCTION("""COMPUTED_VALUE"""),"6803926")</f>
        <v>6803926</v>
      </c>
      <c r="E754" s="3" t="str">
        <f>IFERROR(__xludf.DUMMYFUNCTION("""COMPUTED_VALUE"""),"45")</f>
        <v>45</v>
      </c>
      <c r="F754" s="3" t="str">
        <f>IFERROR(__xludf.DUMMYFUNCTION("""COMPUTED_VALUE"""),"นพอ.ภัทราพร ถึงกัน")</f>
        <v>นพอ.ภัทราพร ถึงกัน</v>
      </c>
      <c r="G754" s="3" t="str">
        <f>IFERROR(__xludf.DUMMYFUNCTION("""COMPUTED_VALUE"""),"ช่วยเหลืองานภายใน วพอ.")</f>
        <v>ช่วยเหลืองานภายใน วพอ.</v>
      </c>
      <c r="H754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4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754" s="12">
        <f>IFERROR(__xludf.DUMMYFUNCTION("""COMPUTED_VALUE"""),46139.0)</f>
        <v>46139</v>
      </c>
      <c r="K754" s="3" t="str">
        <f>IFERROR(__xludf.DUMMYFUNCTION("""COMPUTED_VALUE"""),"17-21")</f>
        <v>17-21</v>
      </c>
      <c r="L754" s="3">
        <f>IFERROR(__xludf.DUMMYFUNCTION("""COMPUTED_VALUE"""),4.0)</f>
        <v>4</v>
      </c>
      <c r="M754" s="3" t="str">
        <f>IFERROR(__xludf.DUMMYFUNCTION("""COMPUTED_VALUE"""),"ร.อ.อนุชิต ทำจะดี")</f>
        <v>ร.อ.อนุชิต ทำจะดี</v>
      </c>
      <c r="N754" s="14" t="str">
        <f>IFERROR(__xludf.DUMMYFUNCTION("""COMPUTED_VALUE"""),"https://lh5.googleusercontent.com/d/14DsYEjJsLYpRSCRnx3r9qA1jXcWTldPg")</f>
        <v>https://lh5.googleusercontent.com/d/14DsYEjJsLYpRSCRnx3r9qA1jXcWTldPg</v>
      </c>
      <c r="O754" s="14" t="str">
        <f>IFERROR(__xludf.DUMMYFUNCTION("""COMPUTED_VALUE"""),"https://drive.google.com/file/d/1BAqbhMByqT-j6qYs6dfGdQd05JhKOlkV/view?usp=drivesdk")</f>
        <v>https://drive.google.com/file/d/1BAqbhMByqT-j6qYs6dfGdQd05JhKOlkV/view?usp=drivesdk</v>
      </c>
    </row>
    <row r="755">
      <c r="A755" s="3">
        <f>IFERROR(__xludf.DUMMYFUNCTION("""COMPUTED_VALUE"""),2823.0)</f>
        <v>2823</v>
      </c>
      <c r="B755" s="11">
        <f>IFERROR(__xludf.DUMMYFUNCTION("""COMPUTED_VALUE"""),46176.52321708334)</f>
        <v>46176.52322</v>
      </c>
      <c r="C755" s="3" t="str">
        <f>IFERROR(__xludf.DUMMYFUNCTION("""COMPUTED_VALUE"""),"ชั้นปีที่ 1")</f>
        <v>ชั้นปีที่ 1</v>
      </c>
      <c r="D755" s="3" t="str">
        <f>IFERROR(__xludf.DUMMYFUNCTION("""COMPUTED_VALUE"""),"6803927")</f>
        <v>6803927</v>
      </c>
      <c r="E755" s="3" t="str">
        <f>IFERROR(__xludf.DUMMYFUNCTION("""COMPUTED_VALUE"""),"46")</f>
        <v>46</v>
      </c>
      <c r="F755" s="3" t="str">
        <f>IFERROR(__xludf.DUMMYFUNCTION("""COMPUTED_VALUE"""),"นพอ.มณฑกาญจน์ กองจะริตร์")</f>
        <v>นพอ.มณฑกาญจน์ กองจะริตร์</v>
      </c>
      <c r="G75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5" s="3" t="str">
        <f>IFERROR(__xludf.DUMMYFUNCTION("""COMPUTED_VALUE"""),"ค่ายเยาวชนพัฒนา ครั้งที่ 215")</f>
        <v>ค่ายเยาวชนพัฒนา ครั้งที่ 215</v>
      </c>
      <c r="I755" s="3" t="str">
        <f>IFERROR(__xludf.DUMMYFUNCTION("""COMPUTED_VALUE"""),"วัดสามบัณฑิต จ.อยุธยา")</f>
        <v>วัดสามบัณฑิต จ.อยุธยา</v>
      </c>
      <c r="J755" s="12">
        <f>IFERROR(__xludf.DUMMYFUNCTION("""COMPUTED_VALUE"""),46136.0)</f>
        <v>46136</v>
      </c>
      <c r="K755" s="3" t="str">
        <f>IFERROR(__xludf.DUMMYFUNCTION("""COMPUTED_VALUE"""),"1600-2400")</f>
        <v>1600-2400</v>
      </c>
      <c r="L755" s="3">
        <f>IFERROR(__xludf.DUMMYFUNCTION("""COMPUTED_VALUE"""),8.0)</f>
        <v>8</v>
      </c>
      <c r="M75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55" s="14" t="str">
        <f>IFERROR(__xludf.DUMMYFUNCTION("""COMPUTED_VALUE"""),"https://lh5.googleusercontent.com/d/1ku1ISA3fYbPF7DasszEETDJSAYjrF-hr")</f>
        <v>https://lh5.googleusercontent.com/d/1ku1ISA3fYbPF7DasszEETDJSAYjrF-hr</v>
      </c>
      <c r="O755" s="14" t="str">
        <f>IFERROR(__xludf.DUMMYFUNCTION("""COMPUTED_VALUE"""),"https://drive.google.com/file/d/1JlbaZwLXzeYaZb4m-7cccHWDvRLPxcWC/view?usp=drivesdk")</f>
        <v>https://drive.google.com/file/d/1JlbaZwLXzeYaZb4m-7cccHWDvRLPxcWC/view?usp=drivesdk</v>
      </c>
    </row>
    <row r="756">
      <c r="A756" s="3">
        <f>IFERROR(__xludf.DUMMYFUNCTION("""COMPUTED_VALUE"""),2824.0)</f>
        <v>2824</v>
      </c>
      <c r="B756" s="11">
        <f>IFERROR(__xludf.DUMMYFUNCTION("""COMPUTED_VALUE"""),46176.52815322917)</f>
        <v>46176.52815</v>
      </c>
      <c r="C756" s="3" t="str">
        <f>IFERROR(__xludf.DUMMYFUNCTION("""COMPUTED_VALUE"""),"ชั้นปีที่ 1")</f>
        <v>ชั้นปีที่ 1</v>
      </c>
      <c r="D756" s="3" t="str">
        <f>IFERROR(__xludf.DUMMYFUNCTION("""COMPUTED_VALUE"""),"6803927")</f>
        <v>6803927</v>
      </c>
      <c r="E756" s="3" t="str">
        <f>IFERROR(__xludf.DUMMYFUNCTION("""COMPUTED_VALUE"""),"46")</f>
        <v>46</v>
      </c>
      <c r="F756" s="3" t="str">
        <f>IFERROR(__xludf.DUMMYFUNCTION("""COMPUTED_VALUE"""),"นพอ.มณฑกาญจน์ กองจะริตร์")</f>
        <v>นพอ.มณฑกาญจน์ กองจะริตร์</v>
      </c>
      <c r="G75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6" s="3" t="str">
        <f>IFERROR(__xludf.DUMMYFUNCTION("""COMPUTED_VALUE"""),"ค่ายเยาวชนพัฒนา ครั้งที่ 215")</f>
        <v>ค่ายเยาวชนพัฒนา ครั้งที่ 215</v>
      </c>
      <c r="I756" s="3" t="str">
        <f>IFERROR(__xludf.DUMMYFUNCTION("""COMPUTED_VALUE"""),"วัดสามบัณฑิต จ.อยุธยา")</f>
        <v>วัดสามบัณฑิต จ.อยุธยา</v>
      </c>
      <c r="J756" s="12">
        <f>IFERROR(__xludf.DUMMYFUNCTION("""COMPUTED_VALUE"""),46137.0)</f>
        <v>46137</v>
      </c>
      <c r="K756" s="3" t="str">
        <f>IFERROR(__xludf.DUMMYFUNCTION("""COMPUTED_VALUE"""),"0800-1600")</f>
        <v>0800-1600</v>
      </c>
      <c r="L756" s="3">
        <f>IFERROR(__xludf.DUMMYFUNCTION("""COMPUTED_VALUE"""),8.0)</f>
        <v>8</v>
      </c>
      <c r="M75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56" s="14" t="str">
        <f>IFERROR(__xludf.DUMMYFUNCTION("""COMPUTED_VALUE"""),"https://lh5.googleusercontent.com/d/1iEDPrz9h1F0LCKFkovFMqD7j9v12moZD")</f>
        <v>https://lh5.googleusercontent.com/d/1iEDPrz9h1F0LCKFkovFMqD7j9v12moZD</v>
      </c>
      <c r="O756" s="14" t="str">
        <f>IFERROR(__xludf.DUMMYFUNCTION("""COMPUTED_VALUE"""),"https://drive.google.com/file/d/1dNejZHzQGTx2j63gpIidDwhgoYMXjDyE/view?usp=drivesdk")</f>
        <v>https://drive.google.com/file/d/1dNejZHzQGTx2j63gpIidDwhgoYMXjDyE/view?usp=drivesdk</v>
      </c>
    </row>
    <row r="757">
      <c r="A757" s="3">
        <f>IFERROR(__xludf.DUMMYFUNCTION("""COMPUTED_VALUE"""),2825.0)</f>
        <v>2825</v>
      </c>
      <c r="B757" s="11">
        <f>IFERROR(__xludf.DUMMYFUNCTION("""COMPUTED_VALUE"""),46176.52942839121)</f>
        <v>46176.52943</v>
      </c>
      <c r="C757" s="3" t="str">
        <f>IFERROR(__xludf.DUMMYFUNCTION("""COMPUTED_VALUE"""),"ชั้นปีที่ 1")</f>
        <v>ชั้นปีที่ 1</v>
      </c>
      <c r="D757" s="3" t="str">
        <f>IFERROR(__xludf.DUMMYFUNCTION("""COMPUTED_VALUE"""),"6803927")</f>
        <v>6803927</v>
      </c>
      <c r="E757" s="3" t="str">
        <f>IFERROR(__xludf.DUMMYFUNCTION("""COMPUTED_VALUE"""),"46")</f>
        <v>46</v>
      </c>
      <c r="F757" s="3" t="str">
        <f>IFERROR(__xludf.DUMMYFUNCTION("""COMPUTED_VALUE"""),"นพอ.มณฑกาญจน์ กองจะริตร์")</f>
        <v>นพอ.มณฑกาญจน์ กองจะริตร์</v>
      </c>
      <c r="G75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57" s="3" t="str">
        <f>IFERROR(__xludf.DUMMYFUNCTION("""COMPUTED_VALUE"""),"ค่ายเยาวชนพัฒนา ครั้งที่ 215")</f>
        <v>ค่ายเยาวชนพัฒนา ครั้งที่ 215</v>
      </c>
      <c r="I757" s="3" t="str">
        <f>IFERROR(__xludf.DUMMYFUNCTION("""COMPUTED_VALUE"""),"วัดสามบัณฑิต จ.อยุธยา")</f>
        <v>วัดสามบัณฑิต จ.อยุธยา</v>
      </c>
      <c r="J757" s="12">
        <f>IFERROR(__xludf.DUMMYFUNCTION("""COMPUTED_VALUE"""),46138.0)</f>
        <v>46138</v>
      </c>
      <c r="K757" s="3" t="str">
        <f>IFERROR(__xludf.DUMMYFUNCTION("""COMPUTED_VALUE"""),"0800-1600")</f>
        <v>0800-1600</v>
      </c>
      <c r="L757" s="3">
        <f>IFERROR(__xludf.DUMMYFUNCTION("""COMPUTED_VALUE"""),8.0)</f>
        <v>8</v>
      </c>
      <c r="M75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57" s="14" t="str">
        <f>IFERROR(__xludf.DUMMYFUNCTION("""COMPUTED_VALUE"""),"https://lh5.googleusercontent.com/d/10XSE_W165iFK44b99-gbK_wenrx0NvJO")</f>
        <v>https://lh5.googleusercontent.com/d/10XSE_W165iFK44b99-gbK_wenrx0NvJO</v>
      </c>
      <c r="O757" s="14" t="str">
        <f>IFERROR(__xludf.DUMMYFUNCTION("""COMPUTED_VALUE"""),"https://drive.google.com/file/d/1EmVrJSXHJ4UYVzWlYQ2tSmbTFNdgDYvV/view?usp=drivesdk")</f>
        <v>https://drive.google.com/file/d/1EmVrJSXHJ4UYVzWlYQ2tSmbTFNdgDYvV/view?usp=drivesdk</v>
      </c>
    </row>
    <row r="758">
      <c r="A758" s="3">
        <f>IFERROR(__xludf.DUMMYFUNCTION("""COMPUTED_VALUE"""),2826.0)</f>
        <v>2826</v>
      </c>
      <c r="B758" s="11">
        <f>IFERROR(__xludf.DUMMYFUNCTION("""COMPUTED_VALUE"""),46176.530806400464)</f>
        <v>46176.53081</v>
      </c>
      <c r="C758" s="3" t="str">
        <f>IFERROR(__xludf.DUMMYFUNCTION("""COMPUTED_VALUE"""),"ชั้นปีที่ 1")</f>
        <v>ชั้นปีที่ 1</v>
      </c>
      <c r="D758" s="3" t="str">
        <f>IFERROR(__xludf.DUMMYFUNCTION("""COMPUTED_VALUE"""),"6803927")</f>
        <v>6803927</v>
      </c>
      <c r="E758" s="3" t="str">
        <f>IFERROR(__xludf.DUMMYFUNCTION("""COMPUTED_VALUE"""),"46")</f>
        <v>46</v>
      </c>
      <c r="F758" s="3" t="str">
        <f>IFERROR(__xludf.DUMMYFUNCTION("""COMPUTED_VALUE"""),"นพอ.มณฑกาญจน์ กองจะริตร์")</f>
        <v>นพอ.มณฑกาญจน์ กองจะริตร์</v>
      </c>
      <c r="G758" s="3" t="str">
        <f>IFERROR(__xludf.DUMMYFUNCTION("""COMPUTED_VALUE"""),"ช่วยเหลืองานภายใน วพอ.")</f>
        <v>ช่วยเหลืองานภายใน วพอ.</v>
      </c>
      <c r="H758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8" s="3" t="str">
        <f>IFERROR(__xludf.DUMMYFUNCTION("""COMPUTED_VALUE"""),"วพอ.พอ.")</f>
        <v>วพอ.พอ.</v>
      </c>
      <c r="J758" s="12">
        <f>IFERROR(__xludf.DUMMYFUNCTION("""COMPUTED_VALUE"""),46133.0)</f>
        <v>46133</v>
      </c>
      <c r="K758" s="3" t="str">
        <f>IFERROR(__xludf.DUMMYFUNCTION("""COMPUTED_VALUE"""),"1700-2100")</f>
        <v>1700-2100</v>
      </c>
      <c r="L758" s="3">
        <f>IFERROR(__xludf.DUMMYFUNCTION("""COMPUTED_VALUE"""),4.0)</f>
        <v>4</v>
      </c>
      <c r="M758" s="3" t="str">
        <f>IFERROR(__xludf.DUMMYFUNCTION("""COMPUTED_VALUE"""),"ร.อ.อนุชิต ทำจะดี")</f>
        <v>ร.อ.อนุชิต ทำจะดี</v>
      </c>
      <c r="N758" s="14" t="str">
        <f>IFERROR(__xludf.DUMMYFUNCTION("""COMPUTED_VALUE"""),"https://lh5.googleusercontent.com/d/1rNIa9f2iSciXLTOMWfMOkXOTJKJ7K4o_")</f>
        <v>https://lh5.googleusercontent.com/d/1rNIa9f2iSciXLTOMWfMOkXOTJKJ7K4o_</v>
      </c>
      <c r="O758" s="14" t="str">
        <f>IFERROR(__xludf.DUMMYFUNCTION("""COMPUTED_VALUE"""),"https://drive.google.com/file/d/1KD2PwRrz9L5Xgj8SN6O8v6ac7rlEpCem/view?usp=drivesdk")</f>
        <v>https://drive.google.com/file/d/1KD2PwRrz9L5Xgj8SN6O8v6ac7rlEpCem/view?usp=drivesdk</v>
      </c>
    </row>
    <row r="759">
      <c r="A759" s="3">
        <f>IFERROR(__xludf.DUMMYFUNCTION("""COMPUTED_VALUE"""),2827.0)</f>
        <v>2827</v>
      </c>
      <c r="B759" s="11">
        <f>IFERROR(__xludf.DUMMYFUNCTION("""COMPUTED_VALUE"""),46176.53168260417)</f>
        <v>46176.53168</v>
      </c>
      <c r="C759" s="3" t="str">
        <f>IFERROR(__xludf.DUMMYFUNCTION("""COMPUTED_VALUE"""),"ชั้นปีที่ 1")</f>
        <v>ชั้นปีที่ 1</v>
      </c>
      <c r="D759" s="3" t="str">
        <f>IFERROR(__xludf.DUMMYFUNCTION("""COMPUTED_VALUE"""),"6803927")</f>
        <v>6803927</v>
      </c>
      <c r="E759" s="3" t="str">
        <f>IFERROR(__xludf.DUMMYFUNCTION("""COMPUTED_VALUE"""),"46")</f>
        <v>46</v>
      </c>
      <c r="F759" s="3" t="str">
        <f>IFERROR(__xludf.DUMMYFUNCTION("""COMPUTED_VALUE"""),"นพอ.มณฑกาญจน์ กองจะริตร์")</f>
        <v>นพอ.มณฑกาญจน์ กองจะริตร์</v>
      </c>
      <c r="G759" s="3" t="str">
        <f>IFERROR(__xludf.DUMMYFUNCTION("""COMPUTED_VALUE"""),"ช่วยเหลืองานภายใน วพอ.")</f>
        <v>ช่วยเหลืองานภายใน วพอ.</v>
      </c>
      <c r="H759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59" s="3" t="str">
        <f>IFERROR(__xludf.DUMMYFUNCTION("""COMPUTED_VALUE"""),"วพอ.พอ.")</f>
        <v>วพอ.พอ.</v>
      </c>
      <c r="J759" s="12">
        <f>IFERROR(__xludf.DUMMYFUNCTION("""COMPUTED_VALUE"""),46134.0)</f>
        <v>46134</v>
      </c>
      <c r="K759" s="3" t="str">
        <f>IFERROR(__xludf.DUMMYFUNCTION("""COMPUTED_VALUE"""),"1700-2100")</f>
        <v>1700-2100</v>
      </c>
      <c r="L759" s="3">
        <f>IFERROR(__xludf.DUMMYFUNCTION("""COMPUTED_VALUE"""),4.0)</f>
        <v>4</v>
      </c>
      <c r="M759" s="3" t="str">
        <f>IFERROR(__xludf.DUMMYFUNCTION("""COMPUTED_VALUE"""),"ร.อ.อนุชิต ทำจะดี")</f>
        <v>ร.อ.อนุชิต ทำจะดี</v>
      </c>
      <c r="N759" s="14" t="str">
        <f>IFERROR(__xludf.DUMMYFUNCTION("""COMPUTED_VALUE"""),"https://lh5.googleusercontent.com/d/1vfYqr9_40gBy8Z6IaS21X_grSHEWllsN")</f>
        <v>https://lh5.googleusercontent.com/d/1vfYqr9_40gBy8Z6IaS21X_grSHEWllsN</v>
      </c>
      <c r="O759" s="14" t="str">
        <f>IFERROR(__xludf.DUMMYFUNCTION("""COMPUTED_VALUE"""),"https://drive.google.com/file/d/1YLly5RtPggek7hqW8bb71EI5hTn2SwMJ/view?usp=drivesdk")</f>
        <v>https://drive.google.com/file/d/1YLly5RtPggek7hqW8bb71EI5hTn2SwMJ/view?usp=drivesdk</v>
      </c>
    </row>
    <row r="760">
      <c r="A760" s="3">
        <f>IFERROR(__xludf.DUMMYFUNCTION("""COMPUTED_VALUE"""),2828.0)</f>
        <v>2828</v>
      </c>
      <c r="B760" s="11">
        <f>IFERROR(__xludf.DUMMYFUNCTION("""COMPUTED_VALUE"""),46176.532572199074)</f>
        <v>46176.53257</v>
      </c>
      <c r="C760" s="3" t="str">
        <f>IFERROR(__xludf.DUMMYFUNCTION("""COMPUTED_VALUE"""),"ชั้นปีที่ 1")</f>
        <v>ชั้นปีที่ 1</v>
      </c>
      <c r="D760" s="3" t="str">
        <f>IFERROR(__xludf.DUMMYFUNCTION("""COMPUTED_VALUE"""),"6803927")</f>
        <v>6803927</v>
      </c>
      <c r="E760" s="3" t="str">
        <f>IFERROR(__xludf.DUMMYFUNCTION("""COMPUTED_VALUE"""),"46")</f>
        <v>46</v>
      </c>
      <c r="F760" s="3" t="str">
        <f>IFERROR(__xludf.DUMMYFUNCTION("""COMPUTED_VALUE"""),"นพอ.มณฑกาญจน์ กองจะริตร์")</f>
        <v>นพอ.มณฑกาญจน์ กองจะริตร์</v>
      </c>
      <c r="G760" s="3" t="str">
        <f>IFERROR(__xludf.DUMMYFUNCTION("""COMPUTED_VALUE"""),"ช่วยเหลืองานภายใน วพอ.")</f>
        <v>ช่วยเหลืองานภายใน วพอ.</v>
      </c>
      <c r="H760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60" s="3" t="str">
        <f>IFERROR(__xludf.DUMMYFUNCTION("""COMPUTED_VALUE"""),"วพอ.พอ.")</f>
        <v>วพอ.พอ.</v>
      </c>
      <c r="J760" s="12">
        <f>IFERROR(__xludf.DUMMYFUNCTION("""COMPUTED_VALUE"""),46135.0)</f>
        <v>46135</v>
      </c>
      <c r="K760" s="3" t="str">
        <f>IFERROR(__xludf.DUMMYFUNCTION("""COMPUTED_VALUE"""),"1700-2100")</f>
        <v>1700-2100</v>
      </c>
      <c r="L760" s="3">
        <f>IFERROR(__xludf.DUMMYFUNCTION("""COMPUTED_VALUE"""),4.0)</f>
        <v>4</v>
      </c>
      <c r="M760" s="3" t="str">
        <f>IFERROR(__xludf.DUMMYFUNCTION("""COMPUTED_VALUE"""),"ร.อ.อนุชิต ทำจะดี")</f>
        <v>ร.อ.อนุชิต ทำจะดี</v>
      </c>
      <c r="N760" s="14" t="str">
        <f>IFERROR(__xludf.DUMMYFUNCTION("""COMPUTED_VALUE"""),"https://lh5.googleusercontent.com/d/1-T1AJkZzYy5QTb4dOP0Kiu3yxMmJfGGk")</f>
        <v>https://lh5.googleusercontent.com/d/1-T1AJkZzYy5QTb4dOP0Kiu3yxMmJfGGk</v>
      </c>
      <c r="O760" s="14" t="str">
        <f>IFERROR(__xludf.DUMMYFUNCTION("""COMPUTED_VALUE"""),"https://drive.google.com/file/d/1FYPp4hK9czaAaxbId5mcvoPZyh5COYx1/view?usp=drivesdk")</f>
        <v>https://drive.google.com/file/d/1FYPp4hK9czaAaxbId5mcvoPZyh5COYx1/view?usp=drivesdk</v>
      </c>
    </row>
    <row r="761">
      <c r="A761" s="3">
        <f>IFERROR(__xludf.DUMMYFUNCTION("""COMPUTED_VALUE"""),2829.0)</f>
        <v>2829</v>
      </c>
      <c r="B761" s="11">
        <f>IFERROR(__xludf.DUMMYFUNCTION("""COMPUTED_VALUE"""),46176.53361760417)</f>
        <v>46176.53362</v>
      </c>
      <c r="C761" s="3" t="str">
        <f>IFERROR(__xludf.DUMMYFUNCTION("""COMPUTED_VALUE"""),"ชั้นปีที่ 1")</f>
        <v>ชั้นปีที่ 1</v>
      </c>
      <c r="D761" s="3" t="str">
        <f>IFERROR(__xludf.DUMMYFUNCTION("""COMPUTED_VALUE"""),"6803927")</f>
        <v>6803927</v>
      </c>
      <c r="E761" s="3" t="str">
        <f>IFERROR(__xludf.DUMMYFUNCTION("""COMPUTED_VALUE"""),"46")</f>
        <v>46</v>
      </c>
      <c r="F761" s="3" t="str">
        <f>IFERROR(__xludf.DUMMYFUNCTION("""COMPUTED_VALUE"""),"นพอ.มณฑกาญจน์ กองจะริตร์")</f>
        <v>นพอ.มณฑกาญจน์ กองจะริตร์</v>
      </c>
      <c r="G761" s="3" t="str">
        <f>IFERROR(__xludf.DUMMYFUNCTION("""COMPUTED_VALUE"""),"ช่วยเหลืองานภายใน วพอ.")</f>
        <v>ช่วยเหลืองานภายใน วพอ.</v>
      </c>
      <c r="H761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61" s="3" t="str">
        <f>IFERROR(__xludf.DUMMYFUNCTION("""COMPUTED_VALUE"""),"หอประชุมธูปะเตมีย์ รพ.ภูมิพล")</f>
        <v>หอประชุมธูปะเตมีย์ รพ.ภูมิพล</v>
      </c>
      <c r="J761" s="12">
        <f>IFERROR(__xludf.DUMMYFUNCTION("""COMPUTED_VALUE"""),46139.0)</f>
        <v>46139</v>
      </c>
      <c r="K761" s="3" t="str">
        <f>IFERROR(__xludf.DUMMYFUNCTION("""COMPUTED_VALUE"""),"1700-2100")</f>
        <v>1700-2100</v>
      </c>
      <c r="L761" s="3">
        <f>IFERROR(__xludf.DUMMYFUNCTION("""COMPUTED_VALUE"""),4.0)</f>
        <v>4</v>
      </c>
      <c r="M761" s="3" t="str">
        <f>IFERROR(__xludf.DUMMYFUNCTION("""COMPUTED_VALUE"""),"ร.อ.อนุชิต ทำจะดี")</f>
        <v>ร.อ.อนุชิต ทำจะดี</v>
      </c>
      <c r="N761" s="14" t="str">
        <f>IFERROR(__xludf.DUMMYFUNCTION("""COMPUTED_VALUE"""),"https://lh5.googleusercontent.com/d/1Mwy7SmWI2zTTSMq_6HdZiVvSbSl7VTfu")</f>
        <v>https://lh5.googleusercontent.com/d/1Mwy7SmWI2zTTSMq_6HdZiVvSbSl7VTfu</v>
      </c>
      <c r="O761" s="14" t="str">
        <f>IFERROR(__xludf.DUMMYFUNCTION("""COMPUTED_VALUE"""),"https://drive.google.com/file/d/1Y6TS9QVsngeQcWmQM8CHBUEDP_2nthuZ/view?usp=drivesdk")</f>
        <v>https://drive.google.com/file/d/1Y6TS9QVsngeQcWmQM8CHBUEDP_2nthuZ/view?usp=drivesdk</v>
      </c>
    </row>
    <row r="762">
      <c r="A762" s="3">
        <f>IFERROR(__xludf.DUMMYFUNCTION("""COMPUTED_VALUE"""),2830.0)</f>
        <v>2830</v>
      </c>
      <c r="B762" s="11">
        <f>IFERROR(__xludf.DUMMYFUNCTION("""COMPUTED_VALUE"""),46176.53563123843)</f>
        <v>46176.53563</v>
      </c>
      <c r="C762" s="3" t="str">
        <f>IFERROR(__xludf.DUMMYFUNCTION("""COMPUTED_VALUE"""),"ชั้นปีที่ 1")</f>
        <v>ชั้นปีที่ 1</v>
      </c>
      <c r="D762" s="3" t="str">
        <f>IFERROR(__xludf.DUMMYFUNCTION("""COMPUTED_VALUE"""),"6803918")</f>
        <v>6803918</v>
      </c>
      <c r="E762" s="3" t="str">
        <f>IFERROR(__xludf.DUMMYFUNCTION("""COMPUTED_VALUE"""),"37")</f>
        <v>37</v>
      </c>
      <c r="F762" s="3" t="str">
        <f>IFERROR(__xludf.DUMMYFUNCTION("""COMPUTED_VALUE"""),"นพอ.พลอยธิดา รัตนกิจ")</f>
        <v>นพอ.พลอยธิดา รัตนกิจ</v>
      </c>
      <c r="G76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2" s="3" t="str">
        <f>IFERROR(__xludf.DUMMYFUNCTION("""COMPUTED_VALUE"""),"ค่ายเยาวชนพัฒนา ครั้งที่ 215")</f>
        <v>ค่ายเยาวชนพัฒนา ครั้งที่ 215</v>
      </c>
      <c r="I762" s="3" t="str">
        <f>IFERROR(__xludf.DUMMYFUNCTION("""COMPUTED_VALUE"""),"วัดสามบัณฑิต จ.อยุธยา")</f>
        <v>วัดสามบัณฑิต จ.อยุธยา</v>
      </c>
      <c r="J762" s="12">
        <f>IFERROR(__xludf.DUMMYFUNCTION("""COMPUTED_VALUE"""),46136.0)</f>
        <v>46136</v>
      </c>
      <c r="K762" s="3" t="str">
        <f>IFERROR(__xludf.DUMMYFUNCTION("""COMPUTED_VALUE"""),"1600-2400")</f>
        <v>1600-2400</v>
      </c>
      <c r="L762" s="3">
        <f>IFERROR(__xludf.DUMMYFUNCTION("""COMPUTED_VALUE"""),8.0)</f>
        <v>8</v>
      </c>
      <c r="M762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2" s="14" t="str">
        <f>IFERROR(__xludf.DUMMYFUNCTION("""COMPUTED_VALUE"""),"https://lh5.googleusercontent.com/d/1yHRkgmyv8Hp1lf0gnYCkTuHnAvd7yxjz")</f>
        <v>https://lh5.googleusercontent.com/d/1yHRkgmyv8Hp1lf0gnYCkTuHnAvd7yxjz</v>
      </c>
      <c r="O762" s="14" t="str">
        <f>IFERROR(__xludf.DUMMYFUNCTION("""COMPUTED_VALUE"""),"https://drive.google.com/file/d/1l7VksCy4_rHIVzg0UVNSkujPOUly-Mkf/view?usp=drivesdk")</f>
        <v>https://drive.google.com/file/d/1l7VksCy4_rHIVzg0UVNSkujPOUly-Mkf/view?usp=drivesdk</v>
      </c>
    </row>
    <row r="763">
      <c r="A763" s="3">
        <f>IFERROR(__xludf.DUMMYFUNCTION("""COMPUTED_VALUE"""),2831.0)</f>
        <v>2831</v>
      </c>
      <c r="B763" s="11">
        <f>IFERROR(__xludf.DUMMYFUNCTION("""COMPUTED_VALUE"""),46176.538177256945)</f>
        <v>46176.53818</v>
      </c>
      <c r="C763" s="3" t="str">
        <f>IFERROR(__xludf.DUMMYFUNCTION("""COMPUTED_VALUE"""),"ชั้นปีที่ 1")</f>
        <v>ชั้นปีที่ 1</v>
      </c>
      <c r="D763" s="3" t="str">
        <f>IFERROR(__xludf.DUMMYFUNCTION("""COMPUTED_VALUE"""),"6803918")</f>
        <v>6803918</v>
      </c>
      <c r="E763" s="3" t="str">
        <f>IFERROR(__xludf.DUMMYFUNCTION("""COMPUTED_VALUE"""),"37")</f>
        <v>37</v>
      </c>
      <c r="F763" s="3" t="str">
        <f>IFERROR(__xludf.DUMMYFUNCTION("""COMPUTED_VALUE"""),"นพอ.พลอยธิดา รัตนกิจ")</f>
        <v>นพอ.พลอยธิดา รัตนกิจ</v>
      </c>
      <c r="G76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3" s="3" t="str">
        <f>IFERROR(__xludf.DUMMYFUNCTION("""COMPUTED_VALUE"""),"ค่ายเยาวชนพัฒนา ครั้งที่ 215")</f>
        <v>ค่ายเยาวชนพัฒนา ครั้งที่ 215</v>
      </c>
      <c r="I763" s="3" t="str">
        <f>IFERROR(__xludf.DUMMYFUNCTION("""COMPUTED_VALUE"""),"วัดสามบัณฑิต จ.อยุธยา")</f>
        <v>วัดสามบัณฑิต จ.อยุธยา</v>
      </c>
      <c r="J763" s="12">
        <f>IFERROR(__xludf.DUMMYFUNCTION("""COMPUTED_VALUE"""),46137.0)</f>
        <v>46137</v>
      </c>
      <c r="K763" s="3" t="str">
        <f>IFERROR(__xludf.DUMMYFUNCTION("""COMPUTED_VALUE"""),"0800-1600")</f>
        <v>0800-1600</v>
      </c>
      <c r="L763" s="3">
        <f>IFERROR(__xludf.DUMMYFUNCTION("""COMPUTED_VALUE"""),8.0)</f>
        <v>8</v>
      </c>
      <c r="M76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3" s="14" t="str">
        <f>IFERROR(__xludf.DUMMYFUNCTION("""COMPUTED_VALUE"""),"https://lh5.googleusercontent.com/d/1JMQi28UDxskMT2FjPMebj9Oomc2KirIa")</f>
        <v>https://lh5.googleusercontent.com/d/1JMQi28UDxskMT2FjPMebj9Oomc2KirIa</v>
      </c>
      <c r="O763" s="14" t="str">
        <f>IFERROR(__xludf.DUMMYFUNCTION("""COMPUTED_VALUE"""),"https://drive.google.com/file/d/1-IKVUyn07lRnnUJ61Z9dhotGIsOrmwes/view?usp=drivesdk")</f>
        <v>https://drive.google.com/file/d/1-IKVUyn07lRnnUJ61Z9dhotGIsOrmwes/view?usp=drivesdk</v>
      </c>
    </row>
    <row r="764">
      <c r="A764" s="3">
        <f>IFERROR(__xludf.DUMMYFUNCTION("""COMPUTED_VALUE"""),2832.0)</f>
        <v>2832</v>
      </c>
      <c r="B764" s="11">
        <f>IFERROR(__xludf.DUMMYFUNCTION("""COMPUTED_VALUE"""),46176.53992846065)</f>
        <v>46176.53993</v>
      </c>
      <c r="C764" s="3" t="str">
        <f>IFERROR(__xludf.DUMMYFUNCTION("""COMPUTED_VALUE"""),"ชั้นปีที่ 1")</f>
        <v>ชั้นปีที่ 1</v>
      </c>
      <c r="D764" s="3" t="str">
        <f>IFERROR(__xludf.DUMMYFUNCTION("""COMPUTED_VALUE"""),"6803918")</f>
        <v>6803918</v>
      </c>
      <c r="E764" s="3" t="str">
        <f>IFERROR(__xludf.DUMMYFUNCTION("""COMPUTED_VALUE"""),"37")</f>
        <v>37</v>
      </c>
      <c r="F764" s="3" t="str">
        <f>IFERROR(__xludf.DUMMYFUNCTION("""COMPUTED_VALUE"""),"นพอ.พลอยธิดา รัตนกิจ")</f>
        <v>นพอ.พลอยธิดา รัตนกิจ</v>
      </c>
      <c r="G76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4" s="3" t="str">
        <f>IFERROR(__xludf.DUMMYFUNCTION("""COMPUTED_VALUE"""),"ค่ายเยาวชนพัฒนา ครั้งที่ 215")</f>
        <v>ค่ายเยาวชนพัฒนา ครั้งที่ 215</v>
      </c>
      <c r="I764" s="3" t="str">
        <f>IFERROR(__xludf.DUMMYFUNCTION("""COMPUTED_VALUE"""),"วัดสามบัณฑิต จ.อยุธยา")</f>
        <v>วัดสามบัณฑิต จ.อยุธยา</v>
      </c>
      <c r="J764" s="12">
        <f>IFERROR(__xludf.DUMMYFUNCTION("""COMPUTED_VALUE"""),46138.0)</f>
        <v>46138</v>
      </c>
      <c r="K764" s="3" t="str">
        <f>IFERROR(__xludf.DUMMYFUNCTION("""COMPUTED_VALUE"""),"0800-1600")</f>
        <v>0800-1600</v>
      </c>
      <c r="L764" s="3">
        <f>IFERROR(__xludf.DUMMYFUNCTION("""COMPUTED_VALUE"""),8.0)</f>
        <v>8</v>
      </c>
      <c r="M76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4" s="14" t="str">
        <f>IFERROR(__xludf.DUMMYFUNCTION("""COMPUTED_VALUE"""),"https://lh5.googleusercontent.com/d/11XZ4mVSloYElidXH4pdO-MXqDKoX6m27")</f>
        <v>https://lh5.googleusercontent.com/d/11XZ4mVSloYElidXH4pdO-MXqDKoX6m27</v>
      </c>
      <c r="O764" s="14" t="str">
        <f>IFERROR(__xludf.DUMMYFUNCTION("""COMPUTED_VALUE"""),"https://drive.google.com/file/d/1y1AG6BA2jZyZ3dZ_w8kC3bBy-PzX2M8L/view?usp=drivesdk")</f>
        <v>https://drive.google.com/file/d/1y1AG6BA2jZyZ3dZ_w8kC3bBy-PzX2M8L/view?usp=drivesdk</v>
      </c>
    </row>
    <row r="765">
      <c r="A765" s="3">
        <f>IFERROR(__xludf.DUMMYFUNCTION("""COMPUTED_VALUE"""),2833.0)</f>
        <v>2833</v>
      </c>
      <c r="B765" s="11">
        <f>IFERROR(__xludf.DUMMYFUNCTION("""COMPUTED_VALUE"""),46176.54283924769)</f>
        <v>46176.54284</v>
      </c>
      <c r="C765" s="3" t="str">
        <f>IFERROR(__xludf.DUMMYFUNCTION("""COMPUTED_VALUE"""),"ชั้นปีที่ 1")</f>
        <v>ชั้นปีที่ 1</v>
      </c>
      <c r="D765" s="3" t="str">
        <f>IFERROR(__xludf.DUMMYFUNCTION("""COMPUTED_VALUE"""),"6803918")</f>
        <v>6803918</v>
      </c>
      <c r="E765" s="3" t="str">
        <f>IFERROR(__xludf.DUMMYFUNCTION("""COMPUTED_VALUE"""),"37")</f>
        <v>37</v>
      </c>
      <c r="F765" s="3" t="str">
        <f>IFERROR(__xludf.DUMMYFUNCTION("""COMPUTED_VALUE"""),"นพอ.พลอยธิดา รัตนกิจ")</f>
        <v>นพอ.พลอยธิดา รัตนกิจ</v>
      </c>
      <c r="G765" s="3" t="str">
        <f>IFERROR(__xludf.DUMMYFUNCTION("""COMPUTED_VALUE"""),"ช่วยเหลืองานภายใน วพอ.")</f>
        <v>ช่วยเหลืองานภายใน วพอ.</v>
      </c>
      <c r="H765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765" s="3" t="str">
        <f>IFERROR(__xludf.DUMMYFUNCTION("""COMPUTED_VALUE"""),"วพอ.พอ.")</f>
        <v>วพอ.พอ.</v>
      </c>
      <c r="J765" s="12">
        <f>IFERROR(__xludf.DUMMYFUNCTION("""COMPUTED_VALUE"""),46133.0)</f>
        <v>46133</v>
      </c>
      <c r="K765" s="3" t="str">
        <f>IFERROR(__xludf.DUMMYFUNCTION("""COMPUTED_VALUE"""),"1700-2100")</f>
        <v>1700-2100</v>
      </c>
      <c r="L765" s="3">
        <f>IFERROR(__xludf.DUMMYFUNCTION("""COMPUTED_VALUE"""),4.0)</f>
        <v>4</v>
      </c>
      <c r="M765" s="3" t="str">
        <f>IFERROR(__xludf.DUMMYFUNCTION("""COMPUTED_VALUE"""),"ร.อ.อนุชิต ทำจะดี")</f>
        <v>ร.อ.อนุชิต ทำจะดี</v>
      </c>
      <c r="N765" s="14" t="str">
        <f>IFERROR(__xludf.DUMMYFUNCTION("""COMPUTED_VALUE"""),"https://lh5.googleusercontent.com/d/1qb8PFJ4Hfo78sMRW_XyrIfvxM7_Yt09N")</f>
        <v>https://lh5.googleusercontent.com/d/1qb8PFJ4Hfo78sMRW_XyrIfvxM7_Yt09N</v>
      </c>
      <c r="O765" s="14" t="str">
        <f>IFERROR(__xludf.DUMMYFUNCTION("""COMPUTED_VALUE"""),"https://drive.google.com/file/d/1K51bpEL6pOR2sljqBsqsf_JrHF5t4Wye/view?usp=drivesdk")</f>
        <v>https://drive.google.com/file/d/1K51bpEL6pOR2sljqBsqsf_JrHF5t4Wye/view?usp=drivesdk</v>
      </c>
    </row>
    <row r="766">
      <c r="A766" s="3">
        <f>IFERROR(__xludf.DUMMYFUNCTION("""COMPUTED_VALUE"""),2838.0)</f>
        <v>2838</v>
      </c>
      <c r="B766" s="11">
        <f>IFERROR(__xludf.DUMMYFUNCTION("""COMPUTED_VALUE"""),46176.55786071759)</f>
        <v>46176.55786</v>
      </c>
      <c r="C766" s="3" t="str">
        <f>IFERROR(__xludf.DUMMYFUNCTION("""COMPUTED_VALUE"""),"ชั้นปีที่ 1")</f>
        <v>ชั้นปีที่ 1</v>
      </c>
      <c r="D766" s="3" t="str">
        <f>IFERROR(__xludf.DUMMYFUNCTION("""COMPUTED_VALUE"""),"6803918")</f>
        <v>6803918</v>
      </c>
      <c r="E766" s="3" t="str">
        <f>IFERROR(__xludf.DUMMYFUNCTION("""COMPUTED_VALUE"""),"37")</f>
        <v>37</v>
      </c>
      <c r="F766" s="3" t="str">
        <f>IFERROR(__xludf.DUMMYFUNCTION("""COMPUTED_VALUE"""),"6803918")</f>
        <v>6803918</v>
      </c>
      <c r="G76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66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766" s="3" t="str">
        <f>IFERROR(__xludf.DUMMYFUNCTION("""COMPUTED_VALUE"""),"สนามกีฬากองทัพอากาศ(ธูปะเตมีย์)")</f>
        <v>สนามกีฬากองทัพอากาศ(ธูปะเตมีย์)</v>
      </c>
      <c r="J766" s="12">
        <f>IFERROR(__xludf.DUMMYFUNCTION("""COMPUTED_VALUE"""),46078.0)</f>
        <v>46078</v>
      </c>
      <c r="K766" s="3" t="str">
        <f>IFERROR(__xludf.DUMMYFUNCTION("""COMPUTED_VALUE"""),"1200-2000")</f>
        <v>1200-2000</v>
      </c>
      <c r="L766" s="3">
        <f>IFERROR(__xludf.DUMMYFUNCTION("""COMPUTED_VALUE"""),8.0)</f>
        <v>8</v>
      </c>
      <c r="M766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66" s="14" t="str">
        <f>IFERROR(__xludf.DUMMYFUNCTION("""COMPUTED_VALUE"""),"https://lh5.googleusercontent.com/d/1s-N3F6QaL7UPYeP4DQsrLMp9kpd3_WZC")</f>
        <v>https://lh5.googleusercontent.com/d/1s-N3F6QaL7UPYeP4DQsrLMp9kpd3_WZC</v>
      </c>
      <c r="O766" s="14" t="str">
        <f>IFERROR(__xludf.DUMMYFUNCTION("""COMPUTED_VALUE"""),"https://drive.google.com/file/d/1X7jBYdd_gkqqJeNoYs8RnMsieJPr6i0U/view?usp=drivesdk")</f>
        <v>https://drive.google.com/file/d/1X7jBYdd_gkqqJeNoYs8RnMsieJPr6i0U/view?usp=drivesdk</v>
      </c>
    </row>
    <row r="767">
      <c r="A767" s="3">
        <f>IFERROR(__xludf.DUMMYFUNCTION("""COMPUTED_VALUE"""),2839.0)</f>
        <v>2839</v>
      </c>
      <c r="B767" s="11">
        <f>IFERROR(__xludf.DUMMYFUNCTION("""COMPUTED_VALUE"""),46176.56014825231)</f>
        <v>46176.56015</v>
      </c>
      <c r="C767" s="3" t="str">
        <f>IFERROR(__xludf.DUMMYFUNCTION("""COMPUTED_VALUE"""),"ชั้นปีที่ 1")</f>
        <v>ชั้นปีที่ 1</v>
      </c>
      <c r="D767" s="3" t="str">
        <f>IFERROR(__xludf.DUMMYFUNCTION("""COMPUTED_VALUE"""),"6803918")</f>
        <v>6803918</v>
      </c>
      <c r="E767" s="3" t="str">
        <f>IFERROR(__xludf.DUMMYFUNCTION("""COMPUTED_VALUE"""),"37")</f>
        <v>37</v>
      </c>
      <c r="F767" s="3" t="str">
        <f>IFERROR(__xludf.DUMMYFUNCTION("""COMPUTED_VALUE"""),"นพอ.พลอยธิดา รัตนกิจ")</f>
        <v>นพอ.พลอยธิดา รัตนกิจ</v>
      </c>
      <c r="G767" s="3" t="str">
        <f>IFERROR(__xludf.DUMMYFUNCTION("""COMPUTED_VALUE"""),"ช่วยเหลืองานภายใน วพอ.")</f>
        <v>ช่วยเหลืองานภายใน วพอ.</v>
      </c>
      <c r="H767" s="3" t="str">
        <f>IFERROR(__xludf.DUMMYFUNCTION("""COMPUTED_VALUE"""),"ซ้อมงานพิธีรับหมวกพยาบาลวิชาชีพ ปีการศึกษา 2568")</f>
        <v>ซ้อมงานพิธีรับหมวกพยาบาลวิชาชีพ ปีการศึกษา 2568</v>
      </c>
      <c r="I767" s="3" t="str">
        <f>IFERROR(__xludf.DUMMYFUNCTION("""COMPUTED_VALUE"""),"วพอ.พอ.")</f>
        <v>วพอ.พอ.</v>
      </c>
      <c r="J767" s="12">
        <f>IFERROR(__xludf.DUMMYFUNCTION("""COMPUTED_VALUE"""),46139.0)</f>
        <v>46139</v>
      </c>
      <c r="K767" s="3" t="str">
        <f>IFERROR(__xludf.DUMMYFUNCTION("""COMPUTED_VALUE"""),"1700-2100")</f>
        <v>1700-2100</v>
      </c>
      <c r="L767" s="3">
        <f>IFERROR(__xludf.DUMMYFUNCTION("""COMPUTED_VALUE"""),4.0)</f>
        <v>4</v>
      </c>
      <c r="M767" s="3" t="str">
        <f>IFERROR(__xludf.DUMMYFUNCTION("""COMPUTED_VALUE"""),"ร.อ.อนุชิต ทำจะดี")</f>
        <v>ร.อ.อนุชิต ทำจะดี</v>
      </c>
      <c r="N767" s="14" t="str">
        <f>IFERROR(__xludf.DUMMYFUNCTION("""COMPUTED_VALUE"""),"https://lh5.googleusercontent.com/d/1F35naRyscTmGxbmsWvBsw9LcdbwA1UIL")</f>
        <v>https://lh5.googleusercontent.com/d/1F35naRyscTmGxbmsWvBsw9LcdbwA1UIL</v>
      </c>
      <c r="O767" s="14" t="str">
        <f>IFERROR(__xludf.DUMMYFUNCTION("""COMPUTED_VALUE"""),"https://drive.google.com/file/d/1F4osWu2mI6YSLrSaySxV_ukOfMc06-3P/view?usp=drivesdk")</f>
        <v>https://drive.google.com/file/d/1F4osWu2mI6YSLrSaySxV_ukOfMc06-3P/view?usp=drivesdk</v>
      </c>
    </row>
    <row r="768">
      <c r="A768" s="3">
        <f>IFERROR(__xludf.DUMMYFUNCTION("""COMPUTED_VALUE"""),2840.0)</f>
        <v>2840</v>
      </c>
      <c r="B768" s="11">
        <f>IFERROR(__xludf.DUMMYFUNCTION("""COMPUTED_VALUE"""),46176.62626421296)</f>
        <v>46176.62626</v>
      </c>
      <c r="C768" s="3" t="str">
        <f>IFERROR(__xludf.DUMMYFUNCTION("""COMPUTED_VALUE"""),"ชั้นปีที่ 1")</f>
        <v>ชั้นปีที่ 1</v>
      </c>
      <c r="D768" s="3" t="str">
        <f>IFERROR(__xludf.DUMMYFUNCTION("""COMPUTED_VALUE"""),"6803918")</f>
        <v>6803918</v>
      </c>
      <c r="E768" s="3" t="str">
        <f>IFERROR(__xludf.DUMMYFUNCTION("""COMPUTED_VALUE"""),"37")</f>
        <v>37</v>
      </c>
      <c r="F768" s="3" t="str">
        <f>IFERROR(__xludf.DUMMYFUNCTION("""COMPUTED_VALUE"""),"นพอ.พลอยธิดา รัตนกิจ")</f>
        <v>นพอ.พลอยธิดา รัตนกิจ</v>
      </c>
      <c r="G768" s="3" t="str">
        <f>IFERROR(__xludf.DUMMYFUNCTION("""COMPUTED_VALUE"""),"ช่วยเหลืองานภายใน วพอ.")</f>
        <v>ช่วยเหลืองานภายใน วพอ.</v>
      </c>
      <c r="H768" s="3" t="str">
        <f>IFERROR(__xludf.DUMMYFUNCTION("""COMPUTED_VALUE"""),"ซ้อมพิธีรับหมวกพยาบาลวิชาชีพ ประจำปีการศึกษา 2568")</f>
        <v>ซ้อมพิธีรับหมวกพยาบาลวิชาชีพ ประจำปีการศึกษา 2568</v>
      </c>
      <c r="I768" s="3" t="str">
        <f>IFERROR(__xludf.DUMMYFUNCTION("""COMPUTED_VALUE"""),"วพอ.พอ.")</f>
        <v>วพอ.พอ.</v>
      </c>
      <c r="J768" s="12">
        <f>IFERROR(__xludf.DUMMYFUNCTION("""COMPUTED_VALUE"""),46134.0)</f>
        <v>46134</v>
      </c>
      <c r="K768" s="3" t="str">
        <f>IFERROR(__xludf.DUMMYFUNCTION("""COMPUTED_VALUE"""),"1700-2100")</f>
        <v>1700-2100</v>
      </c>
      <c r="L768" s="3">
        <f>IFERROR(__xludf.DUMMYFUNCTION("""COMPUTED_VALUE"""),4.0)</f>
        <v>4</v>
      </c>
      <c r="M768" s="3" t="str">
        <f>IFERROR(__xludf.DUMMYFUNCTION("""COMPUTED_VALUE"""),"ร.อ.อนุชิต ทำจะดี")</f>
        <v>ร.อ.อนุชิต ทำจะดี</v>
      </c>
      <c r="N768" s="14" t="str">
        <f>IFERROR(__xludf.DUMMYFUNCTION("""COMPUTED_VALUE"""),"https://lh5.googleusercontent.com/d/14Ao9JAaIFZvp5X6gsrwt0waf4PjTF9Pv")</f>
        <v>https://lh5.googleusercontent.com/d/14Ao9JAaIFZvp5X6gsrwt0waf4PjTF9Pv</v>
      </c>
      <c r="O768" s="14" t="str">
        <f>IFERROR(__xludf.DUMMYFUNCTION("""COMPUTED_VALUE"""),"https://drive.google.com/file/d/19pJaYhZLimYzgC0A4Qq9JKqSqyMsUj40/view?usp=drivesdk")</f>
        <v>https://drive.google.com/file/d/19pJaYhZLimYzgC0A4Qq9JKqSqyMsUj40/view?usp=drivesdk</v>
      </c>
    </row>
    <row r="769">
      <c r="A769" s="3">
        <f>IFERROR(__xludf.DUMMYFUNCTION("""COMPUTED_VALUE"""),2841.0)</f>
        <v>2841</v>
      </c>
      <c r="B769" s="11">
        <f>IFERROR(__xludf.DUMMYFUNCTION("""COMPUTED_VALUE"""),46176.630898125004)</f>
        <v>46176.6309</v>
      </c>
      <c r="C769" s="3" t="str">
        <f>IFERROR(__xludf.DUMMYFUNCTION("""COMPUTED_VALUE"""),"ชั้นปีที่ 1")</f>
        <v>ชั้นปีที่ 1</v>
      </c>
      <c r="D769" s="3" t="str">
        <f>IFERROR(__xludf.DUMMYFUNCTION("""COMPUTED_VALUE"""),"6803918")</f>
        <v>6803918</v>
      </c>
      <c r="E769" s="3" t="str">
        <f>IFERROR(__xludf.DUMMYFUNCTION("""COMPUTED_VALUE"""),"37")</f>
        <v>37</v>
      </c>
      <c r="F769" s="3" t="str">
        <f>IFERROR(__xludf.DUMMYFUNCTION("""COMPUTED_VALUE"""),"นพอ.พลอยธิดา รัตนกิจ")</f>
        <v>นพอ.พลอยธิดา รัตนกิจ</v>
      </c>
      <c r="G769" s="3" t="str">
        <f>IFERROR(__xludf.DUMMYFUNCTION("""COMPUTED_VALUE"""),"ช่วยเหลืองานภายใน วพอ.")</f>
        <v>ช่วยเหลืองานภายใน วพอ.</v>
      </c>
      <c r="H769" s="3" t="str">
        <f>IFERROR(__xludf.DUMMYFUNCTION("""COMPUTED_VALUE"""),"ซ้อมงานพิธีรับหมวกพยาบาลวิชาชีพ ประจำปีการศึกษา 2568")</f>
        <v>ซ้อมงานพิธีรับหมวกพยาบาลวิชาชีพ ประจำปีการศึกษา 2568</v>
      </c>
      <c r="I769" s="3" t="str">
        <f>IFERROR(__xludf.DUMMYFUNCTION("""COMPUTED_VALUE"""),"วพอ.พอ.")</f>
        <v>วพอ.พอ.</v>
      </c>
      <c r="J769" s="12">
        <f>IFERROR(__xludf.DUMMYFUNCTION("""COMPUTED_VALUE"""),46135.0)</f>
        <v>46135</v>
      </c>
      <c r="K769" s="3" t="str">
        <f>IFERROR(__xludf.DUMMYFUNCTION("""COMPUTED_VALUE"""),"17-21")</f>
        <v>17-21</v>
      </c>
      <c r="L769" s="3">
        <f>IFERROR(__xludf.DUMMYFUNCTION("""COMPUTED_VALUE"""),4.0)</f>
        <v>4</v>
      </c>
      <c r="M769" s="3" t="str">
        <f>IFERROR(__xludf.DUMMYFUNCTION("""COMPUTED_VALUE"""),"ร.อ.อนุชิต ทำจะดี")</f>
        <v>ร.อ.อนุชิต ทำจะดี</v>
      </c>
      <c r="N769" s="14" t="str">
        <f>IFERROR(__xludf.DUMMYFUNCTION("""COMPUTED_VALUE"""),"https://lh5.googleusercontent.com/d/12zuC3LddRVa8Y-ZShQ5qnT-TswVwqo-7")</f>
        <v>https://lh5.googleusercontent.com/d/12zuC3LddRVa8Y-ZShQ5qnT-TswVwqo-7</v>
      </c>
      <c r="O769" s="14" t="str">
        <f>IFERROR(__xludf.DUMMYFUNCTION("""COMPUTED_VALUE"""),"https://drive.google.com/file/d/1Fd2jYSLBnzLWMkQ6ZKeiOIXALp7ISi5D/view?usp=drivesdk")</f>
        <v>https://drive.google.com/file/d/1Fd2jYSLBnzLWMkQ6ZKeiOIXALp7ISi5D/view?usp=drivesdk</v>
      </c>
    </row>
    <row r="770">
      <c r="A770" s="3">
        <f>IFERROR(__xludf.DUMMYFUNCTION("""COMPUTED_VALUE"""),2842.0)</f>
        <v>2842</v>
      </c>
      <c r="B770" s="11">
        <f>IFERROR(__xludf.DUMMYFUNCTION("""COMPUTED_VALUE"""),46176.63170931713)</f>
        <v>46176.63171</v>
      </c>
      <c r="C770" s="3" t="str">
        <f>IFERROR(__xludf.DUMMYFUNCTION("""COMPUTED_VALUE"""),"ชั้นปีที่ 1")</f>
        <v>ชั้นปีที่ 1</v>
      </c>
      <c r="D770" s="3" t="str">
        <f>IFERROR(__xludf.DUMMYFUNCTION("""COMPUTED_VALUE"""),"6803907")</f>
        <v>6803907</v>
      </c>
      <c r="E770" s="3" t="str">
        <f>IFERROR(__xludf.DUMMYFUNCTION("""COMPUTED_VALUE"""),"26")</f>
        <v>26</v>
      </c>
      <c r="F770" s="3" t="str">
        <f>IFERROR(__xludf.DUMMYFUNCTION("""COMPUTED_VALUE"""),"นพอ.ธีราพร  ประสิทธิภาพ")</f>
        <v>นพอ.ธีราพร  ประสิทธิภาพ</v>
      </c>
      <c r="G770" s="3" t="str">
        <f>IFERROR(__xludf.DUMMYFUNCTION("""COMPUTED_VALUE"""),"ช่วยเหลืองานภายใน วพอ.")</f>
        <v>ช่วยเหลืองานภายใน วพอ.</v>
      </c>
      <c r="H770" s="3" t="str">
        <f>IFERROR(__xludf.DUMMYFUNCTION("""COMPUTED_VALUE"""),"เล่นดุริยางค์")</f>
        <v>เล่นดุริยางค์</v>
      </c>
      <c r="I770" s="3" t="str">
        <f>IFERROR(__xludf.DUMMYFUNCTION("""COMPUTED_VALUE"""),"วพอ.พอ.")</f>
        <v>วพอ.พอ.</v>
      </c>
      <c r="J770" s="12">
        <f>IFERROR(__xludf.DUMMYFUNCTION("""COMPUTED_VALUE"""),46079.0)</f>
        <v>46079</v>
      </c>
      <c r="K770" s="3" t="str">
        <f>IFERROR(__xludf.DUMMYFUNCTION("""COMPUTED_VALUE"""),"0800")</f>
        <v>0800</v>
      </c>
      <c r="L770" s="3">
        <f>IFERROR(__xludf.DUMMYFUNCTION("""COMPUTED_VALUE"""),1.0)</f>
        <v>1</v>
      </c>
      <c r="M770" s="3" t="str">
        <f>IFERROR(__xludf.DUMMYFUNCTION("""COMPUTED_VALUE"""),"ร.อ. อนุชิต  ทำจะดี")</f>
        <v>ร.อ. อนุชิต  ทำจะดี</v>
      </c>
      <c r="N770" s="14" t="str">
        <f>IFERROR(__xludf.DUMMYFUNCTION("""COMPUTED_VALUE"""),"https://lh5.googleusercontent.com/d/1Mi96z-6sNYY3CgfC37LE8cOtO1mzS3el")</f>
        <v>https://lh5.googleusercontent.com/d/1Mi96z-6sNYY3CgfC37LE8cOtO1mzS3el</v>
      </c>
      <c r="O770" s="14" t="str">
        <f>IFERROR(__xludf.DUMMYFUNCTION("""COMPUTED_VALUE"""),"https://drive.google.com/file/d/1-naD3qYG2kKxDispiX-P7Ld487nJ9etS/view?usp=drivesdk")</f>
        <v>https://drive.google.com/file/d/1-naD3qYG2kKxDispiX-P7Ld487nJ9etS/view?usp=drivesdk</v>
      </c>
    </row>
    <row r="771">
      <c r="A771" s="3">
        <f>IFERROR(__xludf.DUMMYFUNCTION("""COMPUTED_VALUE"""),2843.0)</f>
        <v>2843</v>
      </c>
      <c r="B771" s="11">
        <f>IFERROR(__xludf.DUMMYFUNCTION("""COMPUTED_VALUE"""),46176.632175300925)</f>
        <v>46176.63218</v>
      </c>
      <c r="C771" s="3" t="str">
        <f>IFERROR(__xludf.DUMMYFUNCTION("""COMPUTED_VALUE"""),"ชั้นปีที่ 1")</f>
        <v>ชั้นปีที่ 1</v>
      </c>
      <c r="D771" s="3" t="str">
        <f>IFERROR(__xludf.DUMMYFUNCTION("""COMPUTED_VALUE"""),"6803918")</f>
        <v>6803918</v>
      </c>
      <c r="E771" s="3" t="str">
        <f>IFERROR(__xludf.DUMMYFUNCTION("""COMPUTED_VALUE"""),"37")</f>
        <v>37</v>
      </c>
      <c r="F771" s="3" t="str">
        <f>IFERROR(__xludf.DUMMYFUNCTION("""COMPUTED_VALUE"""),"นพอ.พลอยธิดา รัตนกิจ")</f>
        <v>นพอ.พลอยธิดา รัตนกิจ</v>
      </c>
      <c r="G771" s="3" t="str">
        <f>IFERROR(__xludf.DUMMYFUNCTION("""COMPUTED_VALUE"""),"ช่วยเหลืองานภายใน วพอ.")</f>
        <v>ช่วยเหลืองานภายใน วพอ.</v>
      </c>
      <c r="H771" s="3" t="str">
        <f>IFERROR(__xludf.DUMMYFUNCTION("""COMPUTED_VALUE"""),"ซ้อมงานพิธีรับหมวกพยาบาลวิชาชีพ ประจำปีการศึกษา 2568")</f>
        <v>ซ้อมงานพิธีรับหมวกพยาบาลวิชาชีพ ประจำปีการศึกษา 2568</v>
      </c>
      <c r="I771" s="3" t="str">
        <f>IFERROR(__xludf.DUMMYFUNCTION("""COMPUTED_VALUE"""),"วพอ.พอ.")</f>
        <v>วพอ.พอ.</v>
      </c>
      <c r="J771" s="12">
        <f>IFERROR(__xludf.DUMMYFUNCTION("""COMPUTED_VALUE"""),46138.0)</f>
        <v>46138</v>
      </c>
      <c r="K771" s="3" t="str">
        <f>IFERROR(__xludf.DUMMYFUNCTION("""COMPUTED_VALUE"""),"13-21")</f>
        <v>13-21</v>
      </c>
      <c r="L771" s="3">
        <f>IFERROR(__xludf.DUMMYFUNCTION("""COMPUTED_VALUE"""),8.0)</f>
        <v>8</v>
      </c>
      <c r="M771" s="3" t="str">
        <f>IFERROR(__xludf.DUMMYFUNCTION("""COMPUTED_VALUE"""),"ร.อ.อนุชิต ทำจะดี")</f>
        <v>ร.อ.อนุชิต ทำจะดี</v>
      </c>
      <c r="N771" s="14" t="str">
        <f>IFERROR(__xludf.DUMMYFUNCTION("""COMPUTED_VALUE"""),"https://lh5.googleusercontent.com/d/1-4ngA000vOV2nZhuP4KI26PJZd6Xg3u6")</f>
        <v>https://lh5.googleusercontent.com/d/1-4ngA000vOV2nZhuP4KI26PJZd6Xg3u6</v>
      </c>
      <c r="O771" s="14" t="str">
        <f>IFERROR(__xludf.DUMMYFUNCTION("""COMPUTED_VALUE"""),"https://drive.google.com/file/d/1PNkiJeMi1TfaGX46gqEaIb4LDBJqmVDx/view?usp=drivesdk")</f>
        <v>https://drive.google.com/file/d/1PNkiJeMi1TfaGX46gqEaIb4LDBJqmVDx/view?usp=drivesdk</v>
      </c>
    </row>
    <row r="772">
      <c r="A772" s="3">
        <f>IFERROR(__xludf.DUMMYFUNCTION("""COMPUTED_VALUE"""),2844.0)</f>
        <v>2844</v>
      </c>
      <c r="B772" s="11">
        <f>IFERROR(__xludf.DUMMYFUNCTION("""COMPUTED_VALUE"""),46176.63326549768)</f>
        <v>46176.63327</v>
      </c>
      <c r="C772" s="3" t="str">
        <f>IFERROR(__xludf.DUMMYFUNCTION("""COMPUTED_VALUE"""),"ชั้นปีที่ 1")</f>
        <v>ชั้นปีที่ 1</v>
      </c>
      <c r="D772" s="3" t="str">
        <f>IFERROR(__xludf.DUMMYFUNCTION("""COMPUTED_VALUE"""),"6803907")</f>
        <v>6803907</v>
      </c>
      <c r="E772" s="3" t="str">
        <f>IFERROR(__xludf.DUMMYFUNCTION("""COMPUTED_VALUE"""),"26")</f>
        <v>26</v>
      </c>
      <c r="F772" s="3" t="str">
        <f>IFERROR(__xludf.DUMMYFUNCTION("""COMPUTED_VALUE"""),"นพอ. ธีราพร  ประสิทธิภาพ")</f>
        <v>นพอ. ธีราพร  ประสิทธิภาพ</v>
      </c>
      <c r="G772" s="3" t="str">
        <f>IFERROR(__xludf.DUMMYFUNCTION("""COMPUTED_VALUE"""),"ช่วยเหลืองานภายใน วพอ.")</f>
        <v>ช่วยเหลืองานภายใน วพอ.</v>
      </c>
      <c r="H772" s="3" t="str">
        <f>IFERROR(__xludf.DUMMYFUNCTION("""COMPUTED_VALUE"""),"เล่นดุริยางค์")</f>
        <v>เล่นดุริยางค์</v>
      </c>
      <c r="I772" s="3" t="str">
        <f>IFERROR(__xludf.DUMMYFUNCTION("""COMPUTED_VALUE"""),"วพอ.พอ.")</f>
        <v>วพอ.พอ.</v>
      </c>
      <c r="J772" s="12">
        <f>IFERROR(__xludf.DUMMYFUNCTION("""COMPUTED_VALUE"""),46035.0)</f>
        <v>46035</v>
      </c>
      <c r="K772" s="3" t="str">
        <f>IFERROR(__xludf.DUMMYFUNCTION("""COMPUTED_VALUE"""),"0800")</f>
        <v>0800</v>
      </c>
      <c r="L772" s="3">
        <f>IFERROR(__xludf.DUMMYFUNCTION("""COMPUTED_VALUE"""),1.0)</f>
        <v>1</v>
      </c>
      <c r="M772" s="3" t="str">
        <f>IFERROR(__xludf.DUMMYFUNCTION("""COMPUTED_VALUE"""),"ร.อ.อนุชิต  ทำจะดี")</f>
        <v>ร.อ.อนุชิต  ทำจะดี</v>
      </c>
      <c r="N772" s="14" t="str">
        <f>IFERROR(__xludf.DUMMYFUNCTION("""COMPUTED_VALUE"""),"https://lh5.googleusercontent.com/d/1MjCgroJxhemWF6HSKO3cfP4JGwAKE3Nc")</f>
        <v>https://lh5.googleusercontent.com/d/1MjCgroJxhemWF6HSKO3cfP4JGwAKE3Nc</v>
      </c>
      <c r="O772" s="14" t="str">
        <f>IFERROR(__xludf.DUMMYFUNCTION("""COMPUTED_VALUE"""),"https://drive.google.com/file/d/1OrGAvdSdTEK5fKZ8Ign5abN2_K3P4kYN/view?usp=drivesdk")</f>
        <v>https://drive.google.com/file/d/1OrGAvdSdTEK5fKZ8Ign5abN2_K3P4kYN/view?usp=drivesdk</v>
      </c>
    </row>
    <row r="773">
      <c r="A773" s="3">
        <f>IFERROR(__xludf.DUMMYFUNCTION("""COMPUTED_VALUE"""),2845.0)</f>
        <v>2845</v>
      </c>
      <c r="B773" s="11">
        <f>IFERROR(__xludf.DUMMYFUNCTION("""COMPUTED_VALUE"""),46176.63458695602)</f>
        <v>46176.63459</v>
      </c>
      <c r="C773" s="3" t="str">
        <f>IFERROR(__xludf.DUMMYFUNCTION("""COMPUTED_VALUE"""),"ชั้นปีที่ 1")</f>
        <v>ชั้นปีที่ 1</v>
      </c>
      <c r="D773" s="3" t="str">
        <f>IFERROR(__xludf.DUMMYFUNCTION("""COMPUTED_VALUE"""),"6803907")</f>
        <v>6803907</v>
      </c>
      <c r="E773" s="3" t="str">
        <f>IFERROR(__xludf.DUMMYFUNCTION("""COMPUTED_VALUE"""),"26")</f>
        <v>26</v>
      </c>
      <c r="F773" s="3" t="str">
        <f>IFERROR(__xludf.DUMMYFUNCTION("""COMPUTED_VALUE"""),"นพอ. ธีราพร  ประสิทธิภาพ")</f>
        <v>นพอ. ธีราพร  ประสิทธิภาพ</v>
      </c>
      <c r="G773" s="3" t="str">
        <f>IFERROR(__xludf.DUMMYFUNCTION("""COMPUTED_VALUE"""),"ช่วยเหลืองานภายใน วพอ.")</f>
        <v>ช่วยเหลืองานภายใน วพอ.</v>
      </c>
      <c r="H773" s="3" t="str">
        <f>IFERROR(__xludf.DUMMYFUNCTION("""COMPUTED_VALUE"""),"เล่นดุริยางค์")</f>
        <v>เล่นดุริยางค์</v>
      </c>
      <c r="I773" s="3" t="str">
        <f>IFERROR(__xludf.DUMMYFUNCTION("""COMPUTED_VALUE"""),"วพอ.พอ.")</f>
        <v>วพอ.พอ.</v>
      </c>
      <c r="J773" s="12">
        <f>IFERROR(__xludf.DUMMYFUNCTION("""COMPUTED_VALUE"""),46028.0)</f>
        <v>46028</v>
      </c>
      <c r="K773" s="3" t="str">
        <f>IFERROR(__xludf.DUMMYFUNCTION("""COMPUTED_VALUE"""),"0800")</f>
        <v>0800</v>
      </c>
      <c r="L773" s="3">
        <f>IFERROR(__xludf.DUMMYFUNCTION("""COMPUTED_VALUE"""),1.0)</f>
        <v>1</v>
      </c>
      <c r="M773" s="3" t="str">
        <f>IFERROR(__xludf.DUMMYFUNCTION("""COMPUTED_VALUE"""),"ร.อ.อนุชิต  ทำจะดี")</f>
        <v>ร.อ.อนุชิต  ทำจะดี</v>
      </c>
      <c r="N773" s="14" t="str">
        <f>IFERROR(__xludf.DUMMYFUNCTION("""COMPUTED_VALUE"""),"https://lh5.googleusercontent.com/d/19jgW1ynDpA1zGrS7eYOdZaDz6KcOtFZ5")</f>
        <v>https://lh5.googleusercontent.com/d/19jgW1ynDpA1zGrS7eYOdZaDz6KcOtFZ5</v>
      </c>
      <c r="O773" s="14" t="str">
        <f>IFERROR(__xludf.DUMMYFUNCTION("""COMPUTED_VALUE"""),"https://drive.google.com/file/d/1sjc2phvV88BnbEOSkGQZ6LlooV0fX8aI/view?usp=drivesdk")</f>
        <v>https://drive.google.com/file/d/1sjc2phvV88BnbEOSkGQZ6LlooV0fX8aI/view?usp=drivesdk</v>
      </c>
    </row>
    <row r="774">
      <c r="A774" s="3">
        <f>IFERROR(__xludf.DUMMYFUNCTION("""COMPUTED_VALUE"""),2846.0)</f>
        <v>2846</v>
      </c>
      <c r="B774" s="11">
        <f>IFERROR(__xludf.DUMMYFUNCTION("""COMPUTED_VALUE"""),46176.63591070602)</f>
        <v>46176.63591</v>
      </c>
      <c r="C774" s="3" t="str">
        <f>IFERROR(__xludf.DUMMYFUNCTION("""COMPUTED_VALUE"""),"ชั้นปีที่ 1")</f>
        <v>ชั้นปีที่ 1</v>
      </c>
      <c r="D774" s="3" t="str">
        <f>IFERROR(__xludf.DUMMYFUNCTION("""COMPUTED_VALUE"""),"6803907")</f>
        <v>6803907</v>
      </c>
      <c r="E774" s="3" t="str">
        <f>IFERROR(__xludf.DUMMYFUNCTION("""COMPUTED_VALUE"""),"26")</f>
        <v>26</v>
      </c>
      <c r="F774" s="3" t="str">
        <f>IFERROR(__xludf.DUMMYFUNCTION("""COMPUTED_VALUE"""),"นพอ.ธีราพร  ประสิทธิภาพ")</f>
        <v>นพอ.ธีราพร  ประสิทธิภาพ</v>
      </c>
      <c r="G774" s="3" t="str">
        <f>IFERROR(__xludf.DUMMYFUNCTION("""COMPUTED_VALUE"""),"ช่วยเหลืองานภายใน วพอ.")</f>
        <v>ช่วยเหลืองานภายใน วพอ.</v>
      </c>
      <c r="H774" s="3" t="str">
        <f>IFERROR(__xludf.DUMMYFUNCTION("""COMPUTED_VALUE"""),"เล่นดุริยางค์")</f>
        <v>เล่นดุริยางค์</v>
      </c>
      <c r="I774" s="3" t="str">
        <f>IFERROR(__xludf.DUMMYFUNCTION("""COMPUTED_VALUE"""),"วพอ.พอ.")</f>
        <v>วพอ.พอ.</v>
      </c>
      <c r="J774" s="12">
        <f>IFERROR(__xludf.DUMMYFUNCTION("""COMPUTED_VALUE"""),46107.0)</f>
        <v>46107</v>
      </c>
      <c r="K774" s="3" t="str">
        <f>IFERROR(__xludf.DUMMYFUNCTION("""COMPUTED_VALUE"""),"0800")</f>
        <v>0800</v>
      </c>
      <c r="L774" s="3">
        <f>IFERROR(__xludf.DUMMYFUNCTION("""COMPUTED_VALUE"""),1.0)</f>
        <v>1</v>
      </c>
      <c r="M774" s="3" t="str">
        <f>IFERROR(__xludf.DUMMYFUNCTION("""COMPUTED_VALUE"""),"ร.อ.อนุชิต  ทำจะดี")</f>
        <v>ร.อ.อนุชิต  ทำจะดี</v>
      </c>
      <c r="N774" s="14" t="str">
        <f>IFERROR(__xludf.DUMMYFUNCTION("""COMPUTED_VALUE"""),"https://lh5.googleusercontent.com/d/1WCIuwWbJb-maZgeN3Tz1ivunAP69J1iC")</f>
        <v>https://lh5.googleusercontent.com/d/1WCIuwWbJb-maZgeN3Tz1ivunAP69J1iC</v>
      </c>
      <c r="O774" s="14" t="str">
        <f>IFERROR(__xludf.DUMMYFUNCTION("""COMPUTED_VALUE"""),"https://drive.google.com/file/d/1m8S1ICfsuSjtsga7oxyBXbPvC3iVUbx1/view?usp=drivesdk")</f>
        <v>https://drive.google.com/file/d/1m8S1ICfsuSjtsga7oxyBXbPvC3iVUbx1/view?usp=drivesdk</v>
      </c>
    </row>
    <row r="775">
      <c r="A775" s="3">
        <f>IFERROR(__xludf.DUMMYFUNCTION("""COMPUTED_VALUE"""),2847.0)</f>
        <v>2847</v>
      </c>
      <c r="B775" s="11">
        <f>IFERROR(__xludf.DUMMYFUNCTION("""COMPUTED_VALUE"""),46176.63735414352)</f>
        <v>46176.63735</v>
      </c>
      <c r="C775" s="3" t="str">
        <f>IFERROR(__xludf.DUMMYFUNCTION("""COMPUTED_VALUE"""),"ชั้นปีที่ 1")</f>
        <v>ชั้นปีที่ 1</v>
      </c>
      <c r="D775" s="3" t="str">
        <f>IFERROR(__xludf.DUMMYFUNCTION("""COMPUTED_VALUE"""),"6803907")</f>
        <v>6803907</v>
      </c>
      <c r="E775" s="3" t="str">
        <f>IFERROR(__xludf.DUMMYFUNCTION("""COMPUTED_VALUE"""),"26")</f>
        <v>26</v>
      </c>
      <c r="F775" s="3" t="str">
        <f>IFERROR(__xludf.DUMMYFUNCTION("""COMPUTED_VALUE"""),"นพอ. ธีราพร  ประสิทธิภาพ")</f>
        <v>นพอ. ธีราพร  ประสิทธิภาพ</v>
      </c>
      <c r="G775" s="3" t="str">
        <f>IFERROR(__xludf.DUMMYFUNCTION("""COMPUTED_VALUE"""),"ช่วยเหลืองานภายใน วพอ.")</f>
        <v>ช่วยเหลืองานภายใน วพอ.</v>
      </c>
      <c r="H775" s="3" t="str">
        <f>IFERROR(__xludf.DUMMYFUNCTION("""COMPUTED_VALUE"""),"เล่นดุริยางค์")</f>
        <v>เล่นดุริยางค์</v>
      </c>
      <c r="I775" s="3" t="str">
        <f>IFERROR(__xludf.DUMMYFUNCTION("""COMPUTED_VALUE"""),"วพอ.พอ.")</f>
        <v>วพอ.พอ.</v>
      </c>
      <c r="J775" s="12">
        <f>IFERROR(__xludf.DUMMYFUNCTION("""COMPUTED_VALUE"""),46106.0)</f>
        <v>46106</v>
      </c>
      <c r="K775" s="3" t="str">
        <f>IFERROR(__xludf.DUMMYFUNCTION("""COMPUTED_VALUE"""),"0800")</f>
        <v>0800</v>
      </c>
      <c r="L775" s="3">
        <f>IFERROR(__xludf.DUMMYFUNCTION("""COMPUTED_VALUE"""),1.0)</f>
        <v>1</v>
      </c>
      <c r="M775" s="3" t="str">
        <f>IFERROR(__xludf.DUMMYFUNCTION("""COMPUTED_VALUE"""),"ร.อ.อนุชิต  ทำจะดี")</f>
        <v>ร.อ.อนุชิต  ทำจะดี</v>
      </c>
      <c r="N775" s="14" t="str">
        <f>IFERROR(__xludf.DUMMYFUNCTION("""COMPUTED_VALUE"""),"https://lh5.googleusercontent.com/d/1-kbHH0y0nrrDiJ2e2RpfbU9B6krfvVm9")</f>
        <v>https://lh5.googleusercontent.com/d/1-kbHH0y0nrrDiJ2e2RpfbU9B6krfvVm9</v>
      </c>
      <c r="O775" s="14" t="str">
        <f>IFERROR(__xludf.DUMMYFUNCTION("""COMPUTED_VALUE"""),"https://drive.google.com/file/d/1ycsXjN4i2a4iYp45e94caxoSSU-fShPA/view?usp=drivesdk")</f>
        <v>https://drive.google.com/file/d/1ycsXjN4i2a4iYp45e94caxoSSU-fShPA/view?usp=drivesdk</v>
      </c>
    </row>
    <row r="776">
      <c r="A776" s="3">
        <f>IFERROR(__xludf.DUMMYFUNCTION("""COMPUTED_VALUE"""),2848.0)</f>
        <v>2848</v>
      </c>
      <c r="B776" s="11">
        <f>IFERROR(__xludf.DUMMYFUNCTION("""COMPUTED_VALUE"""),46176.63853488426)</f>
        <v>46176.63853</v>
      </c>
      <c r="C776" s="3" t="str">
        <f>IFERROR(__xludf.DUMMYFUNCTION("""COMPUTED_VALUE"""),"ชั้นปีที่ 1")</f>
        <v>ชั้นปีที่ 1</v>
      </c>
      <c r="D776" s="3" t="str">
        <f>IFERROR(__xludf.DUMMYFUNCTION("""COMPUTED_VALUE"""),"6803907")</f>
        <v>6803907</v>
      </c>
      <c r="E776" s="3" t="str">
        <f>IFERROR(__xludf.DUMMYFUNCTION("""COMPUTED_VALUE"""),"26")</f>
        <v>26</v>
      </c>
      <c r="F776" s="3" t="str">
        <f>IFERROR(__xludf.DUMMYFUNCTION("""COMPUTED_VALUE"""),"นพอ.ธีราพร  ประสิทธิภาพ")</f>
        <v>นพอ.ธีราพร  ประสิทธิภาพ</v>
      </c>
      <c r="G776" s="3" t="str">
        <f>IFERROR(__xludf.DUMMYFUNCTION("""COMPUTED_VALUE"""),"ช่วยเหลืองานภายใน วพอ.")</f>
        <v>ช่วยเหลืองานภายใน วพอ.</v>
      </c>
      <c r="H776" s="3" t="str">
        <f>IFERROR(__xludf.DUMMYFUNCTION("""COMPUTED_VALUE"""),"เล่นดุริยางค์")</f>
        <v>เล่นดุริยางค์</v>
      </c>
      <c r="I776" s="3" t="str">
        <f>IFERROR(__xludf.DUMMYFUNCTION("""COMPUTED_VALUE"""),"วพอ.พอ.")</f>
        <v>วพอ.พอ.</v>
      </c>
      <c r="J776" s="12">
        <f>IFERROR(__xludf.DUMMYFUNCTION("""COMPUTED_VALUE"""),46111.0)</f>
        <v>46111</v>
      </c>
      <c r="K776" s="3" t="str">
        <f>IFERROR(__xludf.DUMMYFUNCTION("""COMPUTED_VALUE"""),"0800")</f>
        <v>0800</v>
      </c>
      <c r="L776" s="3">
        <f>IFERROR(__xludf.DUMMYFUNCTION("""COMPUTED_VALUE"""),1.0)</f>
        <v>1</v>
      </c>
      <c r="M776" s="3" t="str">
        <f>IFERROR(__xludf.DUMMYFUNCTION("""COMPUTED_VALUE"""),"ร.อ.อนุชิต ทำจะดี")</f>
        <v>ร.อ.อนุชิต ทำจะดี</v>
      </c>
      <c r="N776" s="14" t="str">
        <f>IFERROR(__xludf.DUMMYFUNCTION("""COMPUTED_VALUE"""),"https://lh5.googleusercontent.com/d/1t6HoIhHqsRZVuC2UccCe0uIAgsj3y4Hs")</f>
        <v>https://lh5.googleusercontent.com/d/1t6HoIhHqsRZVuC2UccCe0uIAgsj3y4Hs</v>
      </c>
      <c r="O776" s="14" t="str">
        <f>IFERROR(__xludf.DUMMYFUNCTION("""COMPUTED_VALUE"""),"https://drive.google.com/file/d/18Bssh4_tOmAShXhiub7nQN1Q321it30X/view?usp=drivesdk")</f>
        <v>https://drive.google.com/file/d/18Bssh4_tOmAShXhiub7nQN1Q321it30X/view?usp=drivesdk</v>
      </c>
    </row>
    <row r="777">
      <c r="A777" s="3">
        <f>IFERROR(__xludf.DUMMYFUNCTION("""COMPUTED_VALUE"""),2849.0)</f>
        <v>2849</v>
      </c>
      <c r="B777" s="11">
        <f>IFERROR(__xludf.DUMMYFUNCTION("""COMPUTED_VALUE"""),46176.63979371528)</f>
        <v>46176.63979</v>
      </c>
      <c r="C777" s="3" t="str">
        <f>IFERROR(__xludf.DUMMYFUNCTION("""COMPUTED_VALUE"""),"ชั้นปีที่ 1")</f>
        <v>ชั้นปีที่ 1</v>
      </c>
      <c r="D777" s="3" t="str">
        <f>IFERROR(__xludf.DUMMYFUNCTION("""COMPUTED_VALUE"""),"6803907")</f>
        <v>6803907</v>
      </c>
      <c r="E777" s="3" t="str">
        <f>IFERROR(__xludf.DUMMYFUNCTION("""COMPUTED_VALUE"""),"26")</f>
        <v>26</v>
      </c>
      <c r="F777" s="3" t="str">
        <f>IFERROR(__xludf.DUMMYFUNCTION("""COMPUTED_VALUE"""),"นพอ.ธีราพร  ประสิทธิภาพ")</f>
        <v>นพอ.ธีราพร  ประสิทธิภาพ</v>
      </c>
      <c r="G777" s="3" t="str">
        <f>IFERROR(__xludf.DUMMYFUNCTION("""COMPUTED_VALUE"""),"ช่วยเหลืองานภายใน วพอ.")</f>
        <v>ช่วยเหลืองานภายใน วพอ.</v>
      </c>
      <c r="H777" s="3" t="str">
        <f>IFERROR(__xludf.DUMMYFUNCTION("""COMPUTED_VALUE"""),"เล่นดุริยางค์")</f>
        <v>เล่นดุริยางค์</v>
      </c>
      <c r="I777" s="3" t="str">
        <f>IFERROR(__xludf.DUMMYFUNCTION("""COMPUTED_VALUE"""),"วพอ.พอ.")</f>
        <v>วพอ.พอ.</v>
      </c>
      <c r="J777" s="12">
        <f>IFERROR(__xludf.DUMMYFUNCTION("""COMPUTED_VALUE"""),46057.0)</f>
        <v>46057</v>
      </c>
      <c r="K777" s="3" t="str">
        <f>IFERROR(__xludf.DUMMYFUNCTION("""COMPUTED_VALUE"""),"0800")</f>
        <v>0800</v>
      </c>
      <c r="L777" s="3">
        <f>IFERROR(__xludf.DUMMYFUNCTION("""COMPUTED_VALUE"""),1.0)</f>
        <v>1</v>
      </c>
      <c r="M777" s="3" t="str">
        <f>IFERROR(__xludf.DUMMYFUNCTION("""COMPUTED_VALUE"""),"ร.อ.อนุชิต  ทำจะดี")</f>
        <v>ร.อ.อนุชิต  ทำจะดี</v>
      </c>
      <c r="N777" s="14" t="str">
        <f>IFERROR(__xludf.DUMMYFUNCTION("""COMPUTED_VALUE"""),"https://lh5.googleusercontent.com/d/1k3CyJTqWaYPonQkGu1uq8P2bHZUUrU29")</f>
        <v>https://lh5.googleusercontent.com/d/1k3CyJTqWaYPonQkGu1uq8P2bHZUUrU29</v>
      </c>
      <c r="O777" s="14" t="str">
        <f>IFERROR(__xludf.DUMMYFUNCTION("""COMPUTED_VALUE"""),"https://drive.google.com/file/d/1ImqfsbrhE65nz5uBLIp_UqkiXKI_TNip/view?usp=drivesdk")</f>
        <v>https://drive.google.com/file/d/1ImqfsbrhE65nz5uBLIp_UqkiXKI_TNip/view?usp=drivesdk</v>
      </c>
    </row>
    <row r="778">
      <c r="A778" s="3">
        <f>IFERROR(__xludf.DUMMYFUNCTION("""COMPUTED_VALUE"""),2850.0)</f>
        <v>2850</v>
      </c>
      <c r="B778" s="11">
        <f>IFERROR(__xludf.DUMMYFUNCTION("""COMPUTED_VALUE"""),46176.64109831018)</f>
        <v>46176.6411</v>
      </c>
      <c r="C778" s="3" t="str">
        <f>IFERROR(__xludf.DUMMYFUNCTION("""COMPUTED_VALUE"""),"ชั้นปีที่ 1")</f>
        <v>ชั้นปีที่ 1</v>
      </c>
      <c r="D778" s="3" t="str">
        <f>IFERROR(__xludf.DUMMYFUNCTION("""COMPUTED_VALUE"""),"6803907")</f>
        <v>6803907</v>
      </c>
      <c r="E778" s="3" t="str">
        <f>IFERROR(__xludf.DUMMYFUNCTION("""COMPUTED_VALUE"""),"26")</f>
        <v>26</v>
      </c>
      <c r="F778" s="3" t="str">
        <f>IFERROR(__xludf.DUMMYFUNCTION("""COMPUTED_VALUE"""),"นพอ.ธีราพร  ประสิทธิภาพ")</f>
        <v>นพอ.ธีราพร  ประสิทธิภาพ</v>
      </c>
      <c r="G778" s="3" t="str">
        <f>IFERROR(__xludf.DUMMYFUNCTION("""COMPUTED_VALUE"""),"ช่วยเหลืองานภายใน วพอ.")</f>
        <v>ช่วยเหลืองานภายใน วพอ.</v>
      </c>
      <c r="H778" s="3" t="str">
        <f>IFERROR(__xludf.DUMMYFUNCTION("""COMPUTED_VALUE"""),"เล่นดุริยางค์")</f>
        <v>เล่นดุริยางค์</v>
      </c>
      <c r="I778" s="3" t="str">
        <f>IFERROR(__xludf.DUMMYFUNCTION("""COMPUTED_VALUE"""),"วพอ.พอ")</f>
        <v>วพอ.พอ</v>
      </c>
      <c r="J778" s="12">
        <f>IFERROR(__xludf.DUMMYFUNCTION("""COMPUTED_VALUE"""),46143.0)</f>
        <v>46143</v>
      </c>
      <c r="K778" s="3" t="str">
        <f>IFERROR(__xludf.DUMMYFUNCTION("""COMPUTED_VALUE"""),"0800")</f>
        <v>0800</v>
      </c>
      <c r="L778" s="3">
        <f>IFERROR(__xludf.DUMMYFUNCTION("""COMPUTED_VALUE"""),1.0)</f>
        <v>1</v>
      </c>
      <c r="M778" s="3" t="str">
        <f>IFERROR(__xludf.DUMMYFUNCTION("""COMPUTED_VALUE"""),"ร.อ.อนุชิต  ทำจะดี")</f>
        <v>ร.อ.อนุชิต  ทำจะดี</v>
      </c>
      <c r="N778" s="14" t="str">
        <f>IFERROR(__xludf.DUMMYFUNCTION("""COMPUTED_VALUE"""),"https://lh5.googleusercontent.com/d/1JGRRInQr96X6wp6IoCYiAjXDAHR1k6G-")</f>
        <v>https://lh5.googleusercontent.com/d/1JGRRInQr96X6wp6IoCYiAjXDAHR1k6G-</v>
      </c>
      <c r="O778" s="14" t="str">
        <f>IFERROR(__xludf.DUMMYFUNCTION("""COMPUTED_VALUE"""),"https://drive.google.com/file/d/1udAjpHkbAQ1L6Y-Cp57xKZ3EopC7xs7J/view?usp=drivesdk")</f>
        <v>https://drive.google.com/file/d/1udAjpHkbAQ1L6Y-Cp57xKZ3EopC7xs7J/view?usp=drivesdk</v>
      </c>
    </row>
    <row r="779">
      <c r="A779" s="3">
        <f>IFERROR(__xludf.DUMMYFUNCTION("""COMPUTED_VALUE"""),2853.0)</f>
        <v>2853</v>
      </c>
      <c r="B779" s="11">
        <f>IFERROR(__xludf.DUMMYFUNCTION("""COMPUTED_VALUE"""),46176.668400347226)</f>
        <v>46176.6684</v>
      </c>
      <c r="C779" s="3" t="str">
        <f>IFERROR(__xludf.DUMMYFUNCTION("""COMPUTED_VALUE"""),"ชั้นปีที่ 1")</f>
        <v>ชั้นปีที่ 1</v>
      </c>
      <c r="D779" s="3" t="str">
        <f>IFERROR(__xludf.DUMMYFUNCTION("""COMPUTED_VALUE"""),"6803932")</f>
        <v>6803932</v>
      </c>
      <c r="E779" s="3" t="str">
        <f>IFERROR(__xludf.DUMMYFUNCTION("""COMPUTED_VALUE"""),"51")</f>
        <v>51</v>
      </c>
      <c r="F779" s="3" t="str">
        <f>IFERROR(__xludf.DUMMYFUNCTION("""COMPUTED_VALUE"""),"รตนพร สินทรัพย์")</f>
        <v>รตนพร สินทรัพย์</v>
      </c>
      <c r="G779" s="3" t="str">
        <f>IFERROR(__xludf.DUMMYFUNCTION("""COMPUTED_VALUE"""),"ช่วยเหลืองานภายใน วพอ.")</f>
        <v>ช่วยเหลืองานภายใน วพอ.</v>
      </c>
      <c r="H779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779" s="3" t="str">
        <f>IFERROR(__xludf.DUMMYFUNCTION("""COMPUTED_VALUE"""),"อาคารสำนักงานชั้น4")</f>
        <v>อาคารสำนักงานชั้น4</v>
      </c>
      <c r="J779" s="12">
        <f>IFERROR(__xludf.DUMMYFUNCTION("""COMPUTED_VALUE"""),46147.0)</f>
        <v>46147</v>
      </c>
      <c r="K779" s="3" t="str">
        <f>IFERROR(__xludf.DUMMYFUNCTION("""COMPUTED_VALUE"""),"1500 - 1800")</f>
        <v>1500 - 1800</v>
      </c>
      <c r="L779" s="3">
        <f>IFERROR(__xludf.DUMMYFUNCTION("""COMPUTED_VALUE"""),3.0)</f>
        <v>3</v>
      </c>
      <c r="M779" s="3" t="str">
        <f>IFERROR(__xludf.DUMMYFUNCTION("""COMPUTED_VALUE"""),"น.ต.ศักชัย บุญประสิทธิ์")</f>
        <v>น.ต.ศักชัย บุญประสิทธิ์</v>
      </c>
      <c r="N779" s="14" t="str">
        <f>IFERROR(__xludf.DUMMYFUNCTION("""COMPUTED_VALUE"""),"https://lh5.googleusercontent.com/d/19C9_vNq7XLD513vDY6JGTMj4Bq7l7J7C")</f>
        <v>https://lh5.googleusercontent.com/d/19C9_vNq7XLD513vDY6JGTMj4Bq7l7J7C</v>
      </c>
      <c r="O779" s="14" t="str">
        <f>IFERROR(__xludf.DUMMYFUNCTION("""COMPUTED_VALUE"""),"https://drive.google.com/file/d/168NhnlcCH6DkkAid5ivSw-XCvAdJmlYU/view?usp=drivesdk")</f>
        <v>https://drive.google.com/file/d/168NhnlcCH6DkkAid5ivSw-XCvAdJmlYU/view?usp=drivesdk</v>
      </c>
    </row>
    <row r="780">
      <c r="A780" s="3">
        <f>IFERROR(__xludf.DUMMYFUNCTION("""COMPUTED_VALUE"""),2854.0)</f>
        <v>2854</v>
      </c>
      <c r="B780" s="11">
        <f>IFERROR(__xludf.DUMMYFUNCTION("""COMPUTED_VALUE"""),46176.71076513889)</f>
        <v>46176.71077</v>
      </c>
      <c r="C780" s="3" t="str">
        <f>IFERROR(__xludf.DUMMYFUNCTION("""COMPUTED_VALUE"""),"ชั้นปีที่ 1")</f>
        <v>ชั้นปีที่ 1</v>
      </c>
      <c r="D780" s="3" t="str">
        <f>IFERROR(__xludf.DUMMYFUNCTION("""COMPUTED_VALUE"""),"6803941")</f>
        <v>6803941</v>
      </c>
      <c r="E780" s="3" t="str">
        <f>IFERROR(__xludf.DUMMYFUNCTION("""COMPUTED_VALUE"""),"60")</f>
        <v>60</v>
      </c>
      <c r="F780" s="3" t="str">
        <f>IFERROR(__xludf.DUMMYFUNCTION("""COMPUTED_VALUE"""),"นพอ.(ช)อครา คำท้วม")</f>
        <v>นพอ.(ช)อครา คำท้วม</v>
      </c>
      <c r="G780" s="3" t="str">
        <f>IFERROR(__xludf.DUMMYFUNCTION("""COMPUTED_VALUE"""),"ช่วยเหลืองานภายใน วพอ.")</f>
        <v>ช่วยเหลืองานภายใน วพอ.</v>
      </c>
      <c r="H780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780" s="3" t="str">
        <f>IFERROR(__xludf.DUMMYFUNCTION("""COMPUTED_VALUE"""),"ลานข้างหอพัก")</f>
        <v>ลานข้างหอพัก</v>
      </c>
      <c r="J780" s="12">
        <f>IFERROR(__xludf.DUMMYFUNCTION("""COMPUTED_VALUE"""),46164.0)</f>
        <v>46164</v>
      </c>
      <c r="K780" s="3" t="str">
        <f>IFERROR(__xludf.DUMMYFUNCTION("""COMPUTED_VALUE"""),"1500-1700")</f>
        <v>1500-1700</v>
      </c>
      <c r="L780" s="3">
        <f>IFERROR(__xludf.DUMMYFUNCTION("""COMPUTED_VALUE"""),2.0)</f>
        <v>2</v>
      </c>
      <c r="M780" s="3" t="str">
        <f>IFERROR(__xludf.DUMMYFUNCTION("""COMPUTED_VALUE"""),"น.อ.หญิงนิตยา สุขแสน")</f>
        <v>น.อ.หญิงนิตยา สุขแสน</v>
      </c>
      <c r="N780" s="14" t="str">
        <f>IFERROR(__xludf.DUMMYFUNCTION("""COMPUTED_VALUE"""),"https://lh5.googleusercontent.com/d/1pMFav0IlFe4GixAlcSRuRB5bgzS8j-i3")</f>
        <v>https://lh5.googleusercontent.com/d/1pMFav0IlFe4GixAlcSRuRB5bgzS8j-i3</v>
      </c>
      <c r="O780" s="14" t="str">
        <f>IFERROR(__xludf.DUMMYFUNCTION("""COMPUTED_VALUE"""),"https://drive.google.com/file/d/1EiwM1ia7iGHw60neOXNPnUX9MnwNCmPc/view?usp=drivesdk")</f>
        <v>https://drive.google.com/file/d/1EiwM1ia7iGHw60neOXNPnUX9MnwNCmPc/view?usp=drivesdk</v>
      </c>
    </row>
    <row r="781">
      <c r="A781" s="3">
        <f>IFERROR(__xludf.DUMMYFUNCTION("""COMPUTED_VALUE"""),2879.0)</f>
        <v>2879</v>
      </c>
      <c r="B781" s="11">
        <f>IFERROR(__xludf.DUMMYFUNCTION("""COMPUTED_VALUE"""),46176.99690575232)</f>
        <v>46176.99691</v>
      </c>
      <c r="C781" s="3" t="str">
        <f>IFERROR(__xludf.DUMMYFUNCTION("""COMPUTED_VALUE"""),"ชั้นปีที่ 1")</f>
        <v>ชั้นปีที่ 1</v>
      </c>
      <c r="D781" s="3" t="str">
        <f>IFERROR(__xludf.DUMMYFUNCTION("""COMPUTED_VALUE"""),"6803889")</f>
        <v>6803889</v>
      </c>
      <c r="E781" s="3" t="str">
        <f>IFERROR(__xludf.DUMMYFUNCTION("""COMPUTED_VALUE"""),"8")</f>
        <v>8</v>
      </c>
      <c r="F781" s="3" t="str">
        <f>IFERROR(__xludf.DUMMYFUNCTION("""COMPUTED_VALUE"""),"นพอ.กุลิสรา ตุ่นคำ")</f>
        <v>นพอ.กุลิสรา ตุ่นคำ</v>
      </c>
      <c r="G78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81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781" s="3" t="str">
        <f>IFERROR(__xludf.DUMMYFUNCTION("""COMPUTED_VALUE"""),"พิพิธภัณฑ์กองทัพอากาศ")</f>
        <v>พิพิธภัณฑ์กองทัพอากาศ</v>
      </c>
      <c r="J781" s="12">
        <f>IFERROR(__xludf.DUMMYFUNCTION("""COMPUTED_VALUE"""),46032.0)</f>
        <v>46032</v>
      </c>
      <c r="K781" s="3" t="str">
        <f>IFERROR(__xludf.DUMMYFUNCTION("""COMPUTED_VALUE"""),"0600-1400")</f>
        <v>0600-1400</v>
      </c>
      <c r="L781" s="3">
        <f>IFERROR(__xludf.DUMMYFUNCTION("""COMPUTED_VALUE"""),8.0)</f>
        <v>8</v>
      </c>
      <c r="M78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81" s="14" t="str">
        <f>IFERROR(__xludf.DUMMYFUNCTION("""COMPUTED_VALUE"""),"https://lh5.googleusercontent.com/d/1hsnLkqz2DOx8nRPAUxuECDGv29HHDcMu")</f>
        <v>https://lh5.googleusercontent.com/d/1hsnLkqz2DOx8nRPAUxuECDGv29HHDcMu</v>
      </c>
      <c r="O781" s="14" t="str">
        <f>IFERROR(__xludf.DUMMYFUNCTION("""COMPUTED_VALUE"""),"https://drive.google.com/file/d/1rUvBbk1tk6wMDjZNOkNxlvNHR_wLzzFs/view?usp=drivesdk")</f>
        <v>https://drive.google.com/file/d/1rUvBbk1tk6wMDjZNOkNxlvNHR_wLzzFs/view?usp=drivesdk</v>
      </c>
    </row>
    <row r="782">
      <c r="A782" s="3">
        <f>IFERROR(__xludf.DUMMYFUNCTION("""COMPUTED_VALUE"""),2880.0)</f>
        <v>2880</v>
      </c>
      <c r="B782" s="11">
        <f>IFERROR(__xludf.DUMMYFUNCTION("""COMPUTED_VALUE"""),46177.07634760417)</f>
        <v>46177.07635</v>
      </c>
      <c r="C782" s="3" t="str">
        <f>IFERROR(__xludf.DUMMYFUNCTION("""COMPUTED_VALUE"""),"ชั้นปีที่ 1")</f>
        <v>ชั้นปีที่ 1</v>
      </c>
      <c r="D782" s="3" t="str">
        <f>IFERROR(__xludf.DUMMYFUNCTION("""COMPUTED_VALUE"""),"6803918")</f>
        <v>6803918</v>
      </c>
      <c r="E782" s="3" t="str">
        <f>IFERROR(__xludf.DUMMYFUNCTION("""COMPUTED_VALUE"""),"37")</f>
        <v>37</v>
      </c>
      <c r="F782" s="3" t="str">
        <f>IFERROR(__xludf.DUMMYFUNCTION("""COMPUTED_VALUE"""),"นพอ.พลอยธิดา รัตนกิจ")</f>
        <v>นพอ.พลอยธิดา รัตนกิจ</v>
      </c>
      <c r="G782" s="3" t="str">
        <f>IFERROR(__xludf.DUMMYFUNCTION("""COMPUTED_VALUE"""),"ช่วยเหลืองานภายใน วพอ.")</f>
        <v>ช่วยเหลืองานภายใน วพอ.</v>
      </c>
      <c r="H782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782" s="3" t="str">
        <f>IFERROR(__xludf.DUMMYFUNCTION("""COMPUTED_VALUE"""),"วพอ.พอ.")</f>
        <v>วพอ.พอ.</v>
      </c>
      <c r="J782" s="12">
        <f>IFERROR(__xludf.DUMMYFUNCTION("""COMPUTED_VALUE"""),46147.0)</f>
        <v>46147</v>
      </c>
      <c r="K782" s="3" t="str">
        <f>IFERROR(__xludf.DUMMYFUNCTION("""COMPUTED_VALUE"""),"1500-1800")</f>
        <v>1500-1800</v>
      </c>
      <c r="L782" s="3">
        <f>IFERROR(__xludf.DUMMYFUNCTION("""COMPUTED_VALUE"""),3.0)</f>
        <v>3</v>
      </c>
      <c r="M782" s="3" t="str">
        <f>IFERROR(__xludf.DUMMYFUNCTION("""COMPUTED_VALUE"""),"น.ต.ศักชัย บุญประสิทธิ์")</f>
        <v>น.ต.ศักชัย บุญประสิทธิ์</v>
      </c>
      <c r="N782" s="14" t="str">
        <f>IFERROR(__xludf.DUMMYFUNCTION("""COMPUTED_VALUE"""),"https://lh5.googleusercontent.com/d/1ZxA_oeLq0UJUBSu2yiG1SP-I9WlJfF30")</f>
        <v>https://lh5.googleusercontent.com/d/1ZxA_oeLq0UJUBSu2yiG1SP-I9WlJfF30</v>
      </c>
      <c r="O782" s="14" t="str">
        <f>IFERROR(__xludf.DUMMYFUNCTION("""COMPUTED_VALUE"""),"https://drive.google.com/file/d/1KG9kvsYg7d4sr7sBHbTsOoidBMXmpI8J/view?usp=drivesdk")</f>
        <v>https://drive.google.com/file/d/1KG9kvsYg7d4sr7sBHbTsOoidBMXmpI8J/view?usp=drivesdk</v>
      </c>
    </row>
    <row r="783">
      <c r="A783" s="3">
        <f>IFERROR(__xludf.DUMMYFUNCTION("""COMPUTED_VALUE"""),2898.0)</f>
        <v>2898</v>
      </c>
      <c r="B783" s="11">
        <f>IFERROR(__xludf.DUMMYFUNCTION("""COMPUTED_VALUE"""),46177.8391315625)</f>
        <v>46177.83913</v>
      </c>
      <c r="C783" s="3" t="str">
        <f>IFERROR(__xludf.DUMMYFUNCTION("""COMPUTED_VALUE"""),"ชั้นปีที่ 1")</f>
        <v>ชั้นปีที่ 1</v>
      </c>
      <c r="D783" s="3" t="str">
        <f>IFERROR(__xludf.DUMMYFUNCTION("""COMPUTED_VALUE"""),"6803919")</f>
        <v>6803919</v>
      </c>
      <c r="E783" s="3" t="str">
        <f>IFERROR(__xludf.DUMMYFUNCTION("""COMPUTED_VALUE"""),"38")</f>
        <v>38</v>
      </c>
      <c r="F783" s="3" t="str">
        <f>IFERROR(__xludf.DUMMYFUNCTION("""COMPUTED_VALUE"""),"นพอ.พลอยปภัส มากใหม่")</f>
        <v>นพอ.พลอยปภัส มากใหม่</v>
      </c>
      <c r="G783" s="3" t="str">
        <f>IFERROR(__xludf.DUMMYFUNCTION("""COMPUTED_VALUE"""),"ช่วยเหลืองานภายใน วพอ.")</f>
        <v>ช่วยเหลืองานภายใน วพอ.</v>
      </c>
      <c r="H783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783" s="3" t="str">
        <f>IFERROR(__xludf.DUMMYFUNCTION("""COMPUTED_VALUE"""),"วพอ.พอ")</f>
        <v>วพอ.พอ</v>
      </c>
      <c r="J783" s="12">
        <f>IFERROR(__xludf.DUMMYFUNCTION("""COMPUTED_VALUE"""),46031.0)</f>
        <v>46031</v>
      </c>
      <c r="K783" s="3" t="str">
        <f>IFERROR(__xludf.DUMMYFUNCTION("""COMPUTED_VALUE"""),"1100-1200")</f>
        <v>1100-1200</v>
      </c>
      <c r="L783" s="3">
        <f>IFERROR(__xludf.DUMMYFUNCTION("""COMPUTED_VALUE"""),4.0)</f>
        <v>4</v>
      </c>
      <c r="M783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83" s="14" t="str">
        <f>IFERROR(__xludf.DUMMYFUNCTION("""COMPUTED_VALUE"""),"https://lh5.googleusercontent.com/d/1UE1ktnLAasowp1WzzyG2Z9XCtXZPmYUI")</f>
        <v>https://lh5.googleusercontent.com/d/1UE1ktnLAasowp1WzzyG2Z9XCtXZPmYUI</v>
      </c>
      <c r="O783" s="14" t="str">
        <f>IFERROR(__xludf.DUMMYFUNCTION("""COMPUTED_VALUE"""),"https://drive.google.com/file/d/14UAXSj56-NEZlGhqhCDd-FtjpZ2GxZFx/view?usp=drivesdk")</f>
        <v>https://drive.google.com/file/d/14UAXSj56-NEZlGhqhCDd-FtjpZ2GxZFx/view?usp=drivesdk</v>
      </c>
    </row>
    <row r="784">
      <c r="A784" s="3">
        <f>IFERROR(__xludf.DUMMYFUNCTION("""COMPUTED_VALUE"""),2899.0)</f>
        <v>2899</v>
      </c>
      <c r="B784" s="11">
        <f>IFERROR(__xludf.DUMMYFUNCTION("""COMPUTED_VALUE"""),46177.84032113427)</f>
        <v>46177.84032</v>
      </c>
      <c r="C784" s="3" t="str">
        <f>IFERROR(__xludf.DUMMYFUNCTION("""COMPUTED_VALUE"""),"ชั้นปีที่ 1")</f>
        <v>ชั้นปีที่ 1</v>
      </c>
      <c r="D784" s="3" t="str">
        <f>IFERROR(__xludf.DUMMYFUNCTION("""COMPUTED_VALUE"""),"6803923")</f>
        <v>6803923</v>
      </c>
      <c r="E784" s="3" t="str">
        <f>IFERROR(__xludf.DUMMYFUNCTION("""COMPUTED_VALUE"""),"42")</f>
        <v>42</v>
      </c>
      <c r="F784" s="3" t="str">
        <f>IFERROR(__xludf.DUMMYFUNCTION("""COMPUTED_VALUE"""),"นพอ.พิมพ์ณัฐชยา มนนามอญ")</f>
        <v>นพอ.พิมพ์ณัฐชยา มนนามอญ</v>
      </c>
      <c r="G784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784" s="3" t="str">
        <f>IFERROR(__xludf.DUMMYFUNCTION("""COMPUTED_VALUE"""),"ล้างแก้ว")</f>
        <v>ล้างแก้ว</v>
      </c>
      <c r="I784" s="3" t="str">
        <f>IFERROR(__xludf.DUMMYFUNCTION("""COMPUTED_VALUE"""),"บ้าน")</f>
        <v>บ้าน</v>
      </c>
      <c r="J784" s="12">
        <f>IFERROR(__xludf.DUMMYFUNCTION("""COMPUTED_VALUE"""),46172.0)</f>
        <v>46172</v>
      </c>
      <c r="K784" s="3" t="str">
        <f>IFERROR(__xludf.DUMMYFUNCTION("""COMPUTED_VALUE"""),"1100-1300")</f>
        <v>1100-1300</v>
      </c>
      <c r="L784" s="3">
        <f>IFERROR(__xludf.DUMMYFUNCTION("""COMPUTED_VALUE"""),2.0)</f>
        <v>2</v>
      </c>
      <c r="M784" s="3" t="str">
        <f>IFERROR(__xludf.DUMMYFUNCTION("""COMPUTED_VALUE"""),"นางดวงเดือน มนนามอญ")</f>
        <v>นางดวงเดือน มนนามอญ</v>
      </c>
      <c r="N784" s="14" t="str">
        <f>IFERROR(__xludf.DUMMYFUNCTION("""COMPUTED_VALUE"""),"https://lh5.googleusercontent.com/d/1Nph5rukfOMTWBbO0hrb6RifuBG-Dixd5")</f>
        <v>https://lh5.googleusercontent.com/d/1Nph5rukfOMTWBbO0hrb6RifuBG-Dixd5</v>
      </c>
      <c r="O784" s="14" t="str">
        <f>IFERROR(__xludf.DUMMYFUNCTION("""COMPUTED_VALUE"""),"https://drive.google.com/file/d/12bvQzDbG9bxp36S_bTR6S8GAw744AQjx/view?usp=drivesdk")</f>
        <v>https://drive.google.com/file/d/12bvQzDbG9bxp36S_bTR6S8GAw744AQjx/view?usp=drivesdk</v>
      </c>
    </row>
    <row r="785">
      <c r="A785" s="3">
        <f>IFERROR(__xludf.DUMMYFUNCTION("""COMPUTED_VALUE"""),2901.0)</f>
        <v>2901</v>
      </c>
      <c r="B785" s="11">
        <f>IFERROR(__xludf.DUMMYFUNCTION("""COMPUTED_VALUE"""),46177.84270006944)</f>
        <v>46177.8427</v>
      </c>
      <c r="C785" s="3" t="str">
        <f>IFERROR(__xludf.DUMMYFUNCTION("""COMPUTED_VALUE"""),"ชั้นปีที่ 1")</f>
        <v>ชั้นปีที่ 1</v>
      </c>
      <c r="D785" s="3" t="str">
        <f>IFERROR(__xludf.DUMMYFUNCTION("""COMPUTED_VALUE"""),"6803923")</f>
        <v>6803923</v>
      </c>
      <c r="E785" s="3" t="str">
        <f>IFERROR(__xludf.DUMMYFUNCTION("""COMPUTED_VALUE"""),"42")</f>
        <v>42</v>
      </c>
      <c r="F785" s="3" t="str">
        <f>IFERROR(__xludf.DUMMYFUNCTION("""COMPUTED_VALUE"""),"นพอ.พิมพ์ณัฐชยา มนนามอญ")</f>
        <v>นพอ.พิมพ์ณัฐชยา มนนามอญ</v>
      </c>
      <c r="G785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785" s="3" t="str">
        <f>IFERROR(__xludf.DUMMYFUNCTION("""COMPUTED_VALUE"""),"ล้างจาน")</f>
        <v>ล้างจาน</v>
      </c>
      <c r="I785" s="3" t="str">
        <f>IFERROR(__xludf.DUMMYFUNCTION("""COMPUTED_VALUE"""),"บ้าน")</f>
        <v>บ้าน</v>
      </c>
      <c r="J785" s="12">
        <f>IFERROR(__xludf.DUMMYFUNCTION("""COMPUTED_VALUE"""),46165.0)</f>
        <v>46165</v>
      </c>
      <c r="K785" s="3" t="str">
        <f>IFERROR(__xludf.DUMMYFUNCTION("""COMPUTED_VALUE"""),"1200-1400")</f>
        <v>1200-1400</v>
      </c>
      <c r="L785" s="3">
        <f>IFERROR(__xludf.DUMMYFUNCTION("""COMPUTED_VALUE"""),2.0)</f>
        <v>2</v>
      </c>
      <c r="M785" s="3" t="str">
        <f>IFERROR(__xludf.DUMMYFUNCTION("""COMPUTED_VALUE"""),"นางดวงเดือน มนนามอญ")</f>
        <v>นางดวงเดือน มนนามอญ</v>
      </c>
      <c r="N785" s="14" t="str">
        <f>IFERROR(__xludf.DUMMYFUNCTION("""COMPUTED_VALUE"""),"https://lh5.googleusercontent.com/d/1YYfZ9BFDhVxTB2mFpnLuPpiLxMmb7Nnn")</f>
        <v>https://lh5.googleusercontent.com/d/1YYfZ9BFDhVxTB2mFpnLuPpiLxMmb7Nnn</v>
      </c>
      <c r="O785" s="14" t="str">
        <f>IFERROR(__xludf.DUMMYFUNCTION("""COMPUTED_VALUE"""),"https://drive.google.com/file/d/112oPN3-bbPcz3HrevKMzlZljD1HvP2mk/view?usp=drivesdk")</f>
        <v>https://drive.google.com/file/d/112oPN3-bbPcz3HrevKMzlZljD1HvP2mk/view?usp=drivesdk</v>
      </c>
    </row>
    <row r="786">
      <c r="A786" s="3">
        <f>IFERROR(__xludf.DUMMYFUNCTION("""COMPUTED_VALUE"""),2902.0)</f>
        <v>2902</v>
      </c>
      <c r="B786" s="11">
        <f>IFERROR(__xludf.DUMMYFUNCTION("""COMPUTED_VALUE"""),46177.84558112268)</f>
        <v>46177.84558</v>
      </c>
      <c r="C786" s="3" t="str">
        <f>IFERROR(__xludf.DUMMYFUNCTION("""COMPUTED_VALUE"""),"ชั้นปีที่ 1")</f>
        <v>ชั้นปีที่ 1</v>
      </c>
      <c r="D786" s="3" t="str">
        <f>IFERROR(__xludf.DUMMYFUNCTION("""COMPUTED_VALUE"""),"6803923")</f>
        <v>6803923</v>
      </c>
      <c r="E786" s="3" t="str">
        <f>IFERROR(__xludf.DUMMYFUNCTION("""COMPUTED_VALUE"""),"42")</f>
        <v>42</v>
      </c>
      <c r="F786" s="3" t="str">
        <f>IFERROR(__xludf.DUMMYFUNCTION("""COMPUTED_VALUE"""),"นพอ.พิมพ์ณัฐชยา มนนามอญ")</f>
        <v>นพอ.พิมพ์ณัฐชยา มนนามอญ</v>
      </c>
      <c r="G786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786" s="3" t="str">
        <f>IFERROR(__xludf.DUMMYFUNCTION("""COMPUTED_VALUE"""),"กวาดบ้าน")</f>
        <v>กวาดบ้าน</v>
      </c>
      <c r="I786" s="3" t="str">
        <f>IFERROR(__xludf.DUMMYFUNCTION("""COMPUTED_VALUE"""),"บ้าน")</f>
        <v>บ้าน</v>
      </c>
      <c r="J786" s="12">
        <f>IFERROR(__xludf.DUMMYFUNCTION("""COMPUTED_VALUE"""),46151.0)</f>
        <v>46151</v>
      </c>
      <c r="K786" s="3" t="str">
        <f>IFERROR(__xludf.DUMMYFUNCTION("""COMPUTED_VALUE"""),"1000-1200")</f>
        <v>1000-1200</v>
      </c>
      <c r="L786" s="3">
        <f>IFERROR(__xludf.DUMMYFUNCTION("""COMPUTED_VALUE"""),2.0)</f>
        <v>2</v>
      </c>
      <c r="M786" s="3" t="str">
        <f>IFERROR(__xludf.DUMMYFUNCTION("""COMPUTED_VALUE"""),"นางดวงเดือน มนนามอญ")</f>
        <v>นางดวงเดือน มนนามอญ</v>
      </c>
      <c r="N786" s="14" t="str">
        <f>IFERROR(__xludf.DUMMYFUNCTION("""COMPUTED_VALUE"""),"https://lh5.googleusercontent.com/d/1H1BCX7JEaDUMAc0i4n5t4oTJdTsnTKDd")</f>
        <v>https://lh5.googleusercontent.com/d/1H1BCX7JEaDUMAc0i4n5t4oTJdTsnTKDd</v>
      </c>
      <c r="O786" s="14" t="str">
        <f>IFERROR(__xludf.DUMMYFUNCTION("""COMPUTED_VALUE"""),"https://drive.google.com/file/d/1vEX89LozVRCP_kaech9gwS3yIpuOGDxW/view?usp=drivesdk")</f>
        <v>https://drive.google.com/file/d/1vEX89LozVRCP_kaech9gwS3yIpuOGDxW/view?usp=drivesdk</v>
      </c>
    </row>
    <row r="787">
      <c r="A787" s="3">
        <f>IFERROR(__xludf.DUMMYFUNCTION("""COMPUTED_VALUE"""),2903.0)</f>
        <v>2903</v>
      </c>
      <c r="B787" s="11">
        <f>IFERROR(__xludf.DUMMYFUNCTION("""COMPUTED_VALUE"""),46177.846178356485)</f>
        <v>46177.84618</v>
      </c>
      <c r="C787" s="3" t="str">
        <f>IFERROR(__xludf.DUMMYFUNCTION("""COMPUTED_VALUE"""),"ชั้นปีที่ 1")</f>
        <v>ชั้นปีที่ 1</v>
      </c>
      <c r="D787" s="3" t="str">
        <f>IFERROR(__xludf.DUMMYFUNCTION("""COMPUTED_VALUE"""),"6803919")</f>
        <v>6803919</v>
      </c>
      <c r="E787" s="3" t="str">
        <f>IFERROR(__xludf.DUMMYFUNCTION("""COMPUTED_VALUE"""),"38")</f>
        <v>38</v>
      </c>
      <c r="F787" s="3" t="str">
        <f>IFERROR(__xludf.DUMMYFUNCTION("""COMPUTED_VALUE"""),"นพอ.พลอยปภัส มากใหม่")</f>
        <v>นพอ.พลอยปภัส มากใหม่</v>
      </c>
      <c r="G78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87" s="3" t="str">
        <f>IFERROR(__xludf.DUMMYFUNCTION("""COMPUTED_VALUE"""),"Green markets")</f>
        <v>Green markets</v>
      </c>
      <c r="I787" s="3" t="str">
        <f>IFERROR(__xludf.DUMMYFUNCTION("""COMPUTED_VALUE"""),"อาคารอเนกประสงค์ชาวฟ้าสโมสรทหารอากาศชั้นประทวน")</f>
        <v>อาคารอเนกประสงค์ชาวฟ้าสโมสรทหารอากาศชั้นประทวน</v>
      </c>
      <c r="J787" s="12">
        <f>IFERROR(__xludf.DUMMYFUNCTION("""COMPUTED_VALUE"""),46135.0)</f>
        <v>46135</v>
      </c>
      <c r="K787" s="3" t="str">
        <f>IFERROR(__xludf.DUMMYFUNCTION("""COMPUTED_VALUE"""),"0700-1500")</f>
        <v>0700-1500</v>
      </c>
      <c r="L787" s="3">
        <f>IFERROR(__xludf.DUMMYFUNCTION("""COMPUTED_VALUE"""),8.0)</f>
        <v>8</v>
      </c>
      <c r="M787" s="3" t="str">
        <f>IFERROR(__xludf.DUMMYFUNCTION("""COMPUTED_VALUE"""),"ร.อ.ฤทธิพล อ้วนสิงห์")</f>
        <v>ร.อ.ฤทธิพล อ้วนสิงห์</v>
      </c>
      <c r="N787" s="14" t="str">
        <f>IFERROR(__xludf.DUMMYFUNCTION("""COMPUTED_VALUE"""),"https://lh5.googleusercontent.com/d/1mkkcdCG816GxLZi5teMN7Z-mp0vKrzsl")</f>
        <v>https://lh5.googleusercontent.com/d/1mkkcdCG816GxLZi5teMN7Z-mp0vKrzsl</v>
      </c>
      <c r="O787" s="14" t="str">
        <f>IFERROR(__xludf.DUMMYFUNCTION("""COMPUTED_VALUE"""),"https://drive.google.com/file/d/1kit4r9Qr9fmYXPfe6YiMRXtJ5teY9sTf/view?usp=drivesdk")</f>
        <v>https://drive.google.com/file/d/1kit4r9Qr9fmYXPfe6YiMRXtJ5teY9sTf/view?usp=drivesdk</v>
      </c>
    </row>
    <row r="788">
      <c r="A788" s="3">
        <f>IFERROR(__xludf.DUMMYFUNCTION("""COMPUTED_VALUE"""),2904.0)</f>
        <v>2904</v>
      </c>
      <c r="B788" s="11">
        <f>IFERROR(__xludf.DUMMYFUNCTION("""COMPUTED_VALUE"""),46177.8467574074)</f>
        <v>46177.84676</v>
      </c>
      <c r="C788" s="3" t="str">
        <f>IFERROR(__xludf.DUMMYFUNCTION("""COMPUTED_VALUE"""),"ชั้นปีที่ 1")</f>
        <v>ชั้นปีที่ 1</v>
      </c>
      <c r="D788" s="3" t="str">
        <f>IFERROR(__xludf.DUMMYFUNCTION("""COMPUTED_VALUE"""),"6803943")</f>
        <v>6803943</v>
      </c>
      <c r="E788" s="3" t="str">
        <f>IFERROR(__xludf.DUMMYFUNCTION("""COMPUTED_VALUE"""),"62")</f>
        <v>62</v>
      </c>
      <c r="F788" s="3" t="str">
        <f>IFERROR(__xludf.DUMMYFUNCTION("""COMPUTED_VALUE"""),"นพอ.อภิสรา บุญเกื้อ")</f>
        <v>นพอ.อภิสรา บุญเกื้อ</v>
      </c>
      <c r="G788" s="3" t="str">
        <f>IFERROR(__xludf.DUMMYFUNCTION("""COMPUTED_VALUE"""),"ช่วยเหลืองานภายใน วพอ.")</f>
        <v>ช่วยเหลืองานภายใน วพอ.</v>
      </c>
      <c r="H788" s="3" t="str">
        <f>IFERROR(__xludf.DUMMYFUNCTION("""COMPUTED_VALUE"""),"งานกรีนมาร์เก็ต")</f>
        <v>งานกรีนมาร์เก็ต</v>
      </c>
      <c r="I788" s="3" t="str">
        <f>IFERROR(__xludf.DUMMYFUNCTION("""COMPUTED_VALUE"""),"ห้องประชุม")</f>
        <v>ห้องประชุม</v>
      </c>
      <c r="J788" s="12">
        <f>IFERROR(__xludf.DUMMYFUNCTION("""COMPUTED_VALUE"""),46135.0)</f>
        <v>46135</v>
      </c>
      <c r="K788" s="3" t="str">
        <f>IFERROR(__xludf.DUMMYFUNCTION("""COMPUTED_VALUE"""),"0800-1500")</f>
        <v>0800-1500</v>
      </c>
      <c r="L788" s="3">
        <f>IFERROR(__xludf.DUMMYFUNCTION("""COMPUTED_VALUE"""),8.0)</f>
        <v>8</v>
      </c>
      <c r="M788" s="3" t="str">
        <f>IFERROR(__xludf.DUMMYFUNCTION("""COMPUTED_VALUE"""),"ร.อ.ฤทธิพล อ้วนสิงห์")</f>
        <v>ร.อ.ฤทธิพล อ้วนสิงห์</v>
      </c>
      <c r="N788" s="14" t="str">
        <f>IFERROR(__xludf.DUMMYFUNCTION("""COMPUTED_VALUE"""),"https://lh5.googleusercontent.com/d/1njvjhFlxtGesOGYLCeaef8x7KWNQcqoV")</f>
        <v>https://lh5.googleusercontent.com/d/1njvjhFlxtGesOGYLCeaef8x7KWNQcqoV</v>
      </c>
      <c r="O788" s="14" t="str">
        <f>IFERROR(__xludf.DUMMYFUNCTION("""COMPUTED_VALUE"""),"https://drive.google.com/file/d/1PncAuS0c47cUfSI8kca-juFoiJ8umOsY/view?usp=drivesdk")</f>
        <v>https://drive.google.com/file/d/1PncAuS0c47cUfSI8kca-juFoiJ8umOsY/view?usp=drivesdk</v>
      </c>
    </row>
    <row r="789">
      <c r="A789" s="3">
        <f>IFERROR(__xludf.DUMMYFUNCTION("""COMPUTED_VALUE"""),2905.0)</f>
        <v>2905</v>
      </c>
      <c r="B789" s="11">
        <f>IFERROR(__xludf.DUMMYFUNCTION("""COMPUTED_VALUE"""),46177.85039793981)</f>
        <v>46177.8504</v>
      </c>
      <c r="C789" s="3" t="str">
        <f>IFERROR(__xludf.DUMMYFUNCTION("""COMPUTED_VALUE"""),"ชั้นปีที่ 1")</f>
        <v>ชั้นปีที่ 1</v>
      </c>
      <c r="D789" s="3" t="str">
        <f>IFERROR(__xludf.DUMMYFUNCTION("""COMPUTED_VALUE"""),"6803919")</f>
        <v>6803919</v>
      </c>
      <c r="E789" s="3" t="str">
        <f>IFERROR(__xludf.DUMMYFUNCTION("""COMPUTED_VALUE"""),"38")</f>
        <v>38</v>
      </c>
      <c r="F789" s="3" t="str">
        <f>IFERROR(__xludf.DUMMYFUNCTION("""COMPUTED_VALUE"""),"นพอ.พลอยปภัส มากใหม่")</f>
        <v>นพอ.พลอยปภัส มากใหม่</v>
      </c>
      <c r="G789" s="3" t="str">
        <f>IFERROR(__xludf.DUMMYFUNCTION("""COMPUTED_VALUE"""),"ช่วยเหลืองานภายใน วพอ.")</f>
        <v>ช่วยเหลืองานภายใน วพอ.</v>
      </c>
      <c r="H789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789" s="3" t="str">
        <f>IFERROR(__xludf.DUMMYFUNCTION("""COMPUTED_VALUE"""),"ลานข้างหอพัก")</f>
        <v>ลานข้างหอพัก</v>
      </c>
      <c r="J789" s="12">
        <f>IFERROR(__xludf.DUMMYFUNCTION("""COMPUTED_VALUE"""),46164.0)</f>
        <v>46164</v>
      </c>
      <c r="K789" s="3" t="str">
        <f>IFERROR(__xludf.DUMMYFUNCTION("""COMPUTED_VALUE"""),"1500-1700")</f>
        <v>1500-1700</v>
      </c>
      <c r="L789" s="3">
        <f>IFERROR(__xludf.DUMMYFUNCTION("""COMPUTED_VALUE"""),2.0)</f>
        <v>2</v>
      </c>
      <c r="M789" s="3" t="str">
        <f>IFERROR(__xludf.DUMMYFUNCTION("""COMPUTED_VALUE"""),"น.อ.หญิง นิตยา สุขแสน")</f>
        <v>น.อ.หญิง นิตยา สุขแสน</v>
      </c>
      <c r="N789" s="14" t="str">
        <f>IFERROR(__xludf.DUMMYFUNCTION("""COMPUTED_VALUE"""),"https://lh5.googleusercontent.com/d/1w2REuZARInCYJx3ew6oOYSQZE0oJFxyG")</f>
        <v>https://lh5.googleusercontent.com/d/1w2REuZARInCYJx3ew6oOYSQZE0oJFxyG</v>
      </c>
      <c r="O789" s="14" t="str">
        <f>IFERROR(__xludf.DUMMYFUNCTION("""COMPUTED_VALUE"""),"https://drive.google.com/file/d/1cnr04DIfFPqjvGfROyTm1XA7ocs7qgMG/view?usp=drivesdk")</f>
        <v>https://drive.google.com/file/d/1cnr04DIfFPqjvGfROyTm1XA7ocs7qgMG/view?usp=drivesdk</v>
      </c>
    </row>
    <row r="790">
      <c r="A790" s="3">
        <f>IFERROR(__xludf.DUMMYFUNCTION("""COMPUTED_VALUE"""),2907.0)</f>
        <v>2907</v>
      </c>
      <c r="B790" s="11">
        <f>IFERROR(__xludf.DUMMYFUNCTION("""COMPUTED_VALUE"""),46177.853130625)</f>
        <v>46177.85313</v>
      </c>
      <c r="C790" s="3" t="str">
        <f>IFERROR(__xludf.DUMMYFUNCTION("""COMPUTED_VALUE"""),"ชั้นปีที่ 1")</f>
        <v>ชั้นปีที่ 1</v>
      </c>
      <c r="D790" s="3" t="str">
        <f>IFERROR(__xludf.DUMMYFUNCTION("""COMPUTED_VALUE"""),"6803918")</f>
        <v>6803918</v>
      </c>
      <c r="E790" s="3" t="str">
        <f>IFERROR(__xludf.DUMMYFUNCTION("""COMPUTED_VALUE"""),"37")</f>
        <v>37</v>
      </c>
      <c r="F790" s="3" t="str">
        <f>IFERROR(__xludf.DUMMYFUNCTION("""COMPUTED_VALUE"""),"นพอ.พลอยธิดา รัตนกิจ")</f>
        <v>นพอ.พลอยธิดา รัตนกิจ</v>
      </c>
      <c r="G790" s="3" t="str">
        <f>IFERROR(__xludf.DUMMYFUNCTION("""COMPUTED_VALUE"""),"ช่วยเหลืองานภายใน วพอ.")</f>
        <v>ช่วยเหลืองานภายใน วพอ.</v>
      </c>
      <c r="H790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790" s="3" t="str">
        <f>IFERROR(__xludf.DUMMYFUNCTION("""COMPUTED_VALUE"""),"วพอ.พอ.")</f>
        <v>วพอ.พอ.</v>
      </c>
      <c r="J790" s="12">
        <f>IFERROR(__xludf.DUMMYFUNCTION("""COMPUTED_VALUE"""),46031.0)</f>
        <v>46031</v>
      </c>
      <c r="K790" s="3" t="str">
        <f>IFERROR(__xludf.DUMMYFUNCTION("""COMPUTED_VALUE"""),"1100-1200")</f>
        <v>1100-1200</v>
      </c>
      <c r="L790" s="3">
        <f>IFERROR(__xludf.DUMMYFUNCTION("""COMPUTED_VALUE"""),4.0)</f>
        <v>4</v>
      </c>
      <c r="M790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790" s="14" t="str">
        <f>IFERROR(__xludf.DUMMYFUNCTION("""COMPUTED_VALUE"""),"https://lh5.googleusercontent.com/d/1baAl-VkfqQQdOFSYSXpfszrzr5rOqOTp")</f>
        <v>https://lh5.googleusercontent.com/d/1baAl-VkfqQQdOFSYSXpfszrzr5rOqOTp</v>
      </c>
      <c r="O790" s="14" t="str">
        <f>IFERROR(__xludf.DUMMYFUNCTION("""COMPUTED_VALUE"""),"https://drive.google.com/file/d/1m7f6fZBydAkCOlhzc-MaS-VKeTxkqb4w/view?usp=drivesdk")</f>
        <v>https://drive.google.com/file/d/1m7f6fZBydAkCOlhzc-MaS-VKeTxkqb4w/view?usp=drivesdk</v>
      </c>
    </row>
    <row r="791">
      <c r="A791" s="3">
        <f>IFERROR(__xludf.DUMMYFUNCTION("""COMPUTED_VALUE"""),2908.0)</f>
        <v>2908</v>
      </c>
      <c r="B791" s="11">
        <f>IFERROR(__xludf.DUMMYFUNCTION("""COMPUTED_VALUE"""),46177.85446538194)</f>
        <v>46177.85447</v>
      </c>
      <c r="C791" s="3" t="str">
        <f>IFERROR(__xludf.DUMMYFUNCTION("""COMPUTED_VALUE"""),"ชั้นปีที่ 1")</f>
        <v>ชั้นปีที่ 1</v>
      </c>
      <c r="D791" s="3" t="str">
        <f>IFERROR(__xludf.DUMMYFUNCTION("""COMPUTED_VALUE"""),"6803886")</f>
        <v>6803886</v>
      </c>
      <c r="E791" s="3" t="str">
        <f>IFERROR(__xludf.DUMMYFUNCTION("""COMPUTED_VALUE"""),"5")</f>
        <v>5</v>
      </c>
      <c r="F791" s="3" t="str">
        <f>IFERROR(__xludf.DUMMYFUNCTION("""COMPUTED_VALUE"""),"นพอ.กัญญพัชร ทองสุข")</f>
        <v>นพอ.กัญญพัชร ทองสุข</v>
      </c>
      <c r="G791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791" s="3" t="str">
        <f>IFERROR(__xludf.DUMMYFUNCTION("""COMPUTED_VALUE"""),"บริจาคโลหิต")</f>
        <v>บริจาคโลหิต</v>
      </c>
      <c r="I791" s="3" t="str">
        <f>IFERROR(__xludf.DUMMYFUNCTION("""COMPUTED_VALUE"""),"โรงพยาบาลมหาราช นครศรีธรรมราช")</f>
        <v>โรงพยาบาลมหาราช นครศรีธรรมราช</v>
      </c>
      <c r="J791" s="12">
        <f>IFERROR(__xludf.DUMMYFUNCTION("""COMPUTED_VALUE"""),46124.0)</f>
        <v>46124</v>
      </c>
      <c r="K791" s="3" t="str">
        <f>IFERROR(__xludf.DUMMYFUNCTION("""COMPUTED_VALUE"""),"1000-1200")</f>
        <v>1000-1200</v>
      </c>
      <c r="L791" s="3">
        <f>IFERROR(__xludf.DUMMYFUNCTION("""COMPUTED_VALUE"""),8.0)</f>
        <v>8</v>
      </c>
      <c r="M791" s="3" t="str">
        <f>IFERROR(__xludf.DUMMYFUNCTION("""COMPUTED_VALUE"""),"นางสิตา อักษรพันธ์")</f>
        <v>นางสิตา อักษรพันธ์</v>
      </c>
      <c r="N791" s="14" t="str">
        <f>IFERROR(__xludf.DUMMYFUNCTION("""COMPUTED_VALUE"""),"https://lh5.googleusercontent.com/d/1lxl3Zhub3O9TiHgS8TrzXx4glz_R7-zJ")</f>
        <v>https://lh5.googleusercontent.com/d/1lxl3Zhub3O9TiHgS8TrzXx4glz_R7-zJ</v>
      </c>
      <c r="O791" s="14" t="str">
        <f>IFERROR(__xludf.DUMMYFUNCTION("""COMPUTED_VALUE"""),"https://drive.google.com/file/d/1OmqrS2LmiEbZOGeS0qLtu4VloyIqKwqJ/view?usp=drivesdk")</f>
        <v>https://drive.google.com/file/d/1OmqrS2LmiEbZOGeS0qLtu4VloyIqKwqJ/view?usp=drivesdk</v>
      </c>
    </row>
    <row r="792">
      <c r="A792" s="3">
        <f>IFERROR(__xludf.DUMMYFUNCTION("""COMPUTED_VALUE"""),2909.0)</f>
        <v>2909</v>
      </c>
      <c r="B792" s="11">
        <f>IFERROR(__xludf.DUMMYFUNCTION("""COMPUTED_VALUE"""),46177.857032291664)</f>
        <v>46177.85703</v>
      </c>
      <c r="C792" s="3" t="str">
        <f>IFERROR(__xludf.DUMMYFUNCTION("""COMPUTED_VALUE"""),"ชั้นปีที่ 1")</f>
        <v>ชั้นปีที่ 1</v>
      </c>
      <c r="D792" s="3" t="str">
        <f>IFERROR(__xludf.DUMMYFUNCTION("""COMPUTED_VALUE"""),"6803911")</f>
        <v>6803911</v>
      </c>
      <c r="E792" s="3" t="str">
        <f>IFERROR(__xludf.DUMMYFUNCTION("""COMPUTED_VALUE"""),"30")</f>
        <v>30</v>
      </c>
      <c r="F792" s="3" t="str">
        <f>IFERROR(__xludf.DUMMYFUNCTION("""COMPUTED_VALUE"""),"นายิกา นกแก้ว")</f>
        <v>นายิกา นกแก้ว</v>
      </c>
      <c r="G79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2" s="3" t="str">
        <f>IFERROR(__xludf.DUMMYFUNCTION("""COMPUTED_VALUE"""),"ค่ายเยาวชนพัฒนา ครั้งที่ 215")</f>
        <v>ค่ายเยาวชนพัฒนา ครั้งที่ 215</v>
      </c>
      <c r="I792" s="3" t="str">
        <f>IFERROR(__xludf.DUMMYFUNCTION("""COMPUTED_VALUE"""),"วัดสามบัณฑิต จ.อยุธยา")</f>
        <v>วัดสามบัณฑิต จ.อยุธยา</v>
      </c>
      <c r="J792" s="12">
        <f>IFERROR(__xludf.DUMMYFUNCTION("""COMPUTED_VALUE"""),46136.0)</f>
        <v>46136</v>
      </c>
      <c r="K792" s="3" t="str">
        <f>IFERROR(__xludf.DUMMYFUNCTION("""COMPUTED_VALUE"""),"1600-2400")</f>
        <v>1600-2400</v>
      </c>
      <c r="L792" s="3">
        <f>IFERROR(__xludf.DUMMYFUNCTION("""COMPUTED_VALUE"""),8.0)</f>
        <v>8</v>
      </c>
      <c r="M792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792" s="14" t="str">
        <f>IFERROR(__xludf.DUMMYFUNCTION("""COMPUTED_VALUE"""),"https://lh5.googleusercontent.com/d/1kh_qlS8ZZIm1NpX779jeg1eSXXI4A1tO")</f>
        <v>https://lh5.googleusercontent.com/d/1kh_qlS8ZZIm1NpX779jeg1eSXXI4A1tO</v>
      </c>
      <c r="O792" s="14" t="str">
        <f>IFERROR(__xludf.DUMMYFUNCTION("""COMPUTED_VALUE"""),"https://drive.google.com/file/d/1EdxxEDpYDvNoBGKdq1ScIyzFHPZ_SHiZ/view?usp=drivesdk")</f>
        <v>https://drive.google.com/file/d/1EdxxEDpYDvNoBGKdq1ScIyzFHPZ_SHiZ/view?usp=drivesdk</v>
      </c>
    </row>
    <row r="793">
      <c r="A793" s="3">
        <f>IFERROR(__xludf.DUMMYFUNCTION("""COMPUTED_VALUE"""),2910.0)</f>
        <v>2910</v>
      </c>
      <c r="B793" s="11">
        <f>IFERROR(__xludf.DUMMYFUNCTION("""COMPUTED_VALUE"""),46177.858548819444)</f>
        <v>46177.85855</v>
      </c>
      <c r="C793" s="3" t="str">
        <f>IFERROR(__xludf.DUMMYFUNCTION("""COMPUTED_VALUE"""),"ชั้นปีที่ 1")</f>
        <v>ชั้นปีที่ 1</v>
      </c>
      <c r="D793" s="3" t="str">
        <f>IFERROR(__xludf.DUMMYFUNCTION("""COMPUTED_VALUE"""),"6803923")</f>
        <v>6803923</v>
      </c>
      <c r="E793" s="3" t="str">
        <f>IFERROR(__xludf.DUMMYFUNCTION("""COMPUTED_VALUE"""),"42")</f>
        <v>42</v>
      </c>
      <c r="F793" s="3" t="str">
        <f>IFERROR(__xludf.DUMMYFUNCTION("""COMPUTED_VALUE"""),"นพอ.พิมพ์ณัฐชยา มนนามอญ")</f>
        <v>นพอ.พิมพ์ณัฐชยา มนนามอญ</v>
      </c>
      <c r="G793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793" s="3" t="str">
        <f>IFERROR(__xludf.DUMMYFUNCTION("""COMPUTED_VALUE"""),"บริจาคของโรงเรียนบ้านเด็กรามอินทรา")</f>
        <v>บริจาคของโรงเรียนบ้านเด็กรามอินทรา</v>
      </c>
      <c r="I793" s="3" t="str">
        <f>IFERROR(__xludf.DUMMYFUNCTION("""COMPUTED_VALUE"""),"โรงเรียนบ้านเด็กรามอินทรา(บ้านเด็กตาบอดผู้พิการซ้ำซ้อน)")</f>
        <v>โรงเรียนบ้านเด็กรามอินทรา(บ้านเด็กตาบอดผู้พิการซ้ำซ้อน)</v>
      </c>
      <c r="J793" s="12">
        <f>IFERROR(__xludf.DUMMYFUNCTION("""COMPUTED_VALUE"""),46137.0)</f>
        <v>46137</v>
      </c>
      <c r="K793" s="3" t="str">
        <f>IFERROR(__xludf.DUMMYFUNCTION("""COMPUTED_VALUE"""),"1100-1300")</f>
        <v>1100-1300</v>
      </c>
      <c r="L793" s="3">
        <f>IFERROR(__xludf.DUMMYFUNCTION("""COMPUTED_VALUE"""),2.0)</f>
        <v>2</v>
      </c>
      <c r="M793" s="3" t="str">
        <f>IFERROR(__xludf.DUMMYFUNCTION("""COMPUTED_VALUE"""),"นายพงศ์ศักดิ์ เกษมสุวรรณ")</f>
        <v>นายพงศ์ศักดิ์ เกษมสุวรรณ</v>
      </c>
      <c r="N793" s="14" t="str">
        <f>IFERROR(__xludf.DUMMYFUNCTION("""COMPUTED_VALUE"""),"https://lh5.googleusercontent.com/d/1K-f327no1CKC1BxzgeqGyLXr4A9Vhev_")</f>
        <v>https://lh5.googleusercontent.com/d/1K-f327no1CKC1BxzgeqGyLXr4A9Vhev_</v>
      </c>
      <c r="O793" s="14" t="str">
        <f>IFERROR(__xludf.DUMMYFUNCTION("""COMPUTED_VALUE"""),"https://drive.google.com/file/d/1MtWm7ac7nHLDSIB9bubgeVNs2aNtD1u6/view?usp=drivesdk")</f>
        <v>https://drive.google.com/file/d/1MtWm7ac7nHLDSIB9bubgeVNs2aNtD1u6/view?usp=drivesdk</v>
      </c>
    </row>
    <row r="794">
      <c r="A794" s="3">
        <f>IFERROR(__xludf.DUMMYFUNCTION("""COMPUTED_VALUE"""),2911.0)</f>
        <v>2911</v>
      </c>
      <c r="B794" s="11">
        <f>IFERROR(__xludf.DUMMYFUNCTION("""COMPUTED_VALUE"""),46177.85946695602)</f>
        <v>46177.85947</v>
      </c>
      <c r="C794" s="3" t="str">
        <f>IFERROR(__xludf.DUMMYFUNCTION("""COMPUTED_VALUE"""),"ชั้นปีที่ 1")</f>
        <v>ชั้นปีที่ 1</v>
      </c>
      <c r="D794" s="3" t="str">
        <f>IFERROR(__xludf.DUMMYFUNCTION("""COMPUTED_VALUE"""),"6803911")</f>
        <v>6803911</v>
      </c>
      <c r="E794" s="3" t="str">
        <f>IFERROR(__xludf.DUMMYFUNCTION("""COMPUTED_VALUE"""),"30")</f>
        <v>30</v>
      </c>
      <c r="F794" s="3" t="str">
        <f>IFERROR(__xludf.DUMMYFUNCTION("""COMPUTED_VALUE"""),"นายิกา นกแก้ว")</f>
        <v>นายิกา นกแก้ว</v>
      </c>
      <c r="G79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4" s="3" t="str">
        <f>IFERROR(__xludf.DUMMYFUNCTION("""COMPUTED_VALUE"""),"ค่ายเยาวชนพัฒนา ครั้งที่ 215")</f>
        <v>ค่ายเยาวชนพัฒนา ครั้งที่ 215</v>
      </c>
      <c r="I794" s="3" t="str">
        <f>IFERROR(__xludf.DUMMYFUNCTION("""COMPUTED_VALUE"""),"วัดสามบัณฑิต จ.อยุธยา")</f>
        <v>วัดสามบัณฑิต จ.อยุธยา</v>
      </c>
      <c r="J794" s="12">
        <f>IFERROR(__xludf.DUMMYFUNCTION("""COMPUTED_VALUE"""),46137.0)</f>
        <v>46137</v>
      </c>
      <c r="K794" s="3" t="str">
        <f>IFERROR(__xludf.DUMMYFUNCTION("""COMPUTED_VALUE"""),"0800-1600")</f>
        <v>0800-1600</v>
      </c>
      <c r="L794" s="3">
        <f>IFERROR(__xludf.DUMMYFUNCTION("""COMPUTED_VALUE"""),8.0)</f>
        <v>8</v>
      </c>
      <c r="M794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794" s="14" t="str">
        <f>IFERROR(__xludf.DUMMYFUNCTION("""COMPUTED_VALUE"""),"https://lh5.googleusercontent.com/d/1nPymyMgEWVONZU3HSuvLP9UVNWQBkBjG")</f>
        <v>https://lh5.googleusercontent.com/d/1nPymyMgEWVONZU3HSuvLP9UVNWQBkBjG</v>
      </c>
      <c r="O794" s="14" t="str">
        <f>IFERROR(__xludf.DUMMYFUNCTION("""COMPUTED_VALUE"""),"https://drive.google.com/file/d/1dLnnIq0Zaz2zMCMn5YhKgULg04_rA_gT/view?usp=drivesdk")</f>
        <v>https://drive.google.com/file/d/1dLnnIq0Zaz2zMCMn5YhKgULg04_rA_gT/view?usp=drivesdk</v>
      </c>
    </row>
    <row r="795">
      <c r="A795" s="3">
        <f>IFERROR(__xludf.DUMMYFUNCTION("""COMPUTED_VALUE"""),2912.0)</f>
        <v>2912</v>
      </c>
      <c r="B795" s="11">
        <f>IFERROR(__xludf.DUMMYFUNCTION("""COMPUTED_VALUE"""),46177.861126296295)</f>
        <v>46177.86113</v>
      </c>
      <c r="C795" s="3" t="str">
        <f>IFERROR(__xludf.DUMMYFUNCTION("""COMPUTED_VALUE"""),"ชั้นปีที่ 1")</f>
        <v>ชั้นปีที่ 1</v>
      </c>
      <c r="D795" s="3" t="str">
        <f>IFERROR(__xludf.DUMMYFUNCTION("""COMPUTED_VALUE"""),"6803886")</f>
        <v>6803886</v>
      </c>
      <c r="E795" s="3" t="str">
        <f>IFERROR(__xludf.DUMMYFUNCTION("""COMPUTED_VALUE"""),"5")</f>
        <v>5</v>
      </c>
      <c r="F795" s="3" t="str">
        <f>IFERROR(__xludf.DUMMYFUNCTION("""COMPUTED_VALUE"""),"นพอ.กัญญพัชร ทองสุข")</f>
        <v>นพอ.กัญญพัชร ทองสุข</v>
      </c>
      <c r="G79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5" s="3" t="str">
        <f>IFERROR(__xludf.DUMMYFUNCTION("""COMPUTED_VALUE"""),"งานวันเด็กเเห่งชาติ 2568")</f>
        <v>งานวันเด็กเเห่งชาติ 2568</v>
      </c>
      <c r="I795" s="3" t="str">
        <f>IFERROR(__xludf.DUMMYFUNCTION("""COMPUTED_VALUE"""),"พิพิธภัณฑ์กองทัพอากาศ")</f>
        <v>พิพิธภัณฑ์กองทัพอากาศ</v>
      </c>
      <c r="J795" s="12">
        <f>IFERROR(__xludf.DUMMYFUNCTION("""COMPUTED_VALUE"""),46032.0)</f>
        <v>46032</v>
      </c>
      <c r="K795" s="3" t="str">
        <f>IFERROR(__xludf.DUMMYFUNCTION("""COMPUTED_VALUE"""),"0600-1400")</f>
        <v>0600-1400</v>
      </c>
      <c r="L795" s="3">
        <f>IFERROR(__xludf.DUMMYFUNCTION("""COMPUTED_VALUE"""),8.0)</f>
        <v>8</v>
      </c>
      <c r="M795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795" s="14" t="str">
        <f>IFERROR(__xludf.DUMMYFUNCTION("""COMPUTED_VALUE"""),"https://lh5.googleusercontent.com/d/1pETx3LL4VHlQx5N893RE6pbdxfBZwkwg")</f>
        <v>https://lh5.googleusercontent.com/d/1pETx3LL4VHlQx5N893RE6pbdxfBZwkwg</v>
      </c>
      <c r="O795" s="14" t="str">
        <f>IFERROR(__xludf.DUMMYFUNCTION("""COMPUTED_VALUE"""),"https://drive.google.com/file/d/1Mc8w-JuS7ZceHVOPTe8nqBbWenjJFX58/view?usp=drivesdk")</f>
        <v>https://drive.google.com/file/d/1Mc8w-JuS7ZceHVOPTe8nqBbWenjJFX58/view?usp=drivesdk</v>
      </c>
    </row>
    <row r="796">
      <c r="A796" s="3">
        <f>IFERROR(__xludf.DUMMYFUNCTION("""COMPUTED_VALUE"""),2913.0)</f>
        <v>2913</v>
      </c>
      <c r="B796" s="11">
        <f>IFERROR(__xludf.DUMMYFUNCTION("""COMPUTED_VALUE"""),46177.86166443287)</f>
        <v>46177.86166</v>
      </c>
      <c r="C796" s="3" t="str">
        <f>IFERROR(__xludf.DUMMYFUNCTION("""COMPUTED_VALUE"""),"ชั้นปีที่ 1")</f>
        <v>ชั้นปีที่ 1</v>
      </c>
      <c r="D796" s="3" t="str">
        <f>IFERROR(__xludf.DUMMYFUNCTION("""COMPUTED_VALUE"""),"6803911")</f>
        <v>6803911</v>
      </c>
      <c r="E796" s="3" t="str">
        <f>IFERROR(__xludf.DUMMYFUNCTION("""COMPUTED_VALUE"""),"30")</f>
        <v>30</v>
      </c>
      <c r="F796" s="3" t="str">
        <f>IFERROR(__xludf.DUMMYFUNCTION("""COMPUTED_VALUE"""),"นายิกา นกแก้ว")</f>
        <v>นายิกา นกแก้ว</v>
      </c>
      <c r="G79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796" s="3" t="str">
        <f>IFERROR(__xludf.DUMMYFUNCTION("""COMPUTED_VALUE"""),"ค่ายเยาชนพัฒนา ครั้งที่ 215")</f>
        <v>ค่ายเยาชนพัฒนา ครั้งที่ 215</v>
      </c>
      <c r="I796" s="3" t="str">
        <f>IFERROR(__xludf.DUMMYFUNCTION("""COMPUTED_VALUE"""),"วัดสามบัณฑิต จ.อยุธยา")</f>
        <v>วัดสามบัณฑิต จ.อยุธยา</v>
      </c>
      <c r="J796" s="12">
        <f>IFERROR(__xludf.DUMMYFUNCTION("""COMPUTED_VALUE"""),46138.0)</f>
        <v>46138</v>
      </c>
      <c r="K796" s="3" t="str">
        <f>IFERROR(__xludf.DUMMYFUNCTION("""COMPUTED_VALUE"""),"0800-1600")</f>
        <v>0800-1600</v>
      </c>
      <c r="L796" s="3">
        <f>IFERROR(__xludf.DUMMYFUNCTION("""COMPUTED_VALUE"""),8.0)</f>
        <v>8</v>
      </c>
      <c r="M796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796" s="14" t="str">
        <f>IFERROR(__xludf.DUMMYFUNCTION("""COMPUTED_VALUE"""),"https://lh5.googleusercontent.com/d/1Glnq2r0IJgTbZ2QrYN9aujdGhFQTZjl5")</f>
        <v>https://lh5.googleusercontent.com/d/1Glnq2r0IJgTbZ2QrYN9aujdGhFQTZjl5</v>
      </c>
      <c r="O796" s="14" t="str">
        <f>IFERROR(__xludf.DUMMYFUNCTION("""COMPUTED_VALUE"""),"https://drive.google.com/file/d/1E1NXcwsf8TyB5awavS2S0HkgHcYmIAe0/view?usp=drivesdk")</f>
        <v>https://drive.google.com/file/d/1E1NXcwsf8TyB5awavS2S0HkgHcYmIAe0/view?usp=drivesdk</v>
      </c>
    </row>
    <row r="797">
      <c r="A797" s="3">
        <f>IFERROR(__xludf.DUMMYFUNCTION("""COMPUTED_VALUE"""),2914.0)</f>
        <v>2914</v>
      </c>
      <c r="B797" s="11">
        <f>IFERROR(__xludf.DUMMYFUNCTION("""COMPUTED_VALUE"""),46177.86356609954)</f>
        <v>46177.86357</v>
      </c>
      <c r="C797" s="3" t="str">
        <f>IFERROR(__xludf.DUMMYFUNCTION("""COMPUTED_VALUE"""),"ชั้นปีที่ 1")</f>
        <v>ชั้นปีที่ 1</v>
      </c>
      <c r="D797" s="3" t="str">
        <f>IFERROR(__xludf.DUMMYFUNCTION("""COMPUTED_VALUE"""),"6803936")</f>
        <v>6803936</v>
      </c>
      <c r="E797" s="3" t="str">
        <f>IFERROR(__xludf.DUMMYFUNCTION("""COMPUTED_VALUE"""),"55")</f>
        <v>55</v>
      </c>
      <c r="F797" s="3" t="str">
        <f>IFERROR(__xludf.DUMMYFUNCTION("""COMPUTED_VALUE"""),"นพอ.ศศิชา แจ้งปกรณ์กิจ")</f>
        <v>นพอ.ศศิชา แจ้งปกรณ์กิจ</v>
      </c>
      <c r="G797" s="3" t="str">
        <f>IFERROR(__xludf.DUMMYFUNCTION("""COMPUTED_VALUE"""),"ช่วยเหลืองานภายใน วพอ.")</f>
        <v>ช่วยเหลืองานภายใน วพอ.</v>
      </c>
      <c r="H797" s="3" t="str">
        <f>IFERROR(__xludf.DUMMYFUNCTION("""COMPUTED_VALUE""")," ซ้อมงานพิธีมอบหมวกพยาบาลวิชาชีพ ปีการศึกษา 2568  ")</f>
        <v> ซ้อมงานพิธีมอบหมวกพยาบาลวิชาชีพ ปีการศึกษา 2568  </v>
      </c>
      <c r="I797" s="3" t="str">
        <f>IFERROR(__xludf.DUMMYFUNCTION("""COMPUTED_VALUE"""),"วพอ.พอ.")</f>
        <v>วพอ.พอ.</v>
      </c>
      <c r="J797" s="12">
        <f>IFERROR(__xludf.DUMMYFUNCTION("""COMPUTED_VALUE"""),46133.0)</f>
        <v>46133</v>
      </c>
      <c r="K797" s="3" t="str">
        <f>IFERROR(__xludf.DUMMYFUNCTION("""COMPUTED_VALUE"""),"1700-2100")</f>
        <v>1700-2100</v>
      </c>
      <c r="L797" s="3">
        <f>IFERROR(__xludf.DUMMYFUNCTION("""COMPUTED_VALUE"""),4.0)</f>
        <v>4</v>
      </c>
      <c r="M797" s="3" t="str">
        <f>IFERROR(__xludf.DUMMYFUNCTION("""COMPUTED_VALUE"""),"ร.อ.อนุชิต ทำจะดี")</f>
        <v>ร.อ.อนุชิต ทำจะดี</v>
      </c>
      <c r="N797" s="14" t="str">
        <f>IFERROR(__xludf.DUMMYFUNCTION("""COMPUTED_VALUE"""),"https://lh5.googleusercontent.com/d/14TnHPLOqMyz3Z_t4tL_ucmSe0nkxnuOF")</f>
        <v>https://lh5.googleusercontent.com/d/14TnHPLOqMyz3Z_t4tL_ucmSe0nkxnuOF</v>
      </c>
      <c r="O797" s="14" t="str">
        <f>IFERROR(__xludf.DUMMYFUNCTION("""COMPUTED_VALUE"""),"https://drive.google.com/file/d/1joy_oDwMRGLbJArS2VYI7WncjMmlCnav/view?usp=drivesdk")</f>
        <v>https://drive.google.com/file/d/1joy_oDwMRGLbJArS2VYI7WncjMmlCnav/view?usp=drivesdk</v>
      </c>
    </row>
    <row r="798">
      <c r="A798" s="3">
        <f>IFERROR(__xludf.DUMMYFUNCTION("""COMPUTED_VALUE"""),2916.0)</f>
        <v>2916</v>
      </c>
      <c r="B798" s="11">
        <f>IFERROR(__xludf.DUMMYFUNCTION("""COMPUTED_VALUE"""),46177.86535201389)</f>
        <v>46177.86535</v>
      </c>
      <c r="C798" s="3" t="str">
        <f>IFERROR(__xludf.DUMMYFUNCTION("""COMPUTED_VALUE"""),"ชั้นปีที่ 1")</f>
        <v>ชั้นปีที่ 1</v>
      </c>
      <c r="D798" s="3" t="str">
        <f>IFERROR(__xludf.DUMMYFUNCTION("""COMPUTED_VALUE"""),"6803936")</f>
        <v>6803936</v>
      </c>
      <c r="E798" s="3" t="str">
        <f>IFERROR(__xludf.DUMMYFUNCTION("""COMPUTED_VALUE"""),"55")</f>
        <v>55</v>
      </c>
      <c r="F798" s="3" t="str">
        <f>IFERROR(__xludf.DUMMYFUNCTION("""COMPUTED_VALUE"""),"นพอ.ศศิชา แจ้งปกรณ์กิจ")</f>
        <v>นพอ.ศศิชา แจ้งปกรณ์กิจ</v>
      </c>
      <c r="G798" s="3" t="str">
        <f>IFERROR(__xludf.DUMMYFUNCTION("""COMPUTED_VALUE"""),"ช่วยเหลืองานภายใน วพอ.")</f>
        <v>ช่วยเหลืองานภายใน วพอ.</v>
      </c>
      <c r="H798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798" s="3" t="str">
        <f>IFERROR(__xludf.DUMMYFUNCTION("""COMPUTED_VALUE"""),"วพอ.พอ.")</f>
        <v>วพอ.พอ.</v>
      </c>
      <c r="J798" s="12">
        <f>IFERROR(__xludf.DUMMYFUNCTION("""COMPUTED_VALUE"""),46134.0)</f>
        <v>46134</v>
      </c>
      <c r="K798" s="3" t="str">
        <f>IFERROR(__xludf.DUMMYFUNCTION("""COMPUTED_VALUE"""),"1700-2100")</f>
        <v>1700-2100</v>
      </c>
      <c r="L798" s="3">
        <f>IFERROR(__xludf.DUMMYFUNCTION("""COMPUTED_VALUE"""),4.0)</f>
        <v>4</v>
      </c>
      <c r="M798" s="3" t="str">
        <f>IFERROR(__xludf.DUMMYFUNCTION("""COMPUTED_VALUE"""),"ร.อ.อนุชิต ทำจะดี")</f>
        <v>ร.อ.อนุชิต ทำจะดี</v>
      </c>
      <c r="N798" s="14" t="str">
        <f>IFERROR(__xludf.DUMMYFUNCTION("""COMPUTED_VALUE"""),"https://lh5.googleusercontent.com/d/1_SDrNh1AzLbbaI5U8o5fFoYindHCQCR2")</f>
        <v>https://lh5.googleusercontent.com/d/1_SDrNh1AzLbbaI5U8o5fFoYindHCQCR2</v>
      </c>
      <c r="O798" s="14" t="str">
        <f>IFERROR(__xludf.DUMMYFUNCTION("""COMPUTED_VALUE"""),"https://drive.google.com/file/d/10sa4W4HXc9zwFYr-Ks1C8-BG-gTLasR-/view?usp=drivesdk")</f>
        <v>https://drive.google.com/file/d/10sa4W4HXc9zwFYr-Ks1C8-BG-gTLasR-/view?usp=drivesdk</v>
      </c>
    </row>
    <row r="799">
      <c r="A799" s="3">
        <f>IFERROR(__xludf.DUMMYFUNCTION("""COMPUTED_VALUE"""),2917.0)</f>
        <v>2917</v>
      </c>
      <c r="B799" s="11">
        <f>IFERROR(__xludf.DUMMYFUNCTION("""COMPUTED_VALUE"""),46177.86536908565)</f>
        <v>46177.86537</v>
      </c>
      <c r="C799" s="3" t="str">
        <f>IFERROR(__xludf.DUMMYFUNCTION("""COMPUTED_VALUE"""),"ชั้นปีที่ 1")</f>
        <v>ชั้นปีที่ 1</v>
      </c>
      <c r="D799" s="3" t="str">
        <f>IFERROR(__xludf.DUMMYFUNCTION("""COMPUTED_VALUE"""),"6803937")</f>
        <v>6803937</v>
      </c>
      <c r="E799" s="3" t="str">
        <f>IFERROR(__xludf.DUMMYFUNCTION("""COMPUTED_VALUE"""),"56")</f>
        <v>56</v>
      </c>
      <c r="F799" s="3" t="str">
        <f>IFERROR(__xludf.DUMMYFUNCTION("""COMPUTED_VALUE"""),"นพอ.ศิริกานดา  แหลมไธสง")</f>
        <v>นพอ.ศิริกานดา  แหลมไธสง</v>
      </c>
      <c r="G799" s="3" t="str">
        <f>IFERROR(__xludf.DUMMYFUNCTION("""COMPUTED_VALUE"""),"ช่วยเหลืองานภายใน วพอ.")</f>
        <v>ช่วยเหลืองานภายใน วพอ.</v>
      </c>
      <c r="H799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799" s="3" t="str">
        <f>IFERROR(__xludf.DUMMYFUNCTION("""COMPUTED_VALUE"""),"ลานข้างหอพัก")</f>
        <v>ลานข้างหอพัก</v>
      </c>
      <c r="J799" s="12">
        <f>IFERROR(__xludf.DUMMYFUNCTION("""COMPUTED_VALUE"""),46164.0)</f>
        <v>46164</v>
      </c>
      <c r="K799" s="3" t="str">
        <f>IFERROR(__xludf.DUMMYFUNCTION("""COMPUTED_VALUE"""),"1500-1700")</f>
        <v>1500-1700</v>
      </c>
      <c r="L799" s="3">
        <f>IFERROR(__xludf.DUMMYFUNCTION("""COMPUTED_VALUE"""),2.0)</f>
        <v>2</v>
      </c>
      <c r="M799" s="3" t="str">
        <f>IFERROR(__xludf.DUMMYFUNCTION("""COMPUTED_VALUE"""),"น.อ. หญิง นิตยา สุขแสน")</f>
        <v>น.อ. หญิง นิตยา สุขแสน</v>
      </c>
      <c r="N799" s="14" t="str">
        <f>IFERROR(__xludf.DUMMYFUNCTION("""COMPUTED_VALUE"""),"https://lh5.googleusercontent.com/d/1T80uOASPtNiAwnEUJdXYubqyK0N0sFlh")</f>
        <v>https://lh5.googleusercontent.com/d/1T80uOASPtNiAwnEUJdXYubqyK0N0sFlh</v>
      </c>
      <c r="O799" s="14" t="str">
        <f>IFERROR(__xludf.DUMMYFUNCTION("""COMPUTED_VALUE"""),"https://drive.google.com/file/d/1Al-7ZFTpVXWOLnLlVz5mL593XE3MVZuV/view?usp=drivesdk")</f>
        <v>https://drive.google.com/file/d/1Al-7ZFTpVXWOLnLlVz5mL593XE3MVZuV/view?usp=drivesdk</v>
      </c>
    </row>
    <row r="800">
      <c r="A800" s="3">
        <f>IFERROR(__xludf.DUMMYFUNCTION("""COMPUTED_VALUE"""),2918.0)</f>
        <v>2918</v>
      </c>
      <c r="B800" s="11">
        <f>IFERROR(__xludf.DUMMYFUNCTION("""COMPUTED_VALUE"""),46177.86543373842)</f>
        <v>46177.86543</v>
      </c>
      <c r="C800" s="3" t="str">
        <f>IFERROR(__xludf.DUMMYFUNCTION("""COMPUTED_VALUE"""),"ชั้นปีที่ 1")</f>
        <v>ชั้นปีที่ 1</v>
      </c>
      <c r="D800" s="3" t="str">
        <f>IFERROR(__xludf.DUMMYFUNCTION("""COMPUTED_VALUE"""),"6803895")</f>
        <v>6803895</v>
      </c>
      <c r="E800" s="3" t="str">
        <f>IFERROR(__xludf.DUMMYFUNCTION("""COMPUTED_VALUE"""),"14")</f>
        <v>14</v>
      </c>
      <c r="F800" s="3" t="str">
        <f>IFERROR(__xludf.DUMMYFUNCTION("""COMPUTED_VALUE"""),"นพอ.ณัชชา ยอดรัตน์")</f>
        <v>นพอ.ณัชชา ยอดรัตน์</v>
      </c>
      <c r="G800" s="3" t="str">
        <f>IFERROR(__xludf.DUMMYFUNCTION("""COMPUTED_VALUE"""),"ช่วยเหลืองานภายใน วพอ.")</f>
        <v>ช่วยเหลืองานภายใน วพอ.</v>
      </c>
      <c r="H800" s="3" t="str">
        <f>IFERROR(__xludf.DUMMYFUNCTION("""COMPUTED_VALUE"""),"วงดนตรีไทยงานสงกรานต์วพอ.")</f>
        <v>วงดนตรีไทยงานสงกรานต์วพอ.</v>
      </c>
      <c r="I800" s="3" t="str">
        <f>IFERROR(__xludf.DUMMYFUNCTION("""COMPUTED_VALUE"""),"วพอ.พอ")</f>
        <v>วพอ.พอ</v>
      </c>
      <c r="J800" s="12">
        <f>IFERROR(__xludf.DUMMYFUNCTION("""COMPUTED_VALUE"""),46122.0)</f>
        <v>46122</v>
      </c>
      <c r="K800" s="3" t="str">
        <f>IFERROR(__xludf.DUMMYFUNCTION("""COMPUTED_VALUE"""),"0600-1000")</f>
        <v>0600-1000</v>
      </c>
      <c r="L800" s="3">
        <f>IFERROR(__xludf.DUMMYFUNCTION("""COMPUTED_VALUE"""),4.0)</f>
        <v>4</v>
      </c>
      <c r="M800" s="3" t="str">
        <f>IFERROR(__xludf.DUMMYFUNCTION("""COMPUTED_VALUE"""),"ร.อ.หญิง ขนัฏฐา นาดี")</f>
        <v>ร.อ.หญิง ขนัฏฐา นาดี</v>
      </c>
      <c r="N800" s="14" t="str">
        <f>IFERROR(__xludf.DUMMYFUNCTION("""COMPUTED_VALUE"""),"https://lh5.googleusercontent.com/d/1-IwuN7_uJ_D4s2QdvPi6ha4Y_odFEXK0")</f>
        <v>https://lh5.googleusercontent.com/d/1-IwuN7_uJ_D4s2QdvPi6ha4Y_odFEXK0</v>
      </c>
      <c r="O800" s="14" t="str">
        <f>IFERROR(__xludf.DUMMYFUNCTION("""COMPUTED_VALUE"""),"https://drive.google.com/file/d/1o3rskx3a8wJywhBfHkb0q9x3lBXauUVi/view?usp=drivesdk")</f>
        <v>https://drive.google.com/file/d/1o3rskx3a8wJywhBfHkb0q9x3lBXauUVi/view?usp=drivesdk</v>
      </c>
    </row>
    <row r="801">
      <c r="A801" s="3">
        <f>IFERROR(__xludf.DUMMYFUNCTION("""COMPUTED_VALUE"""),2920.0)</f>
        <v>2920</v>
      </c>
      <c r="B801" s="11">
        <f>IFERROR(__xludf.DUMMYFUNCTION("""COMPUTED_VALUE"""),46177.86680166666)</f>
        <v>46177.8668</v>
      </c>
      <c r="C801" s="3" t="str">
        <f>IFERROR(__xludf.DUMMYFUNCTION("""COMPUTED_VALUE"""),"ชั้นปีที่ 1")</f>
        <v>ชั้นปีที่ 1</v>
      </c>
      <c r="D801" s="3" t="str">
        <f>IFERROR(__xludf.DUMMYFUNCTION("""COMPUTED_VALUE"""),"6803936")</f>
        <v>6803936</v>
      </c>
      <c r="E801" s="3" t="str">
        <f>IFERROR(__xludf.DUMMYFUNCTION("""COMPUTED_VALUE"""),"55")</f>
        <v>55</v>
      </c>
      <c r="F801" s="3" t="str">
        <f>IFERROR(__xludf.DUMMYFUNCTION("""COMPUTED_VALUE"""),"นพอ.ศศิชา แจ้งปกรณ์กิจ")</f>
        <v>นพอ.ศศิชา แจ้งปกรณ์กิจ</v>
      </c>
      <c r="G801" s="3" t="str">
        <f>IFERROR(__xludf.DUMMYFUNCTION("""COMPUTED_VALUE"""),"ช่วยเหลืองานภายใน วพอ.")</f>
        <v>ช่วยเหลืองานภายใน วพอ.</v>
      </c>
      <c r="H801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801" s="3" t="str">
        <f>IFERROR(__xludf.DUMMYFUNCTION("""COMPUTED_VALUE"""),"วพอ.พอ.")</f>
        <v>วพอ.พอ.</v>
      </c>
      <c r="J801" s="12">
        <f>IFERROR(__xludf.DUMMYFUNCTION("""COMPUTED_VALUE"""),46135.0)</f>
        <v>46135</v>
      </c>
      <c r="K801" s="3" t="str">
        <f>IFERROR(__xludf.DUMMYFUNCTION("""COMPUTED_VALUE"""),"1700-2100")</f>
        <v>1700-2100</v>
      </c>
      <c r="L801" s="3">
        <f>IFERROR(__xludf.DUMMYFUNCTION("""COMPUTED_VALUE"""),4.0)</f>
        <v>4</v>
      </c>
      <c r="M801" s="3" t="str">
        <f>IFERROR(__xludf.DUMMYFUNCTION("""COMPUTED_VALUE"""),"ร.อ.อนุชิต ทำจะดี")</f>
        <v>ร.อ.อนุชิต ทำจะดี</v>
      </c>
      <c r="N801" s="14" t="str">
        <f>IFERROR(__xludf.DUMMYFUNCTION("""COMPUTED_VALUE"""),"https://lh5.googleusercontent.com/d/1mz6ush4VmdOOHlaIKSuxO5Y2t-EoKpb2")</f>
        <v>https://lh5.googleusercontent.com/d/1mz6ush4VmdOOHlaIKSuxO5Y2t-EoKpb2</v>
      </c>
      <c r="O801" s="14" t="str">
        <f>IFERROR(__xludf.DUMMYFUNCTION("""COMPUTED_VALUE"""),"https://drive.google.com/file/d/13Z-npktU5c0x4alogz_WG1gwCRtHij_5/view?usp=drivesdk")</f>
        <v>https://drive.google.com/file/d/13Z-npktU5c0x4alogz_WG1gwCRtHij_5/view?usp=drivesdk</v>
      </c>
    </row>
    <row r="802">
      <c r="A802" s="3">
        <f>IFERROR(__xludf.DUMMYFUNCTION("""COMPUTED_VALUE"""),2921.0)</f>
        <v>2921</v>
      </c>
      <c r="B802" s="11">
        <f>IFERROR(__xludf.DUMMYFUNCTION("""COMPUTED_VALUE"""),46177.866832719905)</f>
        <v>46177.86683</v>
      </c>
      <c r="C802" s="3" t="str">
        <f>IFERROR(__xludf.DUMMYFUNCTION("""COMPUTED_VALUE"""),"ชั้นปีที่ 1")</f>
        <v>ชั้นปีที่ 1</v>
      </c>
      <c r="D802" s="3" t="str">
        <f>IFERROR(__xludf.DUMMYFUNCTION("""COMPUTED_VALUE"""),"6803898")</f>
        <v>6803898</v>
      </c>
      <c r="E802" s="3" t="str">
        <f>IFERROR(__xludf.DUMMYFUNCTION("""COMPUTED_VALUE"""),"17")</f>
        <v>17</v>
      </c>
      <c r="F802" s="3" t="str">
        <f>IFERROR(__xludf.DUMMYFUNCTION("""COMPUTED_VALUE"""),"นพอ.ณัฐณิชา ทิพย์โอสถ")</f>
        <v>นพอ.ณัฐณิชา ทิพย์โอสถ</v>
      </c>
      <c r="G802" s="3" t="str">
        <f>IFERROR(__xludf.DUMMYFUNCTION("""COMPUTED_VALUE"""),"ช่วยเหลืองานภายใน วพอ.")</f>
        <v>ช่วยเหลืองานภายใน วพอ.</v>
      </c>
      <c r="H802" s="3" t="str">
        <f>IFERROR(__xludf.DUMMYFUNCTION("""COMPUTED_VALUE"""),"วงดนตรีไทยงานสงกรานต์วพอ.")</f>
        <v>วงดนตรีไทยงานสงกรานต์วพอ.</v>
      </c>
      <c r="I802" s="3" t="str">
        <f>IFERROR(__xludf.DUMMYFUNCTION("""COMPUTED_VALUE"""),"วพอ.พอ.")</f>
        <v>วพอ.พอ.</v>
      </c>
      <c r="J802" s="12">
        <f>IFERROR(__xludf.DUMMYFUNCTION("""COMPUTED_VALUE"""),46122.0)</f>
        <v>46122</v>
      </c>
      <c r="K802" s="3" t="str">
        <f>IFERROR(__xludf.DUMMYFUNCTION("""COMPUTED_VALUE"""),"0600-1000")</f>
        <v>0600-1000</v>
      </c>
      <c r="L802" s="3">
        <f>IFERROR(__xludf.DUMMYFUNCTION("""COMPUTED_VALUE"""),4.0)</f>
        <v>4</v>
      </c>
      <c r="M802" s="3" t="str">
        <f>IFERROR(__xludf.DUMMYFUNCTION("""COMPUTED_VALUE"""),"ร.อ.หญิง ขนัฏฐา นาดี")</f>
        <v>ร.อ.หญิง ขนัฏฐา นาดี</v>
      </c>
      <c r="N802" s="14" t="str">
        <f>IFERROR(__xludf.DUMMYFUNCTION("""COMPUTED_VALUE"""),"https://lh5.googleusercontent.com/d/1MAHZbSIuVDnk8qspgp4I0w8HztOn0wjh")</f>
        <v>https://lh5.googleusercontent.com/d/1MAHZbSIuVDnk8qspgp4I0w8HztOn0wjh</v>
      </c>
      <c r="O802" s="14" t="str">
        <f>IFERROR(__xludf.DUMMYFUNCTION("""COMPUTED_VALUE"""),"https://drive.google.com/file/d/1yXSQDkNFRllN7z2TJ6UUJYSD7G5o4Zi0/view?usp=drivesdk")</f>
        <v>https://drive.google.com/file/d/1yXSQDkNFRllN7z2TJ6UUJYSD7G5o4Zi0/view?usp=drivesdk</v>
      </c>
    </row>
    <row r="803">
      <c r="A803" s="3">
        <f>IFERROR(__xludf.DUMMYFUNCTION("""COMPUTED_VALUE"""),2922.0)</f>
        <v>2922</v>
      </c>
      <c r="B803" s="11">
        <f>IFERROR(__xludf.DUMMYFUNCTION("""COMPUTED_VALUE"""),46177.86786144676)</f>
        <v>46177.86786</v>
      </c>
      <c r="C803" s="3" t="str">
        <f>IFERROR(__xludf.DUMMYFUNCTION("""COMPUTED_VALUE"""),"ชั้นปีที่ 1")</f>
        <v>ชั้นปีที่ 1</v>
      </c>
      <c r="D803" s="3" t="str">
        <f>IFERROR(__xludf.DUMMYFUNCTION("""COMPUTED_VALUE"""),"6803892")</f>
        <v>6803892</v>
      </c>
      <c r="E803" s="3" t="str">
        <f>IFERROR(__xludf.DUMMYFUNCTION("""COMPUTED_VALUE"""),"11")</f>
        <v>11</v>
      </c>
      <c r="F803" s="3" t="str">
        <f>IFERROR(__xludf.DUMMYFUNCTION("""COMPUTED_VALUE"""),"นพอ.ชนัญธิดา สินปรุ")</f>
        <v>นพอ.ชนัญธิดา สินปรุ</v>
      </c>
      <c r="G80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3" s="3" t="str">
        <f>IFERROR(__xludf.DUMMYFUNCTION("""COMPUTED_VALUE"""),"พิธีเปิด-ปิดกีฬาภายในกองทัพ")</f>
        <v>พิธีเปิด-ปิดกีฬาภายในกองทัพ</v>
      </c>
      <c r="I803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803" s="12">
        <f>IFERROR(__xludf.DUMMYFUNCTION("""COMPUTED_VALUE"""),46078.0)</f>
        <v>46078</v>
      </c>
      <c r="K803" s="3" t="str">
        <f>IFERROR(__xludf.DUMMYFUNCTION("""COMPUTED_VALUE"""),"1200 - 2000")</f>
        <v>1200 - 2000</v>
      </c>
      <c r="L803" s="3">
        <f>IFERROR(__xludf.DUMMYFUNCTION("""COMPUTED_VALUE"""),8.0)</f>
        <v>8</v>
      </c>
      <c r="M803" s="3" t="str">
        <f>IFERROR(__xludf.DUMMYFUNCTION("""COMPUTED_VALUE"""),"น.ต. หญิง ขวัญชนก พ่วงนาคพันธุ์")</f>
        <v>น.ต. หญิง ขวัญชนก พ่วงนาคพันธุ์</v>
      </c>
      <c r="N803" s="14" t="str">
        <f>IFERROR(__xludf.DUMMYFUNCTION("""COMPUTED_VALUE"""),"https://lh5.googleusercontent.com/d/1Cui9syqARPDnZ_YlegMv8kzm6MictsoU")</f>
        <v>https://lh5.googleusercontent.com/d/1Cui9syqARPDnZ_YlegMv8kzm6MictsoU</v>
      </c>
      <c r="O803" s="14" t="str">
        <f>IFERROR(__xludf.DUMMYFUNCTION("""COMPUTED_VALUE"""),"https://drive.google.com/file/d/1ugmu-390hQ4bw4-tQHLIxCzd5RWu5vJ4/view?usp=drivesdk")</f>
        <v>https://drive.google.com/file/d/1ugmu-390hQ4bw4-tQHLIxCzd5RWu5vJ4/view?usp=drivesdk</v>
      </c>
    </row>
    <row r="804">
      <c r="A804" s="3">
        <f>IFERROR(__xludf.DUMMYFUNCTION("""COMPUTED_VALUE"""),2923.0)</f>
        <v>2923</v>
      </c>
      <c r="B804" s="11">
        <f>IFERROR(__xludf.DUMMYFUNCTION("""COMPUTED_VALUE"""),46177.868121423606)</f>
        <v>46177.86812</v>
      </c>
      <c r="C804" s="3" t="str">
        <f>IFERROR(__xludf.DUMMYFUNCTION("""COMPUTED_VALUE"""),"ชั้นปีที่ 1")</f>
        <v>ชั้นปีที่ 1</v>
      </c>
      <c r="D804" s="3" t="str">
        <f>IFERROR(__xludf.DUMMYFUNCTION("""COMPUTED_VALUE"""),"6803936")</f>
        <v>6803936</v>
      </c>
      <c r="E804" s="3" t="str">
        <f>IFERROR(__xludf.DUMMYFUNCTION("""COMPUTED_VALUE"""),"55")</f>
        <v>55</v>
      </c>
      <c r="F804" s="3" t="str">
        <f>IFERROR(__xludf.DUMMYFUNCTION("""COMPUTED_VALUE"""),"นพอ.ศศิชา แจ้งปกรณ์กิจ")</f>
        <v>นพอ.ศศิชา แจ้งปกรณ์กิจ</v>
      </c>
      <c r="G804" s="3" t="str">
        <f>IFERROR(__xludf.DUMMYFUNCTION("""COMPUTED_VALUE"""),"ช่วยเหลืองานภายใน วพอ.")</f>
        <v>ช่วยเหลืองานภายใน วพอ.</v>
      </c>
      <c r="H804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804" s="3" t="str">
        <f>IFERROR(__xludf.DUMMYFUNCTION("""COMPUTED_VALUE"""),"วพอ.พอ.")</f>
        <v>วพอ.พอ.</v>
      </c>
      <c r="J804" s="12">
        <f>IFERROR(__xludf.DUMMYFUNCTION("""COMPUTED_VALUE"""),46138.0)</f>
        <v>46138</v>
      </c>
      <c r="K804" s="3" t="str">
        <f>IFERROR(__xludf.DUMMYFUNCTION("""COMPUTED_VALUE"""),"1500-2100")</f>
        <v>1500-2100</v>
      </c>
      <c r="L804" s="3">
        <f>IFERROR(__xludf.DUMMYFUNCTION("""COMPUTED_VALUE"""),6.0)</f>
        <v>6</v>
      </c>
      <c r="M804" s="3" t="str">
        <f>IFERROR(__xludf.DUMMYFUNCTION("""COMPUTED_VALUE"""),"ร.อ.อนุชิต ทำจะดี")</f>
        <v>ร.อ.อนุชิต ทำจะดี</v>
      </c>
      <c r="N804" s="14" t="str">
        <f>IFERROR(__xludf.DUMMYFUNCTION("""COMPUTED_VALUE"""),"https://lh5.googleusercontent.com/d/1BGqfZaRV1yetR2OznHgwoUFAMNyMVwh0")</f>
        <v>https://lh5.googleusercontent.com/d/1BGqfZaRV1yetR2OznHgwoUFAMNyMVwh0</v>
      </c>
      <c r="O804" s="14" t="str">
        <f>IFERROR(__xludf.DUMMYFUNCTION("""COMPUTED_VALUE"""),"https://drive.google.com/file/d/1QcpuYDJ89749az7rmwy6bA5XKUribjJS/view?usp=drivesdk")</f>
        <v>https://drive.google.com/file/d/1QcpuYDJ89749az7rmwy6bA5XKUribjJS/view?usp=drivesdk</v>
      </c>
    </row>
    <row r="805">
      <c r="A805" s="3">
        <f>IFERROR(__xludf.DUMMYFUNCTION("""COMPUTED_VALUE"""),2924.0)</f>
        <v>2924</v>
      </c>
      <c r="B805" s="11">
        <f>IFERROR(__xludf.DUMMYFUNCTION("""COMPUTED_VALUE"""),46177.86890871528)</f>
        <v>46177.86891</v>
      </c>
      <c r="C805" s="3" t="str">
        <f>IFERROR(__xludf.DUMMYFUNCTION("""COMPUTED_VALUE"""),"ชั้นปีที่ 1")</f>
        <v>ชั้นปีที่ 1</v>
      </c>
      <c r="D805" s="3" t="str">
        <f>IFERROR(__xludf.DUMMYFUNCTION("""COMPUTED_VALUE"""),"6803911")</f>
        <v>6803911</v>
      </c>
      <c r="E805" s="3" t="str">
        <f>IFERROR(__xludf.DUMMYFUNCTION("""COMPUTED_VALUE"""),"30")</f>
        <v>30</v>
      </c>
      <c r="F805" s="3" t="str">
        <f>IFERROR(__xludf.DUMMYFUNCTION("""COMPUTED_VALUE"""),"นายิกา นกแก้ว")</f>
        <v>นายิกา นกแก้ว</v>
      </c>
      <c r="G80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05" s="3" t="str">
        <f>IFERROR(__xludf.DUMMYFUNCTION("""COMPUTED_VALUE"""),"Green Markets")</f>
        <v>Green Markets</v>
      </c>
      <c r="I805" s="3" t="str">
        <f>IFERROR(__xludf.DUMMYFUNCTION("""COMPUTED_VALUE"""),"สโมสรประทวน")</f>
        <v>สโมสรประทวน</v>
      </c>
      <c r="J805" s="12">
        <f>IFERROR(__xludf.DUMMYFUNCTION("""COMPUTED_VALUE"""),46164.0)</f>
        <v>46164</v>
      </c>
      <c r="K805" s="3" t="str">
        <f>IFERROR(__xludf.DUMMYFUNCTION("""COMPUTED_VALUE"""),"0800-1600")</f>
        <v>0800-1600</v>
      </c>
      <c r="L805" s="3">
        <f>IFERROR(__xludf.DUMMYFUNCTION("""COMPUTED_VALUE"""),8.0)</f>
        <v>8</v>
      </c>
      <c r="M805" s="3" t="str">
        <f>IFERROR(__xludf.DUMMYFUNCTION("""COMPUTED_VALUE"""),"ร.อ.ฤทธิพล อ้วนสิงห์")</f>
        <v>ร.อ.ฤทธิพล อ้วนสิงห์</v>
      </c>
      <c r="N805" s="14" t="str">
        <f>IFERROR(__xludf.DUMMYFUNCTION("""COMPUTED_VALUE"""),"https://lh5.googleusercontent.com/d/1JaldxBrujubL19e6qVQ25kUrrKU-jWDm")</f>
        <v>https://lh5.googleusercontent.com/d/1JaldxBrujubL19e6qVQ25kUrrKU-jWDm</v>
      </c>
      <c r="O805" s="14" t="str">
        <f>IFERROR(__xludf.DUMMYFUNCTION("""COMPUTED_VALUE"""),"https://drive.google.com/file/d/1K_gIv1uFBzQqP0xGgwJLqfvtywh8P7D-/view?usp=drivesdk")</f>
        <v>https://drive.google.com/file/d/1K_gIv1uFBzQqP0xGgwJLqfvtywh8P7D-/view?usp=drivesdk</v>
      </c>
    </row>
    <row r="806">
      <c r="A806" s="3">
        <f>IFERROR(__xludf.DUMMYFUNCTION("""COMPUTED_VALUE"""),2925.0)</f>
        <v>2925</v>
      </c>
      <c r="B806" s="11">
        <f>IFERROR(__xludf.DUMMYFUNCTION("""COMPUTED_VALUE"""),46177.869042789345)</f>
        <v>46177.86904</v>
      </c>
      <c r="C806" s="3" t="str">
        <f>IFERROR(__xludf.DUMMYFUNCTION("""COMPUTED_VALUE"""),"ชั้นปีที่ 1")</f>
        <v>ชั้นปีที่ 1</v>
      </c>
      <c r="D806" s="3" t="str">
        <f>IFERROR(__xludf.DUMMYFUNCTION("""COMPUTED_VALUE"""),"6803937")</f>
        <v>6803937</v>
      </c>
      <c r="E806" s="3" t="str">
        <f>IFERROR(__xludf.DUMMYFUNCTION("""COMPUTED_VALUE"""),"56")</f>
        <v>56</v>
      </c>
      <c r="F806" s="3" t="str">
        <f>IFERROR(__xludf.DUMMYFUNCTION("""COMPUTED_VALUE"""),"นพอ.ศิริกานดา  แหลมไธสง")</f>
        <v>นพอ.ศิริกานดา  แหลมไธสง</v>
      </c>
      <c r="G806" s="3" t="str">
        <f>IFERROR(__xludf.DUMMYFUNCTION("""COMPUTED_VALUE"""),"ช่วยเหลืองานภายใน วพอ.")</f>
        <v>ช่วยเหลืองานภายใน วพอ.</v>
      </c>
      <c r="H806" s="3" t="str">
        <f>IFERROR(__xludf.DUMMYFUNCTION("""COMPUTED_VALUE"""),"วงดนตรีไทยงานสงกรานต์วพอ.")</f>
        <v>วงดนตรีไทยงานสงกรานต์วพอ.</v>
      </c>
      <c r="I806" s="3" t="str">
        <f>IFERROR(__xludf.DUMMYFUNCTION("""COMPUTED_VALUE"""),"วพอ.พอ.")</f>
        <v>วพอ.พอ.</v>
      </c>
      <c r="J806" s="12">
        <f>IFERROR(__xludf.DUMMYFUNCTION("""COMPUTED_VALUE"""),46122.0)</f>
        <v>46122</v>
      </c>
      <c r="K806" s="3" t="str">
        <f>IFERROR(__xludf.DUMMYFUNCTION("""COMPUTED_VALUE"""),"0600-1000")</f>
        <v>0600-1000</v>
      </c>
      <c r="L806" s="3">
        <f>IFERROR(__xludf.DUMMYFUNCTION("""COMPUTED_VALUE"""),4.0)</f>
        <v>4</v>
      </c>
      <c r="M806" s="3" t="str">
        <f>IFERROR(__xludf.DUMMYFUNCTION("""COMPUTED_VALUE"""),"ร.อ.หญิง ขนัฏฐา นาดี ")</f>
        <v>ร.อ.หญิง ขนัฏฐา นาดี </v>
      </c>
      <c r="N806" s="14" t="str">
        <f>IFERROR(__xludf.DUMMYFUNCTION("""COMPUTED_VALUE"""),"https://lh5.googleusercontent.com/d/1bq1KOU29t00x0aXnjFoeKtTxHZsIUPnr")</f>
        <v>https://lh5.googleusercontent.com/d/1bq1KOU29t00x0aXnjFoeKtTxHZsIUPnr</v>
      </c>
      <c r="O806" s="14" t="str">
        <f>IFERROR(__xludf.DUMMYFUNCTION("""COMPUTED_VALUE"""),"https://drive.google.com/file/d/1P63SQe9S82ZT2-8C112pfgE4qualypq_/view?usp=drivesdk")</f>
        <v>https://drive.google.com/file/d/1P63SQe9S82ZT2-8C112pfgE4qualypq_/view?usp=drivesdk</v>
      </c>
    </row>
    <row r="807">
      <c r="A807" s="3">
        <f>IFERROR(__xludf.DUMMYFUNCTION("""COMPUTED_VALUE"""),2926.0)</f>
        <v>2926</v>
      </c>
      <c r="B807" s="11">
        <f>IFERROR(__xludf.DUMMYFUNCTION("""COMPUTED_VALUE"""),46177.87114171296)</f>
        <v>46177.87114</v>
      </c>
      <c r="C807" s="3" t="str">
        <f>IFERROR(__xludf.DUMMYFUNCTION("""COMPUTED_VALUE"""),"ชั้นปีที่ 1")</f>
        <v>ชั้นปีที่ 1</v>
      </c>
      <c r="D807" s="3" t="str">
        <f>IFERROR(__xludf.DUMMYFUNCTION("""COMPUTED_VALUE"""),"6803903")</f>
        <v>6803903</v>
      </c>
      <c r="E807" s="3" t="str">
        <f>IFERROR(__xludf.DUMMYFUNCTION("""COMPUTED_VALUE"""),"22")</f>
        <v>22</v>
      </c>
      <c r="F807" s="3" t="str">
        <f>IFERROR(__xludf.DUMMYFUNCTION("""COMPUTED_VALUE"""),"นพอ.ดลณภา คล้ายสุวรรณ์")</f>
        <v>นพอ.ดลณภา คล้ายสุวรรณ์</v>
      </c>
      <c r="G807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07" s="3" t="str">
        <f>IFERROR(__xludf.DUMMYFUNCTION("""COMPUTED_VALUE"""),"บริจาคโลหิต")</f>
        <v>บริจาคโลหิต</v>
      </c>
      <c r="I807" s="3" t="str">
        <f>IFERROR(__xludf.DUMMYFUNCTION("""COMPUTED_VALUE"""),"ศูนย์อนามัยที่ 2")</f>
        <v>ศูนย์อนามัยที่ 2</v>
      </c>
      <c r="J807" s="12">
        <f>IFERROR(__xludf.DUMMYFUNCTION("""COMPUTED_VALUE"""),46102.0)</f>
        <v>46102</v>
      </c>
      <c r="K807" s="3" t="str">
        <f>IFERROR(__xludf.DUMMYFUNCTION("""COMPUTED_VALUE"""),"0800-1600")</f>
        <v>0800-1600</v>
      </c>
      <c r="L807" s="3">
        <f>IFERROR(__xludf.DUMMYFUNCTION("""COMPUTED_VALUE"""),8.0)</f>
        <v>8</v>
      </c>
      <c r="M807" s="3" t="str">
        <f>IFERROR(__xludf.DUMMYFUNCTION("""COMPUTED_VALUE"""),"นายไพโรจน์ คล้ายสุวรรณ์")</f>
        <v>นายไพโรจน์ คล้ายสุวรรณ์</v>
      </c>
      <c r="N807" s="14" t="str">
        <f>IFERROR(__xludf.DUMMYFUNCTION("""COMPUTED_VALUE"""),"https://lh5.googleusercontent.com/d/1H6KE7gvGbUeZWl2qJLjO5__e6dTocaI4")</f>
        <v>https://lh5.googleusercontent.com/d/1H6KE7gvGbUeZWl2qJLjO5__e6dTocaI4</v>
      </c>
      <c r="O807" s="14" t="str">
        <f>IFERROR(__xludf.DUMMYFUNCTION("""COMPUTED_VALUE"""),"https://drive.google.com/file/d/1Fe7U62h1M7N_Pct_vsSKeZXQ7QE01F-k/view?usp=drivesdk")</f>
        <v>https://drive.google.com/file/d/1Fe7U62h1M7N_Pct_vsSKeZXQ7QE01F-k/view?usp=drivesdk</v>
      </c>
    </row>
    <row r="808">
      <c r="A808" s="3">
        <f>IFERROR(__xludf.DUMMYFUNCTION("""COMPUTED_VALUE"""),2927.0)</f>
        <v>2927</v>
      </c>
      <c r="B808" s="11">
        <f>IFERROR(__xludf.DUMMYFUNCTION("""COMPUTED_VALUE"""),46177.871560405096)</f>
        <v>46177.87156</v>
      </c>
      <c r="C808" s="3" t="str">
        <f>IFERROR(__xludf.DUMMYFUNCTION("""COMPUTED_VALUE"""),"ชั้นปีที่ 1")</f>
        <v>ชั้นปีที่ 1</v>
      </c>
      <c r="D808" s="3" t="str">
        <f>IFERROR(__xludf.DUMMYFUNCTION("""COMPUTED_VALUE"""),"6803936")</f>
        <v>6803936</v>
      </c>
      <c r="E808" s="3" t="str">
        <f>IFERROR(__xludf.DUMMYFUNCTION("""COMPUTED_VALUE"""),"55")</f>
        <v>55</v>
      </c>
      <c r="F808" s="3" t="str">
        <f>IFERROR(__xludf.DUMMYFUNCTION("""COMPUTED_VALUE"""),"นพอ.ศศิชา แจ้งปกรณ์กิจ")</f>
        <v>นพอ.ศศิชา แจ้งปกรณ์กิจ</v>
      </c>
      <c r="G808" s="3" t="str">
        <f>IFERROR(__xludf.DUMMYFUNCTION("""COMPUTED_VALUE"""),"ช่วยเหลืองานภายใน วพอ.")</f>
        <v>ช่วยเหลืองานภายใน วพอ.</v>
      </c>
      <c r="H808" s="3" t="str">
        <f>IFERROR(__xludf.DUMMYFUNCTION("""COMPUTED_VALUE""")," ซ้อมงานพิธีมอบหมวกพยาบาลวิชาชีพ ปีการศึกษา 2568")</f>
        <v> ซ้อมงานพิธีมอบหมวกพยาบาลวิชาชีพ ปีการศึกษา 2568</v>
      </c>
      <c r="I808" s="3" t="str">
        <f>IFERROR(__xludf.DUMMYFUNCTION("""COMPUTED_VALUE""")," หอประชุมธูปะเตมีย์ รพ.ภูมิพล")</f>
        <v> หอประชุมธูปะเตมีย์ รพ.ภูมิพล</v>
      </c>
      <c r="J808" s="12">
        <f>IFERROR(__xludf.DUMMYFUNCTION("""COMPUTED_VALUE"""),46139.0)</f>
        <v>46139</v>
      </c>
      <c r="K808" s="3" t="str">
        <f>IFERROR(__xludf.DUMMYFUNCTION("""COMPUTED_VALUE"""),"1700-2100")</f>
        <v>1700-2100</v>
      </c>
      <c r="L808" s="3">
        <f>IFERROR(__xludf.DUMMYFUNCTION("""COMPUTED_VALUE"""),4.0)</f>
        <v>4</v>
      </c>
      <c r="M808" s="3" t="str">
        <f>IFERROR(__xludf.DUMMYFUNCTION("""COMPUTED_VALUE"""),"ร.อ.อนุชิต ทำจะดี")</f>
        <v>ร.อ.อนุชิต ทำจะดี</v>
      </c>
      <c r="N808" s="14" t="str">
        <f>IFERROR(__xludf.DUMMYFUNCTION("""COMPUTED_VALUE"""),"https://lh5.googleusercontent.com/d/165efb5bZhgXECX_k7l2hwJpk7uzRlMsB")</f>
        <v>https://lh5.googleusercontent.com/d/165efb5bZhgXECX_k7l2hwJpk7uzRlMsB</v>
      </c>
      <c r="O808" s="14" t="str">
        <f>IFERROR(__xludf.DUMMYFUNCTION("""COMPUTED_VALUE"""),"https://drive.google.com/file/d/1nDxnKRPHK4AsPBZuP655y_j9eheElcPf/view?usp=drivesdk")</f>
        <v>https://drive.google.com/file/d/1nDxnKRPHK4AsPBZuP655y_j9eheElcPf/view?usp=drivesdk</v>
      </c>
    </row>
    <row r="809">
      <c r="A809" s="3">
        <f>IFERROR(__xludf.DUMMYFUNCTION("""COMPUTED_VALUE"""),2928.0)</f>
        <v>2928</v>
      </c>
      <c r="B809" s="11">
        <f>IFERROR(__xludf.DUMMYFUNCTION("""COMPUTED_VALUE"""),46177.8718262963)</f>
        <v>46177.87183</v>
      </c>
      <c r="C809" s="3" t="str">
        <f>IFERROR(__xludf.DUMMYFUNCTION("""COMPUTED_VALUE"""),"ชั้นปีที่ 1")</f>
        <v>ชั้นปีที่ 1</v>
      </c>
      <c r="D809" s="3" t="str">
        <f>IFERROR(__xludf.DUMMYFUNCTION("""COMPUTED_VALUE"""),"6803923")</f>
        <v>6803923</v>
      </c>
      <c r="E809" s="3" t="str">
        <f>IFERROR(__xludf.DUMMYFUNCTION("""COMPUTED_VALUE"""),"42")</f>
        <v>42</v>
      </c>
      <c r="F809" s="3" t="str">
        <f>IFERROR(__xludf.DUMMYFUNCTION("""COMPUTED_VALUE"""),"นพอ.พิมพ์ณัฐชยา มนนามอญ")</f>
        <v>นพอ.พิมพ์ณัฐชยา มนนามอญ</v>
      </c>
      <c r="G809" s="3" t="str">
        <f>IFERROR(__xludf.DUMMYFUNCTION("""COMPUTED_VALUE"""),"ช่วยเหลืองานภายใน วพอ.")</f>
        <v>ช่วยเหลืองานภายใน วพอ.</v>
      </c>
      <c r="H809" s="3" t="str">
        <f>IFERROR(__xludf.DUMMYFUNCTION("""COMPUTED_VALUE"""),"วงดนตรีไทยงานสงกรานต์ วพอ.")</f>
        <v>วงดนตรีไทยงานสงกรานต์ วพอ.</v>
      </c>
      <c r="I809" s="3" t="str">
        <f>IFERROR(__xludf.DUMMYFUNCTION("""COMPUTED_VALUE"""),"วพอ.พอ.")</f>
        <v>วพอ.พอ.</v>
      </c>
      <c r="J809" s="12">
        <f>IFERROR(__xludf.DUMMYFUNCTION("""COMPUTED_VALUE"""),46122.0)</f>
        <v>46122</v>
      </c>
      <c r="K809" s="3" t="str">
        <f>IFERROR(__xludf.DUMMYFUNCTION("""COMPUTED_VALUE"""),"0600-1000")</f>
        <v>0600-1000</v>
      </c>
      <c r="L809" s="3">
        <f>IFERROR(__xludf.DUMMYFUNCTION("""COMPUTED_VALUE"""),4.0)</f>
        <v>4</v>
      </c>
      <c r="M809" s="3" t="str">
        <f>IFERROR(__xludf.DUMMYFUNCTION("""COMPUTED_VALUE"""),"ร.อ.หญิง ขนัฏฐา นาดี")</f>
        <v>ร.อ.หญิง ขนัฏฐา นาดี</v>
      </c>
      <c r="N809" s="14" t="str">
        <f>IFERROR(__xludf.DUMMYFUNCTION("""COMPUTED_VALUE"""),"https://lh5.googleusercontent.com/d/1HRG-o4dWfhbbwouMQNQKopjDxqQZfhEZ")</f>
        <v>https://lh5.googleusercontent.com/d/1HRG-o4dWfhbbwouMQNQKopjDxqQZfhEZ</v>
      </c>
      <c r="O809" s="14" t="str">
        <f>IFERROR(__xludf.DUMMYFUNCTION("""COMPUTED_VALUE"""),"https://drive.google.com/file/d/1XWH9tLPcex0dJWW8znD4770Dbr93mtgF/view?usp=drivesdk")</f>
        <v>https://drive.google.com/file/d/1XWH9tLPcex0dJWW8znD4770Dbr93mtgF/view?usp=drivesdk</v>
      </c>
    </row>
    <row r="810">
      <c r="A810" s="3">
        <f>IFERROR(__xludf.DUMMYFUNCTION("""COMPUTED_VALUE"""),2930.0)</f>
        <v>2930</v>
      </c>
      <c r="B810" s="11">
        <f>IFERROR(__xludf.DUMMYFUNCTION("""COMPUTED_VALUE"""),46177.87793077547)</f>
        <v>46177.87793</v>
      </c>
      <c r="C810" s="3" t="str">
        <f>IFERROR(__xludf.DUMMYFUNCTION("""COMPUTED_VALUE"""),"ชั้นปีที่ 1")</f>
        <v>ชั้นปีที่ 1</v>
      </c>
      <c r="D810" s="3" t="str">
        <f>IFERROR(__xludf.DUMMYFUNCTION("""COMPUTED_VALUE"""),"6803936")</f>
        <v>6803936</v>
      </c>
      <c r="E810" s="3" t="str">
        <f>IFERROR(__xludf.DUMMYFUNCTION("""COMPUTED_VALUE"""),"55")</f>
        <v>55</v>
      </c>
      <c r="F810" s="3" t="str">
        <f>IFERROR(__xludf.DUMMYFUNCTION("""COMPUTED_VALUE"""),"นพอ.ศศิชา แจ้งปกรณ์กิจ")</f>
        <v>นพอ.ศศิชา แจ้งปกรณ์กิจ</v>
      </c>
      <c r="G810" s="3" t="str">
        <f>IFERROR(__xludf.DUMMYFUNCTION("""COMPUTED_VALUE"""),"ช่วยเหลืองานภายใน วพอ.")</f>
        <v>ช่วยเหลืองานภายใน วพอ.</v>
      </c>
      <c r="H810" s="3" t="str">
        <f>IFERROR(__xludf.DUMMYFUNCTION("""COMPUTED_VALUE"""),"เก็บหินบริเวณรั้วข้างหอพัก")</f>
        <v>เก็บหินบริเวณรั้วข้างหอพัก</v>
      </c>
      <c r="I810" s="3" t="str">
        <f>IFERROR(__xludf.DUMMYFUNCTION("""COMPUTED_VALUE"""),"ลานข้างหอพัก")</f>
        <v>ลานข้างหอพัก</v>
      </c>
      <c r="J810" s="12">
        <f>IFERROR(__xludf.DUMMYFUNCTION("""COMPUTED_VALUE"""),46164.0)</f>
        <v>46164</v>
      </c>
      <c r="K810" s="3" t="str">
        <f>IFERROR(__xludf.DUMMYFUNCTION("""COMPUTED_VALUE"""),"1500-1800")</f>
        <v>1500-1800</v>
      </c>
      <c r="L810" s="3">
        <f>IFERROR(__xludf.DUMMYFUNCTION("""COMPUTED_VALUE"""),3.0)</f>
        <v>3</v>
      </c>
      <c r="M810" s="3" t="str">
        <f>IFERROR(__xludf.DUMMYFUNCTION("""COMPUTED_VALUE"""),"น.อ.หญิง นิตยา สุขแสน")</f>
        <v>น.อ.หญิง นิตยา สุขแสน</v>
      </c>
      <c r="N810" s="14" t="str">
        <f>IFERROR(__xludf.DUMMYFUNCTION("""COMPUTED_VALUE"""),"https://lh5.googleusercontent.com/d/1qodJqQQ4XRIE0Gh_NYRnZQ2NGjsOnuNv")</f>
        <v>https://lh5.googleusercontent.com/d/1qodJqQQ4XRIE0Gh_NYRnZQ2NGjsOnuNv</v>
      </c>
      <c r="O810" s="14" t="str">
        <f>IFERROR(__xludf.DUMMYFUNCTION("""COMPUTED_VALUE"""),"https://drive.google.com/file/d/1vtM1edchL2ZdT6uTj-zEQ9RMWs5v3yJd/view?usp=drivesdk")</f>
        <v>https://drive.google.com/file/d/1vtM1edchL2ZdT6uTj-zEQ9RMWs5v3yJd/view?usp=drivesdk</v>
      </c>
    </row>
    <row r="811">
      <c r="A811" s="3">
        <f>IFERROR(__xludf.DUMMYFUNCTION("""COMPUTED_VALUE"""),2931.0)</f>
        <v>2931</v>
      </c>
      <c r="B811" s="11">
        <f>IFERROR(__xludf.DUMMYFUNCTION("""COMPUTED_VALUE"""),46177.88514844907)</f>
        <v>46177.88515</v>
      </c>
      <c r="C811" s="3" t="str">
        <f>IFERROR(__xludf.DUMMYFUNCTION("""COMPUTED_VALUE"""),"ชั้นปีที่ 1")</f>
        <v>ชั้นปีที่ 1</v>
      </c>
      <c r="D811" s="3" t="str">
        <f>IFERROR(__xludf.DUMMYFUNCTION("""COMPUTED_VALUE"""),"6803917")</f>
        <v>6803917</v>
      </c>
      <c r="E811" s="3" t="str">
        <f>IFERROR(__xludf.DUMMYFUNCTION("""COMPUTED_VALUE"""),"36")</f>
        <v>36</v>
      </c>
      <c r="F811" s="3" t="str">
        <f>IFERROR(__xludf.DUMMYFUNCTION("""COMPUTED_VALUE"""),"นพอ.ไปรยา อิ่มเหว่า")</f>
        <v>นพอ.ไปรยา อิ่มเหว่า</v>
      </c>
      <c r="G81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1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11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811" s="12">
        <f>IFERROR(__xludf.DUMMYFUNCTION("""COMPUTED_VALUE"""),46078.0)</f>
        <v>46078</v>
      </c>
      <c r="K811" s="3" t="str">
        <f>IFERROR(__xludf.DUMMYFUNCTION("""COMPUTED_VALUE"""),"1200-2000")</f>
        <v>1200-2000</v>
      </c>
      <c r="L811" s="3">
        <f>IFERROR(__xludf.DUMMYFUNCTION("""COMPUTED_VALUE"""),8.0)</f>
        <v>8</v>
      </c>
      <c r="M811" s="3" t="str">
        <f>IFERROR(__xludf.DUMMYFUNCTION("""COMPUTED_VALUE"""),"น.ต.หญิง ขวัญชนก พ่วงนาคพันธุ์ ")</f>
        <v>น.ต.หญิง ขวัญชนก พ่วงนาคพันธุ์ </v>
      </c>
      <c r="N811" s="14" t="str">
        <f>IFERROR(__xludf.DUMMYFUNCTION("""COMPUTED_VALUE"""),"https://lh5.googleusercontent.com/d/1D-A96oX9DqtAjyEoujW8e0kshvk02s0a")</f>
        <v>https://lh5.googleusercontent.com/d/1D-A96oX9DqtAjyEoujW8e0kshvk02s0a</v>
      </c>
      <c r="O811" s="14" t="str">
        <f>IFERROR(__xludf.DUMMYFUNCTION("""COMPUTED_VALUE"""),"https://drive.google.com/file/d/1Eu0GtJlt22l7LQzWkm67ndUP6bl6G-1h/view?usp=drivesdk")</f>
        <v>https://drive.google.com/file/d/1Eu0GtJlt22l7LQzWkm67ndUP6bl6G-1h/view?usp=drivesdk</v>
      </c>
    </row>
    <row r="812">
      <c r="A812" s="3">
        <f>IFERROR(__xludf.DUMMYFUNCTION("""COMPUTED_VALUE"""),2934.0)</f>
        <v>2934</v>
      </c>
      <c r="B812" s="11">
        <f>IFERROR(__xludf.DUMMYFUNCTION("""COMPUTED_VALUE"""),46177.93002892361)</f>
        <v>46177.93003</v>
      </c>
      <c r="C812" s="3" t="str">
        <f>IFERROR(__xludf.DUMMYFUNCTION("""COMPUTED_VALUE"""),"ชั้นปีที่ 1")</f>
        <v>ชั้นปีที่ 1</v>
      </c>
      <c r="D812" s="3" t="str">
        <f>IFERROR(__xludf.DUMMYFUNCTION("""COMPUTED_VALUE"""),"6803896")</f>
        <v>6803896</v>
      </c>
      <c r="E812" s="3" t="str">
        <f>IFERROR(__xludf.DUMMYFUNCTION("""COMPUTED_VALUE"""),"15")</f>
        <v>15</v>
      </c>
      <c r="F812" s="3" t="str">
        <f>IFERROR(__xludf.DUMMYFUNCTION("""COMPUTED_VALUE"""),"นพอ.ณัชปวีย์ เยาวภา")</f>
        <v>นพอ.ณัชปวีย์ เยาวภา</v>
      </c>
      <c r="G812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12" s="3" t="str">
        <f>IFERROR(__xludf.DUMMYFUNCTION("""COMPUTED_VALUE"""),"Green Markets")</f>
        <v>Green Markets</v>
      </c>
      <c r="I812" s="3" t="str">
        <f>IFERROR(__xludf.DUMMYFUNCTION("""COMPUTED_VALUE"""),"อาคารอเนกประสงค์ชาวฟ้าสโมสรทหารอากาศชั้นประทวน")</f>
        <v>อาคารอเนกประสงค์ชาวฟ้าสโมสรทหารอากาศชั้นประทวน</v>
      </c>
      <c r="J812" s="12">
        <f>IFERROR(__xludf.DUMMYFUNCTION("""COMPUTED_VALUE"""),46134.0)</f>
        <v>46134</v>
      </c>
      <c r="K812" s="3" t="str">
        <f>IFERROR(__xludf.DUMMYFUNCTION("""COMPUTED_VALUE"""),"ร.อ.ฤทธิพล อ้วนสิงห์")</f>
        <v>ร.อ.ฤทธิพล อ้วนสิงห์</v>
      </c>
      <c r="L812" s="3"/>
      <c r="M812" s="3" t="str">
        <f>IFERROR(__xludf.DUMMYFUNCTION("""COMPUTED_VALUE"""),"ร.อ.ฤทธิพล อ้วนสิงห์")</f>
        <v>ร.อ.ฤทธิพล อ้วนสิงห์</v>
      </c>
      <c r="N812" s="14" t="str">
        <f>IFERROR(__xludf.DUMMYFUNCTION("""COMPUTED_VALUE"""),"https://lh5.googleusercontent.com/d/1aycegNn0Y3k_Bbop_xNS5p7lzYjF2M7O")</f>
        <v>https://lh5.googleusercontent.com/d/1aycegNn0Y3k_Bbop_xNS5p7lzYjF2M7O</v>
      </c>
      <c r="O812" s="14" t="str">
        <f>IFERROR(__xludf.DUMMYFUNCTION("""COMPUTED_VALUE"""),"https://drive.google.com/file/d/1kpyebnxTMitDA3ytRZBEtxRgPRzXR2mk/view?usp=drivesdk")</f>
        <v>https://drive.google.com/file/d/1kpyebnxTMitDA3ytRZBEtxRgPRzXR2mk/view?usp=drivesdk</v>
      </c>
    </row>
    <row r="813">
      <c r="A813" s="3">
        <f>IFERROR(__xludf.DUMMYFUNCTION("""COMPUTED_VALUE"""),2935.0)</f>
        <v>2935</v>
      </c>
      <c r="B813" s="11">
        <f>IFERROR(__xludf.DUMMYFUNCTION("""COMPUTED_VALUE"""),46177.895982685186)</f>
        <v>46177.89598</v>
      </c>
      <c r="C813" s="3" t="str">
        <f>IFERROR(__xludf.DUMMYFUNCTION("""COMPUTED_VALUE"""),"ชั้นปีที่ 1")</f>
        <v>ชั้นปีที่ 1</v>
      </c>
      <c r="D813" s="3" t="str">
        <f>IFERROR(__xludf.DUMMYFUNCTION("""COMPUTED_VALUE"""),"6803886")</f>
        <v>6803886</v>
      </c>
      <c r="E813" s="3" t="str">
        <f>IFERROR(__xludf.DUMMYFUNCTION("""COMPUTED_VALUE"""),"5")</f>
        <v>5</v>
      </c>
      <c r="F813" s="3" t="str">
        <f>IFERROR(__xludf.DUMMYFUNCTION("""COMPUTED_VALUE"""),"นพอ.กัญญพัชร ทองสุข")</f>
        <v>นพอ.กัญญพัชร ทองสุข</v>
      </c>
      <c r="G813" s="3" t="str">
        <f>IFERROR(__xludf.DUMMYFUNCTION("""COMPUTED_VALUE"""),"ช่วยเหลืองานภายใน วพอ.")</f>
        <v>ช่วยเหลืองานภายใน วพอ.</v>
      </c>
      <c r="H813" s="3" t="str">
        <f>IFERROR(__xludf.DUMMYFUNCTION("""COMPUTED_VALUE"""),"ทำลายเอกสาร")</f>
        <v>ทำลายเอกสาร</v>
      </c>
      <c r="I813" s="3" t="str">
        <f>IFERROR(__xludf.DUMMYFUNCTION("""COMPUTED_VALUE"""),"วพอ.พอ.")</f>
        <v>วพอ.พอ.</v>
      </c>
      <c r="J813" s="12">
        <f>IFERROR(__xludf.DUMMYFUNCTION("""COMPUTED_VALUE"""),46009.0)</f>
        <v>46009</v>
      </c>
      <c r="K813" s="3" t="str">
        <f>IFERROR(__xludf.DUMMYFUNCTION("""COMPUTED_VALUE"""),"1000-1500")</f>
        <v>1000-1500</v>
      </c>
      <c r="L813" s="3">
        <f>IFERROR(__xludf.DUMMYFUNCTION("""COMPUTED_VALUE"""),4.0)</f>
        <v>4</v>
      </c>
      <c r="M813" s="3" t="str">
        <f>IFERROR(__xludf.DUMMYFUNCTION("""COMPUTED_VALUE""")," น.ต. หญิง ขวัญชนก พ่วงนาคพันธุ์ ")</f>
        <v> น.ต. หญิง ขวัญชนก พ่วงนาคพันธุ์ </v>
      </c>
      <c r="N813" s="14" t="str">
        <f>IFERROR(__xludf.DUMMYFUNCTION("""COMPUTED_VALUE"""),"https://lh5.googleusercontent.com/d/1nsm2Qt6UY_7-8lUfQitDjOkYA3dbXtvV")</f>
        <v>https://lh5.googleusercontent.com/d/1nsm2Qt6UY_7-8lUfQitDjOkYA3dbXtvV</v>
      </c>
      <c r="O813" s="14" t="str">
        <f>IFERROR(__xludf.DUMMYFUNCTION("""COMPUTED_VALUE"""),"https://drive.google.com/file/d/1e8jeF_qen5qs5gkLXwuTjJmBmUkIKUGf/view?usp=drivesdk")</f>
        <v>https://drive.google.com/file/d/1e8jeF_qen5qs5gkLXwuTjJmBmUkIKUGf/view?usp=drivesdk</v>
      </c>
    </row>
    <row r="814">
      <c r="A814" s="3">
        <f>IFERROR(__xludf.DUMMYFUNCTION("""COMPUTED_VALUE"""),2936.0)</f>
        <v>2936</v>
      </c>
      <c r="B814" s="11">
        <f>IFERROR(__xludf.DUMMYFUNCTION("""COMPUTED_VALUE"""),46177.93079732639)</f>
        <v>46177.9308</v>
      </c>
      <c r="C814" s="3" t="str">
        <f>IFERROR(__xludf.DUMMYFUNCTION("""COMPUTED_VALUE"""),"ชั้นปีที่ 1")</f>
        <v>ชั้นปีที่ 1</v>
      </c>
      <c r="D814" s="3" t="str">
        <f>IFERROR(__xludf.DUMMYFUNCTION("""COMPUTED_VALUE"""),"6803896")</f>
        <v>6803896</v>
      </c>
      <c r="E814" s="3" t="str">
        <f>IFERROR(__xludf.DUMMYFUNCTION("""COMPUTED_VALUE"""),"15")</f>
        <v>15</v>
      </c>
      <c r="F814" s="3" t="str">
        <f>IFERROR(__xludf.DUMMYFUNCTION("""COMPUTED_VALUE"""),"นพอ.ณัชปวีย์ เยาวภา")</f>
        <v>นพอ.ณัชปวีย์ เยาวภา</v>
      </c>
      <c r="G814" s="3" t="str">
        <f>IFERROR(__xludf.DUMMYFUNCTION("""COMPUTED_VALUE"""),"ช่วยเหลืองานภายใน วพอ.")</f>
        <v>ช่วยเหลืองานภายใน วพอ.</v>
      </c>
      <c r="H814" s="3" t="str">
        <f>IFERROR(__xludf.DUMMYFUNCTION("""COMPUTED_VALUE"""),"เล่นดุริยางค์")</f>
        <v>เล่นดุริยางค์</v>
      </c>
      <c r="I814" s="3" t="str">
        <f>IFERROR(__xludf.DUMMYFUNCTION("""COMPUTED_VALUE"""),"วพอ.พอ.")</f>
        <v>วพอ.พอ.</v>
      </c>
      <c r="J814" s="12">
        <f>IFERROR(__xludf.DUMMYFUNCTION("""COMPUTED_VALUE"""),46154.0)</f>
        <v>46154</v>
      </c>
      <c r="K814" s="3" t="str">
        <f>IFERROR(__xludf.DUMMYFUNCTION("""COMPUTED_VALUE"""),"ร.อ.อนุชิต ทำจะดี")</f>
        <v>ร.อ.อนุชิต ทำจะดี</v>
      </c>
      <c r="L814" s="3"/>
      <c r="M814" s="3" t="str">
        <f>IFERROR(__xludf.DUMMYFUNCTION("""COMPUTED_VALUE"""),"ร.อ.อนุชิต ทำจะดี")</f>
        <v>ร.อ.อนุชิต ทำจะดี</v>
      </c>
      <c r="N814" s="14" t="str">
        <f>IFERROR(__xludf.DUMMYFUNCTION("""COMPUTED_VALUE"""),"https://lh5.googleusercontent.com/d/13Llmdl2OWb-zMSrnxsyf2pzYlqzLl-VT")</f>
        <v>https://lh5.googleusercontent.com/d/13Llmdl2OWb-zMSrnxsyf2pzYlqzLl-VT</v>
      </c>
      <c r="O814" s="14" t="str">
        <f>IFERROR(__xludf.DUMMYFUNCTION("""COMPUTED_VALUE"""),"https://drive.google.com/file/d/1NJQTibgpQ5PyOy4kpRtcDpIzijBkdbCt/view?usp=drivesdk")</f>
        <v>https://drive.google.com/file/d/1NJQTibgpQ5PyOy4kpRtcDpIzijBkdbCt/view?usp=drivesdk</v>
      </c>
    </row>
    <row r="815">
      <c r="A815" s="3">
        <f>IFERROR(__xludf.DUMMYFUNCTION("""COMPUTED_VALUE"""),2937.0)</f>
        <v>2937</v>
      </c>
      <c r="B815" s="11">
        <f>IFERROR(__xludf.DUMMYFUNCTION("""COMPUTED_VALUE"""),46177.89911233796)</f>
        <v>46177.89911</v>
      </c>
      <c r="C815" s="3" t="str">
        <f>IFERROR(__xludf.DUMMYFUNCTION("""COMPUTED_VALUE"""),"ชั้นปีที่ 1")</f>
        <v>ชั้นปีที่ 1</v>
      </c>
      <c r="D815" s="3" t="str">
        <f>IFERROR(__xludf.DUMMYFUNCTION("""COMPUTED_VALUE"""),"6803942")</f>
        <v>6803942</v>
      </c>
      <c r="E815" s="3" t="str">
        <f>IFERROR(__xludf.DUMMYFUNCTION("""COMPUTED_VALUE"""),"61")</f>
        <v>61</v>
      </c>
      <c r="F815" s="3" t="str">
        <f>IFERROR(__xludf.DUMMYFUNCTION("""COMPUTED_VALUE"""),"นพอ.อชิรญา อ่อนเปรี้ยว")</f>
        <v>นพอ.อชิรญา อ่อนเปรี้ยว</v>
      </c>
      <c r="G815" s="3" t="str">
        <f>IFERROR(__xludf.DUMMYFUNCTION("""COMPUTED_VALUE"""),"ช่วยเหลืองานภายใน วพอ.")</f>
        <v>ช่วยเหลืองานภายใน วพอ.</v>
      </c>
      <c r="H815" s="3" t="str">
        <f>IFERROR(__xludf.DUMMYFUNCTION("""COMPUTED_VALUE"""),"วงดนตรีไทยงานสงกรานต์วพอ.")</f>
        <v>วงดนตรีไทยงานสงกรานต์วพอ.</v>
      </c>
      <c r="I815" s="3" t="str">
        <f>IFERROR(__xludf.DUMMYFUNCTION("""COMPUTED_VALUE"""),"วพอ.พอ.")</f>
        <v>วพอ.พอ.</v>
      </c>
      <c r="J815" s="12">
        <f>IFERROR(__xludf.DUMMYFUNCTION("""COMPUTED_VALUE"""),46122.0)</f>
        <v>46122</v>
      </c>
      <c r="K815" s="3" t="str">
        <f>IFERROR(__xludf.DUMMYFUNCTION("""COMPUTED_VALUE"""),"0600-1000")</f>
        <v>0600-1000</v>
      </c>
      <c r="L815" s="3">
        <f>IFERROR(__xludf.DUMMYFUNCTION("""COMPUTED_VALUE"""),4.0)</f>
        <v>4</v>
      </c>
      <c r="M815" s="3" t="str">
        <f>IFERROR(__xludf.DUMMYFUNCTION("""COMPUTED_VALUE"""),"ร.อ.หญิง ขนัฏฐา นาดี ")</f>
        <v>ร.อ.หญิง ขนัฏฐา นาดี </v>
      </c>
      <c r="N815" s="14" t="str">
        <f>IFERROR(__xludf.DUMMYFUNCTION("""COMPUTED_VALUE"""),"https://lh5.googleusercontent.com/d/1FUGBRYPLNrPwFsCyp3CylgJPiGPeqGna")</f>
        <v>https://lh5.googleusercontent.com/d/1FUGBRYPLNrPwFsCyp3CylgJPiGPeqGna</v>
      </c>
      <c r="O815" s="14" t="str">
        <f>IFERROR(__xludf.DUMMYFUNCTION("""COMPUTED_VALUE"""),"https://drive.google.com/file/d/14HW0mVG_C45FfGScWT5B7abjiOM5ALFU/view?usp=drivesdk")</f>
        <v>https://drive.google.com/file/d/14HW0mVG_C45FfGScWT5B7abjiOM5ALFU/view?usp=drivesdk</v>
      </c>
    </row>
    <row r="816">
      <c r="A816" s="3">
        <f>IFERROR(__xludf.DUMMYFUNCTION("""COMPUTED_VALUE"""),2938.0)</f>
        <v>2938</v>
      </c>
      <c r="B816" s="11">
        <f>IFERROR(__xludf.DUMMYFUNCTION("""COMPUTED_VALUE"""),46177.900089456016)</f>
        <v>46177.90009</v>
      </c>
      <c r="C816" s="3" t="str">
        <f>IFERROR(__xludf.DUMMYFUNCTION("""COMPUTED_VALUE"""),"ชั้นปีที่ 1")</f>
        <v>ชั้นปีที่ 1</v>
      </c>
      <c r="D816" s="3" t="str">
        <f>IFERROR(__xludf.DUMMYFUNCTION("""COMPUTED_VALUE"""),"6803886")</f>
        <v>6803886</v>
      </c>
      <c r="E816" s="3" t="str">
        <f>IFERROR(__xludf.DUMMYFUNCTION("""COMPUTED_VALUE"""),"5")</f>
        <v>5</v>
      </c>
      <c r="F816" s="3" t="str">
        <f>IFERROR(__xludf.DUMMYFUNCTION("""COMPUTED_VALUE"""),"นพอ.กัญญพัชร ทองสุข")</f>
        <v>นพอ.กัญญพัชร ทองสุข</v>
      </c>
      <c r="G816" s="3" t="str">
        <f>IFERROR(__xludf.DUMMYFUNCTION("""COMPUTED_VALUE"""),"ช่วยเหลืองานภายใน วพอ.")</f>
        <v>ช่วยเหลืองานภายใน วพอ.</v>
      </c>
      <c r="H816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16" s="3" t="str">
        <f>IFERROR(__xludf.DUMMYFUNCTION("""COMPUTED_VALUE"""),"ลานข้างหอพัก")</f>
        <v>ลานข้างหอพัก</v>
      </c>
      <c r="J816" s="12">
        <f>IFERROR(__xludf.DUMMYFUNCTION("""COMPUTED_VALUE"""),46164.0)</f>
        <v>46164</v>
      </c>
      <c r="K816" s="3" t="str">
        <f>IFERROR(__xludf.DUMMYFUNCTION("""COMPUTED_VALUE"""),"1500-1700")</f>
        <v>1500-1700</v>
      </c>
      <c r="L816" s="3">
        <f>IFERROR(__xludf.DUMMYFUNCTION("""COMPUTED_VALUE"""),2.0)</f>
        <v>2</v>
      </c>
      <c r="M816" s="3" t="str">
        <f>IFERROR(__xludf.DUMMYFUNCTION("""COMPUTED_VALUE"""),"น.อ.หญิง นิตยา สุขแสน")</f>
        <v>น.อ.หญิง นิตยา สุขแสน</v>
      </c>
      <c r="N816" s="14" t="str">
        <f>IFERROR(__xludf.DUMMYFUNCTION("""COMPUTED_VALUE"""),"https://lh5.googleusercontent.com/d/1qyjr_QEPVURnniubTSq7PaN8OxsA23X2")</f>
        <v>https://lh5.googleusercontent.com/d/1qyjr_QEPVURnniubTSq7PaN8OxsA23X2</v>
      </c>
      <c r="O816" s="14" t="str">
        <f>IFERROR(__xludf.DUMMYFUNCTION("""COMPUTED_VALUE"""),"https://drive.google.com/file/d/1zyHjGZxmDGcAVY6GXnzmpyVPmhE7ITSK/view?usp=drivesdk")</f>
        <v>https://drive.google.com/file/d/1zyHjGZxmDGcAVY6GXnzmpyVPmhE7ITSK/view?usp=drivesdk</v>
      </c>
    </row>
    <row r="817">
      <c r="A817" s="3">
        <f>IFERROR(__xludf.DUMMYFUNCTION("""COMPUTED_VALUE"""),2940.0)</f>
        <v>2940</v>
      </c>
      <c r="B817" s="11">
        <f>IFERROR(__xludf.DUMMYFUNCTION("""COMPUTED_VALUE"""),46177.90398193287)</f>
        <v>46177.90398</v>
      </c>
      <c r="C817" s="3" t="str">
        <f>IFERROR(__xludf.DUMMYFUNCTION("""COMPUTED_VALUE"""),"ชั้นปีที่ 1")</f>
        <v>ชั้นปีที่ 1</v>
      </c>
      <c r="D817" s="3" t="str">
        <f>IFERROR(__xludf.DUMMYFUNCTION("""COMPUTED_VALUE"""),"6803886")</f>
        <v>6803886</v>
      </c>
      <c r="E817" s="3" t="str">
        <f>IFERROR(__xludf.DUMMYFUNCTION("""COMPUTED_VALUE"""),"5")</f>
        <v>5</v>
      </c>
      <c r="F817" s="3" t="str">
        <f>IFERROR(__xludf.DUMMYFUNCTION("""COMPUTED_VALUE"""),"นพอ.กัญญพัชร ทองสุข")</f>
        <v>นพอ.กัญญพัชร ทองสุข</v>
      </c>
      <c r="G817" s="3" t="str">
        <f>IFERROR(__xludf.DUMMYFUNCTION("""COMPUTED_VALUE"""),"งานฟรีทั่วไป")</f>
        <v>งานฟรีทั่วไป</v>
      </c>
      <c r="H817" s="3" t="str">
        <f>IFERROR(__xludf.DUMMYFUNCTION("""COMPUTED_VALUE"""),"ทำความสะอาดบ้าน")</f>
        <v>ทำความสะอาดบ้าน</v>
      </c>
      <c r="I817" s="3" t="str">
        <f>IFERROR(__xludf.DUMMYFUNCTION("""COMPUTED_VALUE"""),"บ้าน")</f>
        <v>บ้าน</v>
      </c>
      <c r="J817" s="12">
        <f>IFERROR(__xludf.DUMMYFUNCTION("""COMPUTED_VALUE"""),46165.0)</f>
        <v>46165</v>
      </c>
      <c r="K817" s="3" t="str">
        <f>IFERROR(__xludf.DUMMYFUNCTION("""COMPUTED_VALUE"""),"1500-1600")</f>
        <v>1500-1600</v>
      </c>
      <c r="L817" s="3">
        <f>IFERROR(__xludf.DUMMYFUNCTION("""COMPUTED_VALUE"""),1.0)</f>
        <v>1</v>
      </c>
      <c r="M817" s="3" t="str">
        <f>IFERROR(__xludf.DUMMYFUNCTION("""COMPUTED_VALUE"""),"นางสาวอุไรวรรณ วารีบ่อ")</f>
        <v>นางสาวอุไรวรรณ วารีบ่อ</v>
      </c>
      <c r="N817" s="14" t="str">
        <f>IFERROR(__xludf.DUMMYFUNCTION("""COMPUTED_VALUE"""),"https://lh5.googleusercontent.com/d/1CiqJ8ukiiaaZTyq8PDcMLmX2haP3Mlax")</f>
        <v>https://lh5.googleusercontent.com/d/1CiqJ8ukiiaaZTyq8PDcMLmX2haP3Mlax</v>
      </c>
      <c r="O817" s="14" t="str">
        <f>IFERROR(__xludf.DUMMYFUNCTION("""COMPUTED_VALUE"""),"https://drive.google.com/file/d/1ZQTqLu2oNwj2xN82N6wIkTapKgZG1MNz/view?usp=drivesdk")</f>
        <v>https://drive.google.com/file/d/1ZQTqLu2oNwj2xN82N6wIkTapKgZG1MNz/view?usp=drivesdk</v>
      </c>
    </row>
    <row r="818">
      <c r="A818" s="3">
        <f>IFERROR(__xludf.DUMMYFUNCTION("""COMPUTED_VALUE"""),2942.0)</f>
        <v>2942</v>
      </c>
      <c r="B818" s="11">
        <f>IFERROR(__xludf.DUMMYFUNCTION("""COMPUTED_VALUE"""),46177.90728392361)</f>
        <v>46177.90728</v>
      </c>
      <c r="C818" s="3" t="str">
        <f>IFERROR(__xludf.DUMMYFUNCTION("""COMPUTED_VALUE"""),"ชั้นปีที่ 1")</f>
        <v>ชั้นปีที่ 1</v>
      </c>
      <c r="D818" s="3" t="str">
        <f>IFERROR(__xludf.DUMMYFUNCTION("""COMPUTED_VALUE"""),"6803886")</f>
        <v>6803886</v>
      </c>
      <c r="E818" s="3" t="str">
        <f>IFERROR(__xludf.DUMMYFUNCTION("""COMPUTED_VALUE"""),"5")</f>
        <v>5</v>
      </c>
      <c r="F818" s="3" t="str">
        <f>IFERROR(__xludf.DUMMYFUNCTION("""COMPUTED_VALUE"""),"นพอ.กัญญพัชร ทองสุข")</f>
        <v>นพอ.กัญญพัชร ทองสุข</v>
      </c>
      <c r="G818" s="3" t="str">
        <f>IFERROR(__xludf.DUMMYFUNCTION("""COMPUTED_VALUE"""),"งานฟรีทั่วไป")</f>
        <v>งานฟรีทั่วไป</v>
      </c>
      <c r="H818" s="3" t="str">
        <f>IFERROR(__xludf.DUMMYFUNCTION("""COMPUTED_VALUE"""),"ซักผ้า")</f>
        <v>ซักผ้า</v>
      </c>
      <c r="I818" s="3" t="str">
        <f>IFERROR(__xludf.DUMMYFUNCTION("""COMPUTED_VALUE"""),"บ้าน")</f>
        <v>บ้าน</v>
      </c>
      <c r="J818" s="12">
        <f>IFERROR(__xludf.DUMMYFUNCTION("""COMPUTED_VALUE"""),46172.0)</f>
        <v>46172</v>
      </c>
      <c r="K818" s="3" t="str">
        <f>IFERROR(__xludf.DUMMYFUNCTION("""COMPUTED_VALUE"""),"1500-1700")</f>
        <v>1500-1700</v>
      </c>
      <c r="L818" s="3">
        <f>IFERROR(__xludf.DUMMYFUNCTION("""COMPUTED_VALUE"""),2.0)</f>
        <v>2</v>
      </c>
      <c r="M818" s="3" t="str">
        <f>IFERROR(__xludf.DUMMYFUNCTION("""COMPUTED_VALUE"""),"นางสาวอุไรวรรณ วารีบ่อ")</f>
        <v>นางสาวอุไรวรรณ วารีบ่อ</v>
      </c>
      <c r="N818" s="14" t="str">
        <f>IFERROR(__xludf.DUMMYFUNCTION("""COMPUTED_VALUE"""),"https://lh5.googleusercontent.com/d/1brqJyYH_POgP9gfoSUwRClE2ociPvgiA")</f>
        <v>https://lh5.googleusercontent.com/d/1brqJyYH_POgP9gfoSUwRClE2ociPvgiA</v>
      </c>
      <c r="O818" s="14" t="str">
        <f>IFERROR(__xludf.DUMMYFUNCTION("""COMPUTED_VALUE"""),"https://drive.google.com/file/d/19YrQUD7EVDjGhv1UsiISvtZVC8kjpsAY/view?usp=drivesdk")</f>
        <v>https://drive.google.com/file/d/19YrQUD7EVDjGhv1UsiISvtZVC8kjpsAY/view?usp=drivesdk</v>
      </c>
    </row>
    <row r="819">
      <c r="A819" s="3">
        <f>IFERROR(__xludf.DUMMYFUNCTION("""COMPUTED_VALUE"""),2943.0)</f>
        <v>2943</v>
      </c>
      <c r="B819" s="11">
        <f>IFERROR(__xludf.DUMMYFUNCTION("""COMPUTED_VALUE"""),46177.95379978009)</f>
        <v>46177.9538</v>
      </c>
      <c r="C819" s="3" t="str">
        <f>IFERROR(__xludf.DUMMYFUNCTION("""COMPUTED_VALUE"""),"ชั้นปีที่ 1")</f>
        <v>ชั้นปีที่ 1</v>
      </c>
      <c r="D819" s="3" t="str">
        <f>IFERROR(__xludf.DUMMYFUNCTION("""COMPUTED_VALUE"""),"6803896")</f>
        <v>6803896</v>
      </c>
      <c r="E819" s="3" t="str">
        <f>IFERROR(__xludf.DUMMYFUNCTION("""COMPUTED_VALUE"""),"15")</f>
        <v>15</v>
      </c>
      <c r="F819" s="3" t="str">
        <f>IFERROR(__xludf.DUMMYFUNCTION("""COMPUTED_VALUE"""),"นพอ.ณัชปวีย์ เยาวภา")</f>
        <v>นพอ.ณัชปวีย์ เยาวภา</v>
      </c>
      <c r="G819" s="3" t="str">
        <f>IFERROR(__xludf.DUMMYFUNCTION("""COMPUTED_VALUE"""),"ช่วยเหลืองานภายใน วพอ.")</f>
        <v>ช่วยเหลืองานภายใน วพอ.</v>
      </c>
      <c r="H819" s="3" t="str">
        <f>IFERROR(__xludf.DUMMYFUNCTION("""COMPUTED_VALUE"""),"เล่นดุริยางค์")</f>
        <v>เล่นดุริยางค์</v>
      </c>
      <c r="I819" s="3" t="str">
        <f>IFERROR(__xludf.DUMMYFUNCTION("""COMPUTED_VALUE"""),"วพอ.พอ.")</f>
        <v>วพอ.พอ.</v>
      </c>
      <c r="J819" s="12">
        <f>IFERROR(__xludf.DUMMYFUNCTION("""COMPUTED_VALUE"""),46119.0)</f>
        <v>46119</v>
      </c>
      <c r="K819" s="3" t="str">
        <f>IFERROR(__xludf.DUMMYFUNCTION("""COMPUTED_VALUE"""),"ร.อ.อนุชิต ทำจะดี")</f>
        <v>ร.อ.อนุชิต ทำจะดี</v>
      </c>
      <c r="L819" s="3"/>
      <c r="M819" s="3" t="str">
        <f>IFERROR(__xludf.DUMMYFUNCTION("""COMPUTED_VALUE"""),"ร.อ.อนุชิต ทำจะดี")</f>
        <v>ร.อ.อนุชิต ทำจะดี</v>
      </c>
      <c r="N819" s="14" t="str">
        <f>IFERROR(__xludf.DUMMYFUNCTION("""COMPUTED_VALUE"""),"https://lh5.googleusercontent.com/d/1_AmvQgiQCyeFt3hJHPN8Np_HGx1mkY5Y")</f>
        <v>https://lh5.googleusercontent.com/d/1_AmvQgiQCyeFt3hJHPN8Np_HGx1mkY5Y</v>
      </c>
      <c r="O819" s="14" t="str">
        <f>IFERROR(__xludf.DUMMYFUNCTION("""COMPUTED_VALUE"""),"https://drive.google.com/file/d/1bQ-anlRN0JwoZZak4wQiq_DOU4UDK6aA/view?usp=drivesdk")</f>
        <v>https://drive.google.com/file/d/1bQ-anlRN0JwoZZak4wQiq_DOU4UDK6aA/view?usp=drivesdk</v>
      </c>
    </row>
    <row r="820">
      <c r="A820" s="3">
        <f>IFERROR(__xludf.DUMMYFUNCTION("""COMPUTED_VALUE"""),2944.0)</f>
        <v>2944</v>
      </c>
      <c r="B820" s="11">
        <f>IFERROR(__xludf.DUMMYFUNCTION("""COMPUTED_VALUE"""),46177.95445650463)</f>
        <v>46177.95446</v>
      </c>
      <c r="C820" s="3" t="str">
        <f>IFERROR(__xludf.DUMMYFUNCTION("""COMPUTED_VALUE"""),"ชั้นปีที่ 1")</f>
        <v>ชั้นปีที่ 1</v>
      </c>
      <c r="D820" s="3" t="str">
        <f>IFERROR(__xludf.DUMMYFUNCTION("""COMPUTED_VALUE"""),"6803896")</f>
        <v>6803896</v>
      </c>
      <c r="E820" s="3" t="str">
        <f>IFERROR(__xludf.DUMMYFUNCTION("""COMPUTED_VALUE"""),"15")</f>
        <v>15</v>
      </c>
      <c r="F820" s="3" t="str">
        <f>IFERROR(__xludf.DUMMYFUNCTION("""COMPUTED_VALUE"""),"นพอ.ณัชปวีย์ เยาวภา")</f>
        <v>นพอ.ณัชปวีย์ เยาวภา</v>
      </c>
      <c r="G820" s="3" t="str">
        <f>IFERROR(__xludf.DUMMYFUNCTION("""COMPUTED_VALUE"""),"ช่วยเหลืองานภายใน วพอ.")</f>
        <v>ช่วยเหลืองานภายใน วพอ.</v>
      </c>
      <c r="H820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20" s="3" t="str">
        <f>IFERROR(__xludf.DUMMYFUNCTION("""COMPUTED_VALUE"""),"อาคารสำนักงานชั้น4")</f>
        <v>อาคารสำนักงานชั้น4</v>
      </c>
      <c r="J820" s="12">
        <f>IFERROR(__xludf.DUMMYFUNCTION("""COMPUTED_VALUE"""),46147.0)</f>
        <v>46147</v>
      </c>
      <c r="K820" s="3" t="str">
        <f>IFERROR(__xludf.DUMMYFUNCTION("""COMPUTED_VALUE"""),"น.ต.ศักชัย บุญประสิทธิ์")</f>
        <v>น.ต.ศักชัย บุญประสิทธิ์</v>
      </c>
      <c r="L820" s="3"/>
      <c r="M820" s="3" t="str">
        <f>IFERROR(__xludf.DUMMYFUNCTION("""COMPUTED_VALUE"""),"น.ต.ศักชัย บุญประสิทธิ์")</f>
        <v>น.ต.ศักชัย บุญประสิทธิ์</v>
      </c>
      <c r="N820" s="14" t="str">
        <f>IFERROR(__xludf.DUMMYFUNCTION("""COMPUTED_VALUE"""),"https://lh5.googleusercontent.com/d/1nI9mdQqgjHR_OUstbOcZ29sBq2dnQqqg")</f>
        <v>https://lh5.googleusercontent.com/d/1nI9mdQqgjHR_OUstbOcZ29sBq2dnQqqg</v>
      </c>
      <c r="O820" s="14" t="str">
        <f>IFERROR(__xludf.DUMMYFUNCTION("""COMPUTED_VALUE"""),"https://drive.google.com/file/d/10D4pssTaatZLGgPkBnkbwRdVl-A4mnlM/view?usp=drivesdk")</f>
        <v>https://drive.google.com/file/d/10D4pssTaatZLGgPkBnkbwRdVl-A4mnlM/view?usp=drivesdk</v>
      </c>
    </row>
    <row r="821">
      <c r="A821" s="3">
        <f>IFERROR(__xludf.DUMMYFUNCTION("""COMPUTED_VALUE"""),2945.0)</f>
        <v>2945</v>
      </c>
      <c r="B821" s="11">
        <f>IFERROR(__xludf.DUMMYFUNCTION("""COMPUTED_VALUE"""),46177.91969531251)</f>
        <v>46177.9197</v>
      </c>
      <c r="C821" s="3" t="str">
        <f>IFERROR(__xludf.DUMMYFUNCTION("""COMPUTED_VALUE"""),"ชั้นปีที่ 1")</f>
        <v>ชั้นปีที่ 1</v>
      </c>
      <c r="D821" s="3" t="str">
        <f>IFERROR(__xludf.DUMMYFUNCTION("""COMPUTED_VALUE"""),"6803942")</f>
        <v>6803942</v>
      </c>
      <c r="E821" s="3" t="str">
        <f>IFERROR(__xludf.DUMMYFUNCTION("""COMPUTED_VALUE"""),"61")</f>
        <v>61</v>
      </c>
      <c r="F821" s="3" t="str">
        <f>IFERROR(__xludf.DUMMYFUNCTION("""COMPUTED_VALUE"""),"นพอ.อชิรญา อ่อนเปรี้ยว")</f>
        <v>นพอ.อชิรญา อ่อนเปรี้ยว</v>
      </c>
      <c r="G821" s="3" t="str">
        <f>IFERROR(__xludf.DUMMYFUNCTION("""COMPUTED_VALUE"""),"งานฟรีทั่วไป")</f>
        <v>งานฟรีทั่วไป</v>
      </c>
      <c r="H821" s="3" t="str">
        <f>IFERROR(__xludf.DUMMYFUNCTION("""COMPUTED_VALUE"""),"ดูแลสวนหน้าบ้าน และทำงานบ้าน(ทิ้งขยะ,ให้อาหารปลา)")</f>
        <v>ดูแลสวนหน้าบ้าน และทำงานบ้าน(ทิ้งขยะ,ให้อาหารปลา)</v>
      </c>
      <c r="I821" s="3" t="str">
        <f>IFERROR(__xludf.DUMMYFUNCTION("""COMPUTED_VALUE"""),"57/2 ซ.วัดเวฬุวนาราม36 แขวงดอนเมือง เขตดอนเมือง กรุงเทพฯ")</f>
        <v>57/2 ซ.วัดเวฬุวนาราม36 แขวงดอนเมือง เขตดอนเมือง กรุงเทพฯ</v>
      </c>
      <c r="J821" s="12">
        <f>IFERROR(__xludf.DUMMYFUNCTION("""COMPUTED_VALUE"""),46125.0)</f>
        <v>46125</v>
      </c>
      <c r="K821" s="3" t="str">
        <f>IFERROR(__xludf.DUMMYFUNCTION("""COMPUTED_VALUE"""),"0900-1200")</f>
        <v>0900-1200</v>
      </c>
      <c r="L821" s="3">
        <f>IFERROR(__xludf.DUMMYFUNCTION("""COMPUTED_VALUE"""),3.0)</f>
        <v>3</v>
      </c>
      <c r="M821" s="3" t="str">
        <f>IFERROR(__xludf.DUMMYFUNCTION("""COMPUTED_VALUE"""),"น.ส.ชลธิชา สุนเชียง")</f>
        <v>น.ส.ชลธิชา สุนเชียง</v>
      </c>
      <c r="N821" s="14" t="str">
        <f>IFERROR(__xludf.DUMMYFUNCTION("""COMPUTED_VALUE"""),"https://lh5.googleusercontent.com/d/1zBKo8ECZmpeZ0jtQMnVe16bKxA_MOm1X")</f>
        <v>https://lh5.googleusercontent.com/d/1zBKo8ECZmpeZ0jtQMnVe16bKxA_MOm1X</v>
      </c>
      <c r="O821" s="14" t="str">
        <f>IFERROR(__xludf.DUMMYFUNCTION("""COMPUTED_VALUE"""),"https://drive.google.com/file/d/1fDBXKiCKSabG0_K84s8CpGRX13Qn9yrG/view?usp=drivesdk")</f>
        <v>https://drive.google.com/file/d/1fDBXKiCKSabG0_K84s8CpGRX13Qn9yrG/view?usp=drivesdk</v>
      </c>
    </row>
    <row r="822">
      <c r="A822" s="3">
        <f>IFERROR(__xludf.DUMMYFUNCTION("""COMPUTED_VALUE"""),2946.0)</f>
        <v>2946</v>
      </c>
      <c r="B822" s="11">
        <f>IFERROR(__xludf.DUMMYFUNCTION("""COMPUTED_VALUE"""),46177.94031403935)</f>
        <v>46177.94031</v>
      </c>
      <c r="C822" s="3" t="str">
        <f>IFERROR(__xludf.DUMMYFUNCTION("""COMPUTED_VALUE"""),"ชั้นปีที่ 1")</f>
        <v>ชั้นปีที่ 1</v>
      </c>
      <c r="D822" s="3" t="str">
        <f>IFERROR(__xludf.DUMMYFUNCTION("""COMPUTED_VALUE"""),"6803905")</f>
        <v>6803905</v>
      </c>
      <c r="E822" s="3" t="str">
        <f>IFERROR(__xludf.DUMMYFUNCTION("""COMPUTED_VALUE"""),"24")</f>
        <v>24</v>
      </c>
      <c r="F822" s="3" t="str">
        <f>IFERROR(__xludf.DUMMYFUNCTION("""COMPUTED_VALUE"""),"นพอ.ธนพล เสือน้อย")</f>
        <v>นพอ.ธนพล เสือน้อย</v>
      </c>
      <c r="G822" s="3" t="str">
        <f>IFERROR(__xludf.DUMMYFUNCTION("""COMPUTED_VALUE"""),"ช่วยเหลืองานภายใน วพอ.")</f>
        <v>ช่วยเหลืองานภายใน วพอ.</v>
      </c>
      <c r="H822" s="3" t="str">
        <f>IFERROR(__xludf.DUMMYFUNCTION("""COMPUTED_VALUE"""),"ดุริยางค์")</f>
        <v>ดุริยางค์</v>
      </c>
      <c r="I822" s="3" t="str">
        <f>IFERROR(__xludf.DUMMYFUNCTION("""COMPUTED_VALUE"""),"วพอ.พอ.")</f>
        <v>วพอ.พอ.</v>
      </c>
      <c r="J822" s="12">
        <f>IFERROR(__xludf.DUMMYFUNCTION("""COMPUTED_VALUE"""),46143.0)</f>
        <v>46143</v>
      </c>
      <c r="K822" s="3" t="str">
        <f>IFERROR(__xludf.DUMMYFUNCTION("""COMPUTED_VALUE"""),"0700-0800")</f>
        <v>0700-0800</v>
      </c>
      <c r="L822" s="3">
        <f>IFERROR(__xludf.DUMMYFUNCTION("""COMPUTED_VALUE"""),1.0)</f>
        <v>1</v>
      </c>
      <c r="M822" s="3" t="str">
        <f>IFERROR(__xludf.DUMMYFUNCTION("""COMPUTED_VALUE"""),"ร.อ.อนุชิต ทำจะดี")</f>
        <v>ร.อ.อนุชิต ทำจะดี</v>
      </c>
      <c r="N822" s="14" t="str">
        <f>IFERROR(__xludf.DUMMYFUNCTION("""COMPUTED_VALUE"""),"https://lh5.googleusercontent.com/d/1GXLRSWOw0D7VQz5Zi0NdKCzTLtUYFeYS")</f>
        <v>https://lh5.googleusercontent.com/d/1GXLRSWOw0D7VQz5Zi0NdKCzTLtUYFeYS</v>
      </c>
      <c r="O822" s="14" t="str">
        <f>IFERROR(__xludf.DUMMYFUNCTION("""COMPUTED_VALUE"""),"https://drive.google.com/file/d/1mzG8fXzsDFwbFnlXHaFWtqrym8SjptWr/view?usp=drivesdk")</f>
        <v>https://drive.google.com/file/d/1mzG8fXzsDFwbFnlXHaFWtqrym8SjptWr/view?usp=drivesdk</v>
      </c>
    </row>
    <row r="823">
      <c r="A823" s="3">
        <f>IFERROR(__xludf.DUMMYFUNCTION("""COMPUTED_VALUE"""),2947.0)</f>
        <v>2947</v>
      </c>
      <c r="B823" s="11">
        <f>IFERROR(__xludf.DUMMYFUNCTION("""COMPUTED_VALUE"""),46177.94114079861)</f>
        <v>46177.94114</v>
      </c>
      <c r="C823" s="3" t="str">
        <f>IFERROR(__xludf.DUMMYFUNCTION("""COMPUTED_VALUE"""),"ชั้นปีที่ 1")</f>
        <v>ชั้นปีที่ 1</v>
      </c>
      <c r="D823" s="3" t="str">
        <f>IFERROR(__xludf.DUMMYFUNCTION("""COMPUTED_VALUE"""),"6803885")</f>
        <v>6803885</v>
      </c>
      <c r="E823" s="3" t="str">
        <f>IFERROR(__xludf.DUMMYFUNCTION("""COMPUTED_VALUE"""),"4")</f>
        <v>4</v>
      </c>
      <c r="F823" s="3" t="str">
        <f>IFERROR(__xludf.DUMMYFUNCTION("""COMPUTED_VALUE"""),"นพอ.กษิดิ์เดช เอมอานนท์")</f>
        <v>นพอ.กษิดิ์เดช เอมอานนท์</v>
      </c>
      <c r="G823" s="3" t="str">
        <f>IFERROR(__xludf.DUMMYFUNCTION("""COMPUTED_VALUE"""),"ช่วยเหลืองานภายใน วพอ.")</f>
        <v>ช่วยเหลืองานภายใน วพอ.</v>
      </c>
      <c r="H823" s="3" t="str">
        <f>IFERROR(__xludf.DUMMYFUNCTION("""COMPUTED_VALUE"""),"วงดนตรีไทยงานสงกรานต์วพอ.")</f>
        <v>วงดนตรีไทยงานสงกรานต์วพอ.</v>
      </c>
      <c r="I823" s="3" t="str">
        <f>IFERROR(__xludf.DUMMYFUNCTION("""COMPUTED_VALUE"""),"หน้าอาคารสำนักงาน")</f>
        <v>หน้าอาคารสำนักงาน</v>
      </c>
      <c r="J823" s="12">
        <f>IFERROR(__xludf.DUMMYFUNCTION("""COMPUTED_VALUE"""),46122.0)</f>
        <v>46122</v>
      </c>
      <c r="K823" s="3" t="str">
        <f>IFERROR(__xludf.DUMMYFUNCTION("""COMPUTED_VALUE"""),"0600-1000")</f>
        <v>0600-1000</v>
      </c>
      <c r="L823" s="3">
        <f>IFERROR(__xludf.DUMMYFUNCTION("""COMPUTED_VALUE"""),4.0)</f>
        <v>4</v>
      </c>
      <c r="M823" s="3" t="str">
        <f>IFERROR(__xludf.DUMMYFUNCTION("""COMPUTED_VALUE""")," ร.อ.หญิง ขนัฏฐา นาดี ")</f>
        <v> ร.อ.หญิง ขนัฏฐา นาดี </v>
      </c>
      <c r="N823" s="14" t="str">
        <f>IFERROR(__xludf.DUMMYFUNCTION("""COMPUTED_VALUE"""),"https://lh5.googleusercontent.com/d/1u9B6rQ1X2hDZuzZxVtXNjRw9AHN8aYQY")</f>
        <v>https://lh5.googleusercontent.com/d/1u9B6rQ1X2hDZuzZxVtXNjRw9AHN8aYQY</v>
      </c>
      <c r="O823" s="14" t="str">
        <f>IFERROR(__xludf.DUMMYFUNCTION("""COMPUTED_VALUE"""),"https://drive.google.com/file/d/10_O9LuY1PDga5fwwfZGzNVOkoHZNBnhj/view?usp=drivesdk")</f>
        <v>https://drive.google.com/file/d/10_O9LuY1PDga5fwwfZGzNVOkoHZNBnhj/view?usp=drivesdk</v>
      </c>
    </row>
    <row r="824">
      <c r="A824" s="3">
        <f>IFERROR(__xludf.DUMMYFUNCTION("""COMPUTED_VALUE"""),2949.0)</f>
        <v>2949</v>
      </c>
      <c r="B824" s="11">
        <f>IFERROR(__xludf.DUMMYFUNCTION("""COMPUTED_VALUE"""),46177.94168293982)</f>
        <v>46177.94168</v>
      </c>
      <c r="C824" s="3" t="str">
        <f>IFERROR(__xludf.DUMMYFUNCTION("""COMPUTED_VALUE"""),"ชั้นปีที่ 1")</f>
        <v>ชั้นปีที่ 1</v>
      </c>
      <c r="D824" s="3" t="str">
        <f>IFERROR(__xludf.DUMMYFUNCTION("""COMPUTED_VALUE"""),"6803905")</f>
        <v>6803905</v>
      </c>
      <c r="E824" s="3" t="str">
        <f>IFERROR(__xludf.DUMMYFUNCTION("""COMPUTED_VALUE"""),"24")</f>
        <v>24</v>
      </c>
      <c r="F824" s="3" t="str">
        <f>IFERROR(__xludf.DUMMYFUNCTION("""COMPUTED_VALUE"""),"นพอ.ธนพล เสือน้อย")</f>
        <v>นพอ.ธนพล เสือน้อย</v>
      </c>
      <c r="G824" s="3" t="str">
        <f>IFERROR(__xludf.DUMMYFUNCTION("""COMPUTED_VALUE"""),"ช่วยเหลืองานภายใน วพอ.")</f>
        <v>ช่วยเหลืองานภายใน วพอ.</v>
      </c>
      <c r="H824" s="3" t="str">
        <f>IFERROR(__xludf.DUMMYFUNCTION("""COMPUTED_VALUE"""),"ดุริยางค์")</f>
        <v>ดุริยางค์</v>
      </c>
      <c r="I824" s="3" t="str">
        <f>IFERROR(__xludf.DUMMYFUNCTION("""COMPUTED_VALUE"""),"วพอ.พอ.")</f>
        <v>วพอ.พอ.</v>
      </c>
      <c r="J824" s="12">
        <f>IFERROR(__xludf.DUMMYFUNCTION("""COMPUTED_VALUE"""),46114.0)</f>
        <v>46114</v>
      </c>
      <c r="K824" s="3" t="str">
        <f>IFERROR(__xludf.DUMMYFUNCTION("""COMPUTED_VALUE"""),"0700-0800")</f>
        <v>0700-0800</v>
      </c>
      <c r="L824" s="3">
        <f>IFERROR(__xludf.DUMMYFUNCTION("""COMPUTED_VALUE"""),1.0)</f>
        <v>1</v>
      </c>
      <c r="M824" s="3" t="str">
        <f>IFERROR(__xludf.DUMMYFUNCTION("""COMPUTED_VALUE"""),"ร.อ.อนุชิต ทำจะดี")</f>
        <v>ร.อ.อนุชิต ทำจะดี</v>
      </c>
      <c r="N824" s="14" t="str">
        <f>IFERROR(__xludf.DUMMYFUNCTION("""COMPUTED_VALUE"""),"https://lh5.googleusercontent.com/d/1PxOhqWhSaenqorFUPCTh9RZig1i05rOd")</f>
        <v>https://lh5.googleusercontent.com/d/1PxOhqWhSaenqorFUPCTh9RZig1i05rOd</v>
      </c>
      <c r="O824" s="14" t="str">
        <f>IFERROR(__xludf.DUMMYFUNCTION("""COMPUTED_VALUE"""),"https://drive.google.com/file/d/1FkWIDaW4dnzJzBwFQpqXbC7HVGSOBm_q/view?usp=drivesdk")</f>
        <v>https://drive.google.com/file/d/1FkWIDaW4dnzJzBwFQpqXbC7HVGSOBm_q/view?usp=drivesdk</v>
      </c>
    </row>
    <row r="825">
      <c r="A825" s="3">
        <f>IFERROR(__xludf.DUMMYFUNCTION("""COMPUTED_VALUE"""),2950.0)</f>
        <v>2950</v>
      </c>
      <c r="B825" s="11">
        <f>IFERROR(__xludf.DUMMYFUNCTION("""COMPUTED_VALUE"""),46177.94291149306)</f>
        <v>46177.94291</v>
      </c>
      <c r="C825" s="3" t="str">
        <f>IFERROR(__xludf.DUMMYFUNCTION("""COMPUTED_VALUE"""),"ชั้นปีที่ 1")</f>
        <v>ชั้นปีที่ 1</v>
      </c>
      <c r="D825" s="3" t="str">
        <f>IFERROR(__xludf.DUMMYFUNCTION("""COMPUTED_VALUE"""),"6803905")</f>
        <v>6803905</v>
      </c>
      <c r="E825" s="3" t="str">
        <f>IFERROR(__xludf.DUMMYFUNCTION("""COMPUTED_VALUE"""),"24")</f>
        <v>24</v>
      </c>
      <c r="F825" s="3" t="str">
        <f>IFERROR(__xludf.DUMMYFUNCTION("""COMPUTED_VALUE"""),"นพอ.ธนพล เสือน้อย")</f>
        <v>นพอ.ธนพล เสือน้อย</v>
      </c>
      <c r="G825" s="3" t="str">
        <f>IFERROR(__xludf.DUMMYFUNCTION("""COMPUTED_VALUE"""),"ช่วยเหลืองานภายใน วพอ.")</f>
        <v>ช่วยเหลืองานภายใน วพอ.</v>
      </c>
      <c r="H825" s="3" t="str">
        <f>IFERROR(__xludf.DUMMYFUNCTION("""COMPUTED_VALUE"""),"ดุริยางค์")</f>
        <v>ดุริยางค์</v>
      </c>
      <c r="I825" s="3" t="str">
        <f>IFERROR(__xludf.DUMMYFUNCTION("""COMPUTED_VALUE"""),"วพอ.พอ.")</f>
        <v>วพอ.พอ.</v>
      </c>
      <c r="J825" s="12">
        <f>IFERROR(__xludf.DUMMYFUNCTION("""COMPUTED_VALUE"""),46107.0)</f>
        <v>46107</v>
      </c>
      <c r="K825" s="3" t="str">
        <f>IFERROR(__xludf.DUMMYFUNCTION("""COMPUTED_VALUE"""),"0700-0800")</f>
        <v>0700-0800</v>
      </c>
      <c r="L825" s="3">
        <f>IFERROR(__xludf.DUMMYFUNCTION("""COMPUTED_VALUE"""),1.0)</f>
        <v>1</v>
      </c>
      <c r="M825" s="3" t="str">
        <f>IFERROR(__xludf.DUMMYFUNCTION("""COMPUTED_VALUE"""),"ร.อ.อนุชิต ทำจะดี")</f>
        <v>ร.อ.อนุชิต ทำจะดี</v>
      </c>
      <c r="N825" s="14" t="str">
        <f>IFERROR(__xludf.DUMMYFUNCTION("""COMPUTED_VALUE"""),"https://lh5.googleusercontent.com/d/11udWMvKfZ5Gz4oYWUXPyxhd1a8clfT2-")</f>
        <v>https://lh5.googleusercontent.com/d/11udWMvKfZ5Gz4oYWUXPyxhd1a8clfT2-</v>
      </c>
      <c r="O825" s="14" t="str">
        <f>IFERROR(__xludf.DUMMYFUNCTION("""COMPUTED_VALUE"""),"https://drive.google.com/file/d/1g2NFbdLuWqGrBUZtdg-DrEmDgYjCYmVl/view?usp=drivesdk")</f>
        <v>https://drive.google.com/file/d/1g2NFbdLuWqGrBUZtdg-DrEmDgYjCYmVl/view?usp=drivesdk</v>
      </c>
    </row>
    <row r="826">
      <c r="A826" s="3">
        <f>IFERROR(__xludf.DUMMYFUNCTION("""COMPUTED_VALUE"""),2957.0)</f>
        <v>2957</v>
      </c>
      <c r="B826" s="11">
        <f>IFERROR(__xludf.DUMMYFUNCTION("""COMPUTED_VALUE"""),46177.95451322916)</f>
        <v>46177.95451</v>
      </c>
      <c r="C826" s="3" t="str">
        <f>IFERROR(__xludf.DUMMYFUNCTION("""COMPUTED_VALUE"""),"ชั้นปีที่ 1")</f>
        <v>ชั้นปีที่ 1</v>
      </c>
      <c r="D826" s="3" t="str">
        <f>IFERROR(__xludf.DUMMYFUNCTION("""COMPUTED_VALUE"""),"6803885")</f>
        <v>6803885</v>
      </c>
      <c r="E826" s="3" t="str">
        <f>IFERROR(__xludf.DUMMYFUNCTION("""COMPUTED_VALUE"""),"4")</f>
        <v>4</v>
      </c>
      <c r="F826" s="3" t="str">
        <f>IFERROR(__xludf.DUMMYFUNCTION("""COMPUTED_VALUE"""),"นพอ.กษิดิ์เดช เอมอานนท์")</f>
        <v>นพอ.กษิดิ์เดช เอมอานนท์</v>
      </c>
      <c r="G826" s="3" t="str">
        <f>IFERROR(__xludf.DUMMYFUNCTION("""COMPUTED_VALUE"""),"ช่วยเหลืองานภายใน วพอ.")</f>
        <v>ช่วยเหลืองานภายใน วพอ.</v>
      </c>
      <c r="H826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26" s="3" t="str">
        <f>IFERROR(__xludf.DUMMYFUNCTION("""COMPUTED_VALUE"""),"อาคารสำนักงานชั้น 4")</f>
        <v>อาคารสำนักงานชั้น 4</v>
      </c>
      <c r="J826" s="12">
        <f>IFERROR(__xludf.DUMMYFUNCTION("""COMPUTED_VALUE"""),46147.0)</f>
        <v>46147</v>
      </c>
      <c r="K826" s="3" t="str">
        <f>IFERROR(__xludf.DUMMYFUNCTION("""COMPUTED_VALUE"""),"1500-1800")</f>
        <v>1500-1800</v>
      </c>
      <c r="L826" s="3">
        <f>IFERROR(__xludf.DUMMYFUNCTION("""COMPUTED_VALUE"""),3.0)</f>
        <v>3</v>
      </c>
      <c r="M826" s="3" t="str">
        <f>IFERROR(__xludf.DUMMYFUNCTION("""COMPUTED_VALUE""")," น.ต.ศักชัย บุญประสิทธิ์")</f>
        <v> น.ต.ศักชัย บุญประสิทธิ์</v>
      </c>
      <c r="N826" s="14" t="str">
        <f>IFERROR(__xludf.DUMMYFUNCTION("""COMPUTED_VALUE"""),"https://lh5.googleusercontent.com/d/1UPdHIJJLNTgK0WiKZ-6Eh4v2-ZaQ8_JK")</f>
        <v>https://lh5.googleusercontent.com/d/1UPdHIJJLNTgK0WiKZ-6Eh4v2-ZaQ8_JK</v>
      </c>
      <c r="O826" s="14" t="str">
        <f>IFERROR(__xludf.DUMMYFUNCTION("""COMPUTED_VALUE"""),"https://drive.google.com/file/d/1k7XT9Vn_D61ln6LWC5go_f8ffUUywkWo/view?usp=drivesdk")</f>
        <v>https://drive.google.com/file/d/1k7XT9Vn_D61ln6LWC5go_f8ffUUywkWo/view?usp=drivesdk</v>
      </c>
    </row>
    <row r="827">
      <c r="A827" s="3">
        <f>IFERROR(__xludf.DUMMYFUNCTION("""COMPUTED_VALUE"""),2958.0)</f>
        <v>2958</v>
      </c>
      <c r="B827" s="11">
        <f>IFERROR(__xludf.DUMMYFUNCTION("""COMPUTED_VALUE"""),46177.95583695602)</f>
        <v>46177.95584</v>
      </c>
      <c r="C827" s="3" t="str">
        <f>IFERROR(__xludf.DUMMYFUNCTION("""COMPUTED_VALUE"""),"ชั้นปีที่ 1")</f>
        <v>ชั้นปีที่ 1</v>
      </c>
      <c r="D827" s="3" t="str">
        <f>IFERROR(__xludf.DUMMYFUNCTION("""COMPUTED_VALUE"""),"6803908")</f>
        <v>6803908</v>
      </c>
      <c r="E827" s="3" t="str">
        <f>IFERROR(__xludf.DUMMYFUNCTION("""COMPUTED_VALUE"""),"27")</f>
        <v>27</v>
      </c>
      <c r="F827" s="3" t="str">
        <f>IFERROR(__xludf.DUMMYFUNCTION("""COMPUTED_VALUE"""),"นพอ.นภัสสร บุญรัตน์")</f>
        <v>นพอ.นภัสสร บุญรัตน์</v>
      </c>
      <c r="G82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7" s="3" t="str">
        <f>IFERROR(__xludf.DUMMYFUNCTION("""COMPUTED_VALUE"""),"งานกาชาด")</f>
        <v>งานกาชาด</v>
      </c>
      <c r="I827" s="3" t="str">
        <f>IFERROR(__xludf.DUMMYFUNCTION("""COMPUTED_VALUE"""),"สวนลุมพินี")</f>
        <v>สวนลุมพินี</v>
      </c>
      <c r="J827" s="12">
        <f>IFERROR(__xludf.DUMMYFUNCTION("""COMPUTED_VALUE"""),46012.0)</f>
        <v>46012</v>
      </c>
      <c r="K827" s="3" t="str">
        <f>IFERROR(__xludf.DUMMYFUNCTION("""COMPUTED_VALUE"""),"1200-2000")</f>
        <v>1200-2000</v>
      </c>
      <c r="L827" s="3">
        <f>IFERROR(__xludf.DUMMYFUNCTION("""COMPUTED_VALUE"""),8.0)</f>
        <v>8</v>
      </c>
      <c r="M827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27" s="14" t="str">
        <f>IFERROR(__xludf.DUMMYFUNCTION("""COMPUTED_VALUE"""),"https://lh5.googleusercontent.com/d/1JjhGSINlsK4N1rbHD7trNLp4arL7rx9p")</f>
        <v>https://lh5.googleusercontent.com/d/1JjhGSINlsK4N1rbHD7trNLp4arL7rx9p</v>
      </c>
      <c r="O827" s="14" t="str">
        <f>IFERROR(__xludf.DUMMYFUNCTION("""COMPUTED_VALUE"""),"https://drive.google.com/file/d/1KEsUknX4wjQT6hHcbsgdn2ogtZJi6WVn/view?usp=drivesdk")</f>
        <v>https://drive.google.com/file/d/1KEsUknX4wjQT6hHcbsgdn2ogtZJi6WVn/view?usp=drivesdk</v>
      </c>
    </row>
    <row r="828">
      <c r="A828" s="3">
        <f>IFERROR(__xludf.DUMMYFUNCTION("""COMPUTED_VALUE"""),2959.0)</f>
        <v>2959</v>
      </c>
      <c r="B828" s="11">
        <f>IFERROR(__xludf.DUMMYFUNCTION("""COMPUTED_VALUE"""),46177.9564797801)</f>
        <v>46177.95648</v>
      </c>
      <c r="C828" s="3" t="str">
        <f>IFERROR(__xludf.DUMMYFUNCTION("""COMPUTED_VALUE"""),"ชั้นปีที่ 1")</f>
        <v>ชั้นปีที่ 1</v>
      </c>
      <c r="D828" s="3" t="str">
        <f>IFERROR(__xludf.DUMMYFUNCTION("""COMPUTED_VALUE"""),"6803914")</f>
        <v>6803914</v>
      </c>
      <c r="E828" s="3" t="str">
        <f>IFERROR(__xludf.DUMMYFUNCTION("""COMPUTED_VALUE"""),"33")</f>
        <v>33</v>
      </c>
      <c r="F828" s="3" t="str">
        <f>IFERROR(__xludf.DUMMYFUNCTION("""COMPUTED_VALUE"""),"นพอ.ปราณปริยา ธูปทอง")</f>
        <v>นพอ.ปราณปริยา ธูปทอง</v>
      </c>
      <c r="G82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8" s="3" t="str">
        <f>IFERROR(__xludf.DUMMYFUNCTION("""COMPUTED_VALUE"""),"Youth Camp 2026 &amp; การคัดเลือกผู้แทนโรทาแรคท์ภาครับเลือกของภาค 3350 (DRRE)")</f>
        <v>Youth Camp 2026 &amp; การคัดเลือกผู้แทนโรทาแรคท์ภาครับเลือกของภาค 3350 (DRRE)</v>
      </c>
      <c r="I828" s="3" t="str">
        <f>IFERROR(__xludf.DUMMYFUNCTION("""COMPUTED_VALUE"""),"จี ฟาร์ม ตำบลกระแชง อำเภอสามโคก จังหวัดปทุมธานี")</f>
        <v>จี ฟาร์ม ตำบลกระแชง อำเภอสามโคก จังหวัดปทุมธานี</v>
      </c>
      <c r="J828" s="12">
        <f>IFERROR(__xludf.DUMMYFUNCTION("""COMPUTED_VALUE"""),46138.0)</f>
        <v>46138</v>
      </c>
      <c r="K828" s="3" t="str">
        <f>IFERROR(__xludf.DUMMYFUNCTION("""COMPUTED_VALUE"""),"0800-1600")</f>
        <v>0800-1600</v>
      </c>
      <c r="L828" s="3">
        <f>IFERROR(__xludf.DUMMYFUNCTION("""COMPUTED_VALUE"""),8.0)</f>
        <v>8</v>
      </c>
      <c r="M82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28" s="14" t="str">
        <f>IFERROR(__xludf.DUMMYFUNCTION("""COMPUTED_VALUE"""),"https://lh5.googleusercontent.com/d/1jdMIyH-7EqrBCHLiFnGIZ3XRIx2Aogzd")</f>
        <v>https://lh5.googleusercontent.com/d/1jdMIyH-7EqrBCHLiFnGIZ3XRIx2Aogzd</v>
      </c>
      <c r="O828" s="14" t="str">
        <f>IFERROR(__xludf.DUMMYFUNCTION("""COMPUTED_VALUE"""),"https://drive.google.com/file/d/1BXYycstda0E9QVje8SdiqVbWBY-7UEuY/view?usp=drivesdk")</f>
        <v>https://drive.google.com/file/d/1BXYycstda0E9QVje8SdiqVbWBY-7UEuY/view?usp=drivesdk</v>
      </c>
    </row>
    <row r="829">
      <c r="A829" s="3">
        <f>IFERROR(__xludf.DUMMYFUNCTION("""COMPUTED_VALUE"""),2960.0)</f>
        <v>2960</v>
      </c>
      <c r="B829" s="11">
        <f>IFERROR(__xludf.DUMMYFUNCTION("""COMPUTED_VALUE"""),46177.95884976852)</f>
        <v>46177.95885</v>
      </c>
      <c r="C829" s="3" t="str">
        <f>IFERROR(__xludf.DUMMYFUNCTION("""COMPUTED_VALUE"""),"ชั้นปีที่ 1")</f>
        <v>ชั้นปีที่ 1</v>
      </c>
      <c r="D829" s="3" t="str">
        <f>IFERROR(__xludf.DUMMYFUNCTION("""COMPUTED_VALUE"""),"6803891")</f>
        <v>6803891</v>
      </c>
      <c r="E829" s="3" t="str">
        <f>IFERROR(__xludf.DUMMYFUNCTION("""COMPUTED_VALUE"""),"10")</f>
        <v>10</v>
      </c>
      <c r="F829" s="3" t="str">
        <f>IFERROR(__xludf.DUMMYFUNCTION("""COMPUTED_VALUE"""),"นพอ.จิรัชยา ธีรประภานนท์")</f>
        <v>นพอ.จิรัชยา ธีรประภานนท์</v>
      </c>
      <c r="G82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29" s="3" t="str">
        <f>IFERROR(__xludf.DUMMYFUNCTION("""COMPUTED_VALUE"""),"ค่ายเยาวชนพัฒนา ครั้งที่ 215")</f>
        <v>ค่ายเยาวชนพัฒนา ครั้งที่ 215</v>
      </c>
      <c r="I829" s="3" t="str">
        <f>IFERROR(__xludf.DUMMYFUNCTION("""COMPUTED_VALUE"""),"วัดสามบัณฑิต จ.อยุธยา")</f>
        <v>วัดสามบัณฑิต จ.อยุธยา</v>
      </c>
      <c r="J829" s="12">
        <f>IFERROR(__xludf.DUMMYFUNCTION("""COMPUTED_VALUE"""),46136.0)</f>
        <v>46136</v>
      </c>
      <c r="K829" s="3" t="str">
        <f>IFERROR(__xludf.DUMMYFUNCTION("""COMPUTED_VALUE"""),"1600-2400")</f>
        <v>1600-2400</v>
      </c>
      <c r="L829" s="3">
        <f>IFERROR(__xludf.DUMMYFUNCTION("""COMPUTED_VALUE"""),8.0)</f>
        <v>8</v>
      </c>
      <c r="M829" s="3" t="str">
        <f>IFERROR(__xludf.DUMMYFUNCTION("""COMPUTED_VALUE"""),"น.ค.หญิง ขวัญชนก พ่วงนาคพันธ์ุ")</f>
        <v>น.ค.หญิง ขวัญชนก พ่วงนาคพันธ์ุ</v>
      </c>
      <c r="N829" s="14" t="str">
        <f>IFERROR(__xludf.DUMMYFUNCTION("""COMPUTED_VALUE"""),"https://lh5.googleusercontent.com/d/1ibcpjOahkZgUmEC4q1yaifjJnaj2c7gk")</f>
        <v>https://lh5.googleusercontent.com/d/1ibcpjOahkZgUmEC4q1yaifjJnaj2c7gk</v>
      </c>
      <c r="O829" s="14" t="str">
        <f>IFERROR(__xludf.DUMMYFUNCTION("""COMPUTED_VALUE"""),"https://drive.google.com/file/d/1DGmiEQ4B6Y1KriDNeGWMZ4hfVQ6dPS9M/view?usp=drivesdk")</f>
        <v>https://drive.google.com/file/d/1DGmiEQ4B6Y1KriDNeGWMZ4hfVQ6dPS9M/view?usp=drivesdk</v>
      </c>
    </row>
    <row r="830">
      <c r="A830" s="3">
        <f>IFERROR(__xludf.DUMMYFUNCTION("""COMPUTED_VALUE"""),2961.0)</f>
        <v>2961</v>
      </c>
      <c r="B830" s="11">
        <f>IFERROR(__xludf.DUMMYFUNCTION("""COMPUTED_VALUE"""),46177.95955519676)</f>
        <v>46177.95956</v>
      </c>
      <c r="C830" s="3" t="str">
        <f>IFERROR(__xludf.DUMMYFUNCTION("""COMPUTED_VALUE"""),"ชั้นปีที่ 1")</f>
        <v>ชั้นปีที่ 1</v>
      </c>
      <c r="D830" s="3" t="str">
        <f>IFERROR(__xludf.DUMMYFUNCTION("""COMPUTED_VALUE"""),"6803896")</f>
        <v>6803896</v>
      </c>
      <c r="E830" s="3" t="str">
        <f>IFERROR(__xludf.DUMMYFUNCTION("""COMPUTED_VALUE"""),"15")</f>
        <v>15</v>
      </c>
      <c r="F830" s="3" t="str">
        <f>IFERROR(__xludf.DUMMYFUNCTION("""COMPUTED_VALUE"""),"นพอ.ณัชปวีย์ เยาวภา")</f>
        <v>นพอ.ณัชปวีย์ เยาวภา</v>
      </c>
      <c r="G830" s="3" t="str">
        <f>IFERROR(__xludf.DUMMYFUNCTION("""COMPUTED_VALUE"""),"ช่วยเหลืองานภายใน วพอ.")</f>
        <v>ช่วยเหลืองานภายใน วพอ.</v>
      </c>
      <c r="H830" s="3" t="str">
        <f>IFERROR(__xludf.DUMMYFUNCTION("""COMPUTED_VALUE"""),"เล่นดุริยางค์")</f>
        <v>เล่นดุริยางค์</v>
      </c>
      <c r="I830" s="3" t="str">
        <f>IFERROR(__xludf.DUMMYFUNCTION("""COMPUTED_VALUE"""),"วพอ.พอ.")</f>
        <v>วพอ.พอ.</v>
      </c>
      <c r="J830" s="12">
        <f>IFERROR(__xludf.DUMMYFUNCTION("""COMPUTED_VALUE"""),46105.0)</f>
        <v>46105</v>
      </c>
      <c r="K830" s="3" t="str">
        <f>IFERROR(__xludf.DUMMYFUNCTION("""COMPUTED_VALUE"""),"ร.อ.อนุชิต ทำจะดี")</f>
        <v>ร.อ.อนุชิต ทำจะดี</v>
      </c>
      <c r="L830" s="3"/>
      <c r="M830" s="3" t="str">
        <f>IFERROR(__xludf.DUMMYFUNCTION("""COMPUTED_VALUE"""),"ร.อ.อนุชิต ทำจะดี")</f>
        <v>ร.อ.อนุชิต ทำจะดี</v>
      </c>
      <c r="N830" s="14" t="str">
        <f>IFERROR(__xludf.DUMMYFUNCTION("""COMPUTED_VALUE"""),"https://lh5.googleusercontent.com/d/1d4bc2I-hUHRIA2vDw_FpX5HHn1DPSFT1")</f>
        <v>https://lh5.googleusercontent.com/d/1d4bc2I-hUHRIA2vDw_FpX5HHn1DPSFT1</v>
      </c>
      <c r="O830" s="14" t="str">
        <f>IFERROR(__xludf.DUMMYFUNCTION("""COMPUTED_VALUE"""),"https://drive.google.com/file/d/1SrmzxBeC98sLYSx4c4nSjBd1_tfucLoj/view?usp=drivesdk")</f>
        <v>https://drive.google.com/file/d/1SrmzxBeC98sLYSx4c4nSjBd1_tfucLoj/view?usp=drivesdk</v>
      </c>
    </row>
    <row r="831">
      <c r="A831" s="3">
        <f>IFERROR(__xludf.DUMMYFUNCTION("""COMPUTED_VALUE"""),2962.0)</f>
        <v>2962</v>
      </c>
      <c r="B831" s="11">
        <f>IFERROR(__xludf.DUMMYFUNCTION("""COMPUTED_VALUE"""),46177.96043446759)</f>
        <v>46177.96043</v>
      </c>
      <c r="C831" s="3" t="str">
        <f>IFERROR(__xludf.DUMMYFUNCTION("""COMPUTED_VALUE"""),"ชั้นปีที่ 1")</f>
        <v>ชั้นปีที่ 1</v>
      </c>
      <c r="D831" s="3" t="str">
        <f>IFERROR(__xludf.DUMMYFUNCTION("""COMPUTED_VALUE"""),"6803914")</f>
        <v>6803914</v>
      </c>
      <c r="E831" s="3" t="str">
        <f>IFERROR(__xludf.DUMMYFUNCTION("""COMPUTED_VALUE"""),"33")</f>
        <v>33</v>
      </c>
      <c r="F831" s="3" t="str">
        <f>IFERROR(__xludf.DUMMYFUNCTION("""COMPUTED_VALUE"""),"นพอ.ปราณปริยา ธูปทอง")</f>
        <v>นพอ.ปราณปริยา ธูปทอง</v>
      </c>
      <c r="G83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1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31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831" s="12">
        <f>IFERROR(__xludf.DUMMYFUNCTION("""COMPUTED_VALUE"""),46078.0)</f>
        <v>46078</v>
      </c>
      <c r="K831" s="3" t="str">
        <f>IFERROR(__xludf.DUMMYFUNCTION("""COMPUTED_VALUE"""),"1200-2000")</f>
        <v>1200-2000</v>
      </c>
      <c r="L831" s="3">
        <f>IFERROR(__xludf.DUMMYFUNCTION("""COMPUTED_VALUE"""),8.0)</f>
        <v>8</v>
      </c>
      <c r="M83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31" s="14" t="str">
        <f>IFERROR(__xludf.DUMMYFUNCTION("""COMPUTED_VALUE"""),"https://lh5.googleusercontent.com/d/1ycDMNqoL_lA0sVF41LCwWD0VJIRuxjM9")</f>
        <v>https://lh5.googleusercontent.com/d/1ycDMNqoL_lA0sVF41LCwWD0VJIRuxjM9</v>
      </c>
      <c r="O831" s="14" t="str">
        <f>IFERROR(__xludf.DUMMYFUNCTION("""COMPUTED_VALUE"""),"https://drive.google.com/file/d/12drPzuuqRdRZ60-KcDpPL2GkhXwdZs9F/view?usp=drivesdk")</f>
        <v>https://drive.google.com/file/d/12drPzuuqRdRZ60-KcDpPL2GkhXwdZs9F/view?usp=drivesdk</v>
      </c>
    </row>
    <row r="832">
      <c r="A832" s="3">
        <f>IFERROR(__xludf.DUMMYFUNCTION("""COMPUTED_VALUE"""),2963.0)</f>
        <v>2963</v>
      </c>
      <c r="B832" s="11">
        <f>IFERROR(__xludf.DUMMYFUNCTION("""COMPUTED_VALUE"""),46177.9626159375)</f>
        <v>46177.96262</v>
      </c>
      <c r="C832" s="3" t="str">
        <f>IFERROR(__xludf.DUMMYFUNCTION("""COMPUTED_VALUE"""),"ชั้นปีที่ 1")</f>
        <v>ชั้นปีที่ 1</v>
      </c>
      <c r="D832" s="3" t="str">
        <f>IFERROR(__xludf.DUMMYFUNCTION("""COMPUTED_VALUE"""),"6803885")</f>
        <v>6803885</v>
      </c>
      <c r="E832" s="3" t="str">
        <f>IFERROR(__xludf.DUMMYFUNCTION("""COMPUTED_VALUE"""),"4")</f>
        <v>4</v>
      </c>
      <c r="F832" s="3" t="str">
        <f>IFERROR(__xludf.DUMMYFUNCTION("""COMPUTED_VALUE"""),"นพอ.กษิดิ์เดช เอมอานนท์")</f>
        <v>นพอ.กษิดิ์เดช เอมอานนท์</v>
      </c>
      <c r="G832" s="3" t="str">
        <f>IFERROR(__xludf.DUMMYFUNCTION("""COMPUTED_VALUE"""),"ช่วยเหลืองานภายใน วพอ.")</f>
        <v>ช่วยเหลืองานภายใน วพอ.</v>
      </c>
      <c r="H832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32" s="3" t="str">
        <f>IFERROR(__xludf.DUMMYFUNCTION("""COMPUTED_VALUE"""),"ลานข้างหอพัก")</f>
        <v>ลานข้างหอพัก</v>
      </c>
      <c r="J832" s="12">
        <f>IFERROR(__xludf.DUMMYFUNCTION("""COMPUTED_VALUE"""),46164.0)</f>
        <v>46164</v>
      </c>
      <c r="K832" s="3" t="str">
        <f>IFERROR(__xludf.DUMMYFUNCTION("""COMPUTED_VALUE"""),"1500-1700")</f>
        <v>1500-1700</v>
      </c>
      <c r="L832" s="3">
        <f>IFERROR(__xludf.DUMMYFUNCTION("""COMPUTED_VALUE"""),2.0)</f>
        <v>2</v>
      </c>
      <c r="M832" s="3" t="str">
        <f>IFERROR(__xludf.DUMMYFUNCTION("""COMPUTED_VALUE"""),"น.อ.หญิง นิตยา สุขแสน")</f>
        <v>น.อ.หญิง นิตยา สุขแสน</v>
      </c>
      <c r="N832" s="14" t="str">
        <f>IFERROR(__xludf.DUMMYFUNCTION("""COMPUTED_VALUE"""),"https://lh5.googleusercontent.com/d/1JfZRarC2Z0cpL7xLxOMLy8T1cxYmd5Lr")</f>
        <v>https://lh5.googleusercontent.com/d/1JfZRarC2Z0cpL7xLxOMLy8T1cxYmd5Lr</v>
      </c>
      <c r="O832" s="14" t="str">
        <f>IFERROR(__xludf.DUMMYFUNCTION("""COMPUTED_VALUE"""),"https://drive.google.com/file/d/1JjH8EzAhDaTjvMEWtPkKmVDl5gz8iide/view?usp=drivesdk")</f>
        <v>https://drive.google.com/file/d/1JjH8EzAhDaTjvMEWtPkKmVDl5gz8iide/view?usp=drivesdk</v>
      </c>
    </row>
    <row r="833">
      <c r="A833" s="3">
        <f>IFERROR(__xludf.DUMMYFUNCTION("""COMPUTED_VALUE"""),2964.0)</f>
        <v>2964</v>
      </c>
      <c r="B833" s="11">
        <f>IFERROR(__xludf.DUMMYFUNCTION("""COMPUTED_VALUE"""),46177.96322761574)</f>
        <v>46177.96323</v>
      </c>
      <c r="C833" s="3" t="str">
        <f>IFERROR(__xludf.DUMMYFUNCTION("""COMPUTED_VALUE"""),"ชั้นปีที่ 1")</f>
        <v>ชั้นปีที่ 1</v>
      </c>
      <c r="D833" s="3" t="str">
        <f>IFERROR(__xludf.DUMMYFUNCTION("""COMPUTED_VALUE"""),"6803914")</f>
        <v>6803914</v>
      </c>
      <c r="E833" s="3" t="str">
        <f>IFERROR(__xludf.DUMMYFUNCTION("""COMPUTED_VALUE"""),"33")</f>
        <v>33</v>
      </c>
      <c r="F833" s="3" t="str">
        <f>IFERROR(__xludf.DUMMYFUNCTION("""COMPUTED_VALUE"""),"นพอ.ปราณปริยา ธูปทอง")</f>
        <v>นพอ.ปราณปริยา ธูปทอง</v>
      </c>
      <c r="G833" s="3" t="str">
        <f>IFERROR(__xludf.DUMMYFUNCTION("""COMPUTED_VALUE"""),"ช่วยเหลืองานภายใน วพอ.")</f>
        <v>ช่วยเหลืองานภายใน วพอ.</v>
      </c>
      <c r="H833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33" s="3" t="str">
        <f>IFERROR(__xludf.DUMMYFUNCTION("""COMPUTED_VALUE"""),"ลานข้างหอพัก")</f>
        <v>ลานข้างหอพัก</v>
      </c>
      <c r="J833" s="12">
        <f>IFERROR(__xludf.DUMMYFUNCTION("""COMPUTED_VALUE"""),46164.0)</f>
        <v>46164</v>
      </c>
      <c r="K833" s="3" t="str">
        <f>IFERROR(__xludf.DUMMYFUNCTION("""COMPUTED_VALUE"""),"1500-1700")</f>
        <v>1500-1700</v>
      </c>
      <c r="L833" s="3">
        <f>IFERROR(__xludf.DUMMYFUNCTION("""COMPUTED_VALUE"""),2.0)</f>
        <v>2</v>
      </c>
      <c r="M833" s="3" t="str">
        <f>IFERROR(__xludf.DUMMYFUNCTION("""COMPUTED_VALUE"""),"น.อ.หญิง นิตยา สุขแสน")</f>
        <v>น.อ.หญิง นิตยา สุขแสน</v>
      </c>
      <c r="N833" s="14" t="str">
        <f>IFERROR(__xludf.DUMMYFUNCTION("""COMPUTED_VALUE"""),"https://lh5.googleusercontent.com/d/1izceB2xAQLJaxHY4hYQlTlGUSntCQZMN")</f>
        <v>https://lh5.googleusercontent.com/d/1izceB2xAQLJaxHY4hYQlTlGUSntCQZMN</v>
      </c>
      <c r="O833" s="14" t="str">
        <f>IFERROR(__xludf.DUMMYFUNCTION("""COMPUTED_VALUE"""),"https://drive.google.com/file/d/1HzfF3E5H-EuEh7FOLp_dVSUui4EybXln/view?usp=drivesdk")</f>
        <v>https://drive.google.com/file/d/1HzfF3E5H-EuEh7FOLp_dVSUui4EybXln/view?usp=drivesdk</v>
      </c>
    </row>
    <row r="834">
      <c r="A834" s="3">
        <f>IFERROR(__xludf.DUMMYFUNCTION("""COMPUTED_VALUE"""),2966.0)</f>
        <v>2966</v>
      </c>
      <c r="B834" s="11">
        <f>IFERROR(__xludf.DUMMYFUNCTION("""COMPUTED_VALUE"""),46177.96543497685)</f>
        <v>46177.96543</v>
      </c>
      <c r="C834" s="3" t="str">
        <f>IFERROR(__xludf.DUMMYFUNCTION("""COMPUTED_VALUE"""),"ชั้นปีที่ 1")</f>
        <v>ชั้นปีที่ 1</v>
      </c>
      <c r="D834" s="3" t="str">
        <f>IFERROR(__xludf.DUMMYFUNCTION("""COMPUTED_VALUE"""),"6803891")</f>
        <v>6803891</v>
      </c>
      <c r="E834" s="3" t="str">
        <f>IFERROR(__xludf.DUMMYFUNCTION("""COMPUTED_VALUE"""),"10")</f>
        <v>10</v>
      </c>
      <c r="F834" s="3" t="str">
        <f>IFERROR(__xludf.DUMMYFUNCTION("""COMPUTED_VALUE"""),"นพอ.จิรัชยร ธีรประภานนท์")</f>
        <v>นพอ.จิรัชยร ธีรประภานนท์</v>
      </c>
      <c r="G83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4" s="3" t="str">
        <f>IFERROR(__xludf.DUMMYFUNCTION("""COMPUTED_VALUE"""),"ค่ายเยาวชนพัฒนา ครั้งที่ 215")</f>
        <v>ค่ายเยาวชนพัฒนา ครั้งที่ 215</v>
      </c>
      <c r="I834" s="3" t="str">
        <f>IFERROR(__xludf.DUMMYFUNCTION("""COMPUTED_VALUE"""),"วัดสามบัณฑิต จ.อยุธยา")</f>
        <v>วัดสามบัณฑิต จ.อยุธยา</v>
      </c>
      <c r="J834" s="12">
        <f>IFERROR(__xludf.DUMMYFUNCTION("""COMPUTED_VALUE"""),46137.0)</f>
        <v>46137</v>
      </c>
      <c r="K834" s="3" t="str">
        <f>IFERROR(__xludf.DUMMYFUNCTION("""COMPUTED_VALUE"""),"0800-1600")</f>
        <v>0800-1600</v>
      </c>
      <c r="L834" s="3">
        <f>IFERROR(__xludf.DUMMYFUNCTION("""COMPUTED_VALUE"""),8.0)</f>
        <v>8</v>
      </c>
      <c r="M83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34" s="14" t="str">
        <f>IFERROR(__xludf.DUMMYFUNCTION("""COMPUTED_VALUE"""),"https://lh5.googleusercontent.com/d/1-AOy5i6wzQC7oLIIjipGjgn0bYbYSOHD")</f>
        <v>https://lh5.googleusercontent.com/d/1-AOy5i6wzQC7oLIIjipGjgn0bYbYSOHD</v>
      </c>
      <c r="O834" s="14" t="str">
        <f>IFERROR(__xludf.DUMMYFUNCTION("""COMPUTED_VALUE"""),"https://drive.google.com/file/d/1qptDKU0zjKLStO2YcyJFpXHKOBGvC7g6/view?usp=drivesdk")</f>
        <v>https://drive.google.com/file/d/1qptDKU0zjKLStO2YcyJFpXHKOBGvC7g6/view?usp=drivesdk</v>
      </c>
    </row>
    <row r="835">
      <c r="A835" s="3">
        <f>IFERROR(__xludf.DUMMYFUNCTION("""COMPUTED_VALUE"""),2967.0)</f>
        <v>2967</v>
      </c>
      <c r="B835" s="11">
        <f>IFERROR(__xludf.DUMMYFUNCTION("""COMPUTED_VALUE"""),46177.9667912963)</f>
        <v>46177.96679</v>
      </c>
      <c r="C835" s="3" t="str">
        <f>IFERROR(__xludf.DUMMYFUNCTION("""COMPUTED_VALUE"""),"ชั้นปีที่ 1")</f>
        <v>ชั้นปีที่ 1</v>
      </c>
      <c r="D835" s="3" t="str">
        <f>IFERROR(__xludf.DUMMYFUNCTION("""COMPUTED_VALUE"""),"6803891")</f>
        <v>6803891</v>
      </c>
      <c r="E835" s="3" t="str">
        <f>IFERROR(__xludf.DUMMYFUNCTION("""COMPUTED_VALUE"""),"10")</f>
        <v>10</v>
      </c>
      <c r="F835" s="3" t="str">
        <f>IFERROR(__xludf.DUMMYFUNCTION("""COMPUTED_VALUE"""),"นพอ.จิรัชยา ธีรประภานนท์")</f>
        <v>นพอ.จิรัชยา ธีรประภานนท์</v>
      </c>
      <c r="G83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35" s="3" t="str">
        <f>IFERROR(__xludf.DUMMYFUNCTION("""COMPUTED_VALUE"""),"ค่ายเยาวชนพัฒนา ครั้งที่ 215")</f>
        <v>ค่ายเยาวชนพัฒนา ครั้งที่ 215</v>
      </c>
      <c r="I835" s="3" t="str">
        <f>IFERROR(__xludf.DUMMYFUNCTION("""COMPUTED_VALUE"""),"วัดสามบัณฑิต จ.อยุธยา")</f>
        <v>วัดสามบัณฑิต จ.อยุธยา</v>
      </c>
      <c r="J835" s="12">
        <f>IFERROR(__xludf.DUMMYFUNCTION("""COMPUTED_VALUE"""),46138.0)</f>
        <v>46138</v>
      </c>
      <c r="K835" s="3" t="str">
        <f>IFERROR(__xludf.DUMMYFUNCTION("""COMPUTED_VALUE"""),"0800-1600")</f>
        <v>0800-1600</v>
      </c>
      <c r="L835" s="3">
        <f>IFERROR(__xludf.DUMMYFUNCTION("""COMPUTED_VALUE"""),8.0)</f>
        <v>8</v>
      </c>
      <c r="M83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35" s="14" t="str">
        <f>IFERROR(__xludf.DUMMYFUNCTION("""COMPUTED_VALUE"""),"https://lh5.googleusercontent.com/d/1OFHtlUBDwTbfKhIrIMH8AT66XFROOtVb")</f>
        <v>https://lh5.googleusercontent.com/d/1OFHtlUBDwTbfKhIrIMH8AT66XFROOtVb</v>
      </c>
      <c r="O835" s="14" t="str">
        <f>IFERROR(__xludf.DUMMYFUNCTION("""COMPUTED_VALUE"""),"https://drive.google.com/file/d/1cT4__lK9DlE9chbmiSpX0naM370grZYU/view?usp=drivesdk")</f>
        <v>https://drive.google.com/file/d/1cT4__lK9DlE9chbmiSpX0naM370grZYU/view?usp=drivesdk</v>
      </c>
    </row>
    <row r="836">
      <c r="A836" s="3">
        <f>IFERROR(__xludf.DUMMYFUNCTION("""COMPUTED_VALUE"""),2968.0)</f>
        <v>2968</v>
      </c>
      <c r="B836" s="11">
        <f>IFERROR(__xludf.DUMMYFUNCTION("""COMPUTED_VALUE"""),46177.96816956018)</f>
        <v>46177.96817</v>
      </c>
      <c r="C836" s="3" t="str">
        <f>IFERROR(__xludf.DUMMYFUNCTION("""COMPUTED_VALUE"""),"ชั้นปีที่ 1")</f>
        <v>ชั้นปีที่ 1</v>
      </c>
      <c r="D836" s="3" t="str">
        <f>IFERROR(__xludf.DUMMYFUNCTION("""COMPUTED_VALUE"""),"6803915")</f>
        <v>6803915</v>
      </c>
      <c r="E836" s="3" t="str">
        <f>IFERROR(__xludf.DUMMYFUNCTION("""COMPUTED_VALUE"""),"34")</f>
        <v>34</v>
      </c>
      <c r="F836" s="3" t="str">
        <f>IFERROR(__xludf.DUMMYFUNCTION("""COMPUTED_VALUE"""),"นพอ.ปัญชลีย์ ชื่นสวัสดิ์")</f>
        <v>นพอ.ปัญชลีย์ ชื่นสวัสดิ์</v>
      </c>
      <c r="G836" s="3" t="str">
        <f>IFERROR(__xludf.DUMMYFUNCTION("""COMPUTED_VALUE"""),"ช่วยเหลืองานภายใน วพอ.")</f>
        <v>ช่วยเหลืองานภายใน วพอ.</v>
      </c>
      <c r="H836" s="3" t="str">
        <f>IFERROR(__xludf.DUMMYFUNCTION("""COMPUTED_VALUE"""),"วงดนตรีไทยงานสงกรานต์วพอ.")</f>
        <v>วงดนตรีไทยงานสงกรานต์วพอ.</v>
      </c>
      <c r="I836" s="3" t="str">
        <f>IFERROR(__xludf.DUMMYFUNCTION("""COMPUTED_VALUE"""),"วพอ.พอ.")</f>
        <v>วพอ.พอ.</v>
      </c>
      <c r="J836" s="12">
        <f>IFERROR(__xludf.DUMMYFUNCTION("""COMPUTED_VALUE"""),46122.0)</f>
        <v>46122</v>
      </c>
      <c r="K836" s="3" t="str">
        <f>IFERROR(__xludf.DUMMYFUNCTION("""COMPUTED_VALUE"""),"0600-1000")</f>
        <v>0600-1000</v>
      </c>
      <c r="L836" s="3">
        <f>IFERROR(__xludf.DUMMYFUNCTION("""COMPUTED_VALUE"""),4.0)</f>
        <v>4</v>
      </c>
      <c r="M836" s="3" t="str">
        <f>IFERROR(__xludf.DUMMYFUNCTION("""COMPUTED_VALUE"""),"ร.อ.หญิง ขนัฏฐา นาดี")</f>
        <v>ร.อ.หญิง ขนัฏฐา นาดี</v>
      </c>
      <c r="N836" s="14" t="str">
        <f>IFERROR(__xludf.DUMMYFUNCTION("""COMPUTED_VALUE"""),"https://lh5.googleusercontent.com/d/1KHnUhcM3EKUT_uZVDp6PbPRgkDWsztF7")</f>
        <v>https://lh5.googleusercontent.com/d/1KHnUhcM3EKUT_uZVDp6PbPRgkDWsztF7</v>
      </c>
      <c r="O836" s="14" t="str">
        <f>IFERROR(__xludf.DUMMYFUNCTION("""COMPUTED_VALUE"""),"https://drive.google.com/file/d/1CUxtZAFsFJNP5u3OkEqAfSuZDtTFQDrt/view?usp=drivesdk")</f>
        <v>https://drive.google.com/file/d/1CUxtZAFsFJNP5u3OkEqAfSuZDtTFQDrt/view?usp=drivesdk</v>
      </c>
    </row>
    <row r="837">
      <c r="A837" s="3">
        <f>IFERROR(__xludf.DUMMYFUNCTION("""COMPUTED_VALUE"""),2970.0)</f>
        <v>2970</v>
      </c>
      <c r="B837" s="11">
        <f>IFERROR(__xludf.DUMMYFUNCTION("""COMPUTED_VALUE"""),46177.969716354164)</f>
        <v>46177.96972</v>
      </c>
      <c r="C837" s="3" t="str">
        <f>IFERROR(__xludf.DUMMYFUNCTION("""COMPUTED_VALUE"""),"ชั้นปีที่ 1")</f>
        <v>ชั้นปีที่ 1</v>
      </c>
      <c r="D837" s="3" t="str">
        <f>IFERROR(__xludf.DUMMYFUNCTION("""COMPUTED_VALUE"""),"6803914")</f>
        <v>6803914</v>
      </c>
      <c r="E837" s="3" t="str">
        <f>IFERROR(__xludf.DUMMYFUNCTION("""COMPUTED_VALUE"""),"33")</f>
        <v>33</v>
      </c>
      <c r="F837" s="3" t="str">
        <f>IFERROR(__xludf.DUMMYFUNCTION("""COMPUTED_VALUE"""),"นพอ.ปราณปริยา ธูปทอง")</f>
        <v>นพอ.ปราณปริยา ธูปทอง</v>
      </c>
      <c r="G837" s="3" t="str">
        <f>IFERROR(__xludf.DUMMYFUNCTION("""COMPUTED_VALUE"""),"ช่วยเหลืองานภายใน วพอ.")</f>
        <v>ช่วยเหลืองานภายใน วพอ.</v>
      </c>
      <c r="H837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37" s="3" t="str">
        <f>IFERROR(__xludf.DUMMYFUNCTION("""COMPUTED_VALUE"""),"ลานหน้าหอพัก")</f>
        <v>ลานหน้าหอพัก</v>
      </c>
      <c r="J837" s="12">
        <f>IFERROR(__xludf.DUMMYFUNCTION("""COMPUTED_VALUE"""),46147.0)</f>
        <v>46147</v>
      </c>
      <c r="K837" s="3" t="str">
        <f>IFERROR(__xludf.DUMMYFUNCTION("""COMPUTED_VALUE"""),"0500-0700")</f>
        <v>0500-0700</v>
      </c>
      <c r="L837" s="3">
        <f>IFERROR(__xludf.DUMMYFUNCTION("""COMPUTED_VALUE"""),3.0)</f>
        <v>3</v>
      </c>
      <c r="M837" s="3" t="str">
        <f>IFERROR(__xludf.DUMMYFUNCTION("""COMPUTED_VALUE"""),"น.ต.ศักชัย บุญประสิทธิ์")</f>
        <v>น.ต.ศักชัย บุญประสิทธิ์</v>
      </c>
      <c r="N837" s="14" t="str">
        <f>IFERROR(__xludf.DUMMYFUNCTION("""COMPUTED_VALUE"""),"https://lh5.googleusercontent.com/d/1_xFdY2dpYERQCe6xpNC2h6ppzB0FwDmd")</f>
        <v>https://lh5.googleusercontent.com/d/1_xFdY2dpYERQCe6xpNC2h6ppzB0FwDmd</v>
      </c>
      <c r="O837" s="14" t="str">
        <f>IFERROR(__xludf.DUMMYFUNCTION("""COMPUTED_VALUE"""),"https://drive.google.com/file/d/1ptAZJKWr8eVQbNIbdgrfOC8x3Ll_RH9B/view?usp=drivesdk")</f>
        <v>https://drive.google.com/file/d/1ptAZJKWr8eVQbNIbdgrfOC8x3Ll_RH9B/view?usp=drivesdk</v>
      </c>
    </row>
    <row r="838">
      <c r="A838" s="3">
        <f>IFERROR(__xludf.DUMMYFUNCTION("""COMPUTED_VALUE"""),2972.0)</f>
        <v>2972</v>
      </c>
      <c r="B838" s="11">
        <f>IFERROR(__xludf.DUMMYFUNCTION("""COMPUTED_VALUE"""),46177.97634089121)</f>
        <v>46177.97634</v>
      </c>
      <c r="C838" s="3" t="str">
        <f>IFERROR(__xludf.DUMMYFUNCTION("""COMPUTED_VALUE"""),"ชั้นปีที่ 1")</f>
        <v>ชั้นปีที่ 1</v>
      </c>
      <c r="D838" s="3" t="str">
        <f>IFERROR(__xludf.DUMMYFUNCTION("""COMPUTED_VALUE"""),"6803914")</f>
        <v>6803914</v>
      </c>
      <c r="E838" s="3" t="str">
        <f>IFERROR(__xludf.DUMMYFUNCTION("""COMPUTED_VALUE"""),"33")</f>
        <v>33</v>
      </c>
      <c r="F838" s="3" t="str">
        <f>IFERROR(__xludf.DUMMYFUNCTION("""COMPUTED_VALUE"""),"นพอ.ปราณปริยา ธูปทอง")</f>
        <v>นพอ.ปราณปริยา ธูปทอง</v>
      </c>
      <c r="G838" s="3" t="str">
        <f>IFERROR(__xludf.DUMMYFUNCTION("""COMPUTED_VALUE"""),"ทำนุบำรุงศาสนสถาน")</f>
        <v>ทำนุบำรุงศาสนสถาน</v>
      </c>
      <c r="H838" s="3" t="str">
        <f>IFERROR(__xludf.DUMMYFUNCTION("""COMPUTED_VALUE"""),"ทำบุญถวายสังฆทาน")</f>
        <v>ทำบุญถวายสังฆทาน</v>
      </c>
      <c r="I838" s="3" t="str">
        <f>IFERROR(__xludf.DUMMYFUNCTION("""COMPUTED_VALUE"""),"วัดพระศรีมหาธาตุวรมหาวิหาร")</f>
        <v>วัดพระศรีมหาธาตุวรมหาวิหาร</v>
      </c>
      <c r="J838" s="12">
        <f>IFERROR(__xludf.DUMMYFUNCTION("""COMPUTED_VALUE"""),46172.0)</f>
        <v>46172</v>
      </c>
      <c r="K838" s="3" t="str">
        <f>IFERROR(__xludf.DUMMYFUNCTION("""COMPUTED_VALUE"""),"0800-1000")</f>
        <v>0800-1000</v>
      </c>
      <c r="L838" s="3">
        <f>IFERROR(__xludf.DUMMYFUNCTION("""COMPUTED_VALUE"""),2.0)</f>
        <v>2</v>
      </c>
      <c r="M838" s="3" t="str">
        <f>IFERROR(__xludf.DUMMYFUNCTION("""COMPUTED_VALUE"""),"พระครูศรีศาสนกิจโกศล")</f>
        <v>พระครูศรีศาสนกิจโกศล</v>
      </c>
      <c r="N838" s="14" t="str">
        <f>IFERROR(__xludf.DUMMYFUNCTION("""COMPUTED_VALUE"""),"https://lh5.googleusercontent.com/d/1vRpSwjJJ4u-p1SZMAkPSYxmC5THP1Bt-")</f>
        <v>https://lh5.googleusercontent.com/d/1vRpSwjJJ4u-p1SZMAkPSYxmC5THP1Bt-</v>
      </c>
      <c r="O838" s="14" t="str">
        <f>IFERROR(__xludf.DUMMYFUNCTION("""COMPUTED_VALUE"""),"https://drive.google.com/file/d/1zM1q7kMAg4H5DGnF4xFwADDWDauIJBF-/view?usp=drivesdk")</f>
        <v>https://drive.google.com/file/d/1zM1q7kMAg4H5DGnF4xFwADDWDauIJBF-/view?usp=drivesdk</v>
      </c>
    </row>
    <row r="839">
      <c r="A839" s="3">
        <f>IFERROR(__xludf.DUMMYFUNCTION("""COMPUTED_VALUE"""),2973.0)</f>
        <v>2973</v>
      </c>
      <c r="B839" s="11">
        <f>IFERROR(__xludf.DUMMYFUNCTION("""COMPUTED_VALUE"""),46177.97893851852)</f>
        <v>46177.97894</v>
      </c>
      <c r="C839" s="3" t="str">
        <f>IFERROR(__xludf.DUMMYFUNCTION("""COMPUTED_VALUE"""),"ชั้นปีที่ 1")</f>
        <v>ชั้นปีที่ 1</v>
      </c>
      <c r="D839" s="3" t="str">
        <f>IFERROR(__xludf.DUMMYFUNCTION("""COMPUTED_VALUE"""),"6803914")</f>
        <v>6803914</v>
      </c>
      <c r="E839" s="3" t="str">
        <f>IFERROR(__xludf.DUMMYFUNCTION("""COMPUTED_VALUE"""),"33")</f>
        <v>33</v>
      </c>
      <c r="F839" s="3" t="str">
        <f>IFERROR(__xludf.DUMMYFUNCTION("""COMPUTED_VALUE"""),"นพอ.ปราณปริยา ธูปทอง")</f>
        <v>นพอ.ปราณปริยา ธูปทอง</v>
      </c>
      <c r="G839" s="3" t="str">
        <f>IFERROR(__xludf.DUMMYFUNCTION("""COMPUTED_VALUE"""),"ช่วยเหลืองานภายใน วพอ.")</f>
        <v>ช่วยเหลืองานภายใน วพอ.</v>
      </c>
      <c r="H839" s="3" t="str">
        <f>IFERROR(__xludf.DUMMYFUNCTION("""COMPUTED_VALUE"""),"เล่นดุริยางค์")</f>
        <v>เล่นดุริยางค์</v>
      </c>
      <c r="I839" s="3" t="str">
        <f>IFERROR(__xludf.DUMMYFUNCTION("""COMPUTED_VALUE"""),"วิทยาลัยพยาบาลทหารอากาศ")</f>
        <v>วิทยาลัยพยาบาลทหารอากาศ</v>
      </c>
      <c r="J839" s="12">
        <f>IFERROR(__xludf.DUMMYFUNCTION("""COMPUTED_VALUE"""),46114.0)</f>
        <v>46114</v>
      </c>
      <c r="K839" s="3" t="str">
        <f>IFERROR(__xludf.DUMMYFUNCTION("""COMPUTED_VALUE"""),"0700-0800")</f>
        <v>0700-0800</v>
      </c>
      <c r="L839" s="3">
        <f>IFERROR(__xludf.DUMMYFUNCTION("""COMPUTED_VALUE"""),1.0)</f>
        <v>1</v>
      </c>
      <c r="M839" s="3" t="str">
        <f>IFERROR(__xludf.DUMMYFUNCTION("""COMPUTED_VALUE"""),"ร.อ.อนุชิต ทำจะดี")</f>
        <v>ร.อ.อนุชิต ทำจะดี</v>
      </c>
      <c r="N839" s="14" t="str">
        <f>IFERROR(__xludf.DUMMYFUNCTION("""COMPUTED_VALUE"""),"https://lh5.googleusercontent.com/d/1zJNVKNjalA5s3hxAN6IW3jll6lfKLhvP")</f>
        <v>https://lh5.googleusercontent.com/d/1zJNVKNjalA5s3hxAN6IW3jll6lfKLhvP</v>
      </c>
      <c r="O839" s="14" t="str">
        <f>IFERROR(__xludf.DUMMYFUNCTION("""COMPUTED_VALUE"""),"https://drive.google.com/file/d/1otNXHlmmdvobdgof5QuA573SrJdKEF-E/view?usp=drivesdk")</f>
        <v>https://drive.google.com/file/d/1otNXHlmmdvobdgof5QuA573SrJdKEF-E/view?usp=drivesdk</v>
      </c>
    </row>
    <row r="840">
      <c r="A840" s="3">
        <f>IFERROR(__xludf.DUMMYFUNCTION("""COMPUTED_VALUE"""),2974.0)</f>
        <v>2974</v>
      </c>
      <c r="B840" s="11">
        <f>IFERROR(__xludf.DUMMYFUNCTION("""COMPUTED_VALUE"""),46177.98023900463)</f>
        <v>46177.98024</v>
      </c>
      <c r="C840" s="3" t="str">
        <f>IFERROR(__xludf.DUMMYFUNCTION("""COMPUTED_VALUE"""),"ชั้นปีที่ 1")</f>
        <v>ชั้นปีที่ 1</v>
      </c>
      <c r="D840" s="3" t="str">
        <f>IFERROR(__xludf.DUMMYFUNCTION("""COMPUTED_VALUE"""),"6803914")</f>
        <v>6803914</v>
      </c>
      <c r="E840" s="3" t="str">
        <f>IFERROR(__xludf.DUMMYFUNCTION("""COMPUTED_VALUE"""),"33")</f>
        <v>33</v>
      </c>
      <c r="F840" s="3" t="str">
        <f>IFERROR(__xludf.DUMMYFUNCTION("""COMPUTED_VALUE"""),"นพอ.ปราณปริยา ธูปทอง")</f>
        <v>นพอ.ปราณปริยา ธูปทอง</v>
      </c>
      <c r="G840" s="3" t="str">
        <f>IFERROR(__xludf.DUMMYFUNCTION("""COMPUTED_VALUE"""),"ช่วยเหลืองานภายใน วพอ.")</f>
        <v>ช่วยเหลืองานภายใน วพอ.</v>
      </c>
      <c r="H840" s="3" t="str">
        <f>IFERROR(__xludf.DUMMYFUNCTION("""COMPUTED_VALUE"""),"เล่นดุริยางค์")</f>
        <v>เล่นดุริยางค์</v>
      </c>
      <c r="I840" s="3" t="str">
        <f>IFERROR(__xludf.DUMMYFUNCTION("""COMPUTED_VALUE"""),"วิทยาลัยพยาบาลทหารอากาศ")</f>
        <v>วิทยาลัยพยาบาลทหารอากาศ</v>
      </c>
      <c r="J840" s="12">
        <f>IFERROR(__xludf.DUMMYFUNCTION("""COMPUTED_VALUE"""),46135.0)</f>
        <v>46135</v>
      </c>
      <c r="K840" s="3" t="str">
        <f>IFERROR(__xludf.DUMMYFUNCTION("""COMPUTED_VALUE"""),"0700-0800")</f>
        <v>0700-0800</v>
      </c>
      <c r="L840" s="3">
        <f>IFERROR(__xludf.DUMMYFUNCTION("""COMPUTED_VALUE"""),1.0)</f>
        <v>1</v>
      </c>
      <c r="M840" s="3" t="str">
        <f>IFERROR(__xludf.DUMMYFUNCTION("""COMPUTED_VALUE"""),"ร.อ.อนุชิต ทำจะดี")</f>
        <v>ร.อ.อนุชิต ทำจะดี</v>
      </c>
      <c r="N840" s="14" t="str">
        <f>IFERROR(__xludf.DUMMYFUNCTION("""COMPUTED_VALUE"""),"https://lh5.googleusercontent.com/d/1x3qrgaqe6MedA8KDI2SrxqR2rjbj0E8J")</f>
        <v>https://lh5.googleusercontent.com/d/1x3qrgaqe6MedA8KDI2SrxqR2rjbj0E8J</v>
      </c>
      <c r="O840" s="14" t="str">
        <f>IFERROR(__xludf.DUMMYFUNCTION("""COMPUTED_VALUE"""),"https://drive.google.com/file/d/1WvXt5wyzRpEJuaVgMMNR4VolPirMpeTx/view?usp=drivesdk")</f>
        <v>https://drive.google.com/file/d/1WvXt5wyzRpEJuaVgMMNR4VolPirMpeTx/view?usp=drivesdk</v>
      </c>
    </row>
    <row r="841">
      <c r="A841" s="3">
        <f>IFERROR(__xludf.DUMMYFUNCTION("""COMPUTED_VALUE"""),2975.0)</f>
        <v>2975</v>
      </c>
      <c r="B841" s="11">
        <f>IFERROR(__xludf.DUMMYFUNCTION("""COMPUTED_VALUE"""),46177.98234047454)</f>
        <v>46177.98234</v>
      </c>
      <c r="C841" s="3" t="str">
        <f>IFERROR(__xludf.DUMMYFUNCTION("""COMPUTED_VALUE"""),"ชั้นปีที่ 1")</f>
        <v>ชั้นปีที่ 1</v>
      </c>
      <c r="D841" s="3" t="str">
        <f>IFERROR(__xludf.DUMMYFUNCTION("""COMPUTED_VALUE"""),"6803891")</f>
        <v>6803891</v>
      </c>
      <c r="E841" s="3" t="str">
        <f>IFERROR(__xludf.DUMMYFUNCTION("""COMPUTED_VALUE"""),"10")</f>
        <v>10</v>
      </c>
      <c r="F841" s="3" t="str">
        <f>IFERROR(__xludf.DUMMYFUNCTION("""COMPUTED_VALUE"""),"นพอ.จิรัชยา ธีรประภานนท์")</f>
        <v>นพอ.จิรัชยา ธีรประภานนท์</v>
      </c>
      <c r="G84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1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841" s="3" t="str">
        <f>IFERROR(__xludf.DUMMYFUNCTION("""COMPUTED_VALUE"""),"อาคารรณนภาอากาศ")</f>
        <v>อาคารรณนภาอากาศ</v>
      </c>
      <c r="J841" s="12">
        <f>IFERROR(__xludf.DUMMYFUNCTION("""COMPUTED_VALUE"""),46101.0)</f>
        <v>46101</v>
      </c>
      <c r="K841" s="3" t="str">
        <f>IFERROR(__xludf.DUMMYFUNCTION("""COMPUTED_VALUE"""),"1500-1700")</f>
        <v>1500-1700</v>
      </c>
      <c r="L841" s="3">
        <f>IFERROR(__xludf.DUMMYFUNCTION("""COMPUTED_VALUE"""),3.0)</f>
        <v>3</v>
      </c>
      <c r="M841" s="3" t="str">
        <f>IFERROR(__xludf.DUMMYFUNCTION("""COMPUTED_VALUE"""),"ร.อ.หญิง ขนัฏฐา นาดี")</f>
        <v>ร.อ.หญิง ขนัฏฐา นาดี</v>
      </c>
      <c r="N841" s="14" t="str">
        <f>IFERROR(__xludf.DUMMYFUNCTION("""COMPUTED_VALUE"""),"https://lh5.googleusercontent.com/d/1-QsHD5ELbC3lNFWLn0jIxoiPfM2_rHbz")</f>
        <v>https://lh5.googleusercontent.com/d/1-QsHD5ELbC3lNFWLn0jIxoiPfM2_rHbz</v>
      </c>
      <c r="O841" s="14" t="str">
        <f>IFERROR(__xludf.DUMMYFUNCTION("""COMPUTED_VALUE"""),"https://drive.google.com/file/d/1c37wplleiLIn2hyC4zMpRweh0K8TZm7s/view?usp=drivesdk")</f>
        <v>https://drive.google.com/file/d/1c37wplleiLIn2hyC4zMpRweh0K8TZm7s/view?usp=drivesdk</v>
      </c>
    </row>
    <row r="842">
      <c r="A842" s="3">
        <f>IFERROR(__xludf.DUMMYFUNCTION("""COMPUTED_VALUE"""),2976.0)</f>
        <v>2976</v>
      </c>
      <c r="B842" s="11">
        <f>IFERROR(__xludf.DUMMYFUNCTION("""COMPUTED_VALUE"""),46177.98260581018)</f>
        <v>46177.98261</v>
      </c>
      <c r="C842" s="3" t="str">
        <f>IFERROR(__xludf.DUMMYFUNCTION("""COMPUTED_VALUE"""),"ชั้นปีที่ 1")</f>
        <v>ชั้นปีที่ 1</v>
      </c>
      <c r="D842" s="3" t="str">
        <f>IFERROR(__xludf.DUMMYFUNCTION("""COMPUTED_VALUE"""),"6803914")</f>
        <v>6803914</v>
      </c>
      <c r="E842" s="3" t="str">
        <f>IFERROR(__xludf.DUMMYFUNCTION("""COMPUTED_VALUE"""),"33")</f>
        <v>33</v>
      </c>
      <c r="F842" s="3" t="str">
        <f>IFERROR(__xludf.DUMMYFUNCTION("""COMPUTED_VALUE"""),"นพอ.ปราณปริยา ธูปทอง")</f>
        <v>นพอ.ปราณปริยา ธูปทอง</v>
      </c>
      <c r="G842" s="3" t="str">
        <f>IFERROR(__xludf.DUMMYFUNCTION("""COMPUTED_VALUE"""),"ช่วยเหลืองานภายใน วพอ.")</f>
        <v>ช่วยเหลืองานภายใน วพอ.</v>
      </c>
      <c r="H842" s="3" t="str">
        <f>IFERROR(__xludf.DUMMYFUNCTION("""COMPUTED_VALUE"""),"เล่นดุริยางค์")</f>
        <v>เล่นดุริยางค์</v>
      </c>
      <c r="I842" s="3" t="str">
        <f>IFERROR(__xludf.DUMMYFUNCTION("""COMPUTED_VALUE"""),"วิทยาลัยพยาบาลทหารอากาศ")</f>
        <v>วิทยาลัยพยาบาลทหารอากาศ</v>
      </c>
      <c r="J842" s="12">
        <f>IFERROR(__xludf.DUMMYFUNCTION("""COMPUTED_VALUE"""),46154.0)</f>
        <v>46154</v>
      </c>
      <c r="K842" s="3" t="str">
        <f>IFERROR(__xludf.DUMMYFUNCTION("""COMPUTED_VALUE"""),"0700-0800")</f>
        <v>0700-0800</v>
      </c>
      <c r="L842" s="3">
        <f>IFERROR(__xludf.DUMMYFUNCTION("""COMPUTED_VALUE"""),1.0)</f>
        <v>1</v>
      </c>
      <c r="M842" s="3" t="str">
        <f>IFERROR(__xludf.DUMMYFUNCTION("""COMPUTED_VALUE"""),"ร.อ.อนุชิต ทำจะดี")</f>
        <v>ร.อ.อนุชิต ทำจะดี</v>
      </c>
      <c r="N842" s="14" t="str">
        <f>IFERROR(__xludf.DUMMYFUNCTION("""COMPUTED_VALUE"""),"https://lh5.googleusercontent.com/d/12iUmjgvKNkAHFmORsoyA0sx6ka3-mUTJ")</f>
        <v>https://lh5.googleusercontent.com/d/12iUmjgvKNkAHFmORsoyA0sx6ka3-mUTJ</v>
      </c>
      <c r="O842" s="14" t="str">
        <f>IFERROR(__xludf.DUMMYFUNCTION("""COMPUTED_VALUE"""),"https://drive.google.com/file/d/1VoVOVPG-X0mS076yDSfVjwul-Win3ioR/view?usp=drivesdk")</f>
        <v>https://drive.google.com/file/d/1VoVOVPG-X0mS076yDSfVjwul-Win3ioR/view?usp=drivesdk</v>
      </c>
    </row>
    <row r="843">
      <c r="A843" s="3">
        <f>IFERROR(__xludf.DUMMYFUNCTION("""COMPUTED_VALUE"""),2977.0)</f>
        <v>2977</v>
      </c>
      <c r="B843" s="11">
        <f>IFERROR(__xludf.DUMMYFUNCTION("""COMPUTED_VALUE"""),46177.983550000004)</f>
        <v>46177.98355</v>
      </c>
      <c r="C843" s="3" t="str">
        <f>IFERROR(__xludf.DUMMYFUNCTION("""COMPUTED_VALUE"""),"ชั้นปีที่ 1")</f>
        <v>ชั้นปีที่ 1</v>
      </c>
      <c r="D843" s="3" t="str">
        <f>IFERROR(__xludf.DUMMYFUNCTION("""COMPUTED_VALUE"""),"6803891")</f>
        <v>6803891</v>
      </c>
      <c r="E843" s="3" t="str">
        <f>IFERROR(__xludf.DUMMYFUNCTION("""COMPUTED_VALUE"""),"10")</f>
        <v>10</v>
      </c>
      <c r="F843" s="3" t="str">
        <f>IFERROR(__xludf.DUMMYFUNCTION("""COMPUTED_VALUE"""),"นพอ.จิรัชยา ธีรประภานนท์")</f>
        <v>นพอ.จิรัชยา ธีรประภานนท์</v>
      </c>
      <c r="G84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3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843" s="3" t="str">
        <f>IFERROR(__xludf.DUMMYFUNCTION("""COMPUTED_VALUE"""),"อาคารรณนภาอากาศ")</f>
        <v>อาคารรณนภาอากาศ</v>
      </c>
      <c r="J843" s="12">
        <f>IFERROR(__xludf.DUMMYFUNCTION("""COMPUTED_VALUE"""),46108.0)</f>
        <v>46108</v>
      </c>
      <c r="K843" s="3" t="str">
        <f>IFERROR(__xludf.DUMMYFUNCTION("""COMPUTED_VALUE"""),"1500-1700")</f>
        <v>1500-1700</v>
      </c>
      <c r="L843" s="3">
        <f>IFERROR(__xludf.DUMMYFUNCTION("""COMPUTED_VALUE"""),3.0)</f>
        <v>3</v>
      </c>
      <c r="M843" s="3" t="str">
        <f>IFERROR(__xludf.DUMMYFUNCTION("""COMPUTED_VALUE"""),"ร.อ.หญิง ขนัฏฐา นาดี")</f>
        <v>ร.อ.หญิง ขนัฏฐา นาดี</v>
      </c>
      <c r="N843" s="14" t="str">
        <f>IFERROR(__xludf.DUMMYFUNCTION("""COMPUTED_VALUE"""),"https://lh5.googleusercontent.com/d/1nxInzO1HkzgJXfuTkQmwgM0RLg-ghOHB")</f>
        <v>https://lh5.googleusercontent.com/d/1nxInzO1HkzgJXfuTkQmwgM0RLg-ghOHB</v>
      </c>
      <c r="O843" s="14" t="str">
        <f>IFERROR(__xludf.DUMMYFUNCTION("""COMPUTED_VALUE"""),"https://drive.google.com/file/d/1ULUzhDXDXkRT3dTprfH-k-jX0JlYu_P_/view?usp=drivesdk")</f>
        <v>https://drive.google.com/file/d/1ULUzhDXDXkRT3dTprfH-k-jX0JlYu_P_/view?usp=drivesdk</v>
      </c>
    </row>
    <row r="844">
      <c r="A844" s="3">
        <f>IFERROR(__xludf.DUMMYFUNCTION("""COMPUTED_VALUE"""),2978.0)</f>
        <v>2978</v>
      </c>
      <c r="B844" s="11">
        <f>IFERROR(__xludf.DUMMYFUNCTION("""COMPUTED_VALUE"""),46177.98629641203)</f>
        <v>46177.9863</v>
      </c>
      <c r="C844" s="3" t="str">
        <f>IFERROR(__xludf.DUMMYFUNCTION("""COMPUTED_VALUE"""),"ชั้นปีที่ 1")</f>
        <v>ชั้นปีที่ 1</v>
      </c>
      <c r="D844" s="3" t="str">
        <f>IFERROR(__xludf.DUMMYFUNCTION("""COMPUTED_VALUE"""),"6803891")</f>
        <v>6803891</v>
      </c>
      <c r="E844" s="3" t="str">
        <f>IFERROR(__xludf.DUMMYFUNCTION("""COMPUTED_VALUE"""),"10")</f>
        <v>10</v>
      </c>
      <c r="F844" s="3" t="str">
        <f>IFERROR(__xludf.DUMMYFUNCTION("""COMPUTED_VALUE"""),"นพอ.จิรัชยา ธีรประภานนท์")</f>
        <v>นพอ.จิรัชยา ธีรประภานนท์</v>
      </c>
      <c r="G844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4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844" s="3" t="str">
        <f>IFERROR(__xludf.DUMMYFUNCTION("""COMPUTED_VALUE"""),"อาคารรณนภาอากาศ")</f>
        <v>อาคารรณนภาอากาศ</v>
      </c>
      <c r="J844" s="12">
        <f>IFERROR(__xludf.DUMMYFUNCTION("""COMPUTED_VALUE"""),46115.0)</f>
        <v>46115</v>
      </c>
      <c r="K844" s="3" t="str">
        <f>IFERROR(__xludf.DUMMYFUNCTION("""COMPUTED_VALUE"""),"1500-1700")</f>
        <v>1500-1700</v>
      </c>
      <c r="L844" s="3">
        <f>IFERROR(__xludf.DUMMYFUNCTION("""COMPUTED_VALUE"""),3.0)</f>
        <v>3</v>
      </c>
      <c r="M844" s="3" t="str">
        <f>IFERROR(__xludf.DUMMYFUNCTION("""COMPUTED_VALUE"""),"ร.อ.ขนัฏฐา นาดี")</f>
        <v>ร.อ.ขนัฏฐา นาดี</v>
      </c>
      <c r="N844" s="14" t="str">
        <f>IFERROR(__xludf.DUMMYFUNCTION("""COMPUTED_VALUE"""),"https://lh5.googleusercontent.com/d/1zT7kNvv26ShEwh6eyfeiaJD-EZEO41wb")</f>
        <v>https://lh5.googleusercontent.com/d/1zT7kNvv26ShEwh6eyfeiaJD-EZEO41wb</v>
      </c>
      <c r="O844" s="14" t="str">
        <f>IFERROR(__xludf.DUMMYFUNCTION("""COMPUTED_VALUE"""),"https://drive.google.com/file/d/1hqGGky1gmOetInaVv0mwSImdKqrB_hft/view?usp=drivesdk")</f>
        <v>https://drive.google.com/file/d/1hqGGky1gmOetInaVv0mwSImdKqrB_hft/view?usp=drivesdk</v>
      </c>
    </row>
    <row r="845">
      <c r="A845" s="3">
        <f>IFERROR(__xludf.DUMMYFUNCTION("""COMPUTED_VALUE"""),2979.0)</f>
        <v>2979</v>
      </c>
      <c r="B845" s="11">
        <f>IFERROR(__xludf.DUMMYFUNCTION("""COMPUTED_VALUE"""),46177.98770744213)</f>
        <v>46177.98771</v>
      </c>
      <c r="C845" s="3" t="str">
        <f>IFERROR(__xludf.DUMMYFUNCTION("""COMPUTED_VALUE"""),"ชั้นปีที่ 1")</f>
        <v>ชั้นปีที่ 1</v>
      </c>
      <c r="D845" s="3" t="str">
        <f>IFERROR(__xludf.DUMMYFUNCTION("""COMPUTED_VALUE"""),"6803885")</f>
        <v>6803885</v>
      </c>
      <c r="E845" s="3" t="str">
        <f>IFERROR(__xludf.DUMMYFUNCTION("""COMPUTED_VALUE"""),"4")</f>
        <v>4</v>
      </c>
      <c r="F845" s="3" t="str">
        <f>IFERROR(__xludf.DUMMYFUNCTION("""COMPUTED_VALUE"""),"นพอ.กษิดิ์เดช เอมอานนท์")</f>
        <v>นพอ.กษิดิ์เดช เอมอานนท์</v>
      </c>
      <c r="G845" s="3" t="str">
        <f>IFERROR(__xludf.DUMMYFUNCTION("""COMPUTED_VALUE"""),"งานฟรีทั่วไป")</f>
        <v>งานฟรีทั่วไป</v>
      </c>
      <c r="H845" s="3" t="str">
        <f>IFERROR(__xludf.DUMMYFUNCTION("""COMPUTED_VALUE"""),"กวาดวัด")</f>
        <v>กวาดวัด</v>
      </c>
      <c r="I845" s="3" t="str">
        <f>IFERROR(__xludf.DUMMYFUNCTION("""COMPUTED_VALUE"""),"ลานวัด")</f>
        <v>ลานวัด</v>
      </c>
      <c r="J845" s="12">
        <f>IFERROR(__xludf.DUMMYFUNCTION("""COMPUTED_VALUE"""),46027.0)</f>
        <v>46027</v>
      </c>
      <c r="K845" s="3" t="str">
        <f>IFERROR(__xludf.DUMMYFUNCTION("""COMPUTED_VALUE"""),"0800-0900")</f>
        <v>0800-0900</v>
      </c>
      <c r="L845" s="3">
        <f>IFERROR(__xludf.DUMMYFUNCTION("""COMPUTED_VALUE"""),2.0)</f>
        <v>2</v>
      </c>
      <c r="M845" s="3" t="str">
        <f>IFERROR(__xludf.DUMMYFUNCTION("""COMPUTED_VALUE"""),"พระอธิการมุ้ย")</f>
        <v>พระอธิการมุ้ย</v>
      </c>
      <c r="N845" s="14" t="str">
        <f>IFERROR(__xludf.DUMMYFUNCTION("""COMPUTED_VALUE"""),"https://lh5.googleusercontent.com/d/19R4ACCMT9nKAC2adBhTB5ML2kpXJlbUR")</f>
        <v>https://lh5.googleusercontent.com/d/19R4ACCMT9nKAC2adBhTB5ML2kpXJlbUR</v>
      </c>
      <c r="O845" s="14" t="str">
        <f>IFERROR(__xludf.DUMMYFUNCTION("""COMPUTED_VALUE"""),"https://drive.google.com/file/d/1JV5AMNh_tT9wkxHIm-LyKGKcu7lr377V/view?usp=drivesdk")</f>
        <v>https://drive.google.com/file/d/1JV5AMNh_tT9wkxHIm-LyKGKcu7lr377V/view?usp=drivesdk</v>
      </c>
    </row>
    <row r="846">
      <c r="A846" s="3">
        <f>IFERROR(__xludf.DUMMYFUNCTION("""COMPUTED_VALUE"""),2981.0)</f>
        <v>2981</v>
      </c>
      <c r="B846" s="11">
        <f>IFERROR(__xludf.DUMMYFUNCTION("""COMPUTED_VALUE"""),46177.99031597222)</f>
        <v>46177.99032</v>
      </c>
      <c r="C846" s="3" t="str">
        <f>IFERROR(__xludf.DUMMYFUNCTION("""COMPUTED_VALUE"""),"ชั้นปีที่ 1")</f>
        <v>ชั้นปีที่ 1</v>
      </c>
      <c r="D846" s="3" t="str">
        <f>IFERROR(__xludf.DUMMYFUNCTION("""COMPUTED_VALUE"""),"6803891")</f>
        <v>6803891</v>
      </c>
      <c r="E846" s="3" t="str">
        <f>IFERROR(__xludf.DUMMYFUNCTION("""COMPUTED_VALUE"""),"10")</f>
        <v>10</v>
      </c>
      <c r="F846" s="3" t="str">
        <f>IFERROR(__xludf.DUMMYFUNCTION("""COMPUTED_VALUE"""),"นพอ.จิรัชยา ธีรประภานนท์")</f>
        <v>นพอ.จิรัชยา ธีรประภานนท์</v>
      </c>
      <c r="G846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6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846" s="3" t="str">
        <f>IFERROR(__xludf.DUMMYFUNCTION("""COMPUTED_VALUE"""),"อาคารรณนภาอากาศ")</f>
        <v>อาคารรณนภาอากาศ</v>
      </c>
      <c r="J846" s="12">
        <f>IFERROR(__xludf.DUMMYFUNCTION("""COMPUTED_VALUE"""),46119.0)</f>
        <v>46119</v>
      </c>
      <c r="K846" s="3" t="str">
        <f>IFERROR(__xludf.DUMMYFUNCTION("""COMPUTED_VALUE"""),"1500-2000")</f>
        <v>1500-2000</v>
      </c>
      <c r="L846" s="3">
        <f>IFERROR(__xludf.DUMMYFUNCTION("""COMPUTED_VALUE"""),6.0)</f>
        <v>6</v>
      </c>
      <c r="M846" s="3" t="str">
        <f>IFERROR(__xludf.DUMMYFUNCTION("""COMPUTED_VALUE"""),"ร.อ.หญิง ขนัฏฐา นาดี")</f>
        <v>ร.อ.หญิง ขนัฏฐา นาดี</v>
      </c>
      <c r="N846" s="14" t="str">
        <f>IFERROR(__xludf.DUMMYFUNCTION("""COMPUTED_VALUE"""),"https://lh5.googleusercontent.com/d/1sMeGHeKYJ-ppy0o5dMHEtZ-323ZG0LK2")</f>
        <v>https://lh5.googleusercontent.com/d/1sMeGHeKYJ-ppy0o5dMHEtZ-323ZG0LK2</v>
      </c>
      <c r="O846" s="14" t="str">
        <f>IFERROR(__xludf.DUMMYFUNCTION("""COMPUTED_VALUE"""),"https://drive.google.com/file/d/1L6Qb9NnZxnRxSnwSuASzF-K1UVG8sj80/view?usp=drivesdk")</f>
        <v>https://drive.google.com/file/d/1L6Qb9NnZxnRxSnwSuASzF-K1UVG8sj80/view?usp=drivesdk</v>
      </c>
    </row>
    <row r="847">
      <c r="A847" s="3">
        <f>IFERROR(__xludf.DUMMYFUNCTION("""COMPUTED_VALUE"""),2982.0)</f>
        <v>2982</v>
      </c>
      <c r="B847" s="11">
        <f>IFERROR(__xludf.DUMMYFUNCTION("""COMPUTED_VALUE"""),46177.991520995376)</f>
        <v>46177.99152</v>
      </c>
      <c r="C847" s="3" t="str">
        <f>IFERROR(__xludf.DUMMYFUNCTION("""COMPUTED_VALUE"""),"ชั้นปีที่ 1")</f>
        <v>ชั้นปีที่ 1</v>
      </c>
      <c r="D847" s="3" t="str">
        <f>IFERROR(__xludf.DUMMYFUNCTION("""COMPUTED_VALUE"""),"6803891")</f>
        <v>6803891</v>
      </c>
      <c r="E847" s="3" t="str">
        <f>IFERROR(__xludf.DUMMYFUNCTION("""COMPUTED_VALUE"""),"10")</f>
        <v>10</v>
      </c>
      <c r="F847" s="3" t="str">
        <f>IFERROR(__xludf.DUMMYFUNCTION("""COMPUTED_VALUE"""),"นพอ.จิรัชยา ธีรประภานนท์")</f>
        <v>นพอ.จิรัชยา ธีรประภานนท์</v>
      </c>
      <c r="G847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7" s="3" t="str">
        <f>IFERROR(__xludf.DUMMYFUNCTION("""COMPUTED_VALUE"""),"เดินแบบเนื่องในวันกองทัพอากาศ 2569")</f>
        <v>เดินแบบเนื่องในวันกองทัพอากาศ 2569</v>
      </c>
      <c r="I847" s="3" t="str">
        <f>IFERROR(__xludf.DUMMYFUNCTION("""COMPUTED_VALUE"""),"อาคารรณนภาอากาศ")</f>
        <v>อาคารรณนภาอากาศ</v>
      </c>
      <c r="J847" s="12">
        <f>IFERROR(__xludf.DUMMYFUNCTION("""COMPUTED_VALUE"""),46120.0)</f>
        <v>46120</v>
      </c>
      <c r="K847" s="3" t="str">
        <f>IFERROR(__xludf.DUMMYFUNCTION("""COMPUTED_VALUE"""),"1300-1800")</f>
        <v>1300-1800</v>
      </c>
      <c r="L847" s="3">
        <f>IFERROR(__xludf.DUMMYFUNCTION("""COMPUTED_VALUE"""),6.0)</f>
        <v>6</v>
      </c>
      <c r="M847" s="3" t="str">
        <f>IFERROR(__xludf.DUMMYFUNCTION("""COMPUTED_VALUE"""),"ร.อ.หญิง ขนัฏฐา นาดี")</f>
        <v>ร.อ.หญิง ขนัฏฐา นาดี</v>
      </c>
      <c r="N847" s="14" t="str">
        <f>IFERROR(__xludf.DUMMYFUNCTION("""COMPUTED_VALUE"""),"https://lh5.googleusercontent.com/d/108A1m5IGhuT2dpC45vn5y6X-a8EfM6XE")</f>
        <v>https://lh5.googleusercontent.com/d/108A1m5IGhuT2dpC45vn5y6X-a8EfM6XE</v>
      </c>
      <c r="O847" s="14" t="str">
        <f>IFERROR(__xludf.DUMMYFUNCTION("""COMPUTED_VALUE"""),"https://drive.google.com/file/d/1rdr5GGfZAObLLQv7dd54G4qjc4ntLc8e/view?usp=drivesdk")</f>
        <v>https://drive.google.com/file/d/1rdr5GGfZAObLLQv7dd54G4qjc4ntLc8e/view?usp=drivesdk</v>
      </c>
    </row>
    <row r="848">
      <c r="A848" s="3">
        <f>IFERROR(__xludf.DUMMYFUNCTION("""COMPUTED_VALUE"""),2983.0)</f>
        <v>2983</v>
      </c>
      <c r="B848" s="11">
        <f>IFERROR(__xludf.DUMMYFUNCTION("""COMPUTED_VALUE"""),46177.992911643516)</f>
        <v>46177.99291</v>
      </c>
      <c r="C848" s="3" t="str">
        <f>IFERROR(__xludf.DUMMYFUNCTION("""COMPUTED_VALUE"""),"ชั้นปีที่ 1")</f>
        <v>ชั้นปีที่ 1</v>
      </c>
      <c r="D848" s="3" t="str">
        <f>IFERROR(__xludf.DUMMYFUNCTION("""COMPUTED_VALUE"""),"6803891")</f>
        <v>6803891</v>
      </c>
      <c r="E848" s="3" t="str">
        <f>IFERROR(__xludf.DUMMYFUNCTION("""COMPUTED_VALUE"""),"10")</f>
        <v>10</v>
      </c>
      <c r="F848" s="3" t="str">
        <f>IFERROR(__xludf.DUMMYFUNCTION("""COMPUTED_VALUE"""),"นพอ.จิรัชยา ธีรประภานนท์")</f>
        <v>นพอ.จิรัชยา ธีรประภานนท์</v>
      </c>
      <c r="G84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8" s="3" t="str">
        <f>IFERROR(__xludf.DUMMYFUNCTION("""COMPUTED_VALUE"""),"เดินแบงเนื่องในวันกองทัพอากาศ 2569")</f>
        <v>เดินแบงเนื่องในวันกองทัพอากาศ 2569</v>
      </c>
      <c r="I848" s="3" t="str">
        <f>IFERROR(__xludf.DUMMYFUNCTION("""COMPUTED_VALUE"""),"อาคารรณนภาอากาศ")</f>
        <v>อาคารรณนภาอากาศ</v>
      </c>
      <c r="J848" s="12">
        <f>IFERROR(__xludf.DUMMYFUNCTION("""COMPUTED_VALUE"""),46121.0)</f>
        <v>46121</v>
      </c>
      <c r="K848" s="3" t="str">
        <f>IFERROR(__xludf.DUMMYFUNCTION("""COMPUTED_VALUE"""),"1300-2000")</f>
        <v>1300-2000</v>
      </c>
      <c r="L848" s="3">
        <f>IFERROR(__xludf.DUMMYFUNCTION("""COMPUTED_VALUE"""),8.0)</f>
        <v>8</v>
      </c>
      <c r="M848" s="3" t="str">
        <f>IFERROR(__xludf.DUMMYFUNCTION("""COMPUTED_VALUE"""),"ร.อ.หญิง ขนัฏฐา นาดี")</f>
        <v>ร.อ.หญิง ขนัฏฐา นาดี</v>
      </c>
      <c r="N848" s="14" t="str">
        <f>IFERROR(__xludf.DUMMYFUNCTION("""COMPUTED_VALUE"""),"https://lh5.googleusercontent.com/d/1tzMrEl5lMgj3vGL0_dcCCtwUX2SGTMAR")</f>
        <v>https://lh5.googleusercontent.com/d/1tzMrEl5lMgj3vGL0_dcCCtwUX2SGTMAR</v>
      </c>
      <c r="O848" s="14" t="str">
        <f>IFERROR(__xludf.DUMMYFUNCTION("""COMPUTED_VALUE"""),"https://drive.google.com/file/d/1RbtO1coKducgmt2aeR5a86DsMUv39Tvz/view?usp=drivesdk")</f>
        <v>https://drive.google.com/file/d/1RbtO1coKducgmt2aeR5a86DsMUv39Tvz/view?usp=drivesdk</v>
      </c>
    </row>
    <row r="849">
      <c r="A849" s="3">
        <f>IFERROR(__xludf.DUMMYFUNCTION("""COMPUTED_VALUE"""),2984.0)</f>
        <v>2984</v>
      </c>
      <c r="B849" s="11">
        <f>IFERROR(__xludf.DUMMYFUNCTION("""COMPUTED_VALUE"""),46177.99452228009)</f>
        <v>46177.99452</v>
      </c>
      <c r="C849" s="3" t="str">
        <f>IFERROR(__xludf.DUMMYFUNCTION("""COMPUTED_VALUE"""),"ชั้นปีที่ 1")</f>
        <v>ชั้นปีที่ 1</v>
      </c>
      <c r="D849" s="3" t="str">
        <f>IFERROR(__xludf.DUMMYFUNCTION("""COMPUTED_VALUE"""),"6803891")</f>
        <v>6803891</v>
      </c>
      <c r="E849" s="3" t="str">
        <f>IFERROR(__xludf.DUMMYFUNCTION("""COMPUTED_VALUE"""),"10")</f>
        <v>10</v>
      </c>
      <c r="F849" s="3" t="str">
        <f>IFERROR(__xludf.DUMMYFUNCTION("""COMPUTED_VALUE"""),"นพอ.จิรัชยา ธีรประภานนท์")</f>
        <v>นพอ.จิรัชยา ธีรประภานนท์</v>
      </c>
      <c r="G849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49" s="3" t="str">
        <f>IFERROR(__xludf.DUMMYFUNCTION("""COMPUTED_VALUE"""),"งานวันเด็ก 2569")</f>
        <v>งานวันเด็ก 2569</v>
      </c>
      <c r="I849" s="3" t="str">
        <f>IFERROR(__xludf.DUMMYFUNCTION("""COMPUTED_VALUE"""),"บน.6")</f>
        <v>บน.6</v>
      </c>
      <c r="J849" s="12">
        <f>IFERROR(__xludf.DUMMYFUNCTION("""COMPUTED_VALUE"""),46032.0)</f>
        <v>46032</v>
      </c>
      <c r="K849" s="3" t="str">
        <f>IFERROR(__xludf.DUMMYFUNCTION("""COMPUTED_VALUE"""),"0600-1400")</f>
        <v>0600-1400</v>
      </c>
      <c r="L849" s="3">
        <f>IFERROR(__xludf.DUMMYFUNCTION("""COMPUTED_VALUE"""),8.0)</f>
        <v>8</v>
      </c>
      <c r="M84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49" s="14" t="str">
        <f>IFERROR(__xludf.DUMMYFUNCTION("""COMPUTED_VALUE"""),"https://lh5.googleusercontent.com/d/1aYgJ1pQQGzIfpAUXFPElc5kK4E2mM3CL")</f>
        <v>https://lh5.googleusercontent.com/d/1aYgJ1pQQGzIfpAUXFPElc5kK4E2mM3CL</v>
      </c>
      <c r="O849" s="14" t="str">
        <f>IFERROR(__xludf.DUMMYFUNCTION("""COMPUTED_VALUE"""),"https://drive.google.com/file/d/142i97gue-QmXVPKSAleN1XoW6z4yEejg/view?usp=drivesdk")</f>
        <v>https://drive.google.com/file/d/142i97gue-QmXVPKSAleN1XoW6z4yEejg/view?usp=drivesdk</v>
      </c>
    </row>
    <row r="850">
      <c r="A850" s="3">
        <f>IFERROR(__xludf.DUMMYFUNCTION("""COMPUTED_VALUE"""),2985.0)</f>
        <v>2985</v>
      </c>
      <c r="B850" s="11">
        <f>IFERROR(__xludf.DUMMYFUNCTION("""COMPUTED_VALUE"""),46177.99642821759)</f>
        <v>46177.99643</v>
      </c>
      <c r="C850" s="3" t="str">
        <f>IFERROR(__xludf.DUMMYFUNCTION("""COMPUTED_VALUE"""),"ชั้นปีที่ 1")</f>
        <v>ชั้นปีที่ 1</v>
      </c>
      <c r="D850" s="3" t="str">
        <f>IFERROR(__xludf.DUMMYFUNCTION("""COMPUTED_VALUE"""),"6803914")</f>
        <v>6803914</v>
      </c>
      <c r="E850" s="3" t="str">
        <f>IFERROR(__xludf.DUMMYFUNCTION("""COMPUTED_VALUE"""),"33")</f>
        <v>33</v>
      </c>
      <c r="F850" s="3" t="str">
        <f>IFERROR(__xludf.DUMMYFUNCTION("""COMPUTED_VALUE"""),"นพอ.ปราณปริยา ธูปทอง")</f>
        <v>นพอ.ปราณปริยา ธูปทอง</v>
      </c>
      <c r="G850" s="3" t="str">
        <f>IFERROR(__xludf.DUMMYFUNCTION("""COMPUTED_VALUE"""),"ช่วยเหลืองานภายใน วพอ.")</f>
        <v>ช่วยเหลืองานภายใน วพอ.</v>
      </c>
      <c r="H850" s="3" t="str">
        <f>IFERROR(__xludf.DUMMYFUNCTION("""COMPUTED_VALUE"""),"เล่นดุริยางค์")</f>
        <v>เล่นดุริยางค์</v>
      </c>
      <c r="I850" s="3" t="str">
        <f>IFERROR(__xludf.DUMMYFUNCTION("""COMPUTED_VALUE"""),"วิทยาลัยพยาบาลทหารอากาศ")</f>
        <v>วิทยาลัยพยาบาลทหารอากาศ</v>
      </c>
      <c r="J850" s="12">
        <f>IFERROR(__xludf.DUMMYFUNCTION("""COMPUTED_VALUE"""),46175.0)</f>
        <v>46175</v>
      </c>
      <c r="K850" s="3" t="str">
        <f>IFERROR(__xludf.DUMMYFUNCTION("""COMPUTED_VALUE"""),"0700-0800")</f>
        <v>0700-0800</v>
      </c>
      <c r="L850" s="3">
        <f>IFERROR(__xludf.DUMMYFUNCTION("""COMPUTED_VALUE"""),1.0)</f>
        <v>1</v>
      </c>
      <c r="M850" s="3" t="str">
        <f>IFERROR(__xludf.DUMMYFUNCTION("""COMPUTED_VALUE"""),"ร.อ.อนุชิต ทำจะดี")</f>
        <v>ร.อ.อนุชิต ทำจะดี</v>
      </c>
      <c r="N850" s="14" t="str">
        <f>IFERROR(__xludf.DUMMYFUNCTION("""COMPUTED_VALUE"""),"https://lh5.googleusercontent.com/d/14oQuioOQs97g8T-jHiuFGnZzOwFTHjSH")</f>
        <v>https://lh5.googleusercontent.com/d/14oQuioOQs97g8T-jHiuFGnZzOwFTHjSH</v>
      </c>
      <c r="O850" s="14" t="str">
        <f>IFERROR(__xludf.DUMMYFUNCTION("""COMPUTED_VALUE"""),"https://drive.google.com/file/d/14gE_u-v8t00gJtfQbb4V53OEHJLBPKmP/view?usp=drivesdk")</f>
        <v>https://drive.google.com/file/d/14gE_u-v8t00gJtfQbb4V53OEHJLBPKmP/view?usp=drivesdk</v>
      </c>
    </row>
    <row r="851">
      <c r="A851" s="3">
        <f>IFERROR(__xludf.DUMMYFUNCTION("""COMPUTED_VALUE"""),2986.0)</f>
        <v>2986</v>
      </c>
      <c r="B851" s="11">
        <f>IFERROR(__xludf.DUMMYFUNCTION("""COMPUTED_VALUE"""),46177.99646071759)</f>
        <v>46177.99646</v>
      </c>
      <c r="C851" s="3" t="str">
        <f>IFERROR(__xludf.DUMMYFUNCTION("""COMPUTED_VALUE"""),"ชั้นปีที่ 1")</f>
        <v>ชั้นปีที่ 1</v>
      </c>
      <c r="D851" s="3" t="str">
        <f>IFERROR(__xludf.DUMMYFUNCTION("""COMPUTED_VALUE"""),"6803891")</f>
        <v>6803891</v>
      </c>
      <c r="E851" s="3" t="str">
        <f>IFERROR(__xludf.DUMMYFUNCTION("""COMPUTED_VALUE"""),"10")</f>
        <v>10</v>
      </c>
      <c r="F851" s="3" t="str">
        <f>IFERROR(__xludf.DUMMYFUNCTION("""COMPUTED_VALUE"""),"นพอ.จิรัชยา ธีรประภานนท์")</f>
        <v>นพอ.จิรัชยา ธีรประภานนท์</v>
      </c>
      <c r="G85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1" s="3" t="str">
        <f>IFERROR(__xludf.DUMMYFUNCTION("""COMPUTED_VALUE"""),"ค่ายเยาวชนพัฒนา ครั้งที่ 215")</f>
        <v>ค่ายเยาวชนพัฒนา ครั้งที่ 215</v>
      </c>
      <c r="I851" s="3" t="str">
        <f>IFERROR(__xludf.DUMMYFUNCTION("""COMPUTED_VALUE"""),"วัดสามบัณฑิต จ.อยุธยา")</f>
        <v>วัดสามบัณฑิต จ.อยุธยา</v>
      </c>
      <c r="J851" s="12">
        <f>IFERROR(__xludf.DUMMYFUNCTION("""COMPUTED_VALUE"""),46137.0)</f>
        <v>46137</v>
      </c>
      <c r="K851" s="3" t="str">
        <f>IFERROR(__xludf.DUMMYFUNCTION("""COMPUTED_VALUE"""),"0800-1600")</f>
        <v>0800-1600</v>
      </c>
      <c r="L851" s="3">
        <f>IFERROR(__xludf.DUMMYFUNCTION("""COMPUTED_VALUE"""),8.0)</f>
        <v>8</v>
      </c>
      <c r="M85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1" s="14" t="str">
        <f>IFERROR(__xludf.DUMMYFUNCTION("""COMPUTED_VALUE"""),"https://lh5.googleusercontent.com/d/1O-zefqSBijKT8cgBnBc3TpcYD4_cE1tI")</f>
        <v>https://lh5.googleusercontent.com/d/1O-zefqSBijKT8cgBnBc3TpcYD4_cE1tI</v>
      </c>
      <c r="O851" s="14" t="str">
        <f>IFERROR(__xludf.DUMMYFUNCTION("""COMPUTED_VALUE"""),"https://drive.google.com/file/d/1ln630FjaM-ONO2FLDdgV69JyAav4MIrZ/view?usp=drivesdk")</f>
        <v>https://drive.google.com/file/d/1ln630FjaM-ONO2FLDdgV69JyAav4MIrZ/view?usp=drivesdk</v>
      </c>
    </row>
    <row r="852">
      <c r="A852" s="3">
        <f>IFERROR(__xludf.DUMMYFUNCTION("""COMPUTED_VALUE"""),2987.0)</f>
        <v>2987</v>
      </c>
      <c r="B852" s="11">
        <f>IFERROR(__xludf.DUMMYFUNCTION("""COMPUTED_VALUE"""),46178.23123913194)</f>
        <v>46178.23124</v>
      </c>
      <c r="C852" s="3" t="str">
        <f>IFERROR(__xludf.DUMMYFUNCTION("""COMPUTED_VALUE"""),"ชั้นปีที่ 1")</f>
        <v>ชั้นปีที่ 1</v>
      </c>
      <c r="D852" s="3" t="str">
        <f>IFERROR(__xludf.DUMMYFUNCTION("""COMPUTED_VALUE"""),"6803939")</f>
        <v>6803939</v>
      </c>
      <c r="E852" s="3" t="str">
        <f>IFERROR(__xludf.DUMMYFUNCTION("""COMPUTED_VALUE"""),"58")</f>
        <v>58</v>
      </c>
      <c r="F852" s="3" t="str">
        <f>IFERROR(__xludf.DUMMYFUNCTION("""COMPUTED_VALUE"""),"นพอ.สุภาวดี สุวรรณโกศัย")</f>
        <v>นพอ.สุภาวดี สุวรรณโกศัย</v>
      </c>
      <c r="G852" s="3" t="str">
        <f>IFERROR(__xludf.DUMMYFUNCTION("""COMPUTED_VALUE"""),"ช่วยเหลืองานภายใน วพอ.")</f>
        <v>ช่วยเหลืองานภายใน วพอ.</v>
      </c>
      <c r="H852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52" s="3" t="str">
        <f>IFERROR(__xludf.DUMMYFUNCTION("""COMPUTED_VALUE"""),"อาคารสำนักงานชั้น 4  วพอ.พอ.")</f>
        <v>อาคารสำนักงานชั้น 4  วพอ.พอ.</v>
      </c>
      <c r="J852" s="12">
        <f>IFERROR(__xludf.DUMMYFUNCTION("""COMPUTED_VALUE"""),46147.0)</f>
        <v>46147</v>
      </c>
      <c r="K852" s="3" t="str">
        <f>IFERROR(__xludf.DUMMYFUNCTION("""COMPUTED_VALUE"""),"1500-1800")</f>
        <v>1500-1800</v>
      </c>
      <c r="L852" s="3">
        <f>IFERROR(__xludf.DUMMYFUNCTION("""COMPUTED_VALUE"""),3.0)</f>
        <v>3</v>
      </c>
      <c r="M852" s="3" t="str">
        <f>IFERROR(__xludf.DUMMYFUNCTION("""COMPUTED_VALUE"""),"น.ต.ศักชัย บุญประสิทธิ์")</f>
        <v>น.ต.ศักชัย บุญประสิทธิ์</v>
      </c>
      <c r="N852" s="14" t="str">
        <f>IFERROR(__xludf.DUMMYFUNCTION("""COMPUTED_VALUE"""),"https://lh5.googleusercontent.com/d/1un2T19JzidxSK-RErzTbO8yn6fSprV3U")</f>
        <v>https://lh5.googleusercontent.com/d/1un2T19JzidxSK-RErzTbO8yn6fSprV3U</v>
      </c>
      <c r="O852" s="14" t="str">
        <f>IFERROR(__xludf.DUMMYFUNCTION("""COMPUTED_VALUE"""),"https://drive.google.com/file/d/1K5JBNy5YE2qzI3LFOF4m8QngSS_LTI87/view?usp=drivesdk")</f>
        <v>https://drive.google.com/file/d/1K5JBNy5YE2qzI3LFOF4m8QngSS_LTI87/view?usp=drivesdk</v>
      </c>
    </row>
    <row r="853">
      <c r="A853" s="3">
        <f>IFERROR(__xludf.DUMMYFUNCTION("""COMPUTED_VALUE"""),2988.0)</f>
        <v>2988</v>
      </c>
      <c r="B853" s="11">
        <f>IFERROR(__xludf.DUMMYFUNCTION("""COMPUTED_VALUE"""),46178.3296583912)</f>
        <v>46178.32966</v>
      </c>
      <c r="C853" s="3" t="str">
        <f>IFERROR(__xludf.DUMMYFUNCTION("""COMPUTED_VALUE"""),"ชั้นปีที่ 1")</f>
        <v>ชั้นปีที่ 1</v>
      </c>
      <c r="D853" s="3" t="str">
        <f>IFERROR(__xludf.DUMMYFUNCTION("""COMPUTED_VALUE"""),"6803944")</f>
        <v>6803944</v>
      </c>
      <c r="E853" s="3" t="str">
        <f>IFERROR(__xludf.DUMMYFUNCTION("""COMPUTED_VALUE"""),"63")</f>
        <v>63</v>
      </c>
      <c r="F853" s="3" t="str">
        <f>IFERROR(__xludf.DUMMYFUNCTION("""COMPUTED_VALUE"""),"นพอ.อริสา หฤทัยบริรักษ์")</f>
        <v>นพอ.อริสา หฤทัยบริรักษ์</v>
      </c>
      <c r="G853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53" s="3" t="str">
        <f>IFERROR(__xludf.DUMMYFUNCTION("""COMPUTED_VALUE"""),"เข้าร่วมงานวันเด็กแห่งชาติ 2568")</f>
        <v>เข้าร่วมงานวันเด็กแห่งชาติ 2568</v>
      </c>
      <c r="I853" s="3" t="str">
        <f>IFERROR(__xludf.DUMMYFUNCTION("""COMPUTED_VALUE"""),"กองบิน 6")</f>
        <v>กองบิน 6</v>
      </c>
      <c r="J853" s="12">
        <f>IFERROR(__xludf.DUMMYFUNCTION("""COMPUTED_VALUE"""),46032.0)</f>
        <v>46032</v>
      </c>
      <c r="K853" s="3" t="str">
        <f>IFERROR(__xludf.DUMMYFUNCTION("""COMPUTED_VALUE"""),"0600-1400")</f>
        <v>0600-1400</v>
      </c>
      <c r="L853" s="3">
        <f>IFERROR(__xludf.DUMMYFUNCTION("""COMPUTED_VALUE"""),8.0)</f>
        <v>8</v>
      </c>
      <c r="M853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853" s="14" t="str">
        <f>IFERROR(__xludf.DUMMYFUNCTION("""COMPUTED_VALUE"""),"https://lh5.googleusercontent.com/d/1h3xAGzXqaDIigxMCSuOCQZ9ilUyAFvDk")</f>
        <v>https://lh5.googleusercontent.com/d/1h3xAGzXqaDIigxMCSuOCQZ9ilUyAFvDk</v>
      </c>
      <c r="O853" s="14" t="str">
        <f>IFERROR(__xludf.DUMMYFUNCTION("""COMPUTED_VALUE"""),"https://drive.google.com/file/d/14QdZu50Ifp6hzm4Z4P3KENfhgaOzanqs/view?usp=drivesdk")</f>
        <v>https://drive.google.com/file/d/14QdZu50Ifp6hzm4Z4P3KENfhgaOzanqs/view?usp=drivesdk</v>
      </c>
    </row>
    <row r="854">
      <c r="A854" s="3">
        <f>IFERROR(__xludf.DUMMYFUNCTION("""COMPUTED_VALUE"""),2989.0)</f>
        <v>2989</v>
      </c>
      <c r="B854" s="11">
        <f>IFERROR(__xludf.DUMMYFUNCTION("""COMPUTED_VALUE"""),46178.33108351852)</f>
        <v>46178.33108</v>
      </c>
      <c r="C854" s="3" t="str">
        <f>IFERROR(__xludf.DUMMYFUNCTION("""COMPUTED_VALUE"""),"ชั้นปีที่ 1")</f>
        <v>ชั้นปีที่ 1</v>
      </c>
      <c r="D854" s="3" t="str">
        <f>IFERROR(__xludf.DUMMYFUNCTION("""COMPUTED_VALUE"""),"6803921")</f>
        <v>6803921</v>
      </c>
      <c r="E854" s="3" t="str">
        <f>IFERROR(__xludf.DUMMYFUNCTION("""COMPUTED_VALUE"""),"40")</f>
        <v>40</v>
      </c>
      <c r="F854" s="3" t="str">
        <f>IFERROR(__xludf.DUMMYFUNCTION("""COMPUTED_VALUE"""),"นพอ.พิชญาภรณ์ บุตรวัง")</f>
        <v>นพอ.พิชญาภรณ์ บุตรวัง</v>
      </c>
      <c r="G854" s="3" t="str">
        <f>IFERROR(__xludf.DUMMYFUNCTION("""COMPUTED_VALUE"""),"ช่วยเหลืองานภายใน วพอ.")</f>
        <v>ช่วยเหลืองานภายใน วพอ.</v>
      </c>
      <c r="H854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854" s="3" t="str">
        <f>IFERROR(__xludf.DUMMYFUNCTION("""COMPUTED_VALUE"""),"วพอ.พอ.")</f>
        <v>วพอ.พอ.</v>
      </c>
      <c r="J854" s="12">
        <f>IFERROR(__xludf.DUMMYFUNCTION("""COMPUTED_VALUE"""),46031.0)</f>
        <v>46031</v>
      </c>
      <c r="K854" s="3" t="str">
        <f>IFERROR(__xludf.DUMMYFUNCTION("""COMPUTED_VALUE"""),"1100-1200")</f>
        <v>1100-1200</v>
      </c>
      <c r="L854" s="3">
        <f>IFERROR(__xludf.DUMMYFUNCTION("""COMPUTED_VALUE"""),4.0)</f>
        <v>4</v>
      </c>
      <c r="M854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4" s="14" t="str">
        <f>IFERROR(__xludf.DUMMYFUNCTION("""COMPUTED_VALUE"""),"https://lh5.googleusercontent.com/d/1lMkkFludfVolL4EfTdztz9q4efkAKlC4")</f>
        <v>https://lh5.googleusercontent.com/d/1lMkkFludfVolL4EfTdztz9q4efkAKlC4</v>
      </c>
      <c r="O854" s="14" t="str">
        <f>IFERROR(__xludf.DUMMYFUNCTION("""COMPUTED_VALUE"""),"https://drive.google.com/file/d/1PHJu4yJ0OWdv8o1XZy6BgpwNI7i8tCVY/view?usp=drivesdk")</f>
        <v>https://drive.google.com/file/d/1PHJu4yJ0OWdv8o1XZy6BgpwNI7i8tCVY/view?usp=drivesdk</v>
      </c>
    </row>
    <row r="855">
      <c r="A855" s="3">
        <f>IFERROR(__xludf.DUMMYFUNCTION("""COMPUTED_VALUE"""),2990.0)</f>
        <v>2990</v>
      </c>
      <c r="B855" s="11">
        <f>IFERROR(__xludf.DUMMYFUNCTION("""COMPUTED_VALUE"""),46178.33178512731)</f>
        <v>46178.33179</v>
      </c>
      <c r="C855" s="3" t="str">
        <f>IFERROR(__xludf.DUMMYFUNCTION("""COMPUTED_VALUE"""),"ชั้นปีที่ 1")</f>
        <v>ชั้นปีที่ 1</v>
      </c>
      <c r="D855" s="3" t="str">
        <f>IFERROR(__xludf.DUMMYFUNCTION("""COMPUTED_VALUE"""),"6803887")</f>
        <v>6803887</v>
      </c>
      <c r="E855" s="3" t="str">
        <f>IFERROR(__xludf.DUMMYFUNCTION("""COMPUTED_VALUE"""),"6")</f>
        <v>6</v>
      </c>
      <c r="F855" s="3" t="str">
        <f>IFERROR(__xludf.DUMMYFUNCTION("""COMPUTED_VALUE"""),"นพอ.กัญญวรา โกษาเสวียง")</f>
        <v>นพอ.กัญญวรา โกษาเสวียง</v>
      </c>
      <c r="G855" s="3" t="str">
        <f>IFERROR(__xludf.DUMMYFUNCTION("""COMPUTED_VALUE"""),"ช่วยเหลืองานภายใน วพอ.")</f>
        <v>ช่วยเหลืองานภายใน วพอ.</v>
      </c>
      <c r="H855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855" s="3" t="str">
        <f>IFERROR(__xludf.DUMMYFUNCTION("""COMPUTED_VALUE"""),"ห้องปกครอง")</f>
        <v>ห้องปกครอง</v>
      </c>
      <c r="J855" s="12">
        <f>IFERROR(__xludf.DUMMYFUNCTION("""COMPUTED_VALUE"""),46031.0)</f>
        <v>46031</v>
      </c>
      <c r="K855" s="3" t="str">
        <f>IFERROR(__xludf.DUMMYFUNCTION("""COMPUTED_VALUE"""),"1100-1200")</f>
        <v>1100-1200</v>
      </c>
      <c r="L855" s="3">
        <f>IFERROR(__xludf.DUMMYFUNCTION("""COMPUTED_VALUE"""),4.0)</f>
        <v>4</v>
      </c>
      <c r="M855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5" s="14" t="str">
        <f>IFERROR(__xludf.DUMMYFUNCTION("""COMPUTED_VALUE"""),"https://lh5.googleusercontent.com/d/1TJbrpky_yNkQfHf7sJT88TPQLxw7NZ-p")</f>
        <v>https://lh5.googleusercontent.com/d/1TJbrpky_yNkQfHf7sJT88TPQLxw7NZ-p</v>
      </c>
      <c r="O855" s="14" t="str">
        <f>IFERROR(__xludf.DUMMYFUNCTION("""COMPUTED_VALUE"""),"https://drive.google.com/file/d/1GbjjxaQ3dKLy6mqrxoGBC5D3uNENxU28/view?usp=drivesdk")</f>
        <v>https://drive.google.com/file/d/1GbjjxaQ3dKLy6mqrxoGBC5D3uNENxU28/view?usp=drivesdk</v>
      </c>
    </row>
    <row r="856">
      <c r="A856" s="3">
        <f>IFERROR(__xludf.DUMMYFUNCTION("""COMPUTED_VALUE"""),2991.0)</f>
        <v>2991</v>
      </c>
      <c r="B856" s="11">
        <f>IFERROR(__xludf.DUMMYFUNCTION("""COMPUTED_VALUE"""),46178.33226004629)</f>
        <v>46178.33226</v>
      </c>
      <c r="C856" s="3" t="str">
        <f>IFERROR(__xludf.DUMMYFUNCTION("""COMPUTED_VALUE"""),"ชั้นปีที่ 1")</f>
        <v>ชั้นปีที่ 1</v>
      </c>
      <c r="D856" s="3" t="str">
        <f>IFERROR(__xludf.DUMMYFUNCTION("""COMPUTED_VALUE"""),"6803944")</f>
        <v>6803944</v>
      </c>
      <c r="E856" s="3" t="str">
        <f>IFERROR(__xludf.DUMMYFUNCTION("""COMPUTED_VALUE"""),"63")</f>
        <v>63</v>
      </c>
      <c r="F856" s="3" t="str">
        <f>IFERROR(__xludf.DUMMYFUNCTION("""COMPUTED_VALUE"""),"นพอ.อริสา หฤทัยบริรักษ์")</f>
        <v>นพอ.อริสา หฤทัยบริรักษ์</v>
      </c>
      <c r="G856" s="3" t="str">
        <f>IFERROR(__xludf.DUMMYFUNCTION("""COMPUTED_VALUE"""),"ช่วยเหลืองานภายใน วพอ.")</f>
        <v>ช่วยเหลืองานภายใน วพอ.</v>
      </c>
      <c r="H856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856" s="3" t="str">
        <f>IFERROR(__xludf.DUMMYFUNCTION("""COMPUTED_VALUE"""),"วพอ.พอ")</f>
        <v>วพอ.พอ</v>
      </c>
      <c r="J856" s="12">
        <f>IFERROR(__xludf.DUMMYFUNCTION("""COMPUTED_VALUE"""),46031.0)</f>
        <v>46031</v>
      </c>
      <c r="K856" s="3" t="str">
        <f>IFERROR(__xludf.DUMMYFUNCTION("""COMPUTED_VALUE"""),"0800-1200")</f>
        <v>0800-1200</v>
      </c>
      <c r="L856" s="3">
        <f>IFERROR(__xludf.DUMMYFUNCTION("""COMPUTED_VALUE"""),4.0)</f>
        <v>4</v>
      </c>
      <c r="M856" s="3" t="str">
        <f>IFERROR(__xludf.DUMMYFUNCTION("""COMPUTED_VALUE"""),"น.ต.หญิงขวัญชนก พ่วงนาคพันธุ์")</f>
        <v>น.ต.หญิงขวัญชนก พ่วงนาคพันธุ์</v>
      </c>
      <c r="N856" s="14" t="str">
        <f>IFERROR(__xludf.DUMMYFUNCTION("""COMPUTED_VALUE"""),"https://lh5.googleusercontent.com/d/1NjsXmA4k9NZU9gG09zKOLg98F0KTETWW")</f>
        <v>https://lh5.googleusercontent.com/d/1NjsXmA4k9NZU9gG09zKOLg98F0KTETWW</v>
      </c>
      <c r="O856" s="14" t="str">
        <f>IFERROR(__xludf.DUMMYFUNCTION("""COMPUTED_VALUE"""),"https://drive.google.com/file/d/17ssaP7e6DnC4c4mms1N45u5RwX6SKwtw/view?usp=drivesdk")</f>
        <v>https://drive.google.com/file/d/17ssaP7e6DnC4c4mms1N45u5RwX6SKwtw/view?usp=drivesdk</v>
      </c>
    </row>
    <row r="857">
      <c r="A857" s="3">
        <f>IFERROR(__xludf.DUMMYFUNCTION("""COMPUTED_VALUE"""),2992.0)</f>
        <v>2992</v>
      </c>
      <c r="B857" s="11">
        <f>IFERROR(__xludf.DUMMYFUNCTION("""COMPUTED_VALUE"""),46178.33316981481)</f>
        <v>46178.33317</v>
      </c>
      <c r="C857" s="3" t="str">
        <f>IFERROR(__xludf.DUMMYFUNCTION("""COMPUTED_VALUE"""),"ชั้นปีที่ 1")</f>
        <v>ชั้นปีที่ 1</v>
      </c>
      <c r="D857" s="3" t="str">
        <f>IFERROR(__xludf.DUMMYFUNCTION("""COMPUTED_VALUE"""),"6803918")</f>
        <v>6803918</v>
      </c>
      <c r="E857" s="3" t="str">
        <f>IFERROR(__xludf.DUMMYFUNCTION("""COMPUTED_VALUE"""),"37")</f>
        <v>37</v>
      </c>
      <c r="F857" s="3" t="str">
        <f>IFERROR(__xludf.DUMMYFUNCTION("""COMPUTED_VALUE"""),"นพอ.พลอยธิดา รัตนกิจ")</f>
        <v>นพอ.พลอยธิดา รัตนกิจ</v>
      </c>
      <c r="G857" s="3" t="str">
        <f>IFERROR(__xludf.DUMMYFUNCTION("""COMPUTED_VALUE"""),"ช่วยเหลืองานภายใน วพอ.")</f>
        <v>ช่วยเหลืองานภายใน วพอ.</v>
      </c>
      <c r="H857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57" s="3" t="str">
        <f>IFERROR(__xludf.DUMMYFUNCTION("""COMPUTED_VALUE"""),"วพอ.พอ.")</f>
        <v>วพอ.พอ.</v>
      </c>
      <c r="J857" s="12">
        <f>IFERROR(__xludf.DUMMYFUNCTION("""COMPUTED_VALUE"""),46164.0)</f>
        <v>46164</v>
      </c>
      <c r="K857" s="3" t="str">
        <f>IFERROR(__xludf.DUMMYFUNCTION("""COMPUTED_VALUE"""),"1500-1700")</f>
        <v>1500-1700</v>
      </c>
      <c r="L857" s="3">
        <f>IFERROR(__xludf.DUMMYFUNCTION("""COMPUTED_VALUE"""),2.0)</f>
        <v>2</v>
      </c>
      <c r="M857" s="3" t="str">
        <f>IFERROR(__xludf.DUMMYFUNCTION("""COMPUTED_VALUE"""),"น.อ.หญิง นิตยา สุขเเสน")</f>
        <v>น.อ.หญิง นิตยา สุขเเสน</v>
      </c>
      <c r="N857" s="14" t="str">
        <f>IFERROR(__xludf.DUMMYFUNCTION("""COMPUTED_VALUE"""),"https://lh5.googleusercontent.com/d/1Cci3Mrj0m51rSWfgrum9eG21SygLitBd")</f>
        <v>https://lh5.googleusercontent.com/d/1Cci3Mrj0m51rSWfgrum9eG21SygLitBd</v>
      </c>
      <c r="O857" s="14" t="str">
        <f>IFERROR(__xludf.DUMMYFUNCTION("""COMPUTED_VALUE"""),"https://drive.google.com/file/d/1iu-2qS79SENB_QQpsh-mfU812yeHz2la/view?usp=drivesdk")</f>
        <v>https://drive.google.com/file/d/1iu-2qS79SENB_QQpsh-mfU812yeHz2la/view?usp=drivesdk</v>
      </c>
    </row>
    <row r="858">
      <c r="A858" s="3">
        <f>IFERROR(__xludf.DUMMYFUNCTION("""COMPUTED_VALUE"""),2993.0)</f>
        <v>2993</v>
      </c>
      <c r="B858" s="11">
        <f>IFERROR(__xludf.DUMMYFUNCTION("""COMPUTED_VALUE"""),46178.334284398145)</f>
        <v>46178.33428</v>
      </c>
      <c r="C858" s="3" t="str">
        <f>IFERROR(__xludf.DUMMYFUNCTION("""COMPUTED_VALUE"""),"ชั้นปีที่ 1")</f>
        <v>ชั้นปีที่ 1</v>
      </c>
      <c r="D858" s="3" t="str">
        <f>IFERROR(__xludf.DUMMYFUNCTION("""COMPUTED_VALUE"""),"6803887")</f>
        <v>6803887</v>
      </c>
      <c r="E858" s="3" t="str">
        <f>IFERROR(__xludf.DUMMYFUNCTION("""COMPUTED_VALUE"""),"6")</f>
        <v>6</v>
      </c>
      <c r="F858" s="3" t="str">
        <f>IFERROR(__xludf.DUMMYFUNCTION("""COMPUTED_VALUE"""),"นพอ.กัญญวรา โกษาเสวียง")</f>
        <v>นพอ.กัญญวรา โกษาเสวียง</v>
      </c>
      <c r="G858" s="3" t="str">
        <f>IFERROR(__xludf.DUMMYFUNCTION("""COMPUTED_VALUE"""),"ช่วยเหลืองานภายใน วพอ.")</f>
        <v>ช่วยเหลืองานภายใน วพอ.</v>
      </c>
      <c r="H858" s="3" t="str">
        <f>IFERROR(__xludf.DUMMYFUNCTION("""COMPUTED_VALUE"""),"ช่วยทำลายเอกสาร")</f>
        <v>ช่วยทำลายเอกสาร</v>
      </c>
      <c r="I858" s="3" t="str">
        <f>IFERROR(__xludf.DUMMYFUNCTION("""COMPUTED_VALUE"""),"ห้องปกครอง")</f>
        <v>ห้องปกครอง</v>
      </c>
      <c r="J858" s="12">
        <f>IFERROR(__xludf.DUMMYFUNCTION("""COMPUTED_VALUE"""),46009.0)</f>
        <v>46009</v>
      </c>
      <c r="K858" s="3" t="str">
        <f>IFERROR(__xludf.DUMMYFUNCTION("""COMPUTED_VALUE"""),"1000-1500")</f>
        <v>1000-1500</v>
      </c>
      <c r="L858" s="3">
        <f>IFERROR(__xludf.DUMMYFUNCTION("""COMPUTED_VALUE"""),4.0)</f>
        <v>4</v>
      </c>
      <c r="M85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8" s="14" t="str">
        <f>IFERROR(__xludf.DUMMYFUNCTION("""COMPUTED_VALUE"""),"https://lh5.googleusercontent.com/d/1S_J4_TIuw7oAzbUuaYRiS8KEO1xKwIxo")</f>
        <v>https://lh5.googleusercontent.com/d/1S_J4_TIuw7oAzbUuaYRiS8KEO1xKwIxo</v>
      </c>
      <c r="O858" s="14" t="str">
        <f>IFERROR(__xludf.DUMMYFUNCTION("""COMPUTED_VALUE"""),"https://drive.google.com/file/d/1JDqRbMKVxT2OVOXCmNKBmfsEu0sdvj6y/view?usp=drivesdk")</f>
        <v>https://drive.google.com/file/d/1JDqRbMKVxT2OVOXCmNKBmfsEu0sdvj6y/view?usp=drivesdk</v>
      </c>
    </row>
    <row r="859">
      <c r="A859" s="3">
        <f>IFERROR(__xludf.DUMMYFUNCTION("""COMPUTED_VALUE"""),2996.0)</f>
        <v>2996</v>
      </c>
      <c r="B859" s="11">
        <f>IFERROR(__xludf.DUMMYFUNCTION("""COMPUTED_VALUE"""),46178.335385300925)</f>
        <v>46178.33539</v>
      </c>
      <c r="C859" s="3" t="str">
        <f>IFERROR(__xludf.DUMMYFUNCTION("""COMPUTED_VALUE"""),"ชั้นปีที่ 1")</f>
        <v>ชั้นปีที่ 1</v>
      </c>
      <c r="D859" s="3" t="str">
        <f>IFERROR(__xludf.DUMMYFUNCTION("""COMPUTED_VALUE"""),"6803913")</f>
        <v>6803913</v>
      </c>
      <c r="E859" s="3" t="str">
        <f>IFERROR(__xludf.DUMMYFUNCTION("""COMPUTED_VALUE"""),"32")</f>
        <v>32</v>
      </c>
      <c r="F859" s="3" t="str">
        <f>IFERROR(__xludf.DUMMYFUNCTION("""COMPUTED_VALUE"""),"นพอ.ปกรณ์เกียรติ ชูปู")</f>
        <v>นพอ.ปกรณ์เกียรติ ชูปู</v>
      </c>
      <c r="G859" s="3" t="str">
        <f>IFERROR(__xludf.DUMMYFUNCTION("""COMPUTED_VALUE"""),"ช่วยเหลืองานภายใน วพอ.")</f>
        <v>ช่วยเหลืองานภายใน วพอ.</v>
      </c>
      <c r="H859" s="3" t="str">
        <f>IFERROR(__xludf.DUMMYFUNCTION("""COMPUTED_VALUE"""),"ช่วยพับหมวกและทำของขวัญงานวันเด็ก")</f>
        <v>ช่วยพับหมวกและทำของขวัญงานวันเด็ก</v>
      </c>
      <c r="I859" s="3" t="str">
        <f>IFERROR(__xludf.DUMMYFUNCTION("""COMPUTED_VALUE"""),"ห้องปกครอง")</f>
        <v>ห้องปกครอง</v>
      </c>
      <c r="J859" s="12">
        <f>IFERROR(__xludf.DUMMYFUNCTION("""COMPUTED_VALUE"""),46031.0)</f>
        <v>46031</v>
      </c>
      <c r="K859" s="3" t="str">
        <f>IFERROR(__xludf.DUMMYFUNCTION("""COMPUTED_VALUE"""),"0800-1200")</f>
        <v>0800-1200</v>
      </c>
      <c r="L859" s="3">
        <f>IFERROR(__xludf.DUMMYFUNCTION("""COMPUTED_VALUE"""),4.0)</f>
        <v>4</v>
      </c>
      <c r="M859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59" s="14" t="str">
        <f>IFERROR(__xludf.DUMMYFUNCTION("""COMPUTED_VALUE"""),"https://lh5.googleusercontent.com/d/120-q3Ptz5UuL8o60XDIFaDN1uLkylNuB")</f>
        <v>https://lh5.googleusercontent.com/d/120-q3Ptz5UuL8o60XDIFaDN1uLkylNuB</v>
      </c>
      <c r="O859" s="14" t="str">
        <f>IFERROR(__xludf.DUMMYFUNCTION("""COMPUTED_VALUE"""),"https://drive.google.com/file/d/1Mm8YgoNzx0vKGBi6tMIqtjqgMlB4-4Jg/view?usp=drivesdk")</f>
        <v>https://drive.google.com/file/d/1Mm8YgoNzx0vKGBi6tMIqtjqgMlB4-4Jg/view?usp=drivesdk</v>
      </c>
    </row>
    <row r="860">
      <c r="A860" s="3">
        <f>IFERROR(__xludf.DUMMYFUNCTION("""COMPUTED_VALUE"""),2997.0)</f>
        <v>2997</v>
      </c>
      <c r="B860" s="11">
        <f>IFERROR(__xludf.DUMMYFUNCTION("""COMPUTED_VALUE"""),46178.335679814816)</f>
        <v>46178.33568</v>
      </c>
      <c r="C860" s="3" t="str">
        <f>IFERROR(__xludf.DUMMYFUNCTION("""COMPUTED_VALUE"""),"ชั้นปีที่ 1")</f>
        <v>ชั้นปีที่ 1</v>
      </c>
      <c r="D860" s="3" t="str">
        <f>IFERROR(__xludf.DUMMYFUNCTION("""COMPUTED_VALUE"""),"6803893")</f>
        <v>6803893</v>
      </c>
      <c r="E860" s="3" t="str">
        <f>IFERROR(__xludf.DUMMYFUNCTION("""COMPUTED_VALUE"""),"12")</f>
        <v>12</v>
      </c>
      <c r="F860" s="3" t="str">
        <f>IFERROR(__xludf.DUMMYFUNCTION("""COMPUTED_VALUE"""),"นพอ.ฐิติกานต์ วัดจัง")</f>
        <v>นพอ.ฐิติกานต์ วัดจัง</v>
      </c>
      <c r="G860" s="3" t="str">
        <f>IFERROR(__xludf.DUMMYFUNCTION("""COMPUTED_VALUE"""),"ช่วยเหลืองานภายใน วพอ.")</f>
        <v>ช่วยเหลืองานภายใน วพอ.</v>
      </c>
      <c r="H860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60" s="3" t="str">
        <f>IFERROR(__xludf.DUMMYFUNCTION("""COMPUTED_VALUE"""),"วพอ.พอ.")</f>
        <v>วพอ.พอ.</v>
      </c>
      <c r="J860" s="12">
        <f>IFERROR(__xludf.DUMMYFUNCTION("""COMPUTED_VALUE"""),46164.0)</f>
        <v>46164</v>
      </c>
      <c r="K860" s="3" t="str">
        <f>IFERROR(__xludf.DUMMYFUNCTION("""COMPUTED_VALUE"""),"1500-1700")</f>
        <v>1500-1700</v>
      </c>
      <c r="L860" s="3">
        <f>IFERROR(__xludf.DUMMYFUNCTION("""COMPUTED_VALUE"""),2.0)</f>
        <v>2</v>
      </c>
      <c r="M860" s="3" t="str">
        <f>IFERROR(__xludf.DUMMYFUNCTION("""COMPUTED_VALUE"""),"น.อ.หญิง นิตยา สุขแสน")</f>
        <v>น.อ.หญิง นิตยา สุขแสน</v>
      </c>
      <c r="N860" s="14" t="str">
        <f>IFERROR(__xludf.DUMMYFUNCTION("""COMPUTED_VALUE"""),"https://lh5.googleusercontent.com/d/1Tj4OaVEcfV8Quuk7g1L6DBxcyH5o6cuf")</f>
        <v>https://lh5.googleusercontent.com/d/1Tj4OaVEcfV8Quuk7g1L6DBxcyH5o6cuf</v>
      </c>
      <c r="O860" s="14" t="str">
        <f>IFERROR(__xludf.DUMMYFUNCTION("""COMPUTED_VALUE"""),"https://drive.google.com/file/d/1PJ66xxYuo2XmLO7eeCwMWJtTjQCf6JC9/view?usp=drivesdk")</f>
        <v>https://drive.google.com/file/d/1PJ66xxYuo2XmLO7eeCwMWJtTjQCf6JC9/view?usp=drivesdk</v>
      </c>
    </row>
    <row r="861">
      <c r="A861" s="3">
        <f>IFERROR(__xludf.DUMMYFUNCTION("""COMPUTED_VALUE"""),2999.0)</f>
        <v>2999</v>
      </c>
      <c r="B861" s="11">
        <f>IFERROR(__xludf.DUMMYFUNCTION("""COMPUTED_VALUE"""),46178.33730958333)</f>
        <v>46178.33731</v>
      </c>
      <c r="C861" s="3" t="str">
        <f>IFERROR(__xludf.DUMMYFUNCTION("""COMPUTED_VALUE"""),"ชั้นปีที่ 1")</f>
        <v>ชั้นปีที่ 1</v>
      </c>
      <c r="D861" s="3" t="str">
        <f>IFERROR(__xludf.DUMMYFUNCTION("""COMPUTED_VALUE"""),"6803893")</f>
        <v>6803893</v>
      </c>
      <c r="E861" s="3" t="str">
        <f>IFERROR(__xludf.DUMMYFUNCTION("""COMPUTED_VALUE"""),"12")</f>
        <v>12</v>
      </c>
      <c r="F861" s="3" t="str">
        <f>IFERROR(__xludf.DUMMYFUNCTION("""COMPUTED_VALUE"""),"นพอ.ฐิติกานต์ วัดจัง")</f>
        <v>นพอ.ฐิติกานต์ วัดจัง</v>
      </c>
      <c r="G861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61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861" s="3" t="str">
        <f>IFERROR(__xludf.DUMMYFUNCTION("""COMPUTED_VALUE"""),"สนามธูปะเตมีย์")</f>
        <v>สนามธูปะเตมีย์</v>
      </c>
      <c r="J861" s="12">
        <f>IFERROR(__xludf.DUMMYFUNCTION("""COMPUTED_VALUE"""),46078.0)</f>
        <v>46078</v>
      </c>
      <c r="K861" s="3" t="str">
        <f>IFERROR(__xludf.DUMMYFUNCTION("""COMPUTED_VALUE"""),"1200-2000")</f>
        <v>1200-2000</v>
      </c>
      <c r="L861" s="3">
        <f>IFERROR(__xludf.DUMMYFUNCTION("""COMPUTED_VALUE"""),8.0)</f>
        <v>8</v>
      </c>
      <c r="M861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861" s="14" t="str">
        <f>IFERROR(__xludf.DUMMYFUNCTION("""COMPUTED_VALUE"""),"https://lh5.googleusercontent.com/d/1NsFjvL_cPuAkh_dLsbDwdo0Kk0a8lVmU")</f>
        <v>https://lh5.googleusercontent.com/d/1NsFjvL_cPuAkh_dLsbDwdo0Kk0a8lVmU</v>
      </c>
      <c r="O861" s="14" t="str">
        <f>IFERROR(__xludf.DUMMYFUNCTION("""COMPUTED_VALUE"""),"https://drive.google.com/file/d/15Ym53HUptFI2YulZuJztnCzOHUHHg4tF/view?usp=drivesdk")</f>
        <v>https://drive.google.com/file/d/15Ym53HUptFI2YulZuJztnCzOHUHHg4tF/view?usp=drivesdk</v>
      </c>
    </row>
    <row r="862">
      <c r="A862" s="3">
        <f>IFERROR(__xludf.DUMMYFUNCTION("""COMPUTED_VALUE"""),3000.0)</f>
        <v>3000</v>
      </c>
      <c r="B862" s="11">
        <f>IFERROR(__xludf.DUMMYFUNCTION("""COMPUTED_VALUE"""),46178.337928043984)</f>
        <v>46178.33793</v>
      </c>
      <c r="C862" s="3" t="str">
        <f>IFERROR(__xludf.DUMMYFUNCTION("""COMPUTED_VALUE"""),"ชั้นปีที่ 1")</f>
        <v>ชั้นปีที่ 1</v>
      </c>
      <c r="D862" s="3" t="str">
        <f>IFERROR(__xludf.DUMMYFUNCTION("""COMPUTED_VALUE"""),"6803942")</f>
        <v>6803942</v>
      </c>
      <c r="E862" s="3" t="str">
        <f>IFERROR(__xludf.DUMMYFUNCTION("""COMPUTED_VALUE"""),"61")</f>
        <v>61</v>
      </c>
      <c r="F862" s="3" t="str">
        <f>IFERROR(__xludf.DUMMYFUNCTION("""COMPUTED_VALUE"""),"นพอ.อชิรญา อ่อนเปรี้ยว")</f>
        <v>นพอ.อชิรญา อ่อนเปรี้ยว</v>
      </c>
      <c r="G862" s="3" t="str">
        <f>IFERROR(__xludf.DUMMYFUNCTION("""COMPUTED_VALUE"""),"งานฟรีทั่วไป")</f>
        <v>งานฟรีทั่วไป</v>
      </c>
      <c r="H862" s="3" t="str">
        <f>IFERROR(__xludf.DUMMYFUNCTION("""COMPUTED_VALUE"""),"จัดระเบียบและทำความสะอาดชั้นหนังสือ")</f>
        <v>จัดระเบียบและทำความสะอาดชั้นหนังสือ</v>
      </c>
      <c r="I862" s="3" t="str">
        <f>IFERROR(__xludf.DUMMYFUNCTION("""COMPUTED_VALUE"""),"478 หมู่10 ต.ทุ่งคอก อ.สองพี่น้อง จ.สุพรรณบุรี")</f>
        <v>478 หมู่10 ต.ทุ่งคอก อ.สองพี่น้อง จ.สุพรรณบุรี</v>
      </c>
      <c r="J862" s="12">
        <f>IFERROR(__xludf.DUMMYFUNCTION("""COMPUTED_VALUE"""),46151.0)</f>
        <v>46151</v>
      </c>
      <c r="K862" s="3" t="str">
        <f>IFERROR(__xludf.DUMMYFUNCTION("""COMPUTED_VALUE"""),"1000-1100")</f>
        <v>1000-1100</v>
      </c>
      <c r="L862" s="3">
        <f>IFERROR(__xludf.DUMMYFUNCTION("""COMPUTED_VALUE"""),1.0)</f>
        <v>1</v>
      </c>
      <c r="M862" s="3" t="str">
        <f>IFERROR(__xludf.DUMMYFUNCTION("""COMPUTED_VALUE"""),"พ.อ.อ.วิชา อ่อนเปรี้ยว")</f>
        <v>พ.อ.อ.วิชา อ่อนเปรี้ยว</v>
      </c>
      <c r="N862" s="14" t="str">
        <f>IFERROR(__xludf.DUMMYFUNCTION("""COMPUTED_VALUE"""),"https://lh5.googleusercontent.com/d/1mtI08rKYGDQEza8shqxOV4DkWB4Z77O4")</f>
        <v>https://lh5.googleusercontent.com/d/1mtI08rKYGDQEza8shqxOV4DkWB4Z77O4</v>
      </c>
      <c r="O862" s="14" t="str">
        <f>IFERROR(__xludf.DUMMYFUNCTION("""COMPUTED_VALUE"""),"https://drive.google.com/file/d/1W1xNHl_rde2qOvK5bgDExCZjGClWG6gg/view?usp=drivesdk")</f>
        <v>https://drive.google.com/file/d/1W1xNHl_rde2qOvK5bgDExCZjGClWG6gg/view?usp=drivesdk</v>
      </c>
    </row>
    <row r="863">
      <c r="A863" s="3">
        <f>IFERROR(__xludf.DUMMYFUNCTION("""COMPUTED_VALUE"""),3002.0)</f>
        <v>3002</v>
      </c>
      <c r="B863" s="11">
        <f>IFERROR(__xludf.DUMMYFUNCTION("""COMPUTED_VALUE"""),46178.33849524306)</f>
        <v>46178.3385</v>
      </c>
      <c r="C863" s="3" t="str">
        <f>IFERROR(__xludf.DUMMYFUNCTION("""COMPUTED_VALUE"""),"ชั้นปีที่ 1")</f>
        <v>ชั้นปีที่ 1</v>
      </c>
      <c r="D863" s="3" t="str">
        <f>IFERROR(__xludf.DUMMYFUNCTION("""COMPUTED_VALUE"""),"6803893")</f>
        <v>6803893</v>
      </c>
      <c r="E863" s="3" t="str">
        <f>IFERROR(__xludf.DUMMYFUNCTION("""COMPUTED_VALUE"""),"12")</f>
        <v>12</v>
      </c>
      <c r="F863" s="3" t="str">
        <f>IFERROR(__xludf.DUMMYFUNCTION("""COMPUTED_VALUE"""),"นพอ.ฐิติกานต์ วัดจัง")</f>
        <v>นพอ.ฐิติกานต์ วัดจัง</v>
      </c>
      <c r="G863" s="3" t="str">
        <f>IFERROR(__xludf.DUMMYFUNCTION("""COMPUTED_VALUE"""),"ช่วยเหลืองานภายใน วพอ.")</f>
        <v>ช่วยเหลืองานภายใน วพอ.</v>
      </c>
      <c r="H863" s="3" t="str">
        <f>IFERROR(__xludf.DUMMYFUNCTION("""COMPUTED_VALUE"""),"วงดนตรีไทยงานสงกรานต์วพอ.")</f>
        <v>วงดนตรีไทยงานสงกรานต์วพอ.</v>
      </c>
      <c r="I863" s="3" t="str">
        <f>IFERROR(__xludf.DUMMYFUNCTION("""COMPUTED_VALUE"""),"วพอ.พอ.")</f>
        <v>วพอ.พอ.</v>
      </c>
      <c r="J863" s="12">
        <f>IFERROR(__xludf.DUMMYFUNCTION("""COMPUTED_VALUE"""),46122.0)</f>
        <v>46122</v>
      </c>
      <c r="K863" s="3" t="str">
        <f>IFERROR(__xludf.DUMMYFUNCTION("""COMPUTED_VALUE"""),"0600-1000")</f>
        <v>0600-1000</v>
      </c>
      <c r="L863" s="3">
        <f>IFERROR(__xludf.DUMMYFUNCTION("""COMPUTED_VALUE"""),4.0)</f>
        <v>4</v>
      </c>
      <c r="M863" s="3" t="str">
        <f>IFERROR(__xludf.DUMMYFUNCTION("""COMPUTED_VALUE"""),"ร.อ.หญิง ขนัฏฐา นาดี")</f>
        <v>ร.อ.หญิง ขนัฏฐา นาดี</v>
      </c>
      <c r="N863" s="14" t="str">
        <f>IFERROR(__xludf.DUMMYFUNCTION("""COMPUTED_VALUE"""),"https://lh5.googleusercontent.com/d/1Zp5WQGQtplgmDyzBdKjF2SOB8l3HMmIv")</f>
        <v>https://lh5.googleusercontent.com/d/1Zp5WQGQtplgmDyzBdKjF2SOB8l3HMmIv</v>
      </c>
      <c r="O863" s="14" t="str">
        <f>IFERROR(__xludf.DUMMYFUNCTION("""COMPUTED_VALUE"""),"https://drive.google.com/file/d/1T8mUs43kyWFKPYWNVR8PmOWFfa4y4nTs/view?usp=drivesdk")</f>
        <v>https://drive.google.com/file/d/1T8mUs43kyWFKPYWNVR8PmOWFfa4y4nTs/view?usp=drivesdk</v>
      </c>
    </row>
    <row r="864">
      <c r="A864" s="3">
        <f>IFERROR(__xludf.DUMMYFUNCTION("""COMPUTED_VALUE"""),3004.0)</f>
        <v>3004</v>
      </c>
      <c r="B864" s="11">
        <f>IFERROR(__xludf.DUMMYFUNCTION("""COMPUTED_VALUE"""),46178.33986709491)</f>
        <v>46178.33987</v>
      </c>
      <c r="C864" s="3" t="str">
        <f>IFERROR(__xludf.DUMMYFUNCTION("""COMPUTED_VALUE"""),"ชั้นปีที่ 1")</f>
        <v>ชั้นปีที่ 1</v>
      </c>
      <c r="D864" s="3" t="str">
        <f>IFERROR(__xludf.DUMMYFUNCTION("""COMPUTED_VALUE"""),"6803886")</f>
        <v>6803886</v>
      </c>
      <c r="E864" s="3" t="str">
        <f>IFERROR(__xludf.DUMMYFUNCTION("""COMPUTED_VALUE"""),"5")</f>
        <v>5</v>
      </c>
      <c r="F864" s="3" t="str">
        <f>IFERROR(__xludf.DUMMYFUNCTION("""COMPUTED_VALUE"""),"นพอ.กัญญพัชร ทองสุข")</f>
        <v>นพอ.กัญญพัชร ทองสุข</v>
      </c>
      <c r="G864" s="3" t="str">
        <f>IFERROR(__xludf.DUMMYFUNCTION("""COMPUTED_VALUE"""),"ช่วยเหลืองานภายใน วพอ.")</f>
        <v>ช่วยเหลืองานภายใน วพอ.</v>
      </c>
      <c r="H864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64" s="3" t="str">
        <f>IFERROR(__xludf.DUMMYFUNCTION("""COMPUTED_VALUE"""),"ลานหน้าหอพัก")</f>
        <v>ลานหน้าหอพัก</v>
      </c>
      <c r="J864" s="12">
        <f>IFERROR(__xludf.DUMMYFUNCTION("""COMPUTED_VALUE"""),46147.0)</f>
        <v>46147</v>
      </c>
      <c r="K864" s="3" t="str">
        <f>IFERROR(__xludf.DUMMYFUNCTION("""COMPUTED_VALUE"""),"0500-0800")</f>
        <v>0500-0800</v>
      </c>
      <c r="L864" s="3">
        <f>IFERROR(__xludf.DUMMYFUNCTION("""COMPUTED_VALUE"""),3.0)</f>
        <v>3</v>
      </c>
      <c r="M864" s="3" t="str">
        <f>IFERROR(__xludf.DUMMYFUNCTION("""COMPUTED_VALUE"""),"น.ต.ศักชัย บุญประสิทธิ์")</f>
        <v>น.ต.ศักชัย บุญประสิทธิ์</v>
      </c>
      <c r="N864" s="14" t="str">
        <f>IFERROR(__xludf.DUMMYFUNCTION("""COMPUTED_VALUE"""),"https://lh5.googleusercontent.com/d/1XpeWzprEnhzCgqMqrL3qXQCTOrwwMADG")</f>
        <v>https://lh5.googleusercontent.com/d/1XpeWzprEnhzCgqMqrL3qXQCTOrwwMADG</v>
      </c>
      <c r="O864" s="3"/>
    </row>
    <row r="865">
      <c r="A865" s="3">
        <f>IFERROR(__xludf.DUMMYFUNCTION("""COMPUTED_VALUE"""),3006.0)</f>
        <v>3006</v>
      </c>
      <c r="B865" s="11">
        <f>IFERROR(__xludf.DUMMYFUNCTION("""COMPUTED_VALUE"""),46178.34186475695)</f>
        <v>46178.34186</v>
      </c>
      <c r="C865" s="3" t="str">
        <f>IFERROR(__xludf.DUMMYFUNCTION("""COMPUTED_VALUE"""),"ชั้นปีที่ 1")</f>
        <v>ชั้นปีที่ 1</v>
      </c>
      <c r="D865" s="3" t="str">
        <f>IFERROR(__xludf.DUMMYFUNCTION("""COMPUTED_VALUE"""),"6803886")</f>
        <v>6803886</v>
      </c>
      <c r="E865" s="3" t="str">
        <f>IFERROR(__xludf.DUMMYFUNCTION("""COMPUTED_VALUE"""),"5")</f>
        <v>5</v>
      </c>
      <c r="F865" s="3" t="str">
        <f>IFERROR(__xludf.DUMMYFUNCTION("""COMPUTED_VALUE"""),"นพอ.กัญญพัชร ทองสุข")</f>
        <v>นพอ.กัญญพัชร ทองสุข</v>
      </c>
      <c r="G865" s="3" t="str">
        <f>IFERROR(__xludf.DUMMYFUNCTION("""COMPUTED_VALUE"""),"ช่วยเหลืองานภายใน วพอ.")</f>
        <v>ช่วยเหลืองานภายใน วพอ.</v>
      </c>
      <c r="H865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65" s="3" t="str">
        <f>IFERROR(__xludf.DUMMYFUNCTION("""COMPUTED_VALUE"""),"ลานหน้าหอพัก")</f>
        <v>ลานหน้าหอพัก</v>
      </c>
      <c r="J865" s="12">
        <f>IFERROR(__xludf.DUMMYFUNCTION("""COMPUTED_VALUE"""),46147.0)</f>
        <v>46147</v>
      </c>
      <c r="K865" s="3" t="str">
        <f>IFERROR(__xludf.DUMMYFUNCTION("""COMPUTED_VALUE"""),"0500-0800")</f>
        <v>0500-0800</v>
      </c>
      <c r="L865" s="3">
        <f>IFERROR(__xludf.DUMMYFUNCTION("""COMPUTED_VALUE"""),3.0)</f>
        <v>3</v>
      </c>
      <c r="M865" s="3" t="str">
        <f>IFERROR(__xludf.DUMMYFUNCTION("""COMPUTED_VALUE"""),"น.ต.ศักชัย บุญประสิทธิ์")</f>
        <v>น.ต.ศักชัย บุญประสิทธิ์</v>
      </c>
      <c r="N865" s="14" t="str">
        <f>IFERROR(__xludf.DUMMYFUNCTION("""COMPUTED_VALUE"""),"https://lh5.googleusercontent.com/d/1OIRTTbuca8jZby0TS5QdTC8-qHXQsku9")</f>
        <v>https://lh5.googleusercontent.com/d/1OIRTTbuca8jZby0TS5QdTC8-qHXQsku9</v>
      </c>
      <c r="O865" s="14" t="str">
        <f>IFERROR(__xludf.DUMMYFUNCTION("""COMPUTED_VALUE"""),"https://drive.google.com/file/d/13vwvyRQjjJN4cLegI1z_6ha2AXuLos8b/view?usp=drivesdk")</f>
        <v>https://drive.google.com/file/d/13vwvyRQjjJN4cLegI1z_6ha2AXuLos8b/view?usp=drivesdk</v>
      </c>
    </row>
    <row r="866">
      <c r="A866" s="3">
        <f>IFERROR(__xludf.DUMMYFUNCTION("""COMPUTED_VALUE"""),3008.0)</f>
        <v>3008</v>
      </c>
      <c r="B866" s="11">
        <f>IFERROR(__xludf.DUMMYFUNCTION("""COMPUTED_VALUE"""),46178.342145902774)</f>
        <v>46178.34215</v>
      </c>
      <c r="C866" s="3" t="str">
        <f>IFERROR(__xludf.DUMMYFUNCTION("""COMPUTED_VALUE"""),"ชั้นปีที่ 1")</f>
        <v>ชั้นปีที่ 1</v>
      </c>
      <c r="D866" s="3" t="str">
        <f>IFERROR(__xludf.DUMMYFUNCTION("""COMPUTED_VALUE"""),"6803889")</f>
        <v>6803889</v>
      </c>
      <c r="E866" s="3" t="str">
        <f>IFERROR(__xludf.DUMMYFUNCTION("""COMPUTED_VALUE"""),"8")</f>
        <v>8</v>
      </c>
      <c r="F866" s="3" t="str">
        <f>IFERROR(__xludf.DUMMYFUNCTION("""COMPUTED_VALUE"""),"นพอ.กุลิสรา ตุ่นคำ")</f>
        <v>นพอ.กุลิสรา ตุ่นคำ</v>
      </c>
      <c r="G866" s="3" t="str">
        <f>IFERROR(__xludf.DUMMYFUNCTION("""COMPUTED_VALUE"""),"ช่วยเหลืองานภายใน วพอ.")</f>
        <v>ช่วยเหลืองานภายใน วพอ.</v>
      </c>
      <c r="H866" s="3" t="str">
        <f>IFERROR(__xludf.DUMMYFUNCTION("""COMPUTED_VALUE"""),"ดุริยางค์")</f>
        <v>ดุริยางค์</v>
      </c>
      <c r="I866" s="3" t="str">
        <f>IFERROR(__xludf.DUMMYFUNCTION("""COMPUTED_VALUE"""),"วพอ.พอ.")</f>
        <v>วพอ.พอ.</v>
      </c>
      <c r="J866" s="12">
        <f>IFERROR(__xludf.DUMMYFUNCTION("""COMPUTED_VALUE"""),46143.0)</f>
        <v>46143</v>
      </c>
      <c r="K866" s="3" t="str">
        <f>IFERROR(__xludf.DUMMYFUNCTION("""COMPUTED_VALUE"""),"0730")</f>
        <v>0730</v>
      </c>
      <c r="L866" s="3">
        <f>IFERROR(__xludf.DUMMYFUNCTION("""COMPUTED_VALUE"""),1.0)</f>
        <v>1</v>
      </c>
      <c r="M866" s="3" t="str">
        <f>IFERROR(__xludf.DUMMYFUNCTION("""COMPUTED_VALUE"""),"ร.อ.อนุชิต ทำจะดี")</f>
        <v>ร.อ.อนุชิต ทำจะดี</v>
      </c>
      <c r="N866" s="14" t="str">
        <f>IFERROR(__xludf.DUMMYFUNCTION("""COMPUTED_VALUE"""),"https://lh5.googleusercontent.com/d/12FrkvH1UjPVLfj3QC1MLxWRHyc-upst0")</f>
        <v>https://lh5.googleusercontent.com/d/12FrkvH1UjPVLfj3QC1MLxWRHyc-upst0</v>
      </c>
      <c r="O866" s="14" t="str">
        <f>IFERROR(__xludf.DUMMYFUNCTION("""COMPUTED_VALUE"""),"https://drive.google.com/file/d/1xul4f-YMp71-atDmN3W2Bn-RwOwUib-h/view?usp=drivesdk")</f>
        <v>https://drive.google.com/file/d/1xul4f-YMp71-atDmN3W2Bn-RwOwUib-h/view?usp=drivesdk</v>
      </c>
    </row>
    <row r="867">
      <c r="A867" s="3">
        <f>IFERROR(__xludf.DUMMYFUNCTION("""COMPUTED_VALUE"""),3009.0)</f>
        <v>3009</v>
      </c>
      <c r="B867" s="11">
        <f>IFERROR(__xludf.DUMMYFUNCTION("""COMPUTED_VALUE"""),46178.342332256936)</f>
        <v>46178.34233</v>
      </c>
      <c r="C867" s="3" t="str">
        <f>IFERROR(__xludf.DUMMYFUNCTION("""COMPUTED_VALUE"""),"ชั้นปีที่ 1")</f>
        <v>ชั้นปีที่ 1</v>
      </c>
      <c r="D867" s="3" t="str">
        <f>IFERROR(__xludf.DUMMYFUNCTION("""COMPUTED_VALUE"""),"6803886")</f>
        <v>6803886</v>
      </c>
      <c r="E867" s="3" t="str">
        <f>IFERROR(__xludf.DUMMYFUNCTION("""COMPUTED_VALUE"""),"5")</f>
        <v>5</v>
      </c>
      <c r="F867" s="3" t="str">
        <f>IFERROR(__xludf.DUMMYFUNCTION("""COMPUTED_VALUE"""),"นพอ.กัญญพัชร ทองสุข")</f>
        <v>นพอ.กัญญพัชร ทองสุข</v>
      </c>
      <c r="G867" s="3" t="str">
        <f>IFERROR(__xludf.DUMMYFUNCTION("""COMPUTED_VALUE"""),"ช่วยเหลืองานภายใน วพอ.")</f>
        <v>ช่วยเหลืองานภายใน วพอ.</v>
      </c>
      <c r="H867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67" s="3" t="str">
        <f>IFERROR(__xludf.DUMMYFUNCTION("""COMPUTED_VALUE"""),"ลานหน้าหอพัก")</f>
        <v>ลานหน้าหอพัก</v>
      </c>
      <c r="J867" s="12">
        <f>IFERROR(__xludf.DUMMYFUNCTION("""COMPUTED_VALUE"""),46147.0)</f>
        <v>46147</v>
      </c>
      <c r="K867" s="3" t="str">
        <f>IFERROR(__xludf.DUMMYFUNCTION("""COMPUTED_VALUE"""),"0500-0800")</f>
        <v>0500-0800</v>
      </c>
      <c r="L867" s="3">
        <f>IFERROR(__xludf.DUMMYFUNCTION("""COMPUTED_VALUE"""),3.0)</f>
        <v>3</v>
      </c>
      <c r="M867" s="3" t="str">
        <f>IFERROR(__xludf.DUMMYFUNCTION("""COMPUTED_VALUE"""),"น.ต.ศักชัย บุญประสิทธิ์")</f>
        <v>น.ต.ศักชัย บุญประสิทธิ์</v>
      </c>
      <c r="N867" s="14" t="str">
        <f>IFERROR(__xludf.DUMMYFUNCTION("""COMPUTED_VALUE"""),"https://lh5.googleusercontent.com/d/1lFtawhe5r1uFwSLwkcr9jNLdHGWbxTSB")</f>
        <v>https://lh5.googleusercontent.com/d/1lFtawhe5r1uFwSLwkcr9jNLdHGWbxTSB</v>
      </c>
      <c r="O867" s="14" t="str">
        <f>IFERROR(__xludf.DUMMYFUNCTION("""COMPUTED_VALUE"""),"https://drive.google.com/file/d/1CcF_gJD7Whl9C8Q_5EfkicIDTyGZv2Rw/view?usp=drivesdk")</f>
        <v>https://drive.google.com/file/d/1CcF_gJD7Whl9C8Q_5EfkicIDTyGZv2Rw/view?usp=drivesdk</v>
      </c>
    </row>
    <row r="868">
      <c r="A868" s="3">
        <f>IFERROR(__xludf.DUMMYFUNCTION("""COMPUTED_VALUE"""),3010.0)</f>
        <v>3010</v>
      </c>
      <c r="B868" s="11">
        <f>IFERROR(__xludf.DUMMYFUNCTION("""COMPUTED_VALUE"""),46178.34273274305)</f>
        <v>46178.34273</v>
      </c>
      <c r="C868" s="3" t="str">
        <f>IFERROR(__xludf.DUMMYFUNCTION("""COMPUTED_VALUE"""),"ชั้นปีที่ 1")</f>
        <v>ชั้นปีที่ 1</v>
      </c>
      <c r="D868" s="3" t="str">
        <f>IFERROR(__xludf.DUMMYFUNCTION("""COMPUTED_VALUE"""),"6803902")</f>
        <v>6803902</v>
      </c>
      <c r="E868" s="3" t="str">
        <f>IFERROR(__xludf.DUMMYFUNCTION("""COMPUTED_VALUE"""),"21")</f>
        <v>21</v>
      </c>
      <c r="F868" s="3" t="str">
        <f>IFERROR(__xludf.DUMMYFUNCTION("""COMPUTED_VALUE"""),"นพอ.ณัฐวัฒน์ บ้งพรม")</f>
        <v>นพอ.ณัฐวัฒน์ บ้งพรม</v>
      </c>
      <c r="G868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868" s="3" t="str">
        <f>IFERROR(__xludf.DUMMYFUNCTION("""COMPUTED_VALUE"""),"บริจาคโลหิต")</f>
        <v>บริจาคโลหิต</v>
      </c>
      <c r="I868" s="3" t="str">
        <f>IFERROR(__xludf.DUMMYFUNCTION("""COMPUTED_VALUE"""),"สภากาชาดไทย")</f>
        <v>สภากาชาดไทย</v>
      </c>
      <c r="J868" s="12">
        <f>IFERROR(__xludf.DUMMYFUNCTION("""COMPUTED_VALUE"""),46130.0)</f>
        <v>46130</v>
      </c>
      <c r="K868" s="3" t="str">
        <f>IFERROR(__xludf.DUMMYFUNCTION("""COMPUTED_VALUE"""),"1000-1100")</f>
        <v>1000-1100</v>
      </c>
      <c r="L868" s="3">
        <f>IFERROR(__xludf.DUMMYFUNCTION("""COMPUTED_VALUE"""),8.0)</f>
        <v>8</v>
      </c>
      <c r="M868" s="3" t="str">
        <f>IFERROR(__xludf.DUMMYFUNCTION("""COMPUTED_VALUE"""),"น.ท.หญิง ผศ.ดร.ละอองดาว วรรณฤทธิ์")</f>
        <v>น.ท.หญิง ผศ.ดร.ละอองดาว วรรณฤทธิ์</v>
      </c>
      <c r="N868" s="14" t="str">
        <f>IFERROR(__xludf.DUMMYFUNCTION("""COMPUTED_VALUE"""),"https://lh5.googleusercontent.com/d/1k8HeLt4nrUCk2BagDmsnMh5tUkVbGpeT")</f>
        <v>https://lh5.googleusercontent.com/d/1k8HeLt4nrUCk2BagDmsnMh5tUkVbGpeT</v>
      </c>
      <c r="O868" s="14" t="str">
        <f>IFERROR(__xludf.DUMMYFUNCTION("""COMPUTED_VALUE"""),"https://drive.google.com/file/d/1AyiuxQH5RUZSfvGSSGLtPX3mlHgYXsdb/view?usp=drivesdk")</f>
        <v>https://drive.google.com/file/d/1AyiuxQH5RUZSfvGSSGLtPX3mlHgYXsdb/view?usp=drivesdk</v>
      </c>
    </row>
    <row r="869">
      <c r="A869" s="3">
        <f>IFERROR(__xludf.DUMMYFUNCTION("""COMPUTED_VALUE"""),3011.0)</f>
        <v>3011</v>
      </c>
      <c r="B869" s="11">
        <f>IFERROR(__xludf.DUMMYFUNCTION("""COMPUTED_VALUE"""),46178.34305307871)</f>
        <v>46178.34305</v>
      </c>
      <c r="C869" s="3" t="str">
        <f>IFERROR(__xludf.DUMMYFUNCTION("""COMPUTED_VALUE"""),"ชั้นปีที่ 1")</f>
        <v>ชั้นปีที่ 1</v>
      </c>
      <c r="D869" s="3" t="str">
        <f>IFERROR(__xludf.DUMMYFUNCTION("""COMPUTED_VALUE"""),"6803882")</f>
        <v>6803882</v>
      </c>
      <c r="E869" s="3" t="str">
        <f>IFERROR(__xludf.DUMMYFUNCTION("""COMPUTED_VALUE"""),"1")</f>
        <v>1</v>
      </c>
      <c r="F869" s="3" t="str">
        <f>IFERROR(__xludf.DUMMYFUNCTION("""COMPUTED_VALUE"""),"นพอ.กมลฉัตร ชาสุรีย์")</f>
        <v>นพอ.กมลฉัตร ชาสุรีย์</v>
      </c>
      <c r="G869" s="3" t="str">
        <f>IFERROR(__xludf.DUMMYFUNCTION("""COMPUTED_VALUE"""),"ทำนุบำรุงศาสนสถาน")</f>
        <v>ทำนุบำรุงศาสนสถาน</v>
      </c>
      <c r="H869" s="3" t="str">
        <f>IFERROR(__xludf.DUMMYFUNCTION("""COMPUTED_VALUE"""),"ไหว้พระทำบุญ")</f>
        <v>ไหว้พระทำบุญ</v>
      </c>
      <c r="I869" s="3" t="str">
        <f>IFERROR(__xludf.DUMMYFUNCTION("""COMPUTED_VALUE"""),"วัดภูยอดรวย")</f>
        <v>วัดภูยอดรวย</v>
      </c>
      <c r="J869" s="12">
        <f>IFERROR(__xludf.DUMMYFUNCTION("""COMPUTED_VALUE"""),46126.0)</f>
        <v>46126</v>
      </c>
      <c r="K869" s="3" t="str">
        <f>IFERROR(__xludf.DUMMYFUNCTION("""COMPUTED_VALUE"""),"1400")</f>
        <v>1400</v>
      </c>
      <c r="L869" s="3">
        <f>IFERROR(__xludf.DUMMYFUNCTION("""COMPUTED_VALUE"""),2.0)</f>
        <v>2</v>
      </c>
      <c r="M869" s="3" t="str">
        <f>IFERROR(__xludf.DUMMYFUNCTION("""COMPUTED_VALUE"""),"นางอภิชญา ชาสุรีย์")</f>
        <v>นางอภิชญา ชาสุรีย์</v>
      </c>
      <c r="N869" s="14" t="str">
        <f>IFERROR(__xludf.DUMMYFUNCTION("""COMPUTED_VALUE"""),"https://lh5.googleusercontent.com/d/1xDusGJ_H2XuNxQtjewN7a96XHfqAtnMY")</f>
        <v>https://lh5.googleusercontent.com/d/1xDusGJ_H2XuNxQtjewN7a96XHfqAtnMY</v>
      </c>
      <c r="O869" s="14" t="str">
        <f>IFERROR(__xludf.DUMMYFUNCTION("""COMPUTED_VALUE"""),"https://drive.google.com/file/d/191RivFI0lY1-4Imb-x6apNbCHrrld52y/view?usp=drivesdk")</f>
        <v>https://drive.google.com/file/d/191RivFI0lY1-4Imb-x6apNbCHrrld52y/view?usp=drivesdk</v>
      </c>
    </row>
    <row r="870">
      <c r="A870" s="3">
        <f>IFERROR(__xludf.DUMMYFUNCTION("""COMPUTED_VALUE"""),3012.0)</f>
        <v>3012</v>
      </c>
      <c r="B870" s="11">
        <f>IFERROR(__xludf.DUMMYFUNCTION("""COMPUTED_VALUE"""),46178.344373391206)</f>
        <v>46178.34437</v>
      </c>
      <c r="C870" s="3" t="str">
        <f>IFERROR(__xludf.DUMMYFUNCTION("""COMPUTED_VALUE"""),"ชั้นปีที่ 1")</f>
        <v>ชั้นปีที่ 1</v>
      </c>
      <c r="D870" s="3" t="str">
        <f>IFERROR(__xludf.DUMMYFUNCTION("""COMPUTED_VALUE"""),"6803921")</f>
        <v>6803921</v>
      </c>
      <c r="E870" s="3" t="str">
        <f>IFERROR(__xludf.DUMMYFUNCTION("""COMPUTED_VALUE"""),"40")</f>
        <v>40</v>
      </c>
      <c r="F870" s="3" t="str">
        <f>IFERROR(__xludf.DUMMYFUNCTION("""COMPUTED_VALUE"""),"นพอ.พิชญาภรณ์ บุตรวัง")</f>
        <v>นพอ.พิชญาภรณ์ บุตรวัง</v>
      </c>
      <c r="G870" s="3" t="str">
        <f>IFERROR(__xludf.DUMMYFUNCTION("""COMPUTED_VALUE"""),"ช่วยเหลืองานภายใน วพอ.")</f>
        <v>ช่วยเหลืองานภายใน วพอ.</v>
      </c>
      <c r="H870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70" s="3" t="str">
        <f>IFERROR(__xludf.DUMMYFUNCTION("""COMPUTED_VALUE"""),"ลานข้างหอพัก")</f>
        <v>ลานข้างหอพัก</v>
      </c>
      <c r="J870" s="12">
        <f>IFERROR(__xludf.DUMMYFUNCTION("""COMPUTED_VALUE"""),46164.0)</f>
        <v>46164</v>
      </c>
      <c r="K870" s="3" t="str">
        <f>IFERROR(__xludf.DUMMYFUNCTION("""COMPUTED_VALUE"""),"1500-1700")</f>
        <v>1500-1700</v>
      </c>
      <c r="L870" s="3">
        <f>IFERROR(__xludf.DUMMYFUNCTION("""COMPUTED_VALUE"""),2.0)</f>
        <v>2</v>
      </c>
      <c r="M870" s="3" t="str">
        <f>IFERROR(__xludf.DUMMYFUNCTION("""COMPUTED_VALUE"""),"น.อ.หญิง นิตยา สุขแสน")</f>
        <v>น.อ.หญิง นิตยา สุขแสน</v>
      </c>
      <c r="N870" s="14" t="str">
        <f>IFERROR(__xludf.DUMMYFUNCTION("""COMPUTED_VALUE"""),"https://lh5.googleusercontent.com/d/1eCnhYXnRmHDzRMEzlZ-Vn8MMUjOcEskX")</f>
        <v>https://lh5.googleusercontent.com/d/1eCnhYXnRmHDzRMEzlZ-Vn8MMUjOcEskX</v>
      </c>
      <c r="O870" s="14" t="str">
        <f>IFERROR(__xludf.DUMMYFUNCTION("""COMPUTED_VALUE"""),"https://drive.google.com/file/d/1yoxpD3td6bTNtsMHDspD3fU0jOCm6W00/view?usp=drivesdk")</f>
        <v>https://drive.google.com/file/d/1yoxpD3td6bTNtsMHDspD3fU0jOCm6W00/view?usp=drivesdk</v>
      </c>
    </row>
    <row r="871">
      <c r="A871" s="3">
        <f>IFERROR(__xludf.DUMMYFUNCTION("""COMPUTED_VALUE"""),3013.0)</f>
        <v>3013</v>
      </c>
      <c r="B871" s="11">
        <f>IFERROR(__xludf.DUMMYFUNCTION("""COMPUTED_VALUE"""),46178.34465130787)</f>
        <v>46178.34465</v>
      </c>
      <c r="C871" s="3" t="str">
        <f>IFERROR(__xludf.DUMMYFUNCTION("""COMPUTED_VALUE"""),"ชั้นปีที่ 1")</f>
        <v>ชั้นปีที่ 1</v>
      </c>
      <c r="D871" s="3" t="str">
        <f>IFERROR(__xludf.DUMMYFUNCTION("""COMPUTED_VALUE"""),"6803889")</f>
        <v>6803889</v>
      </c>
      <c r="E871" s="3" t="str">
        <f>IFERROR(__xludf.DUMMYFUNCTION("""COMPUTED_VALUE"""),"8")</f>
        <v>8</v>
      </c>
      <c r="F871" s="3" t="str">
        <f>IFERROR(__xludf.DUMMYFUNCTION("""COMPUTED_VALUE"""),"นพอ.กุลิสรา ตุ่นคำ")</f>
        <v>นพอ.กุลิสรา ตุ่นคำ</v>
      </c>
      <c r="G871" s="3" t="str">
        <f>IFERROR(__xludf.DUMMYFUNCTION("""COMPUTED_VALUE"""),"ช่วยเหลืองานภายใน วพอ.")</f>
        <v>ช่วยเหลืองานภายใน วพอ.</v>
      </c>
      <c r="H871" s="3" t="str">
        <f>IFERROR(__xludf.DUMMYFUNCTION("""COMPUTED_VALUE"""),"ดุริยางค์")</f>
        <v>ดุริยางค์</v>
      </c>
      <c r="I871" s="3" t="str">
        <f>IFERROR(__xludf.DUMMYFUNCTION("""COMPUTED_VALUE"""),"วพอ.พอ.")</f>
        <v>วพอ.พอ.</v>
      </c>
      <c r="J871" s="12">
        <f>IFERROR(__xludf.DUMMYFUNCTION("""COMPUTED_VALUE"""),46028.0)</f>
        <v>46028</v>
      </c>
      <c r="K871" s="3" t="str">
        <f>IFERROR(__xludf.DUMMYFUNCTION("""COMPUTED_VALUE"""),"0730")</f>
        <v>0730</v>
      </c>
      <c r="L871" s="3">
        <f>IFERROR(__xludf.DUMMYFUNCTION("""COMPUTED_VALUE"""),1.0)</f>
        <v>1</v>
      </c>
      <c r="M871" s="3" t="str">
        <f>IFERROR(__xludf.DUMMYFUNCTION("""COMPUTED_VALUE"""),"ร.อ.อนุชิต ทำจะดี")</f>
        <v>ร.อ.อนุชิต ทำจะดี</v>
      </c>
      <c r="N871" s="14" t="str">
        <f>IFERROR(__xludf.DUMMYFUNCTION("""COMPUTED_VALUE"""),"https://lh5.googleusercontent.com/d/19t73zQlTuMr0cgYhRNkXbyuHP9VuT2ju")</f>
        <v>https://lh5.googleusercontent.com/d/19t73zQlTuMr0cgYhRNkXbyuHP9VuT2ju</v>
      </c>
      <c r="O871" s="14" t="str">
        <f>IFERROR(__xludf.DUMMYFUNCTION("""COMPUTED_VALUE"""),"https://drive.google.com/file/d/1Gym3YMtIyGWPUq_NJxrDvlJEKblAKUEc/view?usp=drivesdk")</f>
        <v>https://drive.google.com/file/d/1Gym3YMtIyGWPUq_NJxrDvlJEKblAKUEc/view?usp=drivesdk</v>
      </c>
    </row>
    <row r="872">
      <c r="A872" s="3">
        <f>IFERROR(__xludf.DUMMYFUNCTION("""COMPUTED_VALUE"""),3016.0)</f>
        <v>3016</v>
      </c>
      <c r="B872" s="11">
        <f>IFERROR(__xludf.DUMMYFUNCTION("""COMPUTED_VALUE"""),46178.3462020949)</f>
        <v>46178.3462</v>
      </c>
      <c r="C872" s="3" t="str">
        <f>IFERROR(__xludf.DUMMYFUNCTION("""COMPUTED_VALUE"""),"ชั้นปีที่ 1")</f>
        <v>ชั้นปีที่ 1</v>
      </c>
      <c r="D872" s="3" t="str">
        <f>IFERROR(__xludf.DUMMYFUNCTION("""COMPUTED_VALUE"""),"6803897")</f>
        <v>6803897</v>
      </c>
      <c r="E872" s="3" t="str">
        <f>IFERROR(__xludf.DUMMYFUNCTION("""COMPUTED_VALUE"""),"16")</f>
        <v>16</v>
      </c>
      <c r="F872" s="3" t="str">
        <f>IFERROR(__xludf.DUMMYFUNCTION("""COMPUTED_VALUE"""),"นพอ.ณัฐญา ชลอปัญจศิลป์")</f>
        <v>นพอ.ณัฐญา ชลอปัญจศิลป์</v>
      </c>
      <c r="G872" s="3" t="str">
        <f>IFERROR(__xludf.DUMMYFUNCTION("""COMPUTED_VALUE"""),"ช่วยเหลืองานภายใน วพอ.")</f>
        <v>ช่วยเหลืองานภายใน วพอ.</v>
      </c>
      <c r="H872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72" s="3" t="str">
        <f>IFERROR(__xludf.DUMMYFUNCTION("""COMPUTED_VALUE"""),"วพอ.พอ.")</f>
        <v>วพอ.พอ.</v>
      </c>
      <c r="J872" s="12">
        <f>IFERROR(__xludf.DUMMYFUNCTION("""COMPUTED_VALUE"""),46138.0)</f>
        <v>46138</v>
      </c>
      <c r="K872" s="3" t="str">
        <f>IFERROR(__xludf.DUMMYFUNCTION("""COMPUTED_VALUE"""),"1500-2100")</f>
        <v>1500-2100</v>
      </c>
      <c r="L872" s="3">
        <f>IFERROR(__xludf.DUMMYFUNCTION("""COMPUTED_VALUE"""),8.0)</f>
        <v>8</v>
      </c>
      <c r="M872" s="3" t="str">
        <f>IFERROR(__xludf.DUMMYFUNCTION("""COMPUTED_VALUE"""),"ร.อ.อนุชิต ทำจะดี")</f>
        <v>ร.อ.อนุชิต ทำจะดี</v>
      </c>
      <c r="N872" s="14" t="str">
        <f>IFERROR(__xludf.DUMMYFUNCTION("""COMPUTED_VALUE"""),"https://lh5.googleusercontent.com/d/10v66xP0Gdz8J1_T-Q7W3KRT-d-X7cI9v")</f>
        <v>https://lh5.googleusercontent.com/d/10v66xP0Gdz8J1_T-Q7W3KRT-d-X7cI9v</v>
      </c>
      <c r="O872" s="14" t="str">
        <f>IFERROR(__xludf.DUMMYFUNCTION("""COMPUTED_VALUE"""),"https://drive.google.com/file/d/1eIyXBwz3fBgvJfd931DoamruedQjbUWS/view?usp=drivesdk")</f>
        <v>https://drive.google.com/file/d/1eIyXBwz3fBgvJfd931DoamruedQjbUWS/view?usp=drivesdk</v>
      </c>
    </row>
    <row r="873">
      <c r="A873" s="3">
        <f>IFERROR(__xludf.DUMMYFUNCTION("""COMPUTED_VALUE"""),3017.0)</f>
        <v>3017</v>
      </c>
      <c r="B873" s="11">
        <f>IFERROR(__xludf.DUMMYFUNCTION("""COMPUTED_VALUE"""),46178.34626019676)</f>
        <v>46178.34626</v>
      </c>
      <c r="C873" s="3" t="str">
        <f>IFERROR(__xludf.DUMMYFUNCTION("""COMPUTED_VALUE"""),"ชั้นปีที่ 1")</f>
        <v>ชั้นปีที่ 1</v>
      </c>
      <c r="D873" s="3" t="str">
        <f>IFERROR(__xludf.DUMMYFUNCTION("""COMPUTED_VALUE"""),"6803889")</f>
        <v>6803889</v>
      </c>
      <c r="E873" s="3" t="str">
        <f>IFERROR(__xludf.DUMMYFUNCTION("""COMPUTED_VALUE"""),"8")</f>
        <v>8</v>
      </c>
      <c r="F873" s="3" t="str">
        <f>IFERROR(__xludf.DUMMYFUNCTION("""COMPUTED_VALUE"""),"นพอ.กุลิสรา ตุ่นคำ")</f>
        <v>นพอ.กุลิสรา ตุ่นคำ</v>
      </c>
      <c r="G873" s="3" t="str">
        <f>IFERROR(__xludf.DUMMYFUNCTION("""COMPUTED_VALUE"""),"ช่วยเหลืองานภายใน วพอ.")</f>
        <v>ช่วยเหลืองานภายใน วพอ.</v>
      </c>
      <c r="H873" s="3" t="str">
        <f>IFERROR(__xludf.DUMMYFUNCTION("""COMPUTED_VALUE"""),"ดุริยางค์")</f>
        <v>ดุริยางค์</v>
      </c>
      <c r="I873" s="3" t="str">
        <f>IFERROR(__xludf.DUMMYFUNCTION("""COMPUTED_VALUE"""),"วพอ.พอ.")</f>
        <v>วพอ.พอ.</v>
      </c>
      <c r="J873" s="12">
        <f>IFERROR(__xludf.DUMMYFUNCTION("""COMPUTED_VALUE"""),46114.0)</f>
        <v>46114</v>
      </c>
      <c r="K873" s="3" t="str">
        <f>IFERROR(__xludf.DUMMYFUNCTION("""COMPUTED_VALUE"""),"0730")</f>
        <v>0730</v>
      </c>
      <c r="L873" s="3">
        <f>IFERROR(__xludf.DUMMYFUNCTION("""COMPUTED_VALUE"""),1.0)</f>
        <v>1</v>
      </c>
      <c r="M873" s="3" t="str">
        <f>IFERROR(__xludf.DUMMYFUNCTION("""COMPUTED_VALUE"""),"ร.อ.อนุชิต ทำจะดี")</f>
        <v>ร.อ.อนุชิต ทำจะดี</v>
      </c>
      <c r="N873" s="14" t="str">
        <f>IFERROR(__xludf.DUMMYFUNCTION("""COMPUTED_VALUE"""),"https://lh5.googleusercontent.com/d/1E5Hfow6dOOVD9cb92groq_peKYqtJ4II")</f>
        <v>https://lh5.googleusercontent.com/d/1E5Hfow6dOOVD9cb92groq_peKYqtJ4II</v>
      </c>
      <c r="O873" s="14" t="str">
        <f>IFERROR(__xludf.DUMMYFUNCTION("""COMPUTED_VALUE"""),"https://drive.google.com/file/d/1jORVn88NRbATYtDYjmEQxGN_7YdtCz0a/view?usp=drivesdk")</f>
        <v>https://drive.google.com/file/d/1jORVn88NRbATYtDYjmEQxGN_7YdtCz0a/view?usp=drivesdk</v>
      </c>
    </row>
    <row r="874">
      <c r="A874" s="3">
        <f>IFERROR(__xludf.DUMMYFUNCTION("""COMPUTED_VALUE"""),3018.0)</f>
        <v>3018</v>
      </c>
      <c r="B874" s="11">
        <f>IFERROR(__xludf.DUMMYFUNCTION("""COMPUTED_VALUE"""),46178.34921028935)</f>
        <v>46178.34921</v>
      </c>
      <c r="C874" s="3" t="str">
        <f>IFERROR(__xludf.DUMMYFUNCTION("""COMPUTED_VALUE"""),"ชั้นปีที่ 1")</f>
        <v>ชั้นปีที่ 1</v>
      </c>
      <c r="D874" s="3" t="str">
        <f>IFERROR(__xludf.DUMMYFUNCTION("""COMPUTED_VALUE"""),"6803944")</f>
        <v>6803944</v>
      </c>
      <c r="E874" s="3" t="str">
        <f>IFERROR(__xludf.DUMMYFUNCTION("""COMPUTED_VALUE"""),"63")</f>
        <v>63</v>
      </c>
      <c r="F874" s="3" t="str">
        <f>IFERROR(__xludf.DUMMYFUNCTION("""COMPUTED_VALUE"""),"นพอ.อริสา หฤทัยบริรักษ์")</f>
        <v>นพอ.อริสา หฤทัยบริรักษ์</v>
      </c>
      <c r="G874" s="3" t="str">
        <f>IFERROR(__xludf.DUMMYFUNCTION("""COMPUTED_VALUE"""),"ช่วยเหลืองานภายใน วพอ.")</f>
        <v>ช่วยเหลืองานภายใน วพอ.</v>
      </c>
      <c r="H874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874" s="3" t="str">
        <f>IFERROR(__xludf.DUMMYFUNCTION("""COMPUTED_VALUE"""),"ลานข้างหอพัก")</f>
        <v>ลานข้างหอพัก</v>
      </c>
      <c r="J874" s="12">
        <f>IFERROR(__xludf.DUMMYFUNCTION("""COMPUTED_VALUE"""),46164.0)</f>
        <v>46164</v>
      </c>
      <c r="K874" s="3" t="str">
        <f>IFERROR(__xludf.DUMMYFUNCTION("""COMPUTED_VALUE"""),"1500-1700")</f>
        <v>1500-1700</v>
      </c>
      <c r="L874" s="3">
        <f>IFERROR(__xludf.DUMMYFUNCTION("""COMPUTED_VALUE"""),2.0)</f>
        <v>2</v>
      </c>
      <c r="M874" s="3" t="str">
        <f>IFERROR(__xludf.DUMMYFUNCTION("""COMPUTED_VALUE"""),"น.อ.หญิงนิตยา สุขแสน")</f>
        <v>น.อ.หญิงนิตยา สุขแสน</v>
      </c>
      <c r="N874" s="14" t="str">
        <f>IFERROR(__xludf.DUMMYFUNCTION("""COMPUTED_VALUE"""),"https://lh5.googleusercontent.com/d/1OmhDNDyuZkwDhmmzsGT8SZZJ6hLnuiW_")</f>
        <v>https://lh5.googleusercontent.com/d/1OmhDNDyuZkwDhmmzsGT8SZZJ6hLnuiW_</v>
      </c>
      <c r="O874" s="14" t="str">
        <f>IFERROR(__xludf.DUMMYFUNCTION("""COMPUTED_VALUE"""),"https://drive.google.com/file/d/1ttQ-rkA4GkNzHVL1tg6OOU2fHm144K5i/view?usp=drivesdk")</f>
        <v>https://drive.google.com/file/d/1ttQ-rkA4GkNzHVL1tg6OOU2fHm144K5i/view?usp=drivesdk</v>
      </c>
    </row>
    <row r="875">
      <c r="A875" s="3">
        <f>IFERROR(__xludf.DUMMYFUNCTION("""COMPUTED_VALUE"""),3019.0)</f>
        <v>3019</v>
      </c>
      <c r="B875" s="11">
        <f>IFERROR(__xludf.DUMMYFUNCTION("""COMPUTED_VALUE"""),46178.34941587963)</f>
        <v>46178.34942</v>
      </c>
      <c r="C875" s="3" t="str">
        <f>IFERROR(__xludf.DUMMYFUNCTION("""COMPUTED_VALUE"""),"ชั้นปีที่ 1")</f>
        <v>ชั้นปีที่ 1</v>
      </c>
      <c r="D875" s="3" t="str">
        <f>IFERROR(__xludf.DUMMYFUNCTION("""COMPUTED_VALUE"""),"6803902")</f>
        <v>6803902</v>
      </c>
      <c r="E875" s="3" t="str">
        <f>IFERROR(__xludf.DUMMYFUNCTION("""COMPUTED_VALUE"""),"21")</f>
        <v>21</v>
      </c>
      <c r="F875" s="3" t="str">
        <f>IFERROR(__xludf.DUMMYFUNCTION("""COMPUTED_VALUE"""),"นพอ.ณัฐวัฒน์ บ้งพรม")</f>
        <v>นพอ.ณัฐวัฒน์ บ้งพรม</v>
      </c>
      <c r="G875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875" s="3" t="str">
        <f>IFERROR(__xludf.DUMMYFUNCTION("""COMPUTED_VALUE"""),"เล่นดนตรีในงาน green market")</f>
        <v>เล่นดนตรีในงาน green market</v>
      </c>
      <c r="I875" s="3" t="str">
        <f>IFERROR(__xludf.DUMMYFUNCTION("""COMPUTED_VALUE"""),"สโมสรนายทหารอากาศชั้นประทวน")</f>
        <v>สโมสรนายทหารอากาศชั้นประทวน</v>
      </c>
      <c r="J875" s="12">
        <f>IFERROR(__xludf.DUMMYFUNCTION("""COMPUTED_VALUE"""),46134.0)</f>
        <v>46134</v>
      </c>
      <c r="K875" s="3" t="str">
        <f>IFERROR(__xludf.DUMMYFUNCTION("""COMPUTED_VALUE"""),"0800-1500")</f>
        <v>0800-1500</v>
      </c>
      <c r="L875" s="3">
        <f>IFERROR(__xludf.DUMMYFUNCTION("""COMPUTED_VALUE"""),8.0)</f>
        <v>8</v>
      </c>
      <c r="M875" s="3" t="str">
        <f>IFERROR(__xludf.DUMMYFUNCTION("""COMPUTED_VALUE"""),"ร.อ.ฤทธิพล อ้วนสิงห์")</f>
        <v>ร.อ.ฤทธิพล อ้วนสิงห์</v>
      </c>
      <c r="N875" s="14" t="str">
        <f>IFERROR(__xludf.DUMMYFUNCTION("""COMPUTED_VALUE"""),"https://lh5.googleusercontent.com/d/1jyQzOOuil8uQZSoStqM2sO__wELtVpMf")</f>
        <v>https://lh5.googleusercontent.com/d/1jyQzOOuil8uQZSoStqM2sO__wELtVpMf</v>
      </c>
      <c r="O875" s="14" t="str">
        <f>IFERROR(__xludf.DUMMYFUNCTION("""COMPUTED_VALUE"""),"https://drive.google.com/file/d/1zU9W3JsNk9R37EiMBIi0mjsoVfSIZjH1/view?usp=drivesdk")</f>
        <v>https://drive.google.com/file/d/1zU9W3JsNk9R37EiMBIi0mjsoVfSIZjH1/view?usp=drivesdk</v>
      </c>
    </row>
    <row r="876">
      <c r="A876" s="3">
        <f>IFERROR(__xludf.DUMMYFUNCTION("""COMPUTED_VALUE"""),3020.0)</f>
        <v>3020</v>
      </c>
      <c r="B876" s="11">
        <f>IFERROR(__xludf.DUMMYFUNCTION("""COMPUTED_VALUE"""),46178.350141516195)</f>
        <v>46178.35014</v>
      </c>
      <c r="C876" s="3" t="str">
        <f>IFERROR(__xludf.DUMMYFUNCTION("""COMPUTED_VALUE"""),"ชั้นปีที่ 1")</f>
        <v>ชั้นปีที่ 1</v>
      </c>
      <c r="D876" s="3" t="str">
        <f>IFERROR(__xludf.DUMMYFUNCTION("""COMPUTED_VALUE"""),"6803882")</f>
        <v>6803882</v>
      </c>
      <c r="E876" s="3" t="str">
        <f>IFERROR(__xludf.DUMMYFUNCTION("""COMPUTED_VALUE"""),"1")</f>
        <v>1</v>
      </c>
      <c r="F876" s="3" t="str">
        <f>IFERROR(__xludf.DUMMYFUNCTION("""COMPUTED_VALUE"""),"นพอ.กมลฉัตร ชาสุรีย์")</f>
        <v>นพอ.กมลฉัตร ชาสุรีย์</v>
      </c>
      <c r="G876" s="3" t="str">
        <f>IFERROR(__xludf.DUMMYFUNCTION("""COMPUTED_VALUE"""),"ช่วยเหลืองานภายใน วพอ.")</f>
        <v>ช่วยเหลืองานภายใน วพอ.</v>
      </c>
      <c r="H876" s="3" t="str">
        <f>IFERROR(__xludf.DUMMYFUNCTION("""COMPUTED_VALUE"""),"กวาดลาน")</f>
        <v>กวาดลาน</v>
      </c>
      <c r="I876" s="3" t="str">
        <f>IFERROR(__xludf.DUMMYFUNCTION("""COMPUTED_VALUE"""),"วพอ.พอ.")</f>
        <v>วพอ.พอ.</v>
      </c>
      <c r="J876" s="12">
        <f>IFERROR(__xludf.DUMMYFUNCTION("""COMPUTED_VALUE"""),46171.0)</f>
        <v>46171</v>
      </c>
      <c r="K876" s="3" t="str">
        <f>IFERROR(__xludf.DUMMYFUNCTION("""COMPUTED_VALUE"""),"0630")</f>
        <v>0630</v>
      </c>
      <c r="L876" s="3">
        <f>IFERROR(__xludf.DUMMYFUNCTION("""COMPUTED_VALUE"""),2.0)</f>
        <v>2</v>
      </c>
      <c r="M876" s="3" t="str">
        <f>IFERROR(__xludf.DUMMYFUNCTION("""COMPUTED_VALUE"""),"น.ต.ศักชัย บุญประสิทธิ์")</f>
        <v>น.ต.ศักชัย บุญประสิทธิ์</v>
      </c>
      <c r="N876" s="14" t="str">
        <f>IFERROR(__xludf.DUMMYFUNCTION("""COMPUTED_VALUE"""),"https://lh5.googleusercontent.com/d/1nnnf3OK5L3iWobG5wTQY-xI23uqp-Ylt")</f>
        <v>https://lh5.googleusercontent.com/d/1nnnf3OK5L3iWobG5wTQY-xI23uqp-Ylt</v>
      </c>
      <c r="O876" s="14" t="str">
        <f>IFERROR(__xludf.DUMMYFUNCTION("""COMPUTED_VALUE"""),"https://drive.google.com/file/d/1L5I-GjeBbmDYGVwCVck8jMF1_BTk8NUd/view?usp=drivesdk")</f>
        <v>https://drive.google.com/file/d/1L5I-GjeBbmDYGVwCVck8jMF1_BTk8NUd/view?usp=drivesdk</v>
      </c>
    </row>
    <row r="877">
      <c r="A877" s="3">
        <f>IFERROR(__xludf.DUMMYFUNCTION("""COMPUTED_VALUE"""),3021.0)</f>
        <v>3021</v>
      </c>
      <c r="B877" s="11">
        <f>IFERROR(__xludf.DUMMYFUNCTION("""COMPUTED_VALUE"""),46178.35072268519)</f>
        <v>46178.35072</v>
      </c>
      <c r="C877" s="3" t="str">
        <f>IFERROR(__xludf.DUMMYFUNCTION("""COMPUTED_VALUE"""),"ชั้นปีที่ 1")</f>
        <v>ชั้นปีที่ 1</v>
      </c>
      <c r="D877" s="3" t="str">
        <f>IFERROR(__xludf.DUMMYFUNCTION("""COMPUTED_VALUE"""),"6803944")</f>
        <v>6803944</v>
      </c>
      <c r="E877" s="3" t="str">
        <f>IFERROR(__xludf.DUMMYFUNCTION("""COMPUTED_VALUE"""),"63")</f>
        <v>63</v>
      </c>
      <c r="F877" s="3" t="str">
        <f>IFERROR(__xludf.DUMMYFUNCTION("""COMPUTED_VALUE"""),"นพอ.อริสา หฤทัยบริรักษ์")</f>
        <v>นพอ.อริสา หฤทัยบริรักษ์</v>
      </c>
      <c r="G877" s="3" t="str">
        <f>IFERROR(__xludf.DUMMYFUNCTION("""COMPUTED_VALUE"""),"ช่วยเหลืองานภายใน วพอ.")</f>
        <v>ช่วยเหลืองานภายใน วพอ.</v>
      </c>
      <c r="H877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77" s="3" t="str">
        <f>IFERROR(__xludf.DUMMYFUNCTION("""COMPUTED_VALUE"""),"อาคารสำนักงานชั้น 4")</f>
        <v>อาคารสำนักงานชั้น 4</v>
      </c>
      <c r="J877" s="12">
        <f>IFERROR(__xludf.DUMMYFUNCTION("""COMPUTED_VALUE"""),46147.0)</f>
        <v>46147</v>
      </c>
      <c r="K877" s="3" t="str">
        <f>IFERROR(__xludf.DUMMYFUNCTION("""COMPUTED_VALUE"""),"1500-1800")</f>
        <v>1500-1800</v>
      </c>
      <c r="L877" s="3">
        <f>IFERROR(__xludf.DUMMYFUNCTION("""COMPUTED_VALUE"""),3.0)</f>
        <v>3</v>
      </c>
      <c r="M877" s="3" t="str">
        <f>IFERROR(__xludf.DUMMYFUNCTION("""COMPUTED_VALUE"""),"น.ต.ศักชัย บุญประสิทธิ์")</f>
        <v>น.ต.ศักชัย บุญประสิทธิ์</v>
      </c>
      <c r="N877" s="14" t="str">
        <f>IFERROR(__xludf.DUMMYFUNCTION("""COMPUTED_VALUE"""),"https://lh5.googleusercontent.com/d/1ksUumBVJIODvSX1idqJKebDY7bF2GMGc")</f>
        <v>https://lh5.googleusercontent.com/d/1ksUumBVJIODvSX1idqJKebDY7bF2GMGc</v>
      </c>
      <c r="O877" s="14" t="str">
        <f>IFERROR(__xludf.DUMMYFUNCTION("""COMPUTED_VALUE"""),"https://drive.google.com/file/d/1MRQScc2plKZlCcRZZ6MmYDbIbydHJG5c/view?usp=drivesdk")</f>
        <v>https://drive.google.com/file/d/1MRQScc2plKZlCcRZZ6MmYDbIbydHJG5c/view?usp=drivesdk</v>
      </c>
    </row>
    <row r="878">
      <c r="A878" s="3">
        <f>IFERROR(__xludf.DUMMYFUNCTION("""COMPUTED_VALUE"""),3022.0)</f>
        <v>3022</v>
      </c>
      <c r="B878" s="11">
        <f>IFERROR(__xludf.DUMMYFUNCTION("""COMPUTED_VALUE"""),46178.35094539352)</f>
        <v>46178.35095</v>
      </c>
      <c r="C878" s="3" t="str">
        <f>IFERROR(__xludf.DUMMYFUNCTION("""COMPUTED_VALUE"""),"ชั้นปีที่ 1")</f>
        <v>ชั้นปีที่ 1</v>
      </c>
      <c r="D878" s="3" t="str">
        <f>IFERROR(__xludf.DUMMYFUNCTION("""COMPUTED_VALUE"""),"6803902")</f>
        <v>6803902</v>
      </c>
      <c r="E878" s="3" t="str">
        <f>IFERROR(__xludf.DUMMYFUNCTION("""COMPUTED_VALUE"""),"21")</f>
        <v>21</v>
      </c>
      <c r="F878" s="3" t="str">
        <f>IFERROR(__xludf.DUMMYFUNCTION("""COMPUTED_VALUE"""),"นพอ.ณัฐวัฒน์ บ้งพรม")</f>
        <v>นพอ.ณัฐวัฒน์ บ้งพรม</v>
      </c>
      <c r="G878" s="3" t="str">
        <f>IFERROR(__xludf.DUMMYFUNCTION("""COMPUTED_VALUE"""),"ช่วยเหลืองานภายใน วพอ.")</f>
        <v>ช่วยเหลืองานภายใน วพอ.</v>
      </c>
      <c r="H878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78" s="3" t="str">
        <f>IFERROR(__xludf.DUMMYFUNCTION("""COMPUTED_VALUE"""),"อาคารสำนักงาน ชั้น 4 วพอ.พอ.")</f>
        <v>อาคารสำนักงาน ชั้น 4 วพอ.พอ.</v>
      </c>
      <c r="J878" s="12">
        <f>IFERROR(__xludf.DUMMYFUNCTION("""COMPUTED_VALUE"""),46147.0)</f>
        <v>46147</v>
      </c>
      <c r="K878" s="3" t="str">
        <f>IFERROR(__xludf.DUMMYFUNCTION("""COMPUTED_VALUE"""),"1500-1800")</f>
        <v>1500-1800</v>
      </c>
      <c r="L878" s="3">
        <f>IFERROR(__xludf.DUMMYFUNCTION("""COMPUTED_VALUE"""),3.0)</f>
        <v>3</v>
      </c>
      <c r="M878" s="3" t="str">
        <f>IFERROR(__xludf.DUMMYFUNCTION("""COMPUTED_VALUE"""),"น.ต.ศักชัย บุญประสิทธิ์")</f>
        <v>น.ต.ศักชัย บุญประสิทธิ์</v>
      </c>
      <c r="N878" s="14" t="str">
        <f>IFERROR(__xludf.DUMMYFUNCTION("""COMPUTED_VALUE"""),"https://lh5.googleusercontent.com/d/14WkcWFI7qaiyWCHgDuhLH4Rqkuh3eW-S")</f>
        <v>https://lh5.googleusercontent.com/d/14WkcWFI7qaiyWCHgDuhLH4Rqkuh3eW-S</v>
      </c>
      <c r="O878" s="14" t="str">
        <f>IFERROR(__xludf.DUMMYFUNCTION("""COMPUTED_VALUE"""),"https://drive.google.com/file/d/1LTLKD5OVMU6ta35AWQKT3h00NzHyxStl/view?usp=drivesdk")</f>
        <v>https://drive.google.com/file/d/1LTLKD5OVMU6ta35AWQKT3h00NzHyxStl/view?usp=drivesdk</v>
      </c>
    </row>
    <row r="879">
      <c r="A879" s="3">
        <f>IFERROR(__xludf.DUMMYFUNCTION("""COMPUTED_VALUE"""),3024.0)</f>
        <v>3024</v>
      </c>
      <c r="B879" s="11">
        <f>IFERROR(__xludf.DUMMYFUNCTION("""COMPUTED_VALUE"""),46178.35288658565)</f>
        <v>46178.35289</v>
      </c>
      <c r="C879" s="3" t="str">
        <f>IFERROR(__xludf.DUMMYFUNCTION("""COMPUTED_VALUE"""),"ชั้นปีที่ 1")</f>
        <v>ชั้นปีที่ 1</v>
      </c>
      <c r="D879" s="3" t="str">
        <f>IFERROR(__xludf.DUMMYFUNCTION("""COMPUTED_VALUE"""),"6803882")</f>
        <v>6803882</v>
      </c>
      <c r="E879" s="3" t="str">
        <f>IFERROR(__xludf.DUMMYFUNCTION("""COMPUTED_VALUE"""),"1")</f>
        <v>1</v>
      </c>
      <c r="F879" s="3" t="str">
        <f>IFERROR(__xludf.DUMMYFUNCTION("""COMPUTED_VALUE"""),"นพอ.กมลฉัตร ชาสุรีย์")</f>
        <v>นพอ.กมลฉัตร ชาสุรีย์</v>
      </c>
      <c r="G879" s="3" t="str">
        <f>IFERROR(__xludf.DUMMYFUNCTION("""COMPUTED_VALUE"""),"ช่วยเหลืองานภายใน วพอ.")</f>
        <v>ช่วยเหลืองานภายใน วพอ.</v>
      </c>
      <c r="H879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879" s="3" t="str">
        <f>IFERROR(__xludf.DUMMYFUNCTION("""COMPUTED_VALUE"""),"วพอ.พอ.")</f>
        <v>วพอ.พอ.</v>
      </c>
      <c r="J879" s="12">
        <f>IFERROR(__xludf.DUMMYFUNCTION("""COMPUTED_VALUE"""),46147.0)</f>
        <v>46147</v>
      </c>
      <c r="K879" s="3" t="str">
        <f>IFERROR(__xludf.DUMMYFUNCTION("""COMPUTED_VALUE"""),"1500-1800")</f>
        <v>1500-1800</v>
      </c>
      <c r="L879" s="3">
        <f>IFERROR(__xludf.DUMMYFUNCTION("""COMPUTED_VALUE"""),3.0)</f>
        <v>3</v>
      </c>
      <c r="M879" s="3" t="str">
        <f>IFERROR(__xludf.DUMMYFUNCTION("""COMPUTED_VALUE"""),"น.ต.ศักชัย บุญประสิทธิ์")</f>
        <v>น.ต.ศักชัย บุญประสิทธิ์</v>
      </c>
      <c r="N879" s="14" t="str">
        <f>IFERROR(__xludf.DUMMYFUNCTION("""COMPUTED_VALUE"""),"https://lh5.googleusercontent.com/d/1zeC45HVnJVkT-LHi-M9X8MK-1M8Leb57")</f>
        <v>https://lh5.googleusercontent.com/d/1zeC45HVnJVkT-LHi-M9X8MK-1M8Leb57</v>
      </c>
      <c r="O879" s="14" t="str">
        <f>IFERROR(__xludf.DUMMYFUNCTION("""COMPUTED_VALUE"""),"https://drive.google.com/file/d/14uEjgVlnKC_uYfT4ef9GWizjC2MoX8mx/view?usp=drivesdk")</f>
        <v>https://drive.google.com/file/d/14uEjgVlnKC_uYfT4ef9GWizjC2MoX8mx/view?usp=drivesdk</v>
      </c>
    </row>
    <row r="880">
      <c r="A880" s="3">
        <f>IFERROR(__xludf.DUMMYFUNCTION("""COMPUTED_VALUE"""),3026.0)</f>
        <v>3026</v>
      </c>
      <c r="B880" s="11">
        <f>IFERROR(__xludf.DUMMYFUNCTION("""COMPUTED_VALUE"""),46178.35319689814)</f>
        <v>46178.3532</v>
      </c>
      <c r="C880" s="3" t="str">
        <f>IFERROR(__xludf.DUMMYFUNCTION("""COMPUTED_VALUE"""),"ชั้นปีที่ 1")</f>
        <v>ชั้นปีที่ 1</v>
      </c>
      <c r="D880" s="3" t="str">
        <f>IFERROR(__xludf.DUMMYFUNCTION("""COMPUTED_VALUE"""),"6803897")</f>
        <v>6803897</v>
      </c>
      <c r="E880" s="3" t="str">
        <f>IFERROR(__xludf.DUMMYFUNCTION("""COMPUTED_VALUE"""),"16")</f>
        <v>16</v>
      </c>
      <c r="F880" s="3" t="str">
        <f>IFERROR(__xludf.DUMMYFUNCTION("""COMPUTED_VALUE"""),"นพอ.ณัฐญา ชลอปัญจศิลป์")</f>
        <v>นพอ.ณัฐญา ชลอปัญจศิลป์</v>
      </c>
      <c r="G880" s="3" t="str">
        <f>IFERROR(__xludf.DUMMYFUNCTION("""COMPUTED_VALUE"""),"ช่วยเหลืองานภายใน วพอ.")</f>
        <v>ช่วยเหลืองานภายใน วพอ.</v>
      </c>
      <c r="H880" s="3" t="str">
        <f>IFERROR(__xludf.DUMMYFUNCTION("""COMPUTED_VALUE"""),"ซ้อมงานพิธีมอบหมวกพยาบาลวิชาชีพ ปีการศึกษา  2568")</f>
        <v>ซ้อมงานพิธีมอบหมวกพยาบาลวิชาชีพ ปีการศึกษา  2568</v>
      </c>
      <c r="I880" s="3" t="str">
        <f>IFERROR(__xludf.DUMMYFUNCTION("""COMPUTED_VALUE"""),"วพอ.พอ.")</f>
        <v>วพอ.พอ.</v>
      </c>
      <c r="J880" s="12">
        <f>IFERROR(__xludf.DUMMYFUNCTION("""COMPUTED_VALUE"""),46138.0)</f>
        <v>46138</v>
      </c>
      <c r="K880" s="3" t="str">
        <f>IFERROR(__xludf.DUMMYFUNCTION("""COMPUTED_VALUE"""),"1500-2100")</f>
        <v>1500-2100</v>
      </c>
      <c r="L880" s="3">
        <f>IFERROR(__xludf.DUMMYFUNCTION("""COMPUTED_VALUE"""),8.0)</f>
        <v>8</v>
      </c>
      <c r="M880" s="3" t="str">
        <f>IFERROR(__xludf.DUMMYFUNCTION("""COMPUTED_VALUE"""),"ร.อ.อนุชิต ทำจะดี")</f>
        <v>ร.อ.อนุชิต ทำจะดี</v>
      </c>
      <c r="N880" s="14" t="str">
        <f>IFERROR(__xludf.DUMMYFUNCTION("""COMPUTED_VALUE"""),"https://lh5.googleusercontent.com/d/1hgCNwDUoCWduseAxtKWIoKdDXbN2UbVE")</f>
        <v>https://lh5.googleusercontent.com/d/1hgCNwDUoCWduseAxtKWIoKdDXbN2UbVE</v>
      </c>
      <c r="O880" s="14" t="str">
        <f>IFERROR(__xludf.DUMMYFUNCTION("""COMPUTED_VALUE"""),"https://drive.google.com/file/d/1Bj2s-WLnDUi-rcT-JhaedzH3VGIXC2p3/view?usp=drivesdk")</f>
        <v>https://drive.google.com/file/d/1Bj2s-WLnDUi-rcT-JhaedzH3VGIXC2p3/view?usp=drivesdk</v>
      </c>
    </row>
    <row r="881">
      <c r="A881" s="3">
        <f>IFERROR(__xludf.DUMMYFUNCTION("""COMPUTED_VALUE"""),3027.0)</f>
        <v>3027</v>
      </c>
      <c r="B881" s="11">
        <f>IFERROR(__xludf.DUMMYFUNCTION("""COMPUTED_VALUE"""),46178.35424965278)</f>
        <v>46178.35425</v>
      </c>
      <c r="C881" s="3" t="str">
        <f>IFERROR(__xludf.DUMMYFUNCTION("""COMPUTED_VALUE"""),"ชั้นปีที่ 1")</f>
        <v>ชั้นปีที่ 1</v>
      </c>
      <c r="D881" s="3" t="str">
        <f>IFERROR(__xludf.DUMMYFUNCTION("""COMPUTED_VALUE"""),"6803944")</f>
        <v>6803944</v>
      </c>
      <c r="E881" s="3" t="str">
        <f>IFERROR(__xludf.DUMMYFUNCTION("""COMPUTED_VALUE"""),"63")</f>
        <v>63</v>
      </c>
      <c r="F881" s="3" t="str">
        <f>IFERROR(__xludf.DUMMYFUNCTION("""COMPUTED_VALUE"""),"นพอ.อริสา หฤทัยบริรักษ์")</f>
        <v>นพอ.อริสา หฤทัยบริรักษ์</v>
      </c>
      <c r="G881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881" s="3" t="str">
        <f>IFERROR(__xludf.DUMMYFUNCTION("""COMPUTED_VALUE"""),"ล้างตู้เย็น")</f>
        <v>ล้างตู้เย็น</v>
      </c>
      <c r="I881" s="3" t="str">
        <f>IFERROR(__xludf.DUMMYFUNCTION("""COMPUTED_VALUE"""),"บ้าน")</f>
        <v>บ้าน</v>
      </c>
      <c r="J881" s="12">
        <f>IFERROR(__xludf.DUMMYFUNCTION("""COMPUTED_VALUE"""),46165.0)</f>
        <v>46165</v>
      </c>
      <c r="K881" s="3" t="str">
        <f>IFERROR(__xludf.DUMMYFUNCTION("""COMPUTED_VALUE"""),"1200-1400")</f>
        <v>1200-1400</v>
      </c>
      <c r="L881" s="3">
        <f>IFERROR(__xludf.DUMMYFUNCTION("""COMPUTED_VALUE"""),2.0)</f>
        <v>2</v>
      </c>
      <c r="M881" s="3" t="str">
        <f>IFERROR(__xludf.DUMMYFUNCTION("""COMPUTED_VALUE"""),"นางอุมา หฤทัยบริรักษ์")</f>
        <v>นางอุมา หฤทัยบริรักษ์</v>
      </c>
      <c r="N881" s="14" t="str">
        <f>IFERROR(__xludf.DUMMYFUNCTION("""COMPUTED_VALUE"""),"https://lh5.googleusercontent.com/d/1pmtoV8o7szhlmvCSgBspuPcevC2L7jh4")</f>
        <v>https://lh5.googleusercontent.com/d/1pmtoV8o7szhlmvCSgBspuPcevC2L7jh4</v>
      </c>
      <c r="O881" s="14" t="str">
        <f>IFERROR(__xludf.DUMMYFUNCTION("""COMPUTED_VALUE"""),"https://drive.google.com/file/d/1bmE987LTyphkrAsWKOq-I977XpYs4shN/view?usp=drivesdk")</f>
        <v>https://drive.google.com/file/d/1bmE987LTyphkrAsWKOq-I977XpYs4shN/view?usp=drivesdk</v>
      </c>
    </row>
    <row r="882">
      <c r="A882" s="3">
        <f>IFERROR(__xludf.DUMMYFUNCTION("""COMPUTED_VALUE"""),3028.0)</f>
        <v>3028</v>
      </c>
      <c r="B882" s="11">
        <f>IFERROR(__xludf.DUMMYFUNCTION("""COMPUTED_VALUE"""),46178.35495855324)</f>
        <v>46178.35496</v>
      </c>
      <c r="C882" s="3" t="str">
        <f>IFERROR(__xludf.DUMMYFUNCTION("""COMPUTED_VALUE"""),"ชั้นปีที่ 1")</f>
        <v>ชั้นปีที่ 1</v>
      </c>
      <c r="D882" s="3" t="str">
        <f>IFERROR(__xludf.DUMMYFUNCTION("""COMPUTED_VALUE"""),"6803896")</f>
        <v>6803896</v>
      </c>
      <c r="E882" s="3" t="str">
        <f>IFERROR(__xludf.DUMMYFUNCTION("""COMPUTED_VALUE"""),"15")</f>
        <v>15</v>
      </c>
      <c r="F882" s="3" t="str">
        <f>IFERROR(__xludf.DUMMYFUNCTION("""COMPUTED_VALUE"""),"นพอ.ณัชปวีย์ เยาวภา")</f>
        <v>นพอ.ณัชปวีย์ เยาวภา</v>
      </c>
      <c r="G882" s="3" t="str">
        <f>IFERROR(__xludf.DUMMYFUNCTION("""COMPUTED_VALUE"""),"ช่วยเหลืองานภายใน วพอ.")</f>
        <v>ช่วยเหลืองานภายใน วพอ.</v>
      </c>
      <c r="H882" s="3" t="str">
        <f>IFERROR(__xludf.DUMMYFUNCTION("""COMPUTED_VALUE"""),"เล่นดุริยางค์")</f>
        <v>เล่นดุริยางค์</v>
      </c>
      <c r="I882" s="3" t="str">
        <f>IFERROR(__xludf.DUMMYFUNCTION("""COMPUTED_VALUE"""),"วพอ.พอ.")</f>
        <v>วพอ.พอ.</v>
      </c>
      <c r="J882" s="12">
        <f>IFERROR(__xludf.DUMMYFUNCTION("""COMPUTED_VALUE"""),46121.0)</f>
        <v>46121</v>
      </c>
      <c r="K882" s="3" t="str">
        <f>IFERROR(__xludf.DUMMYFUNCTION("""COMPUTED_VALUE"""),"ร.อ.อนุชิต ทำจะดี")</f>
        <v>ร.อ.อนุชิต ทำจะดี</v>
      </c>
      <c r="L882" s="3"/>
      <c r="M882" s="3" t="str">
        <f>IFERROR(__xludf.DUMMYFUNCTION("""COMPUTED_VALUE"""),"ร.อ.อนุชิต ทำจะดี")</f>
        <v>ร.อ.อนุชิต ทำจะดี</v>
      </c>
      <c r="N882" s="14" t="str">
        <f>IFERROR(__xludf.DUMMYFUNCTION("""COMPUTED_VALUE"""),"https://lh5.googleusercontent.com/d/1pIC-sTjNtoD8P9ezTDC40pFBHn-IEQ_C")</f>
        <v>https://lh5.googleusercontent.com/d/1pIC-sTjNtoD8P9ezTDC40pFBHn-IEQ_C</v>
      </c>
      <c r="O882" s="14" t="str">
        <f>IFERROR(__xludf.DUMMYFUNCTION("""COMPUTED_VALUE"""),"https://drive.google.com/file/d/1QWcB_d9GuNRrrrAL4rOalLqMXbOxYlvD/view?usp=drivesdk")</f>
        <v>https://drive.google.com/file/d/1QWcB_d9GuNRrrrAL4rOalLqMXbOxYlvD/view?usp=drivesdk</v>
      </c>
    </row>
    <row r="883">
      <c r="A883" s="3">
        <f>IFERROR(__xludf.DUMMYFUNCTION("""COMPUTED_VALUE"""),3029.0)</f>
        <v>3029</v>
      </c>
      <c r="B883" s="11">
        <f>IFERROR(__xludf.DUMMYFUNCTION("""COMPUTED_VALUE"""),46178.35509748843)</f>
        <v>46178.3551</v>
      </c>
      <c r="C883" s="3" t="str">
        <f>IFERROR(__xludf.DUMMYFUNCTION("""COMPUTED_VALUE"""),"ชั้นปีที่ 1")</f>
        <v>ชั้นปีที่ 1</v>
      </c>
      <c r="D883" s="3" t="str">
        <f>IFERROR(__xludf.DUMMYFUNCTION("""COMPUTED_VALUE"""),"6803902")</f>
        <v>6803902</v>
      </c>
      <c r="E883" s="3" t="str">
        <f>IFERROR(__xludf.DUMMYFUNCTION("""COMPUTED_VALUE"""),"21")</f>
        <v>21</v>
      </c>
      <c r="F883" s="3" t="str">
        <f>IFERROR(__xludf.DUMMYFUNCTION("""COMPUTED_VALUE"""),"นพอ.ณัฐวัฒน์ บ้งพรม")</f>
        <v>นพอ.ณัฐวัฒน์ บ้งพรม</v>
      </c>
      <c r="G883" s="3" t="str">
        <f>IFERROR(__xludf.DUMMYFUNCTION("""COMPUTED_VALUE"""),"ช่วยเหลืองานภายใน วพอ.")</f>
        <v>ช่วยเหลืองานภายใน วพอ.</v>
      </c>
      <c r="H883" s="3" t="str">
        <f>IFERROR(__xludf.DUMMYFUNCTION("""COMPUTED_VALUE"""),"เล่นดุริยางค์")</f>
        <v>เล่นดุริยางค์</v>
      </c>
      <c r="I883" s="3" t="str">
        <f>IFERROR(__xludf.DUMMYFUNCTION("""COMPUTED_VALUE"""),"วพอ.พอ.")</f>
        <v>วพอ.พอ.</v>
      </c>
      <c r="J883" s="12">
        <f>IFERROR(__xludf.DUMMYFUNCTION("""COMPUTED_VALUE"""),46114.0)</f>
        <v>46114</v>
      </c>
      <c r="K883" s="3" t="str">
        <f>IFERROR(__xludf.DUMMYFUNCTION("""COMPUTED_VALUE"""),"0700-0800")</f>
        <v>0700-0800</v>
      </c>
      <c r="L883" s="3">
        <f>IFERROR(__xludf.DUMMYFUNCTION("""COMPUTED_VALUE"""),1.0)</f>
        <v>1</v>
      </c>
      <c r="M883" s="3" t="str">
        <f>IFERROR(__xludf.DUMMYFUNCTION("""COMPUTED_VALUE"""),"ร.อ.อนุชิต ทำจะดี")</f>
        <v>ร.อ.อนุชิต ทำจะดี</v>
      </c>
      <c r="N883" s="14" t="str">
        <f>IFERROR(__xludf.DUMMYFUNCTION("""COMPUTED_VALUE"""),"https://lh5.googleusercontent.com/d/1JRpalpMotQjq4uQ5sYFHo4v9YTyp0nkc")</f>
        <v>https://lh5.googleusercontent.com/d/1JRpalpMotQjq4uQ5sYFHo4v9YTyp0nkc</v>
      </c>
      <c r="O883" s="14" t="str">
        <f>IFERROR(__xludf.DUMMYFUNCTION("""COMPUTED_VALUE"""),"https://drive.google.com/file/d/12imWiUq8vUAas59ejcqQySMaG0jPeJVN/view?usp=drivesdk")</f>
        <v>https://drive.google.com/file/d/12imWiUq8vUAas59ejcqQySMaG0jPeJVN/view?usp=drivesdk</v>
      </c>
    </row>
    <row r="884">
      <c r="A884" s="3">
        <f>IFERROR(__xludf.DUMMYFUNCTION("""COMPUTED_VALUE"""),3030.0)</f>
        <v>3030</v>
      </c>
      <c r="B884" s="11">
        <f>IFERROR(__xludf.DUMMYFUNCTION("""COMPUTED_VALUE"""),46178.35601594907)</f>
        <v>46178.35602</v>
      </c>
      <c r="C884" s="3" t="str">
        <f>IFERROR(__xludf.DUMMYFUNCTION("""COMPUTED_VALUE"""),"ชั้นปีที่ 1")</f>
        <v>ชั้นปีที่ 1</v>
      </c>
      <c r="D884" s="3" t="str">
        <f>IFERROR(__xludf.DUMMYFUNCTION("""COMPUTED_VALUE"""),"6803897")</f>
        <v>6803897</v>
      </c>
      <c r="E884" s="3" t="str">
        <f>IFERROR(__xludf.DUMMYFUNCTION("""COMPUTED_VALUE"""),"16")</f>
        <v>16</v>
      </c>
      <c r="F884" s="3" t="str">
        <f>IFERROR(__xludf.DUMMYFUNCTION("""COMPUTED_VALUE"""),"นพอ.ณัฐญา ชลอปัญจศิลป์")</f>
        <v>นพอ.ณัฐญา ชลอปัญจศิลป์</v>
      </c>
      <c r="G884" s="3" t="str">
        <f>IFERROR(__xludf.DUMMYFUNCTION("""COMPUTED_VALUE"""),"ช่วยเหลืองานภายใน วพอ.")</f>
        <v>ช่วยเหลืองานภายใน วพอ.</v>
      </c>
      <c r="H884" s="3" t="str">
        <f>IFERROR(__xludf.DUMMYFUNCTION("""COMPUTED_VALUE"""),"เก็บหินขาวบริเวณรอบรั้วข้างหอพัก")</f>
        <v>เก็บหินขาวบริเวณรอบรั้วข้างหอพัก</v>
      </c>
      <c r="I884" s="3" t="str">
        <f>IFERROR(__xludf.DUMMYFUNCTION("""COMPUTED_VALUE"""),"วพอ.พอ.")</f>
        <v>วพอ.พอ.</v>
      </c>
      <c r="J884" s="12">
        <f>IFERROR(__xludf.DUMMYFUNCTION("""COMPUTED_VALUE"""),46164.0)</f>
        <v>46164</v>
      </c>
      <c r="K884" s="3" t="str">
        <f>IFERROR(__xludf.DUMMYFUNCTION("""COMPUTED_VALUE"""),"1500-1700")</f>
        <v>1500-1700</v>
      </c>
      <c r="L884" s="3">
        <f>IFERROR(__xludf.DUMMYFUNCTION("""COMPUTED_VALUE"""),2.0)</f>
        <v>2</v>
      </c>
      <c r="M884" s="3" t="str">
        <f>IFERROR(__xludf.DUMMYFUNCTION("""COMPUTED_VALUE"""),"น.อ.หญิง นิตยา สุขแสน")</f>
        <v>น.อ.หญิง นิตยา สุขแสน</v>
      </c>
      <c r="N884" s="14" t="str">
        <f>IFERROR(__xludf.DUMMYFUNCTION("""COMPUTED_VALUE"""),"https://lh5.googleusercontent.com/d/1oXrH_Kk0L3KNtXWeW6oy8qDR_l10R3kl")</f>
        <v>https://lh5.googleusercontent.com/d/1oXrH_Kk0L3KNtXWeW6oy8qDR_l10R3kl</v>
      </c>
      <c r="O884" s="14" t="str">
        <f>IFERROR(__xludf.DUMMYFUNCTION("""COMPUTED_VALUE"""),"https://drive.google.com/file/d/1bAZXpEcYK-1Pwd-WmOLAHw0DuMtYKjmQ/view?usp=drivesdk")</f>
        <v>https://drive.google.com/file/d/1bAZXpEcYK-1Pwd-WmOLAHw0DuMtYKjmQ/view?usp=drivesdk</v>
      </c>
    </row>
    <row r="885">
      <c r="A885" s="3">
        <f>IFERROR(__xludf.DUMMYFUNCTION("""COMPUTED_VALUE"""),3031.0)</f>
        <v>3031</v>
      </c>
      <c r="B885" s="11">
        <f>IFERROR(__xludf.DUMMYFUNCTION("""COMPUTED_VALUE"""),46178.356687418986)</f>
        <v>46178.35669</v>
      </c>
      <c r="C885" s="3" t="str">
        <f>IFERROR(__xludf.DUMMYFUNCTION("""COMPUTED_VALUE"""),"ชั้นปีที่ 1")</f>
        <v>ชั้นปีที่ 1</v>
      </c>
      <c r="D885" s="3" t="str">
        <f>IFERROR(__xludf.DUMMYFUNCTION("""COMPUTED_VALUE"""),"6803902")</f>
        <v>6803902</v>
      </c>
      <c r="E885" s="3" t="str">
        <f>IFERROR(__xludf.DUMMYFUNCTION("""COMPUTED_VALUE"""),"21")</f>
        <v>21</v>
      </c>
      <c r="F885" s="3" t="str">
        <f>IFERROR(__xludf.DUMMYFUNCTION("""COMPUTED_VALUE"""),"นพอ.ณัฐวัฒน์ บ้งพรม")</f>
        <v>นพอ.ณัฐวัฒน์ บ้งพรม</v>
      </c>
      <c r="G885" s="3" t="str">
        <f>IFERROR(__xludf.DUMMYFUNCTION("""COMPUTED_VALUE"""),"ช่วยเหลืองานภายใน วพอ.")</f>
        <v>ช่วยเหลืองานภายใน วพอ.</v>
      </c>
      <c r="H885" s="3" t="str">
        <f>IFERROR(__xludf.DUMMYFUNCTION("""COMPUTED_VALUE"""),"เล่นดุริยางค์")</f>
        <v>เล่นดุริยางค์</v>
      </c>
      <c r="I885" s="3" t="str">
        <f>IFERROR(__xludf.DUMMYFUNCTION("""COMPUTED_VALUE"""),"วพอ.พอ.")</f>
        <v>วพอ.พอ.</v>
      </c>
      <c r="J885" s="12">
        <f>IFERROR(__xludf.DUMMYFUNCTION("""COMPUTED_VALUE"""),46028.0)</f>
        <v>46028</v>
      </c>
      <c r="K885" s="3" t="str">
        <f>IFERROR(__xludf.DUMMYFUNCTION("""COMPUTED_VALUE"""),"0700-0800")</f>
        <v>0700-0800</v>
      </c>
      <c r="L885" s="3">
        <f>IFERROR(__xludf.DUMMYFUNCTION("""COMPUTED_VALUE"""),1.0)</f>
        <v>1</v>
      </c>
      <c r="M885" s="3" t="str">
        <f>IFERROR(__xludf.DUMMYFUNCTION("""COMPUTED_VALUE"""),"ร.อ.อนุชิต ทำจะดี")</f>
        <v>ร.อ.อนุชิต ทำจะดี</v>
      </c>
      <c r="N885" s="14" t="str">
        <f>IFERROR(__xludf.DUMMYFUNCTION("""COMPUTED_VALUE"""),"https://lh5.googleusercontent.com/d/1WXwy4S-MOxD-YM4vYW87t1WI8PiBhljR")</f>
        <v>https://lh5.googleusercontent.com/d/1WXwy4S-MOxD-YM4vYW87t1WI8PiBhljR</v>
      </c>
      <c r="O885" s="14" t="str">
        <f>IFERROR(__xludf.DUMMYFUNCTION("""COMPUTED_VALUE"""),"https://drive.google.com/file/d/1urn6sfD1Znbd1q8N7cn747La_KPUQb8R/view?usp=drivesdk")</f>
        <v>https://drive.google.com/file/d/1urn6sfD1Znbd1q8N7cn747La_KPUQb8R/view?usp=drivesdk</v>
      </c>
    </row>
    <row r="886">
      <c r="A886" s="3">
        <f>IFERROR(__xludf.DUMMYFUNCTION("""COMPUTED_VALUE"""),3032.0)</f>
        <v>3032</v>
      </c>
      <c r="B886" s="11">
        <f>IFERROR(__xludf.DUMMYFUNCTION("""COMPUTED_VALUE"""),46178.357653796294)</f>
        <v>46178.35765</v>
      </c>
      <c r="C886" s="3" t="str">
        <f>IFERROR(__xludf.DUMMYFUNCTION("""COMPUTED_VALUE"""),"ชั้นปีที่ 1")</f>
        <v>ชั้นปีที่ 1</v>
      </c>
      <c r="D886" s="3" t="str">
        <f>IFERROR(__xludf.DUMMYFUNCTION("""COMPUTED_VALUE"""),"6803897")</f>
        <v>6803897</v>
      </c>
      <c r="E886" s="3" t="str">
        <f>IFERROR(__xludf.DUMMYFUNCTION("""COMPUTED_VALUE"""),"16")</f>
        <v>16</v>
      </c>
      <c r="F886" s="3" t="str">
        <f>IFERROR(__xludf.DUMMYFUNCTION("""COMPUTED_VALUE"""),"นพอ.ณัฐญา ชลอปัญจศิลป์")</f>
        <v>นพอ.ณัฐญา ชลอปัญจศิลป์</v>
      </c>
      <c r="G886" s="3" t="str">
        <f>IFERROR(__xludf.DUMMYFUNCTION("""COMPUTED_VALUE"""),"ช่วยเหลืองานภายใน วพอ.")</f>
        <v>ช่วยเหลืองานภายใน วพอ.</v>
      </c>
      <c r="H886" s="3" t="str">
        <f>IFERROR(__xludf.DUMMYFUNCTION("""COMPUTED_VALUE"""),"ซ้อมงานพิธีมอบหมวกพยาบาลวิชาชีพ ปีการศึกษา 2568")</f>
        <v>ซ้อมงานพิธีมอบหมวกพยาบาลวิชาชีพ ปีการศึกษา 2568</v>
      </c>
      <c r="I886" s="3" t="str">
        <f>IFERROR(__xludf.DUMMYFUNCTION("""COMPUTED_VALUE"""),"หอประชุมธูปะเตย์มี รพ.ภูมิพล")</f>
        <v>หอประชุมธูปะเตย์มี รพ.ภูมิพล</v>
      </c>
      <c r="J886" s="12">
        <f>IFERROR(__xludf.DUMMYFUNCTION("""COMPUTED_VALUE"""),46139.0)</f>
        <v>46139</v>
      </c>
      <c r="K886" s="3" t="str">
        <f>IFERROR(__xludf.DUMMYFUNCTION("""COMPUTED_VALUE"""),"1700-2100")</f>
        <v>1700-2100</v>
      </c>
      <c r="L886" s="3">
        <f>IFERROR(__xludf.DUMMYFUNCTION("""COMPUTED_VALUE"""),4.0)</f>
        <v>4</v>
      </c>
      <c r="M886" s="3" t="str">
        <f>IFERROR(__xludf.DUMMYFUNCTION("""COMPUTED_VALUE"""),"ร.อ.อนุชิต ทำจะดี")</f>
        <v>ร.อ.อนุชิต ทำจะดี</v>
      </c>
      <c r="N886" s="14" t="str">
        <f>IFERROR(__xludf.DUMMYFUNCTION("""COMPUTED_VALUE"""),"https://lh5.googleusercontent.com/d/1mCMbk7lzNfdqYyMOcMXeTsiZRoJ77s2N")</f>
        <v>https://lh5.googleusercontent.com/d/1mCMbk7lzNfdqYyMOcMXeTsiZRoJ77s2N</v>
      </c>
      <c r="O886" s="14" t="str">
        <f>IFERROR(__xludf.DUMMYFUNCTION("""COMPUTED_VALUE"""),"https://drive.google.com/file/d/1qqgELvb1Z44a-ZB-FZO0HLzPVgFVZC8-/view?usp=drivesdk")</f>
        <v>https://drive.google.com/file/d/1qqgELvb1Z44a-ZB-FZO0HLzPVgFVZC8-/view?usp=drivesdk</v>
      </c>
    </row>
    <row r="887">
      <c r="A887" s="3">
        <f>IFERROR(__xludf.DUMMYFUNCTION("""COMPUTED_VALUE"""),3034.0)</f>
        <v>3034</v>
      </c>
      <c r="B887" s="11">
        <f>IFERROR(__xludf.DUMMYFUNCTION("""COMPUTED_VALUE"""),46178.359311064814)</f>
        <v>46178.35931</v>
      </c>
      <c r="C887" s="3" t="str">
        <f>IFERROR(__xludf.DUMMYFUNCTION("""COMPUTED_VALUE"""),"ชั้นปีที่ 1")</f>
        <v>ชั้นปีที่ 1</v>
      </c>
      <c r="D887" s="3" t="str">
        <f>IFERROR(__xludf.DUMMYFUNCTION("""COMPUTED_VALUE"""),"6803902")</f>
        <v>6803902</v>
      </c>
      <c r="E887" s="3" t="str">
        <f>IFERROR(__xludf.DUMMYFUNCTION("""COMPUTED_VALUE"""),"21")</f>
        <v>21</v>
      </c>
      <c r="F887" s="3" t="str">
        <f>IFERROR(__xludf.DUMMYFUNCTION("""COMPUTED_VALUE"""),"นพอ.ณัฐวัฒน์ บ้งพรม")</f>
        <v>นพอ.ณัฐวัฒน์ บ้งพรม</v>
      </c>
      <c r="G887" s="3" t="str">
        <f>IFERROR(__xludf.DUMMYFUNCTION("""COMPUTED_VALUE"""),"ช่วยเหลืองานภายใน วพอ.")</f>
        <v>ช่วยเหลืองานภายใน วพอ.</v>
      </c>
      <c r="H887" s="3" t="str">
        <f>IFERROR(__xludf.DUMMYFUNCTION("""COMPUTED_VALUE"""),"เล่นดุริยางค์")</f>
        <v>เล่นดุริยางค์</v>
      </c>
      <c r="I887" s="3" t="str">
        <f>IFERROR(__xludf.DUMMYFUNCTION("""COMPUTED_VALUE"""),"วพอ.พอ.")</f>
        <v>วพอ.พอ.</v>
      </c>
      <c r="J887" s="12">
        <f>IFERROR(__xludf.DUMMYFUNCTION("""COMPUTED_VALUE"""),46100.0)</f>
        <v>46100</v>
      </c>
      <c r="K887" s="3" t="str">
        <f>IFERROR(__xludf.DUMMYFUNCTION("""COMPUTED_VALUE"""),"0700-0800")</f>
        <v>0700-0800</v>
      </c>
      <c r="L887" s="3">
        <f>IFERROR(__xludf.DUMMYFUNCTION("""COMPUTED_VALUE"""),1.0)</f>
        <v>1</v>
      </c>
      <c r="M887" s="3" t="str">
        <f>IFERROR(__xludf.DUMMYFUNCTION("""COMPUTED_VALUE"""),"ร.อ.อนุชิต ทำจะดี")</f>
        <v>ร.อ.อนุชิต ทำจะดี</v>
      </c>
      <c r="N887" s="14" t="str">
        <f>IFERROR(__xludf.DUMMYFUNCTION("""COMPUTED_VALUE"""),"https://lh5.googleusercontent.com/d/1dvP-w2pw0Ct2OgsAWdlE06n3UjdR1eXP")</f>
        <v>https://lh5.googleusercontent.com/d/1dvP-w2pw0Ct2OgsAWdlE06n3UjdR1eXP</v>
      </c>
      <c r="O887" s="14" t="str">
        <f>IFERROR(__xludf.DUMMYFUNCTION("""COMPUTED_VALUE"""),"https://drive.google.com/file/d/179trtDM2AlQw0K9qSJinhq8GG2kbNzvl/view?usp=drivesdk")</f>
        <v>https://drive.google.com/file/d/179trtDM2AlQw0K9qSJinhq8GG2kbNzvl/view?usp=drivesdk</v>
      </c>
    </row>
    <row r="888">
      <c r="A888" s="3">
        <f>IFERROR(__xludf.DUMMYFUNCTION("""COMPUTED_VALUE"""),3036.0)</f>
        <v>3036</v>
      </c>
      <c r="B888" s="11">
        <f>IFERROR(__xludf.DUMMYFUNCTION("""COMPUTED_VALUE"""),46178.36081450232)</f>
        <v>46178.36081</v>
      </c>
      <c r="C888" s="3" t="str">
        <f>IFERROR(__xludf.DUMMYFUNCTION("""COMPUTED_VALUE"""),"ชั้นปีที่ 1")</f>
        <v>ชั้นปีที่ 1</v>
      </c>
      <c r="D888" s="3" t="str">
        <f>IFERROR(__xludf.DUMMYFUNCTION("""COMPUTED_VALUE"""),"6803902")</f>
        <v>6803902</v>
      </c>
      <c r="E888" s="3" t="str">
        <f>IFERROR(__xludf.DUMMYFUNCTION("""COMPUTED_VALUE"""),"21")</f>
        <v>21</v>
      </c>
      <c r="F888" s="3" t="str">
        <f>IFERROR(__xludf.DUMMYFUNCTION("""COMPUTED_VALUE"""),"นพอ.ณัฐวัฒน์ บ้งพรม")</f>
        <v>นพอ.ณัฐวัฒน์ บ้งพรม</v>
      </c>
      <c r="G888" s="3" t="str">
        <f>IFERROR(__xludf.DUMMYFUNCTION("""COMPUTED_VALUE"""),"ช่วยเหลืองานภายใน วพอ.")</f>
        <v>ช่วยเหลืองานภายใน วพอ.</v>
      </c>
      <c r="H888" s="3" t="str">
        <f>IFERROR(__xludf.DUMMYFUNCTION("""COMPUTED_VALUE"""),"เล่นดุริยางค์")</f>
        <v>เล่นดุริยางค์</v>
      </c>
      <c r="I888" s="3" t="str">
        <f>IFERROR(__xludf.DUMMYFUNCTION("""COMPUTED_VALUE"""),"วพอ.พอ.")</f>
        <v>วพอ.พอ.</v>
      </c>
      <c r="J888" s="12">
        <f>IFERROR(__xludf.DUMMYFUNCTION("""COMPUTED_VALUE"""),46163.0)</f>
        <v>46163</v>
      </c>
      <c r="K888" s="3" t="str">
        <f>IFERROR(__xludf.DUMMYFUNCTION("""COMPUTED_VALUE"""),"0700-0800")</f>
        <v>0700-0800</v>
      </c>
      <c r="L888" s="3">
        <f>IFERROR(__xludf.DUMMYFUNCTION("""COMPUTED_VALUE"""),1.0)</f>
        <v>1</v>
      </c>
      <c r="M888" s="3" t="str">
        <f>IFERROR(__xludf.DUMMYFUNCTION("""COMPUTED_VALUE"""),"ร.อ.อนุชิต ทำจะดี")</f>
        <v>ร.อ.อนุชิต ทำจะดี</v>
      </c>
      <c r="N888" s="14" t="str">
        <f>IFERROR(__xludf.DUMMYFUNCTION("""COMPUTED_VALUE"""),"https://lh5.googleusercontent.com/d/18J0rChWx07pLmrarXEbx0aIAcrXzwH1Q")</f>
        <v>https://lh5.googleusercontent.com/d/18J0rChWx07pLmrarXEbx0aIAcrXzwH1Q</v>
      </c>
      <c r="O888" s="14" t="str">
        <f>IFERROR(__xludf.DUMMYFUNCTION("""COMPUTED_VALUE"""),"https://drive.google.com/file/d/1AFrxqXixKTZrpG10upgbaFdjAtFNTb_g/view?usp=drivesdk")</f>
        <v>https://drive.google.com/file/d/1AFrxqXixKTZrpG10upgbaFdjAtFNTb_g/view?usp=drivesdk</v>
      </c>
    </row>
    <row r="889">
      <c r="A889" s="3">
        <f>IFERROR(__xludf.DUMMYFUNCTION("""COMPUTED_VALUE"""),3037.0)</f>
        <v>3037</v>
      </c>
      <c r="B889" s="11">
        <f>IFERROR(__xludf.DUMMYFUNCTION("""COMPUTED_VALUE"""),46178.38988271991)</f>
        <v>46178.38988</v>
      </c>
      <c r="C889" s="3" t="str">
        <f>IFERROR(__xludf.DUMMYFUNCTION("""COMPUTED_VALUE"""),"ชั้นปีที่ 1")</f>
        <v>ชั้นปีที่ 1</v>
      </c>
      <c r="D889" s="3" t="str">
        <f>IFERROR(__xludf.DUMMYFUNCTION("""COMPUTED_VALUE"""),"6803889")</f>
        <v>6803889</v>
      </c>
      <c r="E889" s="3" t="str">
        <f>IFERROR(__xludf.DUMMYFUNCTION("""COMPUTED_VALUE"""),"8")</f>
        <v>8</v>
      </c>
      <c r="F889" s="3" t="str">
        <f>IFERROR(__xludf.DUMMYFUNCTION("""COMPUTED_VALUE"""),"นพอ.กุลิสรา ตุ่นคำ")</f>
        <v>นพอ.กุลิสรา ตุ่นคำ</v>
      </c>
      <c r="G889" s="3" t="str">
        <f>IFERROR(__xludf.DUMMYFUNCTION("""COMPUTED_VALUE"""),"ช่วยเหลืองานภายใน วพอ.")</f>
        <v>ช่วยเหลืองานภายใน วพอ.</v>
      </c>
      <c r="H889" s="3" t="str">
        <f>IFERROR(__xludf.DUMMYFUNCTION("""COMPUTED_VALUE"""),"ดุริยางค์")</f>
        <v>ดุริยางค์</v>
      </c>
      <c r="I889" s="3" t="str">
        <f>IFERROR(__xludf.DUMMYFUNCTION("""COMPUTED_VALUE"""),"วพอ.พอ.")</f>
        <v>วพอ.พอ.</v>
      </c>
      <c r="J889" s="12">
        <f>IFERROR(__xludf.DUMMYFUNCTION("""COMPUTED_VALUE"""),46035.0)</f>
        <v>46035</v>
      </c>
      <c r="K889" s="3" t="str">
        <f>IFERROR(__xludf.DUMMYFUNCTION("""COMPUTED_VALUE"""),"0730")</f>
        <v>0730</v>
      </c>
      <c r="L889" s="3">
        <f>IFERROR(__xludf.DUMMYFUNCTION("""COMPUTED_VALUE"""),1.0)</f>
        <v>1</v>
      </c>
      <c r="M889" s="3" t="str">
        <f>IFERROR(__xludf.DUMMYFUNCTION("""COMPUTED_VALUE"""),"ร.อ.อนุชิต ทำจะดี")</f>
        <v>ร.อ.อนุชิต ทำจะดี</v>
      </c>
      <c r="N889" s="14" t="str">
        <f>IFERROR(__xludf.DUMMYFUNCTION("""COMPUTED_VALUE"""),"https://lh5.googleusercontent.com/d/1BwX5TafTVC1sDooPFcJbRWZWGK6xrRcL")</f>
        <v>https://lh5.googleusercontent.com/d/1BwX5TafTVC1sDooPFcJbRWZWGK6xrRcL</v>
      </c>
      <c r="O889" s="14" t="str">
        <f>IFERROR(__xludf.DUMMYFUNCTION("""COMPUTED_VALUE"""),"https://drive.google.com/file/d/1-VtxU7gWdsMTPN3AOLdNmxNzhuXrkJij/view?usp=drivesdk")</f>
        <v>https://drive.google.com/file/d/1-VtxU7gWdsMTPN3AOLdNmxNzhuXrkJij/view?usp=drivesdk</v>
      </c>
    </row>
    <row r="890">
      <c r="A890" s="3">
        <f>IFERROR(__xludf.DUMMYFUNCTION("""COMPUTED_VALUE"""),3038.0)</f>
        <v>3038</v>
      </c>
      <c r="B890" s="11">
        <f>IFERROR(__xludf.DUMMYFUNCTION("""COMPUTED_VALUE"""),46178.392070381946)</f>
        <v>46178.39207</v>
      </c>
      <c r="C890" s="3" t="str">
        <f>IFERROR(__xludf.DUMMYFUNCTION("""COMPUTED_VALUE"""),"ชั้นปีที่ 1")</f>
        <v>ชั้นปีที่ 1</v>
      </c>
      <c r="D890" s="3" t="str">
        <f>IFERROR(__xludf.DUMMYFUNCTION("""COMPUTED_VALUE"""),"6803889")</f>
        <v>6803889</v>
      </c>
      <c r="E890" s="3" t="str">
        <f>IFERROR(__xludf.DUMMYFUNCTION("""COMPUTED_VALUE"""),"8")</f>
        <v>8</v>
      </c>
      <c r="F890" s="3" t="str">
        <f>IFERROR(__xludf.DUMMYFUNCTION("""COMPUTED_VALUE"""),"นพอ.กุลิสรา ตุ่นคำ")</f>
        <v>นพอ.กุลิสรา ตุ่นคำ</v>
      </c>
      <c r="G890" s="3" t="str">
        <f>IFERROR(__xludf.DUMMYFUNCTION("""COMPUTED_VALUE"""),"ช่วยเหลืองานภายใน วพอ.")</f>
        <v>ช่วยเหลืองานภายใน วพอ.</v>
      </c>
      <c r="H890" s="3" t="str">
        <f>IFERROR(__xludf.DUMMYFUNCTION("""COMPUTED_VALUE"""),"ดุริยางค์")</f>
        <v>ดุริยางค์</v>
      </c>
      <c r="I890" s="3" t="str">
        <f>IFERROR(__xludf.DUMMYFUNCTION("""COMPUTED_VALUE"""),"วพอ.พอ.")</f>
        <v>วพอ.พอ.</v>
      </c>
      <c r="J890" s="12">
        <f>IFERROR(__xludf.DUMMYFUNCTION("""COMPUTED_VALUE"""),46079.0)</f>
        <v>46079</v>
      </c>
      <c r="K890" s="3" t="str">
        <f>IFERROR(__xludf.DUMMYFUNCTION("""COMPUTED_VALUE"""),"0730")</f>
        <v>0730</v>
      </c>
      <c r="L890" s="3">
        <f>IFERROR(__xludf.DUMMYFUNCTION("""COMPUTED_VALUE"""),1.0)</f>
        <v>1</v>
      </c>
      <c r="M890" s="3" t="str">
        <f>IFERROR(__xludf.DUMMYFUNCTION("""COMPUTED_VALUE"""),"ร.อ.อนุชิต ทำจะดี")</f>
        <v>ร.อ.อนุชิต ทำจะดี</v>
      </c>
      <c r="N890" s="14" t="str">
        <f>IFERROR(__xludf.DUMMYFUNCTION("""COMPUTED_VALUE"""),"https://lh5.googleusercontent.com/d/1AhzLVrZUeCaS3y05wlS_hvfiI42DSgm0")</f>
        <v>https://lh5.googleusercontent.com/d/1AhzLVrZUeCaS3y05wlS_hvfiI42DSgm0</v>
      </c>
      <c r="O890" s="14" t="str">
        <f>IFERROR(__xludf.DUMMYFUNCTION("""COMPUTED_VALUE"""),"https://drive.google.com/file/d/1zpTiRRYIsXgUt6a8w3NbddeFIz9OX49V/view?usp=drivesdk")</f>
        <v>https://drive.google.com/file/d/1zpTiRRYIsXgUt6a8w3NbddeFIz9OX49V/view?usp=drivesdk</v>
      </c>
    </row>
    <row r="891">
      <c r="A891" s="3">
        <f>IFERROR(__xludf.DUMMYFUNCTION("""COMPUTED_VALUE"""),3039.0)</f>
        <v>3039</v>
      </c>
      <c r="B891" s="11">
        <f>IFERROR(__xludf.DUMMYFUNCTION("""COMPUTED_VALUE"""),46178.396264456016)</f>
        <v>46178.39626</v>
      </c>
      <c r="C891" s="3" t="str">
        <f>IFERROR(__xludf.DUMMYFUNCTION("""COMPUTED_VALUE"""),"ชั้นปีที่ 1")</f>
        <v>ชั้นปีที่ 1</v>
      </c>
      <c r="D891" s="3" t="str">
        <f>IFERROR(__xludf.DUMMYFUNCTION("""COMPUTED_VALUE"""),"6803889")</f>
        <v>6803889</v>
      </c>
      <c r="E891" s="3" t="str">
        <f>IFERROR(__xludf.DUMMYFUNCTION("""COMPUTED_VALUE"""),"8")</f>
        <v>8</v>
      </c>
      <c r="F891" s="3" t="str">
        <f>IFERROR(__xludf.DUMMYFUNCTION("""COMPUTED_VALUE"""),"นพอ.กุลิสรา ตุ่นคำ")</f>
        <v>นพอ.กุลิสรา ตุ่นคำ</v>
      </c>
      <c r="G891" s="3" t="str">
        <f>IFERROR(__xludf.DUMMYFUNCTION("""COMPUTED_VALUE"""),"ช่วยเหลืองานภายใน วพอ.")</f>
        <v>ช่วยเหลืองานภายใน วพอ.</v>
      </c>
      <c r="H891" s="3" t="str">
        <f>IFERROR(__xludf.DUMMYFUNCTION("""COMPUTED_VALUE"""),"ดุริยางค์")</f>
        <v>ดุริยางค์</v>
      </c>
      <c r="I891" s="3" t="str">
        <f>IFERROR(__xludf.DUMMYFUNCTION("""COMPUTED_VALUE"""),"วพอ.พอ.")</f>
        <v>วพอ.พอ.</v>
      </c>
      <c r="J891" s="12">
        <f>IFERROR(__xludf.DUMMYFUNCTION("""COMPUTED_VALUE"""),46057.0)</f>
        <v>46057</v>
      </c>
      <c r="K891" s="3" t="str">
        <f>IFERROR(__xludf.DUMMYFUNCTION("""COMPUTED_VALUE"""),"0730")</f>
        <v>0730</v>
      </c>
      <c r="L891" s="3">
        <f>IFERROR(__xludf.DUMMYFUNCTION("""COMPUTED_VALUE"""),1.0)</f>
        <v>1</v>
      </c>
      <c r="M891" s="3" t="str">
        <f>IFERROR(__xludf.DUMMYFUNCTION("""COMPUTED_VALUE"""),"ร.อ.อนุชิต ทำจะดี")</f>
        <v>ร.อ.อนุชิต ทำจะดี</v>
      </c>
      <c r="N891" s="14" t="str">
        <f>IFERROR(__xludf.DUMMYFUNCTION("""COMPUTED_VALUE"""),"https://lh5.googleusercontent.com/d/1oQ57YaJOgKJkEjyCCVSip-eoimFmFO68")</f>
        <v>https://lh5.googleusercontent.com/d/1oQ57YaJOgKJkEjyCCVSip-eoimFmFO68</v>
      </c>
      <c r="O891" s="14" t="str">
        <f>IFERROR(__xludf.DUMMYFUNCTION("""COMPUTED_VALUE"""),"https://drive.google.com/file/d/1aChhzDNcFFovNDopMIZPbTDbaSufFfP9/view?usp=drivesdk")</f>
        <v>https://drive.google.com/file/d/1aChhzDNcFFovNDopMIZPbTDbaSufFfP9/view?usp=drivesdk</v>
      </c>
    </row>
    <row r="892">
      <c r="A892" s="3">
        <f>IFERROR(__xludf.DUMMYFUNCTION("""COMPUTED_VALUE"""),3040.0)</f>
        <v>3040</v>
      </c>
      <c r="B892" s="11">
        <f>IFERROR(__xludf.DUMMYFUNCTION("""COMPUTED_VALUE"""),46178.39784553241)</f>
        <v>46178.39785</v>
      </c>
      <c r="C892" s="3" t="str">
        <f>IFERROR(__xludf.DUMMYFUNCTION("""COMPUTED_VALUE"""),"ชั้นปีที่ 1")</f>
        <v>ชั้นปีที่ 1</v>
      </c>
      <c r="D892" s="3" t="str">
        <f>IFERROR(__xludf.DUMMYFUNCTION("""COMPUTED_VALUE"""),"6803889")</f>
        <v>6803889</v>
      </c>
      <c r="E892" s="3" t="str">
        <f>IFERROR(__xludf.DUMMYFUNCTION("""COMPUTED_VALUE"""),"8")</f>
        <v>8</v>
      </c>
      <c r="F892" s="3" t="str">
        <f>IFERROR(__xludf.DUMMYFUNCTION("""COMPUTED_VALUE"""),"นพอ.กุลิสรา ตุ่นคำ")</f>
        <v>นพอ.กุลิสรา ตุ่นคำ</v>
      </c>
      <c r="G892" s="3" t="str">
        <f>IFERROR(__xludf.DUMMYFUNCTION("""COMPUTED_VALUE"""),"ช่วยเหลืองานภายใน วพอ.")</f>
        <v>ช่วยเหลืองานภายใน วพอ.</v>
      </c>
      <c r="H892" s="3" t="str">
        <f>IFERROR(__xludf.DUMMYFUNCTION("""COMPUTED_VALUE"""),"ดุริยางค์")</f>
        <v>ดุริยางค์</v>
      </c>
      <c r="I892" s="3" t="str">
        <f>IFERROR(__xludf.DUMMYFUNCTION("""COMPUTED_VALUE"""),"วพอ.พอ.")</f>
        <v>วพอ.พอ.</v>
      </c>
      <c r="J892" s="12">
        <f>IFERROR(__xludf.DUMMYFUNCTION("""COMPUTED_VALUE"""),46111.0)</f>
        <v>46111</v>
      </c>
      <c r="K892" s="3" t="str">
        <f>IFERROR(__xludf.DUMMYFUNCTION("""COMPUTED_VALUE"""),"0730")</f>
        <v>0730</v>
      </c>
      <c r="L892" s="3">
        <f>IFERROR(__xludf.DUMMYFUNCTION("""COMPUTED_VALUE"""),1.0)</f>
        <v>1</v>
      </c>
      <c r="M892" s="3" t="str">
        <f>IFERROR(__xludf.DUMMYFUNCTION("""COMPUTED_VALUE"""),"ร.อ.อนุชิต ทำจะดี")</f>
        <v>ร.อ.อนุชิต ทำจะดี</v>
      </c>
      <c r="N892" s="14" t="str">
        <f>IFERROR(__xludf.DUMMYFUNCTION("""COMPUTED_VALUE"""),"https://lh5.googleusercontent.com/d/1m5EWQpsePH5vNzX0wj8DGzXIGfSA56jm")</f>
        <v>https://lh5.googleusercontent.com/d/1m5EWQpsePH5vNzX0wj8DGzXIGfSA56jm</v>
      </c>
      <c r="O892" s="14" t="str">
        <f>IFERROR(__xludf.DUMMYFUNCTION("""COMPUTED_VALUE"""),"https://drive.google.com/file/d/1aPxicEO05eAbdLBqXjGI3OdBz5yXWPor/view?usp=drivesdk")</f>
        <v>https://drive.google.com/file/d/1aPxicEO05eAbdLBqXjGI3OdBz5yXWPor/view?usp=drivesdk</v>
      </c>
    </row>
    <row r="893">
      <c r="A893" s="3">
        <f>IFERROR(__xludf.DUMMYFUNCTION("""COMPUTED_VALUE"""),3049.0)</f>
        <v>3049</v>
      </c>
      <c r="B893" s="11">
        <f>IFERROR(__xludf.DUMMYFUNCTION("""COMPUTED_VALUE"""),46178.407599907405)</f>
        <v>46178.4076</v>
      </c>
      <c r="C893" s="3" t="str">
        <f>IFERROR(__xludf.DUMMYFUNCTION("""COMPUTED_VALUE"""),"ชั้นปีที่ 1")</f>
        <v>ชั้นปีที่ 1</v>
      </c>
      <c r="D893" s="3" t="str">
        <f>IFERROR(__xludf.DUMMYFUNCTION("""COMPUTED_VALUE"""),"6803889")</f>
        <v>6803889</v>
      </c>
      <c r="E893" s="3" t="str">
        <f>IFERROR(__xludf.DUMMYFUNCTION("""COMPUTED_VALUE"""),"8")</f>
        <v>8</v>
      </c>
      <c r="F893" s="3" t="str">
        <f>IFERROR(__xludf.DUMMYFUNCTION("""COMPUTED_VALUE"""),"นพอ.กุลิสรา ตุ่นคำ")</f>
        <v>นพอ.กุลิสรา ตุ่นคำ</v>
      </c>
      <c r="G893" s="3" t="str">
        <f>IFERROR(__xludf.DUMMYFUNCTION("""COMPUTED_VALUE"""),"ช่วยเหลืองานภายใน วพอ.")</f>
        <v>ช่วยเหลืองานภายใน วพอ.</v>
      </c>
      <c r="H893" s="3" t="str">
        <f>IFERROR(__xludf.DUMMYFUNCTION("""COMPUTED_VALUE"""),"ดุริยางค์")</f>
        <v>ดุริยางค์</v>
      </c>
      <c r="I893" s="3" t="str">
        <f>IFERROR(__xludf.DUMMYFUNCTION("""COMPUTED_VALUE"""),"วพอ.พอ.")</f>
        <v>วพอ.พอ.</v>
      </c>
      <c r="J893" s="12">
        <f>IFERROR(__xludf.DUMMYFUNCTION("""COMPUTED_VALUE"""),46106.0)</f>
        <v>46106</v>
      </c>
      <c r="K893" s="3" t="str">
        <f>IFERROR(__xludf.DUMMYFUNCTION("""COMPUTED_VALUE"""),"0730")</f>
        <v>0730</v>
      </c>
      <c r="L893" s="3">
        <f>IFERROR(__xludf.DUMMYFUNCTION("""COMPUTED_VALUE"""),1.0)</f>
        <v>1</v>
      </c>
      <c r="M893" s="3" t="str">
        <f>IFERROR(__xludf.DUMMYFUNCTION("""COMPUTED_VALUE"""),"ร.อ.อนุชิต ทำจะดี")</f>
        <v>ร.อ.อนุชิต ทำจะดี</v>
      </c>
      <c r="N893" s="14" t="str">
        <f>IFERROR(__xludf.DUMMYFUNCTION("""COMPUTED_VALUE"""),"https://lh5.googleusercontent.com/d/1B0AEVeXb3K1P-2BIpWf0Z7cvDHj9IguN")</f>
        <v>https://lh5.googleusercontent.com/d/1B0AEVeXb3K1P-2BIpWf0Z7cvDHj9IguN</v>
      </c>
      <c r="O893" s="14" t="str">
        <f>IFERROR(__xludf.DUMMYFUNCTION("""COMPUTED_VALUE"""),"https://drive.google.com/file/d/1ITSm_Mqh5EwVoscrwUkHpbdj2zy3nhPP/view?usp=drivesdk")</f>
        <v>https://drive.google.com/file/d/1ITSm_Mqh5EwVoscrwUkHpbdj2zy3nhPP/view?usp=drivesdk</v>
      </c>
    </row>
    <row r="894">
      <c r="A894" s="3">
        <f>IFERROR(__xludf.DUMMYFUNCTION("""COMPUTED_VALUE"""),3050.0)</f>
        <v>3050</v>
      </c>
      <c r="B894" s="11">
        <f>IFERROR(__xludf.DUMMYFUNCTION("""COMPUTED_VALUE"""),46178.41100315972)</f>
        <v>46178.411</v>
      </c>
      <c r="C894" s="3" t="str">
        <f>IFERROR(__xludf.DUMMYFUNCTION("""COMPUTED_VALUE"""),"ชั้นปีที่ 1")</f>
        <v>ชั้นปีที่ 1</v>
      </c>
      <c r="D894" s="3" t="str">
        <f>IFERROR(__xludf.DUMMYFUNCTION("""COMPUTED_VALUE"""),"6803889")</f>
        <v>6803889</v>
      </c>
      <c r="E894" s="3" t="str">
        <f>IFERROR(__xludf.DUMMYFUNCTION("""COMPUTED_VALUE"""),"8")</f>
        <v>8</v>
      </c>
      <c r="F894" s="3" t="str">
        <f>IFERROR(__xludf.DUMMYFUNCTION("""COMPUTED_VALUE"""),"นพอ.กุลิสรา ตุ่นคำ")</f>
        <v>นพอ.กุลิสรา ตุ่นคำ</v>
      </c>
      <c r="G894" s="3" t="str">
        <f>IFERROR(__xludf.DUMMYFUNCTION("""COMPUTED_VALUE"""),"ช่วยเหลืองานภายใน วพอ.")</f>
        <v>ช่วยเหลืองานภายใน วพอ.</v>
      </c>
      <c r="H894" s="3" t="str">
        <f>IFERROR(__xludf.DUMMYFUNCTION("""COMPUTED_VALUE"""),"ดุริยางค์")</f>
        <v>ดุริยางค์</v>
      </c>
      <c r="I894" s="3" t="str">
        <f>IFERROR(__xludf.DUMMYFUNCTION("""COMPUTED_VALUE"""),"วพอ.พอ.")</f>
        <v>วพอ.พอ.</v>
      </c>
      <c r="J894" s="12">
        <f>IFERROR(__xludf.DUMMYFUNCTION("""COMPUTED_VALUE"""),46128.0)</f>
        <v>46128</v>
      </c>
      <c r="K894" s="3" t="str">
        <f>IFERROR(__xludf.DUMMYFUNCTION("""COMPUTED_VALUE"""),"0730")</f>
        <v>0730</v>
      </c>
      <c r="L894" s="3">
        <f>IFERROR(__xludf.DUMMYFUNCTION("""COMPUTED_VALUE"""),1.0)</f>
        <v>1</v>
      </c>
      <c r="M894" s="3" t="str">
        <f>IFERROR(__xludf.DUMMYFUNCTION("""COMPUTED_VALUE"""),"ร.อ.อนุชิต ทำจะดี")</f>
        <v>ร.อ.อนุชิต ทำจะดี</v>
      </c>
      <c r="N894" s="14" t="str">
        <f>IFERROR(__xludf.DUMMYFUNCTION("""COMPUTED_VALUE"""),"https://lh5.googleusercontent.com/d/1n11dC_cnYGjbSHxMfQUvgsBdeQcVXiEY")</f>
        <v>https://lh5.googleusercontent.com/d/1n11dC_cnYGjbSHxMfQUvgsBdeQcVXiEY</v>
      </c>
      <c r="O894" s="14" t="str">
        <f>IFERROR(__xludf.DUMMYFUNCTION("""COMPUTED_VALUE"""),"https://drive.google.com/file/d/1pKsxYjKYb8wKSS948TEqlxytfISV1wrq/view?usp=drivesdk")</f>
        <v>https://drive.google.com/file/d/1pKsxYjKYb8wKSS948TEqlxytfISV1wrq/view?usp=drivesdk</v>
      </c>
    </row>
    <row r="895">
      <c r="A895" s="3">
        <f>IFERROR(__xludf.DUMMYFUNCTION("""COMPUTED_VALUE"""),3053.0)</f>
        <v>3053</v>
      </c>
      <c r="B895" s="11">
        <f>IFERROR(__xludf.DUMMYFUNCTION("""COMPUTED_VALUE"""),46178.417301134265)</f>
        <v>46178.4173</v>
      </c>
      <c r="C895" s="3" t="str">
        <f>IFERROR(__xludf.DUMMYFUNCTION("""COMPUTED_VALUE"""),"ชั้นปีที่ 1")</f>
        <v>ชั้นปีที่ 1</v>
      </c>
      <c r="D895" s="3" t="str">
        <f>IFERROR(__xludf.DUMMYFUNCTION("""COMPUTED_VALUE"""),"6803889")</f>
        <v>6803889</v>
      </c>
      <c r="E895" s="3" t="str">
        <f>IFERROR(__xludf.DUMMYFUNCTION("""COMPUTED_VALUE"""),"8")</f>
        <v>8</v>
      </c>
      <c r="F895" s="3" t="str">
        <f>IFERROR(__xludf.DUMMYFUNCTION("""COMPUTED_VALUE"""),"นพอ.กุลิสรา ตุ่นคำ")</f>
        <v>นพอ.กุลิสรา ตุ่นคำ</v>
      </c>
      <c r="G895" s="3" t="str">
        <f>IFERROR(__xludf.DUMMYFUNCTION("""COMPUTED_VALUE"""),"ช่วยเหลืองานภายใน วพอ.")</f>
        <v>ช่วยเหลืองานภายใน วพอ.</v>
      </c>
      <c r="H895" s="3" t="str">
        <f>IFERROR(__xludf.DUMMYFUNCTION("""COMPUTED_VALUE"""),"ดุริยางค์")</f>
        <v>ดุริยางค์</v>
      </c>
      <c r="I895" s="3" t="str">
        <f>IFERROR(__xludf.DUMMYFUNCTION("""COMPUTED_VALUE"""),"วพอ.พอ.")</f>
        <v>วพอ.พอ.</v>
      </c>
      <c r="J895" s="12">
        <f>IFERROR(__xludf.DUMMYFUNCTION("""COMPUTED_VALUE"""),46107.0)</f>
        <v>46107</v>
      </c>
      <c r="K895" s="3" t="str">
        <f>IFERROR(__xludf.DUMMYFUNCTION("""COMPUTED_VALUE"""),"0730")</f>
        <v>0730</v>
      </c>
      <c r="L895" s="3">
        <f>IFERROR(__xludf.DUMMYFUNCTION("""COMPUTED_VALUE"""),1.0)</f>
        <v>1</v>
      </c>
      <c r="M895" s="3" t="str">
        <f>IFERROR(__xludf.DUMMYFUNCTION("""COMPUTED_VALUE"""),"ร.อ.อนุชิต ทำจะดี")</f>
        <v>ร.อ.อนุชิต ทำจะดี</v>
      </c>
      <c r="N895" s="14" t="str">
        <f>IFERROR(__xludf.DUMMYFUNCTION("""COMPUTED_VALUE"""),"https://lh5.googleusercontent.com/d/1Ko0DmmalWYRurYxRUNN90r8o7VIkll5i")</f>
        <v>https://lh5.googleusercontent.com/d/1Ko0DmmalWYRurYxRUNN90r8o7VIkll5i</v>
      </c>
      <c r="O895" s="14" t="str">
        <f>IFERROR(__xludf.DUMMYFUNCTION("""COMPUTED_VALUE"""),"https://drive.google.com/file/d/1gG90QksiM03riiKPww0jeNCR0efGGWuU/view?usp=drivesdk")</f>
        <v>https://drive.google.com/file/d/1gG90QksiM03riiKPww0jeNCR0efGGWuU/view?usp=drivesdk</v>
      </c>
    </row>
    <row r="896">
      <c r="A896" s="3">
        <f>IFERROR(__xludf.DUMMYFUNCTION("""COMPUTED_VALUE"""),3064.0)</f>
        <v>3064</v>
      </c>
      <c r="B896" s="11">
        <f>IFERROR(__xludf.DUMMYFUNCTION("""COMPUTED_VALUE"""),46178.428304166664)</f>
        <v>46178.4283</v>
      </c>
      <c r="C896" s="3" t="str">
        <f>IFERROR(__xludf.DUMMYFUNCTION("""COMPUTED_VALUE"""),"ชั้นปีที่ 1")</f>
        <v>ชั้นปีที่ 1</v>
      </c>
      <c r="D896" s="3" t="str">
        <f>IFERROR(__xludf.DUMMYFUNCTION("""COMPUTED_VALUE"""),"6803945")</f>
        <v>6803945</v>
      </c>
      <c r="E896" s="3" t="str">
        <f>IFERROR(__xludf.DUMMYFUNCTION("""COMPUTED_VALUE"""),"64")</f>
        <v>64</v>
      </c>
      <c r="F896" s="3" t="str">
        <f>IFERROR(__xludf.DUMMYFUNCTION("""COMPUTED_VALUE"""),"นพอ.ไอลดา ศาลากิจ")</f>
        <v>นพอ.ไอลดา ศาลากิจ</v>
      </c>
      <c r="G896" s="3" t="str">
        <f>IFERROR(__xludf.DUMMYFUNCTION("""COMPUTED_VALUE"""),"ช่วยเหลืองานภายใน วพอ.")</f>
        <v>ช่วยเหลืองานภายใน วพอ.</v>
      </c>
      <c r="H896" s="3" t="str">
        <f>IFERROR(__xludf.DUMMYFUNCTION("""COMPUTED_VALUE"""),"เก็บหินข้างรั้วหอพัก")</f>
        <v>เก็บหินข้างรั้วหอพัก</v>
      </c>
      <c r="I896" s="3" t="str">
        <f>IFERROR(__xludf.DUMMYFUNCTION("""COMPUTED_VALUE"""),"ข้างรั้วหอพักนพอ.")</f>
        <v>ข้างรั้วหอพักนพอ.</v>
      </c>
      <c r="J896" s="12">
        <f>IFERROR(__xludf.DUMMYFUNCTION("""COMPUTED_VALUE"""),46177.0)</f>
        <v>46177</v>
      </c>
      <c r="K896" s="3" t="str">
        <f>IFERROR(__xludf.DUMMYFUNCTION("""COMPUTED_VALUE"""),"1530")</f>
        <v>1530</v>
      </c>
      <c r="L896" s="3">
        <f>IFERROR(__xludf.DUMMYFUNCTION("""COMPUTED_VALUE"""),2.0)</f>
        <v>2</v>
      </c>
      <c r="M896" s="3" t="str">
        <f>IFERROR(__xludf.DUMMYFUNCTION("""COMPUTED_VALUE"""),"น.อ.หญิงนิตยา สุขแสน")</f>
        <v>น.อ.หญิงนิตยา สุขแสน</v>
      </c>
      <c r="N896" s="14" t="str">
        <f>IFERROR(__xludf.DUMMYFUNCTION("""COMPUTED_VALUE"""),"https://lh5.googleusercontent.com/d/1xnoRDgvd-iPbf9Cvrdfs-j4oYuoPahwE")</f>
        <v>https://lh5.googleusercontent.com/d/1xnoRDgvd-iPbf9Cvrdfs-j4oYuoPahwE</v>
      </c>
      <c r="O896" s="14" t="str">
        <f>IFERROR(__xludf.DUMMYFUNCTION("""COMPUTED_VALUE"""),"https://drive.google.com/file/d/1ycGFXKffXx_pJ9P2Yj2FETE3guvdLRGR/view?usp=drivesdk")</f>
        <v>https://drive.google.com/file/d/1ycGFXKffXx_pJ9P2Yj2FETE3guvdLRGR/view?usp=drivesdk</v>
      </c>
    </row>
    <row r="897">
      <c r="A897" s="3">
        <f>IFERROR(__xludf.DUMMYFUNCTION("""COMPUTED_VALUE"""),3076.0)</f>
        <v>3076</v>
      </c>
      <c r="B897" s="11">
        <f>IFERROR(__xludf.DUMMYFUNCTION("""COMPUTED_VALUE"""),46178.43582269676)</f>
        <v>46178.43582</v>
      </c>
      <c r="C897" s="3" t="str">
        <f>IFERROR(__xludf.DUMMYFUNCTION("""COMPUTED_VALUE"""),"ชั้นปีที่ 1")</f>
        <v>ชั้นปีที่ 1</v>
      </c>
      <c r="D897" s="3" t="str">
        <f>IFERROR(__xludf.DUMMYFUNCTION("""COMPUTED_VALUE"""),"6803938")</f>
        <v>6803938</v>
      </c>
      <c r="E897" s="3" t="str">
        <f>IFERROR(__xludf.DUMMYFUNCTION("""COMPUTED_VALUE"""),"57")</f>
        <v>57</v>
      </c>
      <c r="F897" s="3" t="str">
        <f>IFERROR(__xludf.DUMMYFUNCTION("""COMPUTED_VALUE"""),"นพอ.สุพิชชา เชื้อชาติ")</f>
        <v>นพอ.สุพิชชา เชื้อชาติ</v>
      </c>
      <c r="G897" s="3" t="str">
        <f>IFERROR(__xludf.DUMMYFUNCTION("""COMPUTED_VALUE"""),"ช่วยเหลืองานภายใน วพอ.")</f>
        <v>ช่วยเหลืองานภายใน วพอ.</v>
      </c>
      <c r="H897" s="3" t="str">
        <f>IFERROR(__xludf.DUMMYFUNCTION("""COMPUTED_VALUE"""),"เก็บสถานที่คัดเลือกนพอ.69")</f>
        <v>เก็บสถานที่คัดเลือกนพอ.69</v>
      </c>
      <c r="I897" s="3" t="str">
        <f>IFERROR(__xludf.DUMMYFUNCTION("""COMPUTED_VALUE"""),"วพอ.พอ")</f>
        <v>วพอ.พอ</v>
      </c>
      <c r="J897" s="12">
        <f>IFERROR(__xludf.DUMMYFUNCTION("""COMPUTED_VALUE"""),46147.0)</f>
        <v>46147</v>
      </c>
      <c r="K897" s="3" t="str">
        <f>IFERROR(__xludf.DUMMYFUNCTION("""COMPUTED_VALUE"""),"1500-1800")</f>
        <v>1500-1800</v>
      </c>
      <c r="L897" s="3">
        <f>IFERROR(__xludf.DUMMYFUNCTION("""COMPUTED_VALUE"""),3.0)</f>
        <v>3</v>
      </c>
      <c r="M897" s="3" t="str">
        <f>IFERROR(__xludf.DUMMYFUNCTION("""COMPUTED_VALUE"""),"น.ต.ศักชัย บุญประสิทธิ์")</f>
        <v>น.ต.ศักชัย บุญประสิทธิ์</v>
      </c>
      <c r="N897" s="14" t="str">
        <f>IFERROR(__xludf.DUMMYFUNCTION("""COMPUTED_VALUE"""),"https://lh5.googleusercontent.com/d/1F4eCATr7Oy4Hnmvzv1m8e0Wc2lPSx7le")</f>
        <v>https://lh5.googleusercontent.com/d/1F4eCATr7Oy4Hnmvzv1m8e0Wc2lPSx7le</v>
      </c>
      <c r="O897" s="14" t="str">
        <f>IFERROR(__xludf.DUMMYFUNCTION("""COMPUTED_VALUE"""),"https://drive.google.com/file/d/1vsgb_BLiqjWGlabGDEcJNrCosUwxVie8/view?usp=drivesdk")</f>
        <v>https://drive.google.com/file/d/1vsgb_BLiqjWGlabGDEcJNrCosUwxVie8/view?usp=drivesdk</v>
      </c>
    </row>
    <row r="898">
      <c r="A898" s="3">
        <f>IFERROR(__xludf.DUMMYFUNCTION("""COMPUTED_VALUE"""),3078.0)</f>
        <v>3078</v>
      </c>
      <c r="B898" s="11">
        <f>IFERROR(__xludf.DUMMYFUNCTION("""COMPUTED_VALUE"""),46178.436336817125)</f>
        <v>46178.43634</v>
      </c>
      <c r="C898" s="3" t="str">
        <f>IFERROR(__xludf.DUMMYFUNCTION("""COMPUTED_VALUE"""),"ชั้นปีที่ 1")</f>
        <v>ชั้นปีที่ 1</v>
      </c>
      <c r="D898" s="3" t="str">
        <f>IFERROR(__xludf.DUMMYFUNCTION("""COMPUTED_VALUE"""),"6803944")</f>
        <v>6803944</v>
      </c>
      <c r="E898" s="3" t="str">
        <f>IFERROR(__xludf.DUMMYFUNCTION("""COMPUTED_VALUE"""),"63")</f>
        <v>63</v>
      </c>
      <c r="F898" s="3" t="str">
        <f>IFERROR(__xludf.DUMMYFUNCTION("""COMPUTED_VALUE"""),"นพอ.อริสา หฤทัยบริรักษ์")</f>
        <v>นพอ.อริสา หฤทัยบริรักษ์</v>
      </c>
      <c r="G898" s="3" t="str">
        <f>IFERROR(__xludf.DUMMYFUNCTION("""COMPUTED_VALUE"""),"ทำนุบำรุงศาสนสถาน")</f>
        <v>ทำนุบำรุงศาสนสถาน</v>
      </c>
      <c r="H898" s="3" t="str">
        <f>IFERROR(__xludf.DUMMYFUNCTION("""COMPUTED_VALUE"""),"ทำบุญ")</f>
        <v>ทำบุญ</v>
      </c>
      <c r="I898" s="3" t="str">
        <f>IFERROR(__xludf.DUMMYFUNCTION("""COMPUTED_VALUE"""),"วัดไร่ขิง")</f>
        <v>วัดไร่ขิง</v>
      </c>
      <c r="J898" s="12">
        <f>IFERROR(__xludf.DUMMYFUNCTION("""COMPUTED_VALUE"""),46061.0)</f>
        <v>46061</v>
      </c>
      <c r="K898" s="3" t="str">
        <f>IFERROR(__xludf.DUMMYFUNCTION("""COMPUTED_VALUE"""),"1000-1200")</f>
        <v>1000-1200</v>
      </c>
      <c r="L898" s="3">
        <f>IFERROR(__xludf.DUMMYFUNCTION("""COMPUTED_VALUE"""),2.0)</f>
        <v>2</v>
      </c>
      <c r="M898" s="3" t="str">
        <f>IFERROR(__xludf.DUMMYFUNCTION("""COMPUTED_VALUE"""),"นายสุรัตน์ หฤทัยบริรักษ์")</f>
        <v>นายสุรัตน์ หฤทัยบริรักษ์</v>
      </c>
      <c r="N898" s="14" t="str">
        <f>IFERROR(__xludf.DUMMYFUNCTION("""COMPUTED_VALUE"""),"https://lh5.googleusercontent.com/d/144y37QnPlfb3xSdAOz5ERqyiMN1_7D2G")</f>
        <v>https://lh5.googleusercontent.com/d/144y37QnPlfb3xSdAOz5ERqyiMN1_7D2G</v>
      </c>
      <c r="O898" s="14" t="str">
        <f>IFERROR(__xludf.DUMMYFUNCTION("""COMPUTED_VALUE"""),"https://drive.google.com/file/d/1y3CgQV2sp2O6yiu9XQg7vA_6hxHz6F6E/view?usp=drivesdk")</f>
        <v>https://drive.google.com/file/d/1y3CgQV2sp2O6yiu9XQg7vA_6hxHz6F6E/view?usp=drivesdk</v>
      </c>
    </row>
    <row r="899">
      <c r="A899" s="3">
        <f>IFERROR(__xludf.DUMMYFUNCTION("""COMPUTED_VALUE"""),3080.0)</f>
        <v>3080</v>
      </c>
      <c r="B899" s="11">
        <f>IFERROR(__xludf.DUMMYFUNCTION("""COMPUTED_VALUE"""),46178.43787450231)</f>
        <v>46178.43787</v>
      </c>
      <c r="C899" s="3" t="str">
        <f>IFERROR(__xludf.DUMMYFUNCTION("""COMPUTED_VALUE"""),"ชั้นปีที่ 1")</f>
        <v>ชั้นปีที่ 1</v>
      </c>
      <c r="D899" s="3" t="str">
        <f>IFERROR(__xludf.DUMMYFUNCTION("""COMPUTED_VALUE"""),"6803944")</f>
        <v>6803944</v>
      </c>
      <c r="E899" s="3" t="str">
        <f>IFERROR(__xludf.DUMMYFUNCTION("""COMPUTED_VALUE"""),"63")</f>
        <v>63</v>
      </c>
      <c r="F899" s="3" t="str">
        <f>IFERROR(__xludf.DUMMYFUNCTION("""COMPUTED_VALUE"""),"นพอ.อริสา หฤทัยบริรักษ์")</f>
        <v>นพอ.อริสา หฤทัยบริรักษ์</v>
      </c>
      <c r="G899" s="3" t="str">
        <f>IFERROR(__xludf.DUMMYFUNCTION("""COMPUTED_VALUE"""),"ช่วยงานหน่วยงานชุมชน หรือมูลนิธิ")</f>
        <v>ช่วยงานหน่วยงานชุมชน หรือมูลนิธิ</v>
      </c>
      <c r="H899" s="3" t="str">
        <f>IFERROR(__xludf.DUMMYFUNCTION("""COMPUTED_VALUE"""),"ประชาสัมพันธ์งานเทศกาลเที่ยวไทย")</f>
        <v>ประชาสัมพันธ์งานเทศกาลเที่ยวไทย</v>
      </c>
      <c r="I899" s="3" t="str">
        <f>IFERROR(__xludf.DUMMYFUNCTION("""COMPUTED_VALUE"""),"หอประชุมแห่งชาติสิริกิต์")</f>
        <v>หอประชุมแห่งชาติสิริกิต์</v>
      </c>
      <c r="J899" s="12">
        <f>IFERROR(__xludf.DUMMYFUNCTION("""COMPUTED_VALUE"""),46095.0)</f>
        <v>46095</v>
      </c>
      <c r="K899" s="3" t="str">
        <f>IFERROR(__xludf.DUMMYFUNCTION("""COMPUTED_VALUE"""),"0800-1200")</f>
        <v>0800-1200</v>
      </c>
      <c r="L899" s="3">
        <f>IFERROR(__xludf.DUMMYFUNCTION("""COMPUTED_VALUE"""),4.0)</f>
        <v>4</v>
      </c>
      <c r="M899" s="3" t="str">
        <f>IFERROR(__xludf.DUMMYFUNCTION("""COMPUTED_VALUE"""),"นายกิตติศักดิ์ เตียวตระกูล")</f>
        <v>นายกิตติศักดิ์ เตียวตระกูล</v>
      </c>
      <c r="N899" s="14" t="str">
        <f>IFERROR(__xludf.DUMMYFUNCTION("""COMPUTED_VALUE"""),"https://lh5.googleusercontent.com/d/1uDFsCso-rr41gE1GPLEtx3BzdOjILQy8")</f>
        <v>https://lh5.googleusercontent.com/d/1uDFsCso-rr41gE1GPLEtx3BzdOjILQy8</v>
      </c>
      <c r="O899" s="14" t="str">
        <f>IFERROR(__xludf.DUMMYFUNCTION("""COMPUTED_VALUE"""),"https://drive.google.com/file/d/1oxgQEHdYjVKW1vbIMXsTFsnMdfTXVgoR/view?usp=drivesdk")</f>
        <v>https://drive.google.com/file/d/1oxgQEHdYjVKW1vbIMXsTFsnMdfTXVgoR/view?usp=drivesdk</v>
      </c>
    </row>
    <row r="900">
      <c r="A900" s="3">
        <f>IFERROR(__xludf.DUMMYFUNCTION("""COMPUTED_VALUE"""),3082.0)</f>
        <v>3082</v>
      </c>
      <c r="B900" s="11">
        <f>IFERROR(__xludf.DUMMYFUNCTION("""COMPUTED_VALUE"""),46178.438871527775)</f>
        <v>46178.43887</v>
      </c>
      <c r="C900" s="3" t="str">
        <f>IFERROR(__xludf.DUMMYFUNCTION("""COMPUTED_VALUE"""),"ชั้นปีที่ 1")</f>
        <v>ชั้นปีที่ 1</v>
      </c>
      <c r="D900" s="3" t="str">
        <f>IFERROR(__xludf.DUMMYFUNCTION("""COMPUTED_VALUE"""),"6803938")</f>
        <v>6803938</v>
      </c>
      <c r="E900" s="3" t="str">
        <f>IFERROR(__xludf.DUMMYFUNCTION("""COMPUTED_VALUE"""),"57")</f>
        <v>57</v>
      </c>
      <c r="F900" s="3" t="str">
        <f>IFERROR(__xludf.DUMMYFUNCTION("""COMPUTED_VALUE"""),"นพอ.สุพิชชา เชื้อชาติ")</f>
        <v>นพอ.สุพิชชา เชื้อชาติ</v>
      </c>
      <c r="G900" s="3" t="str">
        <f>IFERROR(__xludf.DUMMYFUNCTION("""COMPUTED_VALUE"""),"ช่วยเหลืองานภายใน วพอ.")</f>
        <v>ช่วยเหลืองานภายใน วพอ.</v>
      </c>
      <c r="H900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900" s="3" t="str">
        <f>IFERROR(__xludf.DUMMYFUNCTION("""COMPUTED_VALUE"""),"วพอ.พอ.")</f>
        <v>วพอ.พอ.</v>
      </c>
      <c r="J900" s="12">
        <f>IFERROR(__xludf.DUMMYFUNCTION("""COMPUTED_VALUE"""),46164.0)</f>
        <v>46164</v>
      </c>
      <c r="K900" s="3" t="str">
        <f>IFERROR(__xludf.DUMMYFUNCTION("""COMPUTED_VALUE"""),"1500-1700")</f>
        <v>1500-1700</v>
      </c>
      <c r="L900" s="3">
        <f>IFERROR(__xludf.DUMMYFUNCTION("""COMPUTED_VALUE"""),2.0)</f>
        <v>2</v>
      </c>
      <c r="M900" s="3" t="str">
        <f>IFERROR(__xludf.DUMMYFUNCTION("""COMPUTED_VALUE"""),"น.อ.หญิง นิตยา สุขแสน")</f>
        <v>น.อ.หญิง นิตยา สุขแสน</v>
      </c>
      <c r="N900" s="14" t="str">
        <f>IFERROR(__xludf.DUMMYFUNCTION("""COMPUTED_VALUE"""),"https://lh5.googleusercontent.com/d/1K-hdUdGRJHocgAGt_7FYxw816tHyC3z-")</f>
        <v>https://lh5.googleusercontent.com/d/1K-hdUdGRJHocgAGt_7FYxw816tHyC3z-</v>
      </c>
      <c r="O900" s="14" t="str">
        <f>IFERROR(__xludf.DUMMYFUNCTION("""COMPUTED_VALUE"""),"https://drive.google.com/file/d/1Uv_9yKiGdcR4e8S2TT20F0fDacja5n1Q/view?usp=drivesdk")</f>
        <v>https://drive.google.com/file/d/1Uv_9yKiGdcR4e8S2TT20F0fDacja5n1Q/view?usp=drivesdk</v>
      </c>
    </row>
    <row r="901">
      <c r="A901" s="3">
        <f>IFERROR(__xludf.DUMMYFUNCTION("""COMPUTED_VALUE"""),3092.0)</f>
        <v>3092</v>
      </c>
      <c r="B901" s="11">
        <f>IFERROR(__xludf.DUMMYFUNCTION("""COMPUTED_VALUE"""),46178.443115428236)</f>
        <v>46178.44312</v>
      </c>
      <c r="C901" s="3" t="str">
        <f>IFERROR(__xludf.DUMMYFUNCTION("""COMPUTED_VALUE"""),"ชั้นปีที่ 1")</f>
        <v>ชั้นปีที่ 1</v>
      </c>
      <c r="D901" s="3" t="str">
        <f>IFERROR(__xludf.DUMMYFUNCTION("""COMPUTED_VALUE"""),"6803902")</f>
        <v>6803902</v>
      </c>
      <c r="E901" s="3" t="str">
        <f>IFERROR(__xludf.DUMMYFUNCTION("""COMPUTED_VALUE"""),"21")</f>
        <v>21</v>
      </c>
      <c r="F901" s="3" t="str">
        <f>IFERROR(__xludf.DUMMYFUNCTION("""COMPUTED_VALUE"""),"นพอ.ณัฐวัฒน์ บ้งพรม")</f>
        <v>นพอ.ณัฐวัฒน์ บ้งพรม</v>
      </c>
      <c r="G901" s="3" t="str">
        <f>IFERROR(__xludf.DUMMYFUNCTION("""COMPUTED_VALUE"""),"ช่วยเหลืองานภายใน วพอ.")</f>
        <v>ช่วยเหลืองานภายใน วพอ.</v>
      </c>
      <c r="H901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901" s="3" t="str">
        <f>IFERROR(__xludf.DUMMYFUNCTION("""COMPUTED_VALUE"""),"ลานข้างหอพัก")</f>
        <v>ลานข้างหอพัก</v>
      </c>
      <c r="J901" s="12">
        <f>IFERROR(__xludf.DUMMYFUNCTION("""COMPUTED_VALUE"""),46174.0)</f>
        <v>46174</v>
      </c>
      <c r="K901" s="3" t="str">
        <f>IFERROR(__xludf.DUMMYFUNCTION("""COMPUTED_VALUE"""),"1500-1700")</f>
        <v>1500-1700</v>
      </c>
      <c r="L901" s="3">
        <f>IFERROR(__xludf.DUMMYFUNCTION("""COMPUTED_VALUE"""),2.0)</f>
        <v>2</v>
      </c>
      <c r="M901" s="3" t="str">
        <f>IFERROR(__xludf.DUMMYFUNCTION("""COMPUTED_VALUE"""),"น.อ.หญิง นิตยา สุขแสน")</f>
        <v>น.อ.หญิง นิตยา สุขแสน</v>
      </c>
      <c r="N901" s="14" t="str">
        <f>IFERROR(__xludf.DUMMYFUNCTION("""COMPUTED_VALUE"""),"https://lh5.googleusercontent.com/d/1MUxfh3IYY46yd4JYQ6-uhtruFRID80XY")</f>
        <v>https://lh5.googleusercontent.com/d/1MUxfh3IYY46yd4JYQ6-uhtruFRID80XY</v>
      </c>
      <c r="O901" s="14" t="str">
        <f>IFERROR(__xludf.DUMMYFUNCTION("""COMPUTED_VALUE"""),"https://drive.google.com/file/d/1XZRVYS3esMFqcuaPFwa0iZJxL2vm1Mil/view?usp=drivesdk")</f>
        <v>https://drive.google.com/file/d/1XZRVYS3esMFqcuaPFwa0iZJxL2vm1Mil/view?usp=drivesdk</v>
      </c>
    </row>
    <row r="902">
      <c r="A902" s="3">
        <f>IFERROR(__xludf.DUMMYFUNCTION("""COMPUTED_VALUE"""),3105.0)</f>
        <v>3105</v>
      </c>
      <c r="B902" s="11">
        <f>IFERROR(__xludf.DUMMYFUNCTION("""COMPUTED_VALUE"""),46178.453906585644)</f>
        <v>46178.45391</v>
      </c>
      <c r="C902" s="3" t="str">
        <f>IFERROR(__xludf.DUMMYFUNCTION("""COMPUTED_VALUE"""),"ชั้นปีที่ 1")</f>
        <v>ชั้นปีที่ 1</v>
      </c>
      <c r="D902" s="3" t="str">
        <f>IFERROR(__xludf.DUMMYFUNCTION("""COMPUTED_VALUE"""),"6803895")</f>
        <v>6803895</v>
      </c>
      <c r="E902" s="3" t="str">
        <f>IFERROR(__xludf.DUMMYFUNCTION("""COMPUTED_VALUE"""),"14")</f>
        <v>14</v>
      </c>
      <c r="F902" s="3" t="str">
        <f>IFERROR(__xludf.DUMMYFUNCTION("""COMPUTED_VALUE"""),"นพอ.ณัชชา ยอดรัตน์")</f>
        <v>นพอ.ณัชชา ยอดรัตน์</v>
      </c>
      <c r="G902" s="3" t="str">
        <f>IFERROR(__xludf.DUMMYFUNCTION("""COMPUTED_VALUE"""),"ช่วยเหลืองานภายใน วพอ.")</f>
        <v>ช่วยเหลืองานภายใน วพอ.</v>
      </c>
      <c r="H902" s="3" t="str">
        <f>IFERROR(__xludf.DUMMYFUNCTION("""COMPUTED_VALUE"""),"เก็บสถานที่สอบคัดเลือกนพอ.69")</f>
        <v>เก็บสถานที่สอบคัดเลือกนพอ.69</v>
      </c>
      <c r="I902" s="3" t="str">
        <f>IFERROR(__xludf.DUMMYFUNCTION("""COMPUTED_VALUE"""),"อาคารสำนักงานชั้น4")</f>
        <v>อาคารสำนักงานชั้น4</v>
      </c>
      <c r="J902" s="12">
        <f>IFERROR(__xludf.DUMMYFUNCTION("""COMPUTED_VALUE"""),46147.0)</f>
        <v>46147</v>
      </c>
      <c r="K902" s="3" t="str">
        <f>IFERROR(__xludf.DUMMYFUNCTION("""COMPUTED_VALUE"""),"1500-1800")</f>
        <v>1500-1800</v>
      </c>
      <c r="L902" s="3">
        <f>IFERROR(__xludf.DUMMYFUNCTION("""COMPUTED_VALUE"""),3.0)</f>
        <v>3</v>
      </c>
      <c r="M902" s="3" t="str">
        <f>IFERROR(__xludf.DUMMYFUNCTION("""COMPUTED_VALUE"""),"น.ต.ศักชัย บุญประสิทธิ์")</f>
        <v>น.ต.ศักชัย บุญประสิทธิ์</v>
      </c>
      <c r="N902" s="14" t="str">
        <f>IFERROR(__xludf.DUMMYFUNCTION("""COMPUTED_VALUE"""),"https://lh5.googleusercontent.com/d/1D0whAsxoMuyR3SCsJtPFKvtis89NHtGC")</f>
        <v>https://lh5.googleusercontent.com/d/1D0whAsxoMuyR3SCsJtPFKvtis89NHtGC</v>
      </c>
      <c r="O902" s="14" t="str">
        <f>IFERROR(__xludf.DUMMYFUNCTION("""COMPUTED_VALUE"""),"https://drive.google.com/file/d/14DjlJyb-zRhoTXgc6Ry6a4-drt2uEoIv/view?usp=drivesdk")</f>
        <v>https://drive.google.com/file/d/14DjlJyb-zRhoTXgc6Ry6a4-drt2uEoIv/view?usp=drivesdk</v>
      </c>
    </row>
    <row r="903">
      <c r="A903" s="3">
        <f>IFERROR(__xludf.DUMMYFUNCTION("""COMPUTED_VALUE"""),3108.0)</f>
        <v>3108</v>
      </c>
      <c r="B903" s="11">
        <f>IFERROR(__xludf.DUMMYFUNCTION("""COMPUTED_VALUE"""),46178.45624421296)</f>
        <v>46178.45624</v>
      </c>
      <c r="C903" s="3" t="str">
        <f>IFERROR(__xludf.DUMMYFUNCTION("""COMPUTED_VALUE"""),"ชั้นปีที่ 1")</f>
        <v>ชั้นปีที่ 1</v>
      </c>
      <c r="D903" s="3" t="str">
        <f>IFERROR(__xludf.DUMMYFUNCTION("""COMPUTED_VALUE"""),"6803882")</f>
        <v>6803882</v>
      </c>
      <c r="E903" s="3" t="str">
        <f>IFERROR(__xludf.DUMMYFUNCTION("""COMPUTED_VALUE"""),"1")</f>
        <v>1</v>
      </c>
      <c r="F903" s="3" t="str">
        <f>IFERROR(__xludf.DUMMYFUNCTION("""COMPUTED_VALUE"""),"นพอ.กมลฉัตร ชาสุรีย์")</f>
        <v>นพอ.กมลฉัตร ชาสุรีย์</v>
      </c>
      <c r="G903" s="3" t="str">
        <f>IFERROR(__xludf.DUMMYFUNCTION("""COMPUTED_VALUE"""),"ช่วยเหลืองานภายใน วพอ.")</f>
        <v>ช่วยเหลืองานภายใน วพอ.</v>
      </c>
      <c r="H903" s="3" t="str">
        <f>IFERROR(__xludf.DUMMYFUNCTION("""COMPUTED_VALUE"""),"เก็บหินตกแต่ง")</f>
        <v>เก็บหินตกแต่ง</v>
      </c>
      <c r="I903" s="3" t="str">
        <f>IFERROR(__xludf.DUMMYFUNCTION("""COMPUTED_VALUE"""),"วพอ.พอ.")</f>
        <v>วพอ.พอ.</v>
      </c>
      <c r="J903" s="12">
        <f>IFERROR(__xludf.DUMMYFUNCTION("""COMPUTED_VALUE"""),46177.0)</f>
        <v>46177</v>
      </c>
      <c r="K903" s="3" t="str">
        <f>IFERROR(__xludf.DUMMYFUNCTION("""COMPUTED_VALUE"""),"1600")</f>
        <v>1600</v>
      </c>
      <c r="L903" s="3">
        <f>IFERROR(__xludf.DUMMYFUNCTION("""COMPUTED_VALUE"""),3.0)</f>
        <v>3</v>
      </c>
      <c r="M903" s="3" t="str">
        <f>IFERROR(__xludf.DUMMYFUNCTION("""COMPUTED_VALUE"""),"น.อ.หญิง นิตยา สุขแสน")</f>
        <v>น.อ.หญิง นิตยา สุขแสน</v>
      </c>
      <c r="N903" s="14" t="str">
        <f>IFERROR(__xludf.DUMMYFUNCTION("""COMPUTED_VALUE"""),"https://lh5.googleusercontent.com/d/180ZfgvLvdTS8DGB1pask4u8GZL7SRM5C")</f>
        <v>https://lh5.googleusercontent.com/d/180ZfgvLvdTS8DGB1pask4u8GZL7SRM5C</v>
      </c>
      <c r="O903" s="14" t="str">
        <f>IFERROR(__xludf.DUMMYFUNCTION("""COMPUTED_VALUE"""),"https://drive.google.com/file/d/1FbJC9_r5LInUXrtA9lhU-n1u_iCB0JeR/view?usp=drivesdk")</f>
        <v>https://drive.google.com/file/d/1FbJC9_r5LInUXrtA9lhU-n1u_iCB0JeR/view?usp=drivesdk</v>
      </c>
    </row>
    <row r="904">
      <c r="A904" s="3">
        <f>IFERROR(__xludf.DUMMYFUNCTION("""COMPUTED_VALUE"""),3138.0)</f>
        <v>3138</v>
      </c>
      <c r="B904" s="11">
        <f>IFERROR(__xludf.DUMMYFUNCTION("""COMPUTED_VALUE"""),46178.48627270833)</f>
        <v>46178.48627</v>
      </c>
      <c r="C904" s="3" t="str">
        <f>IFERROR(__xludf.DUMMYFUNCTION("""COMPUTED_VALUE"""),"ชั้นปีที่ 1")</f>
        <v>ชั้นปีที่ 1</v>
      </c>
      <c r="D904" s="3" t="str">
        <f>IFERROR(__xludf.DUMMYFUNCTION("""COMPUTED_VALUE"""),"6803885")</f>
        <v>6803885</v>
      </c>
      <c r="E904" s="3" t="str">
        <f>IFERROR(__xludf.DUMMYFUNCTION("""COMPUTED_VALUE"""),"4")</f>
        <v>4</v>
      </c>
      <c r="F904" s="3" t="str">
        <f>IFERROR(__xludf.DUMMYFUNCTION("""COMPUTED_VALUE"""),"นพอ.กษิดิ์เดช เอมอานนท์")</f>
        <v>นพอ.กษิดิ์เดช เอมอานนท์</v>
      </c>
      <c r="G904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904" s="3" t="str">
        <f>IFERROR(__xludf.DUMMYFUNCTION("""COMPUTED_VALUE"""),"บริจาคโลหิต")</f>
        <v>บริจาคโลหิต</v>
      </c>
      <c r="I904" s="3" t="str">
        <f>IFERROR(__xludf.DUMMYFUNCTION("""COMPUTED_VALUE"""),"โรงพยาบาลท้องถิ่น")</f>
        <v>โรงพยาบาลท้องถิ่น</v>
      </c>
      <c r="J904" s="12">
        <f>IFERROR(__xludf.DUMMYFUNCTION("""COMPUTED_VALUE"""),46067.0)</f>
        <v>46067</v>
      </c>
      <c r="K904" s="3" t="str">
        <f>IFERROR(__xludf.DUMMYFUNCTION("""COMPUTED_VALUE"""),"0800-1600")</f>
        <v>0800-1600</v>
      </c>
      <c r="L904" s="3">
        <f>IFERROR(__xludf.DUMMYFUNCTION("""COMPUTED_VALUE"""),8.0)</f>
        <v>8</v>
      </c>
      <c r="M904" s="3" t="str">
        <f>IFERROR(__xludf.DUMMYFUNCTION("""COMPUTED_VALUE"""),"ศูนย์บริจาคโลหิต")</f>
        <v>ศูนย์บริจาคโลหิต</v>
      </c>
      <c r="N904" s="14" t="str">
        <f>IFERROR(__xludf.DUMMYFUNCTION("""COMPUTED_VALUE"""),"https://lh5.googleusercontent.com/d/1ldon19rrui_YPa1BLZx3ZaUI8Oq7mpgK")</f>
        <v>https://lh5.googleusercontent.com/d/1ldon19rrui_YPa1BLZx3ZaUI8Oq7mpgK</v>
      </c>
      <c r="O904" s="14" t="str">
        <f>IFERROR(__xludf.DUMMYFUNCTION("""COMPUTED_VALUE"""),"https://drive.google.com/file/d/1sP1dhS9r7HjRj0brzckyIUGjv7pynRAm/view?usp=drivesdk")</f>
        <v>https://drive.google.com/file/d/1sP1dhS9r7HjRj0brzckyIUGjv7pynRAm/view?usp=drivesdk</v>
      </c>
    </row>
    <row r="905">
      <c r="A905" s="3">
        <f>IFERROR(__xludf.DUMMYFUNCTION("""COMPUTED_VALUE"""),3141.0)</f>
        <v>3141</v>
      </c>
      <c r="B905" s="11">
        <f>IFERROR(__xludf.DUMMYFUNCTION("""COMPUTED_VALUE"""),46178.49252980324)</f>
        <v>46178.49253</v>
      </c>
      <c r="C905" s="3" t="str">
        <f>IFERROR(__xludf.DUMMYFUNCTION("""COMPUTED_VALUE"""),"ชั้นปีที่ 1")</f>
        <v>ชั้นปีที่ 1</v>
      </c>
      <c r="D905" s="3" t="str">
        <f>IFERROR(__xludf.DUMMYFUNCTION("""COMPUTED_VALUE"""),"6803913")</f>
        <v>6803913</v>
      </c>
      <c r="E905" s="3" t="str">
        <f>IFERROR(__xludf.DUMMYFUNCTION("""COMPUTED_VALUE"""),"32")</f>
        <v>32</v>
      </c>
      <c r="F905" s="3" t="str">
        <f>IFERROR(__xludf.DUMMYFUNCTION("""COMPUTED_VALUE"""),"นพอ.ปกรณ์เกียรติ ชูปู")</f>
        <v>นพอ.ปกรณ์เกียรติ ชูปู</v>
      </c>
      <c r="G905" s="3" t="str">
        <f>IFERROR(__xludf.DUMMYFUNCTION("""COMPUTED_VALUE"""),"ช่วยเหลืองานภายใน วพอ.")</f>
        <v>ช่วยเหลืองานภายใน วพอ.</v>
      </c>
      <c r="H905" s="3" t="str">
        <f>IFERROR(__xludf.DUMMYFUNCTION("""COMPUTED_VALUE"""),"วงดนตรีไทยงานสงกรานต์วพอ.")</f>
        <v>วงดนตรีไทยงานสงกรานต์วพอ.</v>
      </c>
      <c r="I905" s="3" t="str">
        <f>IFERROR(__xludf.DUMMYFUNCTION("""COMPUTED_VALUE"""),"วพอ.พอ.")</f>
        <v>วพอ.พอ.</v>
      </c>
      <c r="J905" s="12">
        <f>IFERROR(__xludf.DUMMYFUNCTION("""COMPUTED_VALUE"""),46122.0)</f>
        <v>46122</v>
      </c>
      <c r="K905" s="3" t="str">
        <f>IFERROR(__xludf.DUMMYFUNCTION("""COMPUTED_VALUE"""),"0600-1000")</f>
        <v>0600-1000</v>
      </c>
      <c r="L905" s="3">
        <f>IFERROR(__xludf.DUMMYFUNCTION("""COMPUTED_VALUE"""),4.0)</f>
        <v>4</v>
      </c>
      <c r="M905" s="3" t="str">
        <f>IFERROR(__xludf.DUMMYFUNCTION("""COMPUTED_VALUE"""),"ร.อ.หญิง ขนัฏฐา นาดี")</f>
        <v>ร.อ.หญิง ขนัฏฐา นาดี</v>
      </c>
      <c r="N905" s="14" t="str">
        <f>IFERROR(__xludf.DUMMYFUNCTION("""COMPUTED_VALUE"""),"https://lh5.googleusercontent.com/d/150udxTcvvunal1zavgdj0J8SZVZOGA0K")</f>
        <v>https://lh5.googleusercontent.com/d/150udxTcvvunal1zavgdj0J8SZVZOGA0K</v>
      </c>
      <c r="O905" s="14" t="str">
        <f>IFERROR(__xludf.DUMMYFUNCTION("""COMPUTED_VALUE"""),"https://drive.google.com/file/d/1YkCLMScmjNvs8gBhZ10_S2n8RoOtZkd6/view?usp=drivesdk")</f>
        <v>https://drive.google.com/file/d/1YkCLMScmjNvs8gBhZ10_S2n8RoOtZkd6/view?usp=drivesdk</v>
      </c>
    </row>
    <row r="906">
      <c r="A906" s="3">
        <f>IFERROR(__xludf.DUMMYFUNCTION("""COMPUTED_VALUE"""),3143.0)</f>
        <v>3143</v>
      </c>
      <c r="B906" s="11">
        <f>IFERROR(__xludf.DUMMYFUNCTION("""COMPUTED_VALUE"""),46178.494097118055)</f>
        <v>46178.4941</v>
      </c>
      <c r="C906" s="3" t="str">
        <f>IFERROR(__xludf.DUMMYFUNCTION("""COMPUTED_VALUE"""),"ชั้นปีที่ 1")</f>
        <v>ชั้นปีที่ 1</v>
      </c>
      <c r="D906" s="3" t="str">
        <f>IFERROR(__xludf.DUMMYFUNCTION("""COMPUTED_VALUE"""),"6803882")</f>
        <v>6803882</v>
      </c>
      <c r="E906" s="3" t="str">
        <f>IFERROR(__xludf.DUMMYFUNCTION("""COMPUTED_VALUE"""),"1")</f>
        <v>1</v>
      </c>
      <c r="F906" s="3" t="str">
        <f>IFERROR(__xludf.DUMMYFUNCTION("""COMPUTED_VALUE"""),"นพอ.กมลฉัตร ชาสุรีย์")</f>
        <v>นพอ.กมลฉัตร ชาสุรีย์</v>
      </c>
      <c r="G906" s="3" t="str">
        <f>IFERROR(__xludf.DUMMYFUNCTION("""COMPUTED_VALUE"""),"ชั่วโมงความดีที่สมควรได้รับ")</f>
        <v>ชั่วโมงความดีที่สมควรได้รับ</v>
      </c>
      <c r="H906" s="3" t="str">
        <f>IFERROR(__xludf.DUMMYFUNCTION("""COMPUTED_VALUE"""),"ทำความสะอาดห้อง")</f>
        <v>ทำความสะอาดห้อง</v>
      </c>
      <c r="I906" s="3" t="str">
        <f>IFERROR(__xludf.DUMMYFUNCTION("""COMPUTED_VALUE"""),"บ้าน")</f>
        <v>บ้าน</v>
      </c>
      <c r="J906" s="12">
        <f>IFERROR(__xludf.DUMMYFUNCTION("""COMPUTED_VALUE"""),46124.0)</f>
        <v>46124</v>
      </c>
      <c r="K906" s="3" t="str">
        <f>IFERROR(__xludf.DUMMYFUNCTION("""COMPUTED_VALUE"""),"1600")</f>
        <v>1600</v>
      </c>
      <c r="L906" s="3">
        <f>IFERROR(__xludf.DUMMYFUNCTION("""COMPUTED_VALUE"""),2.0)</f>
        <v>2</v>
      </c>
      <c r="M906" s="3" t="str">
        <f>IFERROR(__xludf.DUMMYFUNCTION("""COMPUTED_VALUE"""),"นางอภิชญา ชาสุรีย์")</f>
        <v>นางอภิชญา ชาสุรีย์</v>
      </c>
      <c r="N906" s="14" t="str">
        <f>IFERROR(__xludf.DUMMYFUNCTION("""COMPUTED_VALUE"""),"https://lh5.googleusercontent.com/d/1kxLUMGcAHwYpnpUnm5Z2iQBrx_9qu6yh")</f>
        <v>https://lh5.googleusercontent.com/d/1kxLUMGcAHwYpnpUnm5Z2iQBrx_9qu6yh</v>
      </c>
      <c r="O906" s="14" t="str">
        <f>IFERROR(__xludf.DUMMYFUNCTION("""COMPUTED_VALUE"""),"https://drive.google.com/file/d/16UWhaWMFSO3cMTWqVST3j6LgFP0OLu5_/view?usp=drivesdk")</f>
        <v>https://drive.google.com/file/d/16UWhaWMFSO3cMTWqVST3j6LgFP0OLu5_/view?usp=drivesdk</v>
      </c>
    </row>
    <row r="907">
      <c r="A907" s="3">
        <f>IFERROR(__xludf.DUMMYFUNCTION("""COMPUTED_VALUE"""),3145.0)</f>
        <v>3145</v>
      </c>
      <c r="B907" s="11">
        <f>IFERROR(__xludf.DUMMYFUNCTION("""COMPUTED_VALUE"""),46178.4948678125)</f>
        <v>46178.49487</v>
      </c>
      <c r="C907" s="3" t="str">
        <f>IFERROR(__xludf.DUMMYFUNCTION("""COMPUTED_VALUE"""),"ชั้นปีที่ 1")</f>
        <v>ชั้นปีที่ 1</v>
      </c>
      <c r="D907" s="3" t="str">
        <f>IFERROR(__xludf.DUMMYFUNCTION("""COMPUTED_VALUE"""),"6803891")</f>
        <v>6803891</v>
      </c>
      <c r="E907" s="3" t="str">
        <f>IFERROR(__xludf.DUMMYFUNCTION("""COMPUTED_VALUE"""),"10")</f>
        <v>10</v>
      </c>
      <c r="F907" s="3" t="str">
        <f>IFERROR(__xludf.DUMMYFUNCTION("""COMPUTED_VALUE"""),"นพอ.จิรัชยา ธีรประภานนท์")</f>
        <v>นพอ.จิรัชยา ธีรประภานนท์</v>
      </c>
      <c r="G907" s="3" t="str">
        <f>IFERROR(__xludf.DUMMYFUNCTION("""COMPUTED_VALUE"""),"ช่วยเหลืองานภายใน วพอ.")</f>
        <v>ช่วยเหลืองานภายใน วพอ.</v>
      </c>
      <c r="H907" s="3" t="str">
        <f>IFERROR(__xludf.DUMMYFUNCTION("""COMPUTED_VALUE"""),"เก็บหิน")</f>
        <v>เก็บหิน</v>
      </c>
      <c r="I907" s="3" t="str">
        <f>IFERROR(__xludf.DUMMYFUNCTION("""COMPUTED_VALUE"""),"วพอ.พอ.")</f>
        <v>วพอ.พอ.</v>
      </c>
      <c r="J907" s="12">
        <f>IFERROR(__xludf.DUMMYFUNCTION("""COMPUTED_VALUE"""),46177.0)</f>
        <v>46177</v>
      </c>
      <c r="K907" s="3" t="str">
        <f>IFERROR(__xludf.DUMMYFUNCTION("""COMPUTED_VALUE"""),"1500-1800")</f>
        <v>1500-1800</v>
      </c>
      <c r="L907" s="3">
        <f>IFERROR(__xludf.DUMMYFUNCTION("""COMPUTED_VALUE"""),3.0)</f>
        <v>3</v>
      </c>
      <c r="M907" s="3" t="str">
        <f>IFERROR(__xludf.DUMMYFUNCTION("""COMPUTED_VALUE"""),"น.อ.หญิง ผศ.นิตยา สุขแสน")</f>
        <v>น.อ.หญิง ผศ.นิตยา สุขแสน</v>
      </c>
      <c r="N907" s="14" t="str">
        <f>IFERROR(__xludf.DUMMYFUNCTION("""COMPUTED_VALUE"""),"https://lh5.googleusercontent.com/d/1qIknwErCa8P3pBihOCBsiGYMGIUyDN4l")</f>
        <v>https://lh5.googleusercontent.com/d/1qIknwErCa8P3pBihOCBsiGYMGIUyDN4l</v>
      </c>
      <c r="O907" s="14" t="str">
        <f>IFERROR(__xludf.DUMMYFUNCTION("""COMPUTED_VALUE"""),"https://drive.google.com/file/d/1mfKnIl68OkxwnRTftujfR-cuGERl2g8F/view?usp=drivesdk")</f>
        <v>https://drive.google.com/file/d/1mfKnIl68OkxwnRTftujfR-cuGERl2g8F/view?usp=drivesdk</v>
      </c>
    </row>
    <row r="908">
      <c r="A908" s="3">
        <f>IFERROR(__xludf.DUMMYFUNCTION("""COMPUTED_VALUE"""),3146.0)</f>
        <v>3146</v>
      </c>
      <c r="B908" s="11">
        <f>IFERROR(__xludf.DUMMYFUNCTION("""COMPUTED_VALUE"""),46178.49568641204)</f>
        <v>46178.49569</v>
      </c>
      <c r="C908" s="3" t="str">
        <f>IFERROR(__xludf.DUMMYFUNCTION("""COMPUTED_VALUE"""),"ชั้นปีที่ 1")</f>
        <v>ชั้นปีที่ 1</v>
      </c>
      <c r="D908" s="3" t="str">
        <f>IFERROR(__xludf.DUMMYFUNCTION("""COMPUTED_VALUE"""),"6803913")</f>
        <v>6803913</v>
      </c>
      <c r="E908" s="3" t="str">
        <f>IFERROR(__xludf.DUMMYFUNCTION("""COMPUTED_VALUE"""),"32")</f>
        <v>32</v>
      </c>
      <c r="F908" s="3" t="str">
        <f>IFERROR(__xludf.DUMMYFUNCTION("""COMPUTED_VALUE"""),"นพอ.ปกรณ์เกียรติ ชูปู")</f>
        <v>นพอ.ปกรณ์เกียรติ ชูปู</v>
      </c>
      <c r="G908" s="3" t="str">
        <f>IFERROR(__xludf.DUMMYFUNCTION("""COMPUTED_VALUE"""),"โครงการภายนอกที่ออกคำสั่งจาก วพอ.")</f>
        <v>โครงการภายนอกที่ออกคำสั่งจาก วพอ.</v>
      </c>
      <c r="H908" s="3" t="str">
        <f>IFERROR(__xludf.DUMMYFUNCTION("""COMPUTED_VALUE"""),"พิธีเปิด-ปิดกีฬาภายในกองทัพอากาศ")</f>
        <v>พิธีเปิด-ปิดกีฬาภายในกองทัพอากาศ</v>
      </c>
      <c r="I908" s="3" t="str">
        <f>IFERROR(__xludf.DUMMYFUNCTION("""COMPUTED_VALUE"""),"สนามกีฬากองทัพอากาศ (ธูปะเตมีย์)")</f>
        <v>สนามกีฬากองทัพอากาศ (ธูปะเตมีย์)</v>
      </c>
      <c r="J908" s="12">
        <f>IFERROR(__xludf.DUMMYFUNCTION("""COMPUTED_VALUE"""),46078.0)</f>
        <v>46078</v>
      </c>
      <c r="K908" s="3" t="str">
        <f>IFERROR(__xludf.DUMMYFUNCTION("""COMPUTED_VALUE"""),"1200-2000")</f>
        <v>1200-2000</v>
      </c>
      <c r="L908" s="3">
        <f>IFERROR(__xludf.DUMMYFUNCTION("""COMPUTED_VALUE"""),8.0)</f>
        <v>8</v>
      </c>
      <c r="M908" s="3" t="str">
        <f>IFERROR(__xludf.DUMMYFUNCTION("""COMPUTED_VALUE"""),"น.ต.หญิง ขวัญชนก พ่วงนาคพันธุ์")</f>
        <v>น.ต.หญิง ขวัญชนก พ่วงนาคพันธุ์</v>
      </c>
      <c r="N908" s="14" t="str">
        <f>IFERROR(__xludf.DUMMYFUNCTION("""COMPUTED_VALUE"""),"https://lh5.googleusercontent.com/d/1KU6VYYe8CbfkxMN87whfSxpUcr6LLUfy")</f>
        <v>https://lh5.googleusercontent.com/d/1KU6VYYe8CbfkxMN87whfSxpUcr6LLUfy</v>
      </c>
      <c r="O908" s="14" t="str">
        <f>IFERROR(__xludf.DUMMYFUNCTION("""COMPUTED_VALUE"""),"https://drive.google.com/file/d/1SbMmezSaN8eScuCSoLB0x0NgZ7YzimLu/view?usp=drivesdk")</f>
        <v>https://drive.google.com/file/d/1SbMmezSaN8eScuCSoLB0x0NgZ7YzimLu/view?usp=drivesdk</v>
      </c>
    </row>
    <row r="909">
      <c r="A909" s="3">
        <f>IFERROR(__xludf.DUMMYFUNCTION("""COMPUTED_VALUE"""),3147.0)</f>
        <v>3147</v>
      </c>
      <c r="B909" s="11">
        <f>IFERROR(__xludf.DUMMYFUNCTION("""COMPUTED_VALUE"""),46178.495824942125)</f>
        <v>46178.49582</v>
      </c>
      <c r="C909" s="3" t="str">
        <f>IFERROR(__xludf.DUMMYFUNCTION("""COMPUTED_VALUE"""),"ชั้นปีที่ 1")</f>
        <v>ชั้นปีที่ 1</v>
      </c>
      <c r="D909" s="3" t="str">
        <f>IFERROR(__xludf.DUMMYFUNCTION("""COMPUTED_VALUE"""),"6803885")</f>
        <v>6803885</v>
      </c>
      <c r="E909" s="3" t="str">
        <f>IFERROR(__xludf.DUMMYFUNCTION("""COMPUTED_VALUE"""),"4")</f>
        <v>4</v>
      </c>
      <c r="F909" s="3" t="str">
        <f>IFERROR(__xludf.DUMMYFUNCTION("""COMPUTED_VALUE"""),"นพอ.กษิดิ์เดช เอมอานนท์")</f>
        <v>นพอ.กษิดิ์เดช เอมอานนท์</v>
      </c>
      <c r="G909" s="3" t="str">
        <f>IFERROR(__xludf.DUMMYFUNCTION("""COMPUTED_VALUE"""),"ช่วยเหลืองานภายใน วพอ.")</f>
        <v>ช่วยเหลืองานภายใน วพอ.</v>
      </c>
      <c r="H909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909" s="3" t="str">
        <f>IFERROR(__xludf.DUMMYFUNCTION("""COMPUTED_VALUE"""),"ลานข้างหอพัก")</f>
        <v>ลานข้างหอพัก</v>
      </c>
      <c r="J909" s="12">
        <f>IFERROR(__xludf.DUMMYFUNCTION("""COMPUTED_VALUE"""),46177.0)</f>
        <v>46177</v>
      </c>
      <c r="K909" s="3" t="str">
        <f>IFERROR(__xludf.DUMMYFUNCTION("""COMPUTED_VALUE"""),"1500-1800")</f>
        <v>1500-1800</v>
      </c>
      <c r="L909" s="3">
        <f>IFERROR(__xludf.DUMMYFUNCTION("""COMPUTED_VALUE"""),3.0)</f>
        <v>3</v>
      </c>
      <c r="M909" s="3" t="str">
        <f>IFERROR(__xludf.DUMMYFUNCTION("""COMPUTED_VALUE"""),"น.อ.หญิง.ผศ.นิตยา สุขแสน")</f>
        <v>น.อ.หญิง.ผศ.นิตยา สุขแสน</v>
      </c>
      <c r="N909" s="14" t="str">
        <f>IFERROR(__xludf.DUMMYFUNCTION("""COMPUTED_VALUE"""),"https://lh5.googleusercontent.com/d/1vOsyhQUOQYqL7KRvt9mLK6yJIsb8-zht")</f>
        <v>https://lh5.googleusercontent.com/d/1vOsyhQUOQYqL7KRvt9mLK6yJIsb8-zht</v>
      </c>
      <c r="O909" s="14" t="str">
        <f>IFERROR(__xludf.DUMMYFUNCTION("""COMPUTED_VALUE"""),"https://drive.google.com/file/d/1QB2qhPLGAQXa6iRskPqwzpJICVoGHrzq/view?usp=drivesdk")</f>
        <v>https://drive.google.com/file/d/1QB2qhPLGAQXa6iRskPqwzpJICVoGHrzq/view?usp=drivesdk</v>
      </c>
    </row>
    <row r="910">
      <c r="A910" s="3">
        <f>IFERROR(__xludf.DUMMYFUNCTION("""COMPUTED_VALUE"""),3149.0)</f>
        <v>3149</v>
      </c>
      <c r="B910" s="11">
        <f>IFERROR(__xludf.DUMMYFUNCTION("""COMPUTED_VALUE"""),46178.50966473379)</f>
        <v>46178.50966</v>
      </c>
      <c r="C910" s="3" t="str">
        <f>IFERROR(__xludf.DUMMYFUNCTION("""COMPUTED_VALUE"""),"ชั้นปีที่ 1")</f>
        <v>ชั้นปีที่ 1</v>
      </c>
      <c r="D910" s="3" t="str">
        <f>IFERROR(__xludf.DUMMYFUNCTION("""COMPUTED_VALUE"""),"6803896")</f>
        <v>6803896</v>
      </c>
      <c r="E910" s="3" t="str">
        <f>IFERROR(__xludf.DUMMYFUNCTION("""COMPUTED_VALUE"""),"15")</f>
        <v>15</v>
      </c>
      <c r="F910" s="3" t="str">
        <f>IFERROR(__xludf.DUMMYFUNCTION("""COMPUTED_VALUE"""),"นพอ.ณัชปวีย์ เยาวภา")</f>
        <v>นพอ.ณัชปวีย์ เยาวภา</v>
      </c>
      <c r="G910" s="3" t="str">
        <f>IFERROR(__xludf.DUMMYFUNCTION("""COMPUTED_VALUE"""),"ช่วยเหลืองานภายใน วพอ.")</f>
        <v>ช่วยเหลืองานภายใน วพอ.</v>
      </c>
      <c r="H910" s="3" t="str">
        <f>IFERROR(__xludf.DUMMYFUNCTION("""COMPUTED_VALUE"""),"เก็บหินขาวบริเวณรั้วข้างหอพัก")</f>
        <v>เก็บหินขาวบริเวณรั้วข้างหอพัก</v>
      </c>
      <c r="I910" s="3" t="str">
        <f>IFERROR(__xludf.DUMMYFUNCTION("""COMPUTED_VALUE"""),"ลานข้างหอพัก")</f>
        <v>ลานข้างหอพัก</v>
      </c>
      <c r="J910" s="12">
        <f>IFERROR(__xludf.DUMMYFUNCTION("""COMPUTED_VALUE"""),46164.0)</f>
        <v>46164</v>
      </c>
      <c r="K910" s="3" t="str">
        <f>IFERROR(__xludf.DUMMYFUNCTION("""COMPUTED_VALUE"""),"น.อ.หญิง นิตยา สุขแสน")</f>
        <v>น.อ.หญิง นิตยา สุขแสน</v>
      </c>
      <c r="L910" s="3"/>
      <c r="M910" s="3" t="str">
        <f>IFERROR(__xludf.DUMMYFUNCTION("""COMPUTED_VALUE"""),"น.อ.หญิง นิตยา สุขแสน")</f>
        <v>น.อ.หญิง นิตยา สุขแสน</v>
      </c>
      <c r="N910" s="14" t="str">
        <f>IFERROR(__xludf.DUMMYFUNCTION("""COMPUTED_VALUE"""),"https://lh5.googleusercontent.com/d/1PNmanvq1IpM2jHpZtzK2cRmkIZ7dFI8T")</f>
        <v>https://lh5.googleusercontent.com/d/1PNmanvq1IpM2jHpZtzK2cRmkIZ7dFI8T</v>
      </c>
      <c r="O910" s="14" t="str">
        <f>IFERROR(__xludf.DUMMYFUNCTION("""COMPUTED_VALUE"""),"https://drive.google.com/file/d/1guel7VfrZvauy0gF4VCqNzG2QTsl48k1/view?usp=drivesdk")</f>
        <v>https://drive.google.com/file/d/1guel7VfrZvauy0gF4VCqNzG2QTsl48k1/view?usp=drivesdk</v>
      </c>
    </row>
    <row r="911">
      <c r="A911" s="3">
        <f>IFERROR(__xludf.DUMMYFUNCTION("""COMPUTED_VALUE"""),3150.0)</f>
        <v>3150</v>
      </c>
      <c r="B911" s="11">
        <f>IFERROR(__xludf.DUMMYFUNCTION("""COMPUTED_VALUE"""),46178.53448760417)</f>
        <v>46178.53449</v>
      </c>
      <c r="C911" s="3" t="str">
        <f>IFERROR(__xludf.DUMMYFUNCTION("""COMPUTED_VALUE"""),"ชั้นปีที่ 1")</f>
        <v>ชั้นปีที่ 1</v>
      </c>
      <c r="D911" s="3" t="str">
        <f>IFERROR(__xludf.DUMMYFUNCTION("""COMPUTED_VALUE"""),"6803885")</f>
        <v>6803885</v>
      </c>
      <c r="E911" s="3" t="str">
        <f>IFERROR(__xludf.DUMMYFUNCTION("""COMPUTED_VALUE"""),"4")</f>
        <v>4</v>
      </c>
      <c r="F911" s="3" t="str">
        <f>IFERROR(__xludf.DUMMYFUNCTION("""COMPUTED_VALUE"""),"นพอ.กษิดิ์เดช เอมอานนท์")</f>
        <v>นพอ.กษิดิ์เดช เอมอานนท์</v>
      </c>
      <c r="G911" s="3" t="str">
        <f>IFERROR(__xludf.DUMMYFUNCTION("""COMPUTED_VALUE"""),"ทำนุบำรุงศาสนสถาน")</f>
        <v>ทำนุบำรุงศาสนสถาน</v>
      </c>
      <c r="H911" s="3" t="str">
        <f>IFERROR(__xludf.DUMMYFUNCTION("""COMPUTED_VALUE"""),"ทำความสะอาดวัด")</f>
        <v>ทำความสะอาดวัด</v>
      </c>
      <c r="I911" s="3" t="str">
        <f>IFERROR(__xludf.DUMMYFUNCTION("""COMPUTED_VALUE"""),"วัดบางพูดนอก")</f>
        <v>วัดบางพูดนอก</v>
      </c>
      <c r="J911" s="12">
        <f>IFERROR(__xludf.DUMMYFUNCTION("""COMPUTED_VALUE"""),46088.0)</f>
        <v>46088</v>
      </c>
      <c r="K911" s="3" t="str">
        <f>IFERROR(__xludf.DUMMYFUNCTION("""COMPUTED_VALUE"""),"1500-1700")</f>
        <v>1500-1700</v>
      </c>
      <c r="L911" s="3">
        <f>IFERROR(__xludf.DUMMYFUNCTION("""COMPUTED_VALUE"""),2.0)</f>
        <v>2</v>
      </c>
      <c r="M911" s="3" t="str">
        <f>IFERROR(__xludf.DUMMYFUNCTION("""COMPUTED_VALUE"""),"พระอธิการมุ้ย")</f>
        <v>พระอธิการมุ้ย</v>
      </c>
      <c r="N911" s="14" t="str">
        <f>IFERROR(__xludf.DUMMYFUNCTION("""COMPUTED_VALUE"""),"https://lh5.googleusercontent.com/d/10hYRsxZbp3ase-QwCAhADVuIpUEUspHW")</f>
        <v>https://lh5.googleusercontent.com/d/10hYRsxZbp3ase-QwCAhADVuIpUEUspHW</v>
      </c>
      <c r="O911" s="14" t="str">
        <f>IFERROR(__xludf.DUMMYFUNCTION("""COMPUTED_VALUE"""),"https://drive.google.com/file/d/1sMPi16513wYe7TFssjI7p2ABoMSX5WhG/view?usp=drivesdk")</f>
        <v>https://drive.google.com/file/d/1sMPi16513wYe7TFssjI7p2ABoMSX5WhG/view?usp=drivesdk</v>
      </c>
    </row>
    <row r="912">
      <c r="A912" s="3">
        <f>IFERROR(__xludf.DUMMYFUNCTION("""COMPUTED_VALUE"""),3151.0)</f>
        <v>3151</v>
      </c>
      <c r="B912" s="11">
        <f>IFERROR(__xludf.DUMMYFUNCTION("""COMPUTED_VALUE"""),46178.537119768516)</f>
        <v>46178.53712</v>
      </c>
      <c r="C912" s="3" t="str">
        <f>IFERROR(__xludf.DUMMYFUNCTION("""COMPUTED_VALUE"""),"ชั้นปีที่ 1")</f>
        <v>ชั้นปีที่ 1</v>
      </c>
      <c r="D912" s="3" t="str">
        <f>IFERROR(__xludf.DUMMYFUNCTION("""COMPUTED_VALUE"""),"6803885")</f>
        <v>6803885</v>
      </c>
      <c r="E912" s="3" t="str">
        <f>IFERROR(__xludf.DUMMYFUNCTION("""COMPUTED_VALUE"""),"4")</f>
        <v>4</v>
      </c>
      <c r="F912" s="3" t="str">
        <f>IFERROR(__xludf.DUMMYFUNCTION("""COMPUTED_VALUE"""),"นพอ.กษิดิ์เดช เอมอานนท์")</f>
        <v>นพอ.กษิดิ์เดช เอมอานนท์</v>
      </c>
      <c r="G912" s="3" t="str">
        <f>IFERROR(__xludf.DUMMYFUNCTION("""COMPUTED_VALUE"""),"งานฟรีทั่วไป")</f>
        <v>งานฟรีทั่วไป</v>
      </c>
      <c r="H912" s="3" t="str">
        <f>IFERROR(__xludf.DUMMYFUNCTION("""COMPUTED_VALUE"""),"เก็บขยะ")</f>
        <v>เก็บขยะ</v>
      </c>
      <c r="I912" s="3" t="str">
        <f>IFERROR(__xludf.DUMMYFUNCTION("""COMPUTED_VALUE"""),"บ้าน")</f>
        <v>บ้าน</v>
      </c>
      <c r="J912" s="12">
        <f>IFERROR(__xludf.DUMMYFUNCTION("""COMPUTED_VALUE"""),46081.0)</f>
        <v>46081</v>
      </c>
      <c r="K912" s="3" t="str">
        <f>IFERROR(__xludf.DUMMYFUNCTION("""COMPUTED_VALUE"""),"0800-0900")</f>
        <v>0800-0900</v>
      </c>
      <c r="L912" s="3">
        <f>IFERROR(__xludf.DUMMYFUNCTION("""COMPUTED_VALUE"""),1.0)</f>
        <v>1</v>
      </c>
      <c r="M912" s="3" t="str">
        <f>IFERROR(__xludf.DUMMYFUNCTION("""COMPUTED_VALUE"""),"นางวลัย เอมอานนท์")</f>
        <v>นางวลัย เอมอานนท์</v>
      </c>
      <c r="N912" s="14" t="str">
        <f>IFERROR(__xludf.DUMMYFUNCTION("""COMPUTED_VALUE"""),"https://lh5.googleusercontent.com/d/1RGL_J9Cv_UIohRJlcyinWX1TkigS-nbF")</f>
        <v>https://lh5.googleusercontent.com/d/1RGL_J9Cv_UIohRJlcyinWX1TkigS-nbF</v>
      </c>
      <c r="O912" s="14" t="str">
        <f>IFERROR(__xludf.DUMMYFUNCTION("""COMPUTED_VALUE"""),"https://drive.google.com/file/d/1vDJXgMbmPIrH8sC3RcoVzAUxAyDYEQN0/view?usp=drivesdk")</f>
        <v>https://drive.google.com/file/d/1vDJXgMbmPIrH8sC3RcoVzAUxAyDYEQN0/view?usp=drivesdk</v>
      </c>
    </row>
    <row r="913">
      <c r="A913" s="3">
        <f>IFERROR(__xludf.DUMMYFUNCTION("""COMPUTED_VALUE"""),3165.0)</f>
        <v>3165</v>
      </c>
      <c r="B913" s="11">
        <f>IFERROR(__xludf.DUMMYFUNCTION("""COMPUTED_VALUE"""),46179.67341928241)</f>
        <v>46179.67342</v>
      </c>
      <c r="C913" s="3" t="str">
        <f>IFERROR(__xludf.DUMMYFUNCTION("""COMPUTED_VALUE"""),"ชั้นปีที่ 1")</f>
        <v>ชั้นปีที่ 1</v>
      </c>
      <c r="D913" s="3" t="str">
        <f>IFERROR(__xludf.DUMMYFUNCTION("""COMPUTED_VALUE"""),"6803885")</f>
        <v>6803885</v>
      </c>
      <c r="E913" s="3" t="str">
        <f>IFERROR(__xludf.DUMMYFUNCTION("""COMPUTED_VALUE"""),"4")</f>
        <v>4</v>
      </c>
      <c r="F913" s="3" t="str">
        <f>IFERROR(__xludf.DUMMYFUNCTION("""COMPUTED_VALUE"""),"นพอ.กษิดิ์เดช เอมอานนท์")</f>
        <v>นพอ.กษิดิ์เดช เอมอานนท์</v>
      </c>
      <c r="G913" s="3" t="str">
        <f>IFERROR(__xludf.DUMMYFUNCTION("""COMPUTED_VALUE"""),"ทำนุบำรุงศาสนสถาน")</f>
        <v>ทำนุบำรุงศาสนสถาน</v>
      </c>
      <c r="H913" s="3" t="str">
        <f>IFERROR(__xludf.DUMMYFUNCTION("""COMPUTED_VALUE"""),"กวาดลานวัด")</f>
        <v>กวาดลานวัด</v>
      </c>
      <c r="I913" s="3" t="str">
        <f>IFERROR(__xludf.DUMMYFUNCTION("""COMPUTED_VALUE"""),"หน้าลานวัด")</f>
        <v>หน้าลานวัด</v>
      </c>
      <c r="J913" s="12">
        <f>IFERROR(__xludf.DUMMYFUNCTION("""COMPUTED_VALUE"""),46025.0)</f>
        <v>46025</v>
      </c>
      <c r="K913" s="3" t="str">
        <f>IFERROR(__xludf.DUMMYFUNCTION("""COMPUTED_VALUE"""),"0800-1000")</f>
        <v>0800-1000</v>
      </c>
      <c r="L913" s="3">
        <f>IFERROR(__xludf.DUMMYFUNCTION("""COMPUTED_VALUE"""),2.0)</f>
        <v>2</v>
      </c>
      <c r="M913" s="3" t="str">
        <f>IFERROR(__xludf.DUMMYFUNCTION("""COMPUTED_VALUE"""),"พระครูสุวรรณวุฒาจารย์")</f>
        <v>พระครูสุวรรณวุฒาจารย์</v>
      </c>
      <c r="N913" s="14" t="str">
        <f>IFERROR(__xludf.DUMMYFUNCTION("""COMPUTED_VALUE"""),"https://lh5.googleusercontent.com/d/1dwlICqUqY5kILvVI0sN7bRkMoTjFoMmq")</f>
        <v>https://lh5.googleusercontent.com/d/1dwlICqUqY5kILvVI0sN7bRkMoTjFoMmq</v>
      </c>
      <c r="O913" s="14" t="str">
        <f>IFERROR(__xludf.DUMMYFUNCTION("""COMPUTED_VALUE"""),"https://drive.google.com/file/d/1_83UH_gwYV4nmPspTxf0YXAq2tHfIX8_/view?usp=drivesdk")</f>
        <v>https://drive.google.com/file/d/1_83UH_gwYV4nmPspTxf0YXAq2tHfIX8_/view?usp=drivesdk</v>
      </c>
    </row>
    <row r="914">
      <c r="A914" s="3">
        <f>IFERROR(__xludf.DUMMYFUNCTION("""COMPUTED_VALUE"""),3166.0)</f>
        <v>3166</v>
      </c>
      <c r="B914" s="11">
        <f>IFERROR(__xludf.DUMMYFUNCTION("""COMPUTED_VALUE"""),46179.67538392361)</f>
        <v>46179.67538</v>
      </c>
      <c r="C914" s="3" t="str">
        <f>IFERROR(__xludf.DUMMYFUNCTION("""COMPUTED_VALUE"""),"ชั้นปีที่ 1")</f>
        <v>ชั้นปีที่ 1</v>
      </c>
      <c r="D914" s="3" t="str">
        <f>IFERROR(__xludf.DUMMYFUNCTION("""COMPUTED_VALUE"""),"6803885")</f>
        <v>6803885</v>
      </c>
      <c r="E914" s="3" t="str">
        <f>IFERROR(__xludf.DUMMYFUNCTION("""COMPUTED_VALUE"""),"4")</f>
        <v>4</v>
      </c>
      <c r="F914" s="3" t="str">
        <f>IFERROR(__xludf.DUMMYFUNCTION("""COMPUTED_VALUE"""),"นพอ.กษิดิ์เดช เอมอานนท์")</f>
        <v>นพอ.กษิดิ์เดช เอมอานนท์</v>
      </c>
      <c r="G914" s="3" t="str">
        <f>IFERROR(__xludf.DUMMYFUNCTION("""COMPUTED_VALUE"""),"ทำนุบำรุงศาสนสถาน")</f>
        <v>ทำนุบำรุงศาสนสถาน</v>
      </c>
      <c r="H914" s="3" t="str">
        <f>IFERROR(__xludf.DUMMYFUNCTION("""COMPUTED_VALUE"""),"ทำความสะอาดวัด")</f>
        <v>ทำความสะอาดวัด</v>
      </c>
      <c r="I914" s="3" t="str">
        <f>IFERROR(__xludf.DUMMYFUNCTION("""COMPUTED_VALUE"""),"วัดบางพูดนอก")</f>
        <v>วัดบางพูดนอก</v>
      </c>
      <c r="J914" s="12">
        <f>IFERROR(__xludf.DUMMYFUNCTION("""COMPUTED_VALUE"""),46088.0)</f>
        <v>46088</v>
      </c>
      <c r="K914" s="3" t="str">
        <f>IFERROR(__xludf.DUMMYFUNCTION("""COMPUTED_VALUE"""),"1500-1700")</f>
        <v>1500-1700</v>
      </c>
      <c r="L914" s="3">
        <f>IFERROR(__xludf.DUMMYFUNCTION("""COMPUTED_VALUE"""),2.0)</f>
        <v>2</v>
      </c>
      <c r="M914" s="3" t="str">
        <f>IFERROR(__xludf.DUMMYFUNCTION("""COMPUTED_VALUE"""),"พระครูสุวรรณวุฒาจารย์")</f>
        <v>พระครูสุวรรณวุฒาจารย์</v>
      </c>
      <c r="N914" s="14" t="str">
        <f>IFERROR(__xludf.DUMMYFUNCTION("""COMPUTED_VALUE"""),"https://lh5.googleusercontent.com/d/18Na3gAYr83x6Qa2GVMv_G0S-bns7VDK_")</f>
        <v>https://lh5.googleusercontent.com/d/18Na3gAYr83x6Qa2GVMv_G0S-bns7VDK_</v>
      </c>
      <c r="O914" s="14" t="str">
        <f>IFERROR(__xludf.DUMMYFUNCTION("""COMPUTED_VALUE"""),"https://drive.google.com/file/d/1hoNC6zSt76oEVH5pRrnvvExpSat0WcPf/view?usp=drivesdk")</f>
        <v>https://drive.google.com/file/d/1hoNC6zSt76oEVH5pRrnvvExpSat0WcPf/view?usp=drivesdk</v>
      </c>
    </row>
    <row r="915">
      <c r="A915" s="3">
        <f>IFERROR(__xludf.DUMMYFUNCTION("""COMPUTED_VALUE"""),3167.0)</f>
        <v>3167</v>
      </c>
      <c r="B915" s="11">
        <f>IFERROR(__xludf.DUMMYFUNCTION("""COMPUTED_VALUE"""),46179.68190649305)</f>
        <v>46179.68191</v>
      </c>
      <c r="C915" s="3" t="str">
        <f>IFERROR(__xludf.DUMMYFUNCTION("""COMPUTED_VALUE"""),"ชั้นปีที่ 1")</f>
        <v>ชั้นปีที่ 1</v>
      </c>
      <c r="D915" s="3" t="str">
        <f>IFERROR(__xludf.DUMMYFUNCTION("""COMPUTED_VALUE"""),"6803885")</f>
        <v>6803885</v>
      </c>
      <c r="E915" s="3" t="str">
        <f>IFERROR(__xludf.DUMMYFUNCTION("""COMPUTED_VALUE"""),"4")</f>
        <v>4</v>
      </c>
      <c r="F915" s="3" t="str">
        <f>IFERROR(__xludf.DUMMYFUNCTION("""COMPUTED_VALUE"""),"นพอ.กษิดิ์เดช เอมอานนท์")</f>
        <v>นพอ.กษิดิ์เดช เอมอานนท์</v>
      </c>
      <c r="G915" s="3" t="str">
        <f>IFERROR(__xludf.DUMMYFUNCTION("""COMPUTED_VALUE"""),"บริจาคโลหิต/เกล็ดเลือด/พลาสมา")</f>
        <v>บริจาคโลหิต/เกล็ดเลือด/พลาสมา</v>
      </c>
      <c r="H915" s="3" t="str">
        <f>IFERROR(__xludf.DUMMYFUNCTION("""COMPUTED_VALUE"""),"บริจาคเลือด")</f>
        <v>บริจาคเลือด</v>
      </c>
      <c r="I915" s="3" t="str">
        <f>IFERROR(__xludf.DUMMYFUNCTION("""COMPUTED_VALUE"""),"โรงพยาบาลรามาธิบดี")</f>
        <v>โรงพยาบาลรามาธิบดี</v>
      </c>
      <c r="J915" s="12">
        <f>IFERROR(__xludf.DUMMYFUNCTION("""COMPUTED_VALUE"""),46095.0)</f>
        <v>46095</v>
      </c>
      <c r="K915" s="3" t="str">
        <f>IFERROR(__xludf.DUMMYFUNCTION("""COMPUTED_VALUE"""),"0800-1600")</f>
        <v>0800-1600</v>
      </c>
      <c r="L915" s="3">
        <f>IFERROR(__xludf.DUMMYFUNCTION("""COMPUTED_VALUE"""),8.0)</f>
        <v>8</v>
      </c>
      <c r="M915" s="3" t="str">
        <f>IFERROR(__xludf.DUMMYFUNCTION("""COMPUTED_VALUE"""),"ศูนย์บริการโลหิต")</f>
        <v>ศูนย์บริการโลหิต</v>
      </c>
      <c r="N915" s="14" t="str">
        <f>IFERROR(__xludf.DUMMYFUNCTION("""COMPUTED_VALUE"""),"https://lh5.googleusercontent.com/d/1WcLkmJO7eb2b8cSYGLapww5UKK5Q6N51")</f>
        <v>https://lh5.googleusercontent.com/d/1WcLkmJO7eb2b8cSYGLapww5UKK5Q6N51</v>
      </c>
      <c r="O915" s="14" t="str">
        <f>IFERROR(__xludf.DUMMYFUNCTION("""COMPUTED_VALUE"""),"https://drive.google.com/file/d/1fXoGTkhF9LI_IV_sDc9tzZlKaj4D9oYG/view?usp=drivesdk")</f>
        <v>https://drive.google.com/file/d/1fXoGTkhF9LI_IV_sDc9tzZlKaj4D9oYG/view?usp=drivesdk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O31"/>
    <hyperlink r:id="rId61" ref="N32"/>
    <hyperlink r:id="rId62" ref="O32"/>
    <hyperlink r:id="rId63" ref="N33"/>
    <hyperlink r:id="rId64" ref="O33"/>
    <hyperlink r:id="rId65" ref="N34"/>
    <hyperlink r:id="rId66" ref="O34"/>
    <hyperlink r:id="rId67" ref="N35"/>
    <hyperlink r:id="rId68" ref="O35"/>
    <hyperlink r:id="rId69" ref="N36"/>
    <hyperlink r:id="rId70" ref="O36"/>
    <hyperlink r:id="rId71" ref="N37"/>
    <hyperlink r:id="rId72" ref="O37"/>
    <hyperlink r:id="rId73" ref="N38"/>
    <hyperlink r:id="rId74" ref="O38"/>
    <hyperlink r:id="rId75" ref="N39"/>
    <hyperlink r:id="rId76" ref="O39"/>
    <hyperlink r:id="rId77" ref="N40"/>
    <hyperlink r:id="rId78" ref="O40"/>
    <hyperlink r:id="rId79" ref="N41"/>
    <hyperlink r:id="rId80" ref="O41"/>
    <hyperlink r:id="rId81" ref="N42"/>
    <hyperlink r:id="rId82" ref="O42"/>
    <hyperlink r:id="rId83" ref="N43"/>
    <hyperlink r:id="rId84" ref="O43"/>
    <hyperlink r:id="rId85" ref="N44"/>
    <hyperlink r:id="rId86" ref="O44"/>
    <hyperlink r:id="rId87" ref="N45"/>
    <hyperlink r:id="rId88" ref="O45"/>
    <hyperlink r:id="rId89" ref="N46"/>
    <hyperlink r:id="rId90" ref="O46"/>
    <hyperlink r:id="rId91" ref="N47"/>
    <hyperlink r:id="rId92" ref="O47"/>
    <hyperlink r:id="rId93" ref="N48"/>
    <hyperlink r:id="rId94" ref="O48"/>
    <hyperlink r:id="rId95" ref="N49"/>
    <hyperlink r:id="rId96" ref="O49"/>
    <hyperlink r:id="rId97" ref="N50"/>
    <hyperlink r:id="rId98" ref="O50"/>
    <hyperlink r:id="rId99" ref="N51"/>
    <hyperlink r:id="rId100" ref="O51"/>
    <hyperlink r:id="rId101" ref="N52"/>
    <hyperlink r:id="rId102" ref="O52"/>
    <hyperlink r:id="rId103" ref="N53"/>
    <hyperlink r:id="rId104" ref="O53"/>
    <hyperlink r:id="rId105" ref="N54"/>
    <hyperlink r:id="rId106" ref="O54"/>
    <hyperlink r:id="rId107" ref="N55"/>
    <hyperlink r:id="rId108" ref="O55"/>
    <hyperlink r:id="rId109" ref="N56"/>
    <hyperlink r:id="rId110" ref="O56"/>
    <hyperlink r:id="rId111" ref="N57"/>
    <hyperlink r:id="rId112" ref="O57"/>
    <hyperlink r:id="rId113" ref="N58"/>
    <hyperlink r:id="rId114" ref="O58"/>
    <hyperlink r:id="rId115" ref="N59"/>
    <hyperlink r:id="rId116" ref="O59"/>
    <hyperlink r:id="rId117" ref="N60"/>
    <hyperlink r:id="rId118" ref="O60"/>
    <hyperlink r:id="rId119" ref="N61"/>
    <hyperlink r:id="rId120" ref="O61"/>
    <hyperlink r:id="rId121" ref="N62"/>
    <hyperlink r:id="rId122" ref="O62"/>
    <hyperlink r:id="rId123" ref="N63"/>
    <hyperlink r:id="rId124" ref="O63"/>
    <hyperlink r:id="rId125" ref="N64"/>
    <hyperlink r:id="rId126" ref="O64"/>
    <hyperlink r:id="rId127" ref="N65"/>
    <hyperlink r:id="rId128" ref="O65"/>
    <hyperlink r:id="rId129" ref="N66"/>
    <hyperlink r:id="rId130" ref="O66"/>
    <hyperlink r:id="rId131" ref="N67"/>
    <hyperlink r:id="rId132" ref="O67"/>
    <hyperlink r:id="rId133" ref="N68"/>
    <hyperlink r:id="rId134" ref="O68"/>
    <hyperlink r:id="rId135" ref="N69"/>
    <hyperlink r:id="rId136" ref="O69"/>
    <hyperlink r:id="rId137" ref="N70"/>
    <hyperlink r:id="rId138" ref="O70"/>
    <hyperlink r:id="rId139" ref="N71"/>
    <hyperlink r:id="rId140" ref="O71"/>
    <hyperlink r:id="rId141" ref="N72"/>
    <hyperlink r:id="rId142" ref="O72"/>
    <hyperlink r:id="rId143" ref="N73"/>
    <hyperlink r:id="rId144" ref="O73"/>
    <hyperlink r:id="rId145" ref="N74"/>
    <hyperlink r:id="rId146" ref="O74"/>
    <hyperlink r:id="rId147" ref="N75"/>
    <hyperlink r:id="rId148" ref="O75"/>
    <hyperlink r:id="rId149" ref="N76"/>
    <hyperlink r:id="rId150" ref="O76"/>
    <hyperlink r:id="rId151" ref="N77"/>
    <hyperlink r:id="rId152" ref="N78"/>
    <hyperlink r:id="rId153" ref="O78"/>
    <hyperlink r:id="rId154" ref="N79"/>
    <hyperlink r:id="rId155" ref="O79"/>
    <hyperlink r:id="rId156" ref="N80"/>
    <hyperlink r:id="rId157" ref="O80"/>
    <hyperlink r:id="rId158" ref="N81"/>
    <hyperlink r:id="rId159" ref="O81"/>
    <hyperlink r:id="rId160" ref="N82"/>
    <hyperlink r:id="rId161" ref="O82"/>
    <hyperlink r:id="rId162" ref="N83"/>
    <hyperlink r:id="rId163" ref="O83"/>
    <hyperlink r:id="rId164" ref="N84"/>
    <hyperlink r:id="rId165" ref="O84"/>
    <hyperlink r:id="rId166" ref="N85"/>
    <hyperlink r:id="rId167" ref="O85"/>
    <hyperlink r:id="rId168" ref="N86"/>
    <hyperlink r:id="rId169" ref="O86"/>
    <hyperlink r:id="rId170" ref="N87"/>
    <hyperlink r:id="rId171" ref="O87"/>
    <hyperlink r:id="rId172" ref="N88"/>
    <hyperlink r:id="rId173" ref="O88"/>
    <hyperlink r:id="rId174" ref="N89"/>
    <hyperlink r:id="rId175" ref="O89"/>
    <hyperlink r:id="rId176" ref="N90"/>
    <hyperlink r:id="rId177" ref="O90"/>
    <hyperlink r:id="rId178" ref="N91"/>
    <hyperlink r:id="rId179" ref="O91"/>
    <hyperlink r:id="rId180" ref="N92"/>
    <hyperlink r:id="rId181" ref="O92"/>
    <hyperlink r:id="rId182" ref="N93"/>
    <hyperlink r:id="rId183" ref="O93"/>
    <hyperlink r:id="rId184" ref="N94"/>
    <hyperlink r:id="rId185" ref="O94"/>
    <hyperlink r:id="rId186" ref="N95"/>
    <hyperlink r:id="rId187" ref="O95"/>
    <hyperlink r:id="rId188" ref="N96"/>
    <hyperlink r:id="rId189" ref="O96"/>
    <hyperlink r:id="rId190" ref="N97"/>
    <hyperlink r:id="rId191" ref="O97"/>
    <hyperlink r:id="rId192" ref="N98"/>
    <hyperlink r:id="rId193" ref="O98"/>
    <hyperlink r:id="rId194" ref="N99"/>
    <hyperlink r:id="rId195" ref="O99"/>
    <hyperlink r:id="rId196" ref="N100"/>
    <hyperlink r:id="rId197" ref="O100"/>
    <hyperlink r:id="rId198" ref="N101"/>
    <hyperlink r:id="rId199" ref="O101"/>
    <hyperlink r:id="rId200" ref="N102"/>
    <hyperlink r:id="rId201" ref="O102"/>
    <hyperlink r:id="rId202" ref="N103"/>
    <hyperlink r:id="rId203" ref="O103"/>
    <hyperlink r:id="rId204" ref="N104"/>
    <hyperlink r:id="rId205" ref="N105"/>
    <hyperlink r:id="rId206" ref="O105"/>
    <hyperlink r:id="rId207" ref="N106"/>
    <hyperlink r:id="rId208" ref="O106"/>
    <hyperlink r:id="rId209" ref="N107"/>
    <hyperlink r:id="rId210" ref="O107"/>
    <hyperlink r:id="rId211" ref="N108"/>
    <hyperlink r:id="rId212" ref="O108"/>
    <hyperlink r:id="rId213" ref="N109"/>
    <hyperlink r:id="rId214" ref="O109"/>
    <hyperlink r:id="rId215" ref="N110"/>
    <hyperlink r:id="rId216" ref="O110"/>
    <hyperlink r:id="rId217" ref="N111"/>
    <hyperlink r:id="rId218" ref="O111"/>
    <hyperlink r:id="rId219" ref="N112"/>
    <hyperlink r:id="rId220" ref="O112"/>
    <hyperlink r:id="rId221" ref="N113"/>
    <hyperlink r:id="rId222" ref="O113"/>
    <hyperlink r:id="rId223" ref="N114"/>
    <hyperlink r:id="rId224" ref="O114"/>
    <hyperlink r:id="rId225" ref="N115"/>
    <hyperlink r:id="rId226" ref="O115"/>
    <hyperlink r:id="rId227" ref="N116"/>
    <hyperlink r:id="rId228" ref="O116"/>
    <hyperlink r:id="rId229" ref="N117"/>
    <hyperlink r:id="rId230" ref="O117"/>
    <hyperlink r:id="rId231" ref="N118"/>
    <hyperlink r:id="rId232" ref="O118"/>
    <hyperlink r:id="rId233" ref="N119"/>
    <hyperlink r:id="rId234" ref="O119"/>
    <hyperlink r:id="rId235" ref="N120"/>
    <hyperlink r:id="rId236" ref="O120"/>
    <hyperlink r:id="rId237" ref="N121"/>
    <hyperlink r:id="rId238" ref="O121"/>
    <hyperlink r:id="rId239" ref="N122"/>
    <hyperlink r:id="rId240" ref="O122"/>
    <hyperlink r:id="rId241" ref="N123"/>
    <hyperlink r:id="rId242" ref="O123"/>
    <hyperlink r:id="rId243" ref="N124"/>
    <hyperlink r:id="rId244" ref="O124"/>
    <hyperlink r:id="rId245" ref="N125"/>
    <hyperlink r:id="rId246" ref="O125"/>
    <hyperlink r:id="rId247" ref="N126"/>
    <hyperlink r:id="rId248" ref="O126"/>
    <hyperlink r:id="rId249" ref="N127"/>
    <hyperlink r:id="rId250" ref="O127"/>
    <hyperlink r:id="rId251" ref="N128"/>
    <hyperlink r:id="rId252" ref="O128"/>
    <hyperlink r:id="rId253" ref="N129"/>
    <hyperlink r:id="rId254" ref="O129"/>
    <hyperlink r:id="rId255" ref="N130"/>
    <hyperlink r:id="rId256" ref="O130"/>
    <hyperlink r:id="rId257" ref="N131"/>
    <hyperlink r:id="rId258" ref="O131"/>
    <hyperlink r:id="rId259" ref="N132"/>
    <hyperlink r:id="rId260" ref="O132"/>
    <hyperlink r:id="rId261" ref="N133"/>
    <hyperlink r:id="rId262" ref="O133"/>
    <hyperlink r:id="rId263" ref="N134"/>
    <hyperlink r:id="rId264" ref="O134"/>
    <hyperlink r:id="rId265" ref="N135"/>
    <hyperlink r:id="rId266" ref="O135"/>
    <hyperlink r:id="rId267" ref="N136"/>
    <hyperlink r:id="rId268" ref="O136"/>
    <hyperlink r:id="rId269" ref="N137"/>
    <hyperlink r:id="rId270" ref="O137"/>
    <hyperlink r:id="rId271" ref="N138"/>
    <hyperlink r:id="rId272" ref="O138"/>
    <hyperlink r:id="rId273" ref="N139"/>
    <hyperlink r:id="rId274" ref="O139"/>
    <hyperlink r:id="rId275" ref="N140"/>
    <hyperlink r:id="rId276" ref="O140"/>
    <hyperlink r:id="rId277" ref="N141"/>
    <hyperlink r:id="rId278" ref="O141"/>
    <hyperlink r:id="rId279" ref="N142"/>
    <hyperlink r:id="rId280" ref="O142"/>
    <hyperlink r:id="rId281" ref="N143"/>
    <hyperlink r:id="rId282" ref="O143"/>
    <hyperlink r:id="rId283" ref="N144"/>
    <hyperlink r:id="rId284" ref="O144"/>
    <hyperlink r:id="rId285" ref="N145"/>
    <hyperlink r:id="rId286" ref="O145"/>
    <hyperlink r:id="rId287" ref="N146"/>
    <hyperlink r:id="rId288" ref="O146"/>
    <hyperlink r:id="rId289" ref="N147"/>
    <hyperlink r:id="rId290" ref="O147"/>
    <hyperlink r:id="rId291" ref="N148"/>
    <hyperlink r:id="rId292" ref="O148"/>
    <hyperlink r:id="rId293" ref="N149"/>
    <hyperlink r:id="rId294" ref="O149"/>
    <hyperlink r:id="rId295" ref="N150"/>
    <hyperlink r:id="rId296" ref="O150"/>
    <hyperlink r:id="rId297" ref="N151"/>
    <hyperlink r:id="rId298" ref="O151"/>
    <hyperlink r:id="rId299" ref="N152"/>
    <hyperlink r:id="rId300" ref="O152"/>
    <hyperlink r:id="rId301" ref="N153"/>
    <hyperlink r:id="rId302" ref="O153"/>
    <hyperlink r:id="rId303" ref="N154"/>
    <hyperlink r:id="rId304" ref="O154"/>
    <hyperlink r:id="rId305" ref="N155"/>
    <hyperlink r:id="rId306" ref="O155"/>
    <hyperlink r:id="rId307" ref="N156"/>
    <hyperlink r:id="rId308" ref="O156"/>
    <hyperlink r:id="rId309" ref="N157"/>
    <hyperlink r:id="rId310" ref="O157"/>
    <hyperlink r:id="rId311" ref="N158"/>
    <hyperlink r:id="rId312" ref="O158"/>
    <hyperlink r:id="rId313" ref="N159"/>
    <hyperlink r:id="rId314" ref="O159"/>
    <hyperlink r:id="rId315" ref="N160"/>
    <hyperlink r:id="rId316" ref="O160"/>
    <hyperlink r:id="rId317" ref="N161"/>
    <hyperlink r:id="rId318" ref="O161"/>
    <hyperlink r:id="rId319" ref="N162"/>
    <hyperlink r:id="rId320" ref="O162"/>
    <hyperlink r:id="rId321" ref="N163"/>
    <hyperlink r:id="rId322" ref="O163"/>
    <hyperlink r:id="rId323" ref="N164"/>
    <hyperlink r:id="rId324" ref="N165"/>
    <hyperlink r:id="rId325" ref="O165"/>
    <hyperlink r:id="rId326" ref="N166"/>
    <hyperlink r:id="rId327" ref="O166"/>
    <hyperlink r:id="rId328" ref="N167"/>
    <hyperlink r:id="rId329" ref="N168"/>
    <hyperlink r:id="rId330" ref="O168"/>
    <hyperlink r:id="rId331" ref="N169"/>
    <hyperlink r:id="rId332" ref="O169"/>
    <hyperlink r:id="rId333" ref="N170"/>
    <hyperlink r:id="rId334" ref="O170"/>
    <hyperlink r:id="rId335" ref="N171"/>
    <hyperlink r:id="rId336" ref="O171"/>
    <hyperlink r:id="rId337" ref="N172"/>
    <hyperlink r:id="rId338" ref="O172"/>
    <hyperlink r:id="rId339" ref="N173"/>
    <hyperlink r:id="rId340" ref="O173"/>
    <hyperlink r:id="rId341" ref="N174"/>
    <hyperlink r:id="rId342" ref="O174"/>
    <hyperlink r:id="rId343" ref="N175"/>
    <hyperlink r:id="rId344" ref="O175"/>
    <hyperlink r:id="rId345" ref="N176"/>
    <hyperlink r:id="rId346" ref="O176"/>
    <hyperlink r:id="rId347" ref="N177"/>
    <hyperlink r:id="rId348" ref="O177"/>
    <hyperlink r:id="rId349" ref="N178"/>
    <hyperlink r:id="rId350" ref="O178"/>
    <hyperlink r:id="rId351" ref="N179"/>
    <hyperlink r:id="rId352" ref="O179"/>
    <hyperlink r:id="rId353" ref="N180"/>
    <hyperlink r:id="rId354" ref="O180"/>
    <hyperlink r:id="rId355" ref="N181"/>
    <hyperlink r:id="rId356" ref="O181"/>
    <hyperlink r:id="rId357" ref="N182"/>
    <hyperlink r:id="rId358" ref="O182"/>
    <hyperlink r:id="rId359" ref="N183"/>
    <hyperlink r:id="rId360" ref="O183"/>
    <hyperlink r:id="rId361" ref="N184"/>
    <hyperlink r:id="rId362" ref="O184"/>
    <hyperlink r:id="rId363" ref="N185"/>
    <hyperlink r:id="rId364" ref="O185"/>
    <hyperlink r:id="rId365" ref="N186"/>
    <hyperlink r:id="rId366" ref="O186"/>
    <hyperlink r:id="rId367" ref="N187"/>
    <hyperlink r:id="rId368" ref="O187"/>
    <hyperlink r:id="rId369" ref="N188"/>
    <hyperlink r:id="rId370" ref="O188"/>
    <hyperlink r:id="rId371" ref="N189"/>
    <hyperlink r:id="rId372" ref="O189"/>
    <hyperlink r:id="rId373" ref="N190"/>
    <hyperlink r:id="rId374" ref="O190"/>
    <hyperlink r:id="rId375" ref="N191"/>
    <hyperlink r:id="rId376" ref="O191"/>
    <hyperlink r:id="rId377" ref="N193"/>
    <hyperlink r:id="rId378" ref="O193"/>
    <hyperlink r:id="rId379" ref="N194"/>
    <hyperlink r:id="rId380" ref="O194"/>
    <hyperlink r:id="rId381" ref="N195"/>
    <hyperlink r:id="rId382" ref="O195"/>
    <hyperlink r:id="rId383" ref="N196"/>
    <hyperlink r:id="rId384" ref="O196"/>
    <hyperlink r:id="rId385" ref="N197"/>
    <hyperlink r:id="rId386" ref="O197"/>
    <hyperlink r:id="rId387" ref="N198"/>
    <hyperlink r:id="rId388" ref="O198"/>
    <hyperlink r:id="rId389" ref="N199"/>
    <hyperlink r:id="rId390" ref="O199"/>
    <hyperlink r:id="rId391" ref="N200"/>
    <hyperlink r:id="rId392" ref="O200"/>
    <hyperlink r:id="rId393" ref="N201"/>
    <hyperlink r:id="rId394" ref="O201"/>
    <hyperlink r:id="rId395" ref="N202"/>
    <hyperlink r:id="rId396" ref="O202"/>
    <hyperlink r:id="rId397" ref="N203"/>
    <hyperlink r:id="rId398" ref="O203"/>
    <hyperlink r:id="rId399" ref="N204"/>
    <hyperlink r:id="rId400" ref="O204"/>
    <hyperlink r:id="rId401" ref="N205"/>
    <hyperlink r:id="rId402" ref="O205"/>
    <hyperlink r:id="rId403" ref="N206"/>
    <hyperlink r:id="rId404" ref="O206"/>
    <hyperlink r:id="rId405" ref="N207"/>
    <hyperlink r:id="rId406" ref="O207"/>
    <hyperlink r:id="rId407" ref="N208"/>
    <hyperlink r:id="rId408" ref="O208"/>
    <hyperlink r:id="rId409" ref="N209"/>
    <hyperlink r:id="rId410" ref="O209"/>
    <hyperlink r:id="rId411" ref="N210"/>
    <hyperlink r:id="rId412" ref="O210"/>
    <hyperlink r:id="rId413" ref="N211"/>
    <hyperlink r:id="rId414" ref="O211"/>
    <hyperlink r:id="rId415" ref="N212"/>
    <hyperlink r:id="rId416" ref="O212"/>
    <hyperlink r:id="rId417" ref="N213"/>
    <hyperlink r:id="rId418" ref="O213"/>
    <hyperlink r:id="rId419" ref="N214"/>
    <hyperlink r:id="rId420" ref="O214"/>
    <hyperlink r:id="rId421" ref="N215"/>
    <hyperlink r:id="rId422" ref="O215"/>
    <hyperlink r:id="rId423" ref="N216"/>
    <hyperlink r:id="rId424" ref="O216"/>
    <hyperlink r:id="rId425" ref="N217"/>
    <hyperlink r:id="rId426" ref="O217"/>
    <hyperlink r:id="rId427" ref="N218"/>
    <hyperlink r:id="rId428" ref="O218"/>
    <hyperlink r:id="rId429" ref="N219"/>
    <hyperlink r:id="rId430" ref="O219"/>
    <hyperlink r:id="rId431" ref="N220"/>
    <hyperlink r:id="rId432" ref="O220"/>
    <hyperlink r:id="rId433" ref="N221"/>
    <hyperlink r:id="rId434" ref="O221"/>
    <hyperlink r:id="rId435" ref="N222"/>
    <hyperlink r:id="rId436" ref="O222"/>
    <hyperlink r:id="rId437" ref="N223"/>
    <hyperlink r:id="rId438" ref="O223"/>
    <hyperlink r:id="rId439" ref="N224"/>
    <hyperlink r:id="rId440" ref="O224"/>
    <hyperlink r:id="rId441" ref="N225"/>
    <hyperlink r:id="rId442" ref="O225"/>
    <hyperlink r:id="rId443" ref="N226"/>
    <hyperlink r:id="rId444" ref="O226"/>
    <hyperlink r:id="rId445" ref="N227"/>
    <hyperlink r:id="rId446" ref="O227"/>
    <hyperlink r:id="rId447" ref="N228"/>
    <hyperlink r:id="rId448" ref="O228"/>
    <hyperlink r:id="rId449" ref="N229"/>
    <hyperlink r:id="rId450" ref="O229"/>
    <hyperlink r:id="rId451" ref="N230"/>
    <hyperlink r:id="rId452" ref="O230"/>
    <hyperlink r:id="rId453" ref="N231"/>
    <hyperlink r:id="rId454" ref="O231"/>
    <hyperlink r:id="rId455" ref="N232"/>
    <hyperlink r:id="rId456" ref="O232"/>
    <hyperlink r:id="rId457" ref="N233"/>
    <hyperlink r:id="rId458" ref="O233"/>
    <hyperlink r:id="rId459" ref="N234"/>
    <hyperlink r:id="rId460" ref="O234"/>
    <hyperlink r:id="rId461" ref="N235"/>
    <hyperlink r:id="rId462" ref="O235"/>
    <hyperlink r:id="rId463" ref="N236"/>
    <hyperlink r:id="rId464" ref="O236"/>
    <hyperlink r:id="rId465" ref="N237"/>
    <hyperlink r:id="rId466" ref="O237"/>
    <hyperlink r:id="rId467" ref="N238"/>
    <hyperlink r:id="rId468" ref="O238"/>
    <hyperlink r:id="rId469" ref="N239"/>
    <hyperlink r:id="rId470" ref="O239"/>
    <hyperlink r:id="rId471" ref="N240"/>
    <hyperlink r:id="rId472" ref="O240"/>
    <hyperlink r:id="rId473" ref="N241"/>
    <hyperlink r:id="rId474" ref="O241"/>
    <hyperlink r:id="rId475" ref="N242"/>
    <hyperlink r:id="rId476" ref="O242"/>
    <hyperlink r:id="rId477" ref="N243"/>
    <hyperlink r:id="rId478" ref="O243"/>
    <hyperlink r:id="rId479" ref="N244"/>
    <hyperlink r:id="rId480" ref="O244"/>
    <hyperlink r:id="rId481" ref="N245"/>
    <hyperlink r:id="rId482" ref="O245"/>
    <hyperlink r:id="rId483" ref="N246"/>
    <hyperlink r:id="rId484" ref="O246"/>
    <hyperlink r:id="rId485" ref="N247"/>
    <hyperlink r:id="rId486" ref="O247"/>
    <hyperlink r:id="rId487" ref="N248"/>
    <hyperlink r:id="rId488" ref="O248"/>
    <hyperlink r:id="rId489" ref="N249"/>
    <hyperlink r:id="rId490" ref="O249"/>
    <hyperlink r:id="rId491" ref="N250"/>
    <hyperlink r:id="rId492" ref="O250"/>
    <hyperlink r:id="rId493" ref="N251"/>
    <hyperlink r:id="rId494" ref="O251"/>
    <hyperlink r:id="rId495" ref="N252"/>
    <hyperlink r:id="rId496" ref="O252"/>
    <hyperlink r:id="rId497" ref="N253"/>
    <hyperlink r:id="rId498" ref="O253"/>
    <hyperlink r:id="rId499" ref="N254"/>
    <hyperlink r:id="rId500" ref="O254"/>
    <hyperlink r:id="rId501" ref="N255"/>
    <hyperlink r:id="rId502" ref="O255"/>
    <hyperlink r:id="rId503" ref="N256"/>
    <hyperlink r:id="rId504" ref="O256"/>
    <hyperlink r:id="rId505" ref="N257"/>
    <hyperlink r:id="rId506" ref="O257"/>
    <hyperlink r:id="rId507" ref="N258"/>
    <hyperlink r:id="rId508" ref="O258"/>
    <hyperlink r:id="rId509" ref="N259"/>
    <hyperlink r:id="rId510" ref="O259"/>
    <hyperlink r:id="rId511" ref="N260"/>
    <hyperlink r:id="rId512" ref="O260"/>
    <hyperlink r:id="rId513" ref="N261"/>
    <hyperlink r:id="rId514" ref="O261"/>
    <hyperlink r:id="rId515" ref="N262"/>
    <hyperlink r:id="rId516" ref="O262"/>
    <hyperlink r:id="rId517" ref="N263"/>
    <hyperlink r:id="rId518" ref="O263"/>
    <hyperlink r:id="rId519" ref="N264"/>
    <hyperlink r:id="rId520" ref="O264"/>
    <hyperlink r:id="rId521" ref="N265"/>
    <hyperlink r:id="rId522" ref="O265"/>
    <hyperlink r:id="rId523" ref="N266"/>
    <hyperlink r:id="rId524" ref="O266"/>
    <hyperlink r:id="rId525" ref="N267"/>
    <hyperlink r:id="rId526" ref="O267"/>
    <hyperlink r:id="rId527" ref="N268"/>
    <hyperlink r:id="rId528" ref="O268"/>
    <hyperlink r:id="rId529" ref="N269"/>
    <hyperlink r:id="rId530" ref="O269"/>
    <hyperlink r:id="rId531" ref="N270"/>
    <hyperlink r:id="rId532" ref="O270"/>
    <hyperlink r:id="rId533" ref="N271"/>
    <hyperlink r:id="rId534" ref="O271"/>
    <hyperlink r:id="rId535" ref="N272"/>
    <hyperlink r:id="rId536" ref="O272"/>
    <hyperlink r:id="rId537" ref="N273"/>
    <hyperlink r:id="rId538" ref="O273"/>
    <hyperlink r:id="rId539" ref="N274"/>
    <hyperlink r:id="rId540" ref="O274"/>
    <hyperlink r:id="rId541" ref="N275"/>
    <hyperlink r:id="rId542" ref="N276"/>
    <hyperlink r:id="rId543" ref="O276"/>
    <hyperlink r:id="rId544" ref="N277"/>
    <hyperlink r:id="rId545" ref="O277"/>
    <hyperlink r:id="rId546" ref="N278"/>
    <hyperlink r:id="rId547" ref="O278"/>
    <hyperlink r:id="rId548" ref="N279"/>
    <hyperlink r:id="rId549" ref="O279"/>
    <hyperlink r:id="rId550" ref="N280"/>
    <hyperlink r:id="rId551" ref="O280"/>
    <hyperlink r:id="rId552" ref="N281"/>
    <hyperlink r:id="rId553" ref="O281"/>
    <hyperlink r:id="rId554" ref="N282"/>
    <hyperlink r:id="rId555" ref="O282"/>
    <hyperlink r:id="rId556" ref="N283"/>
    <hyperlink r:id="rId557" ref="O283"/>
    <hyperlink r:id="rId558" ref="N284"/>
    <hyperlink r:id="rId559" ref="O284"/>
    <hyperlink r:id="rId560" ref="N285"/>
    <hyperlink r:id="rId561" ref="O285"/>
    <hyperlink r:id="rId562" ref="N286"/>
    <hyperlink r:id="rId563" ref="O286"/>
    <hyperlink r:id="rId564" ref="N287"/>
    <hyperlink r:id="rId565" ref="O287"/>
    <hyperlink r:id="rId566" ref="N288"/>
    <hyperlink r:id="rId567" ref="O288"/>
    <hyperlink r:id="rId568" ref="N289"/>
    <hyperlink r:id="rId569" ref="O289"/>
    <hyperlink r:id="rId570" ref="N290"/>
    <hyperlink r:id="rId571" ref="O290"/>
    <hyperlink r:id="rId572" ref="N291"/>
    <hyperlink r:id="rId573" ref="O291"/>
    <hyperlink r:id="rId574" ref="N292"/>
    <hyperlink r:id="rId575" ref="N293"/>
    <hyperlink r:id="rId576" ref="N294"/>
    <hyperlink r:id="rId577" ref="O294"/>
    <hyperlink r:id="rId578" ref="N295"/>
    <hyperlink r:id="rId579" ref="O295"/>
    <hyperlink r:id="rId580" ref="N296"/>
    <hyperlink r:id="rId581" ref="O296"/>
    <hyperlink r:id="rId582" ref="N297"/>
    <hyperlink r:id="rId583" ref="O297"/>
    <hyperlink r:id="rId584" ref="N298"/>
    <hyperlink r:id="rId585" ref="O298"/>
    <hyperlink r:id="rId586" ref="N299"/>
    <hyperlink r:id="rId587" ref="O299"/>
    <hyperlink r:id="rId588" ref="N300"/>
    <hyperlink r:id="rId589" ref="O300"/>
    <hyperlink r:id="rId590" ref="N301"/>
    <hyperlink r:id="rId591" ref="O301"/>
    <hyperlink r:id="rId592" ref="N302"/>
    <hyperlink r:id="rId593" ref="O302"/>
    <hyperlink r:id="rId594" ref="N303"/>
    <hyperlink r:id="rId595" ref="O303"/>
    <hyperlink r:id="rId596" ref="N304"/>
    <hyperlink r:id="rId597" ref="O304"/>
    <hyperlink r:id="rId598" ref="N305"/>
    <hyperlink r:id="rId599" ref="O305"/>
    <hyperlink r:id="rId600" ref="N306"/>
    <hyperlink r:id="rId601" ref="O306"/>
    <hyperlink r:id="rId602" ref="N307"/>
    <hyperlink r:id="rId603" ref="O307"/>
    <hyperlink r:id="rId604" ref="N308"/>
    <hyperlink r:id="rId605" ref="O308"/>
    <hyperlink r:id="rId606" ref="N309"/>
    <hyperlink r:id="rId607" ref="O309"/>
    <hyperlink r:id="rId608" ref="N310"/>
    <hyperlink r:id="rId609" ref="O310"/>
    <hyperlink r:id="rId610" ref="N311"/>
    <hyperlink r:id="rId611" ref="O311"/>
    <hyperlink r:id="rId612" ref="N312"/>
    <hyperlink r:id="rId613" ref="O312"/>
    <hyperlink r:id="rId614" ref="N313"/>
    <hyperlink r:id="rId615" ref="O313"/>
    <hyperlink r:id="rId616" ref="N314"/>
    <hyperlink r:id="rId617" ref="O314"/>
    <hyperlink r:id="rId618" ref="N315"/>
    <hyperlink r:id="rId619" ref="O315"/>
    <hyperlink r:id="rId620" ref="N316"/>
    <hyperlink r:id="rId621" ref="O316"/>
    <hyperlink r:id="rId622" ref="N317"/>
    <hyperlink r:id="rId623" ref="O317"/>
    <hyperlink r:id="rId624" ref="N318"/>
    <hyperlink r:id="rId625" ref="O318"/>
    <hyperlink r:id="rId626" ref="N319"/>
    <hyperlink r:id="rId627" ref="O319"/>
    <hyperlink r:id="rId628" ref="N320"/>
    <hyperlink r:id="rId629" ref="O320"/>
    <hyperlink r:id="rId630" ref="N321"/>
    <hyperlink r:id="rId631" ref="O321"/>
    <hyperlink r:id="rId632" ref="N322"/>
    <hyperlink r:id="rId633" ref="O322"/>
    <hyperlink r:id="rId634" ref="N323"/>
    <hyperlink r:id="rId635" ref="O323"/>
    <hyperlink r:id="rId636" ref="N324"/>
    <hyperlink r:id="rId637" ref="O324"/>
    <hyperlink r:id="rId638" ref="N325"/>
    <hyperlink r:id="rId639" ref="O325"/>
    <hyperlink r:id="rId640" ref="N326"/>
    <hyperlink r:id="rId641" ref="O326"/>
    <hyperlink r:id="rId642" ref="N327"/>
    <hyperlink r:id="rId643" ref="O327"/>
    <hyperlink r:id="rId644" ref="N328"/>
    <hyperlink r:id="rId645" ref="O328"/>
    <hyperlink r:id="rId646" ref="N329"/>
    <hyperlink r:id="rId647" ref="O329"/>
    <hyperlink r:id="rId648" ref="N330"/>
    <hyperlink r:id="rId649" ref="O330"/>
    <hyperlink r:id="rId650" ref="N331"/>
    <hyperlink r:id="rId651" ref="O331"/>
    <hyperlink r:id="rId652" ref="N332"/>
    <hyperlink r:id="rId653" ref="O332"/>
    <hyperlink r:id="rId654" ref="N333"/>
    <hyperlink r:id="rId655" ref="O333"/>
    <hyperlink r:id="rId656" ref="N334"/>
    <hyperlink r:id="rId657" ref="O334"/>
    <hyperlink r:id="rId658" ref="N335"/>
    <hyperlink r:id="rId659" ref="O335"/>
    <hyperlink r:id="rId660" ref="N336"/>
    <hyperlink r:id="rId661" ref="O336"/>
    <hyperlink r:id="rId662" ref="N337"/>
    <hyperlink r:id="rId663" ref="O337"/>
    <hyperlink r:id="rId664" ref="N338"/>
    <hyperlink r:id="rId665" ref="O338"/>
    <hyperlink r:id="rId666" ref="N339"/>
    <hyperlink r:id="rId667" ref="O339"/>
    <hyperlink r:id="rId668" ref="N340"/>
    <hyperlink r:id="rId669" ref="O340"/>
    <hyperlink r:id="rId670" ref="N341"/>
    <hyperlink r:id="rId671" ref="O341"/>
    <hyperlink r:id="rId672" ref="N342"/>
    <hyperlink r:id="rId673" ref="O342"/>
    <hyperlink r:id="rId674" ref="N343"/>
    <hyperlink r:id="rId675" ref="O343"/>
    <hyperlink r:id="rId676" ref="N344"/>
    <hyperlink r:id="rId677" ref="O344"/>
    <hyperlink r:id="rId678" ref="N345"/>
    <hyperlink r:id="rId679" ref="O345"/>
    <hyperlink r:id="rId680" ref="N346"/>
    <hyperlink r:id="rId681" ref="O346"/>
    <hyperlink r:id="rId682" ref="N347"/>
    <hyperlink r:id="rId683" ref="O347"/>
    <hyperlink r:id="rId684" ref="N348"/>
    <hyperlink r:id="rId685" ref="O348"/>
    <hyperlink r:id="rId686" ref="N349"/>
    <hyperlink r:id="rId687" ref="O349"/>
    <hyperlink r:id="rId688" ref="N350"/>
    <hyperlink r:id="rId689" ref="O350"/>
    <hyperlink r:id="rId690" ref="N351"/>
    <hyperlink r:id="rId691" ref="O351"/>
    <hyperlink r:id="rId692" ref="N352"/>
    <hyperlink r:id="rId693" ref="O352"/>
    <hyperlink r:id="rId694" ref="N353"/>
    <hyperlink r:id="rId695" ref="O353"/>
    <hyperlink r:id="rId696" ref="N354"/>
    <hyperlink r:id="rId697" ref="O354"/>
    <hyperlink r:id="rId698" ref="N355"/>
    <hyperlink r:id="rId699" ref="O355"/>
    <hyperlink r:id="rId700" ref="N356"/>
    <hyperlink r:id="rId701" ref="O356"/>
    <hyperlink r:id="rId702" ref="N357"/>
    <hyperlink r:id="rId703" ref="O357"/>
    <hyperlink r:id="rId704" ref="N358"/>
    <hyperlink r:id="rId705" ref="O358"/>
    <hyperlink r:id="rId706" ref="N359"/>
    <hyperlink r:id="rId707" ref="O359"/>
    <hyperlink r:id="rId708" ref="N360"/>
    <hyperlink r:id="rId709" ref="O360"/>
    <hyperlink r:id="rId710" ref="N361"/>
    <hyperlink r:id="rId711" ref="O361"/>
    <hyperlink r:id="rId712" ref="N362"/>
    <hyperlink r:id="rId713" ref="O362"/>
    <hyperlink r:id="rId714" ref="N363"/>
    <hyperlink r:id="rId715" ref="O363"/>
    <hyperlink r:id="rId716" ref="N364"/>
    <hyperlink r:id="rId717" ref="O364"/>
    <hyperlink r:id="rId718" ref="N367"/>
    <hyperlink r:id="rId719" ref="O367"/>
    <hyperlink r:id="rId720" ref="N368"/>
    <hyperlink r:id="rId721" ref="O368"/>
    <hyperlink r:id="rId722" ref="N369"/>
    <hyperlink r:id="rId723" ref="O369"/>
    <hyperlink r:id="rId724" ref="N370"/>
    <hyperlink r:id="rId725" ref="O370"/>
    <hyperlink r:id="rId726" ref="N371"/>
    <hyperlink r:id="rId727" ref="O371"/>
    <hyperlink r:id="rId728" ref="N372"/>
    <hyperlink r:id="rId729" ref="O372"/>
    <hyperlink r:id="rId730" ref="N373"/>
    <hyperlink r:id="rId731" ref="O373"/>
    <hyperlink r:id="rId732" ref="N374"/>
    <hyperlink r:id="rId733" ref="O374"/>
    <hyperlink r:id="rId734" ref="N375"/>
    <hyperlink r:id="rId735" ref="O375"/>
    <hyperlink r:id="rId736" ref="N376"/>
    <hyperlink r:id="rId737" ref="O376"/>
    <hyperlink r:id="rId738" ref="N377"/>
    <hyperlink r:id="rId739" ref="O377"/>
    <hyperlink r:id="rId740" ref="N378"/>
    <hyperlink r:id="rId741" ref="O378"/>
    <hyperlink r:id="rId742" ref="N379"/>
    <hyperlink r:id="rId743" ref="O379"/>
    <hyperlink r:id="rId744" ref="N380"/>
    <hyperlink r:id="rId745" ref="O380"/>
    <hyperlink r:id="rId746" ref="N381"/>
    <hyperlink r:id="rId747" ref="O381"/>
    <hyperlink r:id="rId748" ref="N382"/>
    <hyperlink r:id="rId749" ref="O382"/>
    <hyperlink r:id="rId750" ref="N383"/>
    <hyperlink r:id="rId751" ref="O383"/>
    <hyperlink r:id="rId752" ref="N384"/>
    <hyperlink r:id="rId753" ref="O384"/>
    <hyperlink r:id="rId754" ref="N385"/>
    <hyperlink r:id="rId755" ref="O385"/>
    <hyperlink r:id="rId756" ref="N386"/>
    <hyperlink r:id="rId757" ref="O386"/>
    <hyperlink r:id="rId758" ref="N387"/>
    <hyperlink r:id="rId759" ref="O387"/>
    <hyperlink r:id="rId760" ref="N388"/>
    <hyperlink r:id="rId761" ref="O388"/>
    <hyperlink r:id="rId762" ref="N389"/>
    <hyperlink r:id="rId763" ref="O389"/>
    <hyperlink r:id="rId764" ref="N390"/>
    <hyperlink r:id="rId765" ref="O390"/>
    <hyperlink r:id="rId766" ref="N391"/>
    <hyperlink r:id="rId767" ref="O391"/>
    <hyperlink r:id="rId768" ref="N392"/>
    <hyperlink r:id="rId769" ref="O392"/>
    <hyperlink r:id="rId770" ref="N393"/>
    <hyperlink r:id="rId771" ref="O393"/>
    <hyperlink r:id="rId772" ref="N394"/>
    <hyperlink r:id="rId773" ref="O394"/>
    <hyperlink r:id="rId774" ref="N395"/>
    <hyperlink r:id="rId775" ref="O395"/>
    <hyperlink r:id="rId776" ref="N396"/>
    <hyperlink r:id="rId777" ref="O396"/>
    <hyperlink r:id="rId778" ref="N397"/>
    <hyperlink r:id="rId779" ref="O397"/>
    <hyperlink r:id="rId780" ref="N398"/>
    <hyperlink r:id="rId781" ref="O398"/>
    <hyperlink r:id="rId782" ref="N399"/>
    <hyperlink r:id="rId783" ref="O399"/>
    <hyperlink r:id="rId784" ref="N400"/>
    <hyperlink r:id="rId785" ref="O400"/>
    <hyperlink r:id="rId786" ref="N401"/>
    <hyperlink r:id="rId787" ref="O401"/>
    <hyperlink r:id="rId788" ref="N402"/>
    <hyperlink r:id="rId789" ref="O402"/>
    <hyperlink r:id="rId790" ref="N403"/>
    <hyperlink r:id="rId791" ref="O403"/>
    <hyperlink r:id="rId792" ref="N404"/>
    <hyperlink r:id="rId793" ref="O404"/>
    <hyperlink r:id="rId794" ref="N405"/>
    <hyperlink r:id="rId795" ref="O405"/>
    <hyperlink r:id="rId796" ref="N406"/>
    <hyperlink r:id="rId797" ref="O406"/>
    <hyperlink r:id="rId798" ref="N407"/>
    <hyperlink r:id="rId799" ref="O407"/>
    <hyperlink r:id="rId800" ref="N408"/>
    <hyperlink r:id="rId801" ref="O408"/>
    <hyperlink r:id="rId802" ref="N409"/>
    <hyperlink r:id="rId803" ref="O409"/>
    <hyperlink r:id="rId804" ref="N410"/>
    <hyperlink r:id="rId805" ref="O410"/>
    <hyperlink r:id="rId806" ref="N411"/>
    <hyperlink r:id="rId807" ref="O411"/>
    <hyperlink r:id="rId808" ref="N412"/>
    <hyperlink r:id="rId809" ref="O412"/>
    <hyperlink r:id="rId810" ref="N416"/>
    <hyperlink r:id="rId811" ref="O416"/>
    <hyperlink r:id="rId812" ref="N417"/>
    <hyperlink r:id="rId813" ref="O417"/>
    <hyperlink r:id="rId814" ref="N418"/>
    <hyperlink r:id="rId815" ref="O418"/>
    <hyperlink r:id="rId816" ref="N419"/>
    <hyperlink r:id="rId817" ref="O419"/>
    <hyperlink r:id="rId818" ref="N420"/>
    <hyperlink r:id="rId819" ref="O420"/>
    <hyperlink r:id="rId820" ref="N421"/>
    <hyperlink r:id="rId821" ref="O421"/>
    <hyperlink r:id="rId822" ref="N422"/>
    <hyperlink r:id="rId823" ref="O422"/>
    <hyperlink r:id="rId824" ref="N423"/>
    <hyperlink r:id="rId825" ref="O423"/>
    <hyperlink r:id="rId826" ref="N424"/>
    <hyperlink r:id="rId827" ref="O424"/>
    <hyperlink r:id="rId828" ref="N425"/>
    <hyperlink r:id="rId829" ref="O425"/>
    <hyperlink r:id="rId830" ref="N426"/>
    <hyperlink r:id="rId831" ref="O426"/>
    <hyperlink r:id="rId832" ref="N427"/>
    <hyperlink r:id="rId833" ref="O427"/>
    <hyperlink r:id="rId834" ref="N428"/>
    <hyperlink r:id="rId835" ref="O428"/>
    <hyperlink r:id="rId836" ref="N429"/>
    <hyperlink r:id="rId837" ref="O429"/>
    <hyperlink r:id="rId838" ref="N430"/>
    <hyperlink r:id="rId839" ref="O430"/>
    <hyperlink r:id="rId840" ref="N431"/>
    <hyperlink r:id="rId841" ref="O431"/>
    <hyperlink r:id="rId842" ref="N432"/>
    <hyperlink r:id="rId843" ref="O432"/>
    <hyperlink r:id="rId844" ref="N433"/>
    <hyperlink r:id="rId845" ref="O433"/>
    <hyperlink r:id="rId846" ref="N434"/>
    <hyperlink r:id="rId847" ref="O434"/>
    <hyperlink r:id="rId848" ref="N435"/>
    <hyperlink r:id="rId849" ref="O435"/>
    <hyperlink r:id="rId850" ref="N436"/>
    <hyperlink r:id="rId851" ref="O436"/>
    <hyperlink r:id="rId852" ref="N437"/>
    <hyperlink r:id="rId853" ref="O437"/>
    <hyperlink r:id="rId854" ref="N438"/>
    <hyperlink r:id="rId855" ref="O438"/>
    <hyperlink r:id="rId856" ref="N439"/>
    <hyperlink r:id="rId857" ref="O439"/>
    <hyperlink r:id="rId858" ref="N440"/>
    <hyperlink r:id="rId859" ref="O440"/>
    <hyperlink r:id="rId860" ref="N441"/>
    <hyperlink r:id="rId861" ref="O441"/>
    <hyperlink r:id="rId862" ref="N442"/>
    <hyperlink r:id="rId863" ref="O442"/>
    <hyperlink r:id="rId864" ref="N443"/>
    <hyperlink r:id="rId865" ref="O443"/>
    <hyperlink r:id="rId866" ref="N444"/>
    <hyperlink r:id="rId867" ref="O444"/>
    <hyperlink r:id="rId868" ref="N445"/>
    <hyperlink r:id="rId869" ref="O445"/>
    <hyperlink r:id="rId870" ref="N446"/>
    <hyperlink r:id="rId871" ref="O446"/>
    <hyperlink r:id="rId872" ref="N447"/>
    <hyperlink r:id="rId873" ref="O447"/>
    <hyperlink r:id="rId874" ref="N448"/>
    <hyperlink r:id="rId875" ref="O448"/>
    <hyperlink r:id="rId876" ref="N449"/>
    <hyperlink r:id="rId877" ref="O449"/>
    <hyperlink r:id="rId878" ref="N450"/>
    <hyperlink r:id="rId879" ref="O450"/>
    <hyperlink r:id="rId880" ref="N451"/>
    <hyperlink r:id="rId881" ref="O451"/>
    <hyperlink r:id="rId882" ref="N452"/>
    <hyperlink r:id="rId883" ref="O452"/>
    <hyperlink r:id="rId884" ref="N453"/>
    <hyperlink r:id="rId885" ref="O453"/>
    <hyperlink r:id="rId886" ref="N454"/>
    <hyperlink r:id="rId887" ref="O454"/>
    <hyperlink r:id="rId888" ref="N455"/>
    <hyperlink r:id="rId889" ref="O455"/>
    <hyperlink r:id="rId890" ref="N456"/>
    <hyperlink r:id="rId891" ref="O456"/>
    <hyperlink r:id="rId892" ref="N457"/>
    <hyperlink r:id="rId893" ref="O457"/>
    <hyperlink r:id="rId894" ref="N458"/>
    <hyperlink r:id="rId895" ref="O458"/>
    <hyperlink r:id="rId896" ref="N459"/>
    <hyperlink r:id="rId897" ref="O459"/>
    <hyperlink r:id="rId898" ref="N460"/>
    <hyperlink r:id="rId899" ref="O460"/>
    <hyperlink r:id="rId900" ref="N461"/>
    <hyperlink r:id="rId901" ref="O461"/>
    <hyperlink r:id="rId902" ref="N462"/>
    <hyperlink r:id="rId903" ref="O462"/>
    <hyperlink r:id="rId904" ref="N463"/>
    <hyperlink r:id="rId905" ref="O463"/>
    <hyperlink r:id="rId906" ref="N464"/>
    <hyperlink r:id="rId907" ref="O464"/>
    <hyperlink r:id="rId908" ref="N465"/>
    <hyperlink r:id="rId909" ref="O465"/>
    <hyperlink r:id="rId910" ref="N466"/>
    <hyperlink r:id="rId911" ref="O466"/>
    <hyperlink r:id="rId912" ref="N467"/>
    <hyperlink r:id="rId913" ref="O467"/>
    <hyperlink r:id="rId914" ref="N468"/>
    <hyperlink r:id="rId915" ref="O468"/>
    <hyperlink r:id="rId916" ref="N469"/>
    <hyperlink r:id="rId917" ref="O469"/>
    <hyperlink r:id="rId918" ref="N470"/>
    <hyperlink r:id="rId919" ref="O470"/>
    <hyperlink r:id="rId920" ref="N471"/>
    <hyperlink r:id="rId921" ref="O471"/>
    <hyperlink r:id="rId922" ref="N472"/>
    <hyperlink r:id="rId923" ref="O472"/>
    <hyperlink r:id="rId924" ref="N473"/>
    <hyperlink r:id="rId925" ref="O473"/>
    <hyperlink r:id="rId926" ref="N474"/>
    <hyperlink r:id="rId927" ref="O474"/>
    <hyperlink r:id="rId928" ref="N475"/>
    <hyperlink r:id="rId929" ref="O475"/>
    <hyperlink r:id="rId930" ref="N476"/>
    <hyperlink r:id="rId931" ref="O476"/>
    <hyperlink r:id="rId932" ref="N477"/>
    <hyperlink r:id="rId933" ref="O477"/>
    <hyperlink r:id="rId934" ref="N478"/>
    <hyperlink r:id="rId935" ref="O478"/>
    <hyperlink r:id="rId936" ref="N479"/>
    <hyperlink r:id="rId937" ref="O479"/>
    <hyperlink r:id="rId938" ref="N480"/>
    <hyperlink r:id="rId939" ref="O480"/>
    <hyperlink r:id="rId940" ref="N481"/>
    <hyperlink r:id="rId941" ref="O481"/>
    <hyperlink r:id="rId942" ref="N482"/>
    <hyperlink r:id="rId943" ref="O482"/>
    <hyperlink r:id="rId944" ref="N483"/>
    <hyperlink r:id="rId945" ref="O483"/>
    <hyperlink r:id="rId946" ref="N484"/>
    <hyperlink r:id="rId947" ref="O484"/>
    <hyperlink r:id="rId948" ref="O485"/>
    <hyperlink r:id="rId949" ref="N486"/>
    <hyperlink r:id="rId950" ref="O486"/>
    <hyperlink r:id="rId951" ref="N487"/>
    <hyperlink r:id="rId952" ref="O487"/>
    <hyperlink r:id="rId953" ref="N488"/>
    <hyperlink r:id="rId954" ref="O488"/>
    <hyperlink r:id="rId955" ref="N489"/>
    <hyperlink r:id="rId956" ref="O489"/>
    <hyperlink r:id="rId957" ref="N490"/>
    <hyperlink r:id="rId958" ref="O490"/>
    <hyperlink r:id="rId959" ref="N491"/>
    <hyperlink r:id="rId960" ref="O491"/>
    <hyperlink r:id="rId961" ref="N492"/>
    <hyperlink r:id="rId962" ref="O492"/>
    <hyperlink r:id="rId963" ref="N493"/>
    <hyperlink r:id="rId964" ref="O493"/>
    <hyperlink r:id="rId965" ref="N494"/>
    <hyperlink r:id="rId966" ref="O494"/>
    <hyperlink r:id="rId967" ref="N495"/>
    <hyperlink r:id="rId968" ref="O495"/>
    <hyperlink r:id="rId969" ref="N496"/>
    <hyperlink r:id="rId970" ref="O496"/>
    <hyperlink r:id="rId971" ref="N497"/>
    <hyperlink r:id="rId972" ref="O497"/>
    <hyperlink r:id="rId973" ref="N498"/>
    <hyperlink r:id="rId974" ref="O498"/>
    <hyperlink r:id="rId975" ref="N499"/>
    <hyperlink r:id="rId976" ref="O499"/>
    <hyperlink r:id="rId977" ref="N500"/>
    <hyperlink r:id="rId978" ref="O500"/>
    <hyperlink r:id="rId979" ref="N501"/>
    <hyperlink r:id="rId980" ref="O501"/>
    <hyperlink r:id="rId981" ref="N502"/>
    <hyperlink r:id="rId982" ref="O502"/>
    <hyperlink r:id="rId983" ref="N503"/>
    <hyperlink r:id="rId984" ref="O503"/>
    <hyperlink r:id="rId985" ref="N504"/>
    <hyperlink r:id="rId986" ref="O504"/>
    <hyperlink r:id="rId987" ref="N505"/>
    <hyperlink r:id="rId988" ref="O505"/>
    <hyperlink r:id="rId989" ref="N506"/>
    <hyperlink r:id="rId990" ref="O506"/>
    <hyperlink r:id="rId991" ref="N507"/>
    <hyperlink r:id="rId992" ref="O507"/>
    <hyperlink r:id="rId993" ref="N508"/>
    <hyperlink r:id="rId994" ref="O508"/>
    <hyperlink r:id="rId995" ref="N509"/>
    <hyperlink r:id="rId996" ref="O509"/>
    <hyperlink r:id="rId997" ref="N510"/>
    <hyperlink r:id="rId998" ref="O510"/>
    <hyperlink r:id="rId999" ref="N511"/>
    <hyperlink r:id="rId1000" ref="O511"/>
    <hyperlink r:id="rId1001" ref="N512"/>
    <hyperlink r:id="rId1002" ref="O512"/>
    <hyperlink r:id="rId1003" ref="N513"/>
    <hyperlink r:id="rId1004" ref="O513"/>
    <hyperlink r:id="rId1005" ref="N514"/>
    <hyperlink r:id="rId1006" ref="O514"/>
    <hyperlink r:id="rId1007" ref="N515"/>
    <hyperlink r:id="rId1008" ref="O515"/>
    <hyperlink r:id="rId1009" ref="N516"/>
    <hyperlink r:id="rId1010" ref="O516"/>
    <hyperlink r:id="rId1011" ref="N517"/>
    <hyperlink r:id="rId1012" ref="O517"/>
    <hyperlink r:id="rId1013" ref="N518"/>
    <hyperlink r:id="rId1014" ref="O518"/>
    <hyperlink r:id="rId1015" ref="N519"/>
    <hyperlink r:id="rId1016" ref="O519"/>
    <hyperlink r:id="rId1017" ref="N520"/>
    <hyperlink r:id="rId1018" ref="O520"/>
    <hyperlink r:id="rId1019" ref="N521"/>
    <hyperlink r:id="rId1020" ref="O521"/>
    <hyperlink r:id="rId1021" ref="N522"/>
    <hyperlink r:id="rId1022" ref="O522"/>
    <hyperlink r:id="rId1023" ref="N523"/>
    <hyperlink r:id="rId1024" ref="N524"/>
    <hyperlink r:id="rId1025" ref="O524"/>
    <hyperlink r:id="rId1026" ref="N525"/>
    <hyperlink r:id="rId1027" ref="O525"/>
    <hyperlink r:id="rId1028" ref="N526"/>
    <hyperlink r:id="rId1029" ref="O526"/>
    <hyperlink r:id="rId1030" ref="N527"/>
    <hyperlink r:id="rId1031" ref="O527"/>
    <hyperlink r:id="rId1032" ref="N528"/>
    <hyperlink r:id="rId1033" ref="O528"/>
    <hyperlink r:id="rId1034" ref="N529"/>
    <hyperlink r:id="rId1035" ref="O529"/>
    <hyperlink r:id="rId1036" ref="N530"/>
    <hyperlink r:id="rId1037" ref="O530"/>
    <hyperlink r:id="rId1038" ref="O531"/>
    <hyperlink r:id="rId1039" ref="N532"/>
    <hyperlink r:id="rId1040" ref="O532"/>
    <hyperlink r:id="rId1041" ref="N533"/>
    <hyperlink r:id="rId1042" ref="O533"/>
    <hyperlink r:id="rId1043" ref="N534"/>
    <hyperlink r:id="rId1044" ref="O534"/>
    <hyperlink r:id="rId1045" ref="N535"/>
    <hyperlink r:id="rId1046" ref="O535"/>
    <hyperlink r:id="rId1047" ref="N536"/>
    <hyperlink r:id="rId1048" ref="O536"/>
    <hyperlink r:id="rId1049" ref="N537"/>
    <hyperlink r:id="rId1050" ref="O537"/>
    <hyperlink r:id="rId1051" ref="N538"/>
    <hyperlink r:id="rId1052" ref="O538"/>
    <hyperlink r:id="rId1053" ref="N539"/>
    <hyperlink r:id="rId1054" ref="O539"/>
    <hyperlink r:id="rId1055" ref="N540"/>
    <hyperlink r:id="rId1056" ref="O540"/>
    <hyperlink r:id="rId1057" ref="N541"/>
    <hyperlink r:id="rId1058" ref="O541"/>
    <hyperlink r:id="rId1059" ref="N542"/>
    <hyperlink r:id="rId1060" ref="O542"/>
    <hyperlink r:id="rId1061" ref="N543"/>
    <hyperlink r:id="rId1062" ref="O543"/>
    <hyperlink r:id="rId1063" ref="N544"/>
    <hyperlink r:id="rId1064" ref="O544"/>
    <hyperlink r:id="rId1065" ref="N545"/>
    <hyperlink r:id="rId1066" ref="O545"/>
    <hyperlink r:id="rId1067" ref="N546"/>
    <hyperlink r:id="rId1068" ref="O546"/>
    <hyperlink r:id="rId1069" ref="N547"/>
    <hyperlink r:id="rId1070" ref="O547"/>
    <hyperlink r:id="rId1071" ref="N548"/>
    <hyperlink r:id="rId1072" ref="O548"/>
    <hyperlink r:id="rId1073" ref="N549"/>
    <hyperlink r:id="rId1074" ref="O549"/>
    <hyperlink r:id="rId1075" ref="N550"/>
    <hyperlink r:id="rId1076" ref="O550"/>
    <hyperlink r:id="rId1077" ref="N551"/>
    <hyperlink r:id="rId1078" ref="O551"/>
    <hyperlink r:id="rId1079" ref="N552"/>
    <hyperlink r:id="rId1080" ref="O552"/>
    <hyperlink r:id="rId1081" ref="N553"/>
    <hyperlink r:id="rId1082" ref="O553"/>
    <hyperlink r:id="rId1083" ref="N554"/>
    <hyperlink r:id="rId1084" ref="O554"/>
    <hyperlink r:id="rId1085" ref="N555"/>
    <hyperlink r:id="rId1086" ref="O555"/>
    <hyperlink r:id="rId1087" ref="N556"/>
    <hyperlink r:id="rId1088" ref="O556"/>
    <hyperlink r:id="rId1089" ref="N557"/>
    <hyperlink r:id="rId1090" ref="O557"/>
    <hyperlink r:id="rId1091" ref="N558"/>
    <hyperlink r:id="rId1092" ref="O558"/>
    <hyperlink r:id="rId1093" ref="N559"/>
    <hyperlink r:id="rId1094" ref="O559"/>
    <hyperlink r:id="rId1095" ref="N560"/>
    <hyperlink r:id="rId1096" ref="O560"/>
    <hyperlink r:id="rId1097" ref="N561"/>
    <hyperlink r:id="rId1098" ref="O561"/>
    <hyperlink r:id="rId1099" ref="N562"/>
    <hyperlink r:id="rId1100" ref="O562"/>
    <hyperlink r:id="rId1101" ref="N563"/>
    <hyperlink r:id="rId1102" ref="O563"/>
    <hyperlink r:id="rId1103" ref="N564"/>
    <hyperlink r:id="rId1104" ref="O564"/>
    <hyperlink r:id="rId1105" ref="N565"/>
    <hyperlink r:id="rId1106" ref="O565"/>
    <hyperlink r:id="rId1107" ref="N566"/>
    <hyperlink r:id="rId1108" ref="O566"/>
    <hyperlink r:id="rId1109" ref="N567"/>
    <hyperlink r:id="rId1110" ref="O567"/>
    <hyperlink r:id="rId1111" ref="N568"/>
    <hyperlink r:id="rId1112" ref="O568"/>
    <hyperlink r:id="rId1113" ref="N569"/>
    <hyperlink r:id="rId1114" ref="O569"/>
    <hyperlink r:id="rId1115" ref="N570"/>
    <hyperlink r:id="rId1116" ref="O570"/>
    <hyperlink r:id="rId1117" ref="N571"/>
    <hyperlink r:id="rId1118" ref="O571"/>
    <hyperlink r:id="rId1119" ref="N572"/>
    <hyperlink r:id="rId1120" ref="O572"/>
    <hyperlink r:id="rId1121" ref="N573"/>
    <hyperlink r:id="rId1122" ref="O573"/>
    <hyperlink r:id="rId1123" ref="N574"/>
    <hyperlink r:id="rId1124" ref="O574"/>
    <hyperlink r:id="rId1125" ref="N575"/>
    <hyperlink r:id="rId1126" ref="O575"/>
    <hyperlink r:id="rId1127" ref="N576"/>
    <hyperlink r:id="rId1128" ref="O576"/>
    <hyperlink r:id="rId1129" ref="N577"/>
    <hyperlink r:id="rId1130" ref="O577"/>
    <hyperlink r:id="rId1131" ref="N578"/>
    <hyperlink r:id="rId1132" ref="O578"/>
    <hyperlink r:id="rId1133" ref="N579"/>
    <hyperlink r:id="rId1134" ref="O579"/>
    <hyperlink r:id="rId1135" ref="N580"/>
    <hyperlink r:id="rId1136" ref="O580"/>
    <hyperlink r:id="rId1137" ref="N581"/>
    <hyperlink r:id="rId1138" ref="O581"/>
    <hyperlink r:id="rId1139" ref="N582"/>
    <hyperlink r:id="rId1140" ref="O582"/>
    <hyperlink r:id="rId1141" ref="N583"/>
    <hyperlink r:id="rId1142" ref="O583"/>
    <hyperlink r:id="rId1143" ref="N584"/>
    <hyperlink r:id="rId1144" ref="O584"/>
    <hyperlink r:id="rId1145" ref="N585"/>
    <hyperlink r:id="rId1146" ref="N586"/>
    <hyperlink r:id="rId1147" ref="O586"/>
    <hyperlink r:id="rId1148" ref="N587"/>
    <hyperlink r:id="rId1149" ref="O587"/>
    <hyperlink r:id="rId1150" ref="N588"/>
    <hyperlink r:id="rId1151" ref="O588"/>
    <hyperlink r:id="rId1152" ref="N589"/>
    <hyperlink r:id="rId1153" ref="O589"/>
    <hyperlink r:id="rId1154" ref="N590"/>
    <hyperlink r:id="rId1155" ref="O590"/>
    <hyperlink r:id="rId1156" ref="N591"/>
    <hyperlink r:id="rId1157" ref="O591"/>
    <hyperlink r:id="rId1158" ref="N592"/>
    <hyperlink r:id="rId1159" ref="O592"/>
    <hyperlink r:id="rId1160" ref="N593"/>
    <hyperlink r:id="rId1161" ref="O593"/>
    <hyperlink r:id="rId1162" ref="N594"/>
    <hyperlink r:id="rId1163" ref="O594"/>
    <hyperlink r:id="rId1164" ref="N595"/>
    <hyperlink r:id="rId1165" ref="O595"/>
    <hyperlink r:id="rId1166" ref="N596"/>
    <hyperlink r:id="rId1167" ref="O596"/>
    <hyperlink r:id="rId1168" ref="N597"/>
    <hyperlink r:id="rId1169" ref="O597"/>
    <hyperlink r:id="rId1170" ref="N598"/>
    <hyperlink r:id="rId1171" ref="O598"/>
    <hyperlink r:id="rId1172" ref="N599"/>
    <hyperlink r:id="rId1173" ref="O599"/>
    <hyperlink r:id="rId1174" ref="N600"/>
    <hyperlink r:id="rId1175" ref="O600"/>
    <hyperlink r:id="rId1176" ref="N601"/>
    <hyperlink r:id="rId1177" ref="O601"/>
    <hyperlink r:id="rId1178" ref="N602"/>
    <hyperlink r:id="rId1179" ref="O602"/>
    <hyperlink r:id="rId1180" ref="N603"/>
    <hyperlink r:id="rId1181" ref="O603"/>
    <hyperlink r:id="rId1182" ref="N604"/>
    <hyperlink r:id="rId1183" ref="O604"/>
    <hyperlink r:id="rId1184" ref="N605"/>
    <hyperlink r:id="rId1185" ref="O605"/>
    <hyperlink r:id="rId1186" ref="N606"/>
    <hyperlink r:id="rId1187" ref="O606"/>
    <hyperlink r:id="rId1188" ref="N607"/>
    <hyperlink r:id="rId1189" ref="O607"/>
    <hyperlink r:id="rId1190" ref="N608"/>
    <hyperlink r:id="rId1191" ref="O608"/>
    <hyperlink r:id="rId1192" ref="N609"/>
    <hyperlink r:id="rId1193" ref="O609"/>
    <hyperlink r:id="rId1194" ref="N610"/>
    <hyperlink r:id="rId1195" ref="O610"/>
    <hyperlink r:id="rId1196" ref="N611"/>
    <hyperlink r:id="rId1197" ref="O611"/>
    <hyperlink r:id="rId1198" ref="N612"/>
    <hyperlink r:id="rId1199" ref="O612"/>
    <hyperlink r:id="rId1200" ref="N613"/>
    <hyperlink r:id="rId1201" ref="O613"/>
    <hyperlink r:id="rId1202" ref="N614"/>
    <hyperlink r:id="rId1203" ref="O614"/>
    <hyperlink r:id="rId1204" ref="N615"/>
    <hyperlink r:id="rId1205" ref="O615"/>
    <hyperlink r:id="rId1206" ref="N616"/>
    <hyperlink r:id="rId1207" ref="O616"/>
    <hyperlink r:id="rId1208" ref="N617"/>
    <hyperlink r:id="rId1209" ref="O617"/>
    <hyperlink r:id="rId1210" ref="N618"/>
    <hyperlink r:id="rId1211" ref="O618"/>
    <hyperlink r:id="rId1212" ref="N619"/>
    <hyperlink r:id="rId1213" ref="O619"/>
    <hyperlink r:id="rId1214" ref="N620"/>
    <hyperlink r:id="rId1215" ref="O620"/>
    <hyperlink r:id="rId1216" ref="N621"/>
    <hyperlink r:id="rId1217" ref="O621"/>
    <hyperlink r:id="rId1218" ref="N622"/>
    <hyperlink r:id="rId1219" ref="O622"/>
    <hyperlink r:id="rId1220" ref="N623"/>
    <hyperlink r:id="rId1221" ref="O623"/>
    <hyperlink r:id="rId1222" ref="N624"/>
    <hyperlink r:id="rId1223" ref="O624"/>
    <hyperlink r:id="rId1224" ref="N625"/>
    <hyperlink r:id="rId1225" ref="O625"/>
    <hyperlink r:id="rId1226" ref="N626"/>
    <hyperlink r:id="rId1227" ref="O626"/>
    <hyperlink r:id="rId1228" ref="N627"/>
    <hyperlink r:id="rId1229" ref="O627"/>
    <hyperlink r:id="rId1230" ref="N628"/>
    <hyperlink r:id="rId1231" ref="O628"/>
    <hyperlink r:id="rId1232" ref="N629"/>
    <hyperlink r:id="rId1233" ref="O629"/>
    <hyperlink r:id="rId1234" ref="N630"/>
    <hyperlink r:id="rId1235" ref="O630"/>
    <hyperlink r:id="rId1236" ref="N631"/>
    <hyperlink r:id="rId1237" ref="O631"/>
    <hyperlink r:id="rId1238" ref="N632"/>
    <hyperlink r:id="rId1239" ref="O632"/>
    <hyperlink r:id="rId1240" ref="N633"/>
    <hyperlink r:id="rId1241" ref="O633"/>
    <hyperlink r:id="rId1242" ref="N634"/>
    <hyperlink r:id="rId1243" ref="O634"/>
    <hyperlink r:id="rId1244" ref="N635"/>
    <hyperlink r:id="rId1245" ref="O635"/>
    <hyperlink r:id="rId1246" ref="N636"/>
    <hyperlink r:id="rId1247" ref="O636"/>
    <hyperlink r:id="rId1248" ref="N637"/>
    <hyperlink r:id="rId1249" ref="O637"/>
    <hyperlink r:id="rId1250" ref="N638"/>
    <hyperlink r:id="rId1251" ref="O638"/>
    <hyperlink r:id="rId1252" ref="N639"/>
    <hyperlink r:id="rId1253" ref="O639"/>
    <hyperlink r:id="rId1254" ref="N640"/>
    <hyperlink r:id="rId1255" ref="O640"/>
    <hyperlink r:id="rId1256" ref="N641"/>
    <hyperlink r:id="rId1257" ref="O641"/>
    <hyperlink r:id="rId1258" ref="N642"/>
    <hyperlink r:id="rId1259" ref="O642"/>
    <hyperlink r:id="rId1260" ref="N643"/>
    <hyperlink r:id="rId1261" ref="O643"/>
    <hyperlink r:id="rId1262" ref="N644"/>
    <hyperlink r:id="rId1263" ref="O644"/>
    <hyperlink r:id="rId1264" ref="N645"/>
    <hyperlink r:id="rId1265" ref="O645"/>
    <hyperlink r:id="rId1266" ref="N646"/>
    <hyperlink r:id="rId1267" ref="O646"/>
    <hyperlink r:id="rId1268" ref="N647"/>
    <hyperlink r:id="rId1269" ref="O647"/>
    <hyperlink r:id="rId1270" ref="N648"/>
    <hyperlink r:id="rId1271" ref="O648"/>
    <hyperlink r:id="rId1272" ref="N649"/>
    <hyperlink r:id="rId1273" ref="O649"/>
    <hyperlink r:id="rId1274" ref="N650"/>
    <hyperlink r:id="rId1275" ref="O650"/>
    <hyperlink r:id="rId1276" ref="N651"/>
    <hyperlink r:id="rId1277" ref="O651"/>
    <hyperlink r:id="rId1278" ref="N652"/>
    <hyperlink r:id="rId1279" ref="O652"/>
    <hyperlink r:id="rId1280" ref="N653"/>
    <hyperlink r:id="rId1281" ref="O653"/>
    <hyperlink r:id="rId1282" ref="N654"/>
    <hyperlink r:id="rId1283" ref="O654"/>
    <hyperlink r:id="rId1284" ref="N655"/>
    <hyperlink r:id="rId1285" ref="O655"/>
    <hyperlink r:id="rId1286" ref="N656"/>
    <hyperlink r:id="rId1287" ref="O656"/>
    <hyperlink r:id="rId1288" ref="N657"/>
    <hyperlink r:id="rId1289" ref="O657"/>
    <hyperlink r:id="rId1290" ref="N658"/>
    <hyperlink r:id="rId1291" ref="O658"/>
    <hyperlink r:id="rId1292" ref="N659"/>
    <hyperlink r:id="rId1293" ref="O659"/>
    <hyperlink r:id="rId1294" ref="N660"/>
    <hyperlink r:id="rId1295" ref="O660"/>
    <hyperlink r:id="rId1296" ref="N661"/>
    <hyperlink r:id="rId1297" ref="O661"/>
    <hyperlink r:id="rId1298" ref="N662"/>
    <hyperlink r:id="rId1299" ref="O662"/>
    <hyperlink r:id="rId1300" ref="N663"/>
    <hyperlink r:id="rId1301" ref="O663"/>
    <hyperlink r:id="rId1302" ref="N664"/>
    <hyperlink r:id="rId1303" ref="O664"/>
    <hyperlink r:id="rId1304" ref="N665"/>
    <hyperlink r:id="rId1305" ref="O665"/>
    <hyperlink r:id="rId1306" ref="N666"/>
    <hyperlink r:id="rId1307" ref="O666"/>
    <hyperlink r:id="rId1308" ref="N667"/>
    <hyperlink r:id="rId1309" ref="O667"/>
    <hyperlink r:id="rId1310" ref="N668"/>
    <hyperlink r:id="rId1311" ref="O668"/>
    <hyperlink r:id="rId1312" ref="N669"/>
    <hyperlink r:id="rId1313" ref="O669"/>
    <hyperlink r:id="rId1314" ref="N670"/>
    <hyperlink r:id="rId1315" ref="O670"/>
    <hyperlink r:id="rId1316" ref="N671"/>
    <hyperlink r:id="rId1317" ref="O671"/>
    <hyperlink r:id="rId1318" ref="N672"/>
    <hyperlink r:id="rId1319" ref="O672"/>
    <hyperlink r:id="rId1320" ref="N673"/>
    <hyperlink r:id="rId1321" ref="O673"/>
    <hyperlink r:id="rId1322" ref="N674"/>
    <hyperlink r:id="rId1323" ref="O674"/>
    <hyperlink r:id="rId1324" ref="N675"/>
    <hyperlink r:id="rId1325" ref="O675"/>
    <hyperlink r:id="rId1326" ref="N676"/>
    <hyperlink r:id="rId1327" ref="O676"/>
    <hyperlink r:id="rId1328" ref="N677"/>
    <hyperlink r:id="rId1329" ref="O677"/>
    <hyperlink r:id="rId1330" ref="N678"/>
    <hyperlink r:id="rId1331" ref="O678"/>
    <hyperlink r:id="rId1332" ref="N679"/>
    <hyperlink r:id="rId1333" ref="O679"/>
    <hyperlink r:id="rId1334" ref="N680"/>
    <hyperlink r:id="rId1335" ref="O680"/>
    <hyperlink r:id="rId1336" ref="N681"/>
    <hyperlink r:id="rId1337" ref="O681"/>
    <hyperlink r:id="rId1338" ref="N682"/>
    <hyperlink r:id="rId1339" ref="O682"/>
    <hyperlink r:id="rId1340" ref="N683"/>
    <hyperlink r:id="rId1341" ref="O683"/>
    <hyperlink r:id="rId1342" ref="N684"/>
    <hyperlink r:id="rId1343" ref="O684"/>
    <hyperlink r:id="rId1344" ref="N685"/>
    <hyperlink r:id="rId1345" ref="O685"/>
    <hyperlink r:id="rId1346" ref="N686"/>
    <hyperlink r:id="rId1347" ref="O686"/>
    <hyperlink r:id="rId1348" ref="N687"/>
    <hyperlink r:id="rId1349" ref="O687"/>
    <hyperlink r:id="rId1350" ref="N688"/>
    <hyperlink r:id="rId1351" ref="O688"/>
    <hyperlink r:id="rId1352" ref="N689"/>
    <hyperlink r:id="rId1353" ref="O689"/>
    <hyperlink r:id="rId1354" ref="N690"/>
    <hyperlink r:id="rId1355" ref="O690"/>
    <hyperlink r:id="rId1356" ref="N691"/>
    <hyperlink r:id="rId1357" ref="O691"/>
    <hyperlink r:id="rId1358" ref="N692"/>
    <hyperlink r:id="rId1359" ref="O692"/>
    <hyperlink r:id="rId1360" ref="N693"/>
    <hyperlink r:id="rId1361" ref="O693"/>
    <hyperlink r:id="rId1362" ref="N694"/>
    <hyperlink r:id="rId1363" ref="O694"/>
    <hyperlink r:id="rId1364" ref="N695"/>
    <hyperlink r:id="rId1365" ref="O695"/>
    <hyperlink r:id="rId1366" ref="N696"/>
    <hyperlink r:id="rId1367" ref="O696"/>
    <hyperlink r:id="rId1368" ref="N697"/>
    <hyperlink r:id="rId1369" ref="O697"/>
    <hyperlink r:id="rId1370" ref="N698"/>
    <hyperlink r:id="rId1371" ref="O698"/>
    <hyperlink r:id="rId1372" ref="N699"/>
    <hyperlink r:id="rId1373" ref="O699"/>
    <hyperlink r:id="rId1374" ref="N700"/>
    <hyperlink r:id="rId1375" ref="O700"/>
    <hyperlink r:id="rId1376" ref="N701"/>
    <hyperlink r:id="rId1377" ref="O701"/>
    <hyperlink r:id="rId1378" ref="N702"/>
    <hyperlink r:id="rId1379" ref="O702"/>
    <hyperlink r:id="rId1380" ref="N703"/>
    <hyperlink r:id="rId1381" ref="O703"/>
    <hyperlink r:id="rId1382" ref="N704"/>
    <hyperlink r:id="rId1383" ref="O704"/>
    <hyperlink r:id="rId1384" ref="N705"/>
    <hyperlink r:id="rId1385" ref="O705"/>
    <hyperlink r:id="rId1386" ref="N706"/>
    <hyperlink r:id="rId1387" ref="O706"/>
    <hyperlink r:id="rId1388" ref="N707"/>
    <hyperlink r:id="rId1389" ref="O707"/>
    <hyperlink r:id="rId1390" ref="N708"/>
    <hyperlink r:id="rId1391" ref="O708"/>
    <hyperlink r:id="rId1392" ref="N709"/>
    <hyperlink r:id="rId1393" ref="O709"/>
    <hyperlink r:id="rId1394" ref="N710"/>
    <hyperlink r:id="rId1395" ref="O710"/>
    <hyperlink r:id="rId1396" ref="N711"/>
    <hyperlink r:id="rId1397" ref="O711"/>
    <hyperlink r:id="rId1398" ref="N712"/>
    <hyperlink r:id="rId1399" ref="O712"/>
    <hyperlink r:id="rId1400" ref="N713"/>
    <hyperlink r:id="rId1401" ref="O713"/>
    <hyperlink r:id="rId1402" ref="N714"/>
    <hyperlink r:id="rId1403" ref="O714"/>
    <hyperlink r:id="rId1404" ref="N715"/>
    <hyperlink r:id="rId1405" ref="O715"/>
    <hyperlink r:id="rId1406" ref="N716"/>
    <hyperlink r:id="rId1407" ref="O716"/>
    <hyperlink r:id="rId1408" ref="N717"/>
    <hyperlink r:id="rId1409" ref="O717"/>
    <hyperlink r:id="rId1410" ref="N718"/>
    <hyperlink r:id="rId1411" ref="O718"/>
    <hyperlink r:id="rId1412" ref="N719"/>
    <hyperlink r:id="rId1413" ref="O719"/>
    <hyperlink r:id="rId1414" ref="N720"/>
    <hyperlink r:id="rId1415" ref="O720"/>
    <hyperlink r:id="rId1416" ref="N721"/>
    <hyperlink r:id="rId1417" ref="O721"/>
    <hyperlink r:id="rId1418" ref="N722"/>
    <hyperlink r:id="rId1419" ref="O722"/>
    <hyperlink r:id="rId1420" ref="N723"/>
    <hyperlink r:id="rId1421" ref="O723"/>
    <hyperlink r:id="rId1422" ref="N724"/>
    <hyperlink r:id="rId1423" ref="O724"/>
    <hyperlink r:id="rId1424" ref="N725"/>
    <hyperlink r:id="rId1425" ref="O725"/>
    <hyperlink r:id="rId1426" ref="N726"/>
    <hyperlink r:id="rId1427" ref="O726"/>
    <hyperlink r:id="rId1428" ref="N727"/>
    <hyperlink r:id="rId1429" ref="O727"/>
    <hyperlink r:id="rId1430" ref="N728"/>
    <hyperlink r:id="rId1431" ref="O728"/>
    <hyperlink r:id="rId1432" ref="N729"/>
    <hyperlink r:id="rId1433" ref="O729"/>
    <hyperlink r:id="rId1434" ref="N730"/>
    <hyperlink r:id="rId1435" ref="O730"/>
    <hyperlink r:id="rId1436" ref="N731"/>
    <hyperlink r:id="rId1437" ref="O731"/>
    <hyperlink r:id="rId1438" ref="N732"/>
    <hyperlink r:id="rId1439" ref="O732"/>
    <hyperlink r:id="rId1440" ref="N733"/>
    <hyperlink r:id="rId1441" ref="O733"/>
    <hyperlink r:id="rId1442" ref="N734"/>
    <hyperlink r:id="rId1443" ref="O734"/>
    <hyperlink r:id="rId1444" ref="N735"/>
    <hyperlink r:id="rId1445" ref="O735"/>
    <hyperlink r:id="rId1446" ref="N736"/>
    <hyperlink r:id="rId1447" ref="O736"/>
    <hyperlink r:id="rId1448" ref="N737"/>
    <hyperlink r:id="rId1449" ref="O737"/>
    <hyperlink r:id="rId1450" ref="N738"/>
    <hyperlink r:id="rId1451" ref="O738"/>
    <hyperlink r:id="rId1452" ref="N739"/>
    <hyperlink r:id="rId1453" ref="O739"/>
    <hyperlink r:id="rId1454" ref="N740"/>
    <hyperlink r:id="rId1455" ref="O740"/>
    <hyperlink r:id="rId1456" ref="N741"/>
    <hyperlink r:id="rId1457" ref="O741"/>
    <hyperlink r:id="rId1458" ref="N742"/>
    <hyperlink r:id="rId1459" ref="O742"/>
    <hyperlink r:id="rId1460" ref="N743"/>
    <hyperlink r:id="rId1461" ref="O743"/>
    <hyperlink r:id="rId1462" ref="N744"/>
    <hyperlink r:id="rId1463" ref="O744"/>
    <hyperlink r:id="rId1464" ref="N745"/>
    <hyperlink r:id="rId1465" ref="O745"/>
    <hyperlink r:id="rId1466" ref="N746"/>
    <hyperlink r:id="rId1467" ref="O746"/>
    <hyperlink r:id="rId1468" ref="N747"/>
    <hyperlink r:id="rId1469" ref="O747"/>
    <hyperlink r:id="rId1470" ref="N748"/>
    <hyperlink r:id="rId1471" ref="O748"/>
    <hyperlink r:id="rId1472" ref="N749"/>
    <hyperlink r:id="rId1473" ref="O749"/>
    <hyperlink r:id="rId1474" ref="N750"/>
    <hyperlink r:id="rId1475" ref="O750"/>
    <hyperlink r:id="rId1476" ref="N751"/>
    <hyperlink r:id="rId1477" ref="O751"/>
    <hyperlink r:id="rId1478" ref="N752"/>
    <hyperlink r:id="rId1479" ref="O752"/>
    <hyperlink r:id="rId1480" ref="N753"/>
    <hyperlink r:id="rId1481" ref="O753"/>
    <hyperlink r:id="rId1482" ref="N754"/>
    <hyperlink r:id="rId1483" ref="O754"/>
    <hyperlink r:id="rId1484" ref="N755"/>
    <hyperlink r:id="rId1485" ref="O755"/>
    <hyperlink r:id="rId1486" ref="N756"/>
    <hyperlink r:id="rId1487" ref="O756"/>
    <hyperlink r:id="rId1488" ref="N757"/>
    <hyperlink r:id="rId1489" ref="O757"/>
    <hyperlink r:id="rId1490" ref="N758"/>
    <hyperlink r:id="rId1491" ref="O758"/>
    <hyperlink r:id="rId1492" ref="N759"/>
    <hyperlink r:id="rId1493" ref="O759"/>
    <hyperlink r:id="rId1494" ref="N760"/>
    <hyperlink r:id="rId1495" ref="O760"/>
    <hyperlink r:id="rId1496" ref="N761"/>
    <hyperlink r:id="rId1497" ref="O761"/>
    <hyperlink r:id="rId1498" ref="N762"/>
    <hyperlink r:id="rId1499" ref="O762"/>
    <hyperlink r:id="rId1500" ref="N763"/>
    <hyperlink r:id="rId1501" ref="O763"/>
    <hyperlink r:id="rId1502" ref="N764"/>
    <hyperlink r:id="rId1503" ref="O764"/>
    <hyperlink r:id="rId1504" ref="N765"/>
    <hyperlink r:id="rId1505" ref="O765"/>
    <hyperlink r:id="rId1506" ref="N766"/>
    <hyperlink r:id="rId1507" ref="O766"/>
    <hyperlink r:id="rId1508" ref="N767"/>
    <hyperlink r:id="rId1509" ref="O767"/>
    <hyperlink r:id="rId1510" ref="N768"/>
    <hyperlink r:id="rId1511" ref="O768"/>
    <hyperlink r:id="rId1512" ref="N769"/>
    <hyperlink r:id="rId1513" ref="O769"/>
    <hyperlink r:id="rId1514" ref="N770"/>
    <hyperlink r:id="rId1515" ref="O770"/>
    <hyperlink r:id="rId1516" ref="N771"/>
    <hyperlink r:id="rId1517" ref="O771"/>
    <hyperlink r:id="rId1518" ref="N772"/>
    <hyperlink r:id="rId1519" ref="O772"/>
    <hyperlink r:id="rId1520" ref="N773"/>
    <hyperlink r:id="rId1521" ref="O773"/>
    <hyperlink r:id="rId1522" ref="N774"/>
    <hyperlink r:id="rId1523" ref="O774"/>
    <hyperlink r:id="rId1524" ref="N775"/>
    <hyperlink r:id="rId1525" ref="O775"/>
    <hyperlink r:id="rId1526" ref="N776"/>
    <hyperlink r:id="rId1527" ref="O776"/>
    <hyperlink r:id="rId1528" ref="N777"/>
    <hyperlink r:id="rId1529" ref="O777"/>
    <hyperlink r:id="rId1530" ref="N778"/>
    <hyperlink r:id="rId1531" ref="O778"/>
    <hyperlink r:id="rId1532" ref="N779"/>
    <hyperlink r:id="rId1533" ref="O779"/>
    <hyperlink r:id="rId1534" ref="N780"/>
    <hyperlink r:id="rId1535" ref="O780"/>
    <hyperlink r:id="rId1536" ref="N781"/>
    <hyperlink r:id="rId1537" ref="O781"/>
    <hyperlink r:id="rId1538" ref="N782"/>
    <hyperlink r:id="rId1539" ref="O782"/>
    <hyperlink r:id="rId1540" ref="N783"/>
    <hyperlink r:id="rId1541" ref="O783"/>
    <hyperlink r:id="rId1542" ref="N784"/>
    <hyperlink r:id="rId1543" ref="O784"/>
    <hyperlink r:id="rId1544" ref="N785"/>
    <hyperlink r:id="rId1545" ref="O785"/>
    <hyperlink r:id="rId1546" ref="N786"/>
    <hyperlink r:id="rId1547" ref="O786"/>
    <hyperlink r:id="rId1548" ref="N787"/>
    <hyperlink r:id="rId1549" ref="O787"/>
    <hyperlink r:id="rId1550" ref="N788"/>
    <hyperlink r:id="rId1551" ref="O788"/>
    <hyperlink r:id="rId1552" ref="N789"/>
    <hyperlink r:id="rId1553" ref="O789"/>
    <hyperlink r:id="rId1554" ref="N790"/>
    <hyperlink r:id="rId1555" ref="O790"/>
    <hyperlink r:id="rId1556" ref="N791"/>
    <hyperlink r:id="rId1557" ref="O791"/>
    <hyperlink r:id="rId1558" ref="N792"/>
    <hyperlink r:id="rId1559" ref="O792"/>
    <hyperlink r:id="rId1560" ref="N793"/>
    <hyperlink r:id="rId1561" ref="O793"/>
    <hyperlink r:id="rId1562" ref="N794"/>
    <hyperlink r:id="rId1563" ref="O794"/>
    <hyperlink r:id="rId1564" ref="N795"/>
    <hyperlink r:id="rId1565" ref="O795"/>
    <hyperlink r:id="rId1566" ref="N796"/>
    <hyperlink r:id="rId1567" ref="O796"/>
    <hyperlink r:id="rId1568" ref="N797"/>
    <hyperlink r:id="rId1569" ref="O797"/>
    <hyperlink r:id="rId1570" ref="N798"/>
    <hyperlink r:id="rId1571" ref="O798"/>
    <hyperlink r:id="rId1572" ref="N799"/>
    <hyperlink r:id="rId1573" ref="O799"/>
    <hyperlink r:id="rId1574" ref="N800"/>
    <hyperlink r:id="rId1575" ref="O800"/>
    <hyperlink r:id="rId1576" ref="N801"/>
    <hyperlink r:id="rId1577" ref="O801"/>
    <hyperlink r:id="rId1578" ref="N802"/>
    <hyperlink r:id="rId1579" ref="O802"/>
    <hyperlink r:id="rId1580" ref="N803"/>
    <hyperlink r:id="rId1581" ref="O803"/>
    <hyperlink r:id="rId1582" ref="N804"/>
    <hyperlink r:id="rId1583" ref="O804"/>
    <hyperlink r:id="rId1584" ref="N805"/>
    <hyperlink r:id="rId1585" ref="O805"/>
    <hyperlink r:id="rId1586" ref="N806"/>
    <hyperlink r:id="rId1587" ref="O806"/>
    <hyperlink r:id="rId1588" ref="N807"/>
    <hyperlink r:id="rId1589" ref="O807"/>
    <hyperlink r:id="rId1590" ref="N808"/>
    <hyperlink r:id="rId1591" ref="O808"/>
    <hyperlink r:id="rId1592" ref="N809"/>
    <hyperlink r:id="rId1593" ref="O809"/>
    <hyperlink r:id="rId1594" ref="N810"/>
    <hyperlink r:id="rId1595" ref="O810"/>
    <hyperlink r:id="rId1596" ref="N811"/>
    <hyperlink r:id="rId1597" ref="O811"/>
    <hyperlink r:id="rId1598" ref="N812"/>
    <hyperlink r:id="rId1599" ref="O812"/>
    <hyperlink r:id="rId1600" ref="N813"/>
    <hyperlink r:id="rId1601" ref="O813"/>
    <hyperlink r:id="rId1602" ref="N814"/>
    <hyperlink r:id="rId1603" ref="O814"/>
    <hyperlink r:id="rId1604" ref="N815"/>
    <hyperlink r:id="rId1605" ref="O815"/>
    <hyperlink r:id="rId1606" ref="N816"/>
    <hyperlink r:id="rId1607" ref="O816"/>
    <hyperlink r:id="rId1608" ref="N817"/>
    <hyperlink r:id="rId1609" ref="O817"/>
    <hyperlink r:id="rId1610" ref="N818"/>
    <hyperlink r:id="rId1611" ref="O818"/>
    <hyperlink r:id="rId1612" ref="N819"/>
    <hyperlink r:id="rId1613" ref="O819"/>
    <hyperlink r:id="rId1614" ref="N820"/>
    <hyperlink r:id="rId1615" ref="O820"/>
    <hyperlink r:id="rId1616" ref="N821"/>
    <hyperlink r:id="rId1617" ref="O821"/>
    <hyperlink r:id="rId1618" ref="N822"/>
    <hyperlink r:id="rId1619" ref="O822"/>
    <hyperlink r:id="rId1620" ref="N823"/>
    <hyperlink r:id="rId1621" ref="O823"/>
    <hyperlink r:id="rId1622" ref="N824"/>
    <hyperlink r:id="rId1623" ref="O824"/>
    <hyperlink r:id="rId1624" ref="N825"/>
    <hyperlink r:id="rId1625" ref="O825"/>
    <hyperlink r:id="rId1626" ref="N826"/>
    <hyperlink r:id="rId1627" ref="O826"/>
    <hyperlink r:id="rId1628" ref="N827"/>
    <hyperlink r:id="rId1629" ref="O827"/>
    <hyperlink r:id="rId1630" ref="N828"/>
    <hyperlink r:id="rId1631" ref="O828"/>
    <hyperlink r:id="rId1632" ref="N829"/>
    <hyperlink r:id="rId1633" ref="O829"/>
    <hyperlink r:id="rId1634" ref="N830"/>
    <hyperlink r:id="rId1635" ref="O830"/>
    <hyperlink r:id="rId1636" ref="N831"/>
    <hyperlink r:id="rId1637" ref="O831"/>
    <hyperlink r:id="rId1638" ref="N832"/>
    <hyperlink r:id="rId1639" ref="O832"/>
    <hyperlink r:id="rId1640" ref="N833"/>
    <hyperlink r:id="rId1641" ref="O833"/>
    <hyperlink r:id="rId1642" ref="N834"/>
    <hyperlink r:id="rId1643" ref="O834"/>
    <hyperlink r:id="rId1644" ref="N835"/>
    <hyperlink r:id="rId1645" ref="O835"/>
    <hyperlink r:id="rId1646" ref="N836"/>
    <hyperlink r:id="rId1647" ref="O836"/>
    <hyperlink r:id="rId1648" ref="N837"/>
    <hyperlink r:id="rId1649" ref="O837"/>
    <hyperlink r:id="rId1650" ref="N838"/>
    <hyperlink r:id="rId1651" ref="O838"/>
    <hyperlink r:id="rId1652" ref="N839"/>
    <hyperlink r:id="rId1653" ref="O839"/>
    <hyperlink r:id="rId1654" ref="N840"/>
    <hyperlink r:id="rId1655" ref="O840"/>
    <hyperlink r:id="rId1656" ref="N841"/>
    <hyperlink r:id="rId1657" ref="O841"/>
    <hyperlink r:id="rId1658" ref="N842"/>
    <hyperlink r:id="rId1659" ref="O842"/>
    <hyperlink r:id="rId1660" ref="N843"/>
    <hyperlink r:id="rId1661" ref="O843"/>
    <hyperlink r:id="rId1662" ref="N844"/>
    <hyperlink r:id="rId1663" ref="O844"/>
    <hyperlink r:id="rId1664" ref="N845"/>
    <hyperlink r:id="rId1665" ref="O845"/>
    <hyperlink r:id="rId1666" ref="N846"/>
    <hyperlink r:id="rId1667" ref="O846"/>
    <hyperlink r:id="rId1668" ref="N847"/>
    <hyperlink r:id="rId1669" ref="O847"/>
    <hyperlink r:id="rId1670" ref="N848"/>
    <hyperlink r:id="rId1671" ref="O848"/>
    <hyperlink r:id="rId1672" ref="N849"/>
    <hyperlink r:id="rId1673" ref="O849"/>
    <hyperlink r:id="rId1674" ref="N850"/>
    <hyperlink r:id="rId1675" ref="O850"/>
    <hyperlink r:id="rId1676" ref="N851"/>
    <hyperlink r:id="rId1677" ref="O851"/>
    <hyperlink r:id="rId1678" ref="N852"/>
    <hyperlink r:id="rId1679" ref="O852"/>
    <hyperlink r:id="rId1680" ref="N853"/>
    <hyperlink r:id="rId1681" ref="O853"/>
    <hyperlink r:id="rId1682" ref="N854"/>
    <hyperlink r:id="rId1683" ref="O854"/>
    <hyperlink r:id="rId1684" ref="N855"/>
    <hyperlink r:id="rId1685" ref="O855"/>
    <hyperlink r:id="rId1686" ref="N856"/>
    <hyperlink r:id="rId1687" ref="O856"/>
    <hyperlink r:id="rId1688" ref="N857"/>
    <hyperlink r:id="rId1689" ref="O857"/>
    <hyperlink r:id="rId1690" ref="N858"/>
    <hyperlink r:id="rId1691" ref="O858"/>
    <hyperlink r:id="rId1692" ref="N859"/>
    <hyperlink r:id="rId1693" ref="O859"/>
    <hyperlink r:id="rId1694" ref="N860"/>
    <hyperlink r:id="rId1695" ref="O860"/>
    <hyperlink r:id="rId1696" ref="N861"/>
    <hyperlink r:id="rId1697" ref="O861"/>
    <hyperlink r:id="rId1698" ref="N862"/>
    <hyperlink r:id="rId1699" ref="O862"/>
    <hyperlink r:id="rId1700" ref="N863"/>
    <hyperlink r:id="rId1701" ref="O863"/>
    <hyperlink r:id="rId1702" ref="N864"/>
    <hyperlink r:id="rId1703" ref="N865"/>
    <hyperlink r:id="rId1704" ref="O865"/>
    <hyperlink r:id="rId1705" ref="N866"/>
    <hyperlink r:id="rId1706" ref="O866"/>
    <hyperlink r:id="rId1707" ref="N867"/>
    <hyperlink r:id="rId1708" ref="O867"/>
    <hyperlink r:id="rId1709" ref="N868"/>
    <hyperlink r:id="rId1710" ref="O868"/>
    <hyperlink r:id="rId1711" ref="N869"/>
    <hyperlink r:id="rId1712" ref="O869"/>
    <hyperlink r:id="rId1713" ref="N870"/>
    <hyperlink r:id="rId1714" ref="O870"/>
    <hyperlink r:id="rId1715" ref="N871"/>
    <hyperlink r:id="rId1716" ref="O871"/>
    <hyperlink r:id="rId1717" ref="N872"/>
    <hyperlink r:id="rId1718" ref="O872"/>
    <hyperlink r:id="rId1719" ref="N873"/>
    <hyperlink r:id="rId1720" ref="O873"/>
    <hyperlink r:id="rId1721" ref="N874"/>
    <hyperlink r:id="rId1722" ref="O874"/>
    <hyperlink r:id="rId1723" ref="N875"/>
    <hyperlink r:id="rId1724" ref="O875"/>
    <hyperlink r:id="rId1725" ref="N876"/>
    <hyperlink r:id="rId1726" ref="O876"/>
    <hyperlink r:id="rId1727" ref="N877"/>
    <hyperlink r:id="rId1728" ref="O877"/>
    <hyperlink r:id="rId1729" ref="N878"/>
    <hyperlink r:id="rId1730" ref="O878"/>
    <hyperlink r:id="rId1731" ref="N879"/>
    <hyperlink r:id="rId1732" ref="O879"/>
    <hyperlink r:id="rId1733" ref="N880"/>
    <hyperlink r:id="rId1734" ref="O880"/>
    <hyperlink r:id="rId1735" ref="N881"/>
    <hyperlink r:id="rId1736" ref="O881"/>
    <hyperlink r:id="rId1737" ref="N882"/>
    <hyperlink r:id="rId1738" ref="O882"/>
    <hyperlink r:id="rId1739" ref="N883"/>
    <hyperlink r:id="rId1740" ref="O883"/>
    <hyperlink r:id="rId1741" ref="N884"/>
    <hyperlink r:id="rId1742" ref="O884"/>
    <hyperlink r:id="rId1743" ref="N885"/>
    <hyperlink r:id="rId1744" ref="O885"/>
    <hyperlink r:id="rId1745" ref="N886"/>
    <hyperlink r:id="rId1746" ref="O886"/>
    <hyperlink r:id="rId1747" ref="N887"/>
    <hyperlink r:id="rId1748" ref="O887"/>
    <hyperlink r:id="rId1749" ref="N888"/>
    <hyperlink r:id="rId1750" ref="O888"/>
    <hyperlink r:id="rId1751" ref="N889"/>
    <hyperlink r:id="rId1752" ref="O889"/>
    <hyperlink r:id="rId1753" ref="N890"/>
    <hyperlink r:id="rId1754" ref="O890"/>
    <hyperlink r:id="rId1755" ref="N891"/>
    <hyperlink r:id="rId1756" ref="O891"/>
    <hyperlink r:id="rId1757" ref="N892"/>
    <hyperlink r:id="rId1758" ref="O892"/>
    <hyperlink r:id="rId1759" ref="N893"/>
    <hyperlink r:id="rId1760" ref="O893"/>
    <hyperlink r:id="rId1761" ref="N894"/>
    <hyperlink r:id="rId1762" ref="O894"/>
    <hyperlink r:id="rId1763" ref="N895"/>
    <hyperlink r:id="rId1764" ref="O895"/>
    <hyperlink r:id="rId1765" ref="N896"/>
    <hyperlink r:id="rId1766" ref="O896"/>
    <hyperlink r:id="rId1767" ref="N897"/>
    <hyperlink r:id="rId1768" ref="O897"/>
    <hyperlink r:id="rId1769" ref="N898"/>
    <hyperlink r:id="rId1770" ref="O898"/>
    <hyperlink r:id="rId1771" ref="N899"/>
    <hyperlink r:id="rId1772" ref="O899"/>
    <hyperlink r:id="rId1773" ref="N900"/>
    <hyperlink r:id="rId1774" ref="O900"/>
    <hyperlink r:id="rId1775" ref="N901"/>
    <hyperlink r:id="rId1776" ref="O901"/>
    <hyperlink r:id="rId1777" ref="N902"/>
    <hyperlink r:id="rId1778" ref="O902"/>
    <hyperlink r:id="rId1779" ref="N903"/>
    <hyperlink r:id="rId1780" ref="O903"/>
    <hyperlink r:id="rId1781" ref="N904"/>
    <hyperlink r:id="rId1782" ref="O904"/>
    <hyperlink r:id="rId1783" ref="N905"/>
    <hyperlink r:id="rId1784" ref="O905"/>
    <hyperlink r:id="rId1785" ref="N906"/>
    <hyperlink r:id="rId1786" ref="O906"/>
    <hyperlink r:id="rId1787" ref="N907"/>
    <hyperlink r:id="rId1788" ref="O907"/>
    <hyperlink r:id="rId1789" ref="N908"/>
    <hyperlink r:id="rId1790" ref="O908"/>
    <hyperlink r:id="rId1791" ref="N909"/>
    <hyperlink r:id="rId1792" ref="O909"/>
    <hyperlink r:id="rId1793" ref="N910"/>
    <hyperlink r:id="rId1794" ref="O910"/>
    <hyperlink r:id="rId1795" ref="N911"/>
    <hyperlink r:id="rId1796" ref="O911"/>
    <hyperlink r:id="rId1797" ref="N912"/>
    <hyperlink r:id="rId1798" ref="O912"/>
    <hyperlink r:id="rId1799" ref="N913"/>
    <hyperlink r:id="rId1800" ref="O913"/>
    <hyperlink r:id="rId1801" ref="N914"/>
    <hyperlink r:id="rId1802" ref="O914"/>
    <hyperlink r:id="rId1803" ref="N915"/>
    <hyperlink r:id="rId1804" ref="O915"/>
  </hyperlinks>
  <drawing r:id="rId180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3218</v>
      </c>
      <c r="B1" s="24" t="s">
        <v>3219</v>
      </c>
      <c r="C1" s="24" t="s">
        <v>3220</v>
      </c>
    </row>
    <row r="2">
      <c r="A2" s="25" t="s">
        <v>3221</v>
      </c>
      <c r="B2" s="25" t="s">
        <v>3221</v>
      </c>
      <c r="C2" s="26" t="s">
        <v>3223</v>
      </c>
    </row>
    <row r="3">
      <c r="A3" s="25" t="s">
        <v>3224</v>
      </c>
      <c r="B3" s="25" t="s">
        <v>3224</v>
      </c>
      <c r="C3" s="25" t="s">
        <v>3225</v>
      </c>
    </row>
    <row r="4">
      <c r="A4" s="25" t="s">
        <v>3226</v>
      </c>
      <c r="B4" s="25" t="s">
        <v>3226</v>
      </c>
      <c r="C4" s="25" t="s">
        <v>3227</v>
      </c>
    </row>
    <row r="5">
      <c r="A5" s="25" t="s">
        <v>3228</v>
      </c>
      <c r="B5" s="25" t="s">
        <v>3228</v>
      </c>
      <c r="C5" s="25" t="s">
        <v>3229</v>
      </c>
    </row>
    <row r="6">
      <c r="A6" s="25" t="s">
        <v>3230</v>
      </c>
      <c r="B6" s="25" t="s">
        <v>3230</v>
      </c>
      <c r="C6" s="25" t="s">
        <v>3231</v>
      </c>
    </row>
    <row r="7">
      <c r="A7" s="25" t="s">
        <v>3232</v>
      </c>
      <c r="B7" s="25" t="s">
        <v>3232</v>
      </c>
      <c r="C7" s="25" t="s">
        <v>3233</v>
      </c>
    </row>
    <row r="8">
      <c r="A8" s="25"/>
      <c r="B8" s="25"/>
      <c r="C8" s="25"/>
    </row>
    <row r="9">
      <c r="A9" s="25"/>
      <c r="B9" s="25"/>
      <c r="C9" s="25"/>
    </row>
    <row r="10">
      <c r="A10" s="25"/>
      <c r="B10" s="25"/>
      <c r="C10" s="25"/>
    </row>
    <row r="11">
      <c r="A11" s="25"/>
      <c r="B11" s="25"/>
      <c r="C11" s="25"/>
    </row>
    <row r="12">
      <c r="A12" s="25"/>
      <c r="B12" s="25"/>
      <c r="C12" s="25"/>
    </row>
    <row r="13">
      <c r="A13" s="25"/>
      <c r="B13" s="25"/>
      <c r="C13" s="25"/>
    </row>
    <row r="14">
      <c r="A14" s="25"/>
      <c r="B14" s="25"/>
      <c r="C14" s="25"/>
    </row>
    <row r="15">
      <c r="A15" s="25"/>
      <c r="B15" s="25"/>
      <c r="C15" s="25"/>
    </row>
    <row r="16">
      <c r="A16" s="25"/>
      <c r="B16" s="25"/>
      <c r="C16" s="25"/>
    </row>
    <row r="17">
      <c r="A17" s="25"/>
      <c r="B17" s="25"/>
      <c r="C17" s="25"/>
    </row>
    <row r="18">
      <c r="A18" s="25"/>
      <c r="B18" s="25"/>
      <c r="C18" s="25"/>
    </row>
    <row r="19">
      <c r="A19" s="25"/>
      <c r="B19" s="25"/>
      <c r="C19" s="25"/>
    </row>
    <row r="20">
      <c r="A20" s="25"/>
      <c r="B20" s="25"/>
      <c r="C20" s="25"/>
    </row>
    <row r="21">
      <c r="A21" s="25"/>
      <c r="B21" s="25"/>
      <c r="C21" s="25"/>
    </row>
    <row r="22">
      <c r="A22" s="25"/>
      <c r="B22" s="25"/>
      <c r="C22" s="25"/>
    </row>
    <row r="23">
      <c r="A23" s="25"/>
      <c r="B23" s="25"/>
      <c r="C23" s="25"/>
    </row>
    <row r="24">
      <c r="A24" s="25"/>
      <c r="B24" s="25"/>
      <c r="C24" s="25"/>
    </row>
    <row r="25">
      <c r="A25" s="25"/>
      <c r="B25" s="25"/>
      <c r="C25" s="25"/>
    </row>
    <row r="26">
      <c r="A26" s="25"/>
      <c r="B26" s="25"/>
      <c r="C26" s="25"/>
    </row>
    <row r="27">
      <c r="A27" s="25"/>
      <c r="B27" s="25"/>
      <c r="C27" s="25"/>
    </row>
    <row r="28">
      <c r="A28" s="25"/>
      <c r="B28" s="25"/>
      <c r="C28" s="25"/>
    </row>
    <row r="29">
      <c r="A29" s="25"/>
      <c r="B29" s="25"/>
      <c r="C29" s="25"/>
    </row>
    <row r="30">
      <c r="A30" s="25"/>
      <c r="B30" s="25"/>
      <c r="C30" s="25"/>
    </row>
    <row r="31">
      <c r="A31" s="25"/>
      <c r="B31" s="25"/>
      <c r="C31" s="25"/>
    </row>
    <row r="32">
      <c r="A32" s="25"/>
      <c r="B32" s="25"/>
      <c r="C32" s="25"/>
    </row>
    <row r="33">
      <c r="A33" s="25"/>
      <c r="B33" s="25"/>
      <c r="C33" s="25"/>
    </row>
    <row r="34">
      <c r="A34" s="25"/>
      <c r="B34" s="25"/>
      <c r="C34" s="25"/>
    </row>
    <row r="35">
      <c r="A35" s="25"/>
      <c r="B35" s="25"/>
      <c r="C35" s="25"/>
    </row>
    <row r="36">
      <c r="A36" s="25"/>
      <c r="B36" s="25"/>
      <c r="C36" s="25"/>
    </row>
    <row r="37">
      <c r="A37" s="25"/>
      <c r="B37" s="25"/>
      <c r="C37" s="25"/>
    </row>
    <row r="38">
      <c r="A38" s="25"/>
      <c r="B38" s="25"/>
      <c r="C38" s="25"/>
    </row>
    <row r="39">
      <c r="A39" s="25"/>
      <c r="B39" s="25"/>
      <c r="C39" s="25"/>
    </row>
    <row r="40">
      <c r="A40" s="25"/>
      <c r="B40" s="25"/>
      <c r="C40" s="25"/>
    </row>
    <row r="41">
      <c r="A41" s="25"/>
      <c r="B41" s="25"/>
      <c r="C41" s="25"/>
    </row>
    <row r="42">
      <c r="A42" s="25"/>
      <c r="B42" s="25"/>
      <c r="C42" s="25"/>
    </row>
    <row r="43">
      <c r="A43" s="25"/>
      <c r="B43" s="25"/>
      <c r="C43" s="25"/>
    </row>
    <row r="44">
      <c r="A44" s="25"/>
      <c r="B44" s="25"/>
      <c r="C44" s="25"/>
    </row>
    <row r="45">
      <c r="A45" s="25"/>
      <c r="B45" s="25"/>
      <c r="C45" s="25"/>
    </row>
    <row r="46">
      <c r="A46" s="25"/>
      <c r="B46" s="25"/>
      <c r="C46" s="25"/>
    </row>
    <row r="47">
      <c r="A47" s="25"/>
      <c r="B47" s="25"/>
      <c r="C47" s="25"/>
    </row>
    <row r="48">
      <c r="A48" s="25"/>
      <c r="B48" s="25"/>
      <c r="C48" s="25"/>
    </row>
    <row r="49">
      <c r="A49" s="25"/>
      <c r="B49" s="25"/>
      <c r="C49" s="25"/>
    </row>
    <row r="50">
      <c r="A50" s="25"/>
      <c r="B50" s="25"/>
      <c r="C50" s="25"/>
    </row>
    <row r="51">
      <c r="A51" s="25"/>
      <c r="B51" s="25"/>
      <c r="C51" s="25"/>
    </row>
    <row r="52">
      <c r="A52" s="25"/>
      <c r="B52" s="25"/>
      <c r="C52" s="25"/>
    </row>
    <row r="53">
      <c r="A53" s="25"/>
      <c r="B53" s="25"/>
      <c r="C53" s="25"/>
    </row>
    <row r="54">
      <c r="A54" s="25"/>
      <c r="B54" s="25"/>
      <c r="C54" s="25"/>
    </row>
    <row r="55">
      <c r="A55" s="25"/>
      <c r="B55" s="25"/>
      <c r="C55" s="25"/>
    </row>
    <row r="56">
      <c r="A56" s="25"/>
      <c r="B56" s="25"/>
      <c r="C56" s="25"/>
    </row>
    <row r="57">
      <c r="A57" s="25"/>
      <c r="B57" s="25"/>
      <c r="C57" s="25"/>
    </row>
    <row r="58">
      <c r="A58" s="25"/>
      <c r="B58" s="25"/>
      <c r="C58" s="25"/>
    </row>
    <row r="59">
      <c r="A59" s="25"/>
      <c r="B59" s="25"/>
      <c r="C59" s="25"/>
    </row>
    <row r="60">
      <c r="A60" s="25"/>
      <c r="B60" s="25"/>
      <c r="C60" s="25"/>
    </row>
    <row r="61">
      <c r="A61" s="25"/>
      <c r="B61" s="25"/>
      <c r="C61" s="25"/>
    </row>
    <row r="62">
      <c r="A62" s="25"/>
      <c r="B62" s="25"/>
      <c r="C62" s="25"/>
    </row>
    <row r="63">
      <c r="A63" s="25"/>
      <c r="B63" s="25"/>
      <c r="C63" s="25"/>
    </row>
    <row r="64">
      <c r="A64" s="25"/>
      <c r="B64" s="25"/>
      <c r="C64" s="25"/>
    </row>
    <row r="65">
      <c r="A65" s="25"/>
      <c r="B65" s="25"/>
      <c r="C65" s="25"/>
    </row>
    <row r="66">
      <c r="A66" s="25"/>
      <c r="B66" s="25"/>
      <c r="C66" s="25"/>
    </row>
    <row r="67">
      <c r="A67" s="25"/>
      <c r="B67" s="25"/>
      <c r="C67" s="25"/>
    </row>
    <row r="68">
      <c r="A68" s="25"/>
      <c r="B68" s="25"/>
      <c r="C68" s="25"/>
    </row>
    <row r="69">
      <c r="A69" s="25"/>
      <c r="B69" s="25"/>
      <c r="C69" s="25"/>
    </row>
    <row r="70">
      <c r="A70" s="25"/>
      <c r="B70" s="25"/>
      <c r="C70" s="25"/>
    </row>
    <row r="71">
      <c r="A71" s="25"/>
      <c r="B71" s="25"/>
      <c r="C71" s="25"/>
    </row>
    <row r="72">
      <c r="A72" s="25"/>
      <c r="B72" s="25"/>
      <c r="C72" s="25"/>
    </row>
    <row r="73">
      <c r="A73" s="25"/>
      <c r="B73" s="25"/>
      <c r="C73" s="25"/>
    </row>
    <row r="74">
      <c r="A74" s="25"/>
      <c r="B74" s="25"/>
      <c r="C74" s="25"/>
    </row>
    <row r="75">
      <c r="A75" s="25"/>
      <c r="B75" s="25"/>
      <c r="C75" s="25"/>
    </row>
    <row r="76">
      <c r="A76" s="25"/>
      <c r="B76" s="25"/>
      <c r="C76" s="25"/>
    </row>
    <row r="77">
      <c r="A77" s="25"/>
      <c r="B77" s="25"/>
      <c r="C77" s="25"/>
    </row>
    <row r="78">
      <c r="A78" s="25"/>
      <c r="B78" s="25"/>
      <c r="C78" s="25"/>
    </row>
    <row r="79">
      <c r="A79" s="25"/>
      <c r="B79" s="25"/>
      <c r="C79" s="25"/>
    </row>
    <row r="80">
      <c r="A80" s="25"/>
      <c r="B80" s="25"/>
      <c r="C80" s="25"/>
    </row>
    <row r="81">
      <c r="A81" s="25"/>
      <c r="B81" s="25"/>
      <c r="C81" s="25"/>
    </row>
    <row r="82">
      <c r="A82" s="25"/>
      <c r="B82" s="25"/>
      <c r="C82" s="25"/>
    </row>
    <row r="83">
      <c r="A83" s="25"/>
      <c r="B83" s="25"/>
      <c r="C83" s="25"/>
    </row>
    <row r="84">
      <c r="A84" s="25"/>
      <c r="B84" s="25"/>
      <c r="C84" s="25"/>
    </row>
    <row r="85">
      <c r="A85" s="25"/>
      <c r="B85" s="25"/>
      <c r="C85" s="25"/>
    </row>
    <row r="86">
      <c r="A86" s="25"/>
      <c r="B86" s="25"/>
      <c r="C86" s="25"/>
    </row>
    <row r="87">
      <c r="A87" s="25"/>
      <c r="B87" s="25"/>
      <c r="C87" s="25"/>
    </row>
    <row r="88">
      <c r="A88" s="25"/>
      <c r="B88" s="25"/>
      <c r="C88" s="25"/>
    </row>
    <row r="89">
      <c r="A89" s="25"/>
      <c r="B89" s="25"/>
      <c r="C89" s="25"/>
    </row>
    <row r="90">
      <c r="A90" s="25"/>
      <c r="B90" s="25"/>
      <c r="C90" s="25"/>
    </row>
    <row r="91">
      <c r="A91" s="25"/>
      <c r="B91" s="25"/>
      <c r="C91" s="25"/>
    </row>
    <row r="92">
      <c r="A92" s="25"/>
      <c r="B92" s="25"/>
      <c r="C92" s="25"/>
    </row>
    <row r="93">
      <c r="A93" s="25"/>
      <c r="B93" s="25"/>
      <c r="C93" s="25"/>
    </row>
    <row r="94">
      <c r="A94" s="25"/>
      <c r="B94" s="25"/>
      <c r="C94" s="25"/>
    </row>
    <row r="95">
      <c r="A95" s="25"/>
      <c r="B95" s="25"/>
      <c r="C95" s="25"/>
    </row>
    <row r="96">
      <c r="A96" s="25"/>
      <c r="B96" s="25"/>
      <c r="C96" s="25"/>
    </row>
    <row r="97">
      <c r="A97" s="25"/>
      <c r="B97" s="25"/>
      <c r="C97" s="25"/>
    </row>
    <row r="98">
      <c r="A98" s="25"/>
      <c r="B98" s="25"/>
      <c r="C98" s="25"/>
    </row>
    <row r="99">
      <c r="A99" s="25"/>
      <c r="B99" s="25"/>
      <c r="C99" s="25"/>
    </row>
    <row r="100">
      <c r="A100" s="25"/>
      <c r="B100" s="25"/>
      <c r="C100" s="25"/>
    </row>
    <row r="101">
      <c r="A101" s="25"/>
      <c r="B101" s="25"/>
      <c r="C101" s="25"/>
    </row>
    <row r="102">
      <c r="A102" s="25"/>
      <c r="B102" s="25"/>
      <c r="C102" s="25"/>
    </row>
    <row r="103">
      <c r="A103" s="25"/>
      <c r="B103" s="25"/>
      <c r="C103" s="25"/>
    </row>
    <row r="104">
      <c r="A104" s="25"/>
      <c r="B104" s="25"/>
      <c r="C104" s="25"/>
    </row>
    <row r="105">
      <c r="A105" s="25"/>
      <c r="B105" s="25"/>
      <c r="C105" s="25"/>
    </row>
    <row r="106">
      <c r="A106" s="25"/>
      <c r="B106" s="25"/>
      <c r="C106" s="25"/>
    </row>
    <row r="107">
      <c r="A107" s="25"/>
      <c r="B107" s="25"/>
      <c r="C107" s="25"/>
    </row>
    <row r="108">
      <c r="A108" s="25"/>
      <c r="B108" s="25"/>
      <c r="C108" s="25"/>
    </row>
    <row r="109">
      <c r="A109" s="25"/>
      <c r="B109" s="25"/>
      <c r="C109" s="25"/>
    </row>
    <row r="110">
      <c r="A110" s="25"/>
      <c r="B110" s="25"/>
      <c r="C110" s="25"/>
    </row>
    <row r="111">
      <c r="A111" s="25"/>
      <c r="B111" s="25"/>
      <c r="C111" s="25"/>
    </row>
    <row r="112">
      <c r="A112" s="25"/>
      <c r="B112" s="25"/>
      <c r="C112" s="25"/>
    </row>
    <row r="113">
      <c r="A113" s="25"/>
      <c r="B113" s="25"/>
      <c r="C113" s="25"/>
    </row>
    <row r="114">
      <c r="A114" s="25"/>
      <c r="B114" s="25"/>
      <c r="C114" s="25"/>
    </row>
    <row r="115">
      <c r="A115" s="25"/>
      <c r="B115" s="25"/>
      <c r="C115" s="25"/>
    </row>
    <row r="116">
      <c r="A116" s="25"/>
      <c r="B116" s="25"/>
      <c r="C116" s="25"/>
    </row>
    <row r="117">
      <c r="A117" s="25"/>
      <c r="B117" s="25"/>
      <c r="C117" s="25"/>
    </row>
    <row r="118">
      <c r="A118" s="25"/>
      <c r="B118" s="25"/>
      <c r="C118" s="25"/>
    </row>
    <row r="119">
      <c r="A119" s="25"/>
      <c r="B119" s="25"/>
      <c r="C119" s="25"/>
    </row>
    <row r="120">
      <c r="A120" s="25"/>
      <c r="B120" s="25"/>
      <c r="C120" s="25"/>
    </row>
    <row r="121">
      <c r="A121" s="25"/>
      <c r="B121" s="25"/>
      <c r="C121" s="25"/>
    </row>
    <row r="122">
      <c r="A122" s="25"/>
      <c r="B122" s="25"/>
      <c r="C122" s="25"/>
    </row>
    <row r="123">
      <c r="A123" s="25"/>
      <c r="B123" s="25"/>
      <c r="C123" s="25"/>
    </row>
    <row r="124">
      <c r="A124" s="25"/>
      <c r="B124" s="25"/>
      <c r="C124" s="25"/>
    </row>
    <row r="125">
      <c r="A125" s="25"/>
      <c r="B125" s="25"/>
      <c r="C125" s="25"/>
    </row>
    <row r="126">
      <c r="A126" s="25"/>
      <c r="B126" s="25"/>
      <c r="C126" s="25"/>
    </row>
    <row r="127">
      <c r="A127" s="25"/>
      <c r="B127" s="25"/>
      <c r="C127" s="25"/>
    </row>
    <row r="128">
      <c r="A128" s="25"/>
      <c r="B128" s="25"/>
      <c r="C128" s="25"/>
    </row>
    <row r="129">
      <c r="A129" s="25"/>
      <c r="B129" s="25"/>
      <c r="C129" s="25"/>
    </row>
    <row r="130">
      <c r="A130" s="25"/>
      <c r="B130" s="25"/>
      <c r="C130" s="25"/>
    </row>
    <row r="131">
      <c r="A131" s="25"/>
      <c r="B131" s="25"/>
      <c r="C131" s="25"/>
    </row>
    <row r="132">
      <c r="A132" s="25"/>
      <c r="B132" s="25"/>
      <c r="C132" s="25"/>
    </row>
    <row r="133">
      <c r="A133" s="25"/>
      <c r="B133" s="25"/>
      <c r="C133" s="25"/>
    </row>
    <row r="134">
      <c r="A134" s="25"/>
      <c r="B134" s="25"/>
      <c r="C134" s="25"/>
    </row>
    <row r="135">
      <c r="A135" s="25"/>
      <c r="B135" s="25"/>
      <c r="C135" s="25"/>
    </row>
    <row r="136">
      <c r="A136" s="25"/>
      <c r="B136" s="25"/>
      <c r="C136" s="25"/>
    </row>
    <row r="137">
      <c r="A137" s="25"/>
      <c r="B137" s="25"/>
      <c r="C137" s="25"/>
    </row>
    <row r="138">
      <c r="A138" s="25"/>
      <c r="B138" s="25"/>
      <c r="C138" s="25"/>
    </row>
    <row r="139">
      <c r="A139" s="25"/>
      <c r="B139" s="25"/>
      <c r="C139" s="25"/>
    </row>
    <row r="140">
      <c r="A140" s="25"/>
      <c r="B140" s="25"/>
      <c r="C140" s="25"/>
    </row>
    <row r="141">
      <c r="A141" s="25"/>
      <c r="B141" s="25"/>
      <c r="C141" s="25"/>
    </row>
    <row r="142">
      <c r="A142" s="25"/>
      <c r="B142" s="25"/>
      <c r="C142" s="25"/>
    </row>
    <row r="143">
      <c r="A143" s="25"/>
      <c r="B143" s="25"/>
      <c r="C143" s="25"/>
    </row>
    <row r="144">
      <c r="A144" s="25"/>
      <c r="B144" s="25"/>
      <c r="C144" s="25"/>
    </row>
    <row r="145">
      <c r="A145" s="25"/>
      <c r="B145" s="25"/>
      <c r="C145" s="25"/>
    </row>
    <row r="146">
      <c r="A146" s="25"/>
      <c r="B146" s="25"/>
      <c r="C146" s="25"/>
    </row>
    <row r="147">
      <c r="A147" s="25"/>
      <c r="B147" s="25"/>
      <c r="C147" s="25"/>
    </row>
    <row r="148">
      <c r="A148" s="25"/>
      <c r="B148" s="25"/>
      <c r="C148" s="25"/>
    </row>
    <row r="149">
      <c r="A149" s="25"/>
      <c r="B149" s="25"/>
      <c r="C149" s="25"/>
    </row>
    <row r="150">
      <c r="A150" s="25"/>
      <c r="B150" s="25"/>
      <c r="C150" s="25"/>
    </row>
    <row r="151">
      <c r="A151" s="25"/>
      <c r="B151" s="25"/>
      <c r="C151" s="25"/>
    </row>
    <row r="152">
      <c r="A152" s="25"/>
      <c r="B152" s="25"/>
      <c r="C152" s="25"/>
    </row>
    <row r="153">
      <c r="A153" s="25"/>
      <c r="B153" s="25"/>
      <c r="C153" s="25"/>
    </row>
    <row r="154">
      <c r="A154" s="25"/>
      <c r="B154" s="25"/>
      <c r="C154" s="25"/>
    </row>
    <row r="155">
      <c r="A155" s="25"/>
      <c r="B155" s="25"/>
      <c r="C155" s="25"/>
    </row>
    <row r="156">
      <c r="A156" s="25"/>
      <c r="B156" s="25"/>
      <c r="C156" s="25"/>
    </row>
    <row r="157">
      <c r="A157" s="25"/>
      <c r="B157" s="25"/>
      <c r="C157" s="25"/>
    </row>
    <row r="158">
      <c r="A158" s="25"/>
      <c r="B158" s="25"/>
      <c r="C158" s="25"/>
    </row>
    <row r="159">
      <c r="A159" s="25"/>
      <c r="B159" s="25"/>
      <c r="C159" s="25"/>
    </row>
    <row r="160">
      <c r="A160" s="25"/>
      <c r="B160" s="25"/>
      <c r="C160" s="25"/>
    </row>
    <row r="161">
      <c r="A161" s="25"/>
      <c r="B161" s="25"/>
      <c r="C161" s="25"/>
    </row>
    <row r="162">
      <c r="A162" s="25"/>
      <c r="B162" s="25"/>
      <c r="C162" s="25"/>
    </row>
    <row r="163">
      <c r="A163" s="25"/>
      <c r="B163" s="25"/>
      <c r="C163" s="25"/>
    </row>
    <row r="164">
      <c r="A164" s="25"/>
      <c r="B164" s="25"/>
      <c r="C164" s="25"/>
    </row>
    <row r="165">
      <c r="A165" s="25"/>
      <c r="B165" s="25"/>
      <c r="C165" s="25"/>
    </row>
    <row r="166">
      <c r="A166" s="25"/>
      <c r="B166" s="25"/>
      <c r="C166" s="25"/>
    </row>
    <row r="167">
      <c r="A167" s="25"/>
      <c r="B167" s="25"/>
      <c r="C167" s="25"/>
    </row>
    <row r="168">
      <c r="A168" s="25"/>
      <c r="B168" s="25"/>
      <c r="C168" s="25"/>
    </row>
    <row r="169">
      <c r="A169" s="25"/>
      <c r="B169" s="25"/>
      <c r="C169" s="25"/>
    </row>
    <row r="170">
      <c r="A170" s="25"/>
      <c r="B170" s="25"/>
      <c r="C170" s="25"/>
    </row>
    <row r="171">
      <c r="A171" s="25"/>
      <c r="B171" s="25"/>
      <c r="C171" s="25"/>
    </row>
    <row r="172">
      <c r="A172" s="25"/>
      <c r="B172" s="25"/>
      <c r="C172" s="25"/>
    </row>
    <row r="173">
      <c r="A173" s="25"/>
      <c r="B173" s="25"/>
      <c r="C173" s="25"/>
    </row>
    <row r="174">
      <c r="A174" s="25"/>
      <c r="B174" s="25"/>
      <c r="C174" s="25"/>
    </row>
    <row r="175">
      <c r="A175" s="25"/>
      <c r="B175" s="25"/>
      <c r="C175" s="25"/>
    </row>
    <row r="176">
      <c r="A176" s="25"/>
      <c r="B176" s="25"/>
      <c r="C176" s="25"/>
    </row>
    <row r="177">
      <c r="A177" s="25"/>
      <c r="B177" s="25"/>
      <c r="C177" s="25"/>
    </row>
    <row r="178">
      <c r="A178" s="25"/>
      <c r="B178" s="25"/>
      <c r="C178" s="25"/>
    </row>
    <row r="179">
      <c r="A179" s="25"/>
      <c r="B179" s="25"/>
      <c r="C179" s="25"/>
    </row>
    <row r="180">
      <c r="A180" s="25"/>
      <c r="B180" s="25"/>
      <c r="C180" s="25"/>
    </row>
    <row r="181">
      <c r="A181" s="25"/>
      <c r="B181" s="25"/>
      <c r="C181" s="25"/>
    </row>
    <row r="182">
      <c r="A182" s="25"/>
      <c r="B182" s="25"/>
      <c r="C182" s="25"/>
    </row>
    <row r="183">
      <c r="A183" s="25"/>
      <c r="B183" s="25"/>
      <c r="C183" s="25"/>
    </row>
    <row r="184">
      <c r="A184" s="25"/>
      <c r="B184" s="25"/>
      <c r="C184" s="25"/>
    </row>
    <row r="185">
      <c r="A185" s="25"/>
      <c r="B185" s="25"/>
      <c r="C185" s="25"/>
    </row>
    <row r="186">
      <c r="A186" s="25"/>
      <c r="B186" s="25"/>
      <c r="C186" s="25"/>
    </row>
    <row r="187">
      <c r="A187" s="25"/>
      <c r="B187" s="25"/>
      <c r="C187" s="25"/>
    </row>
    <row r="188">
      <c r="A188" s="25"/>
      <c r="B188" s="25"/>
      <c r="C188" s="25"/>
    </row>
    <row r="189">
      <c r="A189" s="25"/>
      <c r="B189" s="25"/>
      <c r="C189" s="25"/>
    </row>
    <row r="190">
      <c r="A190" s="25"/>
      <c r="B190" s="25"/>
      <c r="C190" s="25"/>
    </row>
    <row r="191">
      <c r="A191" s="25"/>
      <c r="B191" s="25"/>
      <c r="C191" s="25"/>
    </row>
    <row r="192">
      <c r="A192" s="25"/>
      <c r="B192" s="25"/>
      <c r="C192" s="25"/>
    </row>
    <row r="193">
      <c r="A193" s="25"/>
      <c r="B193" s="25"/>
      <c r="C193" s="25"/>
    </row>
    <row r="194">
      <c r="A194" s="25"/>
      <c r="B194" s="25"/>
      <c r="C194" s="25"/>
    </row>
    <row r="195">
      <c r="A195" s="25"/>
      <c r="B195" s="25"/>
      <c r="C195" s="25"/>
    </row>
    <row r="196">
      <c r="A196" s="25"/>
      <c r="B196" s="25"/>
      <c r="C196" s="25"/>
    </row>
    <row r="197">
      <c r="A197" s="25"/>
      <c r="B197" s="25"/>
      <c r="C197" s="25"/>
    </row>
    <row r="198">
      <c r="A198" s="25"/>
      <c r="B198" s="25"/>
      <c r="C198" s="25"/>
    </row>
    <row r="199">
      <c r="A199" s="25"/>
      <c r="B199" s="25"/>
      <c r="C199" s="25"/>
    </row>
    <row r="200">
      <c r="A200" s="25"/>
      <c r="B200" s="25"/>
      <c r="C200" s="25"/>
    </row>
    <row r="201">
      <c r="A201" s="25"/>
      <c r="B201" s="25"/>
      <c r="C201" s="25"/>
    </row>
    <row r="202">
      <c r="A202" s="25"/>
      <c r="B202" s="25"/>
      <c r="C202" s="25"/>
    </row>
    <row r="203">
      <c r="A203" s="25"/>
      <c r="B203" s="25"/>
      <c r="C203" s="25"/>
    </row>
    <row r="204">
      <c r="A204" s="25"/>
      <c r="B204" s="25"/>
      <c r="C204" s="25"/>
    </row>
    <row r="205">
      <c r="A205" s="25"/>
      <c r="B205" s="25"/>
      <c r="C205" s="25"/>
    </row>
    <row r="206">
      <c r="A206" s="25"/>
      <c r="B206" s="25"/>
      <c r="C206" s="25"/>
    </row>
    <row r="207">
      <c r="A207" s="25"/>
      <c r="B207" s="25"/>
      <c r="C207" s="25"/>
    </row>
    <row r="208">
      <c r="A208" s="25"/>
      <c r="B208" s="25"/>
      <c r="C208" s="25"/>
    </row>
    <row r="209">
      <c r="A209" s="25"/>
      <c r="B209" s="25"/>
      <c r="C209" s="25"/>
    </row>
    <row r="210">
      <c r="A210" s="25"/>
      <c r="B210" s="25"/>
      <c r="C210" s="25"/>
    </row>
    <row r="211">
      <c r="A211" s="25"/>
      <c r="B211" s="25"/>
      <c r="C211" s="25"/>
    </row>
    <row r="212">
      <c r="A212" s="25"/>
      <c r="B212" s="25"/>
      <c r="C212" s="25"/>
    </row>
    <row r="213">
      <c r="A213" s="25"/>
      <c r="B213" s="25"/>
      <c r="C213" s="25"/>
    </row>
    <row r="214">
      <c r="A214" s="25"/>
      <c r="B214" s="25"/>
      <c r="C214" s="25"/>
    </row>
    <row r="215">
      <c r="A215" s="25"/>
      <c r="B215" s="25"/>
      <c r="C215" s="25"/>
    </row>
    <row r="216">
      <c r="A216" s="25"/>
      <c r="B216" s="25"/>
      <c r="C216" s="25"/>
    </row>
    <row r="217">
      <c r="A217" s="25"/>
      <c r="B217" s="25"/>
      <c r="C217" s="25"/>
    </row>
    <row r="218">
      <c r="A218" s="25"/>
      <c r="B218" s="25"/>
      <c r="C218" s="25"/>
    </row>
    <row r="219">
      <c r="A219" s="25"/>
      <c r="B219" s="25"/>
      <c r="C219" s="25"/>
    </row>
    <row r="220">
      <c r="A220" s="25"/>
      <c r="B220" s="25"/>
      <c r="C220" s="25"/>
    </row>
    <row r="221">
      <c r="A221" s="25"/>
      <c r="B221" s="25"/>
      <c r="C221" s="25"/>
    </row>
    <row r="222">
      <c r="A222" s="25"/>
      <c r="B222" s="25"/>
      <c r="C222" s="25"/>
    </row>
    <row r="223">
      <c r="A223" s="25"/>
      <c r="B223" s="25"/>
      <c r="C223" s="25"/>
    </row>
    <row r="224">
      <c r="A224" s="25"/>
      <c r="B224" s="25"/>
      <c r="C224" s="25"/>
    </row>
    <row r="225">
      <c r="A225" s="25"/>
      <c r="B225" s="25"/>
      <c r="C225" s="25"/>
    </row>
    <row r="226">
      <c r="A226" s="25"/>
      <c r="B226" s="25"/>
      <c r="C226" s="25"/>
    </row>
    <row r="227">
      <c r="A227" s="25"/>
      <c r="B227" s="25"/>
      <c r="C227" s="25"/>
    </row>
    <row r="228">
      <c r="A228" s="25"/>
      <c r="B228" s="25"/>
      <c r="C228" s="25"/>
    </row>
    <row r="229">
      <c r="A229" s="25"/>
      <c r="B229" s="25"/>
      <c r="C229" s="25"/>
    </row>
    <row r="230">
      <c r="A230" s="25"/>
      <c r="B230" s="25"/>
      <c r="C230" s="25"/>
    </row>
    <row r="231">
      <c r="A231" s="25"/>
      <c r="B231" s="25"/>
      <c r="C231" s="25"/>
    </row>
    <row r="232">
      <c r="A232" s="25"/>
      <c r="B232" s="25"/>
      <c r="C232" s="25"/>
    </row>
    <row r="233">
      <c r="A233" s="25"/>
      <c r="B233" s="25"/>
      <c r="C233" s="25"/>
    </row>
    <row r="234">
      <c r="A234" s="25"/>
      <c r="B234" s="25"/>
      <c r="C234" s="25"/>
    </row>
    <row r="235">
      <c r="A235" s="25"/>
      <c r="B235" s="25"/>
      <c r="C235" s="25"/>
    </row>
    <row r="236">
      <c r="A236" s="25"/>
      <c r="B236" s="25"/>
      <c r="C236" s="25"/>
    </row>
    <row r="237">
      <c r="A237" s="25"/>
      <c r="B237" s="25"/>
      <c r="C237" s="25"/>
    </row>
    <row r="238">
      <c r="A238" s="25"/>
      <c r="B238" s="25"/>
      <c r="C238" s="25"/>
    </row>
    <row r="239">
      <c r="A239" s="25"/>
      <c r="B239" s="25"/>
      <c r="C239" s="25"/>
    </row>
    <row r="240">
      <c r="A240" s="25"/>
      <c r="B240" s="25"/>
      <c r="C240" s="25"/>
    </row>
    <row r="241">
      <c r="A241" s="25"/>
      <c r="B241" s="25"/>
      <c r="C241" s="25"/>
    </row>
    <row r="242">
      <c r="A242" s="25"/>
      <c r="B242" s="25"/>
      <c r="C242" s="25"/>
    </row>
    <row r="243">
      <c r="A243" s="25"/>
      <c r="B243" s="25"/>
      <c r="C243" s="25"/>
    </row>
    <row r="244">
      <c r="A244" s="25"/>
      <c r="B244" s="25"/>
      <c r="C244" s="25"/>
    </row>
    <row r="245">
      <c r="A245" s="25"/>
      <c r="B245" s="25"/>
      <c r="C245" s="25"/>
    </row>
    <row r="246">
      <c r="A246" s="25"/>
      <c r="B246" s="25"/>
      <c r="C246" s="25"/>
    </row>
    <row r="247">
      <c r="A247" s="25"/>
      <c r="B247" s="25"/>
      <c r="C247" s="25"/>
    </row>
    <row r="248">
      <c r="A248" s="25"/>
      <c r="B248" s="25"/>
      <c r="C248" s="25"/>
    </row>
    <row r="249">
      <c r="A249" s="25"/>
      <c r="B249" s="25"/>
      <c r="C249" s="25"/>
    </row>
    <row r="250">
      <c r="A250" s="25"/>
      <c r="B250" s="25"/>
      <c r="C250" s="25"/>
    </row>
    <row r="251">
      <c r="A251" s="25"/>
      <c r="B251" s="25"/>
      <c r="C251" s="25"/>
    </row>
    <row r="252">
      <c r="A252" s="25"/>
      <c r="B252" s="25"/>
      <c r="C252" s="25"/>
    </row>
    <row r="253">
      <c r="A253" s="25"/>
      <c r="B253" s="25"/>
      <c r="C253" s="25"/>
    </row>
    <row r="254">
      <c r="A254" s="25"/>
      <c r="B254" s="25"/>
      <c r="C254" s="25"/>
    </row>
    <row r="255">
      <c r="A255" s="25"/>
      <c r="B255" s="25"/>
      <c r="C255" s="25"/>
    </row>
    <row r="256">
      <c r="A256" s="25"/>
      <c r="B256" s="25"/>
      <c r="C256" s="25"/>
    </row>
    <row r="257">
      <c r="A257" s="25"/>
      <c r="B257" s="25"/>
      <c r="C257" s="25"/>
    </row>
    <row r="258">
      <c r="A258" s="25"/>
      <c r="B258" s="25"/>
      <c r="C258" s="25"/>
    </row>
    <row r="259">
      <c r="A259" s="25"/>
      <c r="B259" s="25"/>
      <c r="C259" s="25"/>
    </row>
    <row r="260">
      <c r="A260" s="25"/>
      <c r="B260" s="25"/>
      <c r="C260" s="25"/>
    </row>
    <row r="261">
      <c r="A261" s="25"/>
      <c r="B261" s="25"/>
      <c r="C261" s="25"/>
    </row>
    <row r="262">
      <c r="A262" s="25"/>
      <c r="B262" s="25"/>
      <c r="C262" s="25"/>
    </row>
    <row r="263">
      <c r="A263" s="25"/>
      <c r="B263" s="25"/>
      <c r="C263" s="25"/>
    </row>
    <row r="264">
      <c r="A264" s="25"/>
      <c r="B264" s="25"/>
      <c r="C264" s="25"/>
    </row>
    <row r="265">
      <c r="A265" s="25"/>
      <c r="B265" s="25"/>
      <c r="C265" s="25"/>
    </row>
    <row r="266">
      <c r="A266" s="25"/>
      <c r="B266" s="25"/>
      <c r="C266" s="25"/>
    </row>
    <row r="267">
      <c r="A267" s="25"/>
      <c r="B267" s="25"/>
      <c r="C267" s="25"/>
    </row>
    <row r="268">
      <c r="A268" s="25"/>
      <c r="B268" s="25"/>
      <c r="C268" s="25"/>
    </row>
    <row r="269">
      <c r="A269" s="25"/>
      <c r="B269" s="25"/>
      <c r="C269" s="25"/>
    </row>
    <row r="270">
      <c r="A270" s="25"/>
      <c r="B270" s="25"/>
      <c r="C270" s="25"/>
    </row>
    <row r="271">
      <c r="A271" s="25"/>
      <c r="B271" s="25"/>
      <c r="C271" s="25"/>
    </row>
    <row r="272">
      <c r="A272" s="25"/>
      <c r="B272" s="25"/>
      <c r="C272" s="25"/>
    </row>
    <row r="273">
      <c r="A273" s="25"/>
      <c r="B273" s="25"/>
      <c r="C273" s="25"/>
    </row>
    <row r="274">
      <c r="A274" s="25"/>
      <c r="B274" s="25"/>
      <c r="C274" s="25"/>
    </row>
    <row r="275">
      <c r="A275" s="25"/>
      <c r="B275" s="25"/>
      <c r="C275" s="25"/>
    </row>
    <row r="276">
      <c r="A276" s="25"/>
      <c r="B276" s="25"/>
      <c r="C276" s="25"/>
    </row>
    <row r="277">
      <c r="A277" s="25"/>
      <c r="B277" s="25"/>
      <c r="C277" s="25"/>
    </row>
    <row r="278">
      <c r="A278" s="25"/>
      <c r="B278" s="25"/>
      <c r="C278" s="25"/>
    </row>
    <row r="279">
      <c r="A279" s="25"/>
      <c r="B279" s="25"/>
      <c r="C279" s="25"/>
    </row>
    <row r="280">
      <c r="A280" s="25"/>
      <c r="B280" s="25"/>
      <c r="C280" s="25"/>
    </row>
    <row r="281">
      <c r="A281" s="25"/>
      <c r="B281" s="25"/>
      <c r="C281" s="25"/>
    </row>
    <row r="282">
      <c r="A282" s="25"/>
      <c r="B282" s="25"/>
      <c r="C282" s="25"/>
    </row>
    <row r="283">
      <c r="A283" s="25"/>
      <c r="B283" s="25"/>
      <c r="C283" s="25"/>
    </row>
    <row r="284">
      <c r="A284" s="25"/>
      <c r="B284" s="25"/>
      <c r="C284" s="25"/>
    </row>
    <row r="285">
      <c r="A285" s="25"/>
      <c r="B285" s="25"/>
      <c r="C285" s="25"/>
    </row>
    <row r="286">
      <c r="A286" s="25"/>
      <c r="B286" s="25"/>
      <c r="C286" s="25"/>
    </row>
    <row r="287">
      <c r="A287" s="25"/>
      <c r="B287" s="25"/>
      <c r="C287" s="25"/>
    </row>
    <row r="288">
      <c r="A288" s="25"/>
      <c r="B288" s="25"/>
      <c r="C288" s="25"/>
    </row>
    <row r="289">
      <c r="A289" s="25"/>
      <c r="B289" s="25"/>
      <c r="C289" s="25"/>
    </row>
    <row r="290">
      <c r="A290" s="25"/>
      <c r="B290" s="25"/>
      <c r="C290" s="25"/>
    </row>
    <row r="291">
      <c r="A291" s="25"/>
      <c r="B291" s="25"/>
      <c r="C291" s="25"/>
    </row>
    <row r="292">
      <c r="A292" s="25"/>
      <c r="B292" s="25"/>
      <c r="C292" s="25"/>
    </row>
    <row r="293">
      <c r="A293" s="25"/>
      <c r="B293" s="25"/>
      <c r="C293" s="25"/>
    </row>
    <row r="294">
      <c r="A294" s="25"/>
      <c r="B294" s="25"/>
      <c r="C294" s="25"/>
    </row>
    <row r="295">
      <c r="A295" s="25"/>
      <c r="B295" s="25"/>
      <c r="C295" s="25"/>
    </row>
    <row r="296">
      <c r="A296" s="25"/>
      <c r="B296" s="25"/>
      <c r="C296" s="25"/>
    </row>
    <row r="297">
      <c r="A297" s="25"/>
      <c r="B297" s="25"/>
      <c r="C297" s="25"/>
    </row>
    <row r="298">
      <c r="A298" s="25"/>
      <c r="B298" s="25"/>
      <c r="C298" s="25"/>
    </row>
    <row r="299">
      <c r="A299" s="25"/>
      <c r="B299" s="25"/>
      <c r="C299" s="25"/>
    </row>
    <row r="300">
      <c r="A300" s="25"/>
      <c r="B300" s="25"/>
      <c r="C300" s="25"/>
    </row>
    <row r="301">
      <c r="A301" s="25"/>
      <c r="B301" s="25"/>
      <c r="C301" s="25"/>
    </row>
    <row r="302">
      <c r="A302" s="25"/>
      <c r="B302" s="25"/>
      <c r="C302" s="25"/>
    </row>
    <row r="303">
      <c r="A303" s="25"/>
      <c r="B303" s="25"/>
      <c r="C303" s="25"/>
    </row>
    <row r="304">
      <c r="A304" s="25"/>
      <c r="B304" s="25"/>
      <c r="C304" s="25"/>
    </row>
    <row r="305">
      <c r="A305" s="25"/>
      <c r="B305" s="25"/>
      <c r="C305" s="25"/>
    </row>
    <row r="306">
      <c r="A306" s="25"/>
      <c r="B306" s="25"/>
      <c r="C306" s="25"/>
    </row>
    <row r="307">
      <c r="A307" s="25"/>
      <c r="B307" s="25"/>
      <c r="C307" s="25"/>
    </row>
    <row r="308">
      <c r="A308" s="25"/>
      <c r="B308" s="25"/>
      <c r="C308" s="25"/>
    </row>
    <row r="309">
      <c r="A309" s="25"/>
      <c r="B309" s="25"/>
      <c r="C309" s="25"/>
    </row>
    <row r="310">
      <c r="A310" s="25"/>
      <c r="B310" s="25"/>
      <c r="C310" s="25"/>
    </row>
    <row r="311">
      <c r="A311" s="25"/>
      <c r="B311" s="25"/>
      <c r="C311" s="25"/>
    </row>
    <row r="312">
      <c r="A312" s="25"/>
      <c r="B312" s="25"/>
      <c r="C312" s="25"/>
    </row>
    <row r="313">
      <c r="A313" s="25"/>
      <c r="B313" s="25"/>
      <c r="C313" s="25"/>
    </row>
    <row r="314">
      <c r="A314" s="25"/>
      <c r="B314" s="25"/>
      <c r="C314" s="25"/>
    </row>
    <row r="315">
      <c r="A315" s="25"/>
      <c r="B315" s="25"/>
      <c r="C315" s="25"/>
    </row>
    <row r="316">
      <c r="A316" s="25"/>
      <c r="B316" s="25"/>
      <c r="C316" s="25"/>
    </row>
    <row r="317">
      <c r="A317" s="25"/>
      <c r="B317" s="25"/>
      <c r="C317" s="25"/>
    </row>
    <row r="318">
      <c r="A318" s="25"/>
      <c r="B318" s="25"/>
      <c r="C318" s="25"/>
    </row>
    <row r="319">
      <c r="A319" s="25"/>
      <c r="B319" s="25"/>
      <c r="C319" s="25"/>
    </row>
    <row r="320">
      <c r="A320" s="25"/>
      <c r="B320" s="25"/>
      <c r="C320" s="25"/>
    </row>
    <row r="321">
      <c r="A321" s="25"/>
      <c r="B321" s="25"/>
      <c r="C321" s="25"/>
    </row>
    <row r="322">
      <c r="A322" s="25"/>
      <c r="B322" s="25"/>
      <c r="C322" s="25"/>
    </row>
    <row r="323">
      <c r="A323" s="25"/>
      <c r="B323" s="25"/>
      <c r="C323" s="25"/>
    </row>
    <row r="324">
      <c r="A324" s="25"/>
      <c r="B324" s="25"/>
      <c r="C324" s="25"/>
    </row>
    <row r="325">
      <c r="A325" s="25"/>
      <c r="B325" s="25"/>
      <c r="C325" s="25"/>
    </row>
    <row r="326">
      <c r="A326" s="25"/>
      <c r="B326" s="25"/>
      <c r="C326" s="25"/>
    </row>
    <row r="327">
      <c r="A327" s="25"/>
      <c r="B327" s="25"/>
      <c r="C327" s="25"/>
    </row>
    <row r="328">
      <c r="A328" s="25"/>
      <c r="B328" s="25"/>
      <c r="C328" s="25"/>
    </row>
    <row r="329">
      <c r="A329" s="25"/>
      <c r="B329" s="25"/>
      <c r="C329" s="25"/>
    </row>
    <row r="330">
      <c r="A330" s="25"/>
      <c r="B330" s="25"/>
      <c r="C330" s="25"/>
    </row>
    <row r="331">
      <c r="A331" s="25"/>
      <c r="B331" s="25"/>
      <c r="C331" s="25"/>
    </row>
    <row r="332">
      <c r="A332" s="25"/>
      <c r="B332" s="25"/>
      <c r="C332" s="25"/>
    </row>
    <row r="333">
      <c r="A333" s="25"/>
      <c r="B333" s="25"/>
      <c r="C333" s="25"/>
    </row>
    <row r="334">
      <c r="A334" s="25"/>
      <c r="B334" s="25"/>
      <c r="C334" s="25"/>
    </row>
    <row r="335">
      <c r="A335" s="25"/>
      <c r="B335" s="25"/>
      <c r="C335" s="25"/>
    </row>
    <row r="336">
      <c r="A336" s="25"/>
      <c r="B336" s="25"/>
      <c r="C336" s="25"/>
    </row>
    <row r="337">
      <c r="A337" s="25"/>
      <c r="B337" s="25"/>
      <c r="C337" s="25"/>
    </row>
    <row r="338">
      <c r="A338" s="25"/>
      <c r="B338" s="25"/>
      <c r="C338" s="25"/>
    </row>
    <row r="339">
      <c r="A339" s="25"/>
      <c r="B339" s="25"/>
      <c r="C339" s="25"/>
    </row>
    <row r="340">
      <c r="A340" s="25"/>
      <c r="B340" s="25"/>
      <c r="C340" s="25"/>
    </row>
    <row r="341">
      <c r="A341" s="25"/>
      <c r="B341" s="25"/>
      <c r="C341" s="25"/>
    </row>
    <row r="342">
      <c r="A342" s="25"/>
      <c r="B342" s="25"/>
      <c r="C342" s="25"/>
    </row>
    <row r="343">
      <c r="A343" s="25"/>
      <c r="B343" s="25"/>
      <c r="C343" s="25"/>
    </row>
    <row r="344">
      <c r="A344" s="25"/>
      <c r="B344" s="25"/>
      <c r="C344" s="25"/>
    </row>
    <row r="345">
      <c r="A345" s="25"/>
      <c r="B345" s="25"/>
      <c r="C345" s="25"/>
    </row>
    <row r="346">
      <c r="A346" s="25"/>
      <c r="B346" s="25"/>
      <c r="C346" s="25"/>
    </row>
    <row r="347">
      <c r="A347" s="25"/>
      <c r="B347" s="25"/>
      <c r="C347" s="25"/>
    </row>
    <row r="348">
      <c r="A348" s="25"/>
      <c r="B348" s="25"/>
      <c r="C348" s="25"/>
    </row>
    <row r="349">
      <c r="A349" s="25"/>
      <c r="B349" s="25"/>
      <c r="C349" s="25"/>
    </row>
    <row r="350">
      <c r="A350" s="25"/>
      <c r="B350" s="25"/>
      <c r="C350" s="25"/>
    </row>
    <row r="351">
      <c r="A351" s="25"/>
      <c r="B351" s="25"/>
      <c r="C351" s="25"/>
    </row>
    <row r="352">
      <c r="A352" s="25"/>
      <c r="B352" s="25"/>
      <c r="C352" s="25"/>
    </row>
    <row r="353">
      <c r="A353" s="25"/>
      <c r="B353" s="25"/>
      <c r="C353" s="25"/>
    </row>
    <row r="354">
      <c r="A354" s="25"/>
      <c r="B354" s="25"/>
      <c r="C354" s="25"/>
    </row>
    <row r="355">
      <c r="A355" s="25"/>
      <c r="B355" s="25"/>
      <c r="C355" s="25"/>
    </row>
    <row r="356">
      <c r="A356" s="25"/>
      <c r="B356" s="25"/>
      <c r="C356" s="25"/>
    </row>
    <row r="357">
      <c r="A357" s="25"/>
      <c r="B357" s="25"/>
      <c r="C357" s="25"/>
    </row>
    <row r="358">
      <c r="A358" s="25"/>
      <c r="B358" s="25"/>
      <c r="C358" s="25"/>
    </row>
    <row r="359">
      <c r="A359" s="25"/>
      <c r="B359" s="25"/>
      <c r="C359" s="25"/>
    </row>
    <row r="360">
      <c r="A360" s="25"/>
      <c r="B360" s="25"/>
      <c r="C360" s="25"/>
    </row>
    <row r="361">
      <c r="A361" s="25"/>
      <c r="B361" s="25"/>
      <c r="C361" s="25"/>
    </row>
    <row r="362">
      <c r="A362" s="25"/>
      <c r="B362" s="25"/>
      <c r="C362" s="25"/>
    </row>
    <row r="363">
      <c r="A363" s="25"/>
      <c r="B363" s="25"/>
      <c r="C363" s="25"/>
    </row>
    <row r="364">
      <c r="A364" s="25"/>
      <c r="B364" s="25"/>
      <c r="C364" s="25"/>
    </row>
    <row r="365">
      <c r="A365" s="25"/>
      <c r="B365" s="25"/>
      <c r="C365" s="25"/>
    </row>
    <row r="366">
      <c r="A366" s="25"/>
      <c r="B366" s="25"/>
      <c r="C366" s="25"/>
    </row>
    <row r="367">
      <c r="A367" s="25"/>
      <c r="B367" s="25"/>
      <c r="C367" s="25"/>
    </row>
    <row r="368">
      <c r="A368" s="25"/>
      <c r="B368" s="25"/>
      <c r="C368" s="25"/>
    </row>
    <row r="369">
      <c r="A369" s="25"/>
      <c r="B369" s="25"/>
      <c r="C369" s="25"/>
    </row>
    <row r="370">
      <c r="A370" s="25"/>
      <c r="B370" s="25"/>
      <c r="C370" s="25"/>
    </row>
    <row r="371">
      <c r="A371" s="25"/>
      <c r="B371" s="25"/>
      <c r="C371" s="25"/>
    </row>
    <row r="372">
      <c r="A372" s="25"/>
      <c r="B372" s="25"/>
      <c r="C372" s="25"/>
    </row>
    <row r="373">
      <c r="A373" s="25"/>
      <c r="B373" s="25"/>
      <c r="C373" s="25"/>
    </row>
    <row r="374">
      <c r="A374" s="25"/>
      <c r="B374" s="25"/>
      <c r="C374" s="25"/>
    </row>
    <row r="375">
      <c r="A375" s="25"/>
      <c r="B375" s="25"/>
      <c r="C375" s="25"/>
    </row>
    <row r="376">
      <c r="A376" s="25"/>
      <c r="B376" s="25"/>
      <c r="C376" s="25"/>
    </row>
    <row r="377">
      <c r="A377" s="25"/>
      <c r="B377" s="25"/>
      <c r="C377" s="25"/>
    </row>
    <row r="378">
      <c r="A378" s="25"/>
      <c r="B378" s="25"/>
      <c r="C378" s="25"/>
    </row>
    <row r="379">
      <c r="A379" s="25"/>
      <c r="B379" s="25"/>
      <c r="C379" s="25"/>
    </row>
    <row r="380">
      <c r="A380" s="25"/>
      <c r="B380" s="25"/>
      <c r="C380" s="25"/>
    </row>
    <row r="381">
      <c r="A381" s="25"/>
      <c r="B381" s="25"/>
      <c r="C381" s="25"/>
    </row>
    <row r="382">
      <c r="A382" s="25"/>
      <c r="B382" s="25"/>
      <c r="C382" s="25"/>
    </row>
    <row r="383">
      <c r="A383" s="25"/>
      <c r="B383" s="25"/>
      <c r="C383" s="25"/>
    </row>
    <row r="384">
      <c r="A384" s="25"/>
      <c r="B384" s="25"/>
      <c r="C384" s="25"/>
    </row>
    <row r="385">
      <c r="A385" s="25"/>
      <c r="B385" s="25"/>
      <c r="C385" s="25"/>
    </row>
    <row r="386">
      <c r="A386" s="25"/>
      <c r="B386" s="25"/>
      <c r="C386" s="25"/>
    </row>
    <row r="387">
      <c r="A387" s="25"/>
      <c r="B387" s="25"/>
      <c r="C387" s="25"/>
    </row>
    <row r="388">
      <c r="A388" s="25"/>
      <c r="B388" s="25"/>
      <c r="C388" s="25"/>
    </row>
    <row r="389">
      <c r="A389" s="25"/>
      <c r="B389" s="25"/>
      <c r="C389" s="25"/>
    </row>
    <row r="390">
      <c r="A390" s="25"/>
      <c r="B390" s="25"/>
      <c r="C390" s="25"/>
    </row>
    <row r="391">
      <c r="A391" s="25"/>
      <c r="B391" s="25"/>
      <c r="C391" s="25"/>
    </row>
    <row r="392">
      <c r="A392" s="25"/>
      <c r="B392" s="25"/>
      <c r="C392" s="25"/>
    </row>
    <row r="393">
      <c r="A393" s="25"/>
      <c r="B393" s="25"/>
      <c r="C393" s="25"/>
    </row>
    <row r="394">
      <c r="A394" s="25"/>
      <c r="B394" s="25"/>
      <c r="C394" s="25"/>
    </row>
    <row r="395">
      <c r="A395" s="25"/>
      <c r="B395" s="25"/>
      <c r="C395" s="25"/>
    </row>
    <row r="396">
      <c r="A396" s="25"/>
      <c r="B396" s="25"/>
      <c r="C396" s="25"/>
    </row>
    <row r="397">
      <c r="A397" s="25"/>
      <c r="B397" s="25"/>
      <c r="C397" s="25"/>
    </row>
    <row r="398">
      <c r="A398" s="25"/>
      <c r="B398" s="25"/>
      <c r="C398" s="25"/>
    </row>
    <row r="399">
      <c r="A399" s="25"/>
      <c r="B399" s="25"/>
      <c r="C399" s="25"/>
    </row>
    <row r="400">
      <c r="A400" s="25"/>
      <c r="B400" s="25"/>
      <c r="C400" s="25"/>
    </row>
    <row r="401">
      <c r="A401" s="25"/>
      <c r="B401" s="25"/>
      <c r="C401" s="25"/>
    </row>
    <row r="402">
      <c r="A402" s="25"/>
      <c r="B402" s="25"/>
      <c r="C402" s="25"/>
    </row>
    <row r="403">
      <c r="A403" s="25"/>
      <c r="B403" s="25"/>
      <c r="C403" s="25"/>
    </row>
    <row r="404">
      <c r="A404" s="25"/>
      <c r="B404" s="25"/>
      <c r="C404" s="25"/>
    </row>
    <row r="405">
      <c r="A405" s="25"/>
      <c r="B405" s="25"/>
      <c r="C405" s="25"/>
    </row>
    <row r="406">
      <c r="A406" s="25"/>
      <c r="B406" s="25"/>
      <c r="C406" s="25"/>
    </row>
    <row r="407">
      <c r="A407" s="25"/>
      <c r="B407" s="25"/>
      <c r="C407" s="25"/>
    </row>
    <row r="408">
      <c r="A408" s="25"/>
      <c r="B408" s="25"/>
      <c r="C408" s="25"/>
    </row>
    <row r="409">
      <c r="A409" s="25"/>
      <c r="B409" s="25"/>
      <c r="C409" s="25"/>
    </row>
    <row r="410">
      <c r="A410" s="25"/>
      <c r="B410" s="25"/>
      <c r="C410" s="25"/>
    </row>
    <row r="411">
      <c r="A411" s="25"/>
      <c r="B411" s="25"/>
      <c r="C411" s="25"/>
    </row>
    <row r="412">
      <c r="A412" s="25"/>
      <c r="B412" s="25"/>
      <c r="C412" s="25"/>
    </row>
    <row r="413">
      <c r="A413" s="25"/>
      <c r="B413" s="25"/>
      <c r="C413" s="25"/>
    </row>
    <row r="414">
      <c r="A414" s="25"/>
      <c r="B414" s="25"/>
      <c r="C414" s="25"/>
    </row>
    <row r="415">
      <c r="A415" s="25"/>
      <c r="B415" s="25"/>
      <c r="C415" s="25"/>
    </row>
    <row r="416">
      <c r="A416" s="25"/>
      <c r="B416" s="25"/>
      <c r="C416" s="25"/>
    </row>
    <row r="417">
      <c r="A417" s="25"/>
      <c r="B417" s="25"/>
      <c r="C417" s="25"/>
    </row>
    <row r="418">
      <c r="A418" s="25"/>
      <c r="B418" s="25"/>
      <c r="C418" s="25"/>
    </row>
    <row r="419">
      <c r="A419" s="25"/>
      <c r="B419" s="25"/>
      <c r="C419" s="25"/>
    </row>
    <row r="420">
      <c r="A420" s="25"/>
      <c r="B420" s="25"/>
      <c r="C420" s="25"/>
    </row>
    <row r="421">
      <c r="A421" s="25"/>
      <c r="B421" s="25"/>
      <c r="C421" s="25"/>
    </row>
    <row r="422">
      <c r="A422" s="25"/>
      <c r="B422" s="25"/>
      <c r="C422" s="25"/>
    </row>
    <row r="423">
      <c r="A423" s="25"/>
      <c r="B423" s="25"/>
      <c r="C423" s="25"/>
    </row>
    <row r="424">
      <c r="A424" s="25"/>
      <c r="B424" s="25"/>
      <c r="C424" s="25"/>
    </row>
    <row r="425">
      <c r="A425" s="25"/>
      <c r="B425" s="25"/>
      <c r="C425" s="25"/>
    </row>
    <row r="426">
      <c r="A426" s="25"/>
      <c r="B426" s="25"/>
      <c r="C426" s="25"/>
    </row>
    <row r="427">
      <c r="A427" s="25"/>
      <c r="B427" s="25"/>
      <c r="C427" s="25"/>
    </row>
    <row r="428">
      <c r="A428" s="25"/>
      <c r="B428" s="25"/>
      <c r="C428" s="25"/>
    </row>
    <row r="429">
      <c r="A429" s="25"/>
      <c r="B429" s="25"/>
      <c r="C429" s="25"/>
    </row>
    <row r="430">
      <c r="A430" s="25"/>
      <c r="B430" s="25"/>
      <c r="C430" s="25"/>
    </row>
    <row r="431">
      <c r="A431" s="25"/>
      <c r="B431" s="25"/>
      <c r="C431" s="25"/>
    </row>
    <row r="432">
      <c r="A432" s="25"/>
      <c r="B432" s="25"/>
      <c r="C432" s="25"/>
    </row>
    <row r="433">
      <c r="A433" s="25"/>
      <c r="B433" s="25"/>
      <c r="C433" s="25"/>
    </row>
    <row r="434">
      <c r="A434" s="25"/>
      <c r="B434" s="25"/>
      <c r="C434" s="25"/>
    </row>
    <row r="435">
      <c r="A435" s="25"/>
      <c r="B435" s="25"/>
      <c r="C435" s="25"/>
    </row>
    <row r="436">
      <c r="A436" s="25"/>
      <c r="B436" s="25"/>
      <c r="C436" s="25"/>
    </row>
    <row r="437">
      <c r="A437" s="25"/>
      <c r="B437" s="25"/>
      <c r="C437" s="25"/>
    </row>
    <row r="438">
      <c r="A438" s="25"/>
      <c r="B438" s="25"/>
      <c r="C438" s="25"/>
    </row>
    <row r="439">
      <c r="A439" s="25"/>
      <c r="B439" s="25"/>
      <c r="C439" s="25"/>
    </row>
    <row r="440">
      <c r="A440" s="25"/>
      <c r="B440" s="25"/>
      <c r="C440" s="25"/>
    </row>
    <row r="441">
      <c r="A441" s="25"/>
      <c r="B441" s="25"/>
      <c r="C441" s="25"/>
    </row>
    <row r="442">
      <c r="A442" s="25"/>
      <c r="B442" s="25"/>
      <c r="C442" s="25"/>
    </row>
    <row r="443">
      <c r="A443" s="25"/>
      <c r="B443" s="25"/>
      <c r="C443" s="25"/>
    </row>
    <row r="444">
      <c r="A444" s="25"/>
      <c r="B444" s="25"/>
      <c r="C444" s="25"/>
    </row>
    <row r="445">
      <c r="A445" s="25"/>
      <c r="B445" s="25"/>
      <c r="C445" s="25"/>
    </row>
    <row r="446">
      <c r="A446" s="25"/>
      <c r="B446" s="25"/>
      <c r="C446" s="25"/>
    </row>
    <row r="447">
      <c r="A447" s="25"/>
      <c r="B447" s="25"/>
      <c r="C447" s="25"/>
    </row>
    <row r="448">
      <c r="A448" s="25"/>
      <c r="B448" s="25"/>
      <c r="C448" s="25"/>
    </row>
    <row r="449">
      <c r="A449" s="25"/>
      <c r="B449" s="25"/>
      <c r="C449" s="25"/>
    </row>
    <row r="450">
      <c r="A450" s="25"/>
      <c r="B450" s="25"/>
      <c r="C450" s="25"/>
    </row>
    <row r="451">
      <c r="A451" s="25"/>
      <c r="B451" s="25"/>
      <c r="C451" s="25"/>
    </row>
    <row r="452">
      <c r="A452" s="25"/>
      <c r="B452" s="25"/>
      <c r="C452" s="25"/>
    </row>
    <row r="453">
      <c r="A453" s="25"/>
      <c r="B453" s="25"/>
      <c r="C453" s="25"/>
    </row>
    <row r="454">
      <c r="A454" s="25"/>
      <c r="B454" s="25"/>
      <c r="C454" s="25"/>
    </row>
    <row r="455">
      <c r="A455" s="25"/>
      <c r="B455" s="25"/>
      <c r="C455" s="25"/>
    </row>
    <row r="456">
      <c r="A456" s="25"/>
      <c r="B456" s="25"/>
      <c r="C456" s="25"/>
    </row>
    <row r="457">
      <c r="A457" s="25"/>
      <c r="B457" s="25"/>
      <c r="C457" s="25"/>
    </row>
    <row r="458">
      <c r="A458" s="25"/>
      <c r="B458" s="25"/>
      <c r="C458" s="25"/>
    </row>
    <row r="459">
      <c r="A459" s="25"/>
      <c r="B459" s="25"/>
      <c r="C459" s="25"/>
    </row>
    <row r="460">
      <c r="A460" s="25"/>
      <c r="B460" s="25"/>
      <c r="C460" s="25"/>
    </row>
    <row r="461">
      <c r="A461" s="25"/>
      <c r="B461" s="25"/>
      <c r="C461" s="25"/>
    </row>
    <row r="462">
      <c r="A462" s="25"/>
      <c r="B462" s="25"/>
      <c r="C462" s="25"/>
    </row>
    <row r="463">
      <c r="A463" s="25"/>
      <c r="B463" s="25"/>
      <c r="C463" s="25"/>
    </row>
    <row r="464">
      <c r="A464" s="25"/>
      <c r="B464" s="25"/>
      <c r="C464" s="25"/>
    </row>
    <row r="465">
      <c r="A465" s="25"/>
      <c r="B465" s="25"/>
      <c r="C465" s="25"/>
    </row>
    <row r="466">
      <c r="A466" s="25"/>
      <c r="B466" s="25"/>
      <c r="C466" s="25"/>
    </row>
    <row r="467">
      <c r="A467" s="25"/>
      <c r="B467" s="25"/>
      <c r="C467" s="25"/>
    </row>
    <row r="468">
      <c r="A468" s="25"/>
      <c r="B468" s="25"/>
      <c r="C468" s="25"/>
    </row>
    <row r="469">
      <c r="A469" s="25"/>
      <c r="B469" s="25"/>
      <c r="C469" s="25"/>
    </row>
    <row r="470">
      <c r="A470" s="25"/>
      <c r="B470" s="25"/>
      <c r="C470" s="25"/>
    </row>
    <row r="471">
      <c r="A471" s="25"/>
      <c r="B471" s="25"/>
      <c r="C471" s="25"/>
    </row>
    <row r="472">
      <c r="A472" s="25"/>
      <c r="B472" s="25"/>
      <c r="C472" s="25"/>
    </row>
    <row r="473">
      <c r="A473" s="25"/>
      <c r="B473" s="25"/>
      <c r="C473" s="25"/>
    </row>
    <row r="474">
      <c r="A474" s="25"/>
      <c r="B474" s="25"/>
      <c r="C474" s="25"/>
    </row>
    <row r="475">
      <c r="A475" s="25"/>
      <c r="B475" s="25"/>
      <c r="C475" s="25"/>
    </row>
    <row r="476">
      <c r="A476" s="25"/>
      <c r="B476" s="25"/>
      <c r="C476" s="25"/>
    </row>
    <row r="477">
      <c r="A477" s="25"/>
      <c r="B477" s="25"/>
      <c r="C477" s="25"/>
    </row>
    <row r="478">
      <c r="A478" s="25"/>
      <c r="B478" s="25"/>
      <c r="C478" s="25"/>
    </row>
    <row r="479">
      <c r="A479" s="25"/>
      <c r="B479" s="25"/>
      <c r="C479" s="25"/>
    </row>
    <row r="480">
      <c r="A480" s="25"/>
      <c r="B480" s="25"/>
      <c r="C480" s="25"/>
    </row>
    <row r="481">
      <c r="A481" s="25"/>
      <c r="B481" s="25"/>
      <c r="C481" s="25"/>
    </row>
    <row r="482">
      <c r="A482" s="25"/>
      <c r="B482" s="25"/>
      <c r="C482" s="25"/>
    </row>
    <row r="483">
      <c r="A483" s="25"/>
      <c r="B483" s="25"/>
      <c r="C483" s="25"/>
    </row>
    <row r="484">
      <c r="A484" s="25"/>
      <c r="B484" s="25"/>
      <c r="C484" s="25"/>
    </row>
    <row r="485">
      <c r="A485" s="25"/>
      <c r="B485" s="25"/>
      <c r="C485" s="25"/>
    </row>
    <row r="486">
      <c r="A486" s="25"/>
      <c r="B486" s="25"/>
      <c r="C486" s="25"/>
    </row>
    <row r="487">
      <c r="A487" s="25"/>
      <c r="B487" s="25"/>
      <c r="C487" s="25"/>
    </row>
    <row r="488">
      <c r="A488" s="25"/>
      <c r="B488" s="25"/>
      <c r="C488" s="25"/>
    </row>
    <row r="489">
      <c r="A489" s="25"/>
      <c r="B489" s="25"/>
      <c r="C489" s="25"/>
    </row>
    <row r="490">
      <c r="A490" s="25"/>
      <c r="B490" s="25"/>
      <c r="C490" s="25"/>
    </row>
    <row r="491">
      <c r="A491" s="25"/>
      <c r="B491" s="25"/>
      <c r="C491" s="25"/>
    </row>
    <row r="492">
      <c r="A492" s="25"/>
      <c r="B492" s="25"/>
      <c r="C492" s="25"/>
    </row>
    <row r="493">
      <c r="A493" s="25"/>
      <c r="B493" s="25"/>
      <c r="C493" s="25"/>
    </row>
    <row r="494">
      <c r="A494" s="25"/>
      <c r="B494" s="25"/>
      <c r="C494" s="25"/>
    </row>
    <row r="495">
      <c r="A495" s="25"/>
      <c r="B495" s="25"/>
      <c r="C495" s="25"/>
    </row>
    <row r="496">
      <c r="A496" s="25"/>
      <c r="B496" s="25"/>
      <c r="C496" s="25"/>
    </row>
    <row r="497">
      <c r="A497" s="25"/>
      <c r="B497" s="25"/>
      <c r="C497" s="25"/>
    </row>
    <row r="498">
      <c r="A498" s="25"/>
      <c r="B498" s="25"/>
      <c r="C498" s="25"/>
    </row>
    <row r="499">
      <c r="A499" s="25"/>
      <c r="B499" s="25"/>
      <c r="C499" s="25"/>
    </row>
    <row r="500">
      <c r="A500" s="25"/>
      <c r="B500" s="25"/>
      <c r="C500" s="25"/>
    </row>
    <row r="501">
      <c r="A501" s="25"/>
      <c r="B501" s="25"/>
      <c r="C501" s="25"/>
    </row>
    <row r="502">
      <c r="A502" s="25"/>
      <c r="B502" s="25"/>
      <c r="C502" s="25"/>
    </row>
    <row r="503">
      <c r="A503" s="25"/>
      <c r="B503" s="25"/>
      <c r="C503" s="25"/>
    </row>
    <row r="504">
      <c r="A504" s="25"/>
      <c r="B504" s="25"/>
      <c r="C504" s="25"/>
    </row>
    <row r="505">
      <c r="A505" s="25"/>
      <c r="B505" s="25"/>
      <c r="C505" s="25"/>
    </row>
    <row r="506">
      <c r="A506" s="25"/>
      <c r="B506" s="25"/>
      <c r="C506" s="25"/>
    </row>
    <row r="507">
      <c r="A507" s="25"/>
      <c r="B507" s="25"/>
      <c r="C507" s="25"/>
    </row>
    <row r="508">
      <c r="A508" s="25"/>
      <c r="B508" s="25"/>
      <c r="C508" s="25"/>
    </row>
    <row r="509">
      <c r="A509" s="25"/>
      <c r="B509" s="25"/>
      <c r="C509" s="25"/>
    </row>
    <row r="510">
      <c r="A510" s="25"/>
      <c r="B510" s="25"/>
      <c r="C510" s="25"/>
    </row>
    <row r="511">
      <c r="A511" s="25"/>
      <c r="B511" s="25"/>
      <c r="C511" s="25"/>
    </row>
    <row r="512">
      <c r="A512" s="25"/>
      <c r="B512" s="25"/>
      <c r="C512" s="25"/>
    </row>
    <row r="513">
      <c r="A513" s="25"/>
      <c r="B513" s="25"/>
      <c r="C513" s="25"/>
    </row>
    <row r="514">
      <c r="A514" s="25"/>
      <c r="B514" s="25"/>
      <c r="C514" s="25"/>
    </row>
    <row r="515">
      <c r="A515" s="25"/>
      <c r="B515" s="25"/>
      <c r="C515" s="25"/>
    </row>
    <row r="516">
      <c r="A516" s="25"/>
      <c r="B516" s="25"/>
      <c r="C516" s="25"/>
    </row>
    <row r="517">
      <c r="A517" s="25"/>
      <c r="B517" s="25"/>
      <c r="C517" s="25"/>
    </row>
    <row r="518">
      <c r="A518" s="25"/>
      <c r="B518" s="25"/>
      <c r="C518" s="25"/>
    </row>
    <row r="519">
      <c r="A519" s="25"/>
      <c r="B519" s="25"/>
      <c r="C519" s="25"/>
    </row>
    <row r="520">
      <c r="A520" s="25"/>
      <c r="B520" s="25"/>
      <c r="C520" s="25"/>
    </row>
    <row r="521">
      <c r="A521" s="25"/>
      <c r="B521" s="25"/>
      <c r="C521" s="25"/>
    </row>
    <row r="522">
      <c r="A522" s="25"/>
      <c r="B522" s="25"/>
      <c r="C522" s="25"/>
    </row>
    <row r="523">
      <c r="A523" s="25"/>
      <c r="B523" s="25"/>
      <c r="C523" s="25"/>
    </row>
    <row r="524">
      <c r="A524" s="25"/>
      <c r="B524" s="25"/>
      <c r="C524" s="25"/>
    </row>
    <row r="525">
      <c r="A525" s="25"/>
      <c r="B525" s="25"/>
      <c r="C525" s="25"/>
    </row>
    <row r="526">
      <c r="A526" s="25"/>
      <c r="B526" s="25"/>
      <c r="C526" s="25"/>
    </row>
    <row r="527">
      <c r="A527" s="25"/>
      <c r="B527" s="25"/>
      <c r="C527" s="25"/>
    </row>
    <row r="528">
      <c r="A528" s="25"/>
      <c r="B528" s="25"/>
      <c r="C528" s="25"/>
    </row>
    <row r="529">
      <c r="A529" s="25"/>
      <c r="B529" s="25"/>
      <c r="C529" s="25"/>
    </row>
    <row r="530">
      <c r="A530" s="25"/>
      <c r="B530" s="25"/>
      <c r="C530" s="25"/>
    </row>
    <row r="531">
      <c r="A531" s="25"/>
      <c r="B531" s="25"/>
      <c r="C531" s="25"/>
    </row>
    <row r="532">
      <c r="A532" s="25"/>
      <c r="B532" s="25"/>
      <c r="C532" s="25"/>
    </row>
    <row r="533">
      <c r="A533" s="25"/>
      <c r="B533" s="25"/>
      <c r="C533" s="25"/>
    </row>
    <row r="534">
      <c r="A534" s="25"/>
      <c r="B534" s="25"/>
      <c r="C534" s="25"/>
    </row>
    <row r="535">
      <c r="A535" s="25"/>
      <c r="B535" s="25"/>
      <c r="C535" s="25"/>
    </row>
    <row r="536">
      <c r="A536" s="25"/>
      <c r="B536" s="25"/>
      <c r="C536" s="25"/>
    </row>
    <row r="537">
      <c r="A537" s="25"/>
      <c r="B537" s="25"/>
      <c r="C537" s="25"/>
    </row>
    <row r="538">
      <c r="A538" s="25"/>
      <c r="B538" s="25"/>
      <c r="C538" s="25"/>
    </row>
    <row r="539">
      <c r="A539" s="25"/>
      <c r="B539" s="25"/>
      <c r="C539" s="25"/>
    </row>
    <row r="540">
      <c r="A540" s="25"/>
      <c r="B540" s="25"/>
      <c r="C540" s="25"/>
    </row>
    <row r="541">
      <c r="A541" s="25"/>
      <c r="B541" s="25"/>
      <c r="C541" s="25"/>
    </row>
    <row r="542">
      <c r="A542" s="25"/>
      <c r="B542" s="25"/>
      <c r="C542" s="25"/>
    </row>
    <row r="543">
      <c r="A543" s="25"/>
      <c r="B543" s="25"/>
      <c r="C543" s="25"/>
    </row>
    <row r="544">
      <c r="A544" s="25"/>
      <c r="B544" s="25"/>
      <c r="C544" s="25"/>
    </row>
    <row r="545">
      <c r="A545" s="25"/>
      <c r="B545" s="25"/>
      <c r="C545" s="25"/>
    </row>
    <row r="546">
      <c r="A546" s="25"/>
      <c r="B546" s="25"/>
      <c r="C546" s="25"/>
    </row>
    <row r="547">
      <c r="A547" s="25"/>
      <c r="B547" s="25"/>
      <c r="C547" s="25"/>
    </row>
    <row r="548">
      <c r="A548" s="25"/>
      <c r="B548" s="25"/>
      <c r="C548" s="25"/>
    </row>
    <row r="549">
      <c r="A549" s="25"/>
      <c r="B549" s="25"/>
      <c r="C549" s="25"/>
    </row>
    <row r="550">
      <c r="A550" s="25"/>
      <c r="B550" s="25"/>
      <c r="C550" s="25"/>
    </row>
    <row r="551">
      <c r="A551" s="25"/>
      <c r="B551" s="25"/>
      <c r="C551" s="25"/>
    </row>
    <row r="552">
      <c r="A552" s="25"/>
      <c r="B552" s="25"/>
      <c r="C552" s="25"/>
    </row>
    <row r="553">
      <c r="A553" s="25"/>
      <c r="B553" s="25"/>
      <c r="C553" s="25"/>
    </row>
    <row r="554">
      <c r="A554" s="25"/>
      <c r="B554" s="25"/>
      <c r="C554" s="25"/>
    </row>
    <row r="555">
      <c r="A555" s="25"/>
      <c r="B555" s="25"/>
      <c r="C555" s="25"/>
    </row>
    <row r="556">
      <c r="A556" s="25"/>
      <c r="B556" s="25"/>
      <c r="C556" s="25"/>
    </row>
    <row r="557">
      <c r="A557" s="25"/>
      <c r="B557" s="25"/>
      <c r="C557" s="25"/>
    </row>
    <row r="558">
      <c r="A558" s="25"/>
      <c r="B558" s="25"/>
      <c r="C558" s="25"/>
    </row>
    <row r="559">
      <c r="A559" s="25"/>
      <c r="B559" s="25"/>
      <c r="C559" s="25"/>
    </row>
    <row r="560">
      <c r="A560" s="25"/>
      <c r="B560" s="25"/>
      <c r="C560" s="25"/>
    </row>
    <row r="561">
      <c r="A561" s="25"/>
      <c r="B561" s="25"/>
      <c r="C561" s="25"/>
    </row>
    <row r="562">
      <c r="A562" s="25"/>
      <c r="B562" s="25"/>
      <c r="C562" s="25"/>
    </row>
    <row r="563">
      <c r="A563" s="25"/>
      <c r="B563" s="25"/>
      <c r="C563" s="25"/>
    </row>
    <row r="564">
      <c r="A564" s="25"/>
      <c r="B564" s="25"/>
      <c r="C564" s="25"/>
    </row>
    <row r="565">
      <c r="A565" s="25"/>
      <c r="B565" s="25"/>
      <c r="C565" s="25"/>
    </row>
    <row r="566">
      <c r="A566" s="25"/>
      <c r="B566" s="25"/>
      <c r="C566" s="25"/>
    </row>
    <row r="567">
      <c r="A567" s="25"/>
      <c r="B567" s="25"/>
      <c r="C567" s="25"/>
    </row>
    <row r="568">
      <c r="A568" s="25"/>
      <c r="B568" s="25"/>
      <c r="C568" s="25"/>
    </row>
    <row r="569">
      <c r="A569" s="25"/>
      <c r="B569" s="25"/>
      <c r="C569" s="25"/>
    </row>
    <row r="570">
      <c r="A570" s="25"/>
      <c r="B570" s="25"/>
      <c r="C570" s="25"/>
    </row>
    <row r="571">
      <c r="A571" s="25"/>
      <c r="B571" s="25"/>
      <c r="C571" s="25"/>
    </row>
    <row r="572">
      <c r="A572" s="25"/>
      <c r="B572" s="25"/>
      <c r="C572" s="25"/>
    </row>
    <row r="573">
      <c r="A573" s="25"/>
      <c r="B573" s="25"/>
      <c r="C573" s="25"/>
    </row>
    <row r="574">
      <c r="A574" s="25"/>
      <c r="B574" s="25"/>
      <c r="C574" s="25"/>
    </row>
    <row r="575">
      <c r="A575" s="25"/>
      <c r="B575" s="25"/>
      <c r="C575" s="25"/>
    </row>
    <row r="576">
      <c r="A576" s="25"/>
      <c r="B576" s="25"/>
      <c r="C576" s="25"/>
    </row>
    <row r="577">
      <c r="A577" s="25"/>
      <c r="B577" s="25"/>
      <c r="C577" s="25"/>
    </row>
    <row r="578">
      <c r="A578" s="25"/>
      <c r="B578" s="25"/>
      <c r="C578" s="25"/>
    </row>
    <row r="579">
      <c r="A579" s="25"/>
      <c r="B579" s="25"/>
      <c r="C579" s="25"/>
    </row>
    <row r="580">
      <c r="A580" s="25"/>
      <c r="B580" s="25"/>
      <c r="C580" s="25"/>
    </row>
    <row r="581">
      <c r="A581" s="25"/>
      <c r="B581" s="25"/>
      <c r="C581" s="25"/>
    </row>
    <row r="582">
      <c r="A582" s="25"/>
      <c r="B582" s="25"/>
      <c r="C582" s="25"/>
    </row>
    <row r="583">
      <c r="A583" s="25"/>
      <c r="B583" s="25"/>
      <c r="C583" s="25"/>
    </row>
    <row r="584">
      <c r="A584" s="25"/>
      <c r="B584" s="25"/>
      <c r="C584" s="25"/>
    </row>
    <row r="585">
      <c r="A585" s="25"/>
      <c r="B585" s="25"/>
      <c r="C585" s="25"/>
    </row>
    <row r="586">
      <c r="A586" s="25"/>
      <c r="B586" s="25"/>
      <c r="C586" s="25"/>
    </row>
    <row r="587">
      <c r="A587" s="25"/>
      <c r="B587" s="25"/>
      <c r="C587" s="25"/>
    </row>
    <row r="588">
      <c r="A588" s="25"/>
      <c r="B588" s="25"/>
      <c r="C588" s="25"/>
    </row>
    <row r="589">
      <c r="A589" s="25"/>
      <c r="B589" s="25"/>
      <c r="C589" s="25"/>
    </row>
    <row r="590">
      <c r="A590" s="25"/>
      <c r="B590" s="25"/>
      <c r="C590" s="25"/>
    </row>
    <row r="591">
      <c r="A591" s="25"/>
      <c r="B591" s="25"/>
      <c r="C591" s="25"/>
    </row>
    <row r="592">
      <c r="A592" s="25"/>
      <c r="B592" s="25"/>
      <c r="C592" s="25"/>
    </row>
    <row r="593">
      <c r="A593" s="25"/>
      <c r="B593" s="25"/>
      <c r="C593" s="25"/>
    </row>
    <row r="594">
      <c r="A594" s="25"/>
      <c r="B594" s="25"/>
      <c r="C594" s="25"/>
    </row>
    <row r="595">
      <c r="A595" s="25"/>
      <c r="B595" s="25"/>
      <c r="C595" s="25"/>
    </row>
    <row r="596">
      <c r="A596" s="25"/>
      <c r="B596" s="25"/>
      <c r="C596" s="25"/>
    </row>
    <row r="597">
      <c r="A597" s="25"/>
      <c r="B597" s="25"/>
      <c r="C597" s="25"/>
    </row>
    <row r="598">
      <c r="A598" s="25"/>
      <c r="B598" s="25"/>
      <c r="C598" s="25"/>
    </row>
    <row r="599">
      <c r="A599" s="25"/>
      <c r="B599" s="25"/>
      <c r="C599" s="25"/>
    </row>
    <row r="600">
      <c r="A600" s="25"/>
      <c r="B600" s="25"/>
      <c r="C600" s="25"/>
    </row>
    <row r="601">
      <c r="A601" s="25"/>
      <c r="B601" s="25"/>
      <c r="C601" s="25"/>
    </row>
    <row r="602">
      <c r="A602" s="25"/>
      <c r="B602" s="25"/>
      <c r="C602" s="25"/>
    </row>
    <row r="603">
      <c r="A603" s="25"/>
      <c r="B603" s="25"/>
      <c r="C603" s="25"/>
    </row>
    <row r="604">
      <c r="A604" s="25"/>
      <c r="B604" s="25"/>
      <c r="C604" s="25"/>
    </row>
    <row r="605">
      <c r="A605" s="25"/>
      <c r="B605" s="25"/>
      <c r="C605" s="25"/>
    </row>
    <row r="606">
      <c r="A606" s="25"/>
      <c r="B606" s="25"/>
      <c r="C606" s="25"/>
    </row>
    <row r="607">
      <c r="A607" s="25"/>
      <c r="B607" s="25"/>
      <c r="C607" s="25"/>
    </row>
    <row r="608">
      <c r="A608" s="25"/>
      <c r="B608" s="25"/>
      <c r="C608" s="25"/>
    </row>
    <row r="609">
      <c r="A609" s="25"/>
      <c r="B609" s="25"/>
      <c r="C609" s="25"/>
    </row>
    <row r="610">
      <c r="A610" s="25"/>
      <c r="B610" s="25"/>
      <c r="C610" s="25"/>
    </row>
    <row r="611">
      <c r="A611" s="25"/>
      <c r="B611" s="25"/>
      <c r="C611" s="25"/>
    </row>
    <row r="612">
      <c r="A612" s="25"/>
      <c r="B612" s="25"/>
      <c r="C612" s="25"/>
    </row>
    <row r="613">
      <c r="A613" s="25"/>
      <c r="B613" s="25"/>
      <c r="C613" s="25"/>
    </row>
    <row r="614">
      <c r="A614" s="25"/>
      <c r="B614" s="25"/>
      <c r="C614" s="25"/>
    </row>
    <row r="615">
      <c r="A615" s="25"/>
      <c r="B615" s="25"/>
      <c r="C615" s="25"/>
    </row>
    <row r="616">
      <c r="A616" s="25"/>
      <c r="B616" s="25"/>
      <c r="C616" s="25"/>
    </row>
    <row r="617">
      <c r="A617" s="25"/>
      <c r="B617" s="25"/>
      <c r="C617" s="25"/>
    </row>
    <row r="618">
      <c r="A618" s="25"/>
      <c r="B618" s="25"/>
      <c r="C618" s="25"/>
    </row>
    <row r="619">
      <c r="A619" s="25"/>
      <c r="B619" s="25"/>
      <c r="C619" s="25"/>
    </row>
    <row r="620">
      <c r="A620" s="25"/>
      <c r="B620" s="25"/>
      <c r="C620" s="25"/>
    </row>
    <row r="621">
      <c r="A621" s="25"/>
      <c r="B621" s="25"/>
      <c r="C621" s="25"/>
    </row>
    <row r="622">
      <c r="A622" s="25"/>
      <c r="B622" s="25"/>
      <c r="C622" s="25"/>
    </row>
    <row r="623">
      <c r="A623" s="25"/>
      <c r="B623" s="25"/>
      <c r="C623" s="25"/>
    </row>
    <row r="624">
      <c r="A624" s="25"/>
      <c r="B624" s="25"/>
      <c r="C624" s="25"/>
    </row>
    <row r="625">
      <c r="A625" s="25"/>
      <c r="B625" s="25"/>
      <c r="C625" s="25"/>
    </row>
    <row r="626">
      <c r="A626" s="25"/>
      <c r="B626" s="25"/>
      <c r="C626" s="25"/>
    </row>
    <row r="627">
      <c r="A627" s="25"/>
      <c r="B627" s="25"/>
      <c r="C627" s="25"/>
    </row>
    <row r="628">
      <c r="A628" s="25"/>
      <c r="B628" s="25"/>
      <c r="C628" s="25"/>
    </row>
    <row r="629">
      <c r="A629" s="25"/>
      <c r="B629" s="25"/>
      <c r="C629" s="25"/>
    </row>
    <row r="630">
      <c r="A630" s="25"/>
      <c r="B630" s="25"/>
      <c r="C630" s="25"/>
    </row>
    <row r="631">
      <c r="A631" s="25"/>
      <c r="B631" s="25"/>
      <c r="C631" s="25"/>
    </row>
    <row r="632">
      <c r="A632" s="25"/>
      <c r="B632" s="25"/>
      <c r="C632" s="25"/>
    </row>
    <row r="633">
      <c r="A633" s="25"/>
      <c r="B633" s="25"/>
      <c r="C633" s="25"/>
    </row>
    <row r="634">
      <c r="A634" s="25"/>
      <c r="B634" s="25"/>
      <c r="C634" s="25"/>
    </row>
    <row r="635">
      <c r="A635" s="25"/>
      <c r="B635" s="25"/>
      <c r="C635" s="25"/>
    </row>
    <row r="636">
      <c r="A636" s="25"/>
      <c r="B636" s="25"/>
      <c r="C636" s="25"/>
    </row>
    <row r="637">
      <c r="A637" s="25"/>
      <c r="B637" s="25"/>
      <c r="C637" s="25"/>
    </row>
    <row r="638">
      <c r="A638" s="25"/>
      <c r="B638" s="25"/>
      <c r="C638" s="25"/>
    </row>
    <row r="639">
      <c r="A639" s="25"/>
      <c r="B639" s="25"/>
      <c r="C639" s="25"/>
    </row>
    <row r="640">
      <c r="A640" s="25"/>
      <c r="B640" s="25"/>
      <c r="C640" s="25"/>
    </row>
    <row r="641">
      <c r="A641" s="25"/>
      <c r="B641" s="25"/>
      <c r="C641" s="25"/>
    </row>
    <row r="642">
      <c r="A642" s="25"/>
      <c r="B642" s="25"/>
      <c r="C642" s="25"/>
    </row>
    <row r="643">
      <c r="A643" s="25"/>
      <c r="B643" s="25"/>
      <c r="C643" s="25"/>
    </row>
    <row r="644">
      <c r="A644" s="25"/>
      <c r="B644" s="25"/>
      <c r="C644" s="25"/>
    </row>
    <row r="645">
      <c r="A645" s="25"/>
      <c r="B645" s="25"/>
      <c r="C645" s="25"/>
    </row>
    <row r="646">
      <c r="A646" s="25"/>
      <c r="B646" s="25"/>
      <c r="C646" s="25"/>
    </row>
    <row r="647">
      <c r="A647" s="25"/>
      <c r="B647" s="25"/>
      <c r="C647" s="25"/>
    </row>
    <row r="648">
      <c r="A648" s="25"/>
      <c r="B648" s="25"/>
      <c r="C648" s="25"/>
    </row>
    <row r="649">
      <c r="A649" s="25"/>
      <c r="B649" s="25"/>
      <c r="C649" s="25"/>
    </row>
    <row r="650">
      <c r="A650" s="25"/>
      <c r="B650" s="25"/>
      <c r="C650" s="25"/>
    </row>
    <row r="651">
      <c r="A651" s="25"/>
      <c r="B651" s="25"/>
      <c r="C651" s="25"/>
    </row>
    <row r="652">
      <c r="A652" s="25"/>
      <c r="B652" s="25"/>
      <c r="C652" s="25"/>
    </row>
    <row r="653">
      <c r="A653" s="25"/>
      <c r="B653" s="25"/>
      <c r="C653" s="25"/>
    </row>
    <row r="654">
      <c r="A654" s="25"/>
      <c r="B654" s="25"/>
      <c r="C654" s="25"/>
    </row>
    <row r="655">
      <c r="A655" s="25"/>
      <c r="B655" s="25"/>
      <c r="C655" s="25"/>
    </row>
    <row r="656">
      <c r="A656" s="25"/>
      <c r="B656" s="25"/>
      <c r="C656" s="25"/>
    </row>
    <row r="657">
      <c r="A657" s="25"/>
      <c r="B657" s="25"/>
      <c r="C657" s="25"/>
    </row>
    <row r="658">
      <c r="A658" s="25"/>
      <c r="B658" s="25"/>
      <c r="C658" s="25"/>
    </row>
    <row r="659">
      <c r="A659" s="25"/>
      <c r="B659" s="25"/>
      <c r="C659" s="25"/>
    </row>
    <row r="660">
      <c r="A660" s="25"/>
      <c r="B660" s="25"/>
      <c r="C660" s="25"/>
    </row>
    <row r="661">
      <c r="A661" s="25"/>
      <c r="B661" s="25"/>
      <c r="C661" s="25"/>
    </row>
    <row r="662">
      <c r="A662" s="25"/>
      <c r="B662" s="25"/>
      <c r="C662" s="25"/>
    </row>
    <row r="663">
      <c r="A663" s="25"/>
      <c r="B663" s="25"/>
      <c r="C663" s="25"/>
    </row>
    <row r="664">
      <c r="A664" s="25"/>
      <c r="B664" s="25"/>
      <c r="C664" s="25"/>
    </row>
    <row r="665">
      <c r="A665" s="25"/>
      <c r="B665" s="25"/>
      <c r="C665" s="25"/>
    </row>
    <row r="666">
      <c r="A666" s="25"/>
      <c r="B666" s="25"/>
      <c r="C666" s="25"/>
    </row>
    <row r="667">
      <c r="A667" s="25"/>
      <c r="B667" s="25"/>
      <c r="C667" s="25"/>
    </row>
    <row r="668">
      <c r="A668" s="25"/>
      <c r="B668" s="25"/>
      <c r="C668" s="25"/>
    </row>
    <row r="669">
      <c r="A669" s="25"/>
      <c r="B669" s="25"/>
      <c r="C669" s="25"/>
    </row>
    <row r="670">
      <c r="A670" s="25"/>
      <c r="B670" s="25"/>
      <c r="C670" s="25"/>
    </row>
    <row r="671">
      <c r="A671" s="25"/>
      <c r="B671" s="25"/>
      <c r="C671" s="25"/>
    </row>
    <row r="672">
      <c r="A672" s="25"/>
      <c r="B672" s="25"/>
      <c r="C672" s="25"/>
    </row>
    <row r="673">
      <c r="A673" s="25"/>
      <c r="B673" s="25"/>
      <c r="C673" s="25"/>
    </row>
    <row r="674">
      <c r="A674" s="25"/>
      <c r="B674" s="25"/>
      <c r="C674" s="25"/>
    </row>
    <row r="675">
      <c r="A675" s="25"/>
      <c r="B675" s="25"/>
      <c r="C675" s="25"/>
    </row>
    <row r="676">
      <c r="A676" s="25"/>
      <c r="B676" s="25"/>
      <c r="C676" s="25"/>
    </row>
    <row r="677">
      <c r="A677" s="25"/>
      <c r="B677" s="25"/>
      <c r="C677" s="25"/>
    </row>
    <row r="678">
      <c r="A678" s="25"/>
      <c r="B678" s="25"/>
      <c r="C678" s="25"/>
    </row>
    <row r="679">
      <c r="A679" s="25"/>
      <c r="B679" s="25"/>
      <c r="C679" s="25"/>
    </row>
    <row r="680">
      <c r="A680" s="25"/>
      <c r="B680" s="25"/>
      <c r="C680" s="25"/>
    </row>
    <row r="681">
      <c r="A681" s="25"/>
      <c r="B681" s="25"/>
      <c r="C681" s="25"/>
    </row>
    <row r="682">
      <c r="A682" s="25"/>
      <c r="B682" s="25"/>
      <c r="C682" s="25"/>
    </row>
    <row r="683">
      <c r="A683" s="25"/>
      <c r="B683" s="25"/>
      <c r="C683" s="25"/>
    </row>
    <row r="684">
      <c r="A684" s="25"/>
      <c r="B684" s="25"/>
      <c r="C684" s="25"/>
    </row>
    <row r="685">
      <c r="A685" s="25"/>
      <c r="B685" s="25"/>
      <c r="C685" s="25"/>
    </row>
    <row r="686">
      <c r="A686" s="25"/>
      <c r="B686" s="25"/>
      <c r="C686" s="25"/>
    </row>
    <row r="687">
      <c r="A687" s="25"/>
      <c r="B687" s="25"/>
      <c r="C687" s="25"/>
    </row>
    <row r="688">
      <c r="A688" s="25"/>
      <c r="B688" s="25"/>
      <c r="C688" s="25"/>
    </row>
    <row r="689">
      <c r="A689" s="25"/>
      <c r="B689" s="25"/>
      <c r="C689" s="25"/>
    </row>
    <row r="690">
      <c r="A690" s="25"/>
      <c r="B690" s="25"/>
      <c r="C690" s="25"/>
    </row>
    <row r="691">
      <c r="A691" s="25"/>
      <c r="B691" s="25"/>
      <c r="C691" s="25"/>
    </row>
    <row r="692">
      <c r="A692" s="25"/>
      <c r="B692" s="25"/>
      <c r="C692" s="25"/>
    </row>
    <row r="693">
      <c r="A693" s="25"/>
      <c r="B693" s="25"/>
      <c r="C693" s="25"/>
    </row>
    <row r="694">
      <c r="A694" s="25"/>
      <c r="B694" s="25"/>
      <c r="C694" s="25"/>
    </row>
    <row r="695">
      <c r="A695" s="25"/>
      <c r="B695" s="25"/>
      <c r="C695" s="25"/>
    </row>
    <row r="696">
      <c r="A696" s="25"/>
      <c r="B696" s="25"/>
      <c r="C696" s="25"/>
    </row>
    <row r="697">
      <c r="A697" s="25"/>
      <c r="B697" s="25"/>
      <c r="C697" s="25"/>
    </row>
    <row r="698">
      <c r="A698" s="25"/>
      <c r="B698" s="25"/>
      <c r="C698" s="25"/>
    </row>
    <row r="699">
      <c r="A699" s="25"/>
      <c r="B699" s="25"/>
      <c r="C699" s="25"/>
    </row>
    <row r="700">
      <c r="A700" s="25"/>
      <c r="B700" s="25"/>
      <c r="C700" s="25"/>
    </row>
    <row r="701">
      <c r="A701" s="25"/>
      <c r="B701" s="25"/>
      <c r="C701" s="25"/>
    </row>
    <row r="702">
      <c r="A702" s="25"/>
      <c r="B702" s="25"/>
      <c r="C702" s="25"/>
    </row>
    <row r="703">
      <c r="A703" s="25"/>
      <c r="B703" s="25"/>
      <c r="C703" s="25"/>
    </row>
    <row r="704">
      <c r="A704" s="25"/>
      <c r="B704" s="25"/>
      <c r="C704" s="25"/>
    </row>
    <row r="705">
      <c r="A705" s="25"/>
      <c r="B705" s="25"/>
      <c r="C705" s="25"/>
    </row>
    <row r="706">
      <c r="A706" s="25"/>
      <c r="B706" s="25"/>
      <c r="C706" s="25"/>
    </row>
    <row r="707">
      <c r="A707" s="25"/>
      <c r="B707" s="25"/>
      <c r="C707" s="25"/>
    </row>
    <row r="708">
      <c r="A708" s="25"/>
      <c r="B708" s="25"/>
      <c r="C708" s="25"/>
    </row>
    <row r="709">
      <c r="A709" s="25"/>
      <c r="B709" s="25"/>
      <c r="C709" s="25"/>
    </row>
    <row r="710">
      <c r="A710" s="25"/>
      <c r="B710" s="25"/>
      <c r="C710" s="25"/>
    </row>
    <row r="711">
      <c r="A711" s="25"/>
      <c r="B711" s="25"/>
      <c r="C711" s="25"/>
    </row>
    <row r="712">
      <c r="A712" s="25"/>
      <c r="B712" s="25"/>
      <c r="C712" s="25"/>
    </row>
    <row r="713">
      <c r="A713" s="25"/>
      <c r="B713" s="25"/>
      <c r="C713" s="25"/>
    </row>
    <row r="714">
      <c r="A714" s="25"/>
      <c r="B714" s="25"/>
      <c r="C714" s="25"/>
    </row>
    <row r="715">
      <c r="A715" s="25"/>
      <c r="B715" s="25"/>
      <c r="C715" s="25"/>
    </row>
    <row r="716">
      <c r="A716" s="25"/>
      <c r="B716" s="25"/>
      <c r="C716" s="25"/>
    </row>
    <row r="717">
      <c r="A717" s="25"/>
      <c r="B717" s="25"/>
      <c r="C717" s="25"/>
    </row>
    <row r="718">
      <c r="A718" s="25"/>
      <c r="B718" s="25"/>
      <c r="C718" s="25"/>
    </row>
    <row r="719">
      <c r="A719" s="25"/>
      <c r="B719" s="25"/>
      <c r="C719" s="25"/>
    </row>
    <row r="720">
      <c r="A720" s="25"/>
      <c r="B720" s="25"/>
      <c r="C720" s="25"/>
    </row>
    <row r="721">
      <c r="A721" s="25"/>
      <c r="B721" s="25"/>
      <c r="C721" s="25"/>
    </row>
    <row r="722">
      <c r="A722" s="25"/>
      <c r="B722" s="25"/>
      <c r="C722" s="25"/>
    </row>
    <row r="723">
      <c r="A723" s="25"/>
      <c r="B723" s="25"/>
      <c r="C723" s="25"/>
    </row>
    <row r="724">
      <c r="A724" s="25"/>
      <c r="B724" s="25"/>
      <c r="C724" s="25"/>
    </row>
    <row r="725">
      <c r="A725" s="25"/>
      <c r="B725" s="25"/>
      <c r="C725" s="25"/>
    </row>
    <row r="726">
      <c r="A726" s="25"/>
      <c r="B726" s="25"/>
      <c r="C726" s="25"/>
    </row>
    <row r="727">
      <c r="A727" s="25"/>
      <c r="B727" s="25"/>
      <c r="C727" s="25"/>
    </row>
    <row r="728">
      <c r="A728" s="25"/>
      <c r="B728" s="25"/>
      <c r="C728" s="25"/>
    </row>
    <row r="729">
      <c r="A729" s="25"/>
      <c r="B729" s="25"/>
      <c r="C729" s="25"/>
    </row>
    <row r="730">
      <c r="A730" s="25"/>
      <c r="B730" s="25"/>
      <c r="C730" s="25"/>
    </row>
    <row r="731">
      <c r="A731" s="25"/>
      <c r="B731" s="25"/>
      <c r="C731" s="25"/>
    </row>
    <row r="732">
      <c r="A732" s="25"/>
      <c r="B732" s="25"/>
      <c r="C732" s="25"/>
    </row>
    <row r="733">
      <c r="A733" s="25"/>
      <c r="B733" s="25"/>
      <c r="C733" s="25"/>
    </row>
    <row r="734">
      <c r="A734" s="25"/>
      <c r="B734" s="25"/>
      <c r="C734" s="25"/>
    </row>
    <row r="735">
      <c r="A735" s="25"/>
      <c r="B735" s="25"/>
      <c r="C735" s="25"/>
    </row>
    <row r="736">
      <c r="A736" s="25"/>
      <c r="B736" s="25"/>
      <c r="C736" s="25"/>
    </row>
    <row r="737">
      <c r="A737" s="25"/>
      <c r="B737" s="25"/>
      <c r="C737" s="25"/>
    </row>
    <row r="738">
      <c r="A738" s="25"/>
      <c r="B738" s="25"/>
      <c r="C738" s="25"/>
    </row>
    <row r="739">
      <c r="A739" s="25"/>
      <c r="B739" s="25"/>
      <c r="C739" s="25"/>
    </row>
    <row r="740">
      <c r="A740" s="25"/>
      <c r="B740" s="25"/>
      <c r="C740" s="25"/>
    </row>
    <row r="741">
      <c r="A741" s="25"/>
      <c r="B741" s="25"/>
      <c r="C741" s="25"/>
    </row>
    <row r="742">
      <c r="A742" s="25"/>
      <c r="B742" s="25"/>
      <c r="C742" s="25"/>
    </row>
    <row r="743">
      <c r="A743" s="25"/>
      <c r="B743" s="25"/>
      <c r="C743" s="25"/>
    </row>
    <row r="744">
      <c r="A744" s="25"/>
      <c r="B744" s="25"/>
      <c r="C744" s="25"/>
    </row>
    <row r="745">
      <c r="A745" s="25"/>
      <c r="B745" s="25"/>
      <c r="C745" s="25"/>
    </row>
    <row r="746">
      <c r="A746" s="25"/>
      <c r="B746" s="25"/>
      <c r="C746" s="25"/>
    </row>
    <row r="747">
      <c r="A747" s="25"/>
      <c r="B747" s="25"/>
      <c r="C747" s="25"/>
    </row>
    <row r="748">
      <c r="A748" s="25"/>
      <c r="B748" s="25"/>
      <c r="C748" s="25"/>
    </row>
    <row r="749">
      <c r="A749" s="25"/>
      <c r="B749" s="25"/>
      <c r="C749" s="25"/>
    </row>
    <row r="750">
      <c r="A750" s="25"/>
      <c r="B750" s="25"/>
      <c r="C750" s="25"/>
    </row>
    <row r="751">
      <c r="A751" s="25"/>
      <c r="B751" s="25"/>
      <c r="C751" s="25"/>
    </row>
    <row r="752">
      <c r="A752" s="25"/>
      <c r="B752" s="25"/>
      <c r="C752" s="25"/>
    </row>
    <row r="753">
      <c r="A753" s="25"/>
      <c r="B753" s="25"/>
      <c r="C753" s="25"/>
    </row>
    <row r="754">
      <c r="A754" s="25"/>
      <c r="B754" s="25"/>
      <c r="C754" s="25"/>
    </row>
    <row r="755">
      <c r="A755" s="25"/>
      <c r="B755" s="25"/>
      <c r="C755" s="25"/>
    </row>
    <row r="756">
      <c r="A756" s="25"/>
      <c r="B756" s="25"/>
      <c r="C756" s="25"/>
    </row>
    <row r="757">
      <c r="A757" s="25"/>
      <c r="B757" s="25"/>
      <c r="C757" s="25"/>
    </row>
    <row r="758">
      <c r="A758" s="25"/>
      <c r="B758" s="25"/>
      <c r="C758" s="25"/>
    </row>
    <row r="759">
      <c r="A759" s="25"/>
      <c r="B759" s="25"/>
      <c r="C759" s="25"/>
    </row>
    <row r="760">
      <c r="A760" s="25"/>
      <c r="B760" s="25"/>
      <c r="C760" s="25"/>
    </row>
    <row r="761">
      <c r="A761" s="25"/>
      <c r="B761" s="25"/>
      <c r="C761" s="25"/>
    </row>
    <row r="762">
      <c r="A762" s="25"/>
      <c r="B762" s="25"/>
      <c r="C762" s="25"/>
    </row>
    <row r="763">
      <c r="A763" s="25"/>
      <c r="B763" s="25"/>
      <c r="C763" s="25"/>
    </row>
    <row r="764">
      <c r="A764" s="25"/>
      <c r="B764" s="25"/>
      <c r="C764" s="25"/>
    </row>
    <row r="765">
      <c r="A765" s="25"/>
      <c r="B765" s="25"/>
      <c r="C765" s="25"/>
    </row>
    <row r="766">
      <c r="A766" s="25"/>
      <c r="B766" s="25"/>
      <c r="C766" s="25"/>
    </row>
    <row r="767">
      <c r="A767" s="25"/>
      <c r="B767" s="25"/>
      <c r="C767" s="25"/>
    </row>
    <row r="768">
      <c r="A768" s="25"/>
      <c r="B768" s="25"/>
      <c r="C768" s="25"/>
    </row>
    <row r="769">
      <c r="A769" s="25"/>
      <c r="B769" s="25"/>
      <c r="C769" s="25"/>
    </row>
    <row r="770">
      <c r="A770" s="25"/>
      <c r="B770" s="25"/>
      <c r="C770" s="25"/>
    </row>
    <row r="771">
      <c r="A771" s="25"/>
      <c r="B771" s="25"/>
      <c r="C771" s="25"/>
    </row>
    <row r="772">
      <c r="A772" s="25"/>
      <c r="B772" s="25"/>
      <c r="C772" s="25"/>
    </row>
    <row r="773">
      <c r="A773" s="25"/>
      <c r="B773" s="25"/>
      <c r="C773" s="25"/>
    </row>
    <row r="774">
      <c r="A774" s="25"/>
      <c r="B774" s="25"/>
      <c r="C774" s="25"/>
    </row>
    <row r="775">
      <c r="A775" s="25"/>
      <c r="B775" s="25"/>
      <c r="C775" s="25"/>
    </row>
    <row r="776">
      <c r="A776" s="25"/>
      <c r="B776" s="25"/>
      <c r="C776" s="25"/>
    </row>
    <row r="777">
      <c r="A777" s="25"/>
      <c r="B777" s="25"/>
      <c r="C777" s="25"/>
    </row>
    <row r="778">
      <c r="A778" s="25"/>
      <c r="B778" s="25"/>
      <c r="C778" s="25"/>
    </row>
    <row r="779">
      <c r="A779" s="25"/>
      <c r="B779" s="25"/>
      <c r="C779" s="25"/>
    </row>
    <row r="780">
      <c r="A780" s="25"/>
      <c r="B780" s="25"/>
      <c r="C780" s="25"/>
    </row>
    <row r="781">
      <c r="A781" s="25"/>
      <c r="B781" s="25"/>
      <c r="C781" s="25"/>
    </row>
    <row r="782">
      <c r="A782" s="25"/>
      <c r="B782" s="25"/>
      <c r="C782" s="25"/>
    </row>
    <row r="783">
      <c r="A783" s="25"/>
      <c r="B783" s="25"/>
      <c r="C783" s="25"/>
    </row>
    <row r="784">
      <c r="A784" s="25"/>
      <c r="B784" s="25"/>
      <c r="C784" s="25"/>
    </row>
    <row r="785">
      <c r="A785" s="25"/>
      <c r="B785" s="25"/>
      <c r="C785" s="25"/>
    </row>
    <row r="786">
      <c r="A786" s="25"/>
      <c r="B786" s="25"/>
      <c r="C786" s="25"/>
    </row>
    <row r="787">
      <c r="A787" s="25"/>
      <c r="B787" s="25"/>
      <c r="C787" s="25"/>
    </row>
    <row r="788">
      <c r="A788" s="25"/>
      <c r="B788" s="25"/>
      <c r="C788" s="25"/>
    </row>
    <row r="789">
      <c r="A789" s="25"/>
      <c r="B789" s="25"/>
      <c r="C789" s="25"/>
    </row>
    <row r="790">
      <c r="A790" s="25"/>
      <c r="B790" s="25"/>
      <c r="C790" s="25"/>
    </row>
    <row r="791">
      <c r="A791" s="25"/>
      <c r="B791" s="25"/>
      <c r="C791" s="25"/>
    </row>
    <row r="792">
      <c r="A792" s="25"/>
      <c r="B792" s="25"/>
      <c r="C792" s="25"/>
    </row>
    <row r="793">
      <c r="A793" s="25"/>
      <c r="B793" s="25"/>
      <c r="C793" s="25"/>
    </row>
    <row r="794">
      <c r="A794" s="25"/>
      <c r="B794" s="25"/>
      <c r="C794" s="25"/>
    </row>
    <row r="795">
      <c r="A795" s="25"/>
      <c r="B795" s="25"/>
      <c r="C795" s="25"/>
    </row>
    <row r="796">
      <c r="A796" s="25"/>
      <c r="B796" s="25"/>
      <c r="C796" s="25"/>
    </row>
    <row r="797">
      <c r="A797" s="25"/>
      <c r="B797" s="25"/>
      <c r="C797" s="25"/>
    </row>
    <row r="798">
      <c r="A798" s="25"/>
      <c r="B798" s="25"/>
      <c r="C798" s="25"/>
    </row>
    <row r="799">
      <c r="A799" s="25"/>
      <c r="B799" s="25"/>
      <c r="C799" s="25"/>
    </row>
    <row r="800">
      <c r="A800" s="25"/>
      <c r="B800" s="25"/>
      <c r="C800" s="25"/>
    </row>
    <row r="801">
      <c r="A801" s="25"/>
      <c r="B801" s="25"/>
      <c r="C801" s="25"/>
    </row>
    <row r="802">
      <c r="A802" s="25"/>
      <c r="B802" s="25"/>
      <c r="C802" s="25"/>
    </row>
    <row r="803">
      <c r="A803" s="25"/>
      <c r="B803" s="25"/>
      <c r="C803" s="25"/>
    </row>
    <row r="804">
      <c r="A804" s="25"/>
      <c r="B804" s="25"/>
      <c r="C804" s="25"/>
    </row>
    <row r="805">
      <c r="A805" s="25"/>
      <c r="B805" s="25"/>
      <c r="C805" s="25"/>
    </row>
    <row r="806">
      <c r="A806" s="25"/>
      <c r="B806" s="25"/>
      <c r="C806" s="25"/>
    </row>
    <row r="807">
      <c r="A807" s="25"/>
      <c r="B807" s="25"/>
      <c r="C807" s="25"/>
    </row>
    <row r="808">
      <c r="A808" s="25"/>
      <c r="B808" s="25"/>
      <c r="C808" s="25"/>
    </row>
    <row r="809">
      <c r="A809" s="25"/>
      <c r="B809" s="25"/>
      <c r="C809" s="25"/>
    </row>
    <row r="810">
      <c r="A810" s="25"/>
      <c r="B810" s="25"/>
      <c r="C810" s="25"/>
    </row>
    <row r="811">
      <c r="A811" s="25"/>
      <c r="B811" s="25"/>
      <c r="C811" s="25"/>
    </row>
    <row r="812">
      <c r="A812" s="25"/>
      <c r="B812" s="25"/>
      <c r="C812" s="25"/>
    </row>
    <row r="813">
      <c r="A813" s="25"/>
      <c r="B813" s="25"/>
      <c r="C813" s="25"/>
    </row>
    <row r="814">
      <c r="A814" s="25"/>
      <c r="B814" s="25"/>
      <c r="C814" s="25"/>
    </row>
    <row r="815">
      <c r="A815" s="25"/>
      <c r="B815" s="25"/>
      <c r="C815" s="25"/>
    </row>
    <row r="816">
      <c r="A816" s="25"/>
      <c r="B816" s="25"/>
      <c r="C816" s="25"/>
    </row>
    <row r="817">
      <c r="A817" s="25"/>
      <c r="B817" s="25"/>
      <c r="C817" s="25"/>
    </row>
    <row r="818">
      <c r="A818" s="25"/>
      <c r="B818" s="25"/>
      <c r="C818" s="25"/>
    </row>
    <row r="819">
      <c r="A819" s="25"/>
      <c r="B819" s="25"/>
      <c r="C819" s="25"/>
    </row>
    <row r="820">
      <c r="A820" s="25"/>
      <c r="B820" s="25"/>
      <c r="C820" s="25"/>
    </row>
    <row r="821">
      <c r="A821" s="25"/>
      <c r="B821" s="25"/>
      <c r="C821" s="25"/>
    </row>
    <row r="822">
      <c r="A822" s="25"/>
      <c r="B822" s="25"/>
      <c r="C822" s="25"/>
    </row>
    <row r="823">
      <c r="A823" s="25"/>
      <c r="B823" s="25"/>
      <c r="C823" s="25"/>
    </row>
    <row r="824">
      <c r="A824" s="25"/>
      <c r="B824" s="25"/>
      <c r="C824" s="25"/>
    </row>
    <row r="825">
      <c r="A825" s="25"/>
      <c r="B825" s="25"/>
      <c r="C825" s="25"/>
    </row>
    <row r="826">
      <c r="A826" s="25"/>
      <c r="B826" s="25"/>
      <c r="C826" s="25"/>
    </row>
    <row r="827">
      <c r="A827" s="25"/>
      <c r="B827" s="25"/>
      <c r="C827" s="25"/>
    </row>
    <row r="828">
      <c r="A828" s="25"/>
      <c r="B828" s="25"/>
      <c r="C828" s="25"/>
    </row>
    <row r="829">
      <c r="A829" s="25"/>
      <c r="B829" s="25"/>
      <c r="C829" s="25"/>
    </row>
    <row r="830">
      <c r="A830" s="25"/>
      <c r="B830" s="25"/>
      <c r="C830" s="25"/>
    </row>
    <row r="831">
      <c r="A831" s="25"/>
      <c r="B831" s="25"/>
      <c r="C831" s="25"/>
    </row>
    <row r="832">
      <c r="A832" s="25"/>
      <c r="B832" s="25"/>
      <c r="C832" s="25"/>
    </row>
    <row r="833">
      <c r="A833" s="25"/>
      <c r="B833" s="25"/>
      <c r="C833" s="25"/>
    </row>
    <row r="834">
      <c r="A834" s="25"/>
      <c r="B834" s="25"/>
      <c r="C834" s="25"/>
    </row>
    <row r="835">
      <c r="A835" s="25"/>
      <c r="B835" s="25"/>
      <c r="C835" s="25"/>
    </row>
    <row r="836">
      <c r="A836" s="25"/>
      <c r="B836" s="25"/>
      <c r="C836" s="25"/>
    </row>
    <row r="837">
      <c r="A837" s="25"/>
      <c r="B837" s="25"/>
      <c r="C837" s="25"/>
    </row>
    <row r="838">
      <c r="A838" s="25"/>
      <c r="B838" s="25"/>
      <c r="C838" s="25"/>
    </row>
    <row r="839">
      <c r="A839" s="25"/>
      <c r="B839" s="25"/>
      <c r="C839" s="25"/>
    </row>
    <row r="840">
      <c r="A840" s="25"/>
      <c r="B840" s="25"/>
      <c r="C840" s="25"/>
    </row>
    <row r="841">
      <c r="A841" s="25"/>
      <c r="B841" s="25"/>
      <c r="C841" s="25"/>
    </row>
    <row r="842">
      <c r="A842" s="25"/>
      <c r="B842" s="25"/>
      <c r="C842" s="25"/>
    </row>
    <row r="843">
      <c r="A843" s="25"/>
      <c r="B843" s="25"/>
      <c r="C843" s="25"/>
    </row>
    <row r="844">
      <c r="A844" s="25"/>
      <c r="B844" s="25"/>
      <c r="C844" s="25"/>
    </row>
    <row r="845">
      <c r="A845" s="25"/>
      <c r="B845" s="25"/>
      <c r="C845" s="25"/>
    </row>
    <row r="846">
      <c r="A846" s="25"/>
      <c r="B846" s="25"/>
      <c r="C846" s="25"/>
    </row>
    <row r="847">
      <c r="A847" s="25"/>
      <c r="B847" s="25"/>
      <c r="C847" s="25"/>
    </row>
    <row r="848">
      <c r="A848" s="25"/>
      <c r="B848" s="25"/>
      <c r="C848" s="25"/>
    </row>
    <row r="849">
      <c r="A849" s="25"/>
      <c r="B849" s="25"/>
      <c r="C849" s="25"/>
    </row>
    <row r="850">
      <c r="A850" s="25"/>
      <c r="B850" s="25"/>
      <c r="C850" s="25"/>
    </row>
    <row r="851">
      <c r="A851" s="25"/>
      <c r="B851" s="25"/>
      <c r="C851" s="25"/>
    </row>
    <row r="852">
      <c r="A852" s="25"/>
      <c r="B852" s="25"/>
      <c r="C852" s="25"/>
    </row>
    <row r="853">
      <c r="A853" s="25"/>
      <c r="B853" s="25"/>
      <c r="C853" s="25"/>
    </row>
    <row r="854">
      <c r="A854" s="25"/>
      <c r="B854" s="25"/>
      <c r="C854" s="25"/>
    </row>
    <row r="855">
      <c r="A855" s="25"/>
      <c r="B855" s="25"/>
      <c r="C855" s="25"/>
    </row>
    <row r="856">
      <c r="A856" s="25"/>
      <c r="B856" s="25"/>
      <c r="C856" s="25"/>
    </row>
    <row r="857">
      <c r="A857" s="25"/>
      <c r="B857" s="25"/>
      <c r="C857" s="25"/>
    </row>
    <row r="858">
      <c r="A858" s="25"/>
      <c r="B858" s="25"/>
      <c r="C858" s="25"/>
    </row>
    <row r="859">
      <c r="A859" s="25"/>
      <c r="B859" s="25"/>
      <c r="C859" s="25"/>
    </row>
    <row r="860">
      <c r="A860" s="25"/>
      <c r="B860" s="25"/>
      <c r="C860" s="25"/>
    </row>
    <row r="861">
      <c r="A861" s="25"/>
      <c r="B861" s="25"/>
      <c r="C861" s="25"/>
    </row>
    <row r="862">
      <c r="A862" s="25"/>
      <c r="B862" s="25"/>
      <c r="C862" s="25"/>
    </row>
    <row r="863">
      <c r="A863" s="25"/>
      <c r="B863" s="25"/>
      <c r="C863" s="25"/>
    </row>
    <row r="864">
      <c r="A864" s="25"/>
      <c r="B864" s="25"/>
      <c r="C864" s="25"/>
    </row>
    <row r="865">
      <c r="A865" s="25"/>
      <c r="B865" s="25"/>
      <c r="C865" s="25"/>
    </row>
    <row r="866">
      <c r="A866" s="25"/>
      <c r="B866" s="25"/>
      <c r="C866" s="25"/>
    </row>
    <row r="867">
      <c r="A867" s="25"/>
      <c r="B867" s="25"/>
      <c r="C867" s="25"/>
    </row>
    <row r="868">
      <c r="A868" s="25"/>
      <c r="B868" s="25"/>
      <c r="C868" s="25"/>
    </row>
    <row r="869">
      <c r="A869" s="25"/>
      <c r="B869" s="25"/>
      <c r="C869" s="25"/>
    </row>
    <row r="870">
      <c r="A870" s="25"/>
      <c r="B870" s="25"/>
      <c r="C870" s="25"/>
    </row>
    <row r="871">
      <c r="A871" s="25"/>
      <c r="B871" s="25"/>
      <c r="C871" s="25"/>
    </row>
    <row r="872">
      <c r="A872" s="25"/>
      <c r="B872" s="25"/>
      <c r="C872" s="25"/>
    </row>
    <row r="873">
      <c r="A873" s="25"/>
      <c r="B873" s="25"/>
      <c r="C873" s="25"/>
    </row>
    <row r="874">
      <c r="A874" s="25"/>
      <c r="B874" s="25"/>
      <c r="C874" s="25"/>
    </row>
    <row r="875">
      <c r="A875" s="25"/>
      <c r="B875" s="25"/>
      <c r="C875" s="25"/>
    </row>
    <row r="876">
      <c r="A876" s="25"/>
      <c r="B876" s="25"/>
      <c r="C876" s="25"/>
    </row>
    <row r="877">
      <c r="A877" s="25"/>
      <c r="B877" s="25"/>
      <c r="C877" s="25"/>
    </row>
    <row r="878">
      <c r="A878" s="25"/>
      <c r="B878" s="25"/>
      <c r="C878" s="25"/>
    </row>
    <row r="879">
      <c r="A879" s="25"/>
      <c r="B879" s="25"/>
      <c r="C879" s="25"/>
    </row>
    <row r="880">
      <c r="A880" s="25"/>
      <c r="B880" s="25"/>
      <c r="C880" s="25"/>
    </row>
    <row r="881">
      <c r="A881" s="25"/>
      <c r="B881" s="25"/>
      <c r="C881" s="25"/>
    </row>
    <row r="882">
      <c r="A882" s="25"/>
      <c r="B882" s="25"/>
      <c r="C882" s="25"/>
    </row>
    <row r="883">
      <c r="A883" s="25"/>
      <c r="B883" s="25"/>
      <c r="C883" s="25"/>
    </row>
    <row r="884">
      <c r="A884" s="25"/>
      <c r="B884" s="25"/>
      <c r="C884" s="25"/>
    </row>
    <row r="885">
      <c r="A885" s="25"/>
      <c r="B885" s="25"/>
      <c r="C885" s="25"/>
    </row>
    <row r="886">
      <c r="A886" s="25"/>
      <c r="B886" s="25"/>
      <c r="C886" s="25"/>
    </row>
    <row r="887">
      <c r="A887" s="25"/>
      <c r="B887" s="25"/>
      <c r="C887" s="25"/>
    </row>
    <row r="888">
      <c r="A888" s="25"/>
      <c r="B888" s="25"/>
      <c r="C888" s="25"/>
    </row>
    <row r="889">
      <c r="A889" s="25"/>
      <c r="B889" s="25"/>
      <c r="C889" s="25"/>
    </row>
    <row r="890">
      <c r="A890" s="25"/>
      <c r="B890" s="25"/>
      <c r="C890" s="25"/>
    </row>
    <row r="891">
      <c r="A891" s="25"/>
      <c r="B891" s="25"/>
      <c r="C891" s="25"/>
    </row>
    <row r="892">
      <c r="A892" s="25"/>
      <c r="B892" s="25"/>
      <c r="C892" s="25"/>
    </row>
    <row r="893">
      <c r="A893" s="25"/>
      <c r="B893" s="25"/>
      <c r="C893" s="25"/>
    </row>
    <row r="894">
      <c r="A894" s="25"/>
      <c r="B894" s="25"/>
      <c r="C894" s="25"/>
    </row>
    <row r="895">
      <c r="A895" s="25"/>
      <c r="B895" s="25"/>
      <c r="C895" s="25"/>
    </row>
    <row r="896">
      <c r="A896" s="25"/>
      <c r="B896" s="25"/>
      <c r="C896" s="25"/>
    </row>
    <row r="897">
      <c r="A897" s="25"/>
      <c r="B897" s="25"/>
      <c r="C897" s="25"/>
    </row>
    <row r="898">
      <c r="A898" s="25"/>
      <c r="B898" s="25"/>
      <c r="C898" s="25"/>
    </row>
    <row r="899">
      <c r="A899" s="25"/>
      <c r="B899" s="25"/>
      <c r="C899" s="25"/>
    </row>
    <row r="900">
      <c r="A900" s="25"/>
      <c r="B900" s="25"/>
      <c r="C900" s="25"/>
    </row>
    <row r="901">
      <c r="A901" s="25"/>
      <c r="B901" s="25"/>
      <c r="C901" s="25"/>
    </row>
    <row r="902">
      <c r="A902" s="25"/>
      <c r="B902" s="25"/>
      <c r="C902" s="25"/>
    </row>
    <row r="903">
      <c r="A903" s="25"/>
      <c r="B903" s="25"/>
      <c r="C903" s="25"/>
    </row>
    <row r="904">
      <c r="A904" s="25"/>
      <c r="B904" s="25"/>
      <c r="C904" s="25"/>
    </row>
    <row r="905">
      <c r="A905" s="25"/>
      <c r="B905" s="25"/>
      <c r="C905" s="25"/>
    </row>
    <row r="906">
      <c r="A906" s="25"/>
      <c r="B906" s="25"/>
      <c r="C906" s="25"/>
    </row>
    <row r="907">
      <c r="A907" s="25"/>
      <c r="B907" s="25"/>
      <c r="C907" s="25"/>
    </row>
    <row r="908">
      <c r="A908" s="25"/>
      <c r="B908" s="25"/>
      <c r="C908" s="25"/>
    </row>
    <row r="909">
      <c r="A909" s="25"/>
      <c r="B909" s="25"/>
      <c r="C909" s="25"/>
    </row>
    <row r="910">
      <c r="A910" s="25"/>
      <c r="B910" s="25"/>
      <c r="C910" s="25"/>
    </row>
    <row r="911">
      <c r="A911" s="25"/>
      <c r="B911" s="25"/>
      <c r="C911" s="25"/>
    </row>
    <row r="912">
      <c r="A912" s="25"/>
      <c r="B912" s="25"/>
      <c r="C912" s="25"/>
    </row>
    <row r="913">
      <c r="A913" s="25"/>
      <c r="B913" s="25"/>
      <c r="C913" s="25"/>
    </row>
    <row r="914">
      <c r="A914" s="25"/>
      <c r="B914" s="25"/>
      <c r="C914" s="25"/>
    </row>
    <row r="915">
      <c r="A915" s="25"/>
      <c r="B915" s="25"/>
      <c r="C915" s="25"/>
    </row>
    <row r="916">
      <c r="A916" s="25"/>
      <c r="B916" s="25"/>
      <c r="C916" s="25"/>
    </row>
    <row r="917">
      <c r="A917" s="25"/>
      <c r="B917" s="25"/>
      <c r="C917" s="25"/>
    </row>
    <row r="918">
      <c r="A918" s="25"/>
      <c r="B918" s="25"/>
      <c r="C918" s="25"/>
    </row>
    <row r="919">
      <c r="A919" s="25"/>
      <c r="B919" s="25"/>
      <c r="C919" s="25"/>
    </row>
    <row r="920">
      <c r="A920" s="25"/>
      <c r="B920" s="25"/>
      <c r="C920" s="25"/>
    </row>
    <row r="921">
      <c r="A921" s="25"/>
      <c r="B921" s="25"/>
      <c r="C921" s="25"/>
    </row>
    <row r="922">
      <c r="A922" s="25"/>
      <c r="B922" s="25"/>
      <c r="C922" s="25"/>
    </row>
    <row r="923">
      <c r="A923" s="25"/>
      <c r="B923" s="25"/>
      <c r="C923" s="25"/>
    </row>
    <row r="924">
      <c r="A924" s="25"/>
      <c r="B924" s="25"/>
      <c r="C924" s="25"/>
    </row>
    <row r="925">
      <c r="A925" s="25"/>
      <c r="B925" s="25"/>
      <c r="C925" s="25"/>
    </row>
    <row r="926">
      <c r="A926" s="25"/>
      <c r="B926" s="25"/>
      <c r="C926" s="25"/>
    </row>
    <row r="927">
      <c r="A927" s="25"/>
      <c r="B927" s="25"/>
      <c r="C927" s="25"/>
    </row>
    <row r="928">
      <c r="A928" s="25"/>
      <c r="B928" s="25"/>
      <c r="C928" s="25"/>
    </row>
    <row r="929">
      <c r="A929" s="25"/>
      <c r="B929" s="25"/>
      <c r="C929" s="25"/>
    </row>
    <row r="930">
      <c r="A930" s="25"/>
      <c r="B930" s="25"/>
      <c r="C930" s="25"/>
    </row>
    <row r="931">
      <c r="A931" s="25"/>
      <c r="B931" s="25"/>
      <c r="C931" s="25"/>
    </row>
    <row r="932">
      <c r="A932" s="25"/>
      <c r="B932" s="25"/>
      <c r="C932" s="25"/>
    </row>
    <row r="933">
      <c r="A933" s="25"/>
      <c r="B933" s="25"/>
      <c r="C933" s="25"/>
    </row>
    <row r="934">
      <c r="A934" s="25"/>
      <c r="B934" s="25"/>
      <c r="C934" s="25"/>
    </row>
    <row r="935">
      <c r="A935" s="25"/>
      <c r="B935" s="25"/>
      <c r="C935" s="25"/>
    </row>
    <row r="936">
      <c r="A936" s="25"/>
      <c r="B936" s="25"/>
      <c r="C936" s="25"/>
    </row>
    <row r="937">
      <c r="A937" s="25"/>
      <c r="B937" s="25"/>
      <c r="C937" s="25"/>
    </row>
    <row r="938">
      <c r="A938" s="25"/>
      <c r="B938" s="25"/>
      <c r="C938" s="25"/>
    </row>
    <row r="939">
      <c r="A939" s="25"/>
      <c r="B939" s="25"/>
      <c r="C939" s="25"/>
    </row>
    <row r="940">
      <c r="A940" s="25"/>
      <c r="B940" s="25"/>
      <c r="C940" s="25"/>
    </row>
    <row r="941">
      <c r="A941" s="25"/>
      <c r="B941" s="25"/>
      <c r="C941" s="25"/>
    </row>
    <row r="942">
      <c r="A942" s="25"/>
      <c r="B942" s="25"/>
      <c r="C942" s="25"/>
    </row>
    <row r="943">
      <c r="A943" s="25"/>
      <c r="B943" s="25"/>
      <c r="C943" s="25"/>
    </row>
    <row r="944">
      <c r="A944" s="25"/>
      <c r="B944" s="25"/>
      <c r="C944" s="25"/>
    </row>
    <row r="945">
      <c r="A945" s="25"/>
      <c r="B945" s="25"/>
      <c r="C945" s="25"/>
    </row>
    <row r="946">
      <c r="A946" s="25"/>
      <c r="B946" s="25"/>
      <c r="C946" s="25"/>
    </row>
    <row r="947">
      <c r="A947" s="25"/>
      <c r="B947" s="25"/>
      <c r="C947" s="25"/>
    </row>
    <row r="948">
      <c r="A948" s="25"/>
      <c r="B948" s="25"/>
      <c r="C948" s="25"/>
    </row>
    <row r="949">
      <c r="A949" s="25"/>
      <c r="B949" s="25"/>
      <c r="C949" s="25"/>
    </row>
    <row r="950">
      <c r="A950" s="25"/>
      <c r="B950" s="25"/>
      <c r="C950" s="25"/>
    </row>
    <row r="951">
      <c r="A951" s="25"/>
      <c r="B951" s="25"/>
      <c r="C951" s="25"/>
    </row>
    <row r="952">
      <c r="A952" s="25"/>
      <c r="B952" s="25"/>
      <c r="C952" s="25"/>
    </row>
    <row r="953">
      <c r="A953" s="25"/>
      <c r="B953" s="25"/>
      <c r="C953" s="25"/>
    </row>
    <row r="954">
      <c r="A954" s="25"/>
      <c r="B954" s="25"/>
      <c r="C954" s="25"/>
    </row>
    <row r="955">
      <c r="A955" s="25"/>
      <c r="B955" s="25"/>
      <c r="C955" s="25"/>
    </row>
    <row r="956">
      <c r="A956" s="25"/>
      <c r="B956" s="25"/>
      <c r="C956" s="25"/>
    </row>
    <row r="957">
      <c r="A957" s="25"/>
      <c r="B957" s="25"/>
      <c r="C957" s="25"/>
    </row>
    <row r="958">
      <c r="A958" s="25"/>
      <c r="B958" s="25"/>
      <c r="C958" s="25"/>
    </row>
    <row r="959">
      <c r="A959" s="25"/>
      <c r="B959" s="25"/>
      <c r="C959" s="25"/>
    </row>
    <row r="960">
      <c r="A960" s="25"/>
      <c r="B960" s="25"/>
      <c r="C960" s="25"/>
    </row>
    <row r="961">
      <c r="A961" s="25"/>
      <c r="B961" s="25"/>
      <c r="C961" s="25"/>
    </row>
    <row r="962">
      <c r="A962" s="25"/>
      <c r="B962" s="25"/>
      <c r="C962" s="25"/>
    </row>
    <row r="963">
      <c r="A963" s="25"/>
      <c r="B963" s="25"/>
      <c r="C963" s="25"/>
    </row>
    <row r="964">
      <c r="A964" s="25"/>
      <c r="B964" s="25"/>
      <c r="C964" s="25"/>
    </row>
    <row r="965">
      <c r="A965" s="25"/>
      <c r="B965" s="25"/>
      <c r="C965" s="25"/>
    </row>
    <row r="966">
      <c r="A966" s="25"/>
      <c r="B966" s="25"/>
      <c r="C966" s="25"/>
    </row>
    <row r="967">
      <c r="A967" s="25"/>
      <c r="B967" s="25"/>
      <c r="C967" s="25"/>
    </row>
    <row r="968">
      <c r="A968" s="25"/>
      <c r="B968" s="25"/>
      <c r="C968" s="25"/>
    </row>
    <row r="969">
      <c r="A969" s="25"/>
      <c r="B969" s="25"/>
      <c r="C969" s="25"/>
    </row>
    <row r="970">
      <c r="A970" s="25"/>
      <c r="B970" s="25"/>
      <c r="C970" s="25"/>
    </row>
    <row r="971">
      <c r="A971" s="25"/>
      <c r="B971" s="25"/>
      <c r="C971" s="25"/>
    </row>
    <row r="972">
      <c r="A972" s="25"/>
      <c r="B972" s="25"/>
      <c r="C972" s="25"/>
    </row>
    <row r="973">
      <c r="A973" s="25"/>
      <c r="B973" s="25"/>
      <c r="C973" s="25"/>
    </row>
    <row r="974">
      <c r="A974" s="25"/>
      <c r="B974" s="25"/>
      <c r="C974" s="25"/>
    </row>
    <row r="975">
      <c r="A975" s="25"/>
      <c r="B975" s="25"/>
      <c r="C975" s="25"/>
    </row>
    <row r="976">
      <c r="A976" s="25"/>
      <c r="B976" s="25"/>
      <c r="C976" s="25"/>
    </row>
    <row r="977">
      <c r="A977" s="25"/>
      <c r="B977" s="25"/>
      <c r="C977" s="25"/>
    </row>
    <row r="978">
      <c r="A978" s="25"/>
      <c r="B978" s="25"/>
      <c r="C978" s="25"/>
    </row>
    <row r="979">
      <c r="A979" s="25"/>
      <c r="B979" s="25"/>
      <c r="C979" s="25"/>
    </row>
    <row r="980">
      <c r="A980" s="25"/>
      <c r="B980" s="25"/>
      <c r="C980" s="25"/>
    </row>
    <row r="981">
      <c r="A981" s="25"/>
      <c r="B981" s="25"/>
      <c r="C981" s="25"/>
    </row>
    <row r="982">
      <c r="A982" s="25"/>
      <c r="B982" s="25"/>
      <c r="C982" s="25"/>
    </row>
    <row r="983">
      <c r="A983" s="25"/>
      <c r="B983" s="25"/>
      <c r="C983" s="25"/>
    </row>
    <row r="984">
      <c r="A984" s="25"/>
      <c r="B984" s="25"/>
      <c r="C984" s="25"/>
    </row>
    <row r="985">
      <c r="A985" s="25"/>
      <c r="B985" s="25"/>
      <c r="C985" s="25"/>
    </row>
    <row r="986">
      <c r="A986" s="25"/>
      <c r="B986" s="25"/>
      <c r="C986" s="25"/>
    </row>
    <row r="987">
      <c r="A987" s="25"/>
      <c r="B987" s="25"/>
      <c r="C987" s="25"/>
    </row>
    <row r="988">
      <c r="A988" s="25"/>
      <c r="B988" s="25"/>
      <c r="C988" s="25"/>
    </row>
    <row r="989">
      <c r="A989" s="25"/>
      <c r="B989" s="25"/>
      <c r="C989" s="25"/>
    </row>
    <row r="990">
      <c r="A990" s="25"/>
      <c r="B990" s="25"/>
      <c r="C990" s="25"/>
    </row>
    <row r="991">
      <c r="A991" s="25"/>
      <c r="B991" s="25"/>
      <c r="C991" s="25"/>
    </row>
    <row r="992">
      <c r="A992" s="25"/>
      <c r="B992" s="25"/>
      <c r="C992" s="25"/>
    </row>
    <row r="993">
      <c r="A993" s="25"/>
      <c r="B993" s="25"/>
      <c r="C993" s="25"/>
    </row>
    <row r="994">
      <c r="A994" s="25"/>
      <c r="B994" s="25"/>
      <c r="C994" s="25"/>
    </row>
    <row r="995">
      <c r="A995" s="25"/>
      <c r="B995" s="25"/>
      <c r="C995" s="25"/>
    </row>
    <row r="996">
      <c r="A996" s="25"/>
      <c r="B996" s="25"/>
      <c r="C996" s="25"/>
    </row>
    <row r="997">
      <c r="A997" s="25"/>
      <c r="B997" s="25"/>
      <c r="C997" s="25"/>
    </row>
    <row r="998">
      <c r="A998" s="25"/>
      <c r="B998" s="25"/>
      <c r="C998" s="25"/>
    </row>
  </sheetData>
  <drawing r:id="rId1"/>
</worksheet>
</file>